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 Lieu\Downloads\"/>
    </mc:Choice>
  </mc:AlternateContent>
  <bookViews>
    <workbookView xWindow="0" yWindow="585" windowWidth="11355" windowHeight="8625" tabRatio="839" firstSheet="3" activeTab="3"/>
  </bookViews>
  <sheets>
    <sheet name="DICH" sheetId="90" state="hidden" r:id="rId1"/>
    <sheet name="BieuGia ĐX" sheetId="106" state="hidden" r:id="rId2"/>
    <sheet name="GiaDuThau" sheetId="99" state="hidden" r:id="rId3"/>
    <sheet name="DGTH" sheetId="104" r:id="rId4"/>
    <sheet name="DGCT Cau" sheetId="98" state="hidden" r:id="rId5"/>
    <sheet name="DGCT Duong" sheetId="103" state="hidden" r:id="rId6"/>
    <sheet name="DGCT CS" sheetId="105" state="hidden" r:id="rId7"/>
    <sheet name="GVL" sheetId="102" state="hidden" r:id="rId8"/>
    <sheet name="NC" sheetId="93" state="hidden" r:id="rId9"/>
    <sheet name="9.may" sheetId="66" state="hidden" r:id="rId10"/>
    <sheet name="16.NC" sheetId="85" state="hidden" r:id="rId11"/>
    <sheet name="8.Dgia" sheetId="42" state="hidden" r:id="rId12"/>
    <sheet name="11.gia " sheetId="12" state="hidden" r:id="rId13"/>
    <sheet name="13.vanchuyen" sheetId="58" state="hidden" r:id="rId14"/>
    <sheet name="10.PLV" sheetId="7" state="hidden" r:id="rId15"/>
    <sheet name="12.ssg" sheetId="84" state="hidden" r:id="rId16"/>
    <sheet name="ssgda" sheetId="87" state="hidden" r:id="rId17"/>
    <sheet name="14.boc xep" sheetId="49" state="hidden" r:id="rId18"/>
    <sheet name="SS.CONG" sheetId="96" state="hidden" r:id="rId19"/>
    <sheet name="Cong bo gia" sheetId="81" state="hidden" r:id="rId20"/>
    <sheet name="DamBaoGTB" sheetId="86" state="hidden" r:id="rId21"/>
    <sheet name="nhan cong" sheetId="67" state="hidden" r:id="rId22"/>
    <sheet name="begin" sheetId="82" state="hidden" r:id="rId23"/>
    <sheet name="CVT" sheetId="59" state="hidden" r:id="rId24"/>
  </sheets>
  <externalReferences>
    <externalReference r:id="rId25"/>
    <externalReference r:id="rId26"/>
    <externalReference r:id="rId27"/>
    <externalReference r:id="rId28"/>
    <externalReference r:id="rId29"/>
    <externalReference r:id="rId30"/>
    <externalReference r:id="rId31"/>
  </externalReferences>
  <definedNames>
    <definedName name="___h1" hidden="1">{"'Sheet1'!$L$16"}</definedName>
    <definedName name="___hu1" hidden="1">{"'Sheet1'!$L$16"}</definedName>
    <definedName name="___hu2" hidden="1">{"'Sheet1'!$L$16"}</definedName>
    <definedName name="___hu5" hidden="1">{"'Sheet1'!$L$16"}</definedName>
    <definedName name="___hu6" hidden="1">{"'Sheet1'!$L$16"}</definedName>
    <definedName name="__h1" localSheetId="8" hidden="1">{"'Sheet1'!$L$16"}</definedName>
    <definedName name="__h1" hidden="1">{"'Sheet1'!$L$16"}</definedName>
    <definedName name="__hu1" localSheetId="8" hidden="1">{"'Sheet1'!$L$16"}</definedName>
    <definedName name="__hu1" hidden="1">{"'Sheet1'!$L$16"}</definedName>
    <definedName name="__hu2" localSheetId="8" hidden="1">{"'Sheet1'!$L$16"}</definedName>
    <definedName name="__hu2" hidden="1">{"'Sheet1'!$L$16"}</definedName>
    <definedName name="__hu5" localSheetId="8" hidden="1">{"'Sheet1'!$L$16"}</definedName>
    <definedName name="__hu5" hidden="1">{"'Sheet1'!$L$16"}</definedName>
    <definedName name="__hu6" localSheetId="8" hidden="1">{"'Sheet1'!$L$16"}</definedName>
    <definedName name="__hu6" hidden="1">{"'Sheet1'!$L$16"}</definedName>
    <definedName name="_1_0ten_" hidden="1">#REF!</definedName>
    <definedName name="_2_0xoa_" hidden="1">#REF!</definedName>
    <definedName name="_a1" localSheetId="1" hidden="1">{"'Sheet1'!$L$16"}</definedName>
    <definedName name="_a1" hidden="1">{"'Sheet1'!$L$16"}</definedName>
    <definedName name="_a129" localSheetId="1" hidden="1">{"Offgrid",#N/A,FALSE,"OFFGRID";"Region",#N/A,FALSE,"REGION";"Offgrid -2",#N/A,FALSE,"OFFGRID";"WTP",#N/A,FALSE,"WTP";"WTP -2",#N/A,FALSE,"WTP";"Project",#N/A,FALSE,"PROJECT";"Summary -2",#N/A,FALSE,"SUMMARY"}</definedName>
    <definedName name="_a129" localSheetId="8" hidden="1">{"Offgrid",#N/A,FALSE,"OFFGRID";"Region",#N/A,FALSE,"REGION";"Offgrid -2",#N/A,FALSE,"OFFGRID";"WTP",#N/A,FALSE,"WTP";"WTP -2",#N/A,FALSE,"WTP";"Project",#N/A,FALSE,"PROJECT";"Summary -2",#N/A,FALSE,"SUMMARY"}</definedName>
    <definedName name="_a129" hidden="1">{"Offgrid",#N/A,FALSE,"OFFGRID";"Region",#N/A,FALSE,"REGION";"Offgrid -2",#N/A,FALSE,"OFFGRID";"WTP",#N/A,FALSE,"WTP";"WTP -2",#N/A,FALSE,"WTP";"Project",#N/A,FALSE,"PROJECT";"Summary -2",#N/A,FALSE,"SUMMARY"}</definedName>
    <definedName name="_a130" localSheetId="1" hidden="1">{"Offgrid",#N/A,FALSE,"OFFGRID";"Region",#N/A,FALSE,"REGION";"Offgrid -2",#N/A,FALSE,"OFFGRID";"WTP",#N/A,FALSE,"WTP";"WTP -2",#N/A,FALSE,"WTP";"Project",#N/A,FALSE,"PROJECT";"Summary -2",#N/A,FALSE,"SUMMARY"}</definedName>
    <definedName name="_a130" localSheetId="8"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a2" hidden="1">{"'Sheet1'!$L$16"}</definedName>
    <definedName name="_Fill" localSheetId="9" hidden="1">#REF!</definedName>
    <definedName name="_Fill" localSheetId="1" hidden="1">#REF!</definedName>
    <definedName name="_Fill" localSheetId="4" hidden="1">#REF!</definedName>
    <definedName name="_Fill" localSheetId="6" hidden="1">#REF!</definedName>
    <definedName name="_Fill" localSheetId="5" hidden="1">#REF!</definedName>
    <definedName name="_Fill" localSheetId="3" hidden="1">#REF!</definedName>
    <definedName name="_Fill" localSheetId="7" hidden="1">#REF!</definedName>
    <definedName name="_Fill" localSheetId="2" hidden="1">#REF!</definedName>
    <definedName name="_Fill" localSheetId="8" hidden="1">#REF!</definedName>
    <definedName name="_Fill" hidden="1">#REF!</definedName>
    <definedName name="_xlnm._FilterDatabase" localSheetId="14" hidden="1">'10.PLV'!$A$6:$L$158</definedName>
    <definedName name="_xlnm._FilterDatabase" localSheetId="12" hidden="1">'11.gia '!$A$9:$P$282</definedName>
    <definedName name="_xlnm._FilterDatabase" localSheetId="13" hidden="1">'13.vanchuyen'!$A$1:$AJ$103</definedName>
    <definedName name="_xlnm._FilterDatabase" localSheetId="11" hidden="1">'8.Dgia'!$A$9:$DB$3434</definedName>
    <definedName name="_xlnm._FilterDatabase" localSheetId="9" hidden="1">'9.may'!$B$18:$AE$1039</definedName>
    <definedName name="_xlnm._FilterDatabase" localSheetId="1" hidden="1">'BieuGia ĐX'!$A$5:$D$9</definedName>
    <definedName name="_xlnm._FilterDatabase" localSheetId="19" hidden="1">'Cong bo gia'!$A$12:$F$1601</definedName>
    <definedName name="_xlnm._FilterDatabase" localSheetId="4" hidden="1">'DGCT Cau'!$E$1:$F$3411</definedName>
    <definedName name="_xlnm._FilterDatabase" localSheetId="6" hidden="1">'DGCT CS'!$B$6:$H$184</definedName>
    <definedName name="_xlnm._FilterDatabase" localSheetId="5" hidden="1">'DGCT Duong'!$B$6:$BY$1577</definedName>
    <definedName name="_xlnm._FilterDatabase" localSheetId="3" hidden="1">DGTH!$A$6:$L$145</definedName>
    <definedName name="_xlnm._FilterDatabase" localSheetId="0" hidden="1">DICH!$B$1:$C$1</definedName>
    <definedName name="_xlnm._FilterDatabase" localSheetId="7" hidden="1">GVL!$A$7:$I$7</definedName>
    <definedName name="_xlnm._FilterDatabase" localSheetId="2" hidden="1">GiaDuThau!$A$5:$F$266</definedName>
    <definedName name="_xlnm._FilterDatabase" localSheetId="8" hidden="1">NC!$26:$124</definedName>
    <definedName name="_Goi8" localSheetId="1" hidden="1">{"'Sheet1'!$L$16"}</definedName>
    <definedName name="_Goi8" localSheetId="8" hidden="1">{"'Sheet1'!$L$16"}</definedName>
    <definedName name="_Goi8" hidden="1">{"'Sheet1'!$L$16"}</definedName>
    <definedName name="_h1" localSheetId="8" hidden="1">{"'Sheet1'!$L$16"}</definedName>
    <definedName name="_h1" hidden="1">{"'Sheet1'!$L$16"}</definedName>
    <definedName name="_hu1" localSheetId="8" hidden="1">{"'Sheet1'!$L$16"}</definedName>
    <definedName name="_hu1" hidden="1">{"'Sheet1'!$L$16"}</definedName>
    <definedName name="_hu2" localSheetId="8" hidden="1">{"'Sheet1'!$L$16"}</definedName>
    <definedName name="_hu2" hidden="1">{"'Sheet1'!$L$16"}</definedName>
    <definedName name="_hu5" localSheetId="8" hidden="1">{"'Sheet1'!$L$16"}</definedName>
    <definedName name="_hu5" hidden="1">{"'Sheet1'!$L$16"}</definedName>
    <definedName name="_hu6" localSheetId="8" hidden="1">{"'Sheet1'!$L$16"}</definedName>
    <definedName name="_hu6" hidden="1">{"'Sheet1'!$L$16"}</definedName>
    <definedName name="_K146" hidden="1">{"'Sheet1'!$L$16"}</definedName>
    <definedName name="_Key1" localSheetId="11" hidden="1">#REF!</definedName>
    <definedName name="_Key1" localSheetId="9" hidden="1">#REF!</definedName>
    <definedName name="_Key1" localSheetId="1" hidden="1">#REF!</definedName>
    <definedName name="_Key1" localSheetId="4" hidden="1">#REF!</definedName>
    <definedName name="_Key1" localSheetId="6" hidden="1">#REF!</definedName>
    <definedName name="_Key1" localSheetId="5" hidden="1">#REF!</definedName>
    <definedName name="_Key1" localSheetId="3" hidden="1">#REF!</definedName>
    <definedName name="_Key1" localSheetId="7" hidden="1">#REF!</definedName>
    <definedName name="_Key1" localSheetId="2" hidden="1">#REF!</definedName>
    <definedName name="_Key1" hidden="1">#REF!</definedName>
    <definedName name="_Key2" localSheetId="11" hidden="1">#REF!</definedName>
    <definedName name="_Key2" localSheetId="9" hidden="1">#REF!</definedName>
    <definedName name="_Key2" localSheetId="1" hidden="1">#REF!</definedName>
    <definedName name="_Key2" localSheetId="4" hidden="1">#REF!</definedName>
    <definedName name="_Key2" localSheetId="6" hidden="1">#REF!</definedName>
    <definedName name="_Key2" localSheetId="5" hidden="1">#REF!</definedName>
    <definedName name="_Key2" localSheetId="3" hidden="1">#REF!</definedName>
    <definedName name="_Key2" localSheetId="7" hidden="1">#REF!</definedName>
    <definedName name="_Key2" localSheetId="2" hidden="1">#REF!</definedName>
    <definedName name="_Key2" hidden="1">#REF!</definedName>
    <definedName name="_Lan1" hidden="1">{"'Sheet1'!$L$16"}</definedName>
    <definedName name="_LAN3" hidden="1">{"'Sheet1'!$L$16"}</definedName>
    <definedName name="_NK5" hidden="1">{"'Sheet1'!$L$16"}</definedName>
    <definedName name="_Order1" hidden="1">255</definedName>
    <definedName name="_Order2" hidden="1">255</definedName>
    <definedName name="_PA3" hidden="1">{"'Sheet1'!$L$16"}</definedName>
    <definedName name="_SCL4" localSheetId="8" hidden="1">{"'Sheet1'!$L$16"}</definedName>
    <definedName name="_SCL4" hidden="1">{"'Sheet1'!$L$16"}</definedName>
    <definedName name="_Sort" localSheetId="11" hidden="1">#REF!</definedName>
    <definedName name="_Sort" localSheetId="9" hidden="1">#REF!</definedName>
    <definedName name="_Sort" localSheetId="1" hidden="1">#REF!</definedName>
    <definedName name="_Sort" localSheetId="4" hidden="1">#REF!</definedName>
    <definedName name="_Sort" localSheetId="6" hidden="1">#REF!</definedName>
    <definedName name="_Sort" localSheetId="5" hidden="1">#REF!</definedName>
    <definedName name="_Sort" localSheetId="3" hidden="1">#REF!</definedName>
    <definedName name="_Sort" localSheetId="7" hidden="1">#REF!</definedName>
    <definedName name="_Sort" localSheetId="2" hidden="1">#REF!</definedName>
    <definedName name="_Sort" localSheetId="8" hidden="1">#REF!</definedName>
    <definedName name="_Sort" hidden="1">#REF!</definedName>
    <definedName name="_tt3" hidden="1">{"'Sheet1'!$L$16"}</definedName>
    <definedName name="_VLP2" hidden="1">{"'Sheet1'!$L$16"}</definedName>
    <definedName name="Ac">[1]Sheet1!$B$117</definedName>
    <definedName name="anscount" hidden="1">13</definedName>
    <definedName name="AS2DocOpenMode" hidden="1">"AS2DocumentEdit"</definedName>
    <definedName name="At">[1]Sheet1!$B$119</definedName>
    <definedName name="Aw">[1]Sheet1!$B$118</definedName>
    <definedName name="BEN" localSheetId="13">'13.vanchuyen'!$AG$12</definedName>
    <definedName name="beta">20</definedName>
    <definedName name="bhfh" hidden="1">{"'Sheet1'!$L$16"}</definedName>
    <definedName name="Bien" hidden="1">#REF!</definedName>
    <definedName name="Bien1" hidden="1">#REF!</definedName>
    <definedName name="btl" hidden="1">{"'Sheet1'!$L$16"}</definedName>
    <definedName name="BX">'14.boc xep'!$M$11</definedName>
    <definedName name="CC">begin!$G$10</definedName>
    <definedName name="ccc" hidden="1">{"'Sheet1'!$L$16"}</definedName>
    <definedName name="CD" localSheetId="13">'13.vanchuyen'!$AH$12</definedName>
    <definedName name="Code" localSheetId="4" hidden="1">#REF!</definedName>
    <definedName name="Code" localSheetId="6" hidden="1">#REF!</definedName>
    <definedName name="Code" localSheetId="5" hidden="1">#REF!</definedName>
    <definedName name="Code" localSheetId="3" hidden="1">#REF!</definedName>
    <definedName name="Code" localSheetId="7" hidden="1">#REF!</definedName>
    <definedName name="Code" localSheetId="2" hidden="1">#REF!</definedName>
    <definedName name="Code" hidden="1">#REF!</definedName>
    <definedName name="CTCT1" localSheetId="1" hidden="1">{"'Sheet1'!$L$16"}</definedName>
    <definedName name="CTCT1" localSheetId="8" hidden="1">{"'Sheet1'!$L$16"}</definedName>
    <definedName name="CTCT1" hidden="1">{"'Sheet1'!$L$16"}</definedName>
    <definedName name="ctieu" hidden="1">{"'Sheet1'!$L$16"}</definedName>
    <definedName name="CurDate" hidden="1">#REF!</definedName>
    <definedName name="CVT">CVT!$B$4:$F$45</definedName>
    <definedName name="Chdate" hidden="1">#REF!</definedName>
    <definedName name="chien" localSheetId="8" hidden="1">{"'Sheet1'!$L$16"}</definedName>
    <definedName name="chien" hidden="1">{"'Sheet1'!$L$16"}</definedName>
    <definedName name="chien1" localSheetId="8" hidden="1">{"'Sheet1'!$L$16"}</definedName>
    <definedName name="chien1" hidden="1">{"'Sheet1'!$L$16"}</definedName>
    <definedName name="chl" hidden="1">{"'Sheet1'!$L$16"}</definedName>
    <definedName name="chuyen" hidden="1">{"'Sheet1'!$L$16"}</definedName>
    <definedName name="d" hidden="1">#REF!</definedName>
    <definedName name="daøy" hidden="1">#REF!</definedName>
    <definedName name="data1" localSheetId="1" hidden="1">#REF!</definedName>
    <definedName name="data1" localSheetId="4" hidden="1">#REF!</definedName>
    <definedName name="data1" localSheetId="6" hidden="1">#REF!</definedName>
    <definedName name="data1" localSheetId="5" hidden="1">#REF!</definedName>
    <definedName name="data1" localSheetId="3" hidden="1">#REF!</definedName>
    <definedName name="data1" localSheetId="7" hidden="1">#REF!</definedName>
    <definedName name="data1" localSheetId="2" hidden="1">#REF!</definedName>
    <definedName name="data1" hidden="1">#REF!</definedName>
    <definedName name="data2" hidden="1">#REF!</definedName>
    <definedName name="data3" localSheetId="1" hidden="1">#REF!</definedName>
    <definedName name="data3" localSheetId="4" hidden="1">#REF!</definedName>
    <definedName name="data3" localSheetId="6" hidden="1">#REF!</definedName>
    <definedName name="data3" localSheetId="5" hidden="1">#REF!</definedName>
    <definedName name="data3" localSheetId="3" hidden="1">#REF!</definedName>
    <definedName name="data3" localSheetId="7" hidden="1">#REF!</definedName>
    <definedName name="data3" localSheetId="2" hidden="1">#REF!</definedName>
    <definedName name="data3" hidden="1">#REF!</definedName>
    <definedName name="Db">[1]Sheet1!$H$94</definedName>
    <definedName name="DDDD" localSheetId="8" hidden="1">{"'Sheet1'!$L$16"}</definedName>
    <definedName name="DDDD" hidden="1">{"'Sheet1'!$L$16"}</definedName>
    <definedName name="del_tab" hidden="1">[2]Control!#REF!</definedName>
    <definedName name="delcode" hidden="1">[2]Control!#REF!</definedName>
    <definedName name="Discount" localSheetId="1" hidden="1">#REF!</definedName>
    <definedName name="Discount" localSheetId="4" hidden="1">#REF!</definedName>
    <definedName name="Discount" localSheetId="6" hidden="1">#REF!</definedName>
    <definedName name="Discount" localSheetId="5" hidden="1">#REF!</definedName>
    <definedName name="Discount" localSheetId="3" hidden="1">#REF!</definedName>
    <definedName name="Discount" localSheetId="7" hidden="1">#REF!</definedName>
    <definedName name="Discount" localSheetId="2" hidden="1">#REF!</definedName>
    <definedName name="Discount" hidden="1">#REF!</definedName>
    <definedName name="display_area_2" localSheetId="1" hidden="1">#REF!</definedName>
    <definedName name="display_area_2" localSheetId="4" hidden="1">#REF!</definedName>
    <definedName name="display_area_2" localSheetId="6" hidden="1">#REF!</definedName>
    <definedName name="display_area_2" localSheetId="5" hidden="1">#REF!</definedName>
    <definedName name="display_area_2" localSheetId="3" hidden="1">#REF!</definedName>
    <definedName name="display_area_2" localSheetId="7" hidden="1">#REF!</definedName>
    <definedName name="display_area_2" localSheetId="2" hidden="1">#REF!</definedName>
    <definedName name="display_area_2" hidden="1">#REF!</definedName>
    <definedName name="dsd" localSheetId="4" hidden="1">#REF!</definedName>
    <definedName name="dsd" localSheetId="6" hidden="1">#REF!</definedName>
    <definedName name="dsd" localSheetId="5" hidden="1">#REF!</definedName>
    <definedName name="dsd" localSheetId="3" hidden="1">#REF!</definedName>
    <definedName name="dsd" localSheetId="7" hidden="1">#REF!</definedName>
    <definedName name="dsd" localSheetId="2" hidden="1">#REF!</definedName>
    <definedName name="dsd" hidden="1">#REF!</definedName>
    <definedName name="FCode" localSheetId="1" hidden="1">#REF!</definedName>
    <definedName name="FCode" localSheetId="4" hidden="1">#REF!</definedName>
    <definedName name="FCode" localSheetId="6" hidden="1">#REF!</definedName>
    <definedName name="FCode" localSheetId="5" hidden="1">#REF!</definedName>
    <definedName name="FCode" localSheetId="3" hidden="1">#REF!</definedName>
    <definedName name="FCode" localSheetId="7" hidden="1">#REF!</definedName>
    <definedName name="FCode" localSheetId="2" hidden="1">#REF!</definedName>
    <definedName name="FCode" hidden="1">#REF!</definedName>
    <definedName name="fdhfg" localSheetId="8" hidden="1">{0}</definedName>
    <definedName name="fdhfg" hidden="1">{0}</definedName>
    <definedName name="fff" localSheetId="8" hidden="1">{"'Sheet1'!$L$16"}</definedName>
    <definedName name="fff" hidden="1">{"'Sheet1'!$L$16"}</definedName>
    <definedName name="fsdfdsf" hidden="1">{"'Sheet1'!$L$16"}</definedName>
    <definedName name="Fy">[1]Sheet1!$H$48</definedName>
    <definedName name="ggg" hidden="1">{"'Sheet1'!$L$16"}</definedName>
    <definedName name="gjhlk" localSheetId="8" hidden="1">{0}</definedName>
    <definedName name="gjhlk" hidden="1">{0}</definedName>
    <definedName name="h" localSheetId="13" hidden="1">{"'Sheet1'!$L$16"}</definedName>
    <definedName name="h" localSheetId="11" hidden="1">{"'Sheet1'!$L$16"}</definedName>
    <definedName name="h" localSheetId="9" hidden="1">{"'Sheet1'!$L$16"}</definedName>
    <definedName name="h" localSheetId="4" hidden="1">{"'Sheet1'!$L$16"}</definedName>
    <definedName name="h" localSheetId="6" hidden="1">{"'Sheet1'!$L$16"}</definedName>
    <definedName name="h" localSheetId="5" hidden="1">{"'Sheet1'!$L$16"}</definedName>
    <definedName name="h" localSheetId="8" hidden="1">{"'Sheet1'!$L$16"}</definedName>
    <definedName name="h" hidden="1">{"'Sheet1'!$L$16"}</definedName>
    <definedName name="HCNA" hidden="1">{"'Sheet1'!$L$16"}</definedName>
    <definedName name="HHH" localSheetId="8" hidden="1">{"'Sheet1'!$L$16"}</definedName>
    <definedName name="HHH" hidden="1">{"'Sheet1'!$L$16"}</definedName>
    <definedName name="HiddenRows" localSheetId="1" hidden="1">#REF!</definedName>
    <definedName name="HiddenRows" localSheetId="4" hidden="1">#REF!</definedName>
    <definedName name="HiddenRows" localSheetId="6" hidden="1">#REF!</definedName>
    <definedName name="HiddenRows" localSheetId="5" hidden="1">#REF!</definedName>
    <definedName name="HiddenRows" localSheetId="3" hidden="1">#REF!</definedName>
    <definedName name="HiddenRows" localSheetId="7" hidden="1">#REF!</definedName>
    <definedName name="HiddenRows" localSheetId="2" hidden="1">#REF!</definedName>
    <definedName name="HiddenRows" hidden="1">#REF!</definedName>
    <definedName name="HSNC">begin!$G$14</definedName>
    <definedName name="htlm" hidden="1">{"'Sheet1'!$L$16"}</definedName>
    <definedName name="HTML_CodePage" hidden="1">950</definedName>
    <definedName name="HTML_Control" localSheetId="13" hidden="1">{"'Sheet1'!$L$16"}</definedName>
    <definedName name="HTML_Control" localSheetId="11" hidden="1">{"'Sheet1'!$L$16"}</definedName>
    <definedName name="HTML_Control" localSheetId="9" hidden="1">{"'Sheet1'!$L$16"}</definedName>
    <definedName name="HTML_Control" localSheetId="1" hidden="1">{"'Sheet1'!$L$16"}</definedName>
    <definedName name="HTML_Control" localSheetId="4" hidden="1">{"'Sheet1'!$L$16"}</definedName>
    <definedName name="HTML_Control" localSheetId="6" hidden="1">{"'Sheet1'!$L$16"}</definedName>
    <definedName name="HTML_Control" localSheetId="5" hidden="1">{"'Sheet1'!$L$16"}</definedName>
    <definedName name="HTML_Control" localSheetId="8" hidden="1">{"'Sheet1'!$L$16"}</definedName>
    <definedName name="HTML_Control" hidden="1">{"'Sheet1'!$L$16"}</definedName>
    <definedName name="HTML_Control_1"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localSheetId="1" hidden="1">"C:\2689\Q\??\00q3961????PTA3??\MyHTML.htm"</definedName>
    <definedName name="HTML_PathFile" hidden="1">"C:\2689\Q\國內\00q3961台化龍德PTA3建造\MyHTML.htm"</definedName>
    <definedName name="HTML_Title" hidden="1">"00Q3961-SUM"</definedName>
    <definedName name="hu" localSheetId="8" hidden="1">{"'Sheet1'!$L$16"}</definedName>
    <definedName name="hu" hidden="1">{"'Sheet1'!$L$16"}</definedName>
    <definedName name="huy" localSheetId="13" hidden="1">{"'Sheet1'!$L$16"}</definedName>
    <definedName name="huy" localSheetId="11" hidden="1">{"'Sheet1'!$L$16"}</definedName>
    <definedName name="huy" localSheetId="9" hidden="1">{"'Sheet1'!$L$16"}</definedName>
    <definedName name="huy" localSheetId="1" hidden="1">{"'Sheet1'!$L$16"}</definedName>
    <definedName name="huy" localSheetId="4" hidden="1">{"'Sheet1'!$L$16"}</definedName>
    <definedName name="huy" localSheetId="6" hidden="1">{"'Sheet1'!$L$16"}</definedName>
    <definedName name="huy" localSheetId="5" hidden="1">{"'Sheet1'!$L$16"}</definedName>
    <definedName name="huy" localSheetId="8" hidden="1">{"'Sheet1'!$L$16"}</definedName>
    <definedName name="huy" hidden="1">{"'Sheet1'!$L$16"}</definedName>
    <definedName name="huy_1" hidden="1">{"'Sheet1'!$L$16"}</definedName>
    <definedName name="k" localSheetId="9" hidden="1">{"Offgrid",#N/A,FALSE,"OFFGRID";"Region",#N/A,FALSE,"REGION";"Offgrid -2",#N/A,FALSE,"OFFGRID";"WTP",#N/A,FALSE,"WTP";"WTP -2",#N/A,FALSE,"WTP";"Project",#N/A,FALSE,"PROJECT";"Summary -2",#N/A,FALSE,"SUMMARY"}</definedName>
    <definedName name="k" hidden="1">{"Offgrid",#N/A,FALSE,"OFFGRID";"Region",#N/A,FALSE,"REGION";"Offgrid -2",#N/A,FALSE,"OFFGRID";"WTP",#N/A,FALSE,"WTP";"WTP -2",#N/A,FALSE,"WTP";"Project",#N/A,FALSE,"PROJECT";"Summary -2",#N/A,FALSE,"SUMMARY"}</definedName>
    <definedName name="ka">2</definedName>
    <definedName name="kg_m2" hidden="1">#REF!</definedName>
    <definedName name="KM">CVT!$A$4:$A$45</definedName>
    <definedName name="KP_DBGT_Dang" hidden="1">{"'Sheet1'!$L$16"}</definedName>
    <definedName name="KSDA" hidden="1">{"'Sheet1'!$L$16"}</definedName>
    <definedName name="l">[1]Sheet1!$J$30</definedName>
    <definedName name="lan" hidden="1">{#N/A,#N/A,TRUE,"BT M200 da 10x20"}</definedName>
    <definedName name="limcount" hidden="1">13</definedName>
    <definedName name="LT">begin!$G$12</definedName>
    <definedName name="M">begin!$G$8</definedName>
    <definedName name="mo" hidden="1">{"'Sheet1'!$L$16"}</definedName>
    <definedName name="nam" hidden="1">{"'Sheet1'!$L$16"}</definedName>
    <definedName name="name_gia" hidden="1">[2]Control!#REF!</definedName>
    <definedName name="NCC">begin!$G$7</definedName>
    <definedName name="NCT">begin!$G$6</definedName>
    <definedName name="Ne" hidden="1">{"'Sheet1'!$L$16"}</definedName>
    <definedName name="nn">[3]Sum!$L$5</definedName>
    <definedName name="nnn" hidden="1">{"'Sheet1'!$L$16"}</definedName>
    <definedName name="ngu" hidden="1">{"'Sheet1'!$L$16"}</definedName>
    <definedName name="OrderTable" localSheetId="1" hidden="1">#REF!</definedName>
    <definedName name="OrderTable" localSheetId="4" hidden="1">#REF!</definedName>
    <definedName name="OrderTable" localSheetId="6" hidden="1">#REF!</definedName>
    <definedName name="OrderTable" localSheetId="5" hidden="1">#REF!</definedName>
    <definedName name="OrderTable" localSheetId="3" hidden="1">#REF!</definedName>
    <definedName name="OrderTable" localSheetId="7" hidden="1">#REF!</definedName>
    <definedName name="OrderTable" localSheetId="2" hidden="1">#REF!</definedName>
    <definedName name="OrderTable" hidden="1">#REF!</definedName>
    <definedName name="Pc">[1]Sheet1!$G$343</definedName>
    <definedName name="PlucBcaoTD" hidden="1">{"'Sheet1'!$L$16"}</definedName>
    <definedName name="_xlnm.Print_Area" localSheetId="12">'11.gia '!$A$1:$M$282</definedName>
    <definedName name="_xlnm.Print_Area" localSheetId="15">'12.ssg'!$A$1:$L$31</definedName>
    <definedName name="_xlnm.Print_Area" localSheetId="17">'14.boc xep'!$A$1:$M$20</definedName>
    <definedName name="_xlnm.Print_Area" localSheetId="10">'16.NC'!$A$1:$I$39</definedName>
    <definedName name="_xlnm.Print_Area" localSheetId="9">'9.may'!$B$1:$P$1045</definedName>
    <definedName name="_xlnm.Print_Area" localSheetId="1">'BieuGia ĐX'!$A$1:$D$27</definedName>
    <definedName name="_xlnm.Print_Area" localSheetId="19">'Cong bo gia'!$A$1:$F$1619</definedName>
    <definedName name="_xlnm.Print_Area" localSheetId="20">DamBaoGTB!$A$1:$P$40</definedName>
    <definedName name="_xlnm.Print_Area" localSheetId="4">'DGCT Cau'!$B$1:$I$3412</definedName>
    <definedName name="_xlnm.Print_Area" localSheetId="6">'DGCT CS'!$B$1:$H$185</definedName>
    <definedName name="_xlnm.Print_Area" localSheetId="5">'DGCT Duong'!$B$1:$I$1491</definedName>
    <definedName name="_xlnm.Print_Area" localSheetId="3">DGTH!$B$1:$L$404</definedName>
    <definedName name="_xlnm.Print_Area" localSheetId="7">GVL!$A$1:$I$208</definedName>
    <definedName name="_xlnm.Print_Area" localSheetId="2">GiaDuThau!$A$1:$F$266</definedName>
    <definedName name="_xlnm.Print_Area" localSheetId="8">NC!$A$1:$N$115</definedName>
    <definedName name="_xlnm.Print_Area" localSheetId="16">ssgda!$A$1:$P$12</definedName>
    <definedName name="_xlnm.Print_Titles" localSheetId="12">'11.gia '!$1:$8</definedName>
    <definedName name="_xlnm.Print_Titles" localSheetId="9">'9.may'!$16:$18</definedName>
    <definedName name="_xlnm.Print_Titles" localSheetId="1">'BieuGia ĐX'!$5:$5</definedName>
    <definedName name="_xlnm.Print_Titles" localSheetId="4">'DGCT Cau'!$5:$6</definedName>
    <definedName name="_xlnm.Print_Titles" localSheetId="6">'DGCT CS'!$5:$6</definedName>
    <definedName name="_xlnm.Print_Titles" localSheetId="5">'DGCT Duong'!$5:$6</definedName>
    <definedName name="_xlnm.Print_Titles" localSheetId="3">DGTH!$5:$5</definedName>
    <definedName name="_xlnm.Print_Titles" localSheetId="7">GVL!$6:$6</definedName>
    <definedName name="_xlnm.Print_Titles" localSheetId="2">GiaDuThau!$5:$5</definedName>
    <definedName name="ProdForm" localSheetId="1" hidden="1">#REF!</definedName>
    <definedName name="ProdForm" localSheetId="4" hidden="1">#REF!</definedName>
    <definedName name="ProdForm" localSheetId="6" hidden="1">#REF!</definedName>
    <definedName name="ProdForm" localSheetId="5" hidden="1">#REF!</definedName>
    <definedName name="ProdForm" localSheetId="3" hidden="1">#REF!</definedName>
    <definedName name="ProdForm" localSheetId="7" hidden="1">#REF!</definedName>
    <definedName name="ProdForm" localSheetId="2" hidden="1">#REF!</definedName>
    <definedName name="ProdForm" hidden="1">#REF!</definedName>
    <definedName name="Product" localSheetId="1" hidden="1">#REF!</definedName>
    <definedName name="Product" localSheetId="4" hidden="1">#REF!</definedName>
    <definedName name="Product" localSheetId="6" hidden="1">#REF!</definedName>
    <definedName name="Product" localSheetId="5" hidden="1">#REF!</definedName>
    <definedName name="Product" localSheetId="3" hidden="1">#REF!</definedName>
    <definedName name="Product" localSheetId="7" hidden="1">#REF!</definedName>
    <definedName name="Product" localSheetId="2" hidden="1">#REF!</definedName>
    <definedName name="Product" hidden="1">#REF!</definedName>
    <definedName name="Pt">[1]Sheet1!$G$345</definedName>
    <definedName name="Pw">[1]Sheet1!$G$341</definedName>
    <definedName name="RCArea" localSheetId="1" hidden="1">#REF!</definedName>
    <definedName name="RCArea" localSheetId="4" hidden="1">#REF!</definedName>
    <definedName name="RCArea" localSheetId="6" hidden="1">#REF!</definedName>
    <definedName name="RCArea" localSheetId="5" hidden="1">#REF!</definedName>
    <definedName name="RCArea" localSheetId="3" hidden="1">#REF!</definedName>
    <definedName name="RCArea" localSheetId="7" hidden="1">#REF!</definedName>
    <definedName name="RCArea" localSheetId="2" hidden="1">#REF!</definedName>
    <definedName name="RCArea" hidden="1">#REF!</definedName>
    <definedName name="sdfsa" hidden="1">#REF!</definedName>
    <definedName name="sds" hidden="1">{"'Sheet1'!$L$16"}</definedName>
    <definedName name="sencount" hidden="1">13</definedName>
    <definedName name="sfsd" hidden="1">{"'Sheet1'!$L$16"}</definedName>
    <definedName name="Sheûet" hidden="1">{"'Sheet1'!$L$16"}</definedName>
    <definedName name="Sheûet_1" hidden="1">{"'Sheet1'!$L$16"}</definedName>
    <definedName name="SpecialPrice" localSheetId="1" hidden="1">#REF!</definedName>
    <definedName name="SpecialPrice" localSheetId="4" hidden="1">#REF!</definedName>
    <definedName name="SpecialPrice" localSheetId="6" hidden="1">#REF!</definedName>
    <definedName name="SpecialPrice" localSheetId="5" hidden="1">#REF!</definedName>
    <definedName name="SpecialPrice" localSheetId="3" hidden="1">#REF!</definedName>
    <definedName name="SpecialPrice" localSheetId="7" hidden="1">#REF!</definedName>
    <definedName name="SpecialPrice" localSheetId="2" hidden="1">#REF!</definedName>
    <definedName name="SpecialPrice" hidden="1">#REF!</definedName>
    <definedName name="T.3" hidden="1">{"'Sheet1'!$L$16"}</definedName>
    <definedName name="Tang" localSheetId="8" hidden="1">{"'Sheet1'!$L$16"}</definedName>
    <definedName name="Tang" hidden="1">{"'Sheet1'!$L$16"}</definedName>
    <definedName name="tbl_ProdInfo" localSheetId="1" hidden="1">#REF!</definedName>
    <definedName name="tbl_ProdInfo" localSheetId="4" hidden="1">#REF!</definedName>
    <definedName name="tbl_ProdInfo" localSheetId="6" hidden="1">#REF!</definedName>
    <definedName name="tbl_ProdInfo" localSheetId="5" hidden="1">#REF!</definedName>
    <definedName name="tbl_ProdInfo" localSheetId="3" hidden="1">#REF!</definedName>
    <definedName name="tbl_ProdInfo" localSheetId="7" hidden="1">#REF!</definedName>
    <definedName name="tbl_ProdInfo" localSheetId="2" hidden="1">#REF!</definedName>
    <definedName name="tbl_ProdInfo" hidden="1">#REF!</definedName>
    <definedName name="tc">[1]Sheet1!$H$91</definedName>
    <definedName name="ten_tab" hidden="1">[2]Control!#REF!</definedName>
    <definedName name="TL">begin!$G$11</definedName>
    <definedName name="tong2" localSheetId="8" hidden="1">{"'Sheet1'!$L$16"}</definedName>
    <definedName name="tong2" hidden="1">{"'Sheet1'!$L$16"}</definedName>
    <definedName name="Total.Quantity">'[3]24.Quantity'!$B$1:$J$65536</definedName>
    <definedName name="Tt" localSheetId="1">[1]Sheet1!$H$92</definedName>
    <definedName name="TT">begin!$G$9</definedName>
    <definedName name="ttt" localSheetId="8" hidden="1">{"'Sheet1'!$L$16"}</definedName>
    <definedName name="ttt" hidden="1">{"'Sheet1'!$L$16"}</definedName>
    <definedName name="tuyennhanh" hidden="1">{"'Sheet1'!$L$16"}</definedName>
    <definedName name="tha" hidden="1">{"'Sheet1'!$L$16"}</definedName>
    <definedName name="Thang1" hidden="1">{"'Sheet1'!$L$16"}</definedName>
    <definedName name="THANH" localSheetId="8" hidden="1">{"'Sheet1'!$L$16"}</definedName>
    <definedName name="THANH" hidden="1">{"'Sheet1'!$L$16"}</definedName>
    <definedName name="thu" hidden="1">{"'Sheet1'!$L$16"}</definedName>
    <definedName name="thuy" localSheetId="1" hidden="1">{"'Sheet1'!$L$16"}</definedName>
    <definedName name="thuy" localSheetId="8" hidden="1">{"'Sheet1'!$L$16"}</definedName>
    <definedName name="thuy" hidden="1">{"'Sheet1'!$L$16"}</definedName>
    <definedName name="Tram" localSheetId="13" hidden="1">{"'Sheet1'!$L$16"}</definedName>
    <definedName name="Tram" localSheetId="11" hidden="1">{"'Sheet1'!$L$16"}</definedName>
    <definedName name="Tram" localSheetId="4" hidden="1">{"'Sheet1'!$L$16"}</definedName>
    <definedName name="Tram" localSheetId="6" hidden="1">{"'Sheet1'!$L$16"}</definedName>
    <definedName name="Tram" localSheetId="5" hidden="1">{"'Sheet1'!$L$16"}</definedName>
    <definedName name="Tram" localSheetId="8" hidden="1">{"'Sheet1'!$L$16"}</definedName>
    <definedName name="Tram" hidden="1">{"'Sheet1'!$L$16"}</definedName>
    <definedName name="TREIJ" localSheetId="4" hidden="1">#REF!</definedName>
    <definedName name="TREIJ" localSheetId="6" hidden="1">#REF!</definedName>
    <definedName name="TREIJ" localSheetId="5" hidden="1">#REF!</definedName>
    <definedName name="TREIJ" localSheetId="3" hidden="1">#REF!</definedName>
    <definedName name="TREIJ" localSheetId="7" hidden="1">#REF!</definedName>
    <definedName name="TREIJ" localSheetId="2" hidden="1">#REF!</definedName>
    <definedName name="TREIJ" hidden="1">#REF!</definedName>
    <definedName name="usd" localSheetId="7">GVL!$B$5</definedName>
    <definedName name="usd">'11.gia '!$B$7</definedName>
    <definedName name="VaDate" hidden="1">#REF!</definedName>
    <definedName name="VarDate" hidden="1">#REF!</definedName>
    <definedName name="VAT">begin!$G$13</definedName>
    <definedName name="vc" localSheetId="13">'13.vanchuyen'!$E$90</definedName>
    <definedName name="viet" localSheetId="8" hidden="1">{"'Sheet1'!$L$16"}</definedName>
    <definedName name="viet" hidden="1">{"'Sheet1'!$L$16"}</definedName>
    <definedName name="vlct" hidden="1">{"'Sheet1'!$L$16"}</definedName>
    <definedName name="VLP" hidden="1">{"'Sheet1'!$L$16"}</definedName>
    <definedName name="VTPS_T" hidden="1">[2]THVATTU!#REF!</definedName>
    <definedName name="werar" localSheetId="8" hidden="1">{"'Sheet1'!$L$16"}</definedName>
    <definedName name="werar" hidden="1">{"'Sheet1'!$L$16"}</definedName>
    <definedName name="wrn.aaa" hidden="1">{#N/A,#N/A,FALSE,"Sheet1";#N/A,#N/A,FALSE,"Sheet1";#N/A,#N/A,FALSE,"Sheet1"}</definedName>
    <definedName name="wrn.aaa." hidden="1">{#N/A,#N/A,FALSE,"Sheet1";#N/A,#N/A,FALSE,"Sheet1";#N/A,#N/A,FALSE,"Sheet1"}</definedName>
    <definedName name="wrn.cong." hidden="1">{#N/A,#N/A,FALSE,"Sheet1"}</definedName>
    <definedName name="wrn.chi._.tiÆt." localSheetId="1" hidden="1">{#N/A,#N/A,FALSE,"Chi tiÆt"}</definedName>
    <definedName name="wrn.chi._.tiÆt." localSheetId="8" hidden="1">{#N/A,#N/A,FALSE,"Chi tiÆt"}</definedName>
    <definedName name="wrn.chi._.tiÆt." hidden="1">{#N/A,#N/A,FALSE,"Chi tiÆt"}</definedName>
    <definedName name="wrn.chi._.tiÆt._1" hidden="1">{#N/A,#N/A,FALSE,"Chi tiÆt"}</definedName>
    <definedName name="wrn.Report." localSheetId="1" hidden="1">{"Offgrid",#N/A,FALSE,"OFFGRID";"Region",#N/A,FALSE,"REGION";"Offgrid -2",#N/A,FALSE,"OFFGRID";"WTP",#N/A,FALSE,"WTP";"WTP -2",#N/A,FALSE,"WTP";"Project",#N/A,FALSE,"PROJECT";"Summary -2",#N/A,FALSE,"SUMMARY"}</definedName>
    <definedName name="wrn.Report." localSheetId="8"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vd." hidden="1">{#N/A,#N/A,TRUE,"BT M200 da 10x20"}</definedName>
    <definedName name="wrnf.report" localSheetId="1" hidden="1">{"Offgrid",#N/A,FALSE,"OFFGRID";"Region",#N/A,FALSE,"REGION";"Offgrid -2",#N/A,FALSE,"OFFGRID";"WTP",#N/A,FALSE,"WTP";"WTP -2",#N/A,FALSE,"WTP";"Project",#N/A,FALSE,"PROJECT";"Summary -2",#N/A,FALSE,"SUMMARY"}</definedName>
    <definedName name="wrnf.report" localSheetId="8" hidden="1">{"Offgrid",#N/A,FALSE,"OFFGRID";"Region",#N/A,FALSE,"REGION";"Offgrid -2",#N/A,FALSE,"OFFGRID";"WTP",#N/A,FALSE,"WTP";"WTP -2",#N/A,FALSE,"WTP";"Project",#N/A,FALSE,"PROJECT";"Summary -2",#N/A,FALSE,"SUMMARY"}</definedName>
    <definedName name="wrnf.report" hidden="1">{"Offgrid",#N/A,FALSE,"OFFGRID";"Region",#N/A,FALSE,"REGION";"Offgrid -2",#N/A,FALSE,"OFFGRID";"WTP",#N/A,FALSE,"WTP";"WTP -2",#N/A,FALSE,"WTP";"Project",#N/A,FALSE,"PROJECT";"Summary -2",#N/A,FALSE,"SUMMARY"}</definedName>
    <definedName name="xoa_tab" hidden="1">[2]Control!#REF!</definedName>
    <definedName name="xvxcvxc" hidden="1">{"'Sheet1'!$L$16"}</definedName>
    <definedName name="Z_B6D82DE0_6701_11DA_9820_00304F1E4471_.wvu.Cols" hidden="1">#REF!</definedName>
  </definedNames>
  <calcPr calcId="152511"/>
</workbook>
</file>

<file path=xl/calcChain.xml><?xml version="1.0" encoding="utf-8"?>
<calcChain xmlns="http://schemas.openxmlformats.org/spreadsheetml/2006/main">
  <c r="I126" i="102" l="1"/>
  <c r="G239" i="98"/>
  <c r="G240" i="98"/>
  <c r="H252" i="99"/>
  <c r="I252" i="99"/>
  <c r="J252" i="99"/>
  <c r="M252" i="99"/>
  <c r="H253" i="99"/>
  <c r="K253" i="99" s="1"/>
  <c r="L253" i="99" s="1"/>
  <c r="I253" i="99"/>
  <c r="J253" i="99"/>
  <c r="M253" i="99"/>
  <c r="H254" i="99"/>
  <c r="K254" i="99" s="1"/>
  <c r="L254" i="99" s="1"/>
  <c r="I254" i="99"/>
  <c r="J254" i="99"/>
  <c r="M254" i="99"/>
  <c r="H255" i="99"/>
  <c r="I255" i="99"/>
  <c r="M255" i="99"/>
  <c r="H256" i="99"/>
  <c r="K256" i="99" s="1"/>
  <c r="L256" i="99" s="1"/>
  <c r="I256" i="99"/>
  <c r="M256" i="99"/>
  <c r="K258" i="99"/>
  <c r="M258" i="99"/>
  <c r="K259" i="99"/>
  <c r="M259" i="99"/>
  <c r="K260" i="99"/>
  <c r="M260" i="99"/>
  <c r="K261" i="99"/>
  <c r="M261" i="99"/>
  <c r="K262" i="99"/>
  <c r="M262" i="99"/>
  <c r="K5" i="98"/>
  <c r="F55" i="98"/>
  <c r="F206" i="102"/>
  <c r="F188" i="102"/>
  <c r="I188" i="102" s="1"/>
  <c r="F187" i="102"/>
  <c r="F185" i="102"/>
  <c r="F184" i="102"/>
  <c r="F183" i="102"/>
  <c r="I183" i="102" s="1"/>
  <c r="F155" i="102"/>
  <c r="F152" i="102"/>
  <c r="F151" i="102"/>
  <c r="I151" i="102" s="1"/>
  <c r="F148" i="102"/>
  <c r="F147" i="102"/>
  <c r="F146" i="102"/>
  <c r="F145" i="102"/>
  <c r="I145" i="102" s="1"/>
  <c r="F144" i="102"/>
  <c r="G29" i="84"/>
  <c r="F29" i="84"/>
  <c r="E29" i="84"/>
  <c r="G28" i="84"/>
  <c r="F28" i="84"/>
  <c r="E28" i="84"/>
  <c r="G27" i="84"/>
  <c r="F27" i="84"/>
  <c r="E27" i="84"/>
  <c r="G26" i="84"/>
  <c r="F26" i="84"/>
  <c r="E26" i="84"/>
  <c r="G22" i="84"/>
  <c r="G18" i="84"/>
  <c r="F18" i="84"/>
  <c r="E18" i="84"/>
  <c r="G16" i="84"/>
  <c r="F16" i="84"/>
  <c r="E16" i="84"/>
  <c r="G15" i="84"/>
  <c r="F15" i="84"/>
  <c r="E15" i="84"/>
  <c r="G14" i="84"/>
  <c r="F14" i="84"/>
  <c r="E14" i="84"/>
  <c r="G12" i="84"/>
  <c r="F12" i="84"/>
  <c r="E12" i="84"/>
  <c r="G11" i="84"/>
  <c r="F11" i="84"/>
  <c r="E11" i="84"/>
  <c r="G10" i="84"/>
  <c r="F10" i="84"/>
  <c r="E10" i="84"/>
  <c r="G8" i="84"/>
  <c r="E8" i="84"/>
  <c r="F8" i="84"/>
  <c r="F112" i="102"/>
  <c r="I112" i="102" s="1"/>
  <c r="F9" i="84"/>
  <c r="K21" i="84"/>
  <c r="I75" i="102"/>
  <c r="I77" i="102"/>
  <c r="I79" i="102"/>
  <c r="I80" i="102"/>
  <c r="I81" i="102"/>
  <c r="I82" i="102"/>
  <c r="I83" i="102"/>
  <c r="I84" i="102"/>
  <c r="I85" i="102"/>
  <c r="I86" i="102"/>
  <c r="I87" i="102"/>
  <c r="I88" i="102"/>
  <c r="I89" i="102"/>
  <c r="I90" i="102"/>
  <c r="I92" i="102"/>
  <c r="I93" i="102"/>
  <c r="I94" i="102"/>
  <c r="I95" i="102"/>
  <c r="I96" i="102"/>
  <c r="I98" i="102"/>
  <c r="I99" i="102"/>
  <c r="I100" i="102"/>
  <c r="I101" i="102"/>
  <c r="I102" i="102"/>
  <c r="I103" i="102"/>
  <c r="I104" i="102"/>
  <c r="I105" i="102"/>
  <c r="I106" i="102"/>
  <c r="I107" i="102"/>
  <c r="I108" i="102"/>
  <c r="I109" i="102"/>
  <c r="I113" i="102"/>
  <c r="I114" i="102"/>
  <c r="I115" i="102"/>
  <c r="I117" i="102"/>
  <c r="I118" i="102"/>
  <c r="I119" i="102"/>
  <c r="I120" i="102"/>
  <c r="I121" i="102"/>
  <c r="I122" i="102"/>
  <c r="I129" i="102"/>
  <c r="I130" i="102"/>
  <c r="I131" i="102"/>
  <c r="I132" i="102"/>
  <c r="I138" i="102"/>
  <c r="I140" i="102"/>
  <c r="I141" i="102"/>
  <c r="I143" i="102"/>
  <c r="I144" i="102"/>
  <c r="I146" i="102"/>
  <c r="I147" i="102"/>
  <c r="I148" i="102"/>
  <c r="I152" i="102"/>
  <c r="I154" i="102"/>
  <c r="I155" i="102"/>
  <c r="I156" i="102"/>
  <c r="I157" i="102"/>
  <c r="I158" i="102"/>
  <c r="I161" i="102"/>
  <c r="I162" i="102"/>
  <c r="I163" i="102"/>
  <c r="I164" i="102"/>
  <c r="I165" i="102"/>
  <c r="I166" i="102"/>
  <c r="I167" i="102"/>
  <c r="I173" i="102"/>
  <c r="I174" i="102"/>
  <c r="I178" i="102"/>
  <c r="I182" i="102"/>
  <c r="I184" i="102"/>
  <c r="I185" i="102"/>
  <c r="I186" i="102"/>
  <c r="I187" i="102"/>
  <c r="I189" i="102"/>
  <c r="I66" i="102"/>
  <c r="I71" i="102"/>
  <c r="I206" i="102"/>
  <c r="F145" i="12"/>
  <c r="F143" i="12"/>
  <c r="F144" i="12"/>
  <c r="I144" i="12"/>
  <c r="G11" i="66" s="1"/>
  <c r="L258" i="99" l="1"/>
  <c r="L261" i="99"/>
  <c r="L259" i="99"/>
  <c r="K255" i="99"/>
  <c r="L255" i="99" s="1"/>
  <c r="L262" i="99"/>
  <c r="L260" i="99"/>
  <c r="K252" i="99"/>
  <c r="L252" i="99" s="1"/>
  <c r="D25" i="104"/>
  <c r="D23" i="104"/>
  <c r="D22" i="104"/>
  <c r="D21" i="104"/>
  <c r="F20" i="104"/>
  <c r="D19" i="104"/>
  <c r="D16" i="104"/>
  <c r="D15" i="104"/>
  <c r="D14" i="104"/>
  <c r="F13" i="104"/>
  <c r="D12" i="104"/>
  <c r="F9" i="104"/>
  <c r="J42" i="104"/>
  <c r="H1763" i="42" l="1"/>
  <c r="H1750" i="42"/>
  <c r="E215" i="99"/>
  <c r="J142" i="104" l="1"/>
  <c r="J127" i="104"/>
  <c r="F3410" i="98" l="1"/>
  <c r="F3408" i="98"/>
  <c r="F3406" i="98"/>
  <c r="F3403" i="98"/>
  <c r="B399" i="98"/>
  <c r="D399" i="98"/>
  <c r="E399" i="98"/>
  <c r="F399" i="98"/>
  <c r="G399" i="98"/>
  <c r="C400" i="98"/>
  <c r="D400" i="98"/>
  <c r="E400" i="98"/>
  <c r="F400" i="98"/>
  <c r="G400" i="98"/>
  <c r="C401" i="98"/>
  <c r="D401" i="98"/>
  <c r="E401" i="98"/>
  <c r="F401" i="98"/>
  <c r="G401" i="98"/>
  <c r="C402" i="98"/>
  <c r="D402" i="98"/>
  <c r="E402" i="98"/>
  <c r="F402" i="98"/>
  <c r="G402" i="98"/>
  <c r="C403" i="98"/>
  <c r="D403" i="98"/>
  <c r="E403" i="98"/>
  <c r="C404" i="98"/>
  <c r="D404" i="98"/>
  <c r="E404" i="98"/>
  <c r="F404" i="98"/>
  <c r="G404" i="98"/>
  <c r="C405" i="98"/>
  <c r="D405" i="98"/>
  <c r="E405" i="98"/>
  <c r="G405" i="98"/>
  <c r="C406" i="98"/>
  <c r="D406" i="98"/>
  <c r="E406" i="98"/>
  <c r="G406" i="98"/>
  <c r="F407" i="98"/>
  <c r="F410" i="98"/>
  <c r="F412" i="98"/>
  <c r="F414" i="98"/>
  <c r="J43" i="104" l="1"/>
  <c r="J44" i="104" s="1"/>
  <c r="J299" i="104" l="1"/>
  <c r="J300" i="104" s="1"/>
  <c r="J301" i="104" s="1"/>
  <c r="G2092" i="98"/>
  <c r="G2093" i="98"/>
  <c r="G2094" i="98"/>
  <c r="G2095" i="98"/>
  <c r="G2096" i="98"/>
  <c r="G2097" i="98"/>
  <c r="G2091" i="98"/>
  <c r="F2092" i="98"/>
  <c r="F2093" i="98"/>
  <c r="F2095" i="98"/>
  <c r="F2091" i="98"/>
  <c r="E2093" i="98"/>
  <c r="E2094" i="98"/>
  <c r="E2095" i="98"/>
  <c r="E2096" i="98"/>
  <c r="E2097" i="98"/>
  <c r="E2091" i="98"/>
  <c r="E2090" i="98"/>
  <c r="D2090" i="98"/>
  <c r="F2105" i="98"/>
  <c r="F2103" i="98"/>
  <c r="F2101" i="98"/>
  <c r="F2098" i="98"/>
  <c r="D2097" i="98"/>
  <c r="C2097" i="98"/>
  <c r="D2096" i="98"/>
  <c r="C2096" i="98"/>
  <c r="D2095" i="98"/>
  <c r="C2095" i="98"/>
  <c r="D2094" i="98"/>
  <c r="C2094" i="98"/>
  <c r="D2093" i="98"/>
  <c r="C2093" i="98"/>
  <c r="D2092" i="98"/>
  <c r="C2092" i="98"/>
  <c r="D2091" i="98"/>
  <c r="C2091" i="98"/>
  <c r="G2090" i="98"/>
  <c r="B2090" i="98"/>
  <c r="B299" i="104"/>
  <c r="J296" i="104"/>
  <c r="B296" i="104"/>
  <c r="B304" i="104"/>
  <c r="J74" i="104"/>
  <c r="J62" i="104"/>
  <c r="J75" i="104"/>
  <c r="L204" i="104"/>
  <c r="B191" i="104"/>
  <c r="B192" i="104" s="1"/>
  <c r="B193" i="104" s="1"/>
  <c r="B194" i="104" s="1"/>
  <c r="B195" i="104" s="1"/>
  <c r="B196" i="104" s="1"/>
  <c r="B197" i="104" s="1"/>
  <c r="B198" i="104" s="1"/>
  <c r="B199" i="104" s="1"/>
  <c r="B200" i="104" s="1"/>
  <c r="B201" i="104" s="1"/>
  <c r="B202" i="104" s="1"/>
  <c r="B203" i="104" s="1"/>
  <c r="B189" i="104"/>
  <c r="J297" i="104" l="1"/>
  <c r="J298" i="104" s="1"/>
  <c r="J302" i="104"/>
  <c r="J166" i="104" l="1"/>
  <c r="J160" i="104"/>
  <c r="L150" i="104"/>
  <c r="B152" i="104"/>
  <c r="B153" i="104" s="1"/>
  <c r="B154" i="104" s="1"/>
  <c r="B155" i="104" s="1"/>
  <c r="B156" i="104" s="1"/>
  <c r="B157" i="104" s="1"/>
  <c r="B158" i="104" s="1"/>
  <c r="B159" i="104" s="1"/>
  <c r="B160" i="104" s="1"/>
  <c r="B113" i="104"/>
  <c r="B114" i="104" s="1"/>
  <c r="B115" i="104" s="1"/>
  <c r="B116" i="104" s="1"/>
  <c r="B117" i="104" s="1"/>
  <c r="B118" i="104" s="1"/>
  <c r="B119" i="104" s="1"/>
  <c r="B120" i="104" s="1"/>
  <c r="B121" i="104" s="1"/>
  <c r="L111" i="104"/>
  <c r="B96" i="104"/>
  <c r="B97" i="104" s="1"/>
  <c r="B98" i="104" s="1"/>
  <c r="B99" i="104" s="1"/>
  <c r="B100" i="104" s="1"/>
  <c r="B101" i="104" s="1"/>
  <c r="B102" i="104" s="1"/>
  <c r="B103" i="104" s="1"/>
  <c r="B104" i="104" s="1"/>
  <c r="L94" i="104"/>
  <c r="B143" i="104"/>
  <c r="B61" i="104"/>
  <c r="B62" i="104" s="1"/>
  <c r="B63" i="104" s="1"/>
  <c r="B29" i="104"/>
  <c r="B30" i="104" s="1"/>
  <c r="B31" i="104" s="1"/>
  <c r="B32" i="104" s="1"/>
  <c r="B33" i="104" s="1"/>
  <c r="B34" i="104" s="1"/>
  <c r="B35" i="104" s="1"/>
  <c r="B36" i="104" s="1"/>
  <c r="B37" i="104" s="1"/>
  <c r="B125" i="104"/>
  <c r="B123" i="104"/>
  <c r="L27" i="104"/>
  <c r="B144" i="104" l="1"/>
  <c r="B145" i="104" s="1"/>
  <c r="J76" i="104"/>
  <c r="J144" i="104"/>
  <c r="J70" i="104"/>
  <c r="J71" i="104" s="1"/>
  <c r="J72" i="104" s="1"/>
  <c r="J67" i="104"/>
  <c r="J73" i="104" l="1"/>
  <c r="J305" i="104"/>
  <c r="J220" i="104"/>
  <c r="B222" i="104"/>
  <c r="B220" i="104"/>
  <c r="B141" i="104"/>
  <c r="B137" i="104"/>
  <c r="B135" i="104"/>
  <c r="J132" i="104"/>
  <c r="J133" i="104" s="1"/>
  <c r="B134" i="104"/>
  <c r="B132" i="104"/>
  <c r="J221" i="104" l="1"/>
  <c r="J138" i="104"/>
  <c r="J135" i="104"/>
  <c r="J137" i="104" s="1"/>
  <c r="J53" i="104"/>
  <c r="J56" i="104"/>
  <c r="J57" i="104" s="1"/>
  <c r="J60" i="104"/>
  <c r="J134" i="104"/>
  <c r="B72" i="104"/>
  <c r="B70" i="104"/>
  <c r="B69" i="104"/>
  <c r="B67" i="104"/>
  <c r="J59" i="104" l="1"/>
  <c r="J63" i="104" s="1"/>
  <c r="J136" i="104"/>
  <c r="J141" i="104"/>
  <c r="J145" i="104" s="1"/>
  <c r="J54" i="104"/>
  <c r="B53" i="104"/>
  <c r="B59" i="104"/>
  <c r="J68" i="104" l="1"/>
  <c r="J69" i="104" s="1"/>
  <c r="J55" i="104"/>
  <c r="B52" i="103"/>
  <c r="B1473" i="103"/>
  <c r="B1460" i="103"/>
  <c r="B1447" i="103"/>
  <c r="B1431" i="103"/>
  <c r="B1413" i="103"/>
  <c r="B1395" i="103"/>
  <c r="B1379" i="103"/>
  <c r="B1364" i="103"/>
  <c r="B1352" i="103"/>
  <c r="B1333" i="103"/>
  <c r="B1309" i="103"/>
  <c r="B1297" i="103"/>
  <c r="B1285" i="103"/>
  <c r="B1273" i="103"/>
  <c r="B1259" i="103"/>
  <c r="B1242" i="103"/>
  <c r="B1230" i="103"/>
  <c r="B1212" i="103"/>
  <c r="B1200" i="103"/>
  <c r="B1182" i="103"/>
  <c r="B1161" i="103"/>
  <c r="B1145" i="103"/>
  <c r="B1134" i="103"/>
  <c r="B1122" i="103"/>
  <c r="B1100" i="103"/>
  <c r="B1079" i="103"/>
  <c r="B1064" i="103"/>
  <c r="B1049" i="103"/>
  <c r="B1034" i="103"/>
  <c r="B1019" i="103"/>
  <c r="B1004" i="103"/>
  <c r="B989" i="103"/>
  <c r="B974" i="103"/>
  <c r="B959" i="103"/>
  <c r="B935" i="103"/>
  <c r="B921" i="103"/>
  <c r="B907" i="103"/>
  <c r="B891" i="103"/>
  <c r="B877" i="103"/>
  <c r="B862" i="103"/>
  <c r="B846" i="103"/>
  <c r="B834" i="103"/>
  <c r="B822" i="103"/>
  <c r="B806" i="103"/>
  <c r="B788" i="103"/>
  <c r="B767" i="103"/>
  <c r="B754" i="103"/>
  <c r="B740" i="103"/>
  <c r="B724" i="103"/>
  <c r="B703" i="103"/>
  <c r="B686" i="103"/>
  <c r="B654" i="103"/>
  <c r="B638" i="103"/>
  <c r="B620" i="103"/>
  <c r="B606" i="103"/>
  <c r="B585" i="103"/>
  <c r="B568" i="103"/>
  <c r="B554" i="103"/>
  <c r="B537" i="103"/>
  <c r="B520" i="103"/>
  <c r="B505" i="103"/>
  <c r="B488" i="103"/>
  <c r="B472" i="103"/>
  <c r="B455" i="103"/>
  <c r="B438" i="103"/>
  <c r="B425" i="103"/>
  <c r="B407" i="103"/>
  <c r="B390" i="103"/>
  <c r="B376" i="103"/>
  <c r="B357" i="103"/>
  <c r="B338" i="103"/>
  <c r="B318" i="103"/>
  <c r="B300" i="103"/>
  <c r="B284" i="103"/>
  <c r="B272" i="103"/>
  <c r="B242" i="103"/>
  <c r="B227" i="103"/>
  <c r="B211" i="103"/>
  <c r="B193" i="103"/>
  <c r="B179" i="103"/>
  <c r="B168" i="103"/>
  <c r="B149" i="103"/>
  <c r="B133" i="103"/>
  <c r="B112" i="103"/>
  <c r="B95" i="103"/>
  <c r="B76" i="103"/>
  <c r="B35" i="103"/>
  <c r="B22" i="103"/>
  <c r="B7" i="103"/>
  <c r="B3387" i="98"/>
  <c r="B3374" i="98"/>
  <c r="B3356" i="98"/>
  <c r="B3333" i="98"/>
  <c r="B3320" i="98"/>
  <c r="B3302" i="98"/>
  <c r="B3290" i="98"/>
  <c r="B3277" i="98"/>
  <c r="B3258" i="98"/>
  <c r="B3244" i="98"/>
  <c r="B3230" i="98"/>
  <c r="B3216" i="98"/>
  <c r="B3200" i="98"/>
  <c r="B3180" i="98"/>
  <c r="B3164" i="98"/>
  <c r="B3152" i="98"/>
  <c r="B3140" i="98"/>
  <c r="B3127" i="98"/>
  <c r="B3114" i="98"/>
  <c r="B3101" i="98"/>
  <c r="B3079" i="98"/>
  <c r="B3057" i="98"/>
  <c r="B3045" i="98"/>
  <c r="B3033" i="98"/>
  <c r="B3012" i="98"/>
  <c r="B2998" i="98"/>
  <c r="B2983" i="98"/>
  <c r="B2970" i="98"/>
  <c r="B2956" i="98"/>
  <c r="B2937" i="98"/>
  <c r="B2923" i="98"/>
  <c r="B2909" i="98"/>
  <c r="B2895" i="98"/>
  <c r="B2881" i="98"/>
  <c r="B912" i="98"/>
  <c r="B890" i="98"/>
  <c r="B2862" i="98"/>
  <c r="B2843" i="98"/>
  <c r="B2824" i="98"/>
  <c r="B2805" i="98"/>
  <c r="B2793" i="98"/>
  <c r="B2781" i="98"/>
  <c r="B2769" i="98"/>
  <c r="B2757" i="98"/>
  <c r="B2745" i="98"/>
  <c r="B2733" i="98"/>
  <c r="B2721" i="98"/>
  <c r="B2709" i="98"/>
  <c r="B2697" i="98"/>
  <c r="B2684" i="98"/>
  <c r="B2666" i="98"/>
  <c r="B2654" i="98"/>
  <c r="B2639" i="98"/>
  <c r="B2618" i="98"/>
  <c r="B2604" i="98"/>
  <c r="B2590" i="98"/>
  <c r="B2573" i="98"/>
  <c r="B2562" i="98"/>
  <c r="B2549" i="98"/>
  <c r="B2527" i="98"/>
  <c r="B2505" i="98"/>
  <c r="B2486" i="98"/>
  <c r="B2473" i="98"/>
  <c r="B2460" i="98"/>
  <c r="B2441" i="98"/>
  <c r="B2424" i="98"/>
  <c r="B2402" i="98"/>
  <c r="B2380" i="98"/>
  <c r="B2365" i="98"/>
  <c r="B2351" i="98"/>
  <c r="B2337" i="98"/>
  <c r="B2315" i="98"/>
  <c r="B2293" i="98"/>
  <c r="B2276" i="98"/>
  <c r="B2253" i="98"/>
  <c r="B2231" i="98"/>
  <c r="B2218" i="98"/>
  <c r="B2205" i="98"/>
  <c r="B2192" i="98"/>
  <c r="B2175" i="98"/>
  <c r="B2163" i="98"/>
  <c r="B2144" i="98"/>
  <c r="B2124" i="98"/>
  <c r="B2107" i="98"/>
  <c r="B2071" i="98"/>
  <c r="B2057" i="98"/>
  <c r="B2033" i="98"/>
  <c r="B2015" i="98"/>
  <c r="B1999" i="98"/>
  <c r="B1987" i="98"/>
  <c r="B1961" i="98"/>
  <c r="B1943" i="98"/>
  <c r="B1927" i="98"/>
  <c r="B1912" i="98"/>
  <c r="B1901" i="98"/>
  <c r="B1885" i="98"/>
  <c r="B1869" i="98"/>
  <c r="B1854" i="98"/>
  <c r="B1839" i="98"/>
  <c r="B1822" i="98"/>
  <c r="B1800" i="98"/>
  <c r="B1784" i="98"/>
  <c r="B1766" i="98"/>
  <c r="B1748" i="98"/>
  <c r="B1737" i="98"/>
  <c r="B1721" i="98"/>
  <c r="B1683" i="98"/>
  <c r="B1669" i="98"/>
  <c r="B1657" i="98"/>
  <c r="B1643" i="98"/>
  <c r="B1632" i="98"/>
  <c r="B1613" i="98"/>
  <c r="B1597" i="98"/>
  <c r="B1581" i="98"/>
  <c r="B1560" i="98"/>
  <c r="B1540" i="98"/>
  <c r="B1520" i="98"/>
  <c r="B1503" i="98"/>
  <c r="B1482" i="98"/>
  <c r="B1464" i="98"/>
  <c r="B1448" i="98"/>
  <c r="B1430" i="98"/>
  <c r="B1412" i="98"/>
  <c r="B1398" i="98"/>
  <c r="B1380" i="98"/>
  <c r="B1367" i="98"/>
  <c r="B1351" i="98"/>
  <c r="B1330" i="98"/>
  <c r="B1309" i="98"/>
  <c r="B1288" i="98"/>
  <c r="B1266" i="98"/>
  <c r="B1253" i="98"/>
  <c r="B1239" i="98"/>
  <c r="B1225" i="98"/>
  <c r="B1211" i="98"/>
  <c r="B1197" i="98"/>
  <c r="B1183" i="98"/>
  <c r="B1162" i="98"/>
  <c r="B1141" i="98"/>
  <c r="B1120" i="98"/>
  <c r="B1102" i="98"/>
  <c r="B1084" i="98"/>
  <c r="B1066" i="98"/>
  <c r="B1040" i="98"/>
  <c r="B1012" i="98"/>
  <c r="B986" i="98"/>
  <c r="B960" i="98"/>
  <c r="B936" i="98"/>
  <c r="B865" i="98"/>
  <c r="B844" i="98"/>
  <c r="B822" i="98"/>
  <c r="B800" i="98"/>
  <c r="B781" i="98"/>
  <c r="B762" i="98"/>
  <c r="B742" i="98"/>
  <c r="B722" i="98"/>
  <c r="B700" i="98"/>
  <c r="B680" i="98"/>
  <c r="B661" i="98"/>
  <c r="B645" i="98"/>
  <c r="B628" i="98"/>
  <c r="B614" i="98"/>
  <c r="B596" i="98"/>
  <c r="B578" i="98"/>
  <c r="B560" i="98"/>
  <c r="B543" i="98"/>
  <c r="B525" i="98"/>
  <c r="B509" i="98"/>
  <c r="B493" i="98"/>
  <c r="B475" i="98"/>
  <c r="B455" i="98"/>
  <c r="B435" i="98"/>
  <c r="B416" i="98"/>
  <c r="B382" i="98"/>
  <c r="B363" i="98"/>
  <c r="B344" i="98"/>
  <c r="B325" i="98"/>
  <c r="B306" i="98"/>
  <c r="B287" i="98"/>
  <c r="B273" i="98"/>
  <c r="B257" i="98"/>
  <c r="B234" i="98"/>
  <c r="B217" i="98"/>
  <c r="B195" i="98"/>
  <c r="B180" i="98"/>
  <c r="B165" i="98"/>
  <c r="B152" i="98"/>
  <c r="B139" i="98"/>
  <c r="B116" i="98"/>
  <c r="B100" i="98"/>
  <c r="B81" i="98"/>
  <c r="B62" i="98"/>
  <c r="B45" i="98"/>
  <c r="B26" i="98"/>
  <c r="B7" i="98"/>
  <c r="H3394" i="98"/>
  <c r="I3394" i="98" s="1"/>
  <c r="H3393" i="98"/>
  <c r="I3393" i="98" s="1"/>
  <c r="C3387" i="98"/>
  <c r="H158" i="7" l="1"/>
  <c r="H152" i="7"/>
  <c r="H146" i="7"/>
  <c r="H140" i="7"/>
  <c r="H99" i="7"/>
  <c r="H93" i="7"/>
  <c r="H58" i="7"/>
  <c r="H52" i="7"/>
  <c r="H157" i="7"/>
  <c r="H151" i="7"/>
  <c r="H145" i="7"/>
  <c r="H139" i="7"/>
  <c r="H133" i="7"/>
  <c r="H128" i="7"/>
  <c r="H123" i="7"/>
  <c r="H118" i="7"/>
  <c r="H110" i="7"/>
  <c r="H104" i="7"/>
  <c r="H98" i="7"/>
  <c r="H92" i="7"/>
  <c r="H87" i="7"/>
  <c r="H82" i="7"/>
  <c r="H76" i="7"/>
  <c r="H70" i="7"/>
  <c r="H64" i="7"/>
  <c r="H57" i="7"/>
  <c r="H51" i="7"/>
  <c r="H46" i="7"/>
  <c r="H41" i="7"/>
  <c r="H36" i="7"/>
  <c r="H31" i="7"/>
  <c r="H26" i="7"/>
  <c r="H21" i="7"/>
  <c r="H16" i="7"/>
  <c r="H11" i="7"/>
  <c r="H114" i="7"/>
  <c r="H120" i="7"/>
  <c r="H79" i="7"/>
  <c r="H154" i="7"/>
  <c r="H148" i="7"/>
  <c r="H142" i="7"/>
  <c r="H136" i="7"/>
  <c r="H130" i="7"/>
  <c r="H125" i="7"/>
  <c r="H116" i="7"/>
  <c r="H107" i="7"/>
  <c r="H101" i="7"/>
  <c r="H95" i="7"/>
  <c r="H89" i="7"/>
  <c r="H84" i="7"/>
  <c r="H73" i="7"/>
  <c r="H67" i="7"/>
  <c r="H61" i="7"/>
  <c r="H54" i="7"/>
  <c r="H48" i="7"/>
  <c r="H43" i="7"/>
  <c r="H38" i="7"/>
  <c r="H33" i="7"/>
  <c r="H28" i="7"/>
  <c r="H23" i="7"/>
  <c r="H18" i="7"/>
  <c r="H13" i="7"/>
  <c r="H8" i="7"/>
  <c r="D2998" i="98"/>
  <c r="E2998" i="98"/>
  <c r="G2998" i="98"/>
  <c r="C2999" i="98"/>
  <c r="D2999" i="98"/>
  <c r="E2999" i="98"/>
  <c r="F2999" i="98"/>
  <c r="G2999" i="98"/>
  <c r="C3000" i="98"/>
  <c r="D3000" i="98"/>
  <c r="E3000" i="98"/>
  <c r="F3000" i="98"/>
  <c r="G3000" i="98"/>
  <c r="C3001" i="98"/>
  <c r="D3001" i="98"/>
  <c r="E3001" i="98"/>
  <c r="F3001" i="98"/>
  <c r="G3001" i="98"/>
  <c r="C3002" i="98"/>
  <c r="D3002" i="98"/>
  <c r="E3002" i="98"/>
  <c r="G3002" i="98"/>
  <c r="F3003" i="98"/>
  <c r="F3006" i="98"/>
  <c r="F3008" i="98"/>
  <c r="H3292" i="98"/>
  <c r="E455" i="98" l="1"/>
  <c r="E100" i="98"/>
  <c r="I32" i="102"/>
  <c r="I31" i="102"/>
  <c r="I30" i="102"/>
  <c r="I27" i="102"/>
  <c r="I26" i="102"/>
  <c r="I61" i="102"/>
  <c r="I41" i="102"/>
  <c r="I42" i="102"/>
  <c r="I23" i="102"/>
  <c r="D1473" i="103"/>
  <c r="E1473" i="103"/>
  <c r="F1473" i="103"/>
  <c r="G1473" i="103"/>
  <c r="N237" i="99" l="1"/>
  <c r="N108" i="99"/>
  <c r="N78" i="99"/>
  <c r="N51" i="99"/>
  <c r="N16" i="99"/>
  <c r="L22" i="66" l="1"/>
  <c r="D1309" i="103" l="1"/>
  <c r="E1309" i="103"/>
  <c r="F1309" i="103"/>
  <c r="C1310" i="103"/>
  <c r="D1310" i="103"/>
  <c r="E1310" i="103"/>
  <c r="F1310" i="103"/>
  <c r="G1310" i="103"/>
  <c r="C1311" i="103"/>
  <c r="D1311" i="103"/>
  <c r="E1311" i="103"/>
  <c r="F1311" i="103"/>
  <c r="C1312" i="103"/>
  <c r="D1312" i="103"/>
  <c r="E1312" i="103"/>
  <c r="F1312" i="103"/>
  <c r="C1313" i="103"/>
  <c r="D1313" i="103"/>
  <c r="E1313" i="103"/>
  <c r="G1313" i="103"/>
  <c r="C1314" i="103"/>
  <c r="D1314" i="103"/>
  <c r="E1314" i="103"/>
  <c r="F1314" i="103"/>
  <c r="G1314" i="103"/>
  <c r="C1315" i="103"/>
  <c r="D1315" i="103"/>
  <c r="E1315" i="103"/>
  <c r="F1315" i="103"/>
  <c r="G1315" i="103"/>
  <c r="C1316" i="103"/>
  <c r="D1316" i="103"/>
  <c r="E1316" i="103"/>
  <c r="F1316" i="103"/>
  <c r="G1316" i="103"/>
  <c r="C1317" i="103"/>
  <c r="D1317" i="103"/>
  <c r="E1317" i="103"/>
  <c r="F1317" i="103"/>
  <c r="G1317" i="103"/>
  <c r="C1318" i="103"/>
  <c r="D1318" i="103"/>
  <c r="E1318" i="103"/>
  <c r="G1318" i="103"/>
  <c r="C1319" i="103"/>
  <c r="D1319" i="103"/>
  <c r="E1319" i="103"/>
  <c r="F1319" i="103"/>
  <c r="G1319" i="103"/>
  <c r="C1320" i="103"/>
  <c r="D1320" i="103"/>
  <c r="E1320" i="103"/>
  <c r="G1320" i="103"/>
  <c r="C1321" i="103"/>
  <c r="D1321" i="103"/>
  <c r="E1321" i="103"/>
  <c r="G1321" i="103"/>
  <c r="C1322" i="103"/>
  <c r="D1322" i="103"/>
  <c r="E1322" i="103"/>
  <c r="G1322" i="103"/>
  <c r="C1323" i="103"/>
  <c r="D1323" i="103"/>
  <c r="E1323" i="103"/>
  <c r="F1323" i="103"/>
  <c r="G1323" i="103"/>
  <c r="F1324" i="103"/>
  <c r="F1327" i="103"/>
  <c r="F1329" i="103"/>
  <c r="F1331" i="103"/>
  <c r="C1297" i="103"/>
  <c r="D1297" i="103"/>
  <c r="E1297" i="103"/>
  <c r="G1297" i="103"/>
  <c r="C1298" i="103"/>
  <c r="D1298" i="103"/>
  <c r="E1298" i="103"/>
  <c r="F1298" i="103"/>
  <c r="G1298" i="103"/>
  <c r="C1299" i="103"/>
  <c r="D1299" i="103"/>
  <c r="E1299" i="103"/>
  <c r="G1299" i="103"/>
  <c r="F1300" i="103"/>
  <c r="F1303" i="103"/>
  <c r="F1305" i="103"/>
  <c r="F1307" i="103"/>
  <c r="C1285" i="103"/>
  <c r="D1285" i="103"/>
  <c r="E1285" i="103"/>
  <c r="G1285" i="103"/>
  <c r="C1286" i="103"/>
  <c r="D1286" i="103"/>
  <c r="E1286" i="103"/>
  <c r="F1286" i="103"/>
  <c r="G1286" i="103"/>
  <c r="C1287" i="103"/>
  <c r="D1287" i="103"/>
  <c r="E1287" i="103"/>
  <c r="G1287" i="103"/>
  <c r="F1288" i="103"/>
  <c r="F1291" i="103"/>
  <c r="F1293" i="103"/>
  <c r="F1295" i="103"/>
  <c r="C1273" i="103"/>
  <c r="D1273" i="103"/>
  <c r="E1273" i="103"/>
  <c r="F1273" i="103"/>
  <c r="G1273" i="103"/>
  <c r="C1274" i="103"/>
  <c r="D1274" i="103"/>
  <c r="E1274" i="103"/>
  <c r="F1274" i="103"/>
  <c r="G1274" i="103"/>
  <c r="C1275" i="103"/>
  <c r="D1275" i="103"/>
  <c r="E1275" i="103"/>
  <c r="F1275" i="103"/>
  <c r="G1275" i="103"/>
  <c r="F1276" i="103"/>
  <c r="F1279" i="103"/>
  <c r="F1281" i="103"/>
  <c r="F1283" i="103"/>
  <c r="C822" i="103"/>
  <c r="D822" i="103"/>
  <c r="E822" i="103"/>
  <c r="G822" i="103"/>
  <c r="C823" i="103"/>
  <c r="D823" i="103"/>
  <c r="E823" i="103"/>
  <c r="F823" i="103"/>
  <c r="G823" i="103"/>
  <c r="C824" i="103"/>
  <c r="D824" i="103"/>
  <c r="E824" i="103"/>
  <c r="G824" i="103"/>
  <c r="F825" i="103"/>
  <c r="F828" i="103"/>
  <c r="F830" i="103"/>
  <c r="F832" i="103"/>
  <c r="D686" i="103"/>
  <c r="E686" i="103"/>
  <c r="F686" i="103"/>
  <c r="G686" i="103"/>
  <c r="C687" i="103"/>
  <c r="D687" i="103"/>
  <c r="E687" i="103"/>
  <c r="F687" i="103"/>
  <c r="G687" i="103"/>
  <c r="C688" i="103"/>
  <c r="D688" i="103"/>
  <c r="E688" i="103"/>
  <c r="F688" i="103"/>
  <c r="G688" i="103"/>
  <c r="C689" i="103"/>
  <c r="D689" i="103"/>
  <c r="E689" i="103"/>
  <c r="F689" i="103"/>
  <c r="G689" i="103"/>
  <c r="C690" i="103"/>
  <c r="D690" i="103"/>
  <c r="E690" i="103"/>
  <c r="C691" i="103"/>
  <c r="F691" i="103"/>
  <c r="G691" i="103"/>
  <c r="C692" i="103"/>
  <c r="D692" i="103"/>
  <c r="E692" i="103"/>
  <c r="F692" i="103"/>
  <c r="G692" i="103"/>
  <c r="C693" i="103"/>
  <c r="D693" i="103"/>
  <c r="E693" i="103"/>
  <c r="F694" i="103"/>
  <c r="F697" i="103"/>
  <c r="F699" i="103"/>
  <c r="F701" i="103"/>
  <c r="D654" i="103"/>
  <c r="E654" i="103"/>
  <c r="F654" i="103"/>
  <c r="G654" i="103"/>
  <c r="C655" i="103"/>
  <c r="E655" i="103"/>
  <c r="F655" i="103"/>
  <c r="G655" i="103"/>
  <c r="C656" i="103"/>
  <c r="D656" i="103"/>
  <c r="E656" i="103"/>
  <c r="F656" i="103"/>
  <c r="C657" i="103"/>
  <c r="D657" i="103"/>
  <c r="E657" i="103"/>
  <c r="F657" i="103"/>
  <c r="G657" i="103"/>
  <c r="C658" i="103"/>
  <c r="D658" i="103"/>
  <c r="E658" i="103"/>
  <c r="F658" i="103"/>
  <c r="C659" i="103"/>
  <c r="D659" i="103"/>
  <c r="E659" i="103"/>
  <c r="F659" i="103"/>
  <c r="G659" i="103"/>
  <c r="C660" i="103"/>
  <c r="D660" i="103"/>
  <c r="E660" i="103"/>
  <c r="F660" i="103"/>
  <c r="C661" i="103"/>
  <c r="D661" i="103"/>
  <c r="E661" i="103"/>
  <c r="F661" i="103"/>
  <c r="G661" i="103"/>
  <c r="C662" i="103"/>
  <c r="D662" i="103"/>
  <c r="E662" i="103"/>
  <c r="F662" i="103"/>
  <c r="G662" i="103"/>
  <c r="C663" i="103"/>
  <c r="D663" i="103"/>
  <c r="E663" i="103"/>
  <c r="F663" i="103"/>
  <c r="C664" i="103"/>
  <c r="D664" i="103"/>
  <c r="E664" i="103"/>
  <c r="F664" i="103"/>
  <c r="G664" i="103"/>
  <c r="C665" i="103"/>
  <c r="D665" i="103"/>
  <c r="E665" i="103"/>
  <c r="F665" i="103"/>
  <c r="C666" i="103"/>
  <c r="D666" i="103"/>
  <c r="E666" i="103"/>
  <c r="F666" i="103"/>
  <c r="G666" i="103"/>
  <c r="C667" i="103"/>
  <c r="D667" i="103"/>
  <c r="E667" i="103"/>
  <c r="F667" i="103"/>
  <c r="G667" i="103"/>
  <c r="C668" i="103"/>
  <c r="D668" i="103"/>
  <c r="E668" i="103"/>
  <c r="F668" i="103"/>
  <c r="C669" i="103"/>
  <c r="D669" i="103"/>
  <c r="E669" i="103"/>
  <c r="F669" i="103"/>
  <c r="C670" i="103"/>
  <c r="D670" i="103"/>
  <c r="E670" i="103"/>
  <c r="F670" i="103"/>
  <c r="C671" i="103"/>
  <c r="D671" i="103"/>
  <c r="E671" i="103"/>
  <c r="C672" i="103"/>
  <c r="D672" i="103"/>
  <c r="E672" i="103"/>
  <c r="F672" i="103"/>
  <c r="G672" i="103"/>
  <c r="C673" i="103"/>
  <c r="D673" i="103"/>
  <c r="E673" i="103"/>
  <c r="C674" i="103"/>
  <c r="D674" i="103"/>
  <c r="E674" i="103"/>
  <c r="C675" i="103"/>
  <c r="D675" i="103"/>
  <c r="E675" i="103"/>
  <c r="C676" i="103"/>
  <c r="D676" i="103"/>
  <c r="E676" i="103"/>
  <c r="F676" i="103"/>
  <c r="G676" i="103"/>
  <c r="F677" i="103"/>
  <c r="F680" i="103"/>
  <c r="F682" i="103"/>
  <c r="F684" i="103"/>
  <c r="D554" i="103"/>
  <c r="E554" i="103"/>
  <c r="G554" i="103"/>
  <c r="C555" i="103"/>
  <c r="D555" i="103"/>
  <c r="E555" i="103"/>
  <c r="F555" i="103"/>
  <c r="G555" i="103"/>
  <c r="C556" i="103"/>
  <c r="D556" i="103"/>
  <c r="E556" i="103"/>
  <c r="F556" i="103"/>
  <c r="G556" i="103"/>
  <c r="C557" i="103"/>
  <c r="D557" i="103"/>
  <c r="E557" i="103"/>
  <c r="F557" i="103"/>
  <c r="G557" i="103"/>
  <c r="C558" i="103"/>
  <c r="D558" i="103"/>
  <c r="E558" i="103"/>
  <c r="G558" i="103"/>
  <c r="F559" i="103"/>
  <c r="F562" i="103"/>
  <c r="F564" i="103"/>
  <c r="F566" i="103"/>
  <c r="D227" i="103"/>
  <c r="E227" i="103"/>
  <c r="F227" i="103"/>
  <c r="G227" i="103"/>
  <c r="C228" i="103"/>
  <c r="D228" i="103"/>
  <c r="E228" i="103"/>
  <c r="F228" i="103"/>
  <c r="G228" i="103"/>
  <c r="C229" i="103"/>
  <c r="D229" i="103"/>
  <c r="E229" i="103"/>
  <c r="F229" i="103"/>
  <c r="G229" i="103"/>
  <c r="C230" i="103"/>
  <c r="D230" i="103"/>
  <c r="E230" i="103"/>
  <c r="F230" i="103"/>
  <c r="G230" i="103"/>
  <c r="C231" i="103"/>
  <c r="D231" i="103"/>
  <c r="E231" i="103"/>
  <c r="F231" i="103"/>
  <c r="G231" i="103"/>
  <c r="C232" i="103"/>
  <c r="D232" i="103"/>
  <c r="E232" i="103"/>
  <c r="G232" i="103"/>
  <c r="F233" i="103"/>
  <c r="F236" i="103"/>
  <c r="F238" i="103"/>
  <c r="F240" i="103"/>
  <c r="D193" i="103"/>
  <c r="E193" i="103"/>
  <c r="F193" i="103"/>
  <c r="G193" i="103"/>
  <c r="C194" i="103"/>
  <c r="D194" i="103"/>
  <c r="E194" i="103"/>
  <c r="F194" i="103"/>
  <c r="G194" i="103"/>
  <c r="C195" i="103"/>
  <c r="D195" i="103"/>
  <c r="E195" i="103"/>
  <c r="F195" i="103"/>
  <c r="G195" i="103"/>
  <c r="C196" i="103"/>
  <c r="D196" i="103"/>
  <c r="E196" i="103"/>
  <c r="F196" i="103"/>
  <c r="G196" i="103"/>
  <c r="C197" i="103"/>
  <c r="D197" i="103"/>
  <c r="E197" i="103"/>
  <c r="F197" i="103"/>
  <c r="G197" i="103"/>
  <c r="C198" i="103"/>
  <c r="D198" i="103"/>
  <c r="E198" i="103"/>
  <c r="G198" i="103"/>
  <c r="C199" i="103"/>
  <c r="D199" i="103"/>
  <c r="E199" i="103"/>
  <c r="F199" i="103"/>
  <c r="G199" i="103"/>
  <c r="C200" i="103"/>
  <c r="D200" i="103"/>
  <c r="E200" i="103"/>
  <c r="G200" i="103"/>
  <c r="C201" i="103"/>
  <c r="D201" i="103"/>
  <c r="E201" i="103"/>
  <c r="G201" i="103"/>
  <c r="F202" i="103"/>
  <c r="F205" i="103"/>
  <c r="F207" i="103"/>
  <c r="F209" i="103"/>
  <c r="D52" i="103"/>
  <c r="E52" i="103"/>
  <c r="F52" i="103"/>
  <c r="G52" i="103"/>
  <c r="C53" i="103"/>
  <c r="D53" i="103"/>
  <c r="E53" i="103"/>
  <c r="F53" i="103"/>
  <c r="G53" i="103"/>
  <c r="C54" i="103"/>
  <c r="D54" i="103"/>
  <c r="E54" i="103"/>
  <c r="F54" i="103"/>
  <c r="G54" i="103"/>
  <c r="C55" i="103"/>
  <c r="D55" i="103"/>
  <c r="E55" i="103"/>
  <c r="F55" i="103"/>
  <c r="G55" i="103"/>
  <c r="C56" i="103"/>
  <c r="D56" i="103"/>
  <c r="E56" i="103"/>
  <c r="G56" i="103"/>
  <c r="C57" i="103"/>
  <c r="D57" i="103"/>
  <c r="E57" i="103"/>
  <c r="F57" i="103"/>
  <c r="G57" i="103"/>
  <c r="C58" i="103"/>
  <c r="D58" i="103"/>
  <c r="E58" i="103"/>
  <c r="F58" i="103"/>
  <c r="G58" i="103"/>
  <c r="C59" i="103"/>
  <c r="D59" i="103"/>
  <c r="E59" i="103"/>
  <c r="F59" i="103"/>
  <c r="G59" i="103"/>
  <c r="C60" i="103"/>
  <c r="D60" i="103"/>
  <c r="E60" i="103"/>
  <c r="F60" i="103"/>
  <c r="G60" i="103"/>
  <c r="C61" i="103"/>
  <c r="D61" i="103"/>
  <c r="E61" i="103"/>
  <c r="G61" i="103"/>
  <c r="C62" i="103"/>
  <c r="D62" i="103"/>
  <c r="E62" i="103"/>
  <c r="F62" i="103"/>
  <c r="G62" i="103"/>
  <c r="C63" i="103"/>
  <c r="D63" i="103"/>
  <c r="E63" i="103"/>
  <c r="G63" i="103"/>
  <c r="C64" i="103"/>
  <c r="D64" i="103"/>
  <c r="E64" i="103"/>
  <c r="G64" i="103"/>
  <c r="C65" i="103"/>
  <c r="D65" i="103"/>
  <c r="E65" i="103"/>
  <c r="G65" i="103"/>
  <c r="C66" i="103"/>
  <c r="D66" i="103"/>
  <c r="E66" i="103"/>
  <c r="F66" i="103"/>
  <c r="G66" i="103"/>
  <c r="F67" i="103"/>
  <c r="F70" i="103"/>
  <c r="F72" i="103"/>
  <c r="F74" i="103"/>
  <c r="D76" i="103"/>
  <c r="E76" i="103"/>
  <c r="F76" i="103"/>
  <c r="G76" i="103"/>
  <c r="C77" i="103"/>
  <c r="D77" i="103"/>
  <c r="E77" i="103"/>
  <c r="F77" i="103"/>
  <c r="G77" i="103"/>
  <c r="C78" i="103"/>
  <c r="D78" i="103"/>
  <c r="E78" i="103"/>
  <c r="F78" i="103"/>
  <c r="G78" i="103"/>
  <c r="C79" i="103"/>
  <c r="D79" i="103"/>
  <c r="E79" i="103"/>
  <c r="F79" i="103"/>
  <c r="G79" i="103"/>
  <c r="C80" i="103"/>
  <c r="D80" i="103"/>
  <c r="E80" i="103"/>
  <c r="F80" i="103"/>
  <c r="G80" i="103"/>
  <c r="C81" i="103"/>
  <c r="D81" i="103"/>
  <c r="E81" i="103"/>
  <c r="F81" i="103"/>
  <c r="G81" i="103"/>
  <c r="C82" i="103"/>
  <c r="D82" i="103"/>
  <c r="E82" i="103"/>
  <c r="G82" i="103"/>
  <c r="C83" i="103"/>
  <c r="D83" i="103"/>
  <c r="E83" i="103"/>
  <c r="F83" i="103"/>
  <c r="G83" i="103"/>
  <c r="C84" i="103"/>
  <c r="D84" i="103"/>
  <c r="E84" i="103"/>
  <c r="G84" i="103"/>
  <c r="C85" i="103"/>
  <c r="D85" i="103"/>
  <c r="E85" i="103"/>
  <c r="F85" i="103"/>
  <c r="G85" i="103"/>
  <c r="F86" i="103"/>
  <c r="F89" i="103"/>
  <c r="F91" i="103"/>
  <c r="F93" i="103"/>
  <c r="D35" i="103"/>
  <c r="E35" i="103"/>
  <c r="G35" i="103"/>
  <c r="C36" i="103"/>
  <c r="D36" i="103"/>
  <c r="E36" i="103"/>
  <c r="F36" i="103"/>
  <c r="G36" i="103"/>
  <c r="C37" i="103"/>
  <c r="D37" i="103"/>
  <c r="E37" i="103"/>
  <c r="F37" i="103"/>
  <c r="C38" i="103"/>
  <c r="D38" i="103"/>
  <c r="E38" i="103"/>
  <c r="G38" i="103"/>
  <c r="C39" i="103"/>
  <c r="D39" i="103"/>
  <c r="E39" i="103"/>
  <c r="F39" i="103"/>
  <c r="G39" i="103"/>
  <c r="C40" i="103"/>
  <c r="D40" i="103"/>
  <c r="E40" i="103"/>
  <c r="G40" i="103"/>
  <c r="C41" i="103"/>
  <c r="D41" i="103"/>
  <c r="E41" i="103"/>
  <c r="G41" i="103"/>
  <c r="C42" i="103"/>
  <c r="D42" i="103"/>
  <c r="E42" i="103"/>
  <c r="F42" i="103"/>
  <c r="G42" i="103"/>
  <c r="F43" i="103"/>
  <c r="F46" i="103"/>
  <c r="F48" i="103"/>
  <c r="F50" i="103"/>
  <c r="D7" i="103"/>
  <c r="E7" i="103"/>
  <c r="F7" i="103"/>
  <c r="G7" i="103"/>
  <c r="C8" i="103"/>
  <c r="D8" i="103"/>
  <c r="E8" i="103"/>
  <c r="F8" i="103"/>
  <c r="G8" i="103"/>
  <c r="C9" i="103"/>
  <c r="D9" i="103"/>
  <c r="E9" i="103"/>
  <c r="F9" i="103"/>
  <c r="G9" i="103"/>
  <c r="C10" i="103"/>
  <c r="D10" i="103"/>
  <c r="E10" i="103"/>
  <c r="F10" i="103"/>
  <c r="G10" i="103"/>
  <c r="C11" i="103"/>
  <c r="D11" i="103"/>
  <c r="E11" i="103"/>
  <c r="F11" i="103"/>
  <c r="G11" i="103"/>
  <c r="C12" i="103"/>
  <c r="D12" i="103"/>
  <c r="E12" i="103"/>
  <c r="G12" i="103"/>
  <c r="F13" i="103"/>
  <c r="F16" i="103"/>
  <c r="F18" i="103"/>
  <c r="F20" i="103"/>
  <c r="D2590" i="98"/>
  <c r="E2590" i="98"/>
  <c r="G2590" i="98"/>
  <c r="C2591" i="98"/>
  <c r="D2591" i="98"/>
  <c r="E2591" i="98"/>
  <c r="F2591" i="98"/>
  <c r="G2591" i="98"/>
  <c r="C2592" i="98"/>
  <c r="D2592" i="98"/>
  <c r="E2592" i="98"/>
  <c r="F2592" i="98"/>
  <c r="G2592" i="98"/>
  <c r="C2593" i="98"/>
  <c r="D2593" i="98"/>
  <c r="E2593" i="98"/>
  <c r="F2593" i="98"/>
  <c r="G2593" i="98"/>
  <c r="C2594" i="98"/>
  <c r="D2594" i="98"/>
  <c r="E2594" i="98"/>
  <c r="G2594" i="98"/>
  <c r="F2595" i="98"/>
  <c r="F2598" i="98"/>
  <c r="F2600" i="98"/>
  <c r="F2602" i="98"/>
  <c r="D2604" i="98"/>
  <c r="E2604" i="98"/>
  <c r="F2604" i="98"/>
  <c r="G2604" i="98"/>
  <c r="C2605" i="98"/>
  <c r="D2605" i="98"/>
  <c r="E2605" i="98"/>
  <c r="F2605" i="98"/>
  <c r="G2605" i="98"/>
  <c r="C2606" i="98"/>
  <c r="D2606" i="98"/>
  <c r="E2606" i="98"/>
  <c r="F2606" i="98"/>
  <c r="G2606" i="98"/>
  <c r="C2607" i="98"/>
  <c r="D2607" i="98"/>
  <c r="E2607" i="98"/>
  <c r="F2607" i="98"/>
  <c r="G2607" i="98"/>
  <c r="C2608" i="98"/>
  <c r="D2608" i="98"/>
  <c r="E2608" i="98"/>
  <c r="G2608" i="98"/>
  <c r="F2609" i="98"/>
  <c r="F2612" i="98"/>
  <c r="F2614" i="98"/>
  <c r="F2616" i="98"/>
  <c r="D1987" i="98"/>
  <c r="E1987" i="98"/>
  <c r="G1987" i="98"/>
  <c r="C1988" i="98"/>
  <c r="D1988" i="98"/>
  <c r="E1988" i="98"/>
  <c r="F1988" i="98"/>
  <c r="G1988" i="98"/>
  <c r="C1989" i="98"/>
  <c r="D1989" i="98"/>
  <c r="E1989" i="98"/>
  <c r="F1990" i="98"/>
  <c r="F1993" i="98"/>
  <c r="F1995" i="98"/>
  <c r="F1997" i="98"/>
  <c r="D1901" i="98"/>
  <c r="G1901" i="98"/>
  <c r="C1902" i="98"/>
  <c r="D1902" i="98"/>
  <c r="E1902" i="98"/>
  <c r="G1902" i="98"/>
  <c r="F1903" i="98"/>
  <c r="F1906" i="98"/>
  <c r="F1908" i="98"/>
  <c r="F1910" i="98"/>
  <c r="E1632" i="98"/>
  <c r="G1632" i="98"/>
  <c r="C1633" i="98"/>
  <c r="D1633" i="98"/>
  <c r="E1633" i="98"/>
  <c r="G1633" i="98"/>
  <c r="F1634" i="98"/>
  <c r="F1637" i="98"/>
  <c r="F1639" i="98"/>
  <c r="F1641" i="98"/>
  <c r="D1141" i="98"/>
  <c r="E1141" i="98"/>
  <c r="F1141" i="98"/>
  <c r="G1141" i="98"/>
  <c r="C1142" i="98"/>
  <c r="D1142" i="98"/>
  <c r="E1142" i="98"/>
  <c r="F1142" i="98"/>
  <c r="G1142" i="98"/>
  <c r="C1143" i="98"/>
  <c r="D1143" i="98"/>
  <c r="E1143" i="98"/>
  <c r="F1143" i="98"/>
  <c r="G1143" i="98"/>
  <c r="C1144" i="98"/>
  <c r="D1144" i="98"/>
  <c r="E1144" i="98"/>
  <c r="F1144" i="98"/>
  <c r="G1144" i="98"/>
  <c r="C1145" i="98"/>
  <c r="D1145" i="98"/>
  <c r="E1145" i="98"/>
  <c r="F1145" i="98"/>
  <c r="G1145" i="98"/>
  <c r="C1146" i="98"/>
  <c r="D1146" i="98"/>
  <c r="E1146" i="98"/>
  <c r="F1146" i="98"/>
  <c r="G1146" i="98"/>
  <c r="C1147" i="98"/>
  <c r="D1147" i="98"/>
  <c r="E1147" i="98"/>
  <c r="G1147" i="98"/>
  <c r="C1148" i="98"/>
  <c r="D1148" i="98"/>
  <c r="E1148" i="98"/>
  <c r="F1148" i="98"/>
  <c r="G1148" i="98"/>
  <c r="C1149" i="98"/>
  <c r="D1149" i="98"/>
  <c r="E1149" i="98"/>
  <c r="G1149" i="98"/>
  <c r="C1150" i="98"/>
  <c r="D1150" i="98"/>
  <c r="E1150" i="98"/>
  <c r="F1150" i="98"/>
  <c r="G1150" i="98"/>
  <c r="C1151" i="98"/>
  <c r="D1151" i="98"/>
  <c r="E1151" i="98"/>
  <c r="G1151" i="98"/>
  <c r="C1152" i="98"/>
  <c r="D1152" i="98"/>
  <c r="E1152" i="98"/>
  <c r="F1152" i="98"/>
  <c r="G1152" i="98"/>
  <c r="F1153" i="98"/>
  <c r="F1156" i="98"/>
  <c r="F1158" i="98"/>
  <c r="F1160" i="98"/>
  <c r="C1040" i="98"/>
  <c r="D1040" i="98"/>
  <c r="E1040" i="98"/>
  <c r="G1040" i="98"/>
  <c r="C1041" i="98"/>
  <c r="D1041" i="98"/>
  <c r="E1041" i="98"/>
  <c r="F1041" i="98"/>
  <c r="G1041" i="98"/>
  <c r="C1042" i="98"/>
  <c r="D1042" i="98"/>
  <c r="E1042" i="98"/>
  <c r="F1042" i="98"/>
  <c r="G1042" i="98"/>
  <c r="C1043" i="98"/>
  <c r="D1043" i="98"/>
  <c r="E1043" i="98"/>
  <c r="F1043" i="98"/>
  <c r="G1043" i="98"/>
  <c r="C1044" i="98"/>
  <c r="D1044" i="98"/>
  <c r="E1044" i="98"/>
  <c r="F1044" i="98"/>
  <c r="G1044" i="98"/>
  <c r="C1045" i="98"/>
  <c r="D1045" i="98"/>
  <c r="E1045" i="98"/>
  <c r="G1045" i="98"/>
  <c r="C1046" i="98"/>
  <c r="D1046" i="98"/>
  <c r="E1046" i="98"/>
  <c r="F1046" i="98"/>
  <c r="G1046" i="98"/>
  <c r="C1047" i="98"/>
  <c r="D1047" i="98"/>
  <c r="E1047" i="98"/>
  <c r="G1047" i="98"/>
  <c r="C1048" i="98"/>
  <c r="D1048" i="98"/>
  <c r="E1048" i="98"/>
  <c r="G1048" i="98"/>
  <c r="C1049" i="98"/>
  <c r="D1049" i="98"/>
  <c r="E1049" i="98"/>
  <c r="G1049" i="98"/>
  <c r="C1050" i="98"/>
  <c r="D1050" i="98"/>
  <c r="E1050" i="98"/>
  <c r="G1050" i="98"/>
  <c r="C1051" i="98"/>
  <c r="D1051" i="98"/>
  <c r="E1051" i="98"/>
  <c r="G1051" i="98"/>
  <c r="C1052" i="98"/>
  <c r="D1052" i="98"/>
  <c r="E1052" i="98"/>
  <c r="G1052" i="98"/>
  <c r="C1053" i="98"/>
  <c r="D1053" i="98"/>
  <c r="E1053" i="98"/>
  <c r="G1053" i="98"/>
  <c r="C1054" i="98"/>
  <c r="D1054" i="98"/>
  <c r="E1054" i="98"/>
  <c r="G1054" i="98"/>
  <c r="C1055" i="98"/>
  <c r="D1055" i="98"/>
  <c r="E1055" i="98"/>
  <c r="G1055" i="98"/>
  <c r="C1056" i="98"/>
  <c r="D1056" i="98"/>
  <c r="E1056" i="98"/>
  <c r="F1056" i="98"/>
  <c r="G1056" i="98"/>
  <c r="F1057" i="98"/>
  <c r="F1060" i="98"/>
  <c r="F1062" i="98"/>
  <c r="F1064" i="98"/>
  <c r="D986" i="98"/>
  <c r="E986" i="98"/>
  <c r="G986" i="98"/>
  <c r="C987" i="98"/>
  <c r="D987" i="98"/>
  <c r="E987" i="98"/>
  <c r="F987" i="98"/>
  <c r="G987" i="98"/>
  <c r="C988" i="98"/>
  <c r="D988" i="98"/>
  <c r="E988" i="98"/>
  <c r="F988" i="98"/>
  <c r="G988" i="98"/>
  <c r="C989" i="98"/>
  <c r="D989" i="98"/>
  <c r="E989" i="98"/>
  <c r="F989" i="98"/>
  <c r="G989" i="98"/>
  <c r="C990" i="98"/>
  <c r="D990" i="98"/>
  <c r="E990" i="98"/>
  <c r="F990" i="98"/>
  <c r="G990" i="98"/>
  <c r="C991" i="98"/>
  <c r="D991" i="98"/>
  <c r="E991" i="98"/>
  <c r="G991" i="98"/>
  <c r="C992" i="98"/>
  <c r="D992" i="98"/>
  <c r="E992" i="98"/>
  <c r="F992" i="98"/>
  <c r="G992" i="98"/>
  <c r="C993" i="98"/>
  <c r="D993" i="98"/>
  <c r="E993" i="98"/>
  <c r="G993" i="98"/>
  <c r="C994" i="98"/>
  <c r="D994" i="98"/>
  <c r="E994" i="98"/>
  <c r="G994" i="98"/>
  <c r="C995" i="98"/>
  <c r="D995" i="98"/>
  <c r="E995" i="98"/>
  <c r="G995" i="98"/>
  <c r="C996" i="98"/>
  <c r="D996" i="98"/>
  <c r="E996" i="98"/>
  <c r="G996" i="98"/>
  <c r="C997" i="98"/>
  <c r="D997" i="98"/>
  <c r="E997" i="98"/>
  <c r="G997" i="98"/>
  <c r="C998" i="98"/>
  <c r="D998" i="98"/>
  <c r="E998" i="98"/>
  <c r="G998" i="98"/>
  <c r="C999" i="98"/>
  <c r="D999" i="98"/>
  <c r="E999" i="98"/>
  <c r="G999" i="98"/>
  <c r="C1000" i="98"/>
  <c r="D1000" i="98"/>
  <c r="E1000" i="98"/>
  <c r="G1000" i="98"/>
  <c r="C1001" i="98"/>
  <c r="D1001" i="98"/>
  <c r="E1001" i="98"/>
  <c r="G1001" i="98"/>
  <c r="C1002" i="98"/>
  <c r="D1002" i="98"/>
  <c r="E1002" i="98"/>
  <c r="F1002" i="98"/>
  <c r="G1002" i="98"/>
  <c r="F1003" i="98"/>
  <c r="F1006" i="98"/>
  <c r="F1008" i="98"/>
  <c r="F1010" i="98"/>
  <c r="C844" i="98"/>
  <c r="D844" i="98"/>
  <c r="E844" i="98"/>
  <c r="F844" i="98"/>
  <c r="G844" i="98"/>
  <c r="C845" i="98"/>
  <c r="D845" i="98"/>
  <c r="E845" i="98"/>
  <c r="F845" i="98"/>
  <c r="G845" i="98"/>
  <c r="C846" i="98"/>
  <c r="D846" i="98"/>
  <c r="E846" i="98"/>
  <c r="F846" i="98"/>
  <c r="G846" i="98"/>
  <c r="C847" i="98"/>
  <c r="D847" i="98"/>
  <c r="E847" i="98"/>
  <c r="F847" i="98"/>
  <c r="G847" i="98"/>
  <c r="C848" i="98"/>
  <c r="D848" i="98"/>
  <c r="E848" i="98"/>
  <c r="F848" i="98"/>
  <c r="G848" i="98"/>
  <c r="C849" i="98"/>
  <c r="D849" i="98"/>
  <c r="E849" i="98"/>
  <c r="F849" i="98"/>
  <c r="G849" i="98"/>
  <c r="C850" i="98"/>
  <c r="D850" i="98"/>
  <c r="E850" i="98"/>
  <c r="G850" i="98"/>
  <c r="C851" i="98"/>
  <c r="D851" i="98"/>
  <c r="E851" i="98"/>
  <c r="F851" i="98"/>
  <c r="G851" i="98"/>
  <c r="C852" i="98"/>
  <c r="D852" i="98"/>
  <c r="E852" i="98"/>
  <c r="G852" i="98"/>
  <c r="C853" i="98"/>
  <c r="D853" i="98"/>
  <c r="E853" i="98"/>
  <c r="G853" i="98"/>
  <c r="C854" i="98"/>
  <c r="D854" i="98"/>
  <c r="E854" i="98"/>
  <c r="G854" i="98"/>
  <c r="C855" i="98"/>
  <c r="D855" i="98"/>
  <c r="E855" i="98"/>
  <c r="F855" i="98"/>
  <c r="G855" i="98"/>
  <c r="F856" i="98"/>
  <c r="F859" i="98"/>
  <c r="F861" i="98"/>
  <c r="F863" i="98"/>
  <c r="C800" i="98"/>
  <c r="D800" i="98"/>
  <c r="E800" i="98"/>
  <c r="G800" i="98"/>
  <c r="C801" i="98"/>
  <c r="D801" i="98"/>
  <c r="E801" i="98"/>
  <c r="F801" i="98"/>
  <c r="G801" i="98"/>
  <c r="C802" i="98"/>
  <c r="D802" i="98"/>
  <c r="E802" i="98"/>
  <c r="F802" i="98"/>
  <c r="G802" i="98"/>
  <c r="C803" i="98"/>
  <c r="D803" i="98"/>
  <c r="E803" i="98"/>
  <c r="F803" i="98"/>
  <c r="G803" i="98"/>
  <c r="C804" i="98"/>
  <c r="D804" i="98"/>
  <c r="E804" i="98"/>
  <c r="F804" i="98"/>
  <c r="G804" i="98"/>
  <c r="C805" i="98"/>
  <c r="D805" i="98"/>
  <c r="E805" i="98"/>
  <c r="G805" i="98"/>
  <c r="C806" i="98"/>
  <c r="D806" i="98"/>
  <c r="E806" i="98"/>
  <c r="F806" i="98"/>
  <c r="G806" i="98"/>
  <c r="C807" i="98"/>
  <c r="D807" i="98"/>
  <c r="E807" i="98"/>
  <c r="G807" i="98"/>
  <c r="C808" i="98"/>
  <c r="D808" i="98"/>
  <c r="E808" i="98"/>
  <c r="G808" i="98"/>
  <c r="C809" i="98"/>
  <c r="D809" i="98"/>
  <c r="E809" i="98"/>
  <c r="G809" i="98"/>
  <c r="C810" i="98"/>
  <c r="D810" i="98"/>
  <c r="E810" i="98"/>
  <c r="C811" i="98"/>
  <c r="D811" i="98"/>
  <c r="E811" i="98"/>
  <c r="C812" i="98"/>
  <c r="D812" i="98"/>
  <c r="E812" i="98"/>
  <c r="F813" i="98"/>
  <c r="F816" i="98"/>
  <c r="F818" i="98"/>
  <c r="F820" i="98"/>
  <c r="C762" i="98"/>
  <c r="D762" i="98"/>
  <c r="E762" i="98"/>
  <c r="G762" i="98"/>
  <c r="C763" i="98"/>
  <c r="D763" i="98"/>
  <c r="E763" i="98"/>
  <c r="F763" i="98"/>
  <c r="G763" i="98"/>
  <c r="C764" i="98"/>
  <c r="D764" i="98"/>
  <c r="E764" i="98"/>
  <c r="F764" i="98"/>
  <c r="G764" i="98"/>
  <c r="C765" i="98"/>
  <c r="D765" i="98"/>
  <c r="E765" i="98"/>
  <c r="F765" i="98"/>
  <c r="G765" i="98"/>
  <c r="C766" i="98"/>
  <c r="D766" i="98"/>
  <c r="E766" i="98"/>
  <c r="F766" i="98"/>
  <c r="G766" i="98"/>
  <c r="C767" i="98"/>
  <c r="D767" i="98"/>
  <c r="E767" i="98"/>
  <c r="G767" i="98"/>
  <c r="C768" i="98"/>
  <c r="D768" i="98"/>
  <c r="E768" i="98"/>
  <c r="F768" i="98"/>
  <c r="G768" i="98"/>
  <c r="C769" i="98"/>
  <c r="D769" i="98"/>
  <c r="E769" i="98"/>
  <c r="G769" i="98"/>
  <c r="C770" i="98"/>
  <c r="D770" i="98"/>
  <c r="E770" i="98"/>
  <c r="G770" i="98"/>
  <c r="C771" i="98"/>
  <c r="D771" i="98"/>
  <c r="E771" i="98"/>
  <c r="G771" i="98"/>
  <c r="F772" i="98"/>
  <c r="F775" i="98"/>
  <c r="F777" i="98"/>
  <c r="F779" i="98"/>
  <c r="D700" i="98"/>
  <c r="E700" i="98"/>
  <c r="F700" i="98"/>
  <c r="G700" i="98"/>
  <c r="C701" i="98"/>
  <c r="D701" i="98"/>
  <c r="E701" i="98"/>
  <c r="F701" i="98"/>
  <c r="G701" i="98"/>
  <c r="C702" i="98"/>
  <c r="F702" i="98"/>
  <c r="G702" i="98"/>
  <c r="C703" i="98"/>
  <c r="D703" i="98"/>
  <c r="E703" i="98"/>
  <c r="F703" i="98"/>
  <c r="G703" i="98"/>
  <c r="C704" i="98"/>
  <c r="D704" i="98"/>
  <c r="E704" i="98"/>
  <c r="F704" i="98"/>
  <c r="G704" i="98"/>
  <c r="C705" i="98"/>
  <c r="D705" i="98"/>
  <c r="E705" i="98"/>
  <c r="G705" i="98"/>
  <c r="C706" i="98"/>
  <c r="D706" i="98"/>
  <c r="E706" i="98"/>
  <c r="F706" i="98"/>
  <c r="G706" i="98"/>
  <c r="C707" i="98"/>
  <c r="D707" i="98"/>
  <c r="E707" i="98"/>
  <c r="G707" i="98"/>
  <c r="C708" i="98"/>
  <c r="D708" i="98"/>
  <c r="E708" i="98"/>
  <c r="G708" i="98"/>
  <c r="C709" i="98"/>
  <c r="D709" i="98"/>
  <c r="E709" i="98"/>
  <c r="G709" i="98"/>
  <c r="C710" i="98"/>
  <c r="D710" i="98"/>
  <c r="E710" i="98"/>
  <c r="G710" i="98"/>
  <c r="C711" i="98"/>
  <c r="D711" i="98"/>
  <c r="E711" i="98"/>
  <c r="G711" i="98"/>
  <c r="C712" i="98"/>
  <c r="D712" i="98"/>
  <c r="E712" i="98"/>
  <c r="F712" i="98"/>
  <c r="G712" i="98"/>
  <c r="F713" i="98"/>
  <c r="F716" i="98"/>
  <c r="F718" i="98"/>
  <c r="F720" i="98"/>
  <c r="D680" i="98"/>
  <c r="E680" i="98"/>
  <c r="F680" i="98"/>
  <c r="G680" i="98"/>
  <c r="C681" i="98"/>
  <c r="D681" i="98"/>
  <c r="E681" i="98"/>
  <c r="F681" i="98"/>
  <c r="G681" i="98"/>
  <c r="C682" i="98"/>
  <c r="F682" i="98"/>
  <c r="G682" i="98"/>
  <c r="C683" i="98"/>
  <c r="D683" i="98"/>
  <c r="E683" i="98"/>
  <c r="F683" i="98"/>
  <c r="G683" i="98"/>
  <c r="C684" i="98"/>
  <c r="D684" i="98"/>
  <c r="E684" i="98"/>
  <c r="F684" i="98"/>
  <c r="G684" i="98"/>
  <c r="C685" i="98"/>
  <c r="D685" i="98"/>
  <c r="E685" i="98"/>
  <c r="G685" i="98"/>
  <c r="C686" i="98"/>
  <c r="D686" i="98"/>
  <c r="E686" i="98"/>
  <c r="F686" i="98"/>
  <c r="G686" i="98"/>
  <c r="C687" i="98"/>
  <c r="D687" i="98"/>
  <c r="E687" i="98"/>
  <c r="G687" i="98"/>
  <c r="C688" i="98"/>
  <c r="D688" i="98"/>
  <c r="E688" i="98"/>
  <c r="G688" i="98"/>
  <c r="C689" i="98"/>
  <c r="D689" i="98"/>
  <c r="E689" i="98"/>
  <c r="G689" i="98"/>
  <c r="C690" i="98"/>
  <c r="D690" i="98"/>
  <c r="E690" i="98"/>
  <c r="F690" i="98"/>
  <c r="G690" i="98"/>
  <c r="F691" i="98"/>
  <c r="F694" i="98"/>
  <c r="F696" i="98"/>
  <c r="F698" i="98"/>
  <c r="C273" i="98"/>
  <c r="D273" i="98"/>
  <c r="E273" i="98"/>
  <c r="F273" i="98"/>
  <c r="G273" i="98"/>
  <c r="C274" i="98"/>
  <c r="D274" i="98"/>
  <c r="E274" i="98"/>
  <c r="F274" i="98"/>
  <c r="G274" i="98"/>
  <c r="C275" i="98"/>
  <c r="D275" i="98"/>
  <c r="E275" i="98"/>
  <c r="F275" i="98"/>
  <c r="G275" i="98"/>
  <c r="C276" i="98"/>
  <c r="D276" i="98"/>
  <c r="E276" i="98"/>
  <c r="F276" i="98"/>
  <c r="G276" i="98"/>
  <c r="C277" i="98"/>
  <c r="D277" i="98"/>
  <c r="E277" i="98"/>
  <c r="G277" i="98"/>
  <c r="F278" i="98"/>
  <c r="F281" i="98"/>
  <c r="F283" i="98"/>
  <c r="F285" i="98"/>
  <c r="D26" i="98"/>
  <c r="E26" i="98"/>
  <c r="F26" i="98"/>
  <c r="G26" i="98"/>
  <c r="C27" i="98"/>
  <c r="D27" i="98"/>
  <c r="E27" i="98"/>
  <c r="F27" i="98"/>
  <c r="G27" i="98"/>
  <c r="C28" i="98"/>
  <c r="F28" i="98"/>
  <c r="G28" i="98"/>
  <c r="C29" i="98"/>
  <c r="D29" i="98"/>
  <c r="E29" i="98"/>
  <c r="F29" i="98"/>
  <c r="G29" i="98"/>
  <c r="C30" i="98"/>
  <c r="D30" i="98"/>
  <c r="E30" i="98"/>
  <c r="G30" i="98"/>
  <c r="C31" i="98"/>
  <c r="D31" i="98"/>
  <c r="E31" i="98"/>
  <c r="F31" i="98"/>
  <c r="G31" i="98"/>
  <c r="C32" i="98"/>
  <c r="D32" i="98"/>
  <c r="E32" i="98"/>
  <c r="G32" i="98"/>
  <c r="C33" i="98"/>
  <c r="D33" i="98"/>
  <c r="E33" i="98"/>
  <c r="G33" i="98"/>
  <c r="C34" i="98"/>
  <c r="D34" i="98"/>
  <c r="E34" i="98"/>
  <c r="G34" i="98"/>
  <c r="C35" i="98"/>
  <c r="D35" i="98"/>
  <c r="E35" i="98"/>
  <c r="F35" i="98"/>
  <c r="G35" i="98"/>
  <c r="F36" i="98"/>
  <c r="F39" i="98"/>
  <c r="F41" i="98"/>
  <c r="F43" i="98"/>
  <c r="A3" i="106"/>
  <c r="A2" i="106"/>
  <c r="G378" i="103" l="1"/>
  <c r="E183" i="105" l="1"/>
  <c r="E181" i="105"/>
  <c r="E179" i="105"/>
  <c r="E176" i="105"/>
  <c r="H175" i="105"/>
  <c r="H174" i="105"/>
  <c r="H173" i="105" s="1"/>
  <c r="K168" i="105" s="1"/>
  <c r="H171" i="105"/>
  <c r="G170" i="105"/>
  <c r="H170" i="105" s="1"/>
  <c r="H169" i="105" s="1"/>
  <c r="E166" i="105"/>
  <c r="E164" i="105"/>
  <c r="E162" i="105"/>
  <c r="E159" i="105"/>
  <c r="H158" i="105"/>
  <c r="H157" i="105"/>
  <c r="H154" i="105"/>
  <c r="G136" i="105"/>
  <c r="E149" i="105"/>
  <c r="E147" i="105"/>
  <c r="E145" i="105"/>
  <c r="E142" i="105"/>
  <c r="H141" i="105"/>
  <c r="E132" i="105"/>
  <c r="E130" i="105"/>
  <c r="E128" i="105"/>
  <c r="E125" i="105"/>
  <c r="H124" i="105"/>
  <c r="H123" i="105"/>
  <c r="G102" i="105"/>
  <c r="H102" i="105" s="1"/>
  <c r="E115" i="105"/>
  <c r="E113" i="105"/>
  <c r="E111" i="105"/>
  <c r="E108" i="105"/>
  <c r="H107" i="105"/>
  <c r="H103" i="105"/>
  <c r="E98" i="105"/>
  <c r="E96" i="105"/>
  <c r="E94" i="105"/>
  <c r="E91" i="105"/>
  <c r="H86" i="105"/>
  <c r="H85" i="105"/>
  <c r="H84" i="105" s="1"/>
  <c r="J399" i="104"/>
  <c r="H122" i="105" l="1"/>
  <c r="K117" i="105" s="1"/>
  <c r="H156" i="105"/>
  <c r="K151" i="105" s="1"/>
  <c r="H101" i="105"/>
  <c r="I100" i="105" s="1"/>
  <c r="G153" i="105"/>
  <c r="H153" i="105" s="1"/>
  <c r="H152" i="105" s="1"/>
  <c r="I151" i="105" s="1"/>
  <c r="I168" i="105"/>
  <c r="I83" i="105"/>
  <c r="G70" i="105"/>
  <c r="H70" i="105" s="1"/>
  <c r="G69" i="105"/>
  <c r="H69" i="105" s="1"/>
  <c r="E81" i="105"/>
  <c r="E79" i="105"/>
  <c r="E77" i="105"/>
  <c r="E74" i="105"/>
  <c r="J400" i="104"/>
  <c r="B399" i="104"/>
  <c r="H56" i="105"/>
  <c r="K52" i="105" s="1"/>
  <c r="G54" i="105"/>
  <c r="H54" i="105" s="1"/>
  <c r="H53" i="105" s="1"/>
  <c r="E65" i="105"/>
  <c r="E63" i="105"/>
  <c r="E61" i="105"/>
  <c r="E58" i="105"/>
  <c r="G39" i="105"/>
  <c r="H39" i="105" s="1"/>
  <c r="H38" i="105" s="1"/>
  <c r="E50" i="105"/>
  <c r="E48" i="105"/>
  <c r="E46" i="105"/>
  <c r="E43" i="105"/>
  <c r="G24" i="105"/>
  <c r="H24" i="105" s="1"/>
  <c r="H23" i="105" s="1"/>
  <c r="E35" i="105"/>
  <c r="E33" i="105"/>
  <c r="E31" i="105"/>
  <c r="E28" i="105"/>
  <c r="J401" i="104" l="1"/>
  <c r="J402" i="104"/>
  <c r="H68" i="105"/>
  <c r="I67" i="105" s="1"/>
  <c r="I52" i="105"/>
  <c r="I37" i="105"/>
  <c r="I22" i="105"/>
  <c r="G9" i="105"/>
  <c r="E20" i="105"/>
  <c r="E18" i="105"/>
  <c r="E16" i="105"/>
  <c r="E13" i="105"/>
  <c r="J5" i="105"/>
  <c r="B3" i="105"/>
  <c r="B2" i="105"/>
  <c r="B2" i="98"/>
  <c r="B3" i="98"/>
  <c r="B3" i="103"/>
  <c r="B2" i="103"/>
  <c r="B20" i="66"/>
  <c r="B21" i="66"/>
  <c r="B22" i="66"/>
  <c r="B23" i="66"/>
  <c r="B24" i="66"/>
  <c r="B25" i="66"/>
  <c r="B26" i="66"/>
  <c r="B27" i="66"/>
  <c r="B28" i="66"/>
  <c r="B29" i="66"/>
  <c r="B30" i="66"/>
  <c r="B31" i="66"/>
  <c r="B32" i="66"/>
  <c r="B33" i="66"/>
  <c r="B34" i="66"/>
  <c r="B35" i="66"/>
  <c r="B36" i="66"/>
  <c r="B37" i="66"/>
  <c r="B38" i="66"/>
  <c r="B39" i="66"/>
  <c r="B40" i="66"/>
  <c r="B41" i="66"/>
  <c r="B42" i="66"/>
  <c r="B43" i="66"/>
  <c r="B44" i="66"/>
  <c r="B45" i="66"/>
  <c r="B46" i="66"/>
  <c r="B47" i="66"/>
  <c r="B48" i="66"/>
  <c r="B49" i="66"/>
  <c r="B50" i="66"/>
  <c r="B51" i="66"/>
  <c r="B52" i="66"/>
  <c r="B53" i="66"/>
  <c r="B54" i="66"/>
  <c r="B55" i="66"/>
  <c r="B56" i="66"/>
  <c r="B57" i="66"/>
  <c r="B58" i="66"/>
  <c r="B59" i="66"/>
  <c r="B60" i="66"/>
  <c r="B61" i="66"/>
  <c r="B62" i="66"/>
  <c r="B63" i="66"/>
  <c r="B64" i="66"/>
  <c r="B65" i="66"/>
  <c r="B66" i="66"/>
  <c r="B67" i="66"/>
  <c r="B68" i="66"/>
  <c r="B69" i="66"/>
  <c r="B70" i="66"/>
  <c r="B71" i="66"/>
  <c r="B72" i="66"/>
  <c r="B73" i="66"/>
  <c r="B74" i="66"/>
  <c r="B75" i="66"/>
  <c r="B76" i="66"/>
  <c r="B77" i="66"/>
  <c r="B78" i="66"/>
  <c r="B79" i="66"/>
  <c r="B80" i="66"/>
  <c r="B81" i="66"/>
  <c r="B82" i="66"/>
  <c r="B83" i="66"/>
  <c r="B84" i="66"/>
  <c r="B85" i="66"/>
  <c r="B86" i="66"/>
  <c r="B87" i="66"/>
  <c r="B88" i="66"/>
  <c r="B89" i="66"/>
  <c r="B90" i="66"/>
  <c r="B91" i="66"/>
  <c r="B92" i="66"/>
  <c r="B93" i="66"/>
  <c r="B94" i="66"/>
  <c r="B95" i="66"/>
  <c r="B96" i="66"/>
  <c r="B97" i="66"/>
  <c r="B98" i="66"/>
  <c r="B99" i="66"/>
  <c r="B100" i="66"/>
  <c r="B101" i="66"/>
  <c r="B102" i="66"/>
  <c r="B103" i="66"/>
  <c r="B104" i="66"/>
  <c r="B105" i="66"/>
  <c r="B106" i="66"/>
  <c r="B107" i="66"/>
  <c r="B108" i="66"/>
  <c r="B109" i="66"/>
  <c r="B110" i="66"/>
  <c r="B111" i="66"/>
  <c r="B112" i="66"/>
  <c r="B113" i="66"/>
  <c r="B114" i="66"/>
  <c r="B115" i="66"/>
  <c r="B116" i="66"/>
  <c r="B117" i="66"/>
  <c r="B118" i="66"/>
  <c r="B119" i="66"/>
  <c r="B120" i="66"/>
  <c r="B121" i="66"/>
  <c r="B122" i="66"/>
  <c r="B123" i="66"/>
  <c r="B124" i="66"/>
  <c r="B125" i="66"/>
  <c r="B126" i="66"/>
  <c r="B127" i="66"/>
  <c r="B128" i="66"/>
  <c r="B129" i="66"/>
  <c r="B130" i="66"/>
  <c r="B131" i="66"/>
  <c r="B132" i="66"/>
  <c r="B133" i="66"/>
  <c r="B134" i="66"/>
  <c r="B135" i="66"/>
  <c r="B136" i="66"/>
  <c r="B137" i="66"/>
  <c r="B138" i="66"/>
  <c r="B139" i="66"/>
  <c r="B140" i="66"/>
  <c r="B141" i="66"/>
  <c r="B142" i="66"/>
  <c r="B143" i="66"/>
  <c r="B144" i="66"/>
  <c r="B145" i="66"/>
  <c r="B146" i="66"/>
  <c r="B147" i="66"/>
  <c r="B148" i="66"/>
  <c r="B149" i="66"/>
  <c r="B150" i="66"/>
  <c r="B151" i="66"/>
  <c r="B152" i="66"/>
  <c r="B153" i="66"/>
  <c r="B154" i="66"/>
  <c r="B155" i="66"/>
  <c r="B156" i="66"/>
  <c r="B157" i="66"/>
  <c r="B158" i="66"/>
  <c r="B159" i="66"/>
  <c r="B160" i="66"/>
  <c r="B161" i="66"/>
  <c r="B162" i="66"/>
  <c r="B163" i="66"/>
  <c r="B164" i="66"/>
  <c r="B165" i="66"/>
  <c r="B166" i="66"/>
  <c r="B167" i="66"/>
  <c r="B168" i="66"/>
  <c r="B169" i="66"/>
  <c r="B170" i="66"/>
  <c r="B171" i="66"/>
  <c r="B172" i="66"/>
  <c r="B173" i="66"/>
  <c r="B174" i="66"/>
  <c r="B175" i="66"/>
  <c r="B176" i="66"/>
  <c r="B177" i="66"/>
  <c r="B178" i="66"/>
  <c r="B179" i="66"/>
  <c r="B180" i="66"/>
  <c r="B181" i="66"/>
  <c r="B182" i="66"/>
  <c r="B183" i="66"/>
  <c r="B184" i="66"/>
  <c r="B185" i="66"/>
  <c r="B186" i="66"/>
  <c r="B187" i="66"/>
  <c r="B188" i="66"/>
  <c r="B189" i="66"/>
  <c r="B190" i="66"/>
  <c r="B191" i="66"/>
  <c r="B192" i="66"/>
  <c r="B193" i="66"/>
  <c r="B194" i="66"/>
  <c r="B195" i="66"/>
  <c r="B196" i="66"/>
  <c r="B197" i="66"/>
  <c r="B198" i="66"/>
  <c r="B199" i="66"/>
  <c r="B200" i="66"/>
  <c r="B201" i="66"/>
  <c r="B202" i="66"/>
  <c r="B203" i="66"/>
  <c r="B204" i="66"/>
  <c r="B205" i="66"/>
  <c r="B206" i="66"/>
  <c r="B207" i="66"/>
  <c r="B208" i="66"/>
  <c r="B209" i="66"/>
  <c r="B210" i="66"/>
  <c r="B211" i="66"/>
  <c r="B212" i="66"/>
  <c r="B213" i="66"/>
  <c r="B214" i="66"/>
  <c r="B215" i="66"/>
  <c r="B216" i="66"/>
  <c r="B217" i="66"/>
  <c r="B218" i="66"/>
  <c r="B219" i="66"/>
  <c r="B220" i="66"/>
  <c r="B221" i="66"/>
  <c r="B222" i="66"/>
  <c r="B223" i="66"/>
  <c r="B224" i="66"/>
  <c r="B225" i="66"/>
  <c r="B226" i="66"/>
  <c r="B227" i="66"/>
  <c r="B228" i="66"/>
  <c r="B229" i="66"/>
  <c r="B230" i="66"/>
  <c r="B231" i="66"/>
  <c r="B232" i="66"/>
  <c r="B233" i="66"/>
  <c r="B234" i="66"/>
  <c r="B235" i="66"/>
  <c r="B236" i="66"/>
  <c r="B237" i="66"/>
  <c r="B238" i="66"/>
  <c r="B239" i="66"/>
  <c r="B240" i="66"/>
  <c r="B241" i="66"/>
  <c r="B242" i="66"/>
  <c r="B243" i="66"/>
  <c r="B244" i="66"/>
  <c r="B245" i="66"/>
  <c r="B246" i="66"/>
  <c r="B247" i="66"/>
  <c r="B248" i="66"/>
  <c r="B249" i="66"/>
  <c r="B250" i="66"/>
  <c r="B251" i="66"/>
  <c r="B252" i="66"/>
  <c r="B253" i="66"/>
  <c r="B254" i="66"/>
  <c r="B255" i="66"/>
  <c r="B256" i="66"/>
  <c r="B257" i="66"/>
  <c r="B258" i="66"/>
  <c r="B259" i="66"/>
  <c r="B260" i="66"/>
  <c r="B261" i="66"/>
  <c r="B262" i="66"/>
  <c r="B263" i="66"/>
  <c r="B264" i="66"/>
  <c r="B265" i="66"/>
  <c r="B266" i="66"/>
  <c r="B267" i="66"/>
  <c r="B268" i="66"/>
  <c r="B269" i="66"/>
  <c r="B270" i="66"/>
  <c r="B271" i="66"/>
  <c r="B272" i="66"/>
  <c r="B273" i="66"/>
  <c r="B274" i="66"/>
  <c r="B275" i="66"/>
  <c r="B276" i="66"/>
  <c r="B277" i="66"/>
  <c r="B278" i="66"/>
  <c r="B279" i="66"/>
  <c r="B280" i="66"/>
  <c r="B281" i="66"/>
  <c r="B282" i="66"/>
  <c r="B283" i="66"/>
  <c r="B284" i="66"/>
  <c r="B285" i="66"/>
  <c r="B286" i="66"/>
  <c r="B287" i="66"/>
  <c r="B288" i="66"/>
  <c r="B289" i="66"/>
  <c r="B290" i="66"/>
  <c r="B291" i="66"/>
  <c r="B292" i="66"/>
  <c r="B293" i="66"/>
  <c r="B294" i="66"/>
  <c r="B295" i="66"/>
  <c r="B296" i="66"/>
  <c r="B297" i="66"/>
  <c r="B298" i="66"/>
  <c r="B299" i="66"/>
  <c r="B300" i="66"/>
  <c r="B301" i="66"/>
  <c r="B302" i="66"/>
  <c r="B303" i="66"/>
  <c r="B304" i="66"/>
  <c r="B305" i="66"/>
  <c r="B306" i="66"/>
  <c r="B307" i="66"/>
  <c r="B308" i="66"/>
  <c r="B309" i="66"/>
  <c r="B310" i="66"/>
  <c r="B311" i="66"/>
  <c r="B312" i="66"/>
  <c r="B313" i="66"/>
  <c r="B314" i="66"/>
  <c r="B315" i="66"/>
  <c r="B316" i="66"/>
  <c r="B317" i="66"/>
  <c r="B318" i="66"/>
  <c r="B319" i="66"/>
  <c r="B320" i="66"/>
  <c r="B321" i="66"/>
  <c r="B322" i="66"/>
  <c r="B323" i="66"/>
  <c r="B324" i="66"/>
  <c r="B325" i="66"/>
  <c r="B326" i="66"/>
  <c r="B327" i="66"/>
  <c r="B328" i="66"/>
  <c r="B329" i="66"/>
  <c r="B330" i="66"/>
  <c r="B331" i="66"/>
  <c r="B332" i="66"/>
  <c r="B333" i="66"/>
  <c r="B334" i="66"/>
  <c r="B335" i="66"/>
  <c r="B336" i="66"/>
  <c r="B337" i="66"/>
  <c r="B338" i="66"/>
  <c r="B339" i="66"/>
  <c r="B340" i="66"/>
  <c r="B341" i="66"/>
  <c r="B342" i="66"/>
  <c r="B343" i="66"/>
  <c r="B344" i="66"/>
  <c r="B345" i="66"/>
  <c r="B346" i="66"/>
  <c r="B347" i="66"/>
  <c r="B348" i="66"/>
  <c r="B349" i="66"/>
  <c r="B350" i="66"/>
  <c r="B351" i="66"/>
  <c r="B352" i="66"/>
  <c r="B353" i="66"/>
  <c r="B354" i="66"/>
  <c r="B355" i="66"/>
  <c r="B356" i="66"/>
  <c r="B357" i="66"/>
  <c r="B358" i="66"/>
  <c r="B359" i="66"/>
  <c r="B360" i="66"/>
  <c r="B361" i="66"/>
  <c r="B362" i="66"/>
  <c r="B363" i="66"/>
  <c r="B364" i="66"/>
  <c r="B365" i="66"/>
  <c r="B366" i="66"/>
  <c r="B367" i="66"/>
  <c r="B368" i="66"/>
  <c r="B369" i="66"/>
  <c r="B370" i="66"/>
  <c r="B371" i="66"/>
  <c r="B372" i="66"/>
  <c r="B373" i="66"/>
  <c r="B374" i="66"/>
  <c r="B375" i="66"/>
  <c r="B376" i="66"/>
  <c r="B377" i="66"/>
  <c r="B378" i="66"/>
  <c r="B379" i="66"/>
  <c r="B380" i="66"/>
  <c r="B381" i="66"/>
  <c r="B382" i="66"/>
  <c r="B383" i="66"/>
  <c r="B384" i="66"/>
  <c r="B385" i="66"/>
  <c r="B386" i="66"/>
  <c r="B387" i="66"/>
  <c r="B388" i="66"/>
  <c r="B389" i="66"/>
  <c r="B390" i="66"/>
  <c r="B391" i="66"/>
  <c r="B392" i="66"/>
  <c r="B393" i="66"/>
  <c r="B394" i="66"/>
  <c r="B395" i="66"/>
  <c r="B396" i="66"/>
  <c r="B397" i="66"/>
  <c r="B398" i="66"/>
  <c r="B399" i="66"/>
  <c r="B400" i="66"/>
  <c r="B401" i="66"/>
  <c r="B402" i="66"/>
  <c r="B403" i="66"/>
  <c r="B404" i="66"/>
  <c r="B405" i="66"/>
  <c r="B406" i="66"/>
  <c r="B407" i="66"/>
  <c r="B408" i="66"/>
  <c r="B409" i="66"/>
  <c r="B410" i="66"/>
  <c r="B411" i="66"/>
  <c r="B412" i="66"/>
  <c r="B413" i="66"/>
  <c r="B414" i="66"/>
  <c r="B415" i="66"/>
  <c r="B416" i="66"/>
  <c r="B417" i="66"/>
  <c r="B418" i="66"/>
  <c r="B419" i="66"/>
  <c r="B420" i="66"/>
  <c r="B421" i="66"/>
  <c r="B422" i="66"/>
  <c r="B423" i="66"/>
  <c r="B424" i="66"/>
  <c r="B425" i="66"/>
  <c r="B426" i="66"/>
  <c r="B427" i="66"/>
  <c r="B428" i="66"/>
  <c r="B429" i="66"/>
  <c r="B430" i="66"/>
  <c r="B431" i="66"/>
  <c r="B432" i="66"/>
  <c r="B433" i="66"/>
  <c r="B434" i="66"/>
  <c r="B435" i="66"/>
  <c r="B436" i="66"/>
  <c r="B437" i="66"/>
  <c r="B438" i="66"/>
  <c r="B439" i="66"/>
  <c r="B440" i="66"/>
  <c r="B441" i="66"/>
  <c r="B442" i="66"/>
  <c r="B443" i="66"/>
  <c r="B444" i="66"/>
  <c r="B445" i="66"/>
  <c r="B446" i="66"/>
  <c r="B447" i="66"/>
  <c r="B448" i="66"/>
  <c r="B449" i="66"/>
  <c r="B450" i="66"/>
  <c r="B451" i="66"/>
  <c r="B452" i="66"/>
  <c r="B453" i="66"/>
  <c r="B454" i="66"/>
  <c r="B455" i="66"/>
  <c r="B456" i="66"/>
  <c r="B457" i="66"/>
  <c r="B458" i="66"/>
  <c r="B459" i="66"/>
  <c r="B460" i="66"/>
  <c r="B461" i="66"/>
  <c r="B462" i="66"/>
  <c r="B463" i="66"/>
  <c r="B464" i="66"/>
  <c r="B465" i="66"/>
  <c r="B466" i="66"/>
  <c r="B467" i="66"/>
  <c r="B468" i="66"/>
  <c r="B469" i="66"/>
  <c r="B470" i="66"/>
  <c r="B471" i="66"/>
  <c r="B472" i="66"/>
  <c r="B473" i="66"/>
  <c r="B474" i="66"/>
  <c r="B475" i="66"/>
  <c r="B476" i="66"/>
  <c r="B477" i="66"/>
  <c r="B478" i="66"/>
  <c r="B479" i="66"/>
  <c r="B480" i="66"/>
  <c r="B481" i="66"/>
  <c r="B482" i="66"/>
  <c r="B483" i="66"/>
  <c r="B484" i="66"/>
  <c r="B485" i="66"/>
  <c r="B486" i="66"/>
  <c r="B487" i="66"/>
  <c r="B488" i="66"/>
  <c r="B489" i="66"/>
  <c r="B490" i="66"/>
  <c r="B491" i="66"/>
  <c r="B492" i="66"/>
  <c r="B493" i="66"/>
  <c r="B494" i="66"/>
  <c r="B495" i="66"/>
  <c r="B496" i="66"/>
  <c r="B497" i="66"/>
  <c r="B498" i="66"/>
  <c r="B499" i="66"/>
  <c r="B500" i="66"/>
  <c r="B501" i="66"/>
  <c r="B502" i="66"/>
  <c r="B503" i="66"/>
  <c r="B504" i="66"/>
  <c r="B505" i="66"/>
  <c r="B506" i="66"/>
  <c r="B507" i="66"/>
  <c r="B508" i="66"/>
  <c r="B509" i="66"/>
  <c r="B510" i="66"/>
  <c r="B511" i="66"/>
  <c r="B512" i="66"/>
  <c r="B513" i="66"/>
  <c r="B514" i="66"/>
  <c r="B515" i="66"/>
  <c r="B516" i="66"/>
  <c r="B517" i="66"/>
  <c r="B518" i="66"/>
  <c r="B519" i="66"/>
  <c r="B520" i="66"/>
  <c r="B521" i="66"/>
  <c r="B522" i="66"/>
  <c r="B523" i="66"/>
  <c r="B524" i="66"/>
  <c r="B525" i="66"/>
  <c r="B526" i="66"/>
  <c r="B527" i="66"/>
  <c r="B528" i="66"/>
  <c r="B529" i="66"/>
  <c r="B530" i="66"/>
  <c r="B531" i="66"/>
  <c r="B532" i="66"/>
  <c r="B533" i="66"/>
  <c r="B534" i="66"/>
  <c r="B535" i="66"/>
  <c r="B536" i="66"/>
  <c r="B537" i="66"/>
  <c r="B538" i="66"/>
  <c r="B539" i="66"/>
  <c r="B540" i="66"/>
  <c r="B541" i="66"/>
  <c r="B542" i="66"/>
  <c r="B543" i="66"/>
  <c r="B544" i="66"/>
  <c r="B545" i="66"/>
  <c r="B546" i="66"/>
  <c r="B547" i="66"/>
  <c r="B548" i="66"/>
  <c r="B549" i="66"/>
  <c r="B550" i="66"/>
  <c r="B551" i="66"/>
  <c r="B552" i="66"/>
  <c r="B553" i="66"/>
  <c r="B554" i="66"/>
  <c r="B555" i="66"/>
  <c r="B556" i="66"/>
  <c r="B557" i="66"/>
  <c r="B558" i="66"/>
  <c r="B559" i="66"/>
  <c r="B560" i="66"/>
  <c r="B561" i="66"/>
  <c r="B562" i="66"/>
  <c r="B563" i="66"/>
  <c r="B564" i="66"/>
  <c r="B565" i="66"/>
  <c r="B566" i="66"/>
  <c r="B567" i="66"/>
  <c r="B568" i="66"/>
  <c r="B569" i="66"/>
  <c r="B570" i="66"/>
  <c r="B571" i="66"/>
  <c r="B572" i="66"/>
  <c r="B573" i="66"/>
  <c r="B574" i="66"/>
  <c r="B575" i="66"/>
  <c r="B576" i="66"/>
  <c r="B577" i="66"/>
  <c r="B578" i="66"/>
  <c r="B579" i="66"/>
  <c r="B580" i="66"/>
  <c r="B581" i="66"/>
  <c r="B582" i="66"/>
  <c r="B583" i="66"/>
  <c r="B584" i="66"/>
  <c r="B585" i="66"/>
  <c r="B586" i="66"/>
  <c r="B587" i="66"/>
  <c r="B588" i="66"/>
  <c r="B589" i="66"/>
  <c r="B590" i="66"/>
  <c r="B591" i="66"/>
  <c r="B592" i="66"/>
  <c r="B593" i="66"/>
  <c r="B594" i="66"/>
  <c r="B595" i="66"/>
  <c r="B596" i="66"/>
  <c r="B597" i="66"/>
  <c r="B598" i="66"/>
  <c r="B599" i="66"/>
  <c r="B600" i="66"/>
  <c r="B601" i="66"/>
  <c r="B602" i="66"/>
  <c r="B603" i="66"/>
  <c r="B604" i="66"/>
  <c r="B605" i="66"/>
  <c r="B606" i="66"/>
  <c r="B607" i="66"/>
  <c r="B608" i="66"/>
  <c r="B609" i="66"/>
  <c r="B610" i="66"/>
  <c r="B611" i="66"/>
  <c r="B612" i="66"/>
  <c r="B613" i="66"/>
  <c r="B614" i="66"/>
  <c r="B615" i="66"/>
  <c r="B616" i="66"/>
  <c r="B617" i="66"/>
  <c r="B618" i="66"/>
  <c r="B619" i="66"/>
  <c r="B620" i="66"/>
  <c r="B621" i="66"/>
  <c r="B622" i="66"/>
  <c r="B623" i="66"/>
  <c r="B624" i="66"/>
  <c r="B625" i="66"/>
  <c r="B626" i="66"/>
  <c r="B627" i="66"/>
  <c r="B628" i="66"/>
  <c r="B629" i="66"/>
  <c r="B630" i="66"/>
  <c r="B631" i="66"/>
  <c r="B632" i="66"/>
  <c r="B633" i="66"/>
  <c r="B634" i="66"/>
  <c r="B635" i="66"/>
  <c r="B636" i="66"/>
  <c r="B637" i="66"/>
  <c r="B638" i="66"/>
  <c r="B639" i="66"/>
  <c r="B640" i="66"/>
  <c r="B641" i="66"/>
  <c r="B642" i="66"/>
  <c r="B643" i="66"/>
  <c r="B644" i="66"/>
  <c r="B645" i="66"/>
  <c r="B646" i="66"/>
  <c r="B647" i="66"/>
  <c r="B648" i="66"/>
  <c r="B649" i="66"/>
  <c r="B650" i="66"/>
  <c r="B651" i="66"/>
  <c r="B652" i="66"/>
  <c r="B653" i="66"/>
  <c r="B654" i="66"/>
  <c r="B655" i="66"/>
  <c r="B656" i="66"/>
  <c r="B657" i="66"/>
  <c r="B658" i="66"/>
  <c r="B659" i="66"/>
  <c r="B660" i="66"/>
  <c r="B661" i="66"/>
  <c r="B662" i="66"/>
  <c r="B663" i="66"/>
  <c r="B664" i="66"/>
  <c r="B665" i="66"/>
  <c r="B666" i="66"/>
  <c r="B667" i="66"/>
  <c r="B668" i="66"/>
  <c r="B669" i="66"/>
  <c r="B670" i="66"/>
  <c r="B671" i="66"/>
  <c r="B672" i="66"/>
  <c r="B673" i="66"/>
  <c r="B674" i="66"/>
  <c r="B675" i="66"/>
  <c r="B676" i="66"/>
  <c r="B677" i="66"/>
  <c r="B678" i="66"/>
  <c r="B679" i="66"/>
  <c r="B680" i="66"/>
  <c r="B681" i="66"/>
  <c r="B682" i="66"/>
  <c r="B683" i="66"/>
  <c r="B684" i="66"/>
  <c r="B685" i="66"/>
  <c r="B686" i="66"/>
  <c r="B687" i="66"/>
  <c r="B688" i="66"/>
  <c r="B689" i="66"/>
  <c r="B690" i="66"/>
  <c r="B691" i="66"/>
  <c r="B692" i="66"/>
  <c r="B693" i="66"/>
  <c r="B694" i="66"/>
  <c r="B695" i="66"/>
  <c r="B696" i="66"/>
  <c r="B697" i="66"/>
  <c r="B698" i="66"/>
  <c r="B699" i="66"/>
  <c r="B700" i="66"/>
  <c r="B701" i="66"/>
  <c r="B702" i="66"/>
  <c r="B703" i="66"/>
  <c r="B704" i="66"/>
  <c r="B705" i="66"/>
  <c r="B706" i="66"/>
  <c r="B707" i="66"/>
  <c r="B708" i="66"/>
  <c r="B709" i="66"/>
  <c r="B710" i="66"/>
  <c r="B711" i="66"/>
  <c r="B712" i="66"/>
  <c r="B713" i="66"/>
  <c r="B714" i="66"/>
  <c r="B715" i="66"/>
  <c r="B716" i="66"/>
  <c r="B717" i="66"/>
  <c r="B718" i="66"/>
  <c r="B719" i="66"/>
  <c r="B720" i="66"/>
  <c r="B721" i="66"/>
  <c r="B722" i="66"/>
  <c r="B723" i="66"/>
  <c r="B724" i="66"/>
  <c r="B725" i="66"/>
  <c r="B726" i="66"/>
  <c r="B727" i="66"/>
  <c r="B728" i="66"/>
  <c r="B729" i="66"/>
  <c r="B730" i="66"/>
  <c r="B731" i="66"/>
  <c r="B732" i="66"/>
  <c r="B733" i="66"/>
  <c r="B734" i="66"/>
  <c r="B735" i="66"/>
  <c r="B736" i="66"/>
  <c r="B737" i="66"/>
  <c r="B738" i="66"/>
  <c r="B739" i="66"/>
  <c r="B740" i="66"/>
  <c r="B741" i="66"/>
  <c r="B742" i="66"/>
  <c r="B743" i="66"/>
  <c r="B744" i="66"/>
  <c r="B745" i="66"/>
  <c r="B746" i="66"/>
  <c r="B747" i="66"/>
  <c r="B748" i="66"/>
  <c r="B749" i="66"/>
  <c r="B750" i="66"/>
  <c r="B751" i="66"/>
  <c r="B752" i="66"/>
  <c r="B753" i="66"/>
  <c r="B754" i="66"/>
  <c r="B755" i="66"/>
  <c r="B756" i="66"/>
  <c r="B757" i="66"/>
  <c r="B758" i="66"/>
  <c r="B759" i="66"/>
  <c r="B760" i="66"/>
  <c r="B761" i="66"/>
  <c r="B762" i="66"/>
  <c r="B763" i="66"/>
  <c r="B764" i="66"/>
  <c r="B765" i="66"/>
  <c r="B766" i="66"/>
  <c r="B767" i="66"/>
  <c r="B768" i="66"/>
  <c r="B769" i="66"/>
  <c r="B770" i="66"/>
  <c r="B771" i="66"/>
  <c r="B772" i="66"/>
  <c r="B773" i="66"/>
  <c r="B774" i="66"/>
  <c r="B775" i="66"/>
  <c r="B776" i="66"/>
  <c r="B777" i="66"/>
  <c r="B778" i="66"/>
  <c r="B779" i="66"/>
  <c r="B780" i="66"/>
  <c r="B781" i="66"/>
  <c r="B782" i="66"/>
  <c r="B783" i="66"/>
  <c r="B784" i="66"/>
  <c r="B785" i="66"/>
  <c r="B786" i="66"/>
  <c r="B787" i="66"/>
  <c r="B788" i="66"/>
  <c r="B789" i="66"/>
  <c r="B790" i="66"/>
  <c r="B791" i="66"/>
  <c r="B792" i="66"/>
  <c r="B793" i="66"/>
  <c r="B794" i="66"/>
  <c r="B795" i="66"/>
  <c r="B796" i="66"/>
  <c r="B797" i="66"/>
  <c r="B798" i="66"/>
  <c r="B799" i="66"/>
  <c r="B800" i="66"/>
  <c r="B801" i="66"/>
  <c r="B802" i="66"/>
  <c r="B803" i="66"/>
  <c r="B804" i="66"/>
  <c r="B805" i="66"/>
  <c r="B806" i="66"/>
  <c r="B807" i="66"/>
  <c r="B808" i="66"/>
  <c r="B809" i="66"/>
  <c r="B810" i="66"/>
  <c r="B811" i="66"/>
  <c r="B812" i="66"/>
  <c r="B813" i="66"/>
  <c r="B814" i="66"/>
  <c r="B815" i="66"/>
  <c r="B816" i="66"/>
  <c r="B817" i="66"/>
  <c r="B818" i="66"/>
  <c r="B819" i="66"/>
  <c r="B820" i="66"/>
  <c r="B821" i="66"/>
  <c r="B822" i="66"/>
  <c r="B823" i="66"/>
  <c r="B824" i="66"/>
  <c r="B825" i="66"/>
  <c r="B826" i="66"/>
  <c r="B827" i="66"/>
  <c r="B828" i="66"/>
  <c r="B829" i="66"/>
  <c r="B830" i="66"/>
  <c r="B831" i="66"/>
  <c r="B832" i="66"/>
  <c r="B833" i="66"/>
  <c r="B834" i="66"/>
  <c r="B835" i="66"/>
  <c r="B836" i="66"/>
  <c r="B837" i="66"/>
  <c r="B838" i="66"/>
  <c r="B839" i="66"/>
  <c r="B840" i="66"/>
  <c r="B841" i="66"/>
  <c r="B842" i="66"/>
  <c r="B843" i="66"/>
  <c r="B844" i="66"/>
  <c r="B845" i="66"/>
  <c r="B846" i="66"/>
  <c r="B847" i="66"/>
  <c r="B848" i="66"/>
  <c r="B849" i="66"/>
  <c r="B850" i="66"/>
  <c r="B851" i="66"/>
  <c r="B852" i="66"/>
  <c r="B853" i="66"/>
  <c r="B854" i="66"/>
  <c r="B855" i="66"/>
  <c r="B856" i="66"/>
  <c r="B857" i="66"/>
  <c r="B858" i="66"/>
  <c r="B859" i="66"/>
  <c r="B860" i="66"/>
  <c r="B861" i="66"/>
  <c r="B862" i="66"/>
  <c r="B863" i="66"/>
  <c r="B864" i="66"/>
  <c r="B865" i="66"/>
  <c r="B866" i="66"/>
  <c r="B867" i="66"/>
  <c r="B868" i="66"/>
  <c r="B869" i="66"/>
  <c r="B870" i="66"/>
  <c r="B871" i="66"/>
  <c r="B872" i="66"/>
  <c r="B873" i="66"/>
  <c r="B874" i="66"/>
  <c r="B875" i="66"/>
  <c r="B876" i="66"/>
  <c r="B877" i="66"/>
  <c r="B878" i="66"/>
  <c r="B879" i="66"/>
  <c r="B880" i="66"/>
  <c r="B881" i="66"/>
  <c r="B882" i="66"/>
  <c r="B883" i="66"/>
  <c r="B884" i="66"/>
  <c r="B885" i="66"/>
  <c r="B886" i="66"/>
  <c r="B887" i="66"/>
  <c r="B888" i="66"/>
  <c r="B889" i="66"/>
  <c r="B890" i="66"/>
  <c r="B891" i="66"/>
  <c r="B892" i="66"/>
  <c r="B893" i="66"/>
  <c r="B894" i="66"/>
  <c r="B895" i="66"/>
  <c r="B896" i="66"/>
  <c r="B897" i="66"/>
  <c r="B898" i="66"/>
  <c r="B899" i="66"/>
  <c r="B900" i="66"/>
  <c r="B901" i="66"/>
  <c r="B902" i="66"/>
  <c r="B903" i="66"/>
  <c r="B904" i="66"/>
  <c r="B905" i="66"/>
  <c r="B906" i="66"/>
  <c r="B907" i="66"/>
  <c r="B908" i="66"/>
  <c r="B909" i="66"/>
  <c r="B910" i="66"/>
  <c r="B911" i="66"/>
  <c r="B912" i="66"/>
  <c r="B913" i="66"/>
  <c r="B914" i="66"/>
  <c r="B915" i="66"/>
  <c r="B916" i="66"/>
  <c r="B917" i="66"/>
  <c r="B918" i="66"/>
  <c r="B919" i="66"/>
  <c r="B920" i="66"/>
  <c r="B921" i="66"/>
  <c r="B922" i="66"/>
  <c r="B923" i="66"/>
  <c r="B924" i="66"/>
  <c r="B925" i="66"/>
  <c r="B926" i="66"/>
  <c r="B927" i="66"/>
  <c r="B928" i="66"/>
  <c r="B929" i="66"/>
  <c r="B930" i="66"/>
  <c r="B931" i="66"/>
  <c r="B932" i="66"/>
  <c r="B933" i="66"/>
  <c r="B934" i="66"/>
  <c r="B935" i="66"/>
  <c r="B936" i="66"/>
  <c r="B937" i="66"/>
  <c r="B938" i="66"/>
  <c r="B939" i="66"/>
  <c r="B940" i="66"/>
  <c r="B941" i="66"/>
  <c r="B942" i="66"/>
  <c r="B943" i="66"/>
  <c r="B944" i="66"/>
  <c r="B945" i="66"/>
  <c r="B946" i="66"/>
  <c r="B947" i="66"/>
  <c r="B948" i="66"/>
  <c r="B949" i="66"/>
  <c r="B950" i="66"/>
  <c r="B951" i="66"/>
  <c r="B952" i="66"/>
  <c r="B953" i="66"/>
  <c r="B954" i="66"/>
  <c r="B955" i="66"/>
  <c r="B956" i="66"/>
  <c r="B957" i="66"/>
  <c r="B958" i="66"/>
  <c r="B959" i="66"/>
  <c r="B960" i="66"/>
  <c r="B961" i="66"/>
  <c r="B962" i="66"/>
  <c r="B963" i="66"/>
  <c r="B964" i="66"/>
  <c r="B965" i="66"/>
  <c r="B966" i="66"/>
  <c r="B967" i="66"/>
  <c r="B968" i="66"/>
  <c r="B969" i="66"/>
  <c r="B970" i="66"/>
  <c r="B971" i="66"/>
  <c r="B972" i="66"/>
  <c r="B973" i="66"/>
  <c r="B974" i="66"/>
  <c r="B975" i="66"/>
  <c r="B976" i="66"/>
  <c r="B977" i="66"/>
  <c r="B978" i="66"/>
  <c r="B979" i="66"/>
  <c r="B980" i="66"/>
  <c r="B981" i="66"/>
  <c r="B982" i="66"/>
  <c r="B983" i="66"/>
  <c r="B984" i="66"/>
  <c r="B985" i="66"/>
  <c r="B986" i="66"/>
  <c r="B987" i="66"/>
  <c r="B988" i="66"/>
  <c r="B989" i="66"/>
  <c r="B990" i="66"/>
  <c r="B991" i="66"/>
  <c r="B992" i="66"/>
  <c r="B993" i="66"/>
  <c r="B994" i="66"/>
  <c r="B995" i="66"/>
  <c r="B996" i="66"/>
  <c r="B997" i="66"/>
  <c r="B998" i="66"/>
  <c r="B999" i="66"/>
  <c r="B1000" i="66"/>
  <c r="B1001" i="66"/>
  <c r="B1002" i="66"/>
  <c r="B1003" i="66"/>
  <c r="B1004" i="66"/>
  <c r="B1005" i="66"/>
  <c r="B1006" i="66"/>
  <c r="B1007" i="66"/>
  <c r="B1008" i="66"/>
  <c r="B1009" i="66"/>
  <c r="B1010" i="66"/>
  <c r="B1011" i="66"/>
  <c r="B1012" i="66"/>
  <c r="B1013" i="66"/>
  <c r="B1014" i="66"/>
  <c r="B1015" i="66"/>
  <c r="B1016" i="66"/>
  <c r="B1017" i="66"/>
  <c r="B1018" i="66"/>
  <c r="B1019" i="66"/>
  <c r="B1020" i="66"/>
  <c r="B1021" i="66"/>
  <c r="B1022" i="66"/>
  <c r="B1023" i="66"/>
  <c r="B1024" i="66"/>
  <c r="B1025" i="66"/>
  <c r="B1026" i="66"/>
  <c r="B1027" i="66"/>
  <c r="B1028" i="66"/>
  <c r="B1029" i="66"/>
  <c r="B19" i="66"/>
  <c r="G2018" i="98"/>
  <c r="G2019" i="98"/>
  <c r="G2020" i="98"/>
  <c r="G2021" i="98"/>
  <c r="G2022" i="98"/>
  <c r="G2023" i="98"/>
  <c r="G2017" i="98"/>
  <c r="E178" i="105" l="1"/>
  <c r="E161" i="105"/>
  <c r="E144" i="105"/>
  <c r="E127" i="105"/>
  <c r="E110" i="105"/>
  <c r="E93" i="105"/>
  <c r="E76" i="105"/>
  <c r="E30" i="105"/>
  <c r="E45" i="105"/>
  <c r="E60" i="105"/>
  <c r="E15" i="105"/>
  <c r="I6" i="105"/>
  <c r="A3" i="7"/>
  <c r="A2" i="7"/>
  <c r="G1462" i="103" l="1"/>
  <c r="G909" i="103"/>
  <c r="G910" i="103"/>
  <c r="G911" i="103"/>
  <c r="G908" i="103"/>
  <c r="J395" i="104"/>
  <c r="J396" i="104" s="1"/>
  <c r="J397" i="104" s="1"/>
  <c r="B395" i="104"/>
  <c r="G923" i="103"/>
  <c r="G924" i="103"/>
  <c r="G925" i="103"/>
  <c r="G922" i="103"/>
  <c r="J392" i="104"/>
  <c r="J393" i="104" s="1"/>
  <c r="J394" i="104" s="1"/>
  <c r="B392" i="104"/>
  <c r="G364" i="103"/>
  <c r="G360" i="103"/>
  <c r="G361" i="103"/>
  <c r="J389" i="104"/>
  <c r="J390" i="104" s="1"/>
  <c r="J391" i="104" s="1"/>
  <c r="B389" i="104"/>
  <c r="B387" i="104"/>
  <c r="B388" i="104" s="1"/>
  <c r="G427" i="103"/>
  <c r="G428" i="103"/>
  <c r="G426" i="103"/>
  <c r="G478" i="103"/>
  <c r="G475" i="103"/>
  <c r="G476" i="103"/>
  <c r="G474" i="103"/>
  <c r="J385" i="104"/>
  <c r="J386" i="104" s="1"/>
  <c r="J387" i="104" s="1"/>
  <c r="B385" i="104"/>
  <c r="J382" i="104"/>
  <c r="B384" i="104"/>
  <c r="B382" i="104"/>
  <c r="J378" i="104"/>
  <c r="J379" i="104" s="1"/>
  <c r="J380" i="104" s="1"/>
  <c r="B380" i="104"/>
  <c r="B381" i="104" s="1"/>
  <c r="B377" i="104"/>
  <c r="B378" i="104"/>
  <c r="J375" i="104" l="1"/>
  <c r="J376" i="104" s="1"/>
  <c r="J377" i="104" s="1"/>
  <c r="B375" i="104"/>
  <c r="G25" i="103" l="1"/>
  <c r="G23" i="103"/>
  <c r="G729" i="103"/>
  <c r="G727" i="103"/>
  <c r="G726" i="103"/>
  <c r="G757" i="103"/>
  <c r="G755" i="103"/>
  <c r="J372" i="104"/>
  <c r="J373" i="104" s="1"/>
  <c r="B372" i="104"/>
  <c r="G1385" i="103"/>
  <c r="G1382" i="103"/>
  <c r="G1383" i="103"/>
  <c r="G1381" i="103"/>
  <c r="J369" i="104" l="1"/>
  <c r="B369" i="104"/>
  <c r="J366" i="104"/>
  <c r="J367" i="104" s="1"/>
  <c r="B366" i="104"/>
  <c r="G345" i="103"/>
  <c r="G341" i="103"/>
  <c r="G342" i="103"/>
  <c r="J356" i="104"/>
  <c r="J357" i="104" s="1"/>
  <c r="B356" i="104"/>
  <c r="J350" i="104" l="1"/>
  <c r="B350" i="104"/>
  <c r="J347" i="104"/>
  <c r="B347" i="104"/>
  <c r="J344" i="104" l="1"/>
  <c r="B344" i="104"/>
  <c r="J339" i="104" l="1"/>
  <c r="B339" i="104"/>
  <c r="J334" i="104"/>
  <c r="B334" i="104"/>
  <c r="G897" i="103"/>
  <c r="G893" i="103"/>
  <c r="J332" i="104"/>
  <c r="J328" i="104"/>
  <c r="B328" i="104"/>
  <c r="J324" i="104"/>
  <c r="J325" i="104" s="1"/>
  <c r="B324" i="104" l="1"/>
  <c r="G1433" i="103"/>
  <c r="J320" i="104"/>
  <c r="J321" i="104" s="1"/>
  <c r="J322" i="104" s="1"/>
  <c r="J323" i="104" s="1"/>
  <c r="B320" i="104"/>
  <c r="G640" i="103"/>
  <c r="G641" i="103"/>
  <c r="G642" i="103"/>
  <c r="G643" i="103"/>
  <c r="G639" i="103"/>
  <c r="J316" i="104"/>
  <c r="J317" i="104" s="1"/>
  <c r="J318" i="104" s="1"/>
  <c r="J319" i="104" s="1"/>
  <c r="B316" i="104"/>
  <c r="J312" i="104"/>
  <c r="J313" i="104" s="1"/>
  <c r="J314" i="104" s="1"/>
  <c r="J315" i="104" s="1"/>
  <c r="G286" i="103"/>
  <c r="G287" i="103"/>
  <c r="G288" i="103"/>
  <c r="G289" i="103"/>
  <c r="G285" i="103"/>
  <c r="B312" i="104"/>
  <c r="G303" i="103"/>
  <c r="G304" i="103"/>
  <c r="G305" i="103"/>
  <c r="G306" i="103"/>
  <c r="G307" i="103"/>
  <c r="G308" i="103"/>
  <c r="G302" i="103"/>
  <c r="G623" i="103"/>
  <c r="G624" i="103"/>
  <c r="G625" i="103"/>
  <c r="G626" i="103"/>
  <c r="G627" i="103"/>
  <c r="G628" i="103"/>
  <c r="G622" i="103"/>
  <c r="G588" i="103"/>
  <c r="G589" i="103"/>
  <c r="G590" i="103"/>
  <c r="G591" i="103"/>
  <c r="G592" i="103"/>
  <c r="G593" i="103"/>
  <c r="G594" i="103"/>
  <c r="G595" i="103"/>
  <c r="G587" i="103"/>
  <c r="G321" i="103"/>
  <c r="G322" i="103"/>
  <c r="G323" i="103"/>
  <c r="G324" i="103"/>
  <c r="G325" i="103"/>
  <c r="G326" i="103"/>
  <c r="G327" i="103"/>
  <c r="G320" i="103"/>
  <c r="G571" i="103"/>
  <c r="G572" i="103"/>
  <c r="G573" i="103"/>
  <c r="G574" i="103"/>
  <c r="G491" i="103"/>
  <c r="G492" i="103"/>
  <c r="G493" i="103"/>
  <c r="G494" i="103"/>
  <c r="G507" i="103"/>
  <c r="G508" i="103"/>
  <c r="G509" i="103"/>
  <c r="G506" i="103"/>
  <c r="G541" i="103"/>
  <c r="G542" i="103"/>
  <c r="G543" i="103"/>
  <c r="G539" i="103"/>
  <c r="G524" i="103"/>
  <c r="G525" i="103"/>
  <c r="G526" i="103"/>
  <c r="G522" i="103"/>
  <c r="G459" i="103"/>
  <c r="G460" i="103"/>
  <c r="G461" i="103"/>
  <c r="G457" i="103"/>
  <c r="G442" i="103"/>
  <c r="G443" i="103"/>
  <c r="G444" i="103"/>
  <c r="G440" i="103"/>
  <c r="J309" i="104"/>
  <c r="J310" i="104" s="1"/>
  <c r="B309" i="104"/>
  <c r="G1449" i="103" l="1"/>
  <c r="G608" i="103" l="1"/>
  <c r="G609" i="103"/>
  <c r="G610" i="103"/>
  <c r="G607" i="103"/>
  <c r="J89" i="104"/>
  <c r="J105" i="104" s="1"/>
  <c r="G2912" i="98"/>
  <c r="G2910" i="98"/>
  <c r="G2926" i="98"/>
  <c r="G2924" i="98"/>
  <c r="G3232" i="98" l="1"/>
  <c r="G2897" i="98"/>
  <c r="G2898" i="98"/>
  <c r="G2896" i="98"/>
  <c r="G3218" i="98"/>
  <c r="G2883" i="98"/>
  <c r="G2884" i="98"/>
  <c r="G2882" i="98"/>
  <c r="G2369" i="98"/>
  <c r="G2368" i="98"/>
  <c r="G2366" i="98"/>
  <c r="G2621" i="98"/>
  <c r="G2622" i="98"/>
  <c r="G2623" i="98"/>
  <c r="G2624" i="98"/>
  <c r="G2625" i="98"/>
  <c r="G2626" i="98"/>
  <c r="G2627" i="98"/>
  <c r="G2628" i="98"/>
  <c r="G2620" i="98"/>
  <c r="G2127" i="98"/>
  <c r="G2128" i="98"/>
  <c r="G2129" i="98"/>
  <c r="G2130" i="98"/>
  <c r="G2131" i="98"/>
  <c r="G2132" i="98"/>
  <c r="G2133" i="98"/>
  <c r="G2126" i="98"/>
  <c r="G2113" i="98"/>
  <c r="G2112" i="98"/>
  <c r="G2110" i="98"/>
  <c r="G2109" i="98"/>
  <c r="B302" i="104"/>
  <c r="B305" i="104"/>
  <c r="B306" i="104" s="1"/>
  <c r="B307" i="104" s="1"/>
  <c r="J289" i="104"/>
  <c r="J290" i="104" s="1"/>
  <c r="B289" i="104"/>
  <c r="B292" i="104"/>
  <c r="B293" i="104" s="1"/>
  <c r="B294" i="104" s="1"/>
  <c r="B295" i="104" s="1"/>
  <c r="B278" i="104"/>
  <c r="B280" i="104" s="1"/>
  <c r="B281" i="104" s="1"/>
  <c r="B282" i="104" s="1"/>
  <c r="B283" i="104" s="1"/>
  <c r="B284" i="104" s="1"/>
  <c r="B285" i="104" s="1"/>
  <c r="B286" i="104" s="1"/>
  <c r="B287" i="104" s="1"/>
  <c r="B288" i="104" s="1"/>
  <c r="J276" i="104" l="1"/>
  <c r="B276" i="104"/>
  <c r="B274" i="104"/>
  <c r="B275" i="104" s="1"/>
  <c r="J278" i="104" l="1"/>
  <c r="G2001" i="98"/>
  <c r="G2002" i="98"/>
  <c r="G2003" i="98"/>
  <c r="G2004" i="98"/>
  <c r="G2000" i="98"/>
  <c r="J272" i="104"/>
  <c r="J273" i="104" s="1"/>
  <c r="J274" i="104" s="1"/>
  <c r="J275" i="104" s="1"/>
  <c r="B272" i="104"/>
  <c r="J269" i="104"/>
  <c r="B271" i="104"/>
  <c r="B269" i="104"/>
  <c r="J265" i="104"/>
  <c r="J266" i="104" s="1"/>
  <c r="J267" i="104" s="1"/>
  <c r="B267" i="104"/>
  <c r="B268" i="104" s="1"/>
  <c r="B265" i="104"/>
  <c r="J256" i="104"/>
  <c r="B256" i="104"/>
  <c r="B258" i="104"/>
  <c r="B259" i="104" s="1"/>
  <c r="B260" i="104" s="1"/>
  <c r="B261" i="104" s="1"/>
  <c r="B262" i="104" s="1"/>
  <c r="B263" i="104" s="1"/>
  <c r="B264" i="104" s="1"/>
  <c r="B255" i="104"/>
  <c r="J253" i="104"/>
  <c r="J255" i="104" s="1"/>
  <c r="B253" i="104"/>
  <c r="G1891" i="98"/>
  <c r="G1889" i="98"/>
  <c r="G1888" i="98"/>
  <c r="G1887" i="98"/>
  <c r="J247" i="104"/>
  <c r="B247" i="104"/>
  <c r="B246" i="104"/>
  <c r="J244" i="104"/>
  <c r="B244" i="104"/>
  <c r="J241" i="104"/>
  <c r="J242" i="104" s="1"/>
  <c r="B243" i="104"/>
  <c r="B241" i="104"/>
  <c r="B235" i="104"/>
  <c r="B236" i="104" s="1"/>
  <c r="B237" i="104" s="1"/>
  <c r="B238" i="104" s="1"/>
  <c r="B239" i="104" s="1"/>
  <c r="B240" i="104" s="1"/>
  <c r="J233" i="104"/>
  <c r="J234" i="104" s="1"/>
  <c r="B233" i="104"/>
  <c r="J230" i="104"/>
  <c r="J231" i="104" s="1"/>
  <c r="B232" i="104"/>
  <c r="B230" i="104"/>
  <c r="B229" i="104"/>
  <c r="J227" i="104"/>
  <c r="B227" i="104"/>
  <c r="J223" i="104"/>
  <c r="J224" i="104" s="1"/>
  <c r="J225" i="104" s="1"/>
  <c r="B225" i="104"/>
  <c r="B226" i="104" s="1"/>
  <c r="B223" i="104"/>
  <c r="J216" i="104"/>
  <c r="J217" i="104" s="1"/>
  <c r="J218" i="104" s="1"/>
  <c r="B218" i="104"/>
  <c r="B219" i="104" s="1"/>
  <c r="B216" i="104"/>
  <c r="J213" i="104"/>
  <c r="J214" i="104" s="1"/>
  <c r="B215" i="104"/>
  <c r="B213" i="104"/>
  <c r="B212" i="104"/>
  <c r="J210" i="104"/>
  <c r="J211" i="104" s="1"/>
  <c r="J212" i="104" s="1"/>
  <c r="B210" i="104"/>
  <c r="B206" i="104"/>
  <c r="B207" i="104" s="1"/>
  <c r="B208" i="104" s="1"/>
  <c r="B209" i="104" s="1"/>
  <c r="J182" i="104"/>
  <c r="J188" i="104" s="1"/>
  <c r="B184" i="104"/>
  <c r="B185" i="104" s="1"/>
  <c r="B186" i="104" s="1"/>
  <c r="B187" i="104" s="1"/>
  <c r="B182" i="104"/>
  <c r="B177" i="104"/>
  <c r="B178" i="104" s="1"/>
  <c r="B179" i="104" s="1"/>
  <c r="B180" i="104" s="1"/>
  <c r="B173" i="104"/>
  <c r="B174" i="104" s="1"/>
  <c r="J175" i="104"/>
  <c r="B175" i="104"/>
  <c r="J171" i="104"/>
  <c r="J172" i="104" s="1"/>
  <c r="J173" i="104" s="1"/>
  <c r="B171" i="104"/>
  <c r="B169" i="104"/>
  <c r="B170" i="104" s="1"/>
  <c r="J167" i="104"/>
  <c r="J168" i="104" s="1"/>
  <c r="J169" i="104" s="1"/>
  <c r="B167" i="104"/>
  <c r="J161" i="104"/>
  <c r="J162" i="104" s="1"/>
  <c r="J163" i="104" s="1"/>
  <c r="B163" i="104"/>
  <c r="B164" i="104" s="1"/>
  <c r="B165" i="104" s="1"/>
  <c r="B166" i="104" s="1"/>
  <c r="B161" i="104"/>
  <c r="J146" i="104"/>
  <c r="J147" i="104" s="1"/>
  <c r="J148" i="104" s="1"/>
  <c r="B146" i="104"/>
  <c r="J139" i="104"/>
  <c r="J140" i="104" s="1"/>
  <c r="B140" i="104"/>
  <c r="B138" i="104"/>
  <c r="J128" i="104"/>
  <c r="J129" i="104" s="1"/>
  <c r="J130" i="104" s="1"/>
  <c r="B130" i="104"/>
  <c r="B131" i="104" s="1"/>
  <c r="B128" i="104"/>
  <c r="J88" i="104"/>
  <c r="J110" i="104"/>
  <c r="J106" i="104"/>
  <c r="J122" i="104" s="1"/>
  <c r="J109" i="104"/>
  <c r="B108" i="104"/>
  <c r="B109" i="104" s="1"/>
  <c r="B110" i="104" s="1"/>
  <c r="B106" i="104"/>
  <c r="J92" i="104"/>
  <c r="B91" i="104"/>
  <c r="B92" i="104" s="1"/>
  <c r="B93" i="104" s="1"/>
  <c r="B89" i="104"/>
  <c r="G154" i="98"/>
  <c r="G155" i="98"/>
  <c r="G153" i="98"/>
  <c r="G3129" i="98"/>
  <c r="G2551" i="98"/>
  <c r="G2552" i="98"/>
  <c r="G2550" i="98"/>
  <c r="J86" i="104"/>
  <c r="J87" i="104" s="1"/>
  <c r="B88" i="104"/>
  <c r="B86" i="104"/>
  <c r="G2579" i="98"/>
  <c r="G2578" i="98"/>
  <c r="G2575" i="98"/>
  <c r="B85" i="104"/>
  <c r="J83" i="104"/>
  <c r="B83" i="104"/>
  <c r="B82" i="104"/>
  <c r="B79" i="104"/>
  <c r="J80" i="104"/>
  <c r="J81" i="104" s="1"/>
  <c r="B80" i="104"/>
  <c r="J77" i="104"/>
  <c r="J78" i="104" s="1"/>
  <c r="J79" i="104" s="1"/>
  <c r="B77" i="104"/>
  <c r="G515" i="98"/>
  <c r="G512" i="98"/>
  <c r="G499" i="98"/>
  <c r="G496" i="98"/>
  <c r="B75" i="104"/>
  <c r="B76" i="104" s="1"/>
  <c r="B73" i="104"/>
  <c r="B66" i="104"/>
  <c r="J64" i="104"/>
  <c r="J65" i="104" s="1"/>
  <c r="J66" i="104" s="1"/>
  <c r="B64" i="104"/>
  <c r="B47" i="104"/>
  <c r="B48" i="104" s="1"/>
  <c r="B49" i="104" s="1"/>
  <c r="B50" i="104" s="1"/>
  <c r="B51" i="104" s="1"/>
  <c r="B52" i="104" s="1"/>
  <c r="B56" i="104"/>
  <c r="J48" i="104"/>
  <c r="J45" i="104"/>
  <c r="B45" i="104"/>
  <c r="B44" i="104"/>
  <c r="G3279" i="98"/>
  <c r="B42" i="104"/>
  <c r="G167" i="98"/>
  <c r="G168" i="98"/>
  <c r="G169" i="98"/>
  <c r="G166" i="98"/>
  <c r="J39" i="104"/>
  <c r="J40" i="104" s="1"/>
  <c r="J41" i="104" s="1"/>
  <c r="B39" i="104"/>
  <c r="F16" i="99"/>
  <c r="F43" i="99"/>
  <c r="F51" i="99"/>
  <c r="F62" i="99"/>
  <c r="F69" i="99"/>
  <c r="F78" i="99"/>
  <c r="F89" i="99"/>
  <c r="F96" i="99"/>
  <c r="F100" i="99"/>
  <c r="F108" i="99"/>
  <c r="F130" i="99"/>
  <c r="F139" i="99"/>
  <c r="F141" i="99"/>
  <c r="F142" i="99"/>
  <c r="F144" i="99"/>
  <c r="F145" i="99"/>
  <c r="F147" i="99"/>
  <c r="F148" i="99"/>
  <c r="F165" i="99"/>
  <c r="F167" i="99"/>
  <c r="F171" i="99"/>
  <c r="F175" i="99"/>
  <c r="F181" i="99"/>
  <c r="F185" i="99"/>
  <c r="F189" i="99"/>
  <c r="F194" i="99"/>
  <c r="F196" i="99"/>
  <c r="F201" i="99"/>
  <c r="F215" i="99"/>
  <c r="F228" i="99"/>
  <c r="F232" i="99"/>
  <c r="F237" i="99"/>
  <c r="B41" i="104"/>
  <c r="B18" i="104"/>
  <c r="B26" i="104" s="1"/>
  <c r="B7" i="104"/>
  <c r="J7" i="104"/>
  <c r="L279" i="104"/>
  <c r="L291" i="104"/>
  <c r="B1577" i="103"/>
  <c r="B1576" i="103"/>
  <c r="B1575" i="103"/>
  <c r="B1574" i="103"/>
  <c r="B1573" i="103"/>
  <c r="B1572" i="103"/>
  <c r="B1571" i="103"/>
  <c r="B1570" i="103"/>
  <c r="B1569" i="103"/>
  <c r="B1568" i="103"/>
  <c r="B1567" i="103"/>
  <c r="B1566" i="103"/>
  <c r="B1565" i="103"/>
  <c r="B1564" i="103"/>
  <c r="B1563" i="103"/>
  <c r="B1562" i="103"/>
  <c r="B1561" i="103"/>
  <c r="B1560" i="103"/>
  <c r="B1559" i="103"/>
  <c r="B1558" i="103"/>
  <c r="B1557" i="103"/>
  <c r="B1556" i="103"/>
  <c r="B1555" i="103"/>
  <c r="B1554" i="103"/>
  <c r="B1553" i="103"/>
  <c r="B1552" i="103"/>
  <c r="B1551" i="103"/>
  <c r="B1550" i="103"/>
  <c r="B1549" i="103"/>
  <c r="B1548" i="103"/>
  <c r="B1547" i="103"/>
  <c r="B1546" i="103"/>
  <c r="B1545" i="103"/>
  <c r="B1544" i="103"/>
  <c r="B1543" i="103"/>
  <c r="B1542" i="103"/>
  <c r="B1541" i="103"/>
  <c r="B1540" i="103"/>
  <c r="B1539" i="103"/>
  <c r="B1538" i="103"/>
  <c r="B1537" i="103"/>
  <c r="B1536" i="103"/>
  <c r="B1535" i="103"/>
  <c r="B1534" i="103"/>
  <c r="B1533" i="103"/>
  <c r="B1532" i="103"/>
  <c r="B1531" i="103"/>
  <c r="B1530" i="103"/>
  <c r="B1529" i="103"/>
  <c r="B1528" i="103"/>
  <c r="B1527" i="103"/>
  <c r="B1526" i="103"/>
  <c r="B1525" i="103"/>
  <c r="B1524" i="103"/>
  <c r="B1523" i="103"/>
  <c r="B1522" i="103"/>
  <c r="B1521" i="103"/>
  <c r="B1520" i="103"/>
  <c r="B1519" i="103"/>
  <c r="B1518" i="103"/>
  <c r="B1517" i="103"/>
  <c r="B1516" i="103"/>
  <c r="B1515" i="103"/>
  <c r="B1514" i="103"/>
  <c r="B1513" i="103"/>
  <c r="B1512" i="103"/>
  <c r="B1511" i="103"/>
  <c r="B1510" i="103"/>
  <c r="B1509" i="103"/>
  <c r="B1508" i="103"/>
  <c r="B1507" i="103"/>
  <c r="B1506" i="103"/>
  <c r="B1505" i="103"/>
  <c r="B1504" i="103"/>
  <c r="B1503" i="103"/>
  <c r="B1502" i="103"/>
  <c r="B1501" i="103"/>
  <c r="B1500" i="103"/>
  <c r="B1499" i="103"/>
  <c r="B1498" i="103"/>
  <c r="B1497" i="103"/>
  <c r="B1496" i="103"/>
  <c r="B1495" i="103"/>
  <c r="B1494" i="103"/>
  <c r="B1493" i="103"/>
  <c r="B1492" i="103"/>
  <c r="B1491" i="103"/>
  <c r="F1489" i="103"/>
  <c r="F1487" i="103"/>
  <c r="F1485" i="103"/>
  <c r="F1482" i="103"/>
  <c r="E1481" i="103"/>
  <c r="D1481" i="103"/>
  <c r="C1481" i="103"/>
  <c r="G1480" i="103"/>
  <c r="F1480" i="103"/>
  <c r="E1480" i="103"/>
  <c r="D1480" i="103"/>
  <c r="C1480" i="103"/>
  <c r="G1479" i="103"/>
  <c r="F1479" i="103"/>
  <c r="E1479" i="103"/>
  <c r="D1479" i="103"/>
  <c r="C1479" i="103"/>
  <c r="G1478" i="103"/>
  <c r="E1478" i="103"/>
  <c r="D1478" i="103"/>
  <c r="C1478" i="103"/>
  <c r="G1477" i="103"/>
  <c r="E1477" i="103"/>
  <c r="D1477" i="103"/>
  <c r="C1477" i="103"/>
  <c r="G1476" i="103"/>
  <c r="E1476" i="103"/>
  <c r="D1476" i="103"/>
  <c r="C1476" i="103"/>
  <c r="G1475" i="103"/>
  <c r="F1475" i="103"/>
  <c r="E1475" i="103"/>
  <c r="D1475" i="103"/>
  <c r="C1475" i="103"/>
  <c r="G1474" i="103"/>
  <c r="E1474" i="103"/>
  <c r="D1474" i="103"/>
  <c r="C1474" i="103"/>
  <c r="F1471" i="103"/>
  <c r="F1469" i="103"/>
  <c r="F1467" i="103"/>
  <c r="F1464" i="103"/>
  <c r="E1463" i="103"/>
  <c r="D1463" i="103"/>
  <c r="C1463" i="103"/>
  <c r="E1462" i="103"/>
  <c r="D1462" i="103"/>
  <c r="C1462" i="103"/>
  <c r="G1461" i="103"/>
  <c r="F1461" i="103"/>
  <c r="E1461" i="103"/>
  <c r="D1461" i="103"/>
  <c r="C1461" i="103"/>
  <c r="G1460" i="103"/>
  <c r="E1460" i="103"/>
  <c r="D1460" i="103"/>
  <c r="F1458" i="103"/>
  <c r="F1456" i="103"/>
  <c r="F1454" i="103"/>
  <c r="F1451" i="103"/>
  <c r="E1450" i="103"/>
  <c r="D1450" i="103"/>
  <c r="C1450" i="103"/>
  <c r="E1449" i="103"/>
  <c r="D1449" i="103"/>
  <c r="C1449" i="103"/>
  <c r="G1448" i="103"/>
  <c r="F1448" i="103"/>
  <c r="E1448" i="103"/>
  <c r="D1448" i="103"/>
  <c r="C1448" i="103"/>
  <c r="G1447" i="103"/>
  <c r="E1447" i="103"/>
  <c r="D1447" i="103"/>
  <c r="F1445" i="103"/>
  <c r="F1443" i="103"/>
  <c r="F1441" i="103"/>
  <c r="F1438" i="103"/>
  <c r="G1437" i="103"/>
  <c r="F1437" i="103"/>
  <c r="E1437" i="103"/>
  <c r="D1437" i="103"/>
  <c r="C1437" i="103"/>
  <c r="E1436" i="103"/>
  <c r="D1436" i="103"/>
  <c r="C1436" i="103"/>
  <c r="E1435" i="103"/>
  <c r="D1435" i="103"/>
  <c r="C1435" i="103"/>
  <c r="E1434" i="103"/>
  <c r="D1434" i="103"/>
  <c r="C1434" i="103"/>
  <c r="F1433" i="103"/>
  <c r="E1433" i="103"/>
  <c r="D1433" i="103"/>
  <c r="C1433" i="103"/>
  <c r="E1432" i="103"/>
  <c r="D1432" i="103"/>
  <c r="C1432" i="103"/>
  <c r="G1431" i="103"/>
  <c r="E1431" i="103"/>
  <c r="D1431" i="103"/>
  <c r="F1429" i="103"/>
  <c r="F1427" i="103"/>
  <c r="F1425" i="103"/>
  <c r="F1422" i="103"/>
  <c r="G1421" i="103"/>
  <c r="F1421" i="103"/>
  <c r="E1421" i="103"/>
  <c r="D1421" i="103"/>
  <c r="C1421" i="103"/>
  <c r="G1420" i="103"/>
  <c r="E1420" i="103"/>
  <c r="D1420" i="103"/>
  <c r="C1420" i="103"/>
  <c r="G1419" i="103"/>
  <c r="E1419" i="103"/>
  <c r="D1419" i="103"/>
  <c r="C1419" i="103"/>
  <c r="G1418" i="103"/>
  <c r="F1418" i="103"/>
  <c r="E1418" i="103"/>
  <c r="D1418" i="103"/>
  <c r="C1418" i="103"/>
  <c r="G1417" i="103"/>
  <c r="E1417" i="103"/>
  <c r="D1417" i="103"/>
  <c r="C1417" i="103"/>
  <c r="G1416" i="103"/>
  <c r="F1416" i="103"/>
  <c r="E1416" i="103"/>
  <c r="D1416" i="103"/>
  <c r="C1416" i="103"/>
  <c r="G1415" i="103"/>
  <c r="F1415" i="103"/>
  <c r="C1415" i="103"/>
  <c r="G1414" i="103"/>
  <c r="F1414" i="103"/>
  <c r="E1414" i="103"/>
  <c r="D1414" i="103"/>
  <c r="C1414" i="103"/>
  <c r="G1413" i="103"/>
  <c r="F1413" i="103"/>
  <c r="E1413" i="103"/>
  <c r="D1413" i="103"/>
  <c r="F1411" i="103"/>
  <c r="F1409" i="103"/>
  <c r="F1407" i="103"/>
  <c r="F1404" i="103"/>
  <c r="G1403" i="103"/>
  <c r="F1403" i="103"/>
  <c r="E1403" i="103"/>
  <c r="D1403" i="103"/>
  <c r="C1403" i="103"/>
  <c r="G1402" i="103"/>
  <c r="E1402" i="103"/>
  <c r="D1402" i="103"/>
  <c r="C1402" i="103"/>
  <c r="G1401" i="103"/>
  <c r="E1401" i="103"/>
  <c r="D1401" i="103"/>
  <c r="C1401" i="103"/>
  <c r="G1400" i="103"/>
  <c r="F1400" i="103"/>
  <c r="E1400" i="103"/>
  <c r="D1400" i="103"/>
  <c r="C1400" i="103"/>
  <c r="G1399" i="103"/>
  <c r="E1399" i="103"/>
  <c r="D1399" i="103"/>
  <c r="C1399" i="103"/>
  <c r="G1398" i="103"/>
  <c r="F1398" i="103"/>
  <c r="E1398" i="103"/>
  <c r="D1398" i="103"/>
  <c r="C1398" i="103"/>
  <c r="G1397" i="103"/>
  <c r="F1397" i="103"/>
  <c r="C1397" i="103"/>
  <c r="G1396" i="103"/>
  <c r="F1396" i="103"/>
  <c r="E1396" i="103"/>
  <c r="D1396" i="103"/>
  <c r="C1396" i="103"/>
  <c r="G1395" i="103"/>
  <c r="F1395" i="103"/>
  <c r="E1395" i="103"/>
  <c r="D1395" i="103"/>
  <c r="F1393" i="103"/>
  <c r="F1391" i="103"/>
  <c r="F1389" i="103"/>
  <c r="F1386" i="103"/>
  <c r="E1385" i="103"/>
  <c r="D1385" i="103"/>
  <c r="C1385" i="103"/>
  <c r="G1384" i="103"/>
  <c r="F1384" i="103"/>
  <c r="E1384" i="103"/>
  <c r="D1384" i="103"/>
  <c r="C1384" i="103"/>
  <c r="F1383" i="103"/>
  <c r="E1383" i="103"/>
  <c r="D1383" i="103"/>
  <c r="C1383" i="103"/>
  <c r="F1382" i="103"/>
  <c r="E1382" i="103"/>
  <c r="D1382" i="103"/>
  <c r="C1382" i="103"/>
  <c r="F1381" i="103"/>
  <c r="E1381" i="103"/>
  <c r="D1381" i="103"/>
  <c r="C1381" i="103"/>
  <c r="G1380" i="103"/>
  <c r="F1380" i="103"/>
  <c r="E1380" i="103"/>
  <c r="D1380" i="103"/>
  <c r="C1380" i="103"/>
  <c r="G1379" i="103"/>
  <c r="E1379" i="103"/>
  <c r="D1379" i="103"/>
  <c r="F1377" i="103"/>
  <c r="F1375" i="103"/>
  <c r="F1373" i="103"/>
  <c r="F1370" i="103"/>
  <c r="G1369" i="103"/>
  <c r="E1369" i="103"/>
  <c r="D1369" i="103"/>
  <c r="C1369" i="103"/>
  <c r="G1368" i="103"/>
  <c r="F1368" i="103"/>
  <c r="E1368" i="103"/>
  <c r="D1368" i="103"/>
  <c r="C1368" i="103"/>
  <c r="G1367" i="103"/>
  <c r="F1367" i="103"/>
  <c r="E1367" i="103"/>
  <c r="D1367" i="103"/>
  <c r="C1367" i="103"/>
  <c r="G1366" i="103"/>
  <c r="F1366" i="103"/>
  <c r="E1366" i="103"/>
  <c r="D1366" i="103"/>
  <c r="C1366" i="103"/>
  <c r="G1365" i="103"/>
  <c r="F1365" i="103"/>
  <c r="E1365" i="103"/>
  <c r="D1365" i="103"/>
  <c r="C1365" i="103"/>
  <c r="L1364" i="103"/>
  <c r="G1364" i="103"/>
  <c r="F1364" i="103"/>
  <c r="E1364" i="103"/>
  <c r="D1364" i="103"/>
  <c r="F1362" i="103"/>
  <c r="F1360" i="103"/>
  <c r="F1358" i="103"/>
  <c r="F1355" i="103"/>
  <c r="G1354" i="103"/>
  <c r="E1354" i="103"/>
  <c r="D1354" i="103"/>
  <c r="C1354" i="103"/>
  <c r="G1353" i="103"/>
  <c r="F1353" i="103"/>
  <c r="E1353" i="103"/>
  <c r="D1353" i="103"/>
  <c r="C1353" i="103"/>
  <c r="G1352" i="103"/>
  <c r="E1352" i="103"/>
  <c r="D1352" i="103"/>
  <c r="C1352" i="103"/>
  <c r="F1350" i="103"/>
  <c r="F1348" i="103"/>
  <c r="F1346" i="103"/>
  <c r="F1343" i="103"/>
  <c r="G1342" i="103"/>
  <c r="F1342" i="103"/>
  <c r="E1342" i="103"/>
  <c r="D1342" i="103"/>
  <c r="C1342" i="103"/>
  <c r="G1341" i="103"/>
  <c r="E1341" i="103"/>
  <c r="D1341" i="103"/>
  <c r="C1341" i="103"/>
  <c r="G1340" i="103"/>
  <c r="F1340" i="103"/>
  <c r="E1340" i="103"/>
  <c r="D1340" i="103"/>
  <c r="C1340" i="103"/>
  <c r="G1339" i="103"/>
  <c r="E1339" i="103"/>
  <c r="D1339" i="103"/>
  <c r="C1339" i="103"/>
  <c r="G1338" i="103"/>
  <c r="F1338" i="103"/>
  <c r="E1338" i="103"/>
  <c r="D1338" i="103"/>
  <c r="C1338" i="103"/>
  <c r="G1337" i="103"/>
  <c r="F1337" i="103"/>
  <c r="E1337" i="103"/>
  <c r="D1337" i="103"/>
  <c r="C1337" i="103"/>
  <c r="G1336" i="103"/>
  <c r="F1336" i="103"/>
  <c r="E1336" i="103"/>
  <c r="D1336" i="103"/>
  <c r="C1336" i="103"/>
  <c r="G1335" i="103"/>
  <c r="F1335" i="103"/>
  <c r="E1335" i="103"/>
  <c r="D1335" i="103"/>
  <c r="C1335" i="103"/>
  <c r="G1334" i="103"/>
  <c r="F1334" i="103"/>
  <c r="E1334" i="103"/>
  <c r="D1334" i="103"/>
  <c r="C1334" i="103"/>
  <c r="G1333" i="103"/>
  <c r="F1333" i="103"/>
  <c r="E1333" i="103"/>
  <c r="D1333" i="103"/>
  <c r="F1271" i="103"/>
  <c r="F1269" i="103"/>
  <c r="F1267" i="103"/>
  <c r="F1264" i="103"/>
  <c r="G1263" i="103"/>
  <c r="E1263" i="103"/>
  <c r="D1263" i="103"/>
  <c r="C1263" i="103"/>
  <c r="G1262" i="103"/>
  <c r="F1262" i="103"/>
  <c r="E1262" i="103"/>
  <c r="D1262" i="103"/>
  <c r="C1262" i="103"/>
  <c r="G1261" i="103"/>
  <c r="F1261" i="103"/>
  <c r="E1261" i="103"/>
  <c r="D1261" i="103"/>
  <c r="C1261" i="103"/>
  <c r="G1260" i="103"/>
  <c r="F1260" i="103"/>
  <c r="E1260" i="103"/>
  <c r="D1260" i="103"/>
  <c r="C1260" i="103"/>
  <c r="L1259" i="103"/>
  <c r="G1259" i="103"/>
  <c r="F1259" i="103"/>
  <c r="E1259" i="103"/>
  <c r="D1259" i="103"/>
  <c r="F1257" i="103"/>
  <c r="F1255" i="103"/>
  <c r="F1253" i="103"/>
  <c r="F1250" i="103"/>
  <c r="G1249" i="103"/>
  <c r="E1249" i="103"/>
  <c r="D1249" i="103"/>
  <c r="C1249" i="103"/>
  <c r="G1248" i="103"/>
  <c r="E1248" i="103"/>
  <c r="D1248" i="103"/>
  <c r="C1248" i="103"/>
  <c r="G1247" i="103"/>
  <c r="F1247" i="103"/>
  <c r="E1247" i="103"/>
  <c r="D1247" i="103"/>
  <c r="C1247" i="103"/>
  <c r="G1246" i="103"/>
  <c r="E1246" i="103"/>
  <c r="D1246" i="103"/>
  <c r="C1246" i="103"/>
  <c r="G1245" i="103"/>
  <c r="F1245" i="103"/>
  <c r="E1245" i="103"/>
  <c r="D1245" i="103"/>
  <c r="C1245" i="103"/>
  <c r="G1244" i="103"/>
  <c r="F1244" i="103"/>
  <c r="C1244" i="103"/>
  <c r="G1243" i="103"/>
  <c r="F1243" i="103"/>
  <c r="E1243" i="103"/>
  <c r="D1243" i="103"/>
  <c r="C1243" i="103"/>
  <c r="G1242" i="103"/>
  <c r="F1242" i="103"/>
  <c r="E1242" i="103"/>
  <c r="D1242" i="103"/>
  <c r="F1240" i="103"/>
  <c r="F1238" i="103"/>
  <c r="F1236" i="103"/>
  <c r="F1233" i="103"/>
  <c r="G1232" i="103"/>
  <c r="E1232" i="103"/>
  <c r="D1232" i="103"/>
  <c r="C1232" i="103"/>
  <c r="G1231" i="103"/>
  <c r="F1231" i="103"/>
  <c r="E1231" i="103"/>
  <c r="D1231" i="103"/>
  <c r="C1231" i="103"/>
  <c r="G1230" i="103"/>
  <c r="E1230" i="103"/>
  <c r="D1230" i="103"/>
  <c r="C1230" i="103"/>
  <c r="F1228" i="103"/>
  <c r="F1226" i="103"/>
  <c r="F1224" i="103"/>
  <c r="F1221" i="103"/>
  <c r="G1220" i="103"/>
  <c r="E1220" i="103"/>
  <c r="D1220" i="103"/>
  <c r="C1220" i="103"/>
  <c r="G1219" i="103"/>
  <c r="E1219" i="103"/>
  <c r="D1219" i="103"/>
  <c r="C1219" i="103"/>
  <c r="G1218" i="103"/>
  <c r="F1218" i="103"/>
  <c r="E1218" i="103"/>
  <c r="D1218" i="103"/>
  <c r="C1218" i="103"/>
  <c r="G1217" i="103"/>
  <c r="E1217" i="103"/>
  <c r="D1217" i="103"/>
  <c r="C1217" i="103"/>
  <c r="G1216" i="103"/>
  <c r="F1216" i="103"/>
  <c r="E1216" i="103"/>
  <c r="D1216" i="103"/>
  <c r="C1216" i="103"/>
  <c r="G1215" i="103"/>
  <c r="F1215" i="103"/>
  <c r="E1215" i="103"/>
  <c r="D1215" i="103"/>
  <c r="C1215" i="103"/>
  <c r="G1214" i="103"/>
  <c r="F1214" i="103"/>
  <c r="E1214" i="103"/>
  <c r="D1214" i="103"/>
  <c r="C1214" i="103"/>
  <c r="G1213" i="103"/>
  <c r="F1213" i="103"/>
  <c r="E1213" i="103"/>
  <c r="D1213" i="103"/>
  <c r="C1213" i="103"/>
  <c r="G1212" i="103"/>
  <c r="F1212" i="103"/>
  <c r="E1212" i="103"/>
  <c r="D1212" i="103"/>
  <c r="F1210" i="103"/>
  <c r="F1208" i="103"/>
  <c r="F1206" i="103"/>
  <c r="F1203" i="103"/>
  <c r="G1202" i="103"/>
  <c r="F1202" i="103"/>
  <c r="E1202" i="103"/>
  <c r="D1202" i="103"/>
  <c r="C1202" i="103"/>
  <c r="G1201" i="103"/>
  <c r="F1201" i="103"/>
  <c r="E1201" i="103"/>
  <c r="D1201" i="103"/>
  <c r="C1201" i="103"/>
  <c r="G1200" i="103"/>
  <c r="F1200" i="103"/>
  <c r="E1200" i="103"/>
  <c r="D1200" i="103"/>
  <c r="C1200" i="103"/>
  <c r="F1198" i="103"/>
  <c r="F1196" i="103"/>
  <c r="F1194" i="103"/>
  <c r="F1191" i="103"/>
  <c r="G1190" i="103"/>
  <c r="E1190" i="103"/>
  <c r="D1190" i="103"/>
  <c r="C1190" i="103"/>
  <c r="G1189" i="103"/>
  <c r="E1189" i="103"/>
  <c r="D1189" i="103"/>
  <c r="C1189" i="103"/>
  <c r="G1188" i="103"/>
  <c r="F1188" i="103"/>
  <c r="E1188" i="103"/>
  <c r="D1188" i="103"/>
  <c r="C1188" i="103"/>
  <c r="G1187" i="103"/>
  <c r="E1187" i="103"/>
  <c r="D1187" i="103"/>
  <c r="C1187" i="103"/>
  <c r="G1186" i="103"/>
  <c r="F1186" i="103"/>
  <c r="E1186" i="103"/>
  <c r="D1186" i="103"/>
  <c r="C1186" i="103"/>
  <c r="G1185" i="103"/>
  <c r="F1185" i="103"/>
  <c r="E1185" i="103"/>
  <c r="D1185" i="103"/>
  <c r="C1185" i="103"/>
  <c r="G1184" i="103"/>
  <c r="F1184" i="103"/>
  <c r="E1184" i="103"/>
  <c r="D1184" i="103"/>
  <c r="C1184" i="103"/>
  <c r="G1183" i="103"/>
  <c r="F1183" i="103"/>
  <c r="E1183" i="103"/>
  <c r="D1183" i="103"/>
  <c r="C1183" i="103"/>
  <c r="G1182" i="103"/>
  <c r="F1182" i="103"/>
  <c r="E1182" i="103"/>
  <c r="D1182" i="103"/>
  <c r="F1180" i="103"/>
  <c r="F1178" i="103"/>
  <c r="F1176" i="103"/>
  <c r="F1173" i="103"/>
  <c r="G1172" i="103"/>
  <c r="E1172" i="103"/>
  <c r="D1172" i="103"/>
  <c r="C1172" i="103"/>
  <c r="G1171" i="103"/>
  <c r="E1171" i="103"/>
  <c r="D1171" i="103"/>
  <c r="C1171" i="103"/>
  <c r="G1170" i="103"/>
  <c r="F1170" i="103"/>
  <c r="E1170" i="103"/>
  <c r="D1170" i="103"/>
  <c r="C1170" i="103"/>
  <c r="G1169" i="103"/>
  <c r="E1169" i="103"/>
  <c r="D1169" i="103"/>
  <c r="C1169" i="103"/>
  <c r="G1168" i="103"/>
  <c r="F1168" i="103"/>
  <c r="E1168" i="103"/>
  <c r="D1168" i="103"/>
  <c r="C1168" i="103"/>
  <c r="G1167" i="103"/>
  <c r="E1167" i="103"/>
  <c r="D1167" i="103"/>
  <c r="C1167" i="103"/>
  <c r="G1166" i="103"/>
  <c r="F1166" i="103"/>
  <c r="E1166" i="103"/>
  <c r="D1166" i="103"/>
  <c r="C1166" i="103"/>
  <c r="G1165" i="103"/>
  <c r="F1165" i="103"/>
  <c r="E1165" i="103"/>
  <c r="D1165" i="103"/>
  <c r="C1165" i="103"/>
  <c r="G1164" i="103"/>
  <c r="I1164" i="103" s="1"/>
  <c r="F1164" i="103"/>
  <c r="E1164" i="103"/>
  <c r="D1164" i="103"/>
  <c r="C1164" i="103"/>
  <c r="G1163" i="103"/>
  <c r="F1163" i="103"/>
  <c r="C1163" i="103"/>
  <c r="G1162" i="103"/>
  <c r="F1162" i="103"/>
  <c r="E1162" i="103"/>
  <c r="D1162" i="103"/>
  <c r="C1162" i="103"/>
  <c r="G1161" i="103"/>
  <c r="F1161" i="103"/>
  <c r="E1161" i="103"/>
  <c r="D1161" i="103"/>
  <c r="F1159" i="103"/>
  <c r="F1157" i="103"/>
  <c r="F1155" i="103"/>
  <c r="F1152" i="103"/>
  <c r="G1151" i="103"/>
  <c r="E1151" i="103"/>
  <c r="D1151" i="103"/>
  <c r="C1151" i="103"/>
  <c r="G1150" i="103"/>
  <c r="E1150" i="103"/>
  <c r="D1150" i="103"/>
  <c r="C1150" i="103"/>
  <c r="G1149" i="103"/>
  <c r="F1149" i="103"/>
  <c r="E1149" i="103"/>
  <c r="D1149" i="103"/>
  <c r="C1149" i="103"/>
  <c r="G1148" i="103"/>
  <c r="E1148" i="103"/>
  <c r="D1148" i="103"/>
  <c r="C1148" i="103"/>
  <c r="G1147" i="103"/>
  <c r="F1147" i="103"/>
  <c r="C1147" i="103"/>
  <c r="G1146" i="103"/>
  <c r="F1146" i="103"/>
  <c r="E1146" i="103"/>
  <c r="D1146" i="103"/>
  <c r="C1146" i="103"/>
  <c r="G1145" i="103"/>
  <c r="F1145" i="103"/>
  <c r="E1145" i="103"/>
  <c r="D1145" i="103"/>
  <c r="F1143" i="103"/>
  <c r="F1141" i="103"/>
  <c r="F1139" i="103"/>
  <c r="F1136" i="103"/>
  <c r="G1135" i="103"/>
  <c r="E1135" i="103"/>
  <c r="D1135" i="103"/>
  <c r="C1135" i="103"/>
  <c r="G1134" i="103"/>
  <c r="E1134" i="103"/>
  <c r="D1134" i="103"/>
  <c r="F1132" i="103"/>
  <c r="F1130" i="103"/>
  <c r="F1128" i="103"/>
  <c r="F1125" i="103"/>
  <c r="G1124" i="103"/>
  <c r="E1124" i="103"/>
  <c r="D1124" i="103"/>
  <c r="C1124" i="103"/>
  <c r="G1123" i="103"/>
  <c r="F1123" i="103"/>
  <c r="E1123" i="103"/>
  <c r="D1123" i="103"/>
  <c r="C1123" i="103"/>
  <c r="G1122" i="103"/>
  <c r="E1122" i="103"/>
  <c r="D1122" i="103"/>
  <c r="C1122" i="103"/>
  <c r="F1120" i="103"/>
  <c r="F1118" i="103"/>
  <c r="F1116" i="103"/>
  <c r="F1113" i="103"/>
  <c r="E1112" i="103"/>
  <c r="D1112" i="103"/>
  <c r="C1112" i="103"/>
  <c r="E1111" i="103"/>
  <c r="D1111" i="103"/>
  <c r="C1111" i="103"/>
  <c r="E1110" i="103"/>
  <c r="D1110" i="103"/>
  <c r="C1110" i="103"/>
  <c r="G1109" i="103"/>
  <c r="F1109" i="103"/>
  <c r="E1109" i="103"/>
  <c r="D1109" i="103"/>
  <c r="C1109" i="103"/>
  <c r="E1108" i="103"/>
  <c r="D1108" i="103"/>
  <c r="C1108" i="103"/>
  <c r="G1107" i="103"/>
  <c r="F1107" i="103"/>
  <c r="E1107" i="103"/>
  <c r="D1107" i="103"/>
  <c r="C1107" i="103"/>
  <c r="G1106" i="103"/>
  <c r="F1106" i="103"/>
  <c r="C1106" i="103"/>
  <c r="G1105" i="103"/>
  <c r="F1105" i="103"/>
  <c r="E1105" i="103"/>
  <c r="D1105" i="103"/>
  <c r="C1105" i="103"/>
  <c r="G1104" i="103"/>
  <c r="F1104" i="103"/>
  <c r="E1104" i="103"/>
  <c r="D1104" i="103"/>
  <c r="C1104" i="103"/>
  <c r="G1103" i="103"/>
  <c r="E1103" i="103"/>
  <c r="D1103" i="103"/>
  <c r="C1103" i="103"/>
  <c r="G1102" i="103"/>
  <c r="F1102" i="103"/>
  <c r="E1102" i="103"/>
  <c r="D1102" i="103"/>
  <c r="C1102" i="103"/>
  <c r="G1101" i="103"/>
  <c r="F1101" i="103"/>
  <c r="E1101" i="103"/>
  <c r="D1101" i="103"/>
  <c r="C1101" i="103"/>
  <c r="G1100" i="103"/>
  <c r="E1100" i="103"/>
  <c r="D1100" i="103"/>
  <c r="F1097" i="103"/>
  <c r="F1095" i="103"/>
  <c r="F1092" i="103"/>
  <c r="E1091" i="103"/>
  <c r="D1091" i="103"/>
  <c r="C1091" i="103"/>
  <c r="E1090" i="103"/>
  <c r="D1090" i="103"/>
  <c r="C1090" i="103"/>
  <c r="E1089" i="103"/>
  <c r="D1089" i="103"/>
  <c r="C1089" i="103"/>
  <c r="G1088" i="103"/>
  <c r="F1088" i="103"/>
  <c r="E1088" i="103"/>
  <c r="D1088" i="103"/>
  <c r="C1088" i="103"/>
  <c r="E1087" i="103"/>
  <c r="D1087" i="103"/>
  <c r="C1087" i="103"/>
  <c r="G1086" i="103"/>
  <c r="F1086" i="103"/>
  <c r="E1086" i="103"/>
  <c r="D1086" i="103"/>
  <c r="C1086" i="103"/>
  <c r="G1085" i="103"/>
  <c r="F1085" i="103"/>
  <c r="C1085" i="103"/>
  <c r="G1084" i="103"/>
  <c r="F1084" i="103"/>
  <c r="E1084" i="103"/>
  <c r="D1084" i="103"/>
  <c r="C1084" i="103"/>
  <c r="G1083" i="103"/>
  <c r="F1083" i="103"/>
  <c r="E1083" i="103"/>
  <c r="D1083" i="103"/>
  <c r="C1083" i="103"/>
  <c r="G1082" i="103"/>
  <c r="E1082" i="103"/>
  <c r="D1082" i="103"/>
  <c r="C1082" i="103"/>
  <c r="G1081" i="103"/>
  <c r="F1081" i="103"/>
  <c r="E1081" i="103"/>
  <c r="D1081" i="103"/>
  <c r="C1081" i="103"/>
  <c r="G1080" i="103"/>
  <c r="F1080" i="103"/>
  <c r="E1080" i="103"/>
  <c r="D1080" i="103"/>
  <c r="C1080" i="103"/>
  <c r="G1079" i="103"/>
  <c r="E1079" i="103"/>
  <c r="D1079" i="103"/>
  <c r="F1077" i="103"/>
  <c r="F1075" i="103"/>
  <c r="F1073" i="103"/>
  <c r="F1070" i="103"/>
  <c r="E1069" i="103"/>
  <c r="D1069" i="103"/>
  <c r="C1069" i="103"/>
  <c r="G1068" i="103"/>
  <c r="F1068" i="103"/>
  <c r="E1068" i="103"/>
  <c r="D1068" i="103"/>
  <c r="C1068" i="103"/>
  <c r="E1067" i="103"/>
  <c r="D1067" i="103"/>
  <c r="C1067" i="103"/>
  <c r="G1066" i="103"/>
  <c r="E1066" i="103"/>
  <c r="D1066" i="103"/>
  <c r="C1066" i="103"/>
  <c r="G1065" i="103"/>
  <c r="F1065" i="103"/>
  <c r="E1065" i="103"/>
  <c r="D1065" i="103"/>
  <c r="C1065" i="103"/>
  <c r="G1064" i="103"/>
  <c r="E1064" i="103"/>
  <c r="D1064" i="103"/>
  <c r="F1062" i="103"/>
  <c r="F1060" i="103"/>
  <c r="F1058" i="103"/>
  <c r="F1055" i="103"/>
  <c r="E1054" i="103"/>
  <c r="D1054" i="103"/>
  <c r="C1054" i="103"/>
  <c r="G1053" i="103"/>
  <c r="F1053" i="103"/>
  <c r="E1053" i="103"/>
  <c r="D1053" i="103"/>
  <c r="C1053" i="103"/>
  <c r="E1052" i="103"/>
  <c r="D1052" i="103"/>
  <c r="C1052" i="103"/>
  <c r="G1051" i="103"/>
  <c r="E1051" i="103"/>
  <c r="D1051" i="103"/>
  <c r="C1051" i="103"/>
  <c r="G1050" i="103"/>
  <c r="F1050" i="103"/>
  <c r="E1050" i="103"/>
  <c r="D1050" i="103"/>
  <c r="C1050" i="103"/>
  <c r="G1049" i="103"/>
  <c r="E1049" i="103"/>
  <c r="D1049" i="103"/>
  <c r="F1047" i="103"/>
  <c r="F1045" i="103"/>
  <c r="F1043" i="103"/>
  <c r="F1040" i="103"/>
  <c r="E1039" i="103"/>
  <c r="D1039" i="103"/>
  <c r="C1039" i="103"/>
  <c r="G1038" i="103"/>
  <c r="F1038" i="103"/>
  <c r="E1038" i="103"/>
  <c r="D1038" i="103"/>
  <c r="C1038" i="103"/>
  <c r="E1037" i="103"/>
  <c r="D1037" i="103"/>
  <c r="C1037" i="103"/>
  <c r="G1036" i="103"/>
  <c r="E1036" i="103"/>
  <c r="D1036" i="103"/>
  <c r="C1036" i="103"/>
  <c r="G1035" i="103"/>
  <c r="F1035" i="103"/>
  <c r="E1035" i="103"/>
  <c r="D1035" i="103"/>
  <c r="C1035" i="103"/>
  <c r="G1034" i="103"/>
  <c r="E1034" i="103"/>
  <c r="D1034" i="103"/>
  <c r="F1032" i="103"/>
  <c r="F1030" i="103"/>
  <c r="F1028" i="103"/>
  <c r="F1025" i="103"/>
  <c r="E1024" i="103"/>
  <c r="D1024" i="103"/>
  <c r="C1024" i="103"/>
  <c r="G1023" i="103"/>
  <c r="F1023" i="103"/>
  <c r="E1023" i="103"/>
  <c r="D1023" i="103"/>
  <c r="C1023" i="103"/>
  <c r="E1022" i="103"/>
  <c r="D1022" i="103"/>
  <c r="C1022" i="103"/>
  <c r="G1021" i="103"/>
  <c r="E1021" i="103"/>
  <c r="D1021" i="103"/>
  <c r="C1021" i="103"/>
  <c r="G1020" i="103"/>
  <c r="F1020" i="103"/>
  <c r="E1020" i="103"/>
  <c r="D1020" i="103"/>
  <c r="C1020" i="103"/>
  <c r="G1019" i="103"/>
  <c r="E1019" i="103"/>
  <c r="D1019" i="103"/>
  <c r="F1017" i="103"/>
  <c r="F1015" i="103"/>
  <c r="F1013" i="103"/>
  <c r="F1010" i="103"/>
  <c r="E1009" i="103"/>
  <c r="D1009" i="103"/>
  <c r="C1009" i="103"/>
  <c r="G1008" i="103"/>
  <c r="F1008" i="103"/>
  <c r="E1008" i="103"/>
  <c r="D1008" i="103"/>
  <c r="C1008" i="103"/>
  <c r="E1007" i="103"/>
  <c r="D1007" i="103"/>
  <c r="C1007" i="103"/>
  <c r="G1006" i="103"/>
  <c r="E1006" i="103"/>
  <c r="D1006" i="103"/>
  <c r="C1006" i="103"/>
  <c r="G1005" i="103"/>
  <c r="F1005" i="103"/>
  <c r="E1005" i="103"/>
  <c r="D1005" i="103"/>
  <c r="C1005" i="103"/>
  <c r="G1004" i="103"/>
  <c r="E1004" i="103"/>
  <c r="D1004" i="103"/>
  <c r="F1002" i="103"/>
  <c r="F1000" i="103"/>
  <c r="F998" i="103"/>
  <c r="F995" i="103"/>
  <c r="E994" i="103"/>
  <c r="D994" i="103"/>
  <c r="C994" i="103"/>
  <c r="G993" i="103"/>
  <c r="F993" i="103"/>
  <c r="E993" i="103"/>
  <c r="D993" i="103"/>
  <c r="C993" i="103"/>
  <c r="E992" i="103"/>
  <c r="D992" i="103"/>
  <c r="C992" i="103"/>
  <c r="G991" i="103"/>
  <c r="E991" i="103"/>
  <c r="D991" i="103"/>
  <c r="C991" i="103"/>
  <c r="G990" i="103"/>
  <c r="F990" i="103"/>
  <c r="E990" i="103"/>
  <c r="D990" i="103"/>
  <c r="C990" i="103"/>
  <c r="G989" i="103"/>
  <c r="E989" i="103"/>
  <c r="D989" i="103"/>
  <c r="F987" i="103"/>
  <c r="F985" i="103"/>
  <c r="F983" i="103"/>
  <c r="F980" i="103"/>
  <c r="E979" i="103"/>
  <c r="D979" i="103"/>
  <c r="C979" i="103"/>
  <c r="G978" i="103"/>
  <c r="F978" i="103"/>
  <c r="E978" i="103"/>
  <c r="D978" i="103"/>
  <c r="C978" i="103"/>
  <c r="E977" i="103"/>
  <c r="D977" i="103"/>
  <c r="C977" i="103"/>
  <c r="G976" i="103"/>
  <c r="E976" i="103"/>
  <c r="D976" i="103"/>
  <c r="C976" i="103"/>
  <c r="G975" i="103"/>
  <c r="F975" i="103"/>
  <c r="E975" i="103"/>
  <c r="D975" i="103"/>
  <c r="C975" i="103"/>
  <c r="G974" i="103"/>
  <c r="E974" i="103"/>
  <c r="D974" i="103"/>
  <c r="F972" i="103"/>
  <c r="F970" i="103"/>
  <c r="F968" i="103"/>
  <c r="F965" i="103"/>
  <c r="E964" i="103"/>
  <c r="D964" i="103"/>
  <c r="C964" i="103"/>
  <c r="G963" i="103"/>
  <c r="F963" i="103"/>
  <c r="E963" i="103"/>
  <c r="D963" i="103"/>
  <c r="C963" i="103"/>
  <c r="E962" i="103"/>
  <c r="D962" i="103"/>
  <c r="C962" i="103"/>
  <c r="G961" i="103"/>
  <c r="E961" i="103"/>
  <c r="D961" i="103"/>
  <c r="C961" i="103"/>
  <c r="G960" i="103"/>
  <c r="F960" i="103"/>
  <c r="E960" i="103"/>
  <c r="D960" i="103"/>
  <c r="C960" i="103"/>
  <c r="G959" i="103"/>
  <c r="E959" i="103"/>
  <c r="D959" i="103"/>
  <c r="F957" i="103"/>
  <c r="F955" i="103"/>
  <c r="F953" i="103"/>
  <c r="F950" i="103"/>
  <c r="G949" i="103"/>
  <c r="F949" i="103"/>
  <c r="E949" i="103"/>
  <c r="D949" i="103"/>
  <c r="C949" i="103"/>
  <c r="G948" i="103"/>
  <c r="E948" i="103"/>
  <c r="D948" i="103"/>
  <c r="C948" i="103"/>
  <c r="G947" i="103"/>
  <c r="E947" i="103"/>
  <c r="D947" i="103"/>
  <c r="C947" i="103"/>
  <c r="G946" i="103"/>
  <c r="E946" i="103"/>
  <c r="D946" i="103"/>
  <c r="C946" i="103"/>
  <c r="G945" i="103"/>
  <c r="F945" i="103"/>
  <c r="E945" i="103"/>
  <c r="D945" i="103"/>
  <c r="C945" i="103"/>
  <c r="G944" i="103"/>
  <c r="F944" i="103"/>
  <c r="E944" i="103"/>
  <c r="D944" i="103"/>
  <c r="C944" i="103"/>
  <c r="E943" i="103"/>
  <c r="D943" i="103"/>
  <c r="C943" i="103"/>
  <c r="G942" i="103"/>
  <c r="F942" i="103"/>
  <c r="E942" i="103"/>
  <c r="D942" i="103"/>
  <c r="C942" i="103"/>
  <c r="G941" i="103"/>
  <c r="F941" i="103"/>
  <c r="E941" i="103"/>
  <c r="D941" i="103"/>
  <c r="C941" i="103"/>
  <c r="F940" i="103"/>
  <c r="E940" i="103"/>
  <c r="D940" i="103"/>
  <c r="C940" i="103"/>
  <c r="G939" i="103"/>
  <c r="F939" i="103"/>
  <c r="E939" i="103"/>
  <c r="D939" i="103"/>
  <c r="C939" i="103"/>
  <c r="G938" i="103"/>
  <c r="F938" i="103"/>
  <c r="E938" i="103"/>
  <c r="D938" i="103"/>
  <c r="C938" i="103"/>
  <c r="F937" i="103"/>
  <c r="E937" i="103"/>
  <c r="D937" i="103"/>
  <c r="C937" i="103"/>
  <c r="G936" i="103"/>
  <c r="F936" i="103"/>
  <c r="E936" i="103"/>
  <c r="D936" i="103"/>
  <c r="C936" i="103"/>
  <c r="G935" i="103"/>
  <c r="F935" i="103"/>
  <c r="E935" i="103"/>
  <c r="D935" i="103"/>
  <c r="F933" i="103"/>
  <c r="F931" i="103"/>
  <c r="F929" i="103"/>
  <c r="F926" i="103"/>
  <c r="E925" i="103"/>
  <c r="D925" i="103"/>
  <c r="C925" i="103"/>
  <c r="E924" i="103"/>
  <c r="D924" i="103"/>
  <c r="C924" i="103"/>
  <c r="F923" i="103"/>
  <c r="E923" i="103"/>
  <c r="D923" i="103"/>
  <c r="C923" i="103"/>
  <c r="E922" i="103"/>
  <c r="D922" i="103"/>
  <c r="C922" i="103"/>
  <c r="G921" i="103"/>
  <c r="E921" i="103"/>
  <c r="D921" i="103"/>
  <c r="F919" i="103"/>
  <c r="F917" i="103"/>
  <c r="F915" i="103"/>
  <c r="F912" i="103"/>
  <c r="E911" i="103"/>
  <c r="D911" i="103"/>
  <c r="C911" i="103"/>
  <c r="E910" i="103"/>
  <c r="D910" i="103"/>
  <c r="C910" i="103"/>
  <c r="F909" i="103"/>
  <c r="E909" i="103"/>
  <c r="D909" i="103"/>
  <c r="C909" i="103"/>
  <c r="E908" i="103"/>
  <c r="D908" i="103"/>
  <c r="C908" i="103"/>
  <c r="G907" i="103"/>
  <c r="E907" i="103"/>
  <c r="D907" i="103"/>
  <c r="F905" i="103"/>
  <c r="F903" i="103"/>
  <c r="F901" i="103"/>
  <c r="F898" i="103"/>
  <c r="E897" i="103"/>
  <c r="D897" i="103"/>
  <c r="C897" i="103"/>
  <c r="G896" i="103"/>
  <c r="F896" i="103"/>
  <c r="E896" i="103"/>
  <c r="D896" i="103"/>
  <c r="C896" i="103"/>
  <c r="G895" i="103"/>
  <c r="F895" i="103"/>
  <c r="E895" i="103"/>
  <c r="D895" i="103"/>
  <c r="C895" i="103"/>
  <c r="G894" i="103"/>
  <c r="F894" i="103"/>
  <c r="E894" i="103"/>
  <c r="D894" i="103"/>
  <c r="C894" i="103"/>
  <c r="F893" i="103"/>
  <c r="E893" i="103"/>
  <c r="D893" i="103"/>
  <c r="C893" i="103"/>
  <c r="G892" i="103"/>
  <c r="F892" i="103"/>
  <c r="E892" i="103"/>
  <c r="D892" i="103"/>
  <c r="C892" i="103"/>
  <c r="G891" i="103"/>
  <c r="E891" i="103"/>
  <c r="D891" i="103"/>
  <c r="F889" i="103"/>
  <c r="F887" i="103"/>
  <c r="F885" i="103"/>
  <c r="F882" i="103"/>
  <c r="G881" i="103"/>
  <c r="E881" i="103"/>
  <c r="D881" i="103"/>
  <c r="C881" i="103"/>
  <c r="G880" i="103"/>
  <c r="F880" i="103"/>
  <c r="E880" i="103"/>
  <c r="D880" i="103"/>
  <c r="C880" i="103"/>
  <c r="G879" i="103"/>
  <c r="F879" i="103"/>
  <c r="E879" i="103"/>
  <c r="D879" i="103"/>
  <c r="C879" i="103"/>
  <c r="G878" i="103"/>
  <c r="F878" i="103"/>
  <c r="E878" i="103"/>
  <c r="D878" i="103"/>
  <c r="C878" i="103"/>
  <c r="G877" i="103"/>
  <c r="F877" i="103"/>
  <c r="E877" i="103"/>
  <c r="D877" i="103"/>
  <c r="F875" i="103"/>
  <c r="F873" i="103"/>
  <c r="F871" i="103"/>
  <c r="F868" i="103"/>
  <c r="E867" i="103"/>
  <c r="D867" i="103"/>
  <c r="C867" i="103"/>
  <c r="G866" i="103"/>
  <c r="F866" i="103"/>
  <c r="E866" i="103"/>
  <c r="D866" i="103"/>
  <c r="C866" i="103"/>
  <c r="E865" i="103"/>
  <c r="D865" i="103"/>
  <c r="C865" i="103"/>
  <c r="F864" i="103"/>
  <c r="C864" i="103"/>
  <c r="G863" i="103"/>
  <c r="F863" i="103"/>
  <c r="E863" i="103"/>
  <c r="D863" i="103"/>
  <c r="C863" i="103"/>
  <c r="G862" i="103"/>
  <c r="F862" i="103"/>
  <c r="E862" i="103"/>
  <c r="D862" i="103"/>
  <c r="F860" i="103"/>
  <c r="F858" i="103"/>
  <c r="F856" i="103"/>
  <c r="F853" i="103"/>
  <c r="G852" i="103"/>
  <c r="E852" i="103"/>
  <c r="D852" i="103"/>
  <c r="C852" i="103"/>
  <c r="G851" i="103"/>
  <c r="F851" i="103"/>
  <c r="E851" i="103"/>
  <c r="D851" i="103"/>
  <c r="C851" i="103"/>
  <c r="G850" i="103"/>
  <c r="E850" i="103"/>
  <c r="D850" i="103"/>
  <c r="C850" i="103"/>
  <c r="G849" i="103"/>
  <c r="F849" i="103"/>
  <c r="E849" i="103"/>
  <c r="D849" i="103"/>
  <c r="C849" i="103"/>
  <c r="G848" i="103"/>
  <c r="F848" i="103"/>
  <c r="C848" i="103"/>
  <c r="G847" i="103"/>
  <c r="F847" i="103"/>
  <c r="E847" i="103"/>
  <c r="D847" i="103"/>
  <c r="C847" i="103"/>
  <c r="G846" i="103"/>
  <c r="F846" i="103"/>
  <c r="E846" i="103"/>
  <c r="D846" i="103"/>
  <c r="F844" i="103"/>
  <c r="F842" i="103"/>
  <c r="F840" i="103"/>
  <c r="F837" i="103"/>
  <c r="G836" i="103"/>
  <c r="F836" i="103"/>
  <c r="E836" i="103"/>
  <c r="D836" i="103"/>
  <c r="C836" i="103"/>
  <c r="G835" i="103"/>
  <c r="F835" i="103"/>
  <c r="E835" i="103"/>
  <c r="D835" i="103"/>
  <c r="C835" i="103"/>
  <c r="G834" i="103"/>
  <c r="F834" i="103"/>
  <c r="E834" i="103"/>
  <c r="D834" i="103"/>
  <c r="C834" i="103"/>
  <c r="F820" i="103"/>
  <c r="F818" i="103"/>
  <c r="F816" i="103"/>
  <c r="F813" i="103"/>
  <c r="G812" i="103"/>
  <c r="E812" i="103"/>
  <c r="D812" i="103"/>
  <c r="C812" i="103"/>
  <c r="G811" i="103"/>
  <c r="E811" i="103"/>
  <c r="D811" i="103"/>
  <c r="C811" i="103"/>
  <c r="G810" i="103"/>
  <c r="F810" i="103"/>
  <c r="E810" i="103"/>
  <c r="D810" i="103"/>
  <c r="C810" i="103"/>
  <c r="G809" i="103"/>
  <c r="E809" i="103"/>
  <c r="D809" i="103"/>
  <c r="C809" i="103"/>
  <c r="G808" i="103"/>
  <c r="F808" i="103"/>
  <c r="C808" i="103"/>
  <c r="G807" i="103"/>
  <c r="F807" i="103"/>
  <c r="E807" i="103"/>
  <c r="D807" i="103"/>
  <c r="C807" i="103"/>
  <c r="G806" i="103"/>
  <c r="F806" i="103"/>
  <c r="E806" i="103"/>
  <c r="D806" i="103"/>
  <c r="F804" i="103"/>
  <c r="F802" i="103"/>
  <c r="F800" i="103"/>
  <c r="F797" i="103"/>
  <c r="G796" i="103"/>
  <c r="E796" i="103"/>
  <c r="D796" i="103"/>
  <c r="C796" i="103"/>
  <c r="G795" i="103"/>
  <c r="E795" i="103"/>
  <c r="D795" i="103"/>
  <c r="C795" i="103"/>
  <c r="G794" i="103"/>
  <c r="F794" i="103"/>
  <c r="E794" i="103"/>
  <c r="D794" i="103"/>
  <c r="C794" i="103"/>
  <c r="G793" i="103"/>
  <c r="E793" i="103"/>
  <c r="D793" i="103"/>
  <c r="C793" i="103"/>
  <c r="G792" i="103"/>
  <c r="F792" i="103"/>
  <c r="E792" i="103"/>
  <c r="D792" i="103"/>
  <c r="C792" i="103"/>
  <c r="G791" i="103"/>
  <c r="F791" i="103"/>
  <c r="E791" i="103"/>
  <c r="D791" i="103"/>
  <c r="C791" i="103"/>
  <c r="G790" i="103"/>
  <c r="F790" i="103"/>
  <c r="E790" i="103"/>
  <c r="D790" i="103"/>
  <c r="C790" i="103"/>
  <c r="G789" i="103"/>
  <c r="F789" i="103"/>
  <c r="E789" i="103"/>
  <c r="D789" i="103"/>
  <c r="C789" i="103"/>
  <c r="G788" i="103"/>
  <c r="F788" i="103"/>
  <c r="E788" i="103"/>
  <c r="D788" i="103"/>
  <c r="F786" i="103"/>
  <c r="F784" i="103"/>
  <c r="F782" i="103"/>
  <c r="F779" i="103"/>
  <c r="G778" i="103"/>
  <c r="F778" i="103"/>
  <c r="E778" i="103"/>
  <c r="D778" i="103"/>
  <c r="C778" i="103"/>
  <c r="G777" i="103"/>
  <c r="E777" i="103"/>
  <c r="D777" i="103"/>
  <c r="C777" i="103"/>
  <c r="G776" i="103"/>
  <c r="E776" i="103"/>
  <c r="D776" i="103"/>
  <c r="C776" i="103"/>
  <c r="G775" i="103"/>
  <c r="F775" i="103"/>
  <c r="E775" i="103"/>
  <c r="D775" i="103"/>
  <c r="C775" i="103"/>
  <c r="G774" i="103"/>
  <c r="E774" i="103"/>
  <c r="D774" i="103"/>
  <c r="C774" i="103"/>
  <c r="G773" i="103"/>
  <c r="F773" i="103"/>
  <c r="E773" i="103"/>
  <c r="D773" i="103"/>
  <c r="C773" i="103"/>
  <c r="G772" i="103"/>
  <c r="E772" i="103"/>
  <c r="D772" i="103"/>
  <c r="C772" i="103"/>
  <c r="G771" i="103"/>
  <c r="F771" i="103"/>
  <c r="E771" i="103"/>
  <c r="D771" i="103"/>
  <c r="C771" i="103"/>
  <c r="G770" i="103"/>
  <c r="F770" i="103"/>
  <c r="E770" i="103"/>
  <c r="D770" i="103"/>
  <c r="C770" i="103"/>
  <c r="G769" i="103"/>
  <c r="F769" i="103"/>
  <c r="C769" i="103"/>
  <c r="G768" i="103"/>
  <c r="F768" i="103"/>
  <c r="E768" i="103"/>
  <c r="D768" i="103"/>
  <c r="C768" i="103"/>
  <c r="G767" i="103"/>
  <c r="F767" i="103"/>
  <c r="E767" i="103"/>
  <c r="D767" i="103"/>
  <c r="F765" i="103"/>
  <c r="F763" i="103"/>
  <c r="F761" i="103"/>
  <c r="F758" i="103"/>
  <c r="E757" i="103"/>
  <c r="D757" i="103"/>
  <c r="C757" i="103"/>
  <c r="G756" i="103"/>
  <c r="F756" i="103"/>
  <c r="E756" i="103"/>
  <c r="D756" i="103"/>
  <c r="C756" i="103"/>
  <c r="E755" i="103"/>
  <c r="D755" i="103"/>
  <c r="C755" i="103"/>
  <c r="G754" i="103"/>
  <c r="E754" i="103"/>
  <c r="D754" i="103"/>
  <c r="F752" i="103"/>
  <c r="F750" i="103"/>
  <c r="F748" i="103"/>
  <c r="F745" i="103"/>
  <c r="G744" i="103"/>
  <c r="E744" i="103"/>
  <c r="D744" i="103"/>
  <c r="C744" i="103"/>
  <c r="G743" i="103"/>
  <c r="F743" i="103"/>
  <c r="E743" i="103"/>
  <c r="D743" i="103"/>
  <c r="C743" i="103"/>
  <c r="G742" i="103"/>
  <c r="F742" i="103"/>
  <c r="E742" i="103"/>
  <c r="D742" i="103"/>
  <c r="C742" i="103"/>
  <c r="G741" i="103"/>
  <c r="F741" i="103"/>
  <c r="E741" i="103"/>
  <c r="D741" i="103"/>
  <c r="C741" i="103"/>
  <c r="G740" i="103"/>
  <c r="F740" i="103"/>
  <c r="E740" i="103"/>
  <c r="D740" i="103"/>
  <c r="F738" i="103"/>
  <c r="F736" i="103"/>
  <c r="F734" i="103"/>
  <c r="F731" i="103"/>
  <c r="G730" i="103"/>
  <c r="F730" i="103"/>
  <c r="E730" i="103"/>
  <c r="D730" i="103"/>
  <c r="C730" i="103"/>
  <c r="E729" i="103"/>
  <c r="D729" i="103"/>
  <c r="C729" i="103"/>
  <c r="G728" i="103"/>
  <c r="F728" i="103"/>
  <c r="E728" i="103"/>
  <c r="D728" i="103"/>
  <c r="C728" i="103"/>
  <c r="E727" i="103"/>
  <c r="D727" i="103"/>
  <c r="C727" i="103"/>
  <c r="F726" i="103"/>
  <c r="E726" i="103"/>
  <c r="D726" i="103"/>
  <c r="C726" i="103"/>
  <c r="G725" i="103"/>
  <c r="F725" i="103"/>
  <c r="E725" i="103"/>
  <c r="D725" i="103"/>
  <c r="C725" i="103"/>
  <c r="G724" i="103"/>
  <c r="E724" i="103"/>
  <c r="D724" i="103"/>
  <c r="F722" i="103"/>
  <c r="F720" i="103"/>
  <c r="F718" i="103"/>
  <c r="F715" i="103"/>
  <c r="G714" i="103"/>
  <c r="F714" i="103"/>
  <c r="E714" i="103"/>
  <c r="D714" i="103"/>
  <c r="C714" i="103"/>
  <c r="G713" i="103"/>
  <c r="E713" i="103"/>
  <c r="D713" i="103"/>
  <c r="C713" i="103"/>
  <c r="G712" i="103"/>
  <c r="E712" i="103"/>
  <c r="D712" i="103"/>
  <c r="C712" i="103"/>
  <c r="G711" i="103"/>
  <c r="E711" i="103"/>
  <c r="D711" i="103"/>
  <c r="C711" i="103"/>
  <c r="G710" i="103"/>
  <c r="F710" i="103"/>
  <c r="E710" i="103"/>
  <c r="D710" i="103"/>
  <c r="C710" i="103"/>
  <c r="G709" i="103"/>
  <c r="E709" i="103"/>
  <c r="D709" i="103"/>
  <c r="C709" i="103"/>
  <c r="G708" i="103"/>
  <c r="F708" i="103"/>
  <c r="E708" i="103"/>
  <c r="D708" i="103"/>
  <c r="C708" i="103"/>
  <c r="G707" i="103"/>
  <c r="F707" i="103"/>
  <c r="E707" i="103"/>
  <c r="D707" i="103"/>
  <c r="C707" i="103"/>
  <c r="G706" i="103"/>
  <c r="F706" i="103"/>
  <c r="E706" i="103"/>
  <c r="D706" i="103"/>
  <c r="C706" i="103"/>
  <c r="G705" i="103"/>
  <c r="F705" i="103"/>
  <c r="E705" i="103"/>
  <c r="D705" i="103"/>
  <c r="C705" i="103"/>
  <c r="G704" i="103"/>
  <c r="F704" i="103"/>
  <c r="E704" i="103"/>
  <c r="D704" i="103"/>
  <c r="C704" i="103"/>
  <c r="G703" i="103"/>
  <c r="F703" i="103"/>
  <c r="E703" i="103"/>
  <c r="D703" i="103"/>
  <c r="F652" i="103"/>
  <c r="F650" i="103"/>
  <c r="F648" i="103"/>
  <c r="F645" i="103"/>
  <c r="G644" i="103"/>
  <c r="F644" i="103"/>
  <c r="E644" i="103"/>
  <c r="D644" i="103"/>
  <c r="C644" i="103"/>
  <c r="E643" i="103"/>
  <c r="D643" i="103"/>
  <c r="C643" i="103"/>
  <c r="E642" i="103"/>
  <c r="D642" i="103"/>
  <c r="C642" i="103"/>
  <c r="E641" i="103"/>
  <c r="D641" i="103"/>
  <c r="C641" i="103"/>
  <c r="F640" i="103"/>
  <c r="E640" i="103"/>
  <c r="D640" i="103"/>
  <c r="C640" i="103"/>
  <c r="E639" i="103"/>
  <c r="D639" i="103"/>
  <c r="C639" i="103"/>
  <c r="G638" i="103"/>
  <c r="E638" i="103"/>
  <c r="D638" i="103"/>
  <c r="F636" i="103"/>
  <c r="F634" i="103"/>
  <c r="F632" i="103"/>
  <c r="F629" i="103"/>
  <c r="E628" i="103"/>
  <c r="D628" i="103"/>
  <c r="C628" i="103"/>
  <c r="E627" i="103"/>
  <c r="D627" i="103"/>
  <c r="C627" i="103"/>
  <c r="E626" i="103"/>
  <c r="D626" i="103"/>
  <c r="C626" i="103"/>
  <c r="F625" i="103"/>
  <c r="E625" i="103"/>
  <c r="D625" i="103"/>
  <c r="C625" i="103"/>
  <c r="E624" i="103"/>
  <c r="D624" i="103"/>
  <c r="C624" i="103"/>
  <c r="F623" i="103"/>
  <c r="E623" i="103"/>
  <c r="D623" i="103"/>
  <c r="C623" i="103"/>
  <c r="F622" i="103"/>
  <c r="E622" i="103"/>
  <c r="D622" i="103"/>
  <c r="C622" i="103"/>
  <c r="G621" i="103"/>
  <c r="F621" i="103"/>
  <c r="E621" i="103"/>
  <c r="D621" i="103"/>
  <c r="C621" i="103"/>
  <c r="G620" i="103"/>
  <c r="E620" i="103"/>
  <c r="D620" i="103"/>
  <c r="F618" i="103"/>
  <c r="F616" i="103"/>
  <c r="F614" i="103"/>
  <c r="F611" i="103"/>
  <c r="E610" i="103"/>
  <c r="D610" i="103"/>
  <c r="C610" i="103"/>
  <c r="E609" i="103"/>
  <c r="D609" i="103"/>
  <c r="C609" i="103"/>
  <c r="F608" i="103"/>
  <c r="E608" i="103"/>
  <c r="D608" i="103"/>
  <c r="C608" i="103"/>
  <c r="E607" i="103"/>
  <c r="D607" i="103"/>
  <c r="C607" i="103"/>
  <c r="G606" i="103"/>
  <c r="E606" i="103"/>
  <c r="D606" i="103"/>
  <c r="F604" i="103"/>
  <c r="F602" i="103"/>
  <c r="F600" i="103"/>
  <c r="F597" i="103"/>
  <c r="G596" i="103"/>
  <c r="F596" i="103"/>
  <c r="E596" i="103"/>
  <c r="D596" i="103"/>
  <c r="C596" i="103"/>
  <c r="E595" i="103"/>
  <c r="D595" i="103"/>
  <c r="C595" i="103"/>
  <c r="E594" i="103"/>
  <c r="D594" i="103"/>
  <c r="C594" i="103"/>
  <c r="E593" i="103"/>
  <c r="D593" i="103"/>
  <c r="C593" i="103"/>
  <c r="E592" i="103"/>
  <c r="D592" i="103"/>
  <c r="C592" i="103"/>
  <c r="E591" i="103"/>
  <c r="D591" i="103"/>
  <c r="C591" i="103"/>
  <c r="E590" i="103"/>
  <c r="D590" i="103"/>
  <c r="C590" i="103"/>
  <c r="F589" i="103"/>
  <c r="E589" i="103"/>
  <c r="D589" i="103"/>
  <c r="C589" i="103"/>
  <c r="E588" i="103"/>
  <c r="D588" i="103"/>
  <c r="C588" i="103"/>
  <c r="F587" i="103"/>
  <c r="E587" i="103"/>
  <c r="D587" i="103"/>
  <c r="C587" i="103"/>
  <c r="G586" i="103"/>
  <c r="F586" i="103"/>
  <c r="E586" i="103"/>
  <c r="D586" i="103"/>
  <c r="C586" i="103"/>
  <c r="G585" i="103"/>
  <c r="E585" i="103"/>
  <c r="D585" i="103"/>
  <c r="F583" i="103"/>
  <c r="F581" i="103"/>
  <c r="F579" i="103"/>
  <c r="F576" i="103"/>
  <c r="G575" i="103"/>
  <c r="F575" i="103"/>
  <c r="E575" i="103"/>
  <c r="D575" i="103"/>
  <c r="C575" i="103"/>
  <c r="E574" i="103"/>
  <c r="D574" i="103"/>
  <c r="C574" i="103"/>
  <c r="E573" i="103"/>
  <c r="D573" i="103"/>
  <c r="C573" i="103"/>
  <c r="F572" i="103"/>
  <c r="E572" i="103"/>
  <c r="D572" i="103"/>
  <c r="C572" i="103"/>
  <c r="E571" i="103"/>
  <c r="D571" i="103"/>
  <c r="C571" i="103"/>
  <c r="F570" i="103"/>
  <c r="E570" i="103"/>
  <c r="D570" i="103"/>
  <c r="C570" i="103"/>
  <c r="G569" i="103"/>
  <c r="F569" i="103"/>
  <c r="E569" i="103"/>
  <c r="D569" i="103"/>
  <c r="C569" i="103"/>
  <c r="G568" i="103"/>
  <c r="E568" i="103"/>
  <c r="D568" i="103"/>
  <c r="F552" i="103"/>
  <c r="F550" i="103"/>
  <c r="F548" i="103"/>
  <c r="F545" i="103"/>
  <c r="G544" i="103"/>
  <c r="F544" i="103"/>
  <c r="E544" i="103"/>
  <c r="D544" i="103"/>
  <c r="C544" i="103"/>
  <c r="E543" i="103"/>
  <c r="D543" i="103"/>
  <c r="C543" i="103"/>
  <c r="E542" i="103"/>
  <c r="D542" i="103"/>
  <c r="C542" i="103"/>
  <c r="F541" i="103"/>
  <c r="E541" i="103"/>
  <c r="D541" i="103"/>
  <c r="C541" i="103"/>
  <c r="E540" i="103"/>
  <c r="D540" i="103"/>
  <c r="C540" i="103"/>
  <c r="F539" i="103"/>
  <c r="E539" i="103"/>
  <c r="D539" i="103"/>
  <c r="C539" i="103"/>
  <c r="G538" i="103"/>
  <c r="F538" i="103"/>
  <c r="E538" i="103"/>
  <c r="D538" i="103"/>
  <c r="C538" i="103"/>
  <c r="G537" i="103"/>
  <c r="E537" i="103"/>
  <c r="D537" i="103"/>
  <c r="F535" i="103"/>
  <c r="F533" i="103"/>
  <c r="F531" i="103"/>
  <c r="F528" i="103"/>
  <c r="G527" i="103"/>
  <c r="F527" i="103"/>
  <c r="E527" i="103"/>
  <c r="D527" i="103"/>
  <c r="C527" i="103"/>
  <c r="E526" i="103"/>
  <c r="D526" i="103"/>
  <c r="C526" i="103"/>
  <c r="E525" i="103"/>
  <c r="D525" i="103"/>
  <c r="C525" i="103"/>
  <c r="F524" i="103"/>
  <c r="E524" i="103"/>
  <c r="D524" i="103"/>
  <c r="C524" i="103"/>
  <c r="E523" i="103"/>
  <c r="D523" i="103"/>
  <c r="C523" i="103"/>
  <c r="F522" i="103"/>
  <c r="E522" i="103"/>
  <c r="D522" i="103"/>
  <c r="C522" i="103"/>
  <c r="G521" i="103"/>
  <c r="F521" i="103"/>
  <c r="E521" i="103"/>
  <c r="D521" i="103"/>
  <c r="C521" i="103"/>
  <c r="G520" i="103"/>
  <c r="E520" i="103"/>
  <c r="D520" i="103"/>
  <c r="F518" i="103"/>
  <c r="F516" i="103"/>
  <c r="F514" i="103"/>
  <c r="F511" i="103"/>
  <c r="G510" i="103"/>
  <c r="F510" i="103"/>
  <c r="E510" i="103"/>
  <c r="D510" i="103"/>
  <c r="C510" i="103"/>
  <c r="E509" i="103"/>
  <c r="D509" i="103"/>
  <c r="C509" i="103"/>
  <c r="E508" i="103"/>
  <c r="D508" i="103"/>
  <c r="C508" i="103"/>
  <c r="F507" i="103"/>
  <c r="E507" i="103"/>
  <c r="D507" i="103"/>
  <c r="C507" i="103"/>
  <c r="E506" i="103"/>
  <c r="D506" i="103"/>
  <c r="C506" i="103"/>
  <c r="G505" i="103"/>
  <c r="E505" i="103"/>
  <c r="D505" i="103"/>
  <c r="F503" i="103"/>
  <c r="F501" i="103"/>
  <c r="F499" i="103"/>
  <c r="F496" i="103"/>
  <c r="G495" i="103"/>
  <c r="F495" i="103"/>
  <c r="E495" i="103"/>
  <c r="D495" i="103"/>
  <c r="C495" i="103"/>
  <c r="E494" i="103"/>
  <c r="D494" i="103"/>
  <c r="C494" i="103"/>
  <c r="E493" i="103"/>
  <c r="D493" i="103"/>
  <c r="C493" i="103"/>
  <c r="F492" i="103"/>
  <c r="E492" i="103"/>
  <c r="D492" i="103"/>
  <c r="C492" i="103"/>
  <c r="E491" i="103"/>
  <c r="D491" i="103"/>
  <c r="C491" i="103"/>
  <c r="F490" i="103"/>
  <c r="E490" i="103"/>
  <c r="D490" i="103"/>
  <c r="C490" i="103"/>
  <c r="G489" i="103"/>
  <c r="F489" i="103"/>
  <c r="E489" i="103"/>
  <c r="D489" i="103"/>
  <c r="C489" i="103"/>
  <c r="G488" i="103"/>
  <c r="E488" i="103"/>
  <c r="D488" i="103"/>
  <c r="F486" i="103"/>
  <c r="F484" i="103"/>
  <c r="F482" i="103"/>
  <c r="F479" i="103"/>
  <c r="E478" i="103"/>
  <c r="D478" i="103"/>
  <c r="C478" i="103"/>
  <c r="G477" i="103"/>
  <c r="F477" i="103"/>
  <c r="E477" i="103"/>
  <c r="D477" i="103"/>
  <c r="C477" i="103"/>
  <c r="F476" i="103"/>
  <c r="E476" i="103"/>
  <c r="D476" i="103"/>
  <c r="C476" i="103"/>
  <c r="F475" i="103"/>
  <c r="E475" i="103"/>
  <c r="D475" i="103"/>
  <c r="C475" i="103"/>
  <c r="F474" i="103"/>
  <c r="E474" i="103"/>
  <c r="D474" i="103"/>
  <c r="C474" i="103"/>
  <c r="G473" i="103"/>
  <c r="F473" i="103"/>
  <c r="E473" i="103"/>
  <c r="D473" i="103"/>
  <c r="C473" i="103"/>
  <c r="G472" i="103"/>
  <c r="E472" i="103"/>
  <c r="D472" i="103"/>
  <c r="F470" i="103"/>
  <c r="F468" i="103"/>
  <c r="F466" i="103"/>
  <c r="F463" i="103"/>
  <c r="G462" i="103"/>
  <c r="F462" i="103"/>
  <c r="E462" i="103"/>
  <c r="D462" i="103"/>
  <c r="C462" i="103"/>
  <c r="E461" i="103"/>
  <c r="D461" i="103"/>
  <c r="C461" i="103"/>
  <c r="E460" i="103"/>
  <c r="D460" i="103"/>
  <c r="C460" i="103"/>
  <c r="F459" i="103"/>
  <c r="E459" i="103"/>
  <c r="D459" i="103"/>
  <c r="C459" i="103"/>
  <c r="E458" i="103"/>
  <c r="D458" i="103"/>
  <c r="C458" i="103"/>
  <c r="F457" i="103"/>
  <c r="E457" i="103"/>
  <c r="D457" i="103"/>
  <c r="C457" i="103"/>
  <c r="G456" i="103"/>
  <c r="F456" i="103"/>
  <c r="E456" i="103"/>
  <c r="D456" i="103"/>
  <c r="C456" i="103"/>
  <c r="G455" i="103"/>
  <c r="E455" i="103"/>
  <c r="D455" i="103"/>
  <c r="F453" i="103"/>
  <c r="F451" i="103"/>
  <c r="F449" i="103"/>
  <c r="F446" i="103"/>
  <c r="G445" i="103"/>
  <c r="F445" i="103"/>
  <c r="E445" i="103"/>
  <c r="D445" i="103"/>
  <c r="C445" i="103"/>
  <c r="E444" i="103"/>
  <c r="D444" i="103"/>
  <c r="C444" i="103"/>
  <c r="E443" i="103"/>
  <c r="D443" i="103"/>
  <c r="C443" i="103"/>
  <c r="F442" i="103"/>
  <c r="E442" i="103"/>
  <c r="D442" i="103"/>
  <c r="C442" i="103"/>
  <c r="E441" i="103"/>
  <c r="D441" i="103"/>
  <c r="C441" i="103"/>
  <c r="F440" i="103"/>
  <c r="E440" i="103"/>
  <c r="D440" i="103"/>
  <c r="C440" i="103"/>
  <c r="G439" i="103"/>
  <c r="F439" i="103"/>
  <c r="E439" i="103"/>
  <c r="D439" i="103"/>
  <c r="C439" i="103"/>
  <c r="G438" i="103"/>
  <c r="E438" i="103"/>
  <c r="D438" i="103"/>
  <c r="F436" i="103"/>
  <c r="F434" i="103"/>
  <c r="F432" i="103"/>
  <c r="F429" i="103"/>
  <c r="E428" i="103"/>
  <c r="D428" i="103"/>
  <c r="C428" i="103"/>
  <c r="F427" i="103"/>
  <c r="E427" i="103"/>
  <c r="D427" i="103"/>
  <c r="C427" i="103"/>
  <c r="E426" i="103"/>
  <c r="D426" i="103"/>
  <c r="C426" i="103"/>
  <c r="G425" i="103"/>
  <c r="E425" i="103"/>
  <c r="D425" i="103"/>
  <c r="F423" i="103"/>
  <c r="F421" i="103"/>
  <c r="F419" i="103"/>
  <c r="F416" i="103"/>
  <c r="G415" i="103"/>
  <c r="E415" i="103"/>
  <c r="D415" i="103"/>
  <c r="C415" i="103"/>
  <c r="G414" i="103"/>
  <c r="E414" i="103"/>
  <c r="D414" i="103"/>
  <c r="C414" i="103"/>
  <c r="G413" i="103"/>
  <c r="F413" i="103"/>
  <c r="E413" i="103"/>
  <c r="D413" i="103"/>
  <c r="C413" i="103"/>
  <c r="G412" i="103"/>
  <c r="E412" i="103"/>
  <c r="D412" i="103"/>
  <c r="C412" i="103"/>
  <c r="G411" i="103"/>
  <c r="F411" i="103"/>
  <c r="E411" i="103"/>
  <c r="D411" i="103"/>
  <c r="C411" i="103"/>
  <c r="G410" i="103"/>
  <c r="F410" i="103"/>
  <c r="E410" i="103"/>
  <c r="D410" i="103"/>
  <c r="C410" i="103"/>
  <c r="G409" i="103"/>
  <c r="F409" i="103"/>
  <c r="E409" i="103"/>
  <c r="D409" i="103"/>
  <c r="C409" i="103"/>
  <c r="G408" i="103"/>
  <c r="F408" i="103"/>
  <c r="E408" i="103"/>
  <c r="D408" i="103"/>
  <c r="C408" i="103"/>
  <c r="G407" i="103"/>
  <c r="F407" i="103"/>
  <c r="E407" i="103"/>
  <c r="D407" i="103"/>
  <c r="F405" i="103"/>
  <c r="F403" i="103"/>
  <c r="F401" i="103"/>
  <c r="F398" i="103"/>
  <c r="G397" i="103"/>
  <c r="E397" i="103"/>
  <c r="D397" i="103"/>
  <c r="C397" i="103"/>
  <c r="G396" i="103"/>
  <c r="E396" i="103"/>
  <c r="D396" i="103"/>
  <c r="C396" i="103"/>
  <c r="G395" i="103"/>
  <c r="F395" i="103"/>
  <c r="E395" i="103"/>
  <c r="D395" i="103"/>
  <c r="C395" i="103"/>
  <c r="G394" i="103"/>
  <c r="E394" i="103"/>
  <c r="D394" i="103"/>
  <c r="C394" i="103"/>
  <c r="G393" i="103"/>
  <c r="F393" i="103"/>
  <c r="E393" i="103"/>
  <c r="D393" i="103"/>
  <c r="C393" i="103"/>
  <c r="G392" i="103"/>
  <c r="F392" i="103"/>
  <c r="C392" i="103"/>
  <c r="G391" i="103"/>
  <c r="F391" i="103"/>
  <c r="E391" i="103"/>
  <c r="D391" i="103"/>
  <c r="C391" i="103"/>
  <c r="G390" i="103"/>
  <c r="F390" i="103"/>
  <c r="E390" i="103"/>
  <c r="D390" i="103"/>
  <c r="F388" i="103"/>
  <c r="F386" i="103"/>
  <c r="F384" i="103"/>
  <c r="F381" i="103"/>
  <c r="G380" i="103"/>
  <c r="F380" i="103"/>
  <c r="E380" i="103"/>
  <c r="D380" i="103"/>
  <c r="C380" i="103"/>
  <c r="E379" i="103"/>
  <c r="D379" i="103"/>
  <c r="C379" i="103"/>
  <c r="F378" i="103"/>
  <c r="E378" i="103"/>
  <c r="D378" i="103"/>
  <c r="C378" i="103"/>
  <c r="E377" i="103"/>
  <c r="D377" i="103"/>
  <c r="C377" i="103"/>
  <c r="G376" i="103"/>
  <c r="E376" i="103"/>
  <c r="D376" i="103"/>
  <c r="F374" i="103"/>
  <c r="F372" i="103"/>
  <c r="F370" i="103"/>
  <c r="F367" i="103"/>
  <c r="G366" i="103"/>
  <c r="F366" i="103"/>
  <c r="E366" i="103"/>
  <c r="D366" i="103"/>
  <c r="C366" i="103"/>
  <c r="E365" i="103"/>
  <c r="D365" i="103"/>
  <c r="C365" i="103"/>
  <c r="F364" i="103"/>
  <c r="E364" i="103"/>
  <c r="D364" i="103"/>
  <c r="C364" i="103"/>
  <c r="E363" i="103"/>
  <c r="D363" i="103"/>
  <c r="C363" i="103"/>
  <c r="G362" i="103"/>
  <c r="F362" i="103"/>
  <c r="E362" i="103"/>
  <c r="D362" i="103"/>
  <c r="C362" i="103"/>
  <c r="F361" i="103"/>
  <c r="E361" i="103"/>
  <c r="D361" i="103"/>
  <c r="C361" i="103"/>
  <c r="E360" i="103"/>
  <c r="D360" i="103"/>
  <c r="C360" i="103"/>
  <c r="F359" i="103"/>
  <c r="E359" i="103"/>
  <c r="D359" i="103"/>
  <c r="C359" i="103"/>
  <c r="G358" i="103"/>
  <c r="F358" i="103"/>
  <c r="E358" i="103"/>
  <c r="D358" i="103"/>
  <c r="C358" i="103"/>
  <c r="G357" i="103"/>
  <c r="E357" i="103"/>
  <c r="D357" i="103"/>
  <c r="F355" i="103"/>
  <c r="F353" i="103"/>
  <c r="F351" i="103"/>
  <c r="F348" i="103"/>
  <c r="G347" i="103"/>
  <c r="F347" i="103"/>
  <c r="E347" i="103"/>
  <c r="D347" i="103"/>
  <c r="C347" i="103"/>
  <c r="E346" i="103"/>
  <c r="D346" i="103"/>
  <c r="C346" i="103"/>
  <c r="F345" i="103"/>
  <c r="E345" i="103"/>
  <c r="D345" i="103"/>
  <c r="C345" i="103"/>
  <c r="E344" i="103"/>
  <c r="D344" i="103"/>
  <c r="C344" i="103"/>
  <c r="G343" i="103"/>
  <c r="F343" i="103"/>
  <c r="E343" i="103"/>
  <c r="D343" i="103"/>
  <c r="C343" i="103"/>
  <c r="F342" i="103"/>
  <c r="E342" i="103"/>
  <c r="D342" i="103"/>
  <c r="C342" i="103"/>
  <c r="E341" i="103"/>
  <c r="D341" i="103"/>
  <c r="C341" i="103"/>
  <c r="F340" i="103"/>
  <c r="E340" i="103"/>
  <c r="D340" i="103"/>
  <c r="C340" i="103"/>
  <c r="G339" i="103"/>
  <c r="F339" i="103"/>
  <c r="E339" i="103"/>
  <c r="C339" i="103"/>
  <c r="G338" i="103"/>
  <c r="E338" i="103"/>
  <c r="D338" i="103"/>
  <c r="F336" i="103"/>
  <c r="F334" i="103"/>
  <c r="F332" i="103"/>
  <c r="F329" i="103"/>
  <c r="G328" i="103"/>
  <c r="F328" i="103"/>
  <c r="E328" i="103"/>
  <c r="D328" i="103"/>
  <c r="C328" i="103"/>
  <c r="E327" i="103"/>
  <c r="D327" i="103"/>
  <c r="C327" i="103"/>
  <c r="E326" i="103"/>
  <c r="D326" i="103"/>
  <c r="C326" i="103"/>
  <c r="E325" i="103"/>
  <c r="D325" i="103"/>
  <c r="C325" i="103"/>
  <c r="E324" i="103"/>
  <c r="D324" i="103"/>
  <c r="C324" i="103"/>
  <c r="E323" i="103"/>
  <c r="D323" i="103"/>
  <c r="C323" i="103"/>
  <c r="F322" i="103"/>
  <c r="E322" i="103"/>
  <c r="D322" i="103"/>
  <c r="C322" i="103"/>
  <c r="E321" i="103"/>
  <c r="D321" i="103"/>
  <c r="C321" i="103"/>
  <c r="F320" i="103"/>
  <c r="E320" i="103"/>
  <c r="D320" i="103"/>
  <c r="C320" i="103"/>
  <c r="G319" i="103"/>
  <c r="F319" i="103"/>
  <c r="E319" i="103"/>
  <c r="D319" i="103"/>
  <c r="C319" i="103"/>
  <c r="G318" i="103"/>
  <c r="E318" i="103"/>
  <c r="D318" i="103"/>
  <c r="F316" i="103"/>
  <c r="F314" i="103"/>
  <c r="F312" i="103"/>
  <c r="F309" i="103"/>
  <c r="E308" i="103"/>
  <c r="D308" i="103"/>
  <c r="C308" i="103"/>
  <c r="E307" i="103"/>
  <c r="D307" i="103"/>
  <c r="C307" i="103"/>
  <c r="E306" i="103"/>
  <c r="D306" i="103"/>
  <c r="C306" i="103"/>
  <c r="F305" i="103"/>
  <c r="E305" i="103"/>
  <c r="D305" i="103"/>
  <c r="C305" i="103"/>
  <c r="E304" i="103"/>
  <c r="D304" i="103"/>
  <c r="C304" i="103"/>
  <c r="F303" i="103"/>
  <c r="E303" i="103"/>
  <c r="D303" i="103"/>
  <c r="C303" i="103"/>
  <c r="F302" i="103"/>
  <c r="E302" i="103"/>
  <c r="D302" i="103"/>
  <c r="C302" i="103"/>
  <c r="G301" i="103"/>
  <c r="F301" i="103"/>
  <c r="E301" i="103"/>
  <c r="D301" i="103"/>
  <c r="C301" i="103"/>
  <c r="G300" i="103"/>
  <c r="E300" i="103"/>
  <c r="D300" i="103"/>
  <c r="F298" i="103"/>
  <c r="F296" i="103"/>
  <c r="F294" i="103"/>
  <c r="F291" i="103"/>
  <c r="G290" i="103"/>
  <c r="F290" i="103"/>
  <c r="E290" i="103"/>
  <c r="D290" i="103"/>
  <c r="C290" i="103"/>
  <c r="E289" i="103"/>
  <c r="D289" i="103"/>
  <c r="C289" i="103"/>
  <c r="E288" i="103"/>
  <c r="D288" i="103"/>
  <c r="C288" i="103"/>
  <c r="E287" i="103"/>
  <c r="D287" i="103"/>
  <c r="C287" i="103"/>
  <c r="F286" i="103"/>
  <c r="E286" i="103"/>
  <c r="D286" i="103"/>
  <c r="C286" i="103"/>
  <c r="E285" i="103"/>
  <c r="D285" i="103"/>
  <c r="C285" i="103"/>
  <c r="G284" i="103"/>
  <c r="E284" i="103"/>
  <c r="D284" i="103"/>
  <c r="F282" i="103"/>
  <c r="F280" i="103"/>
  <c r="F278" i="103"/>
  <c r="F275" i="103"/>
  <c r="E274" i="103"/>
  <c r="D274" i="103"/>
  <c r="C274" i="103"/>
  <c r="G273" i="103"/>
  <c r="F273" i="103"/>
  <c r="E273" i="103"/>
  <c r="D273" i="103"/>
  <c r="C273" i="103"/>
  <c r="G272" i="103"/>
  <c r="F272" i="103"/>
  <c r="E272" i="103"/>
  <c r="D272" i="103"/>
  <c r="F270" i="103"/>
  <c r="F268" i="103"/>
  <c r="F266" i="103"/>
  <c r="F263" i="103"/>
  <c r="G262" i="103"/>
  <c r="F262" i="103"/>
  <c r="E262" i="103"/>
  <c r="D262" i="103"/>
  <c r="C262" i="103"/>
  <c r="E261" i="103"/>
  <c r="D261" i="103"/>
  <c r="C261" i="103"/>
  <c r="E260" i="103"/>
  <c r="D260" i="103"/>
  <c r="C260" i="103"/>
  <c r="E259" i="103"/>
  <c r="D259" i="103"/>
  <c r="C259" i="103"/>
  <c r="G258" i="103"/>
  <c r="F258" i="103"/>
  <c r="E258" i="103"/>
  <c r="D258" i="103"/>
  <c r="C258" i="103"/>
  <c r="E257" i="103"/>
  <c r="D257" i="103"/>
  <c r="C257" i="103"/>
  <c r="G256" i="103"/>
  <c r="F256" i="103"/>
  <c r="E256" i="103"/>
  <c r="D256" i="103"/>
  <c r="C256" i="103"/>
  <c r="G255" i="103"/>
  <c r="F255" i="103"/>
  <c r="E255" i="103"/>
  <c r="D255" i="103"/>
  <c r="C255" i="103"/>
  <c r="G254" i="103"/>
  <c r="F254" i="103"/>
  <c r="E254" i="103"/>
  <c r="D254" i="103"/>
  <c r="C254" i="103"/>
  <c r="G253" i="103"/>
  <c r="F253" i="103"/>
  <c r="E253" i="103"/>
  <c r="D253" i="103"/>
  <c r="C253" i="103"/>
  <c r="G252" i="103"/>
  <c r="F252" i="103"/>
  <c r="E252" i="103"/>
  <c r="D252" i="103"/>
  <c r="C252" i="103"/>
  <c r="F251" i="103"/>
  <c r="E251" i="103"/>
  <c r="D251" i="103"/>
  <c r="C251" i="103"/>
  <c r="G250" i="103"/>
  <c r="F250" i="103"/>
  <c r="E250" i="103"/>
  <c r="D250" i="103"/>
  <c r="C250" i="103"/>
  <c r="G249" i="103"/>
  <c r="F249" i="103"/>
  <c r="E249" i="103"/>
  <c r="D249" i="103"/>
  <c r="C249" i="103"/>
  <c r="F248" i="103"/>
  <c r="E248" i="103"/>
  <c r="D248" i="103"/>
  <c r="C248" i="103"/>
  <c r="G247" i="103"/>
  <c r="F247" i="103"/>
  <c r="E247" i="103"/>
  <c r="D247" i="103"/>
  <c r="C247" i="103"/>
  <c r="F246" i="103"/>
  <c r="E246" i="103"/>
  <c r="D246" i="103"/>
  <c r="C246" i="103"/>
  <c r="G245" i="103"/>
  <c r="F245" i="103"/>
  <c r="E245" i="103"/>
  <c r="D245" i="103"/>
  <c r="C245" i="103"/>
  <c r="F244" i="103"/>
  <c r="E244" i="103"/>
  <c r="D244" i="103"/>
  <c r="C244" i="103"/>
  <c r="G243" i="103"/>
  <c r="F243" i="103"/>
  <c r="E243" i="103"/>
  <c r="C243" i="103"/>
  <c r="G242" i="103"/>
  <c r="F242" i="103"/>
  <c r="E242" i="103"/>
  <c r="D242" i="103"/>
  <c r="F225" i="103"/>
  <c r="F223" i="103"/>
  <c r="F221" i="103"/>
  <c r="F218" i="103"/>
  <c r="G217" i="103"/>
  <c r="E217" i="103"/>
  <c r="D217" i="103"/>
  <c r="C217" i="103"/>
  <c r="G216" i="103"/>
  <c r="F216" i="103"/>
  <c r="E216" i="103"/>
  <c r="D216" i="103"/>
  <c r="C216" i="103"/>
  <c r="G215" i="103"/>
  <c r="E215" i="103"/>
  <c r="D215" i="103"/>
  <c r="C215" i="103"/>
  <c r="G214" i="103"/>
  <c r="F214" i="103"/>
  <c r="E214" i="103"/>
  <c r="D214" i="103"/>
  <c r="C214" i="103"/>
  <c r="G213" i="103"/>
  <c r="F213" i="103"/>
  <c r="E213" i="103"/>
  <c r="D213" i="103"/>
  <c r="C213" i="103"/>
  <c r="G212" i="103"/>
  <c r="F212" i="103"/>
  <c r="E212" i="103"/>
  <c r="D212" i="103"/>
  <c r="C212" i="103"/>
  <c r="G211" i="103"/>
  <c r="F211" i="103"/>
  <c r="E211" i="103"/>
  <c r="D211" i="103"/>
  <c r="F191" i="103"/>
  <c r="F189" i="103"/>
  <c r="F187" i="103"/>
  <c r="F184" i="103"/>
  <c r="G183" i="103"/>
  <c r="E183" i="103"/>
  <c r="D183" i="103"/>
  <c r="C183" i="103"/>
  <c r="G182" i="103"/>
  <c r="E182" i="103"/>
  <c r="D182" i="103"/>
  <c r="C182" i="103"/>
  <c r="G181" i="103"/>
  <c r="F181" i="103"/>
  <c r="E181" i="103"/>
  <c r="D181" i="103"/>
  <c r="C181" i="103"/>
  <c r="G180" i="103"/>
  <c r="E180" i="103"/>
  <c r="D180" i="103"/>
  <c r="C180" i="103"/>
  <c r="G179" i="103"/>
  <c r="F179" i="103"/>
  <c r="E179" i="103"/>
  <c r="D179" i="103"/>
  <c r="F177" i="103"/>
  <c r="F175" i="103"/>
  <c r="F173" i="103"/>
  <c r="F170" i="103"/>
  <c r="G169" i="103"/>
  <c r="E169" i="103"/>
  <c r="D169" i="103"/>
  <c r="C169" i="103"/>
  <c r="G168" i="103"/>
  <c r="E168" i="103"/>
  <c r="D168" i="103"/>
  <c r="F166" i="103"/>
  <c r="F164" i="103"/>
  <c r="F162" i="103"/>
  <c r="F159" i="103"/>
  <c r="G158" i="103"/>
  <c r="F158" i="103"/>
  <c r="E158" i="103"/>
  <c r="D158" i="103"/>
  <c r="C158" i="103"/>
  <c r="G157" i="103"/>
  <c r="E157" i="103"/>
  <c r="D157" i="103"/>
  <c r="C157" i="103"/>
  <c r="G156" i="103"/>
  <c r="F156" i="103"/>
  <c r="E156" i="103"/>
  <c r="D156" i="103"/>
  <c r="C156" i="103"/>
  <c r="G155" i="103"/>
  <c r="E155" i="103"/>
  <c r="D155" i="103"/>
  <c r="C155" i="103"/>
  <c r="G154" i="103"/>
  <c r="F154" i="103"/>
  <c r="E154" i="103"/>
  <c r="D154" i="103"/>
  <c r="C154" i="103"/>
  <c r="G153" i="103"/>
  <c r="F153" i="103"/>
  <c r="E153" i="103"/>
  <c r="D153" i="103"/>
  <c r="C153" i="103"/>
  <c r="G152" i="103"/>
  <c r="F152" i="103"/>
  <c r="E152" i="103"/>
  <c r="D152" i="103"/>
  <c r="C152" i="103"/>
  <c r="G151" i="103"/>
  <c r="F151" i="103"/>
  <c r="E151" i="103"/>
  <c r="D151" i="103"/>
  <c r="C151" i="103"/>
  <c r="G150" i="103"/>
  <c r="F150" i="103"/>
  <c r="E150" i="103"/>
  <c r="D150" i="103"/>
  <c r="C150" i="103"/>
  <c r="G149" i="103"/>
  <c r="F149" i="103"/>
  <c r="E149" i="103"/>
  <c r="D149" i="103"/>
  <c r="F147" i="103"/>
  <c r="F145" i="103"/>
  <c r="F143" i="103"/>
  <c r="F140" i="103"/>
  <c r="G139" i="103"/>
  <c r="E139" i="103"/>
  <c r="D139" i="103"/>
  <c r="C139" i="103"/>
  <c r="G138" i="103"/>
  <c r="F138" i="103"/>
  <c r="E138" i="103"/>
  <c r="D138" i="103"/>
  <c r="C138" i="103"/>
  <c r="G137" i="103"/>
  <c r="E137" i="103"/>
  <c r="D137" i="103"/>
  <c r="C137" i="103"/>
  <c r="G136" i="103"/>
  <c r="F136" i="103"/>
  <c r="E136" i="103"/>
  <c r="D136" i="103"/>
  <c r="C136" i="103"/>
  <c r="G135" i="103"/>
  <c r="F135" i="103"/>
  <c r="E135" i="103"/>
  <c r="D135" i="103"/>
  <c r="C135" i="103"/>
  <c r="G134" i="103"/>
  <c r="F134" i="103"/>
  <c r="E134" i="103"/>
  <c r="D134" i="103"/>
  <c r="C134" i="103"/>
  <c r="G133" i="103"/>
  <c r="F133" i="103"/>
  <c r="E133" i="103"/>
  <c r="D133" i="103"/>
  <c r="F131" i="103"/>
  <c r="F129" i="103"/>
  <c r="F127" i="103"/>
  <c r="F124" i="103"/>
  <c r="G123" i="103"/>
  <c r="F123" i="103"/>
  <c r="E123" i="103"/>
  <c r="D123" i="103"/>
  <c r="C123" i="103"/>
  <c r="G122" i="103"/>
  <c r="E122" i="103"/>
  <c r="D122" i="103"/>
  <c r="C122" i="103"/>
  <c r="G121" i="103"/>
  <c r="E121" i="103"/>
  <c r="D121" i="103"/>
  <c r="C121" i="103"/>
  <c r="G120" i="103"/>
  <c r="F120" i="103"/>
  <c r="E120" i="103"/>
  <c r="D120" i="103"/>
  <c r="C120" i="103"/>
  <c r="G119" i="103"/>
  <c r="E119" i="103"/>
  <c r="D119" i="103"/>
  <c r="C119" i="103"/>
  <c r="G118" i="103"/>
  <c r="F118" i="103"/>
  <c r="E118" i="103"/>
  <c r="D118" i="103"/>
  <c r="C118" i="103"/>
  <c r="G117" i="103"/>
  <c r="F117" i="103"/>
  <c r="E117" i="103"/>
  <c r="D117" i="103"/>
  <c r="C117" i="103"/>
  <c r="G116" i="103"/>
  <c r="F116" i="103"/>
  <c r="E116" i="103"/>
  <c r="D116" i="103"/>
  <c r="C116" i="103"/>
  <c r="G115" i="103"/>
  <c r="F115" i="103"/>
  <c r="E115" i="103"/>
  <c r="D115" i="103"/>
  <c r="C115" i="103"/>
  <c r="G114" i="103"/>
  <c r="F114" i="103"/>
  <c r="E114" i="103"/>
  <c r="D114" i="103"/>
  <c r="C114" i="103"/>
  <c r="G113" i="103"/>
  <c r="F113" i="103"/>
  <c r="E113" i="103"/>
  <c r="D113" i="103"/>
  <c r="C113" i="103"/>
  <c r="G112" i="103"/>
  <c r="F112" i="103"/>
  <c r="E112" i="103"/>
  <c r="D112" i="103"/>
  <c r="F110" i="103"/>
  <c r="F108" i="103"/>
  <c r="F106" i="103"/>
  <c r="F103" i="103"/>
  <c r="G102" i="103"/>
  <c r="E102" i="103"/>
  <c r="D102" i="103"/>
  <c r="C102" i="103"/>
  <c r="G101" i="103"/>
  <c r="E101" i="103"/>
  <c r="D101" i="103"/>
  <c r="C101" i="103"/>
  <c r="G100" i="103"/>
  <c r="F100" i="103"/>
  <c r="E100" i="103"/>
  <c r="D100" i="103"/>
  <c r="C100" i="103"/>
  <c r="G99" i="103"/>
  <c r="E99" i="103"/>
  <c r="D99" i="103"/>
  <c r="C99" i="103"/>
  <c r="G98" i="103"/>
  <c r="F98" i="103"/>
  <c r="E98" i="103"/>
  <c r="D98" i="103"/>
  <c r="C98" i="103"/>
  <c r="G97" i="103"/>
  <c r="F97" i="103"/>
  <c r="C97" i="103"/>
  <c r="G96" i="103"/>
  <c r="F96" i="103"/>
  <c r="E96" i="103"/>
  <c r="D96" i="103"/>
  <c r="C96" i="103"/>
  <c r="G95" i="103"/>
  <c r="F95" i="103"/>
  <c r="E95" i="103"/>
  <c r="D95" i="103"/>
  <c r="F33" i="103"/>
  <c r="F31" i="103"/>
  <c r="F29" i="103"/>
  <c r="F26" i="103"/>
  <c r="E25" i="103"/>
  <c r="D25" i="103"/>
  <c r="C25" i="103"/>
  <c r="F24" i="103"/>
  <c r="E24" i="103"/>
  <c r="D24" i="103"/>
  <c r="C24" i="103"/>
  <c r="E23" i="103"/>
  <c r="D23" i="103"/>
  <c r="C23" i="103"/>
  <c r="G22" i="103"/>
  <c r="E22" i="103"/>
  <c r="D22" i="103"/>
  <c r="K5" i="103"/>
  <c r="F3362" i="98"/>
  <c r="C145" i="102"/>
  <c r="C144" i="102"/>
  <c r="E134" i="102"/>
  <c r="C134" i="102"/>
  <c r="E137" i="102"/>
  <c r="I137" i="102" s="1"/>
  <c r="C137" i="102"/>
  <c r="E135" i="102"/>
  <c r="I135" i="102" s="1"/>
  <c r="C135" i="102"/>
  <c r="E136" i="102"/>
  <c r="I136" i="102" s="1"/>
  <c r="C136" i="102"/>
  <c r="C108" i="102"/>
  <c r="C132" i="102"/>
  <c r="E127" i="102"/>
  <c r="I127" i="102" s="1"/>
  <c r="B192" i="102"/>
  <c r="C192" i="102" s="1"/>
  <c r="B199" i="102"/>
  <c r="B195" i="102"/>
  <c r="B205" i="102"/>
  <c r="B203" i="102"/>
  <c r="B202" i="102"/>
  <c r="C202" i="102" s="1"/>
  <c r="B201" i="102"/>
  <c r="C201" i="102" s="1"/>
  <c r="B200" i="102"/>
  <c r="C200" i="102" s="1"/>
  <c r="B197" i="102"/>
  <c r="C197" i="102" s="1"/>
  <c r="B198" i="102"/>
  <c r="C198" i="102" s="1"/>
  <c r="B196" i="102"/>
  <c r="C196" i="102" s="1"/>
  <c r="B194" i="102"/>
  <c r="C194" i="102" s="1"/>
  <c r="B193" i="102"/>
  <c r="C193" i="102" s="1"/>
  <c r="B190" i="102"/>
  <c r="G72" i="102"/>
  <c r="E128" i="102"/>
  <c r="E45" i="102"/>
  <c r="I45" i="102" s="1"/>
  <c r="E40" i="102"/>
  <c r="E116" i="102"/>
  <c r="I116" i="102" s="1"/>
  <c r="E180" i="102"/>
  <c r="E179" i="102"/>
  <c r="E37" i="102"/>
  <c r="E34" i="102"/>
  <c r="E35" i="102" s="1"/>
  <c r="B191" i="102"/>
  <c r="F67" i="102"/>
  <c r="C71" i="102"/>
  <c r="C113" i="102"/>
  <c r="C41" i="102"/>
  <c r="C122" i="102"/>
  <c r="C189" i="102"/>
  <c r="C66" i="102"/>
  <c r="C117" i="102"/>
  <c r="C118" i="102"/>
  <c r="C42" i="102"/>
  <c r="C43" i="102"/>
  <c r="C120" i="102"/>
  <c r="I21" i="102"/>
  <c r="C21" i="102"/>
  <c r="I22" i="102"/>
  <c r="C22" i="102"/>
  <c r="I19" i="102"/>
  <c r="C19" i="102"/>
  <c r="F20" i="102"/>
  <c r="I20" i="102" s="1"/>
  <c r="C20" i="102"/>
  <c r="F12" i="102"/>
  <c r="I12" i="102" s="1"/>
  <c r="C12" i="102"/>
  <c r="F18" i="102"/>
  <c r="I18" i="102" s="1"/>
  <c r="C18" i="102"/>
  <c r="F13" i="102"/>
  <c r="I13" i="102" s="1"/>
  <c r="C13" i="102"/>
  <c r="F15" i="102"/>
  <c r="I15" i="102" s="1"/>
  <c r="C15" i="102"/>
  <c r="F16" i="102"/>
  <c r="I16" i="102" s="1"/>
  <c r="C16" i="102"/>
  <c r="F14" i="102"/>
  <c r="I14" i="102" s="1"/>
  <c r="C14" i="102"/>
  <c r="F17" i="102"/>
  <c r="I17" i="102" s="1"/>
  <c r="C17" i="102"/>
  <c r="H2795" i="98"/>
  <c r="C49" i="102"/>
  <c r="C164" i="102"/>
  <c r="F78" i="102"/>
  <c r="I78" i="102" s="1"/>
  <c r="C78" i="102"/>
  <c r="C165" i="102"/>
  <c r="C166" i="102"/>
  <c r="C65" i="102"/>
  <c r="C64" i="102"/>
  <c r="C173" i="102"/>
  <c r="C10" i="102"/>
  <c r="C107" i="102"/>
  <c r="H1888" i="98"/>
  <c r="H1299" i="103"/>
  <c r="I1299" i="103" s="1"/>
  <c r="I1298" i="103" s="1"/>
  <c r="C178" i="102"/>
  <c r="H1287" i="103"/>
  <c r="I1287" i="103" s="1"/>
  <c r="I1286" i="103" s="1"/>
  <c r="C77" i="102"/>
  <c r="H1275" i="103"/>
  <c r="I1275" i="103" s="1"/>
  <c r="I1274" i="103" s="1"/>
  <c r="C185" i="102"/>
  <c r="C183" i="102"/>
  <c r="C184" i="102"/>
  <c r="C90" i="102"/>
  <c r="C32" i="102"/>
  <c r="C121" i="102"/>
  <c r="H3389" i="98"/>
  <c r="I3389" i="98" s="1"/>
  <c r="H1723" i="98"/>
  <c r="C114" i="102"/>
  <c r="C109" i="102"/>
  <c r="I63" i="102"/>
  <c r="C63" i="102"/>
  <c r="C61" i="102"/>
  <c r="H2606" i="98"/>
  <c r="I2606" i="98" s="1"/>
  <c r="C187" i="102"/>
  <c r="C188" i="102"/>
  <c r="C24" i="102"/>
  <c r="C92" i="102"/>
  <c r="C154" i="102"/>
  <c r="H275" i="98"/>
  <c r="I275" i="98" s="1"/>
  <c r="H276" i="98" s="1"/>
  <c r="I276" i="98" s="1"/>
  <c r="I274" i="98" s="1"/>
  <c r="C94" i="102"/>
  <c r="C112" i="102"/>
  <c r="C129" i="102"/>
  <c r="C161" i="102"/>
  <c r="C162" i="102"/>
  <c r="C160" i="102"/>
  <c r="C159" i="102"/>
  <c r="H1107" i="98"/>
  <c r="C119" i="102"/>
  <c r="C72" i="102"/>
  <c r="H670" i="103"/>
  <c r="C70" i="102"/>
  <c r="F76" i="102"/>
  <c r="I76" i="102" s="1"/>
  <c r="C76" i="102"/>
  <c r="F73" i="102"/>
  <c r="H668" i="103" s="1"/>
  <c r="C73" i="102"/>
  <c r="F74" i="102"/>
  <c r="I74" i="102" s="1"/>
  <c r="C74" i="102"/>
  <c r="C126" i="102"/>
  <c r="C128" i="102"/>
  <c r="C127" i="102"/>
  <c r="F91" i="102"/>
  <c r="I91" i="102" s="1"/>
  <c r="C91" i="102"/>
  <c r="C8" i="102"/>
  <c r="C68" i="102"/>
  <c r="C130" i="102"/>
  <c r="H11" i="103"/>
  <c r="I11" i="103" s="1"/>
  <c r="C48" i="102"/>
  <c r="C163" i="102"/>
  <c r="C97" i="102"/>
  <c r="C96" i="102"/>
  <c r="C45" i="102"/>
  <c r="I40" i="102"/>
  <c r="C40" i="102"/>
  <c r="C30" i="102"/>
  <c r="I29" i="102"/>
  <c r="C29" i="102"/>
  <c r="F25" i="102"/>
  <c r="I25" i="102" s="1"/>
  <c r="H824" i="103" s="1"/>
  <c r="I824" i="103" s="1"/>
  <c r="I823" i="103" s="1"/>
  <c r="C25" i="102"/>
  <c r="H939" i="98"/>
  <c r="C31" i="102"/>
  <c r="H690" i="103"/>
  <c r="C28" i="102"/>
  <c r="C27" i="102"/>
  <c r="C26" i="102"/>
  <c r="H1336" i="98"/>
  <c r="C115" i="102"/>
  <c r="C116" i="102"/>
  <c r="C93" i="102"/>
  <c r="C153" i="102"/>
  <c r="C87" i="102"/>
  <c r="C88" i="102"/>
  <c r="C86" i="102"/>
  <c r="C89" i="102"/>
  <c r="C155" i="102"/>
  <c r="C131" i="102"/>
  <c r="C151" i="102"/>
  <c r="F11" i="102"/>
  <c r="C11" i="102"/>
  <c r="C156" i="102"/>
  <c r="C158" i="102"/>
  <c r="C111" i="102"/>
  <c r="C110" i="102"/>
  <c r="C98" i="102"/>
  <c r="C106" i="102"/>
  <c r="C105" i="102"/>
  <c r="C103" i="102"/>
  <c r="C102" i="102"/>
  <c r="C104" i="102"/>
  <c r="C101" i="102"/>
  <c r="C100" i="102"/>
  <c r="C99" i="102"/>
  <c r="C47" i="102"/>
  <c r="C125" i="102"/>
  <c r="C124" i="102"/>
  <c r="C123" i="102"/>
  <c r="C9" i="102"/>
  <c r="C167" i="102"/>
  <c r="C168" i="102"/>
  <c r="C147" i="102"/>
  <c r="C146" i="102"/>
  <c r="C148" i="102"/>
  <c r="C141" i="102"/>
  <c r="C143" i="102"/>
  <c r="C140" i="102"/>
  <c r="C138" i="102"/>
  <c r="C142" i="102"/>
  <c r="C139" i="102"/>
  <c r="C133" i="102"/>
  <c r="C149" i="102"/>
  <c r="C150" i="102"/>
  <c r="C169" i="102"/>
  <c r="H236" i="98"/>
  <c r="C182" i="102"/>
  <c r="C44" i="102"/>
  <c r="C46" i="102"/>
  <c r="C177" i="102"/>
  <c r="C176" i="102"/>
  <c r="C175" i="102"/>
  <c r="C174" i="102"/>
  <c r="C172" i="102"/>
  <c r="C171" i="102"/>
  <c r="C170" i="102"/>
  <c r="C181" i="102"/>
  <c r="C180" i="102"/>
  <c r="C179" i="102"/>
  <c r="C33" i="102"/>
  <c r="C69" i="102"/>
  <c r="C38" i="102"/>
  <c r="C39" i="102"/>
  <c r="C37" i="102"/>
  <c r="C62" i="102"/>
  <c r="C35" i="102"/>
  <c r="C34" i="102"/>
  <c r="C60" i="102"/>
  <c r="C50" i="102"/>
  <c r="C51" i="102"/>
  <c r="C52" i="102"/>
  <c r="C58" i="102"/>
  <c r="C54" i="102"/>
  <c r="C36" i="102"/>
  <c r="C56" i="102"/>
  <c r="C59" i="102"/>
  <c r="C57" i="102"/>
  <c r="C53" i="102"/>
  <c r="C55" i="102"/>
  <c r="E99" i="12"/>
  <c r="I99" i="12" s="1"/>
  <c r="I3338" i="42"/>
  <c r="J3338" i="42" s="1"/>
  <c r="H2147" i="98"/>
  <c r="H346" i="98"/>
  <c r="H328" i="98"/>
  <c r="H308" i="98"/>
  <c r="H290" i="98"/>
  <c r="H2941" i="98"/>
  <c r="H3084" i="98"/>
  <c r="H2510" i="98"/>
  <c r="H2408" i="98"/>
  <c r="H2318" i="98"/>
  <c r="H2236" i="98"/>
  <c r="H2037" i="98"/>
  <c r="H1686" i="98"/>
  <c r="H479" i="98"/>
  <c r="H121" i="98"/>
  <c r="H3062" i="98"/>
  <c r="H2532" i="98"/>
  <c r="H2430" i="98"/>
  <c r="H2386" i="98"/>
  <c r="H2296" i="98"/>
  <c r="H2149" i="98"/>
  <c r="H1806" i="98"/>
  <c r="H237" i="98"/>
  <c r="H199" i="98"/>
  <c r="H1071" i="98"/>
  <c r="H966" i="98"/>
  <c r="H1687" i="98"/>
  <c r="H239" i="98"/>
  <c r="I239" i="98" s="1"/>
  <c r="H2783" i="98"/>
  <c r="H2409" i="98"/>
  <c r="H2237" i="98"/>
  <c r="H2533" i="98"/>
  <c r="H2387" i="98"/>
  <c r="H2297" i="98"/>
  <c r="H1689" i="98"/>
  <c r="H1105" i="98"/>
  <c r="H1069" i="98"/>
  <c r="H1087" i="98"/>
  <c r="H1106" i="98"/>
  <c r="H1070" i="98"/>
  <c r="H648" i="98"/>
  <c r="H1967" i="98"/>
  <c r="H261" i="98"/>
  <c r="H649" i="98"/>
  <c r="C190" i="102"/>
  <c r="C195" i="102"/>
  <c r="C199" i="102"/>
  <c r="C191" i="102"/>
  <c r="F3385" i="98"/>
  <c r="F3383" i="98"/>
  <c r="F3381" i="98"/>
  <c r="F3378" i="98"/>
  <c r="F3372" i="98"/>
  <c r="F3370" i="98"/>
  <c r="F3368" i="98"/>
  <c r="F3365" i="98"/>
  <c r="F3354" i="98"/>
  <c r="F3352" i="98"/>
  <c r="F3350" i="98"/>
  <c r="F3347" i="98"/>
  <c r="F3331" i="98"/>
  <c r="F3329" i="98"/>
  <c r="F3327" i="98"/>
  <c r="F3324" i="98"/>
  <c r="F3318" i="98"/>
  <c r="F3316" i="98"/>
  <c r="F3314" i="98"/>
  <c r="F3311" i="98"/>
  <c r="F3300" i="98"/>
  <c r="F3298" i="98"/>
  <c r="F3296" i="98"/>
  <c r="F3293" i="98"/>
  <c r="F3288" i="98"/>
  <c r="F3286" i="98"/>
  <c r="F3284" i="98"/>
  <c r="F3281" i="98"/>
  <c r="F3275" i="98"/>
  <c r="F3273" i="98"/>
  <c r="F3271" i="98"/>
  <c r="F3268" i="98"/>
  <c r="F3256" i="98"/>
  <c r="F3254" i="98"/>
  <c r="F3252" i="98"/>
  <c r="F3249" i="98"/>
  <c r="F3242" i="98"/>
  <c r="F3240" i="98"/>
  <c r="F3238" i="98"/>
  <c r="F3235" i="98"/>
  <c r="F3228" i="98"/>
  <c r="F3226" i="98"/>
  <c r="F3224" i="98"/>
  <c r="F3221" i="98"/>
  <c r="F3214" i="98"/>
  <c r="F3212" i="98"/>
  <c r="F3210" i="98"/>
  <c r="F3207" i="98"/>
  <c r="F3198" i="98"/>
  <c r="F3196" i="98"/>
  <c r="F3194" i="98"/>
  <c r="F3191" i="98"/>
  <c r="F3178" i="98"/>
  <c r="F3176" i="98"/>
  <c r="F3174" i="98"/>
  <c r="F3171" i="98"/>
  <c r="F3162" i="98"/>
  <c r="F3160" i="98"/>
  <c r="F3158" i="98"/>
  <c r="F3155" i="98"/>
  <c r="F3150" i="98"/>
  <c r="F3148" i="98"/>
  <c r="F3146" i="98"/>
  <c r="F3143" i="98"/>
  <c r="F3138" i="98"/>
  <c r="F3136" i="98"/>
  <c r="F3134" i="98"/>
  <c r="F3131" i="98"/>
  <c r="F3125" i="98"/>
  <c r="F3123" i="98"/>
  <c r="F3121" i="98"/>
  <c r="F3118" i="98"/>
  <c r="F3112" i="98"/>
  <c r="F3110" i="98"/>
  <c r="F3108" i="98"/>
  <c r="F3105" i="98"/>
  <c r="F3099" i="98"/>
  <c r="F3097" i="98"/>
  <c r="F3095" i="98"/>
  <c r="F3092" i="98"/>
  <c r="F3077" i="98"/>
  <c r="F3075" i="98"/>
  <c r="F3073" i="98"/>
  <c r="F3070" i="98"/>
  <c r="F3055" i="98"/>
  <c r="F3053" i="98"/>
  <c r="F3051" i="98"/>
  <c r="F3048" i="98"/>
  <c r="F3043" i="98"/>
  <c r="F3041" i="98"/>
  <c r="F3039" i="98"/>
  <c r="F3036" i="98"/>
  <c r="F3031" i="98"/>
  <c r="F3029" i="98"/>
  <c r="F3027" i="98"/>
  <c r="F3024" i="98"/>
  <c r="F3010" i="98"/>
  <c r="F2996" i="98"/>
  <c r="F2994" i="98"/>
  <c r="F2992" i="98"/>
  <c r="F2989" i="98"/>
  <c r="F2981" i="98"/>
  <c r="F2979" i="98"/>
  <c r="F2977" i="98"/>
  <c r="F2974" i="98"/>
  <c r="F2968" i="98"/>
  <c r="F2966" i="98"/>
  <c r="F2964" i="98"/>
  <c r="F2961" i="98"/>
  <c r="F2954" i="98"/>
  <c r="F2952" i="98"/>
  <c r="F2950" i="98"/>
  <c r="F2947" i="98"/>
  <c r="F2935" i="98"/>
  <c r="F2933" i="98"/>
  <c r="F2931" i="98"/>
  <c r="F2928" i="98"/>
  <c r="F2921" i="98"/>
  <c r="F2919" i="98"/>
  <c r="F2917" i="98"/>
  <c r="F2914" i="98"/>
  <c r="F2907" i="98"/>
  <c r="F2905" i="98"/>
  <c r="F2903" i="98"/>
  <c r="F2900" i="98"/>
  <c r="F2893" i="98"/>
  <c r="F2891" i="98"/>
  <c r="F2889" i="98"/>
  <c r="F2886" i="98"/>
  <c r="F934" i="98"/>
  <c r="F932" i="98"/>
  <c r="F930" i="98"/>
  <c r="F927" i="98"/>
  <c r="F910" i="98"/>
  <c r="F908" i="98"/>
  <c r="F906" i="98"/>
  <c r="F903" i="98"/>
  <c r="F2879" i="98"/>
  <c r="F2877" i="98"/>
  <c r="F2875" i="98"/>
  <c r="F2872" i="98"/>
  <c r="F2860" i="98"/>
  <c r="F2858" i="98"/>
  <c r="F2856" i="98"/>
  <c r="F2853" i="98"/>
  <c r="F2841" i="98"/>
  <c r="F2839" i="98"/>
  <c r="F2837" i="98"/>
  <c r="F2834" i="98"/>
  <c r="F2822" i="98"/>
  <c r="F2820" i="98"/>
  <c r="F2818" i="98"/>
  <c r="F2815" i="98"/>
  <c r="F2803" i="98"/>
  <c r="F2801" i="98"/>
  <c r="F2799" i="98"/>
  <c r="F2796" i="98"/>
  <c r="F2791" i="98"/>
  <c r="F2789" i="98"/>
  <c r="F2787" i="98"/>
  <c r="F2784" i="98"/>
  <c r="F2779" i="98"/>
  <c r="F2777" i="98"/>
  <c r="F2775" i="98"/>
  <c r="F2772" i="98"/>
  <c r="F2767" i="98"/>
  <c r="F2765" i="98"/>
  <c r="F2763" i="98"/>
  <c r="F2760" i="98"/>
  <c r="F2755" i="98"/>
  <c r="F2753" i="98"/>
  <c r="F2751" i="98"/>
  <c r="F2748" i="98"/>
  <c r="F2743" i="98"/>
  <c r="F2741" i="98"/>
  <c r="F2739" i="98"/>
  <c r="F2736" i="98"/>
  <c r="F2731" i="98"/>
  <c r="F2729" i="98"/>
  <c r="F2727" i="98"/>
  <c r="F2724" i="98"/>
  <c r="F2719" i="98"/>
  <c r="F2717" i="98"/>
  <c r="F2715" i="98"/>
  <c r="F2712" i="98"/>
  <c r="F2707" i="98"/>
  <c r="F2705" i="98"/>
  <c r="F2703" i="98"/>
  <c r="F2700" i="98"/>
  <c r="F2695" i="98"/>
  <c r="F2693" i="98"/>
  <c r="F2691" i="98"/>
  <c r="F2688" i="98"/>
  <c r="F2682" i="98"/>
  <c r="F2680" i="98"/>
  <c r="F2678" i="98"/>
  <c r="F2675" i="98"/>
  <c r="F2664" i="98"/>
  <c r="F2662" i="98"/>
  <c r="F2660" i="98"/>
  <c r="F2657" i="98"/>
  <c r="F2652" i="98"/>
  <c r="F2650" i="98"/>
  <c r="F2648" i="98"/>
  <c r="F2645" i="98"/>
  <c r="F2637" i="98"/>
  <c r="F2635" i="98"/>
  <c r="F2633" i="98"/>
  <c r="F2630" i="98"/>
  <c r="F2588" i="98"/>
  <c r="F2586" i="98"/>
  <c r="F2584" i="98"/>
  <c r="F2581" i="98"/>
  <c r="F2571" i="98"/>
  <c r="F2569" i="98"/>
  <c r="F2567" i="98"/>
  <c r="F2564" i="98"/>
  <c r="F2560" i="98"/>
  <c r="F2558" i="98"/>
  <c r="F2556" i="98"/>
  <c r="F2553" i="98"/>
  <c r="F2547" i="98"/>
  <c r="F2545" i="98"/>
  <c r="F2543" i="98"/>
  <c r="F2540" i="98"/>
  <c r="F2525" i="98"/>
  <c r="F2523" i="98"/>
  <c r="F2521" i="98"/>
  <c r="F2518" i="98"/>
  <c r="F2503" i="98"/>
  <c r="F2501" i="98"/>
  <c r="F2499" i="98"/>
  <c r="F2496" i="98"/>
  <c r="F2484" i="98"/>
  <c r="F2482" i="98"/>
  <c r="F2480" i="98"/>
  <c r="F2477" i="98"/>
  <c r="F2471" i="98"/>
  <c r="F2469" i="98"/>
  <c r="F2467" i="98"/>
  <c r="F2464" i="98"/>
  <c r="F2458" i="98"/>
  <c r="F2456" i="98"/>
  <c r="F2454" i="98"/>
  <c r="F2451" i="98"/>
  <c r="F2439" i="98"/>
  <c r="F2437" i="98"/>
  <c r="F2435" i="98"/>
  <c r="F2432" i="98"/>
  <c r="F2422" i="98"/>
  <c r="F2420" i="98"/>
  <c r="F2418" i="98"/>
  <c r="F2415" i="98"/>
  <c r="F2400" i="98"/>
  <c r="F2398" i="98"/>
  <c r="F2396" i="98"/>
  <c r="F2393" i="98"/>
  <c r="F2378" i="98"/>
  <c r="F2376" i="98"/>
  <c r="F2374" i="98"/>
  <c r="F2371" i="98"/>
  <c r="F2363" i="98"/>
  <c r="F2361" i="98"/>
  <c r="F2359" i="98"/>
  <c r="F2356" i="98"/>
  <c r="F2349" i="98"/>
  <c r="F2347" i="98"/>
  <c r="F2345" i="98"/>
  <c r="F2342" i="98"/>
  <c r="F2335" i="98"/>
  <c r="F2333" i="98"/>
  <c r="F2331" i="98"/>
  <c r="F2328" i="98"/>
  <c r="F2313" i="98"/>
  <c r="F2311" i="98"/>
  <c r="F2309" i="98"/>
  <c r="F2306" i="98"/>
  <c r="F2291" i="98"/>
  <c r="F2289" i="98"/>
  <c r="F2287" i="98"/>
  <c r="F2284" i="98"/>
  <c r="F2274" i="98"/>
  <c r="F2272" i="98"/>
  <c r="F2270" i="98"/>
  <c r="F2267" i="98"/>
  <c r="F2251" i="98"/>
  <c r="F2249" i="98"/>
  <c r="F2247" i="98"/>
  <c r="F2244" i="98"/>
  <c r="F2229" i="98"/>
  <c r="F2227" i="98"/>
  <c r="F2225" i="98"/>
  <c r="F2222" i="98"/>
  <c r="F2216" i="98"/>
  <c r="F2214" i="98"/>
  <c r="F2212" i="98"/>
  <c r="F2209" i="98"/>
  <c r="F2203" i="98"/>
  <c r="F2201" i="98"/>
  <c r="F2199" i="98"/>
  <c r="F2196" i="98"/>
  <c r="F2190" i="98"/>
  <c r="F2188" i="98"/>
  <c r="F2186" i="98"/>
  <c r="F2183" i="98"/>
  <c r="F2173" i="98"/>
  <c r="F2171" i="98"/>
  <c r="F2169" i="98"/>
  <c r="F2166" i="98"/>
  <c r="F2161" i="98"/>
  <c r="F2159" i="98"/>
  <c r="F2157" i="98"/>
  <c r="F2154" i="98"/>
  <c r="F2142" i="98"/>
  <c r="F2140" i="98"/>
  <c r="F2138" i="98"/>
  <c r="F2135" i="98"/>
  <c r="F2122" i="98"/>
  <c r="F2120" i="98"/>
  <c r="F2118" i="98"/>
  <c r="F2115" i="98"/>
  <c r="F2088" i="98"/>
  <c r="F2086" i="98"/>
  <c r="F2084" i="98"/>
  <c r="F2081" i="98"/>
  <c r="F2069" i="98"/>
  <c r="F2067" i="98"/>
  <c r="F2065" i="98"/>
  <c r="F2062" i="98"/>
  <c r="F2055" i="98"/>
  <c r="F2053" i="98"/>
  <c r="F2051" i="98"/>
  <c r="F2048" i="98"/>
  <c r="F2031" i="98"/>
  <c r="F2029" i="98"/>
  <c r="F2027" i="98"/>
  <c r="F2024" i="98"/>
  <c r="F2013" i="98"/>
  <c r="F2011" i="98"/>
  <c r="F2009" i="98"/>
  <c r="F2006" i="98"/>
  <c r="F1985" i="98"/>
  <c r="F1983" i="98"/>
  <c r="F1981" i="98"/>
  <c r="F1978" i="98"/>
  <c r="F1959" i="98"/>
  <c r="F1957" i="98"/>
  <c r="F1955" i="98"/>
  <c r="F1952" i="98"/>
  <c r="F1941" i="98"/>
  <c r="F1939" i="98"/>
  <c r="F1937" i="98"/>
  <c r="F1934" i="98"/>
  <c r="F1925" i="98"/>
  <c r="F1923" i="98"/>
  <c r="F1921" i="98"/>
  <c r="F1918" i="98"/>
  <c r="F1899" i="98"/>
  <c r="F1897" i="98"/>
  <c r="F1895" i="98"/>
  <c r="F1892" i="98"/>
  <c r="F1883" i="98"/>
  <c r="F1881" i="98"/>
  <c r="F1879" i="98"/>
  <c r="F1876" i="98"/>
  <c r="F1867" i="98"/>
  <c r="F1865" i="98"/>
  <c r="F1863" i="98"/>
  <c r="F1860" i="98"/>
  <c r="F1852" i="98"/>
  <c r="F1850" i="98"/>
  <c r="F1848" i="98"/>
  <c r="F1845" i="98"/>
  <c r="F1837" i="98"/>
  <c r="F1835" i="98"/>
  <c r="F1833" i="98"/>
  <c r="F1830" i="98"/>
  <c r="F1820" i="98"/>
  <c r="F1818" i="98"/>
  <c r="F1816" i="98"/>
  <c r="F1813" i="98"/>
  <c r="F1798" i="98"/>
  <c r="F1796" i="98"/>
  <c r="F1794" i="98"/>
  <c r="F1791" i="98"/>
  <c r="F1782" i="98"/>
  <c r="F1780" i="98"/>
  <c r="F1778" i="98"/>
  <c r="F1775" i="98"/>
  <c r="F1764" i="98"/>
  <c r="F1762" i="98"/>
  <c r="F1760" i="98"/>
  <c r="F1757" i="98"/>
  <c r="F1746" i="98"/>
  <c r="F1744" i="98"/>
  <c r="F1742" i="98"/>
  <c r="F1739" i="98"/>
  <c r="F1735" i="98"/>
  <c r="F1733" i="98"/>
  <c r="F1731" i="98"/>
  <c r="F1728" i="98"/>
  <c r="F1719" i="98"/>
  <c r="F1717" i="98"/>
  <c r="F1715" i="98"/>
  <c r="F1712" i="98"/>
  <c r="F1681" i="98"/>
  <c r="F1679" i="98"/>
  <c r="F1677" i="98"/>
  <c r="F1674" i="98"/>
  <c r="F1667" i="98"/>
  <c r="F1665" i="98"/>
  <c r="F1663" i="98"/>
  <c r="F1660" i="98"/>
  <c r="F1655" i="98"/>
  <c r="F1653" i="98"/>
  <c r="F1651" i="98"/>
  <c r="F1648" i="98"/>
  <c r="F1630" i="98"/>
  <c r="F1628" i="98"/>
  <c r="F1626" i="98"/>
  <c r="F1623" i="98"/>
  <c r="F1611" i="98"/>
  <c r="F1609" i="98"/>
  <c r="F1607" i="98"/>
  <c r="F1604" i="98"/>
  <c r="F1595" i="98"/>
  <c r="F1593" i="98"/>
  <c r="F1591" i="98"/>
  <c r="F1588" i="98"/>
  <c r="F1579" i="98"/>
  <c r="F1577" i="98"/>
  <c r="F1575" i="98"/>
  <c r="F1572" i="98"/>
  <c r="F1558" i="98"/>
  <c r="F1556" i="98"/>
  <c r="F1554" i="98"/>
  <c r="F1551" i="98"/>
  <c r="F1538" i="98"/>
  <c r="F1536" i="98"/>
  <c r="F1534" i="98"/>
  <c r="F1531" i="98"/>
  <c r="F1518" i="98"/>
  <c r="F1516" i="98"/>
  <c r="F1514" i="98"/>
  <c r="F1511" i="98"/>
  <c r="F1501" i="98"/>
  <c r="F1499" i="98"/>
  <c r="F1497" i="98"/>
  <c r="F1494" i="98"/>
  <c r="F1480" i="98"/>
  <c r="F1478" i="98"/>
  <c r="F1476" i="98"/>
  <c r="F1473" i="98"/>
  <c r="F1462" i="98"/>
  <c r="F1460" i="98"/>
  <c r="F1458" i="98"/>
  <c r="F1455" i="98"/>
  <c r="F1446" i="98"/>
  <c r="F1444" i="98"/>
  <c r="F1442" i="98"/>
  <c r="F1439" i="98"/>
  <c r="F1428" i="98"/>
  <c r="F1426" i="98"/>
  <c r="F1424" i="98"/>
  <c r="F1421" i="98"/>
  <c r="F1410" i="98"/>
  <c r="F1408" i="98"/>
  <c r="F1406" i="98"/>
  <c r="F1403" i="98"/>
  <c r="F1396" i="98"/>
  <c r="F1394" i="98"/>
  <c r="F1392" i="98"/>
  <c r="F1389" i="98"/>
  <c r="F1378" i="98"/>
  <c r="F1376" i="98"/>
  <c r="F1374" i="98"/>
  <c r="F1371" i="98"/>
  <c r="F1365" i="98"/>
  <c r="F1363" i="98"/>
  <c r="F1361" i="98"/>
  <c r="F1358" i="98"/>
  <c r="F1349" i="98"/>
  <c r="F1347" i="98"/>
  <c r="F1345" i="98"/>
  <c r="F1342" i="98"/>
  <c r="F1328" i="98"/>
  <c r="F1326" i="98"/>
  <c r="F1324" i="98"/>
  <c r="F1321" i="98"/>
  <c r="F1307" i="98"/>
  <c r="F1305" i="98"/>
  <c r="F1303" i="98"/>
  <c r="F1300" i="98"/>
  <c r="F1286" i="98"/>
  <c r="F1284" i="98"/>
  <c r="F1282" i="98"/>
  <c r="F1279" i="98"/>
  <c r="F1264" i="98"/>
  <c r="F1262" i="98"/>
  <c r="F1260" i="98"/>
  <c r="F1257" i="98"/>
  <c r="F1251" i="98"/>
  <c r="F1249" i="98"/>
  <c r="F1247" i="98"/>
  <c r="F1244" i="98"/>
  <c r="F1237" i="98"/>
  <c r="F1235" i="98"/>
  <c r="F1233" i="98"/>
  <c r="F1230" i="98"/>
  <c r="F1223" i="98"/>
  <c r="F1221" i="98"/>
  <c r="F1219" i="98"/>
  <c r="F1216" i="98"/>
  <c r="F1209" i="98"/>
  <c r="F1207" i="98"/>
  <c r="F1205" i="98"/>
  <c r="F1202" i="98"/>
  <c r="F1195" i="98"/>
  <c r="F1193" i="98"/>
  <c r="F1191" i="98"/>
  <c r="F1188" i="98"/>
  <c r="F1181" i="98"/>
  <c r="F1179" i="98"/>
  <c r="F1177" i="98"/>
  <c r="F1174" i="98"/>
  <c r="F1139" i="98"/>
  <c r="F1137" i="98"/>
  <c r="F1135" i="98"/>
  <c r="F1132" i="98"/>
  <c r="F1118" i="98"/>
  <c r="F1116" i="98"/>
  <c r="F1114" i="98"/>
  <c r="F1111" i="98"/>
  <c r="F1100" i="98"/>
  <c r="F1098" i="98"/>
  <c r="F1096" i="98"/>
  <c r="F1093" i="98"/>
  <c r="F1082" i="98"/>
  <c r="F1080" i="98"/>
  <c r="F1078" i="98"/>
  <c r="F1075" i="98"/>
  <c r="F1038" i="98"/>
  <c r="F1036" i="98"/>
  <c r="F1034" i="98"/>
  <c r="F1031" i="98"/>
  <c r="F984" i="98"/>
  <c r="F982" i="98"/>
  <c r="F980" i="98"/>
  <c r="F977" i="98"/>
  <c r="F958" i="98"/>
  <c r="F956" i="98"/>
  <c r="F954" i="98"/>
  <c r="F951" i="98"/>
  <c r="F888" i="98"/>
  <c r="F886" i="98"/>
  <c r="F884" i="98"/>
  <c r="F881" i="98"/>
  <c r="F842" i="98"/>
  <c r="F840" i="98"/>
  <c r="F838" i="98"/>
  <c r="F835" i="98"/>
  <c r="F798" i="98"/>
  <c r="F796" i="98"/>
  <c r="F794" i="98"/>
  <c r="F791" i="98"/>
  <c r="F760" i="98"/>
  <c r="F758" i="98"/>
  <c r="F756" i="98"/>
  <c r="F753" i="98"/>
  <c r="F740" i="98"/>
  <c r="F738" i="98"/>
  <c r="F736" i="98"/>
  <c r="F733" i="98"/>
  <c r="F678" i="98"/>
  <c r="F676" i="98"/>
  <c r="F674" i="98"/>
  <c r="F671" i="98"/>
  <c r="F659" i="98"/>
  <c r="F657" i="98"/>
  <c r="F655" i="98"/>
  <c r="F652" i="98"/>
  <c r="F643" i="98"/>
  <c r="F641" i="98"/>
  <c r="F639" i="98"/>
  <c r="F636" i="98"/>
  <c r="F626" i="98"/>
  <c r="F624" i="98"/>
  <c r="F622" i="98"/>
  <c r="F619" i="98"/>
  <c r="F612" i="98"/>
  <c r="F610" i="98"/>
  <c r="F608" i="98"/>
  <c r="F605" i="98"/>
  <c r="F594" i="98"/>
  <c r="F592" i="98"/>
  <c r="F590" i="98"/>
  <c r="F587" i="98"/>
  <c r="F576" i="98"/>
  <c r="F574" i="98"/>
  <c r="F572" i="98"/>
  <c r="F569" i="98"/>
  <c r="F558" i="98"/>
  <c r="F556" i="98"/>
  <c r="F554" i="98"/>
  <c r="F551" i="98"/>
  <c r="F541" i="98"/>
  <c r="F539" i="98"/>
  <c r="F537" i="98"/>
  <c r="F534" i="98"/>
  <c r="F523" i="98"/>
  <c r="F521" i="98"/>
  <c r="F519" i="98"/>
  <c r="F516" i="98"/>
  <c r="F507" i="98"/>
  <c r="F505" i="98"/>
  <c r="F503" i="98"/>
  <c r="F500" i="98"/>
  <c r="F491" i="98"/>
  <c r="F489" i="98"/>
  <c r="F487" i="98"/>
  <c r="F484" i="98"/>
  <c r="F473" i="98"/>
  <c r="F471" i="98"/>
  <c r="F469" i="98"/>
  <c r="F466" i="98"/>
  <c r="F453" i="98"/>
  <c r="F451" i="98"/>
  <c r="F449" i="98"/>
  <c r="F446" i="98"/>
  <c r="F433" i="98"/>
  <c r="F431" i="98"/>
  <c r="F429" i="98"/>
  <c r="F426" i="98"/>
  <c r="F397" i="98"/>
  <c r="F395" i="98"/>
  <c r="F393" i="98"/>
  <c r="F390" i="98"/>
  <c r="F380" i="98"/>
  <c r="F378" i="98"/>
  <c r="F376" i="98"/>
  <c r="F373" i="98"/>
  <c r="F361" i="98"/>
  <c r="F359" i="98"/>
  <c r="F357" i="98"/>
  <c r="F354" i="98"/>
  <c r="F342" i="98"/>
  <c r="F340" i="98"/>
  <c r="F338" i="98"/>
  <c r="F335" i="98"/>
  <c r="F323" i="98"/>
  <c r="F321" i="98"/>
  <c r="F319" i="98"/>
  <c r="F316" i="98"/>
  <c r="F304" i="98"/>
  <c r="F302" i="98"/>
  <c r="F300" i="98"/>
  <c r="F297" i="98"/>
  <c r="F271" i="98"/>
  <c r="F269" i="98"/>
  <c r="F267" i="98"/>
  <c r="F264" i="98"/>
  <c r="F255" i="98"/>
  <c r="F253" i="98"/>
  <c r="F251" i="98"/>
  <c r="F248" i="98"/>
  <c r="F232" i="98"/>
  <c r="F230" i="98"/>
  <c r="F228" i="98"/>
  <c r="F225" i="98"/>
  <c r="F215" i="98"/>
  <c r="F213" i="98"/>
  <c r="F211" i="98"/>
  <c r="F208" i="98"/>
  <c r="F193" i="98"/>
  <c r="F191" i="98"/>
  <c r="F189" i="98"/>
  <c r="F186" i="98"/>
  <c r="F178" i="98"/>
  <c r="F176" i="98"/>
  <c r="F174" i="98"/>
  <c r="F171" i="98"/>
  <c r="F163" i="98"/>
  <c r="F161" i="98"/>
  <c r="F159" i="98"/>
  <c r="F156" i="98"/>
  <c r="F150" i="98"/>
  <c r="F148" i="98"/>
  <c r="F146" i="98"/>
  <c r="F143" i="98"/>
  <c r="F137" i="98"/>
  <c r="F135" i="98"/>
  <c r="F133" i="98"/>
  <c r="F130" i="98"/>
  <c r="F114" i="98"/>
  <c r="F112" i="98"/>
  <c r="F110" i="98"/>
  <c r="F107" i="98"/>
  <c r="F98" i="98"/>
  <c r="F96" i="98"/>
  <c r="F94" i="98"/>
  <c r="F91" i="98"/>
  <c r="F79" i="98"/>
  <c r="F77" i="98"/>
  <c r="F75" i="98"/>
  <c r="F72" i="98"/>
  <c r="F60" i="98"/>
  <c r="F58" i="98"/>
  <c r="F56" i="98"/>
  <c r="F53" i="98"/>
  <c r="F24" i="98"/>
  <c r="F22" i="98"/>
  <c r="F20" i="98"/>
  <c r="F17" i="98"/>
  <c r="E3377" i="98"/>
  <c r="C3377" i="98"/>
  <c r="G3376" i="98"/>
  <c r="F3376" i="98"/>
  <c r="E3376" i="98"/>
  <c r="D3376" i="98"/>
  <c r="C3376" i="98"/>
  <c r="E3375" i="98"/>
  <c r="D3375" i="98"/>
  <c r="C3375" i="98"/>
  <c r="G3374" i="98"/>
  <c r="E3374" i="98"/>
  <c r="C3374" i="98"/>
  <c r="G3364" i="98"/>
  <c r="F3364" i="98"/>
  <c r="E3364" i="98"/>
  <c r="D3364" i="98"/>
  <c r="C3364" i="98"/>
  <c r="G3363" i="98"/>
  <c r="F3363" i="98"/>
  <c r="E3363" i="98"/>
  <c r="D3363" i="98"/>
  <c r="C3363" i="98"/>
  <c r="G3362" i="98"/>
  <c r="E3362" i="98"/>
  <c r="D3362" i="98"/>
  <c r="C3362" i="98"/>
  <c r="G3361" i="98"/>
  <c r="F3361" i="98"/>
  <c r="E3361" i="98"/>
  <c r="D3361" i="98"/>
  <c r="C3361" i="98"/>
  <c r="G3360" i="98"/>
  <c r="E3360" i="98"/>
  <c r="D3360" i="98"/>
  <c r="C3360" i="98"/>
  <c r="G3359" i="98"/>
  <c r="F3359" i="98"/>
  <c r="E3359" i="98"/>
  <c r="D3359" i="98"/>
  <c r="C3359" i="98"/>
  <c r="G3358" i="98"/>
  <c r="F3358" i="98"/>
  <c r="C3358" i="98"/>
  <c r="G3357" i="98"/>
  <c r="F3357" i="98"/>
  <c r="E3357" i="98"/>
  <c r="D3357" i="98"/>
  <c r="C3357" i="98"/>
  <c r="G3356" i="98"/>
  <c r="F3356" i="98"/>
  <c r="E3356" i="98"/>
  <c r="D3356" i="98"/>
  <c r="C3356" i="98"/>
  <c r="G3346" i="98"/>
  <c r="F3346" i="98"/>
  <c r="E3346" i="98"/>
  <c r="D3346" i="98"/>
  <c r="C3346" i="98"/>
  <c r="G3345" i="98"/>
  <c r="E3345" i="98"/>
  <c r="D3345" i="98"/>
  <c r="C3345" i="98"/>
  <c r="G3344" i="98"/>
  <c r="E3344" i="98"/>
  <c r="D3344" i="98"/>
  <c r="C3344" i="98"/>
  <c r="G3343" i="98"/>
  <c r="E3343" i="98"/>
  <c r="D3343" i="98"/>
  <c r="C3343" i="98"/>
  <c r="G3342" i="98"/>
  <c r="F3342" i="98"/>
  <c r="E3342" i="98"/>
  <c r="D3342" i="98"/>
  <c r="C3342" i="98"/>
  <c r="G3341" i="98"/>
  <c r="E3341" i="98"/>
  <c r="D3341" i="98"/>
  <c r="C3341" i="98"/>
  <c r="G3340" i="98"/>
  <c r="E3340" i="98"/>
  <c r="D3340" i="98"/>
  <c r="C3340" i="98"/>
  <c r="G3339" i="98"/>
  <c r="E3339" i="98"/>
  <c r="D3339" i="98"/>
  <c r="C3339" i="98"/>
  <c r="G3338" i="98"/>
  <c r="F3338" i="98"/>
  <c r="E3338" i="98"/>
  <c r="D3338" i="98"/>
  <c r="C3338" i="98"/>
  <c r="G3337" i="98"/>
  <c r="F3337" i="98"/>
  <c r="E3337" i="98"/>
  <c r="D3337" i="98"/>
  <c r="C3337" i="98"/>
  <c r="G3336" i="98"/>
  <c r="F3336" i="98"/>
  <c r="E3336" i="98"/>
  <c r="D3336" i="98"/>
  <c r="C3336" i="98"/>
  <c r="G3335" i="98"/>
  <c r="F3335" i="98"/>
  <c r="E3335" i="98"/>
  <c r="D3335" i="98"/>
  <c r="C3335" i="98"/>
  <c r="G3334" i="98"/>
  <c r="F3334" i="98"/>
  <c r="E3334" i="98"/>
  <c r="D3334" i="98"/>
  <c r="C3334" i="98"/>
  <c r="G3333" i="98"/>
  <c r="E3333" i="98"/>
  <c r="D3333" i="98"/>
  <c r="C3333" i="98"/>
  <c r="G3323" i="98"/>
  <c r="E3323" i="98"/>
  <c r="D3323" i="98"/>
  <c r="C3323" i="98"/>
  <c r="G3322" i="98"/>
  <c r="F3322" i="98"/>
  <c r="E3322" i="98"/>
  <c r="D3322" i="98"/>
  <c r="C3322" i="98"/>
  <c r="G3321" i="98"/>
  <c r="E3321" i="98"/>
  <c r="D3321" i="98"/>
  <c r="C3321" i="98"/>
  <c r="G3320" i="98"/>
  <c r="E3320" i="98"/>
  <c r="D3320" i="98"/>
  <c r="C3320" i="98"/>
  <c r="G3310" i="98"/>
  <c r="F3310" i="98"/>
  <c r="E3310" i="98"/>
  <c r="D3310" i="98"/>
  <c r="C3310" i="98"/>
  <c r="G3309" i="98"/>
  <c r="E3309" i="98"/>
  <c r="D3309" i="98"/>
  <c r="C3309" i="98"/>
  <c r="G3308" i="98"/>
  <c r="E3308" i="98"/>
  <c r="D3308" i="98"/>
  <c r="C3308" i="98"/>
  <c r="G3307" i="98"/>
  <c r="F3307" i="98"/>
  <c r="E3307" i="98"/>
  <c r="D3307" i="98"/>
  <c r="C3307" i="98"/>
  <c r="G3306" i="98"/>
  <c r="E3306" i="98"/>
  <c r="D3306" i="98"/>
  <c r="C3306" i="98"/>
  <c r="G3305" i="98"/>
  <c r="F3305" i="98"/>
  <c r="E3305" i="98"/>
  <c r="D3305" i="98"/>
  <c r="C3305" i="98"/>
  <c r="G3304" i="98"/>
  <c r="F3304" i="98"/>
  <c r="E3304" i="98"/>
  <c r="D3304" i="98"/>
  <c r="C3304" i="98"/>
  <c r="G3303" i="98"/>
  <c r="F3303" i="98"/>
  <c r="E3303" i="98"/>
  <c r="D3303" i="98"/>
  <c r="C3303" i="98"/>
  <c r="G3302" i="98"/>
  <c r="F3302" i="98"/>
  <c r="E3302" i="98"/>
  <c r="D3302" i="98"/>
  <c r="C3302" i="98"/>
  <c r="G3292" i="98"/>
  <c r="E3292" i="98"/>
  <c r="D3292" i="98"/>
  <c r="C3292" i="98"/>
  <c r="G3291" i="98"/>
  <c r="F3291" i="98"/>
  <c r="E3291" i="98"/>
  <c r="D3291" i="98"/>
  <c r="C3291" i="98"/>
  <c r="G3290" i="98"/>
  <c r="E3290" i="98"/>
  <c r="C3290" i="98"/>
  <c r="E3280" i="98"/>
  <c r="D3280" i="98"/>
  <c r="C3280" i="98"/>
  <c r="E3279" i="98"/>
  <c r="D3279" i="98"/>
  <c r="C3279" i="98"/>
  <c r="G3278" i="98"/>
  <c r="F3278" i="98"/>
  <c r="E3278" i="98"/>
  <c r="D3278" i="98"/>
  <c r="C3278" i="98"/>
  <c r="G3277" i="98"/>
  <c r="E3277" i="98"/>
  <c r="D3277" i="98"/>
  <c r="G3267" i="98"/>
  <c r="F3267" i="98"/>
  <c r="E3267" i="98"/>
  <c r="D3267" i="98"/>
  <c r="C3267" i="98"/>
  <c r="G3266" i="98"/>
  <c r="E3266" i="98"/>
  <c r="D3266" i="98"/>
  <c r="C3266" i="98"/>
  <c r="G3265" i="98"/>
  <c r="E3265" i="98"/>
  <c r="D3265" i="98"/>
  <c r="C3265" i="98"/>
  <c r="G3264" i="98"/>
  <c r="E3264" i="98"/>
  <c r="D3264" i="98"/>
  <c r="C3264" i="98"/>
  <c r="G3263" i="98"/>
  <c r="F3263" i="98"/>
  <c r="E3263" i="98"/>
  <c r="D3263" i="98"/>
  <c r="C3263" i="98"/>
  <c r="G3262" i="98"/>
  <c r="E3262" i="98"/>
  <c r="D3262" i="98"/>
  <c r="C3262" i="98"/>
  <c r="G3261" i="98"/>
  <c r="F3261" i="98"/>
  <c r="E3261" i="98"/>
  <c r="D3261" i="98"/>
  <c r="C3261" i="98"/>
  <c r="G3260" i="98"/>
  <c r="F3260" i="98"/>
  <c r="C3260" i="98"/>
  <c r="G3259" i="98"/>
  <c r="F3259" i="98"/>
  <c r="E3259" i="98"/>
  <c r="D3259" i="98"/>
  <c r="C3259" i="98"/>
  <c r="G3258" i="98"/>
  <c r="F3258" i="98"/>
  <c r="E3258" i="98"/>
  <c r="D3258" i="98"/>
  <c r="G3248" i="98"/>
  <c r="F3248" i="98"/>
  <c r="E3248" i="98"/>
  <c r="D3248" i="98"/>
  <c r="C3248" i="98"/>
  <c r="E3247" i="98"/>
  <c r="D3247" i="98"/>
  <c r="C3247" i="98"/>
  <c r="G3246" i="98"/>
  <c r="F3246" i="98"/>
  <c r="E3246" i="98"/>
  <c r="D3246" i="98"/>
  <c r="C3246" i="98"/>
  <c r="E3245" i="98"/>
  <c r="D3245" i="98"/>
  <c r="C3245" i="98"/>
  <c r="G3244" i="98"/>
  <c r="E3244" i="98"/>
  <c r="D3244" i="98"/>
  <c r="G3234" i="98"/>
  <c r="F3234" i="98"/>
  <c r="E3234" i="98"/>
  <c r="D3234" i="98"/>
  <c r="C3234" i="98"/>
  <c r="E3233" i="98"/>
  <c r="D3233" i="98"/>
  <c r="C3233" i="98"/>
  <c r="F3232" i="98"/>
  <c r="E3232" i="98"/>
  <c r="D3232" i="98"/>
  <c r="C3232" i="98"/>
  <c r="E3231" i="98"/>
  <c r="D3231" i="98"/>
  <c r="C3231" i="98"/>
  <c r="E3230" i="98"/>
  <c r="D3230" i="98"/>
  <c r="G3220" i="98"/>
  <c r="F3220" i="98"/>
  <c r="E3220" i="98"/>
  <c r="D3220" i="98"/>
  <c r="C3220" i="98"/>
  <c r="E3219" i="98"/>
  <c r="D3219" i="98"/>
  <c r="C3219" i="98"/>
  <c r="F3218" i="98"/>
  <c r="E3218" i="98"/>
  <c r="D3218" i="98"/>
  <c r="C3218" i="98"/>
  <c r="E3217" i="98"/>
  <c r="D3217" i="98"/>
  <c r="C3217" i="98"/>
  <c r="G3216" i="98"/>
  <c r="E3216" i="98"/>
  <c r="D3216" i="98"/>
  <c r="G3206" i="98"/>
  <c r="E3206" i="98"/>
  <c r="D3206" i="98"/>
  <c r="C3206" i="98"/>
  <c r="G3205" i="98"/>
  <c r="F3205" i="98"/>
  <c r="E3205" i="98"/>
  <c r="D3205" i="98"/>
  <c r="C3205" i="98"/>
  <c r="G3204" i="98"/>
  <c r="E3204" i="98"/>
  <c r="D3204" i="98"/>
  <c r="C3204" i="98"/>
  <c r="G3203" i="98"/>
  <c r="F3203" i="98"/>
  <c r="E3203" i="98"/>
  <c r="D3203" i="98"/>
  <c r="C3203" i="98"/>
  <c r="G3202" i="98"/>
  <c r="F3202" i="98"/>
  <c r="E3202" i="98"/>
  <c r="D3202" i="98"/>
  <c r="C3202" i="98"/>
  <c r="G3201" i="98"/>
  <c r="F3201" i="98"/>
  <c r="E3201" i="98"/>
  <c r="D3201" i="98"/>
  <c r="C3201" i="98"/>
  <c r="G3200" i="98"/>
  <c r="E3200" i="98"/>
  <c r="D3200" i="98"/>
  <c r="G3190" i="98"/>
  <c r="E3190" i="98"/>
  <c r="D3190" i="98"/>
  <c r="C3190" i="98"/>
  <c r="G3189" i="98"/>
  <c r="E3189" i="98"/>
  <c r="D3189" i="98"/>
  <c r="C3189" i="98"/>
  <c r="G3188" i="98"/>
  <c r="F3188" i="98"/>
  <c r="E3188" i="98"/>
  <c r="D3188" i="98"/>
  <c r="C3188" i="98"/>
  <c r="G3187" i="98"/>
  <c r="E3187" i="98"/>
  <c r="D3187" i="98"/>
  <c r="C3187" i="98"/>
  <c r="G3186" i="98"/>
  <c r="F3186" i="98"/>
  <c r="E3186" i="98"/>
  <c r="D3186" i="98"/>
  <c r="C3186" i="98"/>
  <c r="G3185" i="98"/>
  <c r="E3185" i="98"/>
  <c r="D3185" i="98"/>
  <c r="C3185" i="98"/>
  <c r="G3184" i="98"/>
  <c r="F3184" i="98"/>
  <c r="E3184" i="98"/>
  <c r="D3184" i="98"/>
  <c r="C3184" i="98"/>
  <c r="G3183" i="98"/>
  <c r="F3183" i="98"/>
  <c r="E3183" i="98"/>
  <c r="D3183" i="98"/>
  <c r="C3183" i="98"/>
  <c r="G3182" i="98"/>
  <c r="F3182" i="98"/>
  <c r="C3182" i="98"/>
  <c r="G3181" i="98"/>
  <c r="F3181" i="98"/>
  <c r="E3181" i="98"/>
  <c r="D3181" i="98"/>
  <c r="C3181" i="98"/>
  <c r="G3180" i="98"/>
  <c r="F3180" i="98"/>
  <c r="E3180" i="98"/>
  <c r="D3180" i="98"/>
  <c r="G3170" i="98"/>
  <c r="E3170" i="98"/>
  <c r="D3170" i="98"/>
  <c r="C3170" i="98"/>
  <c r="G3169" i="98"/>
  <c r="E3169" i="98"/>
  <c r="D3169" i="98"/>
  <c r="C3169" i="98"/>
  <c r="G3168" i="98"/>
  <c r="F3168" i="98"/>
  <c r="E3168" i="98"/>
  <c r="D3168" i="98"/>
  <c r="C3168" i="98"/>
  <c r="G3167" i="98"/>
  <c r="E3167" i="98"/>
  <c r="D3167" i="98"/>
  <c r="C3167" i="98"/>
  <c r="G3166" i="98"/>
  <c r="F3166" i="98"/>
  <c r="C3166" i="98"/>
  <c r="G3165" i="98"/>
  <c r="F3165" i="98"/>
  <c r="E3165" i="98"/>
  <c r="D3165" i="98"/>
  <c r="C3165" i="98"/>
  <c r="G3164" i="98"/>
  <c r="F3164" i="98"/>
  <c r="E3164" i="98"/>
  <c r="D3164" i="98"/>
  <c r="G3154" i="98"/>
  <c r="E3154" i="98"/>
  <c r="D3154" i="98"/>
  <c r="C3154" i="98"/>
  <c r="G3153" i="98"/>
  <c r="F3153" i="98"/>
  <c r="E3153" i="98"/>
  <c r="D3153" i="98"/>
  <c r="C3153" i="98"/>
  <c r="G3152" i="98"/>
  <c r="E3152" i="98"/>
  <c r="D3152" i="98"/>
  <c r="C3152" i="98"/>
  <c r="G3142" i="98"/>
  <c r="E3142" i="98"/>
  <c r="D3142" i="98"/>
  <c r="C3142" i="98"/>
  <c r="G3141" i="98"/>
  <c r="F3141" i="98"/>
  <c r="E3141" i="98"/>
  <c r="D3141" i="98"/>
  <c r="C3141" i="98"/>
  <c r="G3140" i="98"/>
  <c r="E3140" i="98"/>
  <c r="D3140" i="98"/>
  <c r="C3140" i="98"/>
  <c r="E3130" i="98"/>
  <c r="D3130" i="98"/>
  <c r="C3130" i="98"/>
  <c r="E3129" i="98"/>
  <c r="D3129" i="98"/>
  <c r="C3129" i="98"/>
  <c r="G3128" i="98"/>
  <c r="F3128" i="98"/>
  <c r="E3128" i="98"/>
  <c r="D3128" i="98"/>
  <c r="C3128" i="98"/>
  <c r="G3127" i="98"/>
  <c r="E3127" i="98"/>
  <c r="D3127" i="98"/>
  <c r="F3117" i="98"/>
  <c r="E3117" i="98"/>
  <c r="D3117" i="98"/>
  <c r="C3117" i="98"/>
  <c r="F3116" i="98"/>
  <c r="E3116" i="98"/>
  <c r="D3116" i="98"/>
  <c r="C3116" i="98"/>
  <c r="G3115" i="98"/>
  <c r="F3115" i="98"/>
  <c r="E3115" i="98"/>
  <c r="D3115" i="98"/>
  <c r="C3115" i="98"/>
  <c r="G3114" i="98"/>
  <c r="D3114" i="98"/>
  <c r="F3104" i="98"/>
  <c r="E3104" i="98"/>
  <c r="D3104" i="98"/>
  <c r="C3104" i="98"/>
  <c r="F3103" i="98"/>
  <c r="E3103" i="98"/>
  <c r="D3103" i="98"/>
  <c r="C3103" i="98"/>
  <c r="G3102" i="98"/>
  <c r="F3102" i="98"/>
  <c r="E3102" i="98"/>
  <c r="D3102" i="98"/>
  <c r="C3102" i="98"/>
  <c r="G3101" i="98"/>
  <c r="D3101" i="98"/>
  <c r="E3091" i="98"/>
  <c r="D3091" i="98"/>
  <c r="C3091" i="98"/>
  <c r="E3090" i="98"/>
  <c r="D3090" i="98"/>
  <c r="C3090" i="98"/>
  <c r="E3089" i="98"/>
  <c r="D3089" i="98"/>
  <c r="C3089" i="98"/>
  <c r="G3088" i="98"/>
  <c r="F3088" i="98"/>
  <c r="E3088" i="98"/>
  <c r="D3088" i="98"/>
  <c r="C3088" i="98"/>
  <c r="E3087" i="98"/>
  <c r="D3087" i="98"/>
  <c r="C3087" i="98"/>
  <c r="G3086" i="98"/>
  <c r="F3086" i="98"/>
  <c r="E3086" i="98"/>
  <c r="D3086" i="98"/>
  <c r="C3086" i="98"/>
  <c r="G3085" i="98"/>
  <c r="F3085" i="98"/>
  <c r="E3085" i="98"/>
  <c r="D3085" i="98"/>
  <c r="C3085" i="98"/>
  <c r="G3084" i="98"/>
  <c r="E3084" i="98"/>
  <c r="D3084" i="98"/>
  <c r="C3084" i="98"/>
  <c r="G3083" i="98"/>
  <c r="F3083" i="98"/>
  <c r="E3083" i="98"/>
  <c r="D3083" i="98"/>
  <c r="C3083" i="98"/>
  <c r="F3082" i="98"/>
  <c r="E3082" i="98"/>
  <c r="D3082" i="98"/>
  <c r="C3082" i="98"/>
  <c r="F3081" i="98"/>
  <c r="E3081" i="98"/>
  <c r="D3081" i="98"/>
  <c r="C3081" i="98"/>
  <c r="G3080" i="98"/>
  <c r="F3080" i="98"/>
  <c r="E3080" i="98"/>
  <c r="D3080" i="98"/>
  <c r="C3080" i="98"/>
  <c r="G3079" i="98"/>
  <c r="D3079" i="98"/>
  <c r="E3069" i="98"/>
  <c r="D3069" i="98"/>
  <c r="C3069" i="98"/>
  <c r="E3068" i="98"/>
  <c r="D3068" i="98"/>
  <c r="C3068" i="98"/>
  <c r="E3067" i="98"/>
  <c r="D3067" i="98"/>
  <c r="C3067" i="98"/>
  <c r="G3066" i="98"/>
  <c r="F3066" i="98"/>
  <c r="E3066" i="98"/>
  <c r="D3066" i="98"/>
  <c r="C3066" i="98"/>
  <c r="E3065" i="98"/>
  <c r="D3065" i="98"/>
  <c r="C3065" i="98"/>
  <c r="G3064" i="98"/>
  <c r="F3064" i="98"/>
  <c r="E3064" i="98"/>
  <c r="D3064" i="98"/>
  <c r="C3064" i="98"/>
  <c r="G3063" i="98"/>
  <c r="F3063" i="98"/>
  <c r="E3063" i="98"/>
  <c r="D3063" i="98"/>
  <c r="C3063" i="98"/>
  <c r="G3062" i="98"/>
  <c r="E3062" i="98"/>
  <c r="D3062" i="98"/>
  <c r="C3062" i="98"/>
  <c r="G3061" i="98"/>
  <c r="F3061" i="98"/>
  <c r="E3061" i="98"/>
  <c r="D3061" i="98"/>
  <c r="C3061" i="98"/>
  <c r="F3060" i="98"/>
  <c r="E3060" i="98"/>
  <c r="D3060" i="98"/>
  <c r="C3060" i="98"/>
  <c r="F3059" i="98"/>
  <c r="E3059" i="98"/>
  <c r="D3059" i="98"/>
  <c r="C3059" i="98"/>
  <c r="G3058" i="98"/>
  <c r="F3058" i="98"/>
  <c r="E3058" i="98"/>
  <c r="D3058" i="98"/>
  <c r="C3058" i="98"/>
  <c r="G3057" i="98"/>
  <c r="D3057" i="98"/>
  <c r="G3047" i="98"/>
  <c r="E3047" i="98"/>
  <c r="D3047" i="98"/>
  <c r="C3047" i="98"/>
  <c r="G3046" i="98"/>
  <c r="F3046" i="98"/>
  <c r="E3046" i="98"/>
  <c r="D3046" i="98"/>
  <c r="C3046" i="98"/>
  <c r="G3045" i="98"/>
  <c r="E3045" i="98"/>
  <c r="D3045" i="98"/>
  <c r="C3045" i="98"/>
  <c r="G3035" i="98"/>
  <c r="E3035" i="98"/>
  <c r="D3035" i="98"/>
  <c r="C3035" i="98"/>
  <c r="G3034" i="98"/>
  <c r="F3034" i="98"/>
  <c r="E3034" i="98"/>
  <c r="D3034" i="98"/>
  <c r="C3034" i="98"/>
  <c r="G3033" i="98"/>
  <c r="E3033" i="98"/>
  <c r="D3033" i="98"/>
  <c r="C3033" i="98"/>
  <c r="G3023" i="98"/>
  <c r="F3023" i="98"/>
  <c r="E3023" i="98"/>
  <c r="D3023" i="98"/>
  <c r="C3023" i="98"/>
  <c r="G3022" i="98"/>
  <c r="E3022" i="98"/>
  <c r="D3022" i="98"/>
  <c r="C3022" i="98"/>
  <c r="G3021" i="98"/>
  <c r="F3021" i="98"/>
  <c r="E3021" i="98"/>
  <c r="D3021" i="98"/>
  <c r="C3021" i="98"/>
  <c r="G3020" i="98"/>
  <c r="E3020" i="98"/>
  <c r="D3020" i="98"/>
  <c r="C3020" i="98"/>
  <c r="G3019" i="98"/>
  <c r="F3019" i="98"/>
  <c r="E3019" i="98"/>
  <c r="D3019" i="98"/>
  <c r="C3019" i="98"/>
  <c r="G3018" i="98"/>
  <c r="E3018" i="98"/>
  <c r="D3018" i="98"/>
  <c r="C3018" i="98"/>
  <c r="G3017" i="98"/>
  <c r="F3017" i="98"/>
  <c r="E3017" i="98"/>
  <c r="D3017" i="98"/>
  <c r="C3017" i="98"/>
  <c r="G3016" i="98"/>
  <c r="F3016" i="98"/>
  <c r="E3016" i="98"/>
  <c r="D3016" i="98"/>
  <c r="C3016" i="98"/>
  <c r="G3015" i="98"/>
  <c r="F3015" i="98"/>
  <c r="E3015" i="98"/>
  <c r="D3015" i="98"/>
  <c r="C3015" i="98"/>
  <c r="G3014" i="98"/>
  <c r="F3014" i="98"/>
  <c r="E3014" i="98"/>
  <c r="D3014" i="98"/>
  <c r="C3014" i="98"/>
  <c r="G3013" i="98"/>
  <c r="F3013" i="98"/>
  <c r="E3013" i="98"/>
  <c r="D3013" i="98"/>
  <c r="C3013" i="98"/>
  <c r="G3012" i="98"/>
  <c r="F3012" i="98"/>
  <c r="E3012" i="98"/>
  <c r="D3012" i="98"/>
  <c r="G2988" i="98"/>
  <c r="E2988" i="98"/>
  <c r="D2988" i="98"/>
  <c r="C2988" i="98"/>
  <c r="G2987" i="98"/>
  <c r="F2987" i="98"/>
  <c r="C2987" i="98"/>
  <c r="G2986" i="98"/>
  <c r="F2986" i="98"/>
  <c r="E2986" i="98"/>
  <c r="D2986" i="98"/>
  <c r="C2986" i="98"/>
  <c r="G2985" i="98"/>
  <c r="F2985" i="98"/>
  <c r="E2985" i="98"/>
  <c r="D2985" i="98"/>
  <c r="C2985" i="98"/>
  <c r="G2984" i="98"/>
  <c r="F2984" i="98"/>
  <c r="E2984" i="98"/>
  <c r="D2984" i="98"/>
  <c r="C2984" i="98"/>
  <c r="G2983" i="98"/>
  <c r="F2983" i="98"/>
  <c r="E2983" i="98"/>
  <c r="D2983" i="98"/>
  <c r="G2973" i="98"/>
  <c r="E2973" i="98"/>
  <c r="D2973" i="98"/>
  <c r="C2973" i="98"/>
  <c r="G2972" i="98"/>
  <c r="F2972" i="98"/>
  <c r="E2972" i="98"/>
  <c r="D2972" i="98"/>
  <c r="C2972" i="98"/>
  <c r="G2971" i="98"/>
  <c r="F2971" i="98"/>
  <c r="E2971" i="98"/>
  <c r="D2971" i="98"/>
  <c r="C2971" i="98"/>
  <c r="G2970" i="98"/>
  <c r="F2970" i="98"/>
  <c r="E2970" i="98"/>
  <c r="D2970" i="98"/>
  <c r="G2960" i="98"/>
  <c r="E2960" i="98"/>
  <c r="D2960" i="98"/>
  <c r="C2960" i="98"/>
  <c r="G2959" i="98"/>
  <c r="F2959" i="98"/>
  <c r="E2959" i="98"/>
  <c r="D2959" i="98"/>
  <c r="C2959" i="98"/>
  <c r="G2958" i="98"/>
  <c r="F2958" i="98"/>
  <c r="E2958" i="98"/>
  <c r="D2958" i="98"/>
  <c r="C2958" i="98"/>
  <c r="G2957" i="98"/>
  <c r="F2957" i="98"/>
  <c r="E2957" i="98"/>
  <c r="D2957" i="98"/>
  <c r="C2957" i="98"/>
  <c r="G2956" i="98"/>
  <c r="F2956" i="98"/>
  <c r="E2956" i="98"/>
  <c r="D2956" i="98"/>
  <c r="G2946" i="98"/>
  <c r="E2946" i="98"/>
  <c r="D2946" i="98"/>
  <c r="C2946" i="98"/>
  <c r="G2945" i="98"/>
  <c r="E2945" i="98"/>
  <c r="D2945" i="98"/>
  <c r="C2945" i="98"/>
  <c r="G2944" i="98"/>
  <c r="E2944" i="98"/>
  <c r="D2944" i="98"/>
  <c r="C2944" i="98"/>
  <c r="G2943" i="98"/>
  <c r="F2943" i="98"/>
  <c r="E2943" i="98"/>
  <c r="D2943" i="98"/>
  <c r="C2943" i="98"/>
  <c r="E2942" i="98"/>
  <c r="D2942" i="98"/>
  <c r="C2942" i="98"/>
  <c r="G2941" i="98"/>
  <c r="F2941" i="98"/>
  <c r="E2941" i="98"/>
  <c r="D2941" i="98"/>
  <c r="C2941" i="98"/>
  <c r="G2940" i="98"/>
  <c r="F2940" i="98"/>
  <c r="E2940" i="98"/>
  <c r="D2940" i="98"/>
  <c r="C2940" i="98"/>
  <c r="G2939" i="98"/>
  <c r="F2939" i="98"/>
  <c r="E2939" i="98"/>
  <c r="C2939" i="98"/>
  <c r="G2938" i="98"/>
  <c r="F2938" i="98"/>
  <c r="E2938" i="98"/>
  <c r="D2938" i="98"/>
  <c r="C2938" i="98"/>
  <c r="G2937" i="98"/>
  <c r="F2937" i="98"/>
  <c r="E2937" i="98"/>
  <c r="D2937" i="98"/>
  <c r="C2937" i="98"/>
  <c r="G2927" i="98"/>
  <c r="F2927" i="98"/>
  <c r="E2927" i="98"/>
  <c r="D2927" i="98"/>
  <c r="C2927" i="98"/>
  <c r="E2926" i="98"/>
  <c r="D2926" i="98"/>
  <c r="C2926" i="98"/>
  <c r="G2925" i="98"/>
  <c r="F2925" i="98"/>
  <c r="E2925" i="98"/>
  <c r="D2925" i="98"/>
  <c r="C2925" i="98"/>
  <c r="E2924" i="98"/>
  <c r="D2924" i="98"/>
  <c r="C2924" i="98"/>
  <c r="G2923" i="98"/>
  <c r="E2923" i="98"/>
  <c r="D2923" i="98"/>
  <c r="G2913" i="98"/>
  <c r="F2913" i="98"/>
  <c r="E2913" i="98"/>
  <c r="D2913" i="98"/>
  <c r="C2913" i="98"/>
  <c r="E2912" i="98"/>
  <c r="D2912" i="98"/>
  <c r="C2912" i="98"/>
  <c r="G2911" i="98"/>
  <c r="F2911" i="98"/>
  <c r="E2911" i="98"/>
  <c r="D2911" i="98"/>
  <c r="C2911" i="98"/>
  <c r="E2910" i="98"/>
  <c r="D2910" i="98"/>
  <c r="C2910" i="98"/>
  <c r="G2909" i="98"/>
  <c r="E2909" i="98"/>
  <c r="D2909" i="98"/>
  <c r="G2899" i="98"/>
  <c r="F2899" i="98"/>
  <c r="E2899" i="98"/>
  <c r="D2899" i="98"/>
  <c r="C2899" i="98"/>
  <c r="E2898" i="98"/>
  <c r="D2898" i="98"/>
  <c r="C2898" i="98"/>
  <c r="F2897" i="98"/>
  <c r="E2897" i="98"/>
  <c r="D2897" i="98"/>
  <c r="C2897" i="98"/>
  <c r="E2896" i="98"/>
  <c r="D2896" i="98"/>
  <c r="C2896" i="98"/>
  <c r="G2895" i="98"/>
  <c r="E2895" i="98"/>
  <c r="D2895" i="98"/>
  <c r="G2885" i="98"/>
  <c r="F2885" i="98"/>
  <c r="E2885" i="98"/>
  <c r="D2885" i="98"/>
  <c r="C2885" i="98"/>
  <c r="E2884" i="98"/>
  <c r="D2884" i="98"/>
  <c r="C2884" i="98"/>
  <c r="F2883" i="98"/>
  <c r="E2883" i="98"/>
  <c r="D2883" i="98"/>
  <c r="C2883" i="98"/>
  <c r="E2882" i="98"/>
  <c r="D2882" i="98"/>
  <c r="C2882" i="98"/>
  <c r="G2881" i="98"/>
  <c r="E2881" i="98"/>
  <c r="D2881" i="98"/>
  <c r="G926" i="98"/>
  <c r="F926" i="98"/>
  <c r="E926" i="98"/>
  <c r="D926" i="98"/>
  <c r="C926" i="98"/>
  <c r="G925" i="98"/>
  <c r="E925" i="98"/>
  <c r="D925" i="98"/>
  <c r="C925" i="98"/>
  <c r="G924" i="98"/>
  <c r="E924" i="98"/>
  <c r="D924" i="98"/>
  <c r="C924" i="98"/>
  <c r="G923" i="98"/>
  <c r="E923" i="98"/>
  <c r="D923" i="98"/>
  <c r="C923" i="98"/>
  <c r="G922" i="98"/>
  <c r="F922" i="98"/>
  <c r="E922" i="98"/>
  <c r="D922" i="98"/>
  <c r="C922" i="98"/>
  <c r="G921" i="98"/>
  <c r="E921" i="98"/>
  <c r="D921" i="98"/>
  <c r="C921" i="98"/>
  <c r="G920" i="98"/>
  <c r="F920" i="98"/>
  <c r="E920" i="98"/>
  <c r="D920" i="98"/>
  <c r="C920" i="98"/>
  <c r="G919" i="98"/>
  <c r="F919" i="98"/>
  <c r="E919" i="98"/>
  <c r="D919" i="98"/>
  <c r="C919" i="98"/>
  <c r="G918" i="98"/>
  <c r="F918" i="98"/>
  <c r="E918" i="98"/>
  <c r="D918" i="98"/>
  <c r="C918" i="98"/>
  <c r="G917" i="98"/>
  <c r="F917" i="98"/>
  <c r="E917" i="98"/>
  <c r="D917" i="98"/>
  <c r="C917" i="98"/>
  <c r="G916" i="98"/>
  <c r="E916" i="98"/>
  <c r="D916" i="98"/>
  <c r="C916" i="98"/>
  <c r="G915" i="98"/>
  <c r="E915" i="98"/>
  <c r="D915" i="98"/>
  <c r="C915" i="98"/>
  <c r="G914" i="98"/>
  <c r="F914" i="98"/>
  <c r="E914" i="98"/>
  <c r="D914" i="98"/>
  <c r="C914" i="98"/>
  <c r="G913" i="98"/>
  <c r="F913" i="98"/>
  <c r="E913" i="98"/>
  <c r="D913" i="98"/>
  <c r="C913" i="98"/>
  <c r="G912" i="98"/>
  <c r="D912" i="98"/>
  <c r="G902" i="98"/>
  <c r="F902" i="98"/>
  <c r="E902" i="98"/>
  <c r="D902" i="98"/>
  <c r="C902" i="98"/>
  <c r="G901" i="98"/>
  <c r="E901" i="98"/>
  <c r="D901" i="98"/>
  <c r="C901" i="98"/>
  <c r="G900" i="98"/>
  <c r="E900" i="98"/>
  <c r="D900" i="98"/>
  <c r="C900" i="98"/>
  <c r="G899" i="98"/>
  <c r="E899" i="98"/>
  <c r="D899" i="98"/>
  <c r="C899" i="98"/>
  <c r="G898" i="98"/>
  <c r="F898" i="98"/>
  <c r="E898" i="98"/>
  <c r="D898" i="98"/>
  <c r="C898" i="98"/>
  <c r="G897" i="98"/>
  <c r="E897" i="98"/>
  <c r="D897" i="98"/>
  <c r="C897" i="98"/>
  <c r="G896" i="98"/>
  <c r="F896" i="98"/>
  <c r="E896" i="98"/>
  <c r="D896" i="98"/>
  <c r="C896" i="98"/>
  <c r="G895" i="98"/>
  <c r="F895" i="98"/>
  <c r="E895" i="98"/>
  <c r="D895" i="98"/>
  <c r="C895" i="98"/>
  <c r="G894" i="98"/>
  <c r="E894" i="98"/>
  <c r="D894" i="98"/>
  <c r="C894" i="98"/>
  <c r="G893" i="98"/>
  <c r="E893" i="98"/>
  <c r="D893" i="98"/>
  <c r="C893" i="98"/>
  <c r="G892" i="98"/>
  <c r="F892" i="98"/>
  <c r="E892" i="98"/>
  <c r="D892" i="98"/>
  <c r="C892" i="98"/>
  <c r="G891" i="98"/>
  <c r="F891" i="98"/>
  <c r="E891" i="98"/>
  <c r="D891" i="98"/>
  <c r="C891" i="98"/>
  <c r="G890" i="98"/>
  <c r="D890" i="98"/>
  <c r="G2871" i="98"/>
  <c r="E2871" i="98"/>
  <c r="D2871" i="98"/>
  <c r="C2871" i="98"/>
  <c r="G2870" i="98"/>
  <c r="E2870" i="98"/>
  <c r="D2870" i="98"/>
  <c r="C2870" i="98"/>
  <c r="G2869" i="98"/>
  <c r="E2869" i="98"/>
  <c r="D2869" i="98"/>
  <c r="C2869" i="98"/>
  <c r="G2868" i="98"/>
  <c r="F2868" i="98"/>
  <c r="E2868" i="98"/>
  <c r="D2868" i="98"/>
  <c r="C2868" i="98"/>
  <c r="G2867" i="98"/>
  <c r="E2867" i="98"/>
  <c r="D2867" i="98"/>
  <c r="C2867" i="98"/>
  <c r="G2866" i="98"/>
  <c r="F2866" i="98"/>
  <c r="E2866" i="98"/>
  <c r="D2866" i="98"/>
  <c r="C2866" i="98"/>
  <c r="G2865" i="98"/>
  <c r="F2865" i="98"/>
  <c r="E2865" i="98"/>
  <c r="D2865" i="98"/>
  <c r="C2865" i="98"/>
  <c r="F2864" i="98"/>
  <c r="E2864" i="98"/>
  <c r="D2864" i="98"/>
  <c r="C2864" i="98"/>
  <c r="G2863" i="98"/>
  <c r="F2863" i="98"/>
  <c r="E2863" i="98"/>
  <c r="D2863" i="98"/>
  <c r="C2863" i="98"/>
  <c r="G2862" i="98"/>
  <c r="E2862" i="98"/>
  <c r="D2862" i="98"/>
  <c r="G2852" i="98"/>
  <c r="E2852" i="98"/>
  <c r="D2852" i="98"/>
  <c r="C2852" i="98"/>
  <c r="G2851" i="98"/>
  <c r="E2851" i="98"/>
  <c r="D2851" i="98"/>
  <c r="C2851" i="98"/>
  <c r="G2850" i="98"/>
  <c r="E2850" i="98"/>
  <c r="D2850" i="98"/>
  <c r="C2850" i="98"/>
  <c r="G2849" i="98"/>
  <c r="F2849" i="98"/>
  <c r="E2849" i="98"/>
  <c r="D2849" i="98"/>
  <c r="C2849" i="98"/>
  <c r="G2848" i="98"/>
  <c r="E2848" i="98"/>
  <c r="D2848" i="98"/>
  <c r="C2848" i="98"/>
  <c r="G2847" i="98"/>
  <c r="F2847" i="98"/>
  <c r="E2847" i="98"/>
  <c r="D2847" i="98"/>
  <c r="C2847" i="98"/>
  <c r="G2846" i="98"/>
  <c r="F2846" i="98"/>
  <c r="E2846" i="98"/>
  <c r="D2846" i="98"/>
  <c r="C2846" i="98"/>
  <c r="G2845" i="98"/>
  <c r="F2845" i="98"/>
  <c r="E2845" i="98"/>
  <c r="C2845" i="98"/>
  <c r="G2844" i="98"/>
  <c r="F2844" i="98"/>
  <c r="E2844" i="98"/>
  <c r="D2844" i="98"/>
  <c r="C2844" i="98"/>
  <c r="G2843" i="98"/>
  <c r="E2843" i="98"/>
  <c r="G2833" i="98"/>
  <c r="E2833" i="98"/>
  <c r="D2833" i="98"/>
  <c r="C2833" i="98"/>
  <c r="G2832" i="98"/>
  <c r="E2832" i="98"/>
  <c r="D2832" i="98"/>
  <c r="C2832" i="98"/>
  <c r="G2831" i="98"/>
  <c r="E2831" i="98"/>
  <c r="D2831" i="98"/>
  <c r="C2831" i="98"/>
  <c r="G2830" i="98"/>
  <c r="F2830" i="98"/>
  <c r="E2830" i="98"/>
  <c r="D2830" i="98"/>
  <c r="C2830" i="98"/>
  <c r="G2829" i="98"/>
  <c r="E2829" i="98"/>
  <c r="D2829" i="98"/>
  <c r="C2829" i="98"/>
  <c r="G2828" i="98"/>
  <c r="F2828" i="98"/>
  <c r="E2828" i="98"/>
  <c r="C2828" i="98"/>
  <c r="G2827" i="98"/>
  <c r="F2827" i="98"/>
  <c r="E2827" i="98"/>
  <c r="D2827" i="98"/>
  <c r="C2827" i="98"/>
  <c r="F2826" i="98"/>
  <c r="E2826" i="98"/>
  <c r="D2826" i="98"/>
  <c r="C2826" i="98"/>
  <c r="G2825" i="98"/>
  <c r="F2825" i="98"/>
  <c r="E2825" i="98"/>
  <c r="D2825" i="98"/>
  <c r="C2825" i="98"/>
  <c r="G2824" i="98"/>
  <c r="E2824" i="98"/>
  <c r="G2814" i="98"/>
  <c r="E2814" i="98"/>
  <c r="D2814" i="98"/>
  <c r="C2814" i="98"/>
  <c r="G2813" i="98"/>
  <c r="E2813" i="98"/>
  <c r="D2813" i="98"/>
  <c r="C2813" i="98"/>
  <c r="G2812" i="98"/>
  <c r="E2812" i="98"/>
  <c r="D2812" i="98"/>
  <c r="C2812" i="98"/>
  <c r="G2811" i="98"/>
  <c r="F2811" i="98"/>
  <c r="E2811" i="98"/>
  <c r="D2811" i="98"/>
  <c r="C2811" i="98"/>
  <c r="G2810" i="98"/>
  <c r="E2810" i="98"/>
  <c r="D2810" i="98"/>
  <c r="C2810" i="98"/>
  <c r="G2809" i="98"/>
  <c r="F2809" i="98"/>
  <c r="E2809" i="98"/>
  <c r="D2809" i="98"/>
  <c r="C2809" i="98"/>
  <c r="G2808" i="98"/>
  <c r="F2808" i="98"/>
  <c r="E2808" i="98"/>
  <c r="D2808" i="98"/>
  <c r="C2808" i="98"/>
  <c r="G2807" i="98"/>
  <c r="F2807" i="98"/>
  <c r="E2807" i="98"/>
  <c r="C2807" i="98"/>
  <c r="G2806" i="98"/>
  <c r="F2806" i="98"/>
  <c r="E2806" i="98"/>
  <c r="D2806" i="98"/>
  <c r="C2806" i="98"/>
  <c r="G2805" i="98"/>
  <c r="E2805" i="98"/>
  <c r="G2795" i="98"/>
  <c r="F2795" i="98"/>
  <c r="E2795" i="98"/>
  <c r="D2795" i="98"/>
  <c r="C2795" i="98"/>
  <c r="G2794" i="98"/>
  <c r="F2794" i="98"/>
  <c r="E2794" i="98"/>
  <c r="D2794" i="98"/>
  <c r="C2794" i="98"/>
  <c r="G2793" i="98"/>
  <c r="F2793" i="98"/>
  <c r="E2793" i="98"/>
  <c r="D2793" i="98"/>
  <c r="C2793" i="98"/>
  <c r="G2783" i="98"/>
  <c r="F2783" i="98"/>
  <c r="E2783" i="98"/>
  <c r="D2783" i="98"/>
  <c r="C2783" i="98"/>
  <c r="G2782" i="98"/>
  <c r="F2782" i="98"/>
  <c r="E2782" i="98"/>
  <c r="D2782" i="98"/>
  <c r="C2782" i="98"/>
  <c r="G2781" i="98"/>
  <c r="F2781" i="98"/>
  <c r="E2781" i="98"/>
  <c r="C2781" i="98"/>
  <c r="G2771" i="98"/>
  <c r="E2771" i="98"/>
  <c r="D2771" i="98"/>
  <c r="C2771" i="98"/>
  <c r="G2770" i="98"/>
  <c r="F2770" i="98"/>
  <c r="E2770" i="98"/>
  <c r="D2770" i="98"/>
  <c r="C2770" i="98"/>
  <c r="G2769" i="98"/>
  <c r="E2769" i="98"/>
  <c r="D2769" i="98"/>
  <c r="C2769" i="98"/>
  <c r="G2759" i="98"/>
  <c r="F2759" i="98"/>
  <c r="E2759" i="98"/>
  <c r="D2759" i="98"/>
  <c r="C2759" i="98"/>
  <c r="G2758" i="98"/>
  <c r="F2758" i="98"/>
  <c r="E2758" i="98"/>
  <c r="D2758" i="98"/>
  <c r="C2758" i="98"/>
  <c r="G2757" i="98"/>
  <c r="F2757" i="98"/>
  <c r="E2757" i="98"/>
  <c r="D2757" i="98"/>
  <c r="C2757" i="98"/>
  <c r="G2747" i="98"/>
  <c r="F2747" i="98"/>
  <c r="E2747" i="98"/>
  <c r="D2747" i="98"/>
  <c r="C2747" i="98"/>
  <c r="G2746" i="98"/>
  <c r="F2746" i="98"/>
  <c r="E2746" i="98"/>
  <c r="D2746" i="98"/>
  <c r="C2746" i="98"/>
  <c r="G2745" i="98"/>
  <c r="F2745" i="98"/>
  <c r="E2745" i="98"/>
  <c r="D2745" i="98"/>
  <c r="C2745" i="98"/>
  <c r="G2735" i="98"/>
  <c r="E2735" i="98"/>
  <c r="D2735" i="98"/>
  <c r="C2735" i="98"/>
  <c r="G2734" i="98"/>
  <c r="F2734" i="98"/>
  <c r="E2734" i="98"/>
  <c r="D2734" i="98"/>
  <c r="C2734" i="98"/>
  <c r="G2733" i="98"/>
  <c r="E2733" i="98"/>
  <c r="D2733" i="98"/>
  <c r="C2733" i="98"/>
  <c r="E2723" i="98"/>
  <c r="D2723" i="98"/>
  <c r="C2723" i="98"/>
  <c r="G2722" i="98"/>
  <c r="F2722" i="98"/>
  <c r="E2722" i="98"/>
  <c r="D2722" i="98"/>
  <c r="C2722" i="98"/>
  <c r="G2721" i="98"/>
  <c r="C2721" i="98"/>
  <c r="G2711" i="98"/>
  <c r="E2711" i="98"/>
  <c r="D2711" i="98"/>
  <c r="C2711" i="98"/>
  <c r="G2710" i="98"/>
  <c r="F2710" i="98"/>
  <c r="E2710" i="98"/>
  <c r="D2710" i="98"/>
  <c r="C2710" i="98"/>
  <c r="G2709" i="98"/>
  <c r="E2709" i="98"/>
  <c r="D2709" i="98"/>
  <c r="C2709" i="98"/>
  <c r="G2699" i="98"/>
  <c r="F2699" i="98"/>
  <c r="E2699" i="98"/>
  <c r="D2699" i="98"/>
  <c r="C2699" i="98"/>
  <c r="G2698" i="98"/>
  <c r="F2698" i="98"/>
  <c r="E2698" i="98"/>
  <c r="D2698" i="98"/>
  <c r="C2698" i="98"/>
  <c r="G2697" i="98"/>
  <c r="F2697" i="98"/>
  <c r="E2697" i="98"/>
  <c r="D2697" i="98"/>
  <c r="C2697" i="98"/>
  <c r="E2687" i="98"/>
  <c r="C2687" i="98"/>
  <c r="G2686" i="98"/>
  <c r="F2686" i="98"/>
  <c r="E2686" i="98"/>
  <c r="D2686" i="98"/>
  <c r="C2686" i="98"/>
  <c r="G2685" i="98"/>
  <c r="F2685" i="98"/>
  <c r="E2685" i="98"/>
  <c r="D2685" i="98"/>
  <c r="C2685" i="98"/>
  <c r="G2684" i="98"/>
  <c r="F2684" i="98"/>
  <c r="E2684" i="98"/>
  <c r="G2674" i="98"/>
  <c r="E2674" i="98"/>
  <c r="D2674" i="98"/>
  <c r="C2674" i="98"/>
  <c r="G2673" i="98"/>
  <c r="E2673" i="98"/>
  <c r="D2673" i="98"/>
  <c r="C2673" i="98"/>
  <c r="G2672" i="98"/>
  <c r="E2672" i="98"/>
  <c r="D2672" i="98"/>
  <c r="C2672" i="98"/>
  <c r="G2671" i="98"/>
  <c r="F2671" i="98"/>
  <c r="E2671" i="98"/>
  <c r="D2671" i="98"/>
  <c r="C2671" i="98"/>
  <c r="G2670" i="98"/>
  <c r="E2670" i="98"/>
  <c r="D2670" i="98"/>
  <c r="C2670" i="98"/>
  <c r="G2669" i="98"/>
  <c r="F2669" i="98"/>
  <c r="E2669" i="98"/>
  <c r="D2669" i="98"/>
  <c r="C2669" i="98"/>
  <c r="G2668" i="98"/>
  <c r="F2668" i="98"/>
  <c r="E2668" i="98"/>
  <c r="C2668" i="98"/>
  <c r="G2667" i="98"/>
  <c r="F2667" i="98"/>
  <c r="E2667" i="98"/>
  <c r="D2667" i="98"/>
  <c r="C2667" i="98"/>
  <c r="G2666" i="98"/>
  <c r="E2666" i="98"/>
  <c r="C2666" i="98"/>
  <c r="G2656" i="98"/>
  <c r="E2656" i="98"/>
  <c r="D2656" i="98"/>
  <c r="C2656" i="98"/>
  <c r="G2655" i="98"/>
  <c r="F2655" i="98"/>
  <c r="E2655" i="98"/>
  <c r="D2655" i="98"/>
  <c r="C2655" i="98"/>
  <c r="G2654" i="98"/>
  <c r="E2654" i="98"/>
  <c r="D2654" i="98"/>
  <c r="C2654" i="98"/>
  <c r="G2644" i="98"/>
  <c r="E2644" i="98"/>
  <c r="D2644" i="98"/>
  <c r="C2644" i="98"/>
  <c r="G2643" i="98"/>
  <c r="F2643" i="98"/>
  <c r="C2643" i="98"/>
  <c r="G2642" i="98"/>
  <c r="F2642" i="98"/>
  <c r="E2642" i="98"/>
  <c r="D2642" i="98"/>
  <c r="C2642" i="98"/>
  <c r="G2641" i="98"/>
  <c r="F2641" i="98"/>
  <c r="E2641" i="98"/>
  <c r="D2641" i="98"/>
  <c r="C2641" i="98"/>
  <c r="G2640" i="98"/>
  <c r="F2640" i="98"/>
  <c r="E2640" i="98"/>
  <c r="D2640" i="98"/>
  <c r="C2640" i="98"/>
  <c r="G2639" i="98"/>
  <c r="F2639" i="98"/>
  <c r="E2639" i="98"/>
  <c r="D2639" i="98"/>
  <c r="G2629" i="98"/>
  <c r="F2629" i="98"/>
  <c r="E2629" i="98"/>
  <c r="D2629" i="98"/>
  <c r="C2629" i="98"/>
  <c r="E2628" i="98"/>
  <c r="D2628" i="98"/>
  <c r="C2628" i="98"/>
  <c r="E2627" i="98"/>
  <c r="D2627" i="98"/>
  <c r="C2627" i="98"/>
  <c r="E2626" i="98"/>
  <c r="D2626" i="98"/>
  <c r="C2626" i="98"/>
  <c r="E2625" i="98"/>
  <c r="D2625" i="98"/>
  <c r="C2625" i="98"/>
  <c r="E2624" i="98"/>
  <c r="D2624" i="98"/>
  <c r="C2624" i="98"/>
  <c r="E2623" i="98"/>
  <c r="D2623" i="98"/>
  <c r="C2623" i="98"/>
  <c r="F2622" i="98"/>
  <c r="E2622" i="98"/>
  <c r="D2622" i="98"/>
  <c r="C2622" i="98"/>
  <c r="E2621" i="98"/>
  <c r="D2621" i="98"/>
  <c r="C2621" i="98"/>
  <c r="F2620" i="98"/>
  <c r="E2620" i="98"/>
  <c r="D2620" i="98"/>
  <c r="C2620" i="98"/>
  <c r="G2619" i="98"/>
  <c r="F2619" i="98"/>
  <c r="E2619" i="98"/>
  <c r="D2619" i="98"/>
  <c r="C2619" i="98"/>
  <c r="G2618" i="98"/>
  <c r="F2618" i="98"/>
  <c r="E2618" i="98"/>
  <c r="D2618" i="98"/>
  <c r="G2580" i="98"/>
  <c r="F2580" i="98"/>
  <c r="E2580" i="98"/>
  <c r="D2580" i="98"/>
  <c r="C2580" i="98"/>
  <c r="E2579" i="98"/>
  <c r="D2579" i="98"/>
  <c r="C2579" i="98"/>
  <c r="E2578" i="98"/>
  <c r="D2578" i="98"/>
  <c r="C2578" i="98"/>
  <c r="G2577" i="98"/>
  <c r="F2577" i="98"/>
  <c r="E2577" i="98"/>
  <c r="D2577" i="98"/>
  <c r="C2577" i="98"/>
  <c r="E2576" i="98"/>
  <c r="D2576" i="98"/>
  <c r="C2576" i="98"/>
  <c r="F2575" i="98"/>
  <c r="E2575" i="98"/>
  <c r="D2575" i="98"/>
  <c r="C2575" i="98"/>
  <c r="G2574" i="98"/>
  <c r="F2574" i="98"/>
  <c r="E2574" i="98"/>
  <c r="D2574" i="98"/>
  <c r="C2574" i="98"/>
  <c r="G2573" i="98"/>
  <c r="E2573" i="98"/>
  <c r="D2573" i="98"/>
  <c r="G2563" i="98"/>
  <c r="E2563" i="98"/>
  <c r="D2563" i="98"/>
  <c r="C2563" i="98"/>
  <c r="G2562" i="98"/>
  <c r="F2562" i="98"/>
  <c r="E2562" i="98"/>
  <c r="D2562" i="98"/>
  <c r="E2552" i="98"/>
  <c r="D2552" i="98"/>
  <c r="C2552" i="98"/>
  <c r="F2551" i="98"/>
  <c r="E2551" i="98"/>
  <c r="D2551" i="98"/>
  <c r="C2551" i="98"/>
  <c r="E2550" i="98"/>
  <c r="D2550" i="98"/>
  <c r="C2550" i="98"/>
  <c r="G2549" i="98"/>
  <c r="E2549" i="98"/>
  <c r="D2549" i="98"/>
  <c r="E2539" i="98"/>
  <c r="D2539" i="98"/>
  <c r="C2539" i="98"/>
  <c r="E2538" i="98"/>
  <c r="D2538" i="98"/>
  <c r="C2538" i="98"/>
  <c r="E2537" i="98"/>
  <c r="D2537" i="98"/>
  <c r="C2537" i="98"/>
  <c r="G2536" i="98"/>
  <c r="F2536" i="98"/>
  <c r="E2536" i="98"/>
  <c r="D2536" i="98"/>
  <c r="C2536" i="98"/>
  <c r="E2535" i="98"/>
  <c r="D2535" i="98"/>
  <c r="C2535" i="98"/>
  <c r="G2534" i="98"/>
  <c r="F2534" i="98"/>
  <c r="E2534" i="98"/>
  <c r="D2534" i="98"/>
  <c r="C2534" i="98"/>
  <c r="F2533" i="98"/>
  <c r="E2533" i="98"/>
  <c r="D2533" i="98"/>
  <c r="C2533" i="98"/>
  <c r="E2532" i="98"/>
  <c r="D2532" i="98"/>
  <c r="C2532" i="98"/>
  <c r="F2531" i="98"/>
  <c r="E2531" i="98"/>
  <c r="D2531" i="98"/>
  <c r="C2531" i="98"/>
  <c r="F2530" i="98"/>
  <c r="E2530" i="98"/>
  <c r="D2530" i="98"/>
  <c r="C2530" i="98"/>
  <c r="F2529" i="98"/>
  <c r="E2529" i="98"/>
  <c r="D2529" i="98"/>
  <c r="C2529" i="98"/>
  <c r="G2528" i="98"/>
  <c r="F2528" i="98"/>
  <c r="E2528" i="98"/>
  <c r="D2528" i="98"/>
  <c r="C2528" i="98"/>
  <c r="D2527" i="98"/>
  <c r="E2517" i="98"/>
  <c r="D2517" i="98"/>
  <c r="C2517" i="98"/>
  <c r="E2516" i="98"/>
  <c r="D2516" i="98"/>
  <c r="C2516" i="98"/>
  <c r="E2515" i="98"/>
  <c r="D2515" i="98"/>
  <c r="C2515" i="98"/>
  <c r="G2514" i="98"/>
  <c r="F2514" i="98"/>
  <c r="E2514" i="98"/>
  <c r="D2514" i="98"/>
  <c r="C2514" i="98"/>
  <c r="E2513" i="98"/>
  <c r="D2513" i="98"/>
  <c r="C2513" i="98"/>
  <c r="G2512" i="98"/>
  <c r="F2512" i="98"/>
  <c r="E2512" i="98"/>
  <c r="D2512" i="98"/>
  <c r="C2512" i="98"/>
  <c r="F2511" i="98"/>
  <c r="E2511" i="98"/>
  <c r="D2511" i="98"/>
  <c r="C2511" i="98"/>
  <c r="E2510" i="98"/>
  <c r="D2510" i="98"/>
  <c r="C2510" i="98"/>
  <c r="F2509" i="98"/>
  <c r="E2509" i="98"/>
  <c r="D2509" i="98"/>
  <c r="C2509" i="98"/>
  <c r="F2508" i="98"/>
  <c r="E2508" i="98"/>
  <c r="D2508" i="98"/>
  <c r="C2508" i="98"/>
  <c r="F2507" i="98"/>
  <c r="E2507" i="98"/>
  <c r="D2507" i="98"/>
  <c r="C2507" i="98"/>
  <c r="G2506" i="98"/>
  <c r="F2506" i="98"/>
  <c r="E2506" i="98"/>
  <c r="D2506" i="98"/>
  <c r="C2506" i="98"/>
  <c r="D2505" i="98"/>
  <c r="G2495" i="98"/>
  <c r="F2495" i="98"/>
  <c r="E2495" i="98"/>
  <c r="D2495" i="98"/>
  <c r="C2495" i="98"/>
  <c r="G2494" i="98"/>
  <c r="E2494" i="98"/>
  <c r="D2494" i="98"/>
  <c r="C2494" i="98"/>
  <c r="G2493" i="98"/>
  <c r="E2493" i="98"/>
  <c r="D2493" i="98"/>
  <c r="C2493" i="98"/>
  <c r="G2492" i="98"/>
  <c r="F2492" i="98"/>
  <c r="E2492" i="98"/>
  <c r="D2492" i="98"/>
  <c r="C2492" i="98"/>
  <c r="G2491" i="98"/>
  <c r="E2491" i="98"/>
  <c r="D2491" i="98"/>
  <c r="C2491" i="98"/>
  <c r="G2490" i="98"/>
  <c r="F2490" i="98"/>
  <c r="E2490" i="98"/>
  <c r="D2490" i="98"/>
  <c r="C2490" i="98"/>
  <c r="G2489" i="98"/>
  <c r="F2489" i="98"/>
  <c r="E2489" i="98"/>
  <c r="D2489" i="98"/>
  <c r="C2489" i="98"/>
  <c r="G2488" i="98"/>
  <c r="F2488" i="98"/>
  <c r="C2488" i="98"/>
  <c r="G2487" i="98"/>
  <c r="F2487" i="98"/>
  <c r="E2487" i="98"/>
  <c r="D2487" i="98"/>
  <c r="C2487" i="98"/>
  <c r="G2486" i="98"/>
  <c r="F2486" i="98"/>
  <c r="E2486" i="98"/>
  <c r="D2486" i="98"/>
  <c r="G2476" i="98"/>
  <c r="F2476" i="98"/>
  <c r="E2476" i="98"/>
  <c r="D2476" i="98"/>
  <c r="C2476" i="98"/>
  <c r="F2475" i="98"/>
  <c r="E2475" i="98"/>
  <c r="D2475" i="98"/>
  <c r="C2475" i="98"/>
  <c r="G2474" i="98"/>
  <c r="F2474" i="98"/>
  <c r="E2474" i="98"/>
  <c r="D2474" i="98"/>
  <c r="C2474" i="98"/>
  <c r="G2473" i="98"/>
  <c r="D2473" i="98"/>
  <c r="G2463" i="98"/>
  <c r="F2463" i="98"/>
  <c r="E2463" i="98"/>
  <c r="D2463" i="98"/>
  <c r="C2463" i="98"/>
  <c r="F2462" i="98"/>
  <c r="E2462" i="98"/>
  <c r="D2462" i="98"/>
  <c r="C2462" i="98"/>
  <c r="G2461" i="98"/>
  <c r="F2461" i="98"/>
  <c r="E2461" i="98"/>
  <c r="D2461" i="98"/>
  <c r="C2461" i="98"/>
  <c r="G2460" i="98"/>
  <c r="D2460" i="98"/>
  <c r="G2450" i="98"/>
  <c r="E2450" i="98"/>
  <c r="D2450" i="98"/>
  <c r="C2450" i="98"/>
  <c r="E2449" i="98"/>
  <c r="D2449" i="98"/>
  <c r="C2449" i="98"/>
  <c r="G2448" i="98"/>
  <c r="F2448" i="98"/>
  <c r="E2448" i="98"/>
  <c r="D2448" i="98"/>
  <c r="C2448" i="98"/>
  <c r="E2447" i="98"/>
  <c r="D2447" i="98"/>
  <c r="C2447" i="98"/>
  <c r="G2446" i="98"/>
  <c r="F2446" i="98"/>
  <c r="E2446" i="98"/>
  <c r="D2446" i="98"/>
  <c r="C2446" i="98"/>
  <c r="F2445" i="98"/>
  <c r="E2445" i="98"/>
  <c r="D2445" i="98"/>
  <c r="C2445" i="98"/>
  <c r="E2444" i="98"/>
  <c r="D2444" i="98"/>
  <c r="C2444" i="98"/>
  <c r="F2443" i="98"/>
  <c r="E2443" i="98"/>
  <c r="D2443" i="98"/>
  <c r="C2443" i="98"/>
  <c r="G2442" i="98"/>
  <c r="F2442" i="98"/>
  <c r="E2442" i="98"/>
  <c r="D2442" i="98"/>
  <c r="C2442" i="98"/>
  <c r="G2441" i="98"/>
  <c r="E2441" i="98"/>
  <c r="D2441" i="98"/>
  <c r="G2431" i="98"/>
  <c r="F2431" i="98"/>
  <c r="E2431" i="98"/>
  <c r="D2431" i="98"/>
  <c r="C2431" i="98"/>
  <c r="G2430" i="98"/>
  <c r="E2430" i="98"/>
  <c r="D2430" i="98"/>
  <c r="C2430" i="98"/>
  <c r="G2429" i="98"/>
  <c r="F2429" i="98"/>
  <c r="E2429" i="98"/>
  <c r="D2429" i="98"/>
  <c r="C2429" i="98"/>
  <c r="F2428" i="98"/>
  <c r="E2428" i="98"/>
  <c r="D2428" i="98"/>
  <c r="C2428" i="98"/>
  <c r="F2427" i="98"/>
  <c r="E2427" i="98"/>
  <c r="D2427" i="98"/>
  <c r="C2427" i="98"/>
  <c r="F2426" i="98"/>
  <c r="E2426" i="98"/>
  <c r="D2426" i="98"/>
  <c r="C2426" i="98"/>
  <c r="G2425" i="98"/>
  <c r="F2425" i="98"/>
  <c r="E2425" i="98"/>
  <c r="D2425" i="98"/>
  <c r="C2425" i="98"/>
  <c r="G2424" i="98"/>
  <c r="D2424" i="98"/>
  <c r="G2414" i="98"/>
  <c r="E2414" i="98"/>
  <c r="D2414" i="98"/>
  <c r="C2414" i="98"/>
  <c r="E2413" i="98"/>
  <c r="D2413" i="98"/>
  <c r="C2413" i="98"/>
  <c r="G2412" i="98"/>
  <c r="E2412" i="98"/>
  <c r="D2412" i="98"/>
  <c r="C2412" i="98"/>
  <c r="G2411" i="98"/>
  <c r="F2411" i="98"/>
  <c r="E2411" i="98"/>
  <c r="D2411" i="98"/>
  <c r="C2411" i="98"/>
  <c r="G2410" i="98"/>
  <c r="E2410" i="98"/>
  <c r="D2410" i="98"/>
  <c r="C2410" i="98"/>
  <c r="G2409" i="98"/>
  <c r="F2409" i="98"/>
  <c r="E2409" i="98"/>
  <c r="D2409" i="98"/>
  <c r="C2409" i="98"/>
  <c r="G2408" i="98"/>
  <c r="E2408" i="98"/>
  <c r="D2408" i="98"/>
  <c r="C2408" i="98"/>
  <c r="G2407" i="98"/>
  <c r="F2407" i="98"/>
  <c r="E2407" i="98"/>
  <c r="D2407" i="98"/>
  <c r="C2407" i="98"/>
  <c r="F2406" i="98"/>
  <c r="E2406" i="98"/>
  <c r="D2406" i="98"/>
  <c r="C2406" i="98"/>
  <c r="F2405" i="98"/>
  <c r="E2405" i="98"/>
  <c r="D2405" i="98"/>
  <c r="C2405" i="98"/>
  <c r="F2404" i="98"/>
  <c r="E2404" i="98"/>
  <c r="D2404" i="98"/>
  <c r="C2404" i="98"/>
  <c r="G2403" i="98"/>
  <c r="F2403" i="98"/>
  <c r="E2403" i="98"/>
  <c r="D2403" i="98"/>
  <c r="C2403" i="98"/>
  <c r="G2402" i="98"/>
  <c r="D2402" i="98"/>
  <c r="G2392" i="98"/>
  <c r="E2392" i="98"/>
  <c r="D2392" i="98"/>
  <c r="C2392" i="98"/>
  <c r="E2391" i="98"/>
  <c r="D2391" i="98"/>
  <c r="C2391" i="98"/>
  <c r="G2390" i="98"/>
  <c r="E2390" i="98"/>
  <c r="D2390" i="98"/>
  <c r="C2390" i="98"/>
  <c r="G2389" i="98"/>
  <c r="F2389" i="98"/>
  <c r="E2389" i="98"/>
  <c r="D2389" i="98"/>
  <c r="C2389" i="98"/>
  <c r="G2388" i="98"/>
  <c r="E2388" i="98"/>
  <c r="D2388" i="98"/>
  <c r="C2388" i="98"/>
  <c r="G2387" i="98"/>
  <c r="F2387" i="98"/>
  <c r="E2387" i="98"/>
  <c r="D2387" i="98"/>
  <c r="C2387" i="98"/>
  <c r="G2386" i="98"/>
  <c r="E2386" i="98"/>
  <c r="D2386" i="98"/>
  <c r="C2386" i="98"/>
  <c r="G2385" i="98"/>
  <c r="F2385" i="98"/>
  <c r="E2385" i="98"/>
  <c r="D2385" i="98"/>
  <c r="C2385" i="98"/>
  <c r="F2384" i="98"/>
  <c r="E2384" i="98"/>
  <c r="D2384" i="98"/>
  <c r="C2384" i="98"/>
  <c r="F2383" i="98"/>
  <c r="E2383" i="98"/>
  <c r="D2383" i="98"/>
  <c r="C2383" i="98"/>
  <c r="F2382" i="98"/>
  <c r="E2382" i="98"/>
  <c r="D2382" i="98"/>
  <c r="C2382" i="98"/>
  <c r="G2381" i="98"/>
  <c r="F2381" i="98"/>
  <c r="E2381" i="98"/>
  <c r="D2381" i="98"/>
  <c r="C2381" i="98"/>
  <c r="G2380" i="98"/>
  <c r="D2380" i="98"/>
  <c r="G2370" i="98"/>
  <c r="F2370" i="98"/>
  <c r="E2370" i="98"/>
  <c r="D2370" i="98"/>
  <c r="C2370" i="98"/>
  <c r="E2369" i="98"/>
  <c r="D2369" i="98"/>
  <c r="C2369" i="98"/>
  <c r="E2368" i="98"/>
  <c r="D2368" i="98"/>
  <c r="C2368" i="98"/>
  <c r="G2367" i="98"/>
  <c r="F2367" i="98"/>
  <c r="E2367" i="98"/>
  <c r="D2367" i="98"/>
  <c r="C2367" i="98"/>
  <c r="E2366" i="98"/>
  <c r="D2366" i="98"/>
  <c r="C2366" i="98"/>
  <c r="G2365" i="98"/>
  <c r="E2365" i="98"/>
  <c r="D2365" i="98"/>
  <c r="G2355" i="98"/>
  <c r="F2355" i="98"/>
  <c r="E2355" i="98"/>
  <c r="D2355" i="98"/>
  <c r="C2355" i="98"/>
  <c r="E2354" i="98"/>
  <c r="D2354" i="98"/>
  <c r="C2354" i="98"/>
  <c r="G2353" i="98"/>
  <c r="F2353" i="98"/>
  <c r="E2353" i="98"/>
  <c r="D2353" i="98"/>
  <c r="C2353" i="98"/>
  <c r="E2352" i="98"/>
  <c r="D2352" i="98"/>
  <c r="C2352" i="98"/>
  <c r="E2351" i="98"/>
  <c r="D2351" i="98"/>
  <c r="G2341" i="98"/>
  <c r="F2341" i="98"/>
  <c r="E2341" i="98"/>
  <c r="D2341" i="98"/>
  <c r="C2341" i="98"/>
  <c r="E2340" i="98"/>
  <c r="D2340" i="98"/>
  <c r="C2340" i="98"/>
  <c r="G2339" i="98"/>
  <c r="F2339" i="98"/>
  <c r="E2339" i="98"/>
  <c r="D2339" i="98"/>
  <c r="C2339" i="98"/>
  <c r="E2338" i="98"/>
  <c r="D2338" i="98"/>
  <c r="C2338" i="98"/>
  <c r="G2337" i="98"/>
  <c r="E2337" i="98"/>
  <c r="D2337" i="98"/>
  <c r="G2327" i="98"/>
  <c r="F2327" i="98"/>
  <c r="E2327" i="98"/>
  <c r="D2327" i="98"/>
  <c r="C2327" i="98"/>
  <c r="E2326" i="98"/>
  <c r="D2326" i="98"/>
  <c r="C2326" i="98"/>
  <c r="E2325" i="98"/>
  <c r="D2325" i="98"/>
  <c r="C2325" i="98"/>
  <c r="E2324" i="98"/>
  <c r="D2324" i="98"/>
  <c r="C2324" i="98"/>
  <c r="G2323" i="98"/>
  <c r="F2323" i="98"/>
  <c r="E2323" i="98"/>
  <c r="D2323" i="98"/>
  <c r="C2323" i="98"/>
  <c r="E2322" i="98"/>
  <c r="D2322" i="98"/>
  <c r="C2322" i="98"/>
  <c r="G2321" i="98"/>
  <c r="F2321" i="98"/>
  <c r="E2321" i="98"/>
  <c r="D2321" i="98"/>
  <c r="C2321" i="98"/>
  <c r="F2320" i="98"/>
  <c r="E2320" i="98"/>
  <c r="D2320" i="98"/>
  <c r="C2320" i="98"/>
  <c r="F2319" i="98"/>
  <c r="E2319" i="98"/>
  <c r="D2319" i="98"/>
  <c r="C2319" i="98"/>
  <c r="E2318" i="98"/>
  <c r="D2318" i="98"/>
  <c r="C2318" i="98"/>
  <c r="F2317" i="98"/>
  <c r="E2317" i="98"/>
  <c r="D2317" i="98"/>
  <c r="C2317" i="98"/>
  <c r="G2316" i="98"/>
  <c r="F2316" i="98"/>
  <c r="E2316" i="98"/>
  <c r="D2316" i="98"/>
  <c r="C2316" i="98"/>
  <c r="E2315" i="98"/>
  <c r="D2315" i="98"/>
  <c r="G2305" i="98"/>
  <c r="F2305" i="98"/>
  <c r="E2305" i="98"/>
  <c r="D2305" i="98"/>
  <c r="C2305" i="98"/>
  <c r="E2304" i="98"/>
  <c r="D2304" i="98"/>
  <c r="C2304" i="98"/>
  <c r="E2303" i="98"/>
  <c r="D2303" i="98"/>
  <c r="C2303" i="98"/>
  <c r="E2302" i="98"/>
  <c r="D2302" i="98"/>
  <c r="C2302" i="98"/>
  <c r="G2301" i="98"/>
  <c r="F2301" i="98"/>
  <c r="E2301" i="98"/>
  <c r="D2301" i="98"/>
  <c r="C2301" i="98"/>
  <c r="E2300" i="98"/>
  <c r="D2300" i="98"/>
  <c r="C2300" i="98"/>
  <c r="G2299" i="98"/>
  <c r="F2299" i="98"/>
  <c r="E2299" i="98"/>
  <c r="D2299" i="98"/>
  <c r="C2299" i="98"/>
  <c r="F2298" i="98"/>
  <c r="E2298" i="98"/>
  <c r="D2298" i="98"/>
  <c r="C2298" i="98"/>
  <c r="F2297" i="98"/>
  <c r="E2297" i="98"/>
  <c r="D2297" i="98"/>
  <c r="C2297" i="98"/>
  <c r="E2296" i="98"/>
  <c r="D2296" i="98"/>
  <c r="C2296" i="98"/>
  <c r="F2295" i="98"/>
  <c r="E2295" i="98"/>
  <c r="D2295" i="98"/>
  <c r="C2295" i="98"/>
  <c r="G2294" i="98"/>
  <c r="F2294" i="98"/>
  <c r="E2294" i="98"/>
  <c r="D2294" i="98"/>
  <c r="C2294" i="98"/>
  <c r="E2293" i="98"/>
  <c r="D2293" i="98"/>
  <c r="G2283" i="98"/>
  <c r="E2283" i="98"/>
  <c r="D2283" i="98"/>
  <c r="C2283" i="98"/>
  <c r="G2282" i="98"/>
  <c r="E2282" i="98"/>
  <c r="D2282" i="98"/>
  <c r="C2282" i="98"/>
  <c r="G2281" i="98"/>
  <c r="F2281" i="98"/>
  <c r="E2281" i="98"/>
  <c r="D2281" i="98"/>
  <c r="C2281" i="98"/>
  <c r="G2280" i="98"/>
  <c r="E2280" i="98"/>
  <c r="D2280" i="98"/>
  <c r="C2280" i="98"/>
  <c r="G2279" i="98"/>
  <c r="F2279" i="98"/>
  <c r="E2279" i="98"/>
  <c r="D2279" i="98"/>
  <c r="C2279" i="98"/>
  <c r="G2278" i="98"/>
  <c r="F2278" i="98"/>
  <c r="C2278" i="98"/>
  <c r="G2277" i="98"/>
  <c r="F2277" i="98"/>
  <c r="E2277" i="98"/>
  <c r="D2277" i="98"/>
  <c r="C2277" i="98"/>
  <c r="G2276" i="98"/>
  <c r="F2276" i="98"/>
  <c r="E2276" i="98"/>
  <c r="D2276" i="98"/>
  <c r="E2266" i="98"/>
  <c r="D2266" i="98"/>
  <c r="C2266" i="98"/>
  <c r="E2265" i="98"/>
  <c r="D2265" i="98"/>
  <c r="C2265" i="98"/>
  <c r="E2264" i="98"/>
  <c r="D2264" i="98"/>
  <c r="C2264" i="98"/>
  <c r="E2263" i="98"/>
  <c r="D2263" i="98"/>
  <c r="C2263" i="98"/>
  <c r="E2262" i="98"/>
  <c r="D2262" i="98"/>
  <c r="C2262" i="98"/>
  <c r="E2261" i="98"/>
  <c r="D2261" i="98"/>
  <c r="C2261" i="98"/>
  <c r="G2260" i="98"/>
  <c r="F2260" i="98"/>
  <c r="E2260" i="98"/>
  <c r="D2260" i="98"/>
  <c r="C2260" i="98"/>
  <c r="E2259" i="98"/>
  <c r="D2259" i="98"/>
  <c r="C2259" i="98"/>
  <c r="G2258" i="98"/>
  <c r="F2258" i="98"/>
  <c r="E2258" i="98"/>
  <c r="D2258" i="98"/>
  <c r="C2258" i="98"/>
  <c r="F2257" i="98"/>
  <c r="E2257" i="98"/>
  <c r="D2257" i="98"/>
  <c r="C2257" i="98"/>
  <c r="E2256" i="98"/>
  <c r="D2256" i="98"/>
  <c r="C2256" i="98"/>
  <c r="F2255" i="98"/>
  <c r="E2255" i="98"/>
  <c r="D2255" i="98"/>
  <c r="C2255" i="98"/>
  <c r="G2254" i="98"/>
  <c r="F2254" i="98"/>
  <c r="E2254" i="98"/>
  <c r="D2254" i="98"/>
  <c r="C2254" i="98"/>
  <c r="E2253" i="98"/>
  <c r="D2253" i="98"/>
  <c r="E2243" i="98"/>
  <c r="D2243" i="98"/>
  <c r="C2243" i="98"/>
  <c r="E2242" i="98"/>
  <c r="D2242" i="98"/>
  <c r="C2242" i="98"/>
  <c r="E2241" i="98"/>
  <c r="D2241" i="98"/>
  <c r="C2241" i="98"/>
  <c r="G2240" i="98"/>
  <c r="F2240" i="98"/>
  <c r="E2240" i="98"/>
  <c r="D2240" i="98"/>
  <c r="C2240" i="98"/>
  <c r="E2239" i="98"/>
  <c r="D2239" i="98"/>
  <c r="C2239" i="98"/>
  <c r="G2238" i="98"/>
  <c r="F2238" i="98"/>
  <c r="E2238" i="98"/>
  <c r="D2238" i="98"/>
  <c r="C2238" i="98"/>
  <c r="G2237" i="98"/>
  <c r="F2237" i="98"/>
  <c r="E2237" i="98"/>
  <c r="D2237" i="98"/>
  <c r="C2237" i="98"/>
  <c r="G2236" i="98"/>
  <c r="E2236" i="98"/>
  <c r="D2236" i="98"/>
  <c r="C2236" i="98"/>
  <c r="G2235" i="98"/>
  <c r="F2235" i="98"/>
  <c r="E2235" i="98"/>
  <c r="D2235" i="98"/>
  <c r="C2235" i="98"/>
  <c r="F2234" i="98"/>
  <c r="E2234" i="98"/>
  <c r="D2234" i="98"/>
  <c r="C2234" i="98"/>
  <c r="F2233" i="98"/>
  <c r="E2233" i="98"/>
  <c r="D2233" i="98"/>
  <c r="C2233" i="98"/>
  <c r="G2232" i="98"/>
  <c r="F2232" i="98"/>
  <c r="E2232" i="98"/>
  <c r="D2232" i="98"/>
  <c r="C2232" i="98"/>
  <c r="G2231" i="98"/>
  <c r="E2231" i="98"/>
  <c r="D2231" i="98"/>
  <c r="G2221" i="98"/>
  <c r="F2221" i="98"/>
  <c r="E2221" i="98"/>
  <c r="D2221" i="98"/>
  <c r="C2221" i="98"/>
  <c r="F2220" i="98"/>
  <c r="E2220" i="98"/>
  <c r="D2220" i="98"/>
  <c r="C2220" i="98"/>
  <c r="G2219" i="98"/>
  <c r="F2219" i="98"/>
  <c r="E2219" i="98"/>
  <c r="D2219" i="98"/>
  <c r="C2219" i="98"/>
  <c r="G2218" i="98"/>
  <c r="D2218" i="98"/>
  <c r="G2208" i="98"/>
  <c r="F2208" i="98"/>
  <c r="E2208" i="98"/>
  <c r="D2208" i="98"/>
  <c r="C2208" i="98"/>
  <c r="F2207" i="98"/>
  <c r="E2207" i="98"/>
  <c r="D2207" i="98"/>
  <c r="C2207" i="98"/>
  <c r="G2206" i="98"/>
  <c r="F2206" i="98"/>
  <c r="E2206" i="98"/>
  <c r="D2206" i="98"/>
  <c r="C2206" i="98"/>
  <c r="G2205" i="98"/>
  <c r="D2205" i="98"/>
  <c r="G2195" i="98"/>
  <c r="F2195" i="98"/>
  <c r="E2195" i="98"/>
  <c r="D2195" i="98"/>
  <c r="C2195" i="98"/>
  <c r="F2194" i="98"/>
  <c r="E2194" i="98"/>
  <c r="D2194" i="98"/>
  <c r="C2194" i="98"/>
  <c r="G2193" i="98"/>
  <c r="F2193" i="98"/>
  <c r="E2193" i="98"/>
  <c r="D2193" i="98"/>
  <c r="C2193" i="98"/>
  <c r="G2192" i="98"/>
  <c r="D2192" i="98"/>
  <c r="G2182" i="98"/>
  <c r="E2182" i="98"/>
  <c r="D2182" i="98"/>
  <c r="C2182" i="98"/>
  <c r="G2181" i="98"/>
  <c r="E2181" i="98"/>
  <c r="D2181" i="98"/>
  <c r="C2181" i="98"/>
  <c r="G2180" i="98"/>
  <c r="F2180" i="98"/>
  <c r="E2180" i="98"/>
  <c r="D2180" i="98"/>
  <c r="C2180" i="98"/>
  <c r="G2179" i="98"/>
  <c r="E2179" i="98"/>
  <c r="D2179" i="98"/>
  <c r="C2179" i="98"/>
  <c r="G2178" i="98"/>
  <c r="F2178" i="98"/>
  <c r="E2178" i="98"/>
  <c r="D2178" i="98"/>
  <c r="C2178" i="98"/>
  <c r="G2177" i="98"/>
  <c r="F2177" i="98"/>
  <c r="C2177" i="98"/>
  <c r="G2176" i="98"/>
  <c r="F2176" i="98"/>
  <c r="E2176" i="98"/>
  <c r="D2176" i="98"/>
  <c r="C2176" i="98"/>
  <c r="G2175" i="98"/>
  <c r="F2175" i="98"/>
  <c r="E2175" i="98"/>
  <c r="D2175" i="98"/>
  <c r="F2165" i="98"/>
  <c r="E2165" i="98"/>
  <c r="D2165" i="98"/>
  <c r="C2165" i="98"/>
  <c r="G2164" i="98"/>
  <c r="F2164" i="98"/>
  <c r="E2164" i="98"/>
  <c r="D2164" i="98"/>
  <c r="C2164" i="98"/>
  <c r="G2163" i="98"/>
  <c r="D2163" i="98"/>
  <c r="C2163" i="98"/>
  <c r="E2153" i="98"/>
  <c r="D2153" i="98"/>
  <c r="C2153" i="98"/>
  <c r="G2152" i="98"/>
  <c r="F2152" i="98"/>
  <c r="E2152" i="98"/>
  <c r="D2152" i="98"/>
  <c r="C2152" i="98"/>
  <c r="E2151" i="98"/>
  <c r="D2151" i="98"/>
  <c r="C2151" i="98"/>
  <c r="F2150" i="98"/>
  <c r="E2150" i="98"/>
  <c r="D2150" i="98"/>
  <c r="C2150" i="98"/>
  <c r="E2149" i="98"/>
  <c r="D2149" i="98"/>
  <c r="C2149" i="98"/>
  <c r="F2148" i="98"/>
  <c r="E2148" i="98"/>
  <c r="D2148" i="98"/>
  <c r="C2148" i="98"/>
  <c r="F2147" i="98"/>
  <c r="E2147" i="98"/>
  <c r="D2147" i="98"/>
  <c r="C2147" i="98"/>
  <c r="F2146" i="98"/>
  <c r="E2146" i="98"/>
  <c r="C2146" i="98"/>
  <c r="G2145" i="98"/>
  <c r="F2145" i="98"/>
  <c r="E2145" i="98"/>
  <c r="D2145" i="98"/>
  <c r="C2145" i="98"/>
  <c r="G2144" i="98"/>
  <c r="F2144" i="98"/>
  <c r="D2144" i="98"/>
  <c r="G2134" i="98"/>
  <c r="F2134" i="98"/>
  <c r="E2134" i="98"/>
  <c r="D2134" i="98"/>
  <c r="C2134" i="98"/>
  <c r="E2133" i="98"/>
  <c r="D2133" i="98"/>
  <c r="C2133" i="98"/>
  <c r="E2132" i="98"/>
  <c r="D2132" i="98"/>
  <c r="C2132" i="98"/>
  <c r="E2131" i="98"/>
  <c r="D2131" i="98"/>
  <c r="C2131" i="98"/>
  <c r="E2130" i="98"/>
  <c r="D2130" i="98"/>
  <c r="C2130" i="98"/>
  <c r="E2129" i="98"/>
  <c r="D2129" i="98"/>
  <c r="C2129" i="98"/>
  <c r="F2128" i="98"/>
  <c r="E2128" i="98"/>
  <c r="D2128" i="98"/>
  <c r="C2128" i="98"/>
  <c r="E2127" i="98"/>
  <c r="D2127" i="98"/>
  <c r="C2127" i="98"/>
  <c r="F2126" i="98"/>
  <c r="E2126" i="98"/>
  <c r="D2126" i="98"/>
  <c r="C2126" i="98"/>
  <c r="G2125" i="98"/>
  <c r="F2125" i="98"/>
  <c r="E2125" i="98"/>
  <c r="D2125" i="98"/>
  <c r="C2125" i="98"/>
  <c r="G2124" i="98"/>
  <c r="E2124" i="98"/>
  <c r="D2124" i="98"/>
  <c r="G2114" i="98"/>
  <c r="F2114" i="98"/>
  <c r="E2114" i="98"/>
  <c r="D2114" i="98"/>
  <c r="C2114" i="98"/>
  <c r="E2113" i="98"/>
  <c r="D2113" i="98"/>
  <c r="C2113" i="98"/>
  <c r="E2112" i="98"/>
  <c r="D2112" i="98"/>
  <c r="C2112" i="98"/>
  <c r="G2111" i="98"/>
  <c r="F2111" i="98"/>
  <c r="E2111" i="98"/>
  <c r="D2111" i="98"/>
  <c r="C2111" i="98"/>
  <c r="E2110" i="98"/>
  <c r="D2110" i="98"/>
  <c r="C2110" i="98"/>
  <c r="F2109" i="98"/>
  <c r="E2109" i="98"/>
  <c r="D2109" i="98"/>
  <c r="C2109" i="98"/>
  <c r="G2108" i="98"/>
  <c r="F2108" i="98"/>
  <c r="E2108" i="98"/>
  <c r="D2108" i="98"/>
  <c r="C2108" i="98"/>
  <c r="G2107" i="98"/>
  <c r="E2107" i="98"/>
  <c r="D2107" i="98"/>
  <c r="G2080" i="98"/>
  <c r="E2080" i="98"/>
  <c r="D2080" i="98"/>
  <c r="C2080" i="98"/>
  <c r="G2079" i="98"/>
  <c r="E2079" i="98"/>
  <c r="D2079" i="98"/>
  <c r="C2079" i="98"/>
  <c r="G2078" i="98"/>
  <c r="E2078" i="98"/>
  <c r="D2078" i="98"/>
  <c r="C2078" i="98"/>
  <c r="G2077" i="98"/>
  <c r="F2077" i="98"/>
  <c r="E2077" i="98"/>
  <c r="D2077" i="98"/>
  <c r="C2077" i="98"/>
  <c r="G2076" i="98"/>
  <c r="E2076" i="98"/>
  <c r="D2076" i="98"/>
  <c r="C2076" i="98"/>
  <c r="G2075" i="98"/>
  <c r="F2075" i="98"/>
  <c r="E2075" i="98"/>
  <c r="D2075" i="98"/>
  <c r="C2075" i="98"/>
  <c r="G2074" i="98"/>
  <c r="F2074" i="98"/>
  <c r="E2074" i="98"/>
  <c r="D2074" i="98"/>
  <c r="C2074" i="98"/>
  <c r="G2073" i="98"/>
  <c r="F2073" i="98"/>
  <c r="E2073" i="98"/>
  <c r="D2073" i="98"/>
  <c r="C2073" i="98"/>
  <c r="G2072" i="98"/>
  <c r="F2072" i="98"/>
  <c r="E2072" i="98"/>
  <c r="D2072" i="98"/>
  <c r="C2072" i="98"/>
  <c r="G2071" i="98"/>
  <c r="E2071" i="98"/>
  <c r="D2071" i="98"/>
  <c r="G2061" i="98"/>
  <c r="E2061" i="98"/>
  <c r="D2061" i="98"/>
  <c r="C2061" i="98"/>
  <c r="G2060" i="98"/>
  <c r="E2060" i="98"/>
  <c r="D2060" i="98"/>
  <c r="C2060" i="98"/>
  <c r="G2059" i="98"/>
  <c r="F2059" i="98"/>
  <c r="E2059" i="98"/>
  <c r="D2059" i="98"/>
  <c r="C2059" i="98"/>
  <c r="G2058" i="98"/>
  <c r="F2058" i="98"/>
  <c r="E2058" i="98"/>
  <c r="D2058" i="98"/>
  <c r="C2058" i="98"/>
  <c r="G2057" i="98"/>
  <c r="E2057" i="98"/>
  <c r="D2057" i="98"/>
  <c r="G2047" i="98"/>
  <c r="F2047" i="98"/>
  <c r="E2047" i="98"/>
  <c r="D2047" i="98"/>
  <c r="C2047" i="98"/>
  <c r="G2046" i="98"/>
  <c r="E2046" i="98"/>
  <c r="D2046" i="98"/>
  <c r="C2046" i="98"/>
  <c r="G2045" i="98"/>
  <c r="E2045" i="98"/>
  <c r="D2045" i="98"/>
  <c r="C2045" i="98"/>
  <c r="G2044" i="98"/>
  <c r="F2044" i="98"/>
  <c r="E2044" i="98"/>
  <c r="D2044" i="98"/>
  <c r="C2044" i="98"/>
  <c r="G2043" i="98"/>
  <c r="E2043" i="98"/>
  <c r="D2043" i="98"/>
  <c r="C2043" i="98"/>
  <c r="G2042" i="98"/>
  <c r="F2042" i="98"/>
  <c r="E2042" i="98"/>
  <c r="D2042" i="98"/>
  <c r="C2042" i="98"/>
  <c r="G2041" i="98"/>
  <c r="E2041" i="98"/>
  <c r="D2041" i="98"/>
  <c r="C2041" i="98"/>
  <c r="G2040" i="98"/>
  <c r="F2040" i="98"/>
  <c r="E2040" i="98"/>
  <c r="D2040" i="98"/>
  <c r="C2040" i="98"/>
  <c r="G2039" i="98"/>
  <c r="F2039" i="98"/>
  <c r="E2039" i="98"/>
  <c r="D2039" i="98"/>
  <c r="C2039" i="98"/>
  <c r="G2038" i="98"/>
  <c r="F2038" i="98"/>
  <c r="E2038" i="98"/>
  <c r="D2038" i="98"/>
  <c r="C2038" i="98"/>
  <c r="G2037" i="98"/>
  <c r="E2037" i="98"/>
  <c r="D2037" i="98"/>
  <c r="C2037" i="98"/>
  <c r="G2036" i="98"/>
  <c r="F2036" i="98"/>
  <c r="E2036" i="98"/>
  <c r="D2036" i="98"/>
  <c r="C2036" i="98"/>
  <c r="G2035" i="98"/>
  <c r="F2035" i="98"/>
  <c r="E2035" i="98"/>
  <c r="D2035" i="98"/>
  <c r="C2035" i="98"/>
  <c r="G2034" i="98"/>
  <c r="F2034" i="98"/>
  <c r="E2034" i="98"/>
  <c r="D2034" i="98"/>
  <c r="C2034" i="98"/>
  <c r="G2033" i="98"/>
  <c r="F2033" i="98"/>
  <c r="E2033" i="98"/>
  <c r="D2033" i="98"/>
  <c r="E2023" i="98"/>
  <c r="D2023" i="98"/>
  <c r="C2023" i="98"/>
  <c r="E2022" i="98"/>
  <c r="D2022" i="98"/>
  <c r="C2022" i="98"/>
  <c r="E2021" i="98"/>
  <c r="D2021" i="98"/>
  <c r="C2021" i="98"/>
  <c r="F2020" i="98"/>
  <c r="E2020" i="98"/>
  <c r="D2020" i="98"/>
  <c r="C2020" i="98"/>
  <c r="E2019" i="98"/>
  <c r="D2019" i="98"/>
  <c r="C2019" i="98"/>
  <c r="F2018" i="98"/>
  <c r="E2018" i="98"/>
  <c r="D2018" i="98"/>
  <c r="C2018" i="98"/>
  <c r="F2017" i="98"/>
  <c r="E2017" i="98"/>
  <c r="D2017" i="98"/>
  <c r="C2017" i="98"/>
  <c r="G2016" i="98"/>
  <c r="F2016" i="98"/>
  <c r="E2016" i="98"/>
  <c r="D2016" i="98"/>
  <c r="C2016" i="98"/>
  <c r="G2015" i="98"/>
  <c r="E2015" i="98"/>
  <c r="D2015" i="98"/>
  <c r="G2005" i="98"/>
  <c r="F2005" i="98"/>
  <c r="E2005" i="98"/>
  <c r="D2005" i="98"/>
  <c r="C2005" i="98"/>
  <c r="E2004" i="98"/>
  <c r="D2004" i="98"/>
  <c r="C2004" i="98"/>
  <c r="E2003" i="98"/>
  <c r="D2003" i="98"/>
  <c r="C2003" i="98"/>
  <c r="E2002" i="98"/>
  <c r="D2002" i="98"/>
  <c r="C2002" i="98"/>
  <c r="F2001" i="98"/>
  <c r="E2001" i="98"/>
  <c r="D2001" i="98"/>
  <c r="C2001" i="98"/>
  <c r="E2000" i="98"/>
  <c r="D2000" i="98"/>
  <c r="C2000" i="98"/>
  <c r="G1999" i="98"/>
  <c r="E1999" i="98"/>
  <c r="D1999" i="98"/>
  <c r="G1977" i="98"/>
  <c r="F1977" i="98"/>
  <c r="E1977" i="98"/>
  <c r="D1977" i="98"/>
  <c r="C1977" i="98"/>
  <c r="E1976" i="98"/>
  <c r="D1976" i="98"/>
  <c r="C1976" i="98"/>
  <c r="E1975" i="98"/>
  <c r="D1975" i="98"/>
  <c r="C1975" i="98"/>
  <c r="E1974" i="98"/>
  <c r="D1974" i="98"/>
  <c r="C1974" i="98"/>
  <c r="G1973" i="98"/>
  <c r="F1973" i="98"/>
  <c r="E1973" i="98"/>
  <c r="D1973" i="98"/>
  <c r="C1973" i="98"/>
  <c r="E1972" i="98"/>
  <c r="D1972" i="98"/>
  <c r="C1972" i="98"/>
  <c r="G1971" i="98"/>
  <c r="F1971" i="98"/>
  <c r="E1971" i="98"/>
  <c r="D1971" i="98"/>
  <c r="C1971" i="98"/>
  <c r="G1970" i="98"/>
  <c r="F1970" i="98"/>
  <c r="E1970" i="98"/>
  <c r="D1970" i="98"/>
  <c r="C1970" i="98"/>
  <c r="G1969" i="98"/>
  <c r="F1969" i="98"/>
  <c r="E1969" i="98"/>
  <c r="D1969" i="98"/>
  <c r="C1969" i="98"/>
  <c r="G1968" i="98"/>
  <c r="F1968" i="98"/>
  <c r="E1968" i="98"/>
  <c r="D1968" i="98"/>
  <c r="C1968" i="98"/>
  <c r="F1967" i="98"/>
  <c r="E1967" i="98"/>
  <c r="C1967" i="98"/>
  <c r="G1966" i="98"/>
  <c r="F1966" i="98"/>
  <c r="E1966" i="98"/>
  <c r="C1966" i="98"/>
  <c r="F1965" i="98"/>
  <c r="E1965" i="98"/>
  <c r="C1965" i="98"/>
  <c r="E1964" i="98"/>
  <c r="C1964" i="98"/>
  <c r="F1963" i="98"/>
  <c r="E1963" i="98"/>
  <c r="C1963" i="98"/>
  <c r="G1962" i="98"/>
  <c r="F1962" i="98"/>
  <c r="E1962" i="98"/>
  <c r="C1962" i="98"/>
  <c r="G1961" i="98"/>
  <c r="E1961" i="98"/>
  <c r="D1961" i="98"/>
  <c r="G1951" i="98"/>
  <c r="F1951" i="98"/>
  <c r="E1951" i="98"/>
  <c r="D1951" i="98"/>
  <c r="C1951" i="98"/>
  <c r="G1950" i="98"/>
  <c r="E1950" i="98"/>
  <c r="D1950" i="98"/>
  <c r="C1950" i="98"/>
  <c r="G1949" i="98"/>
  <c r="E1949" i="98"/>
  <c r="D1949" i="98"/>
  <c r="C1949" i="98"/>
  <c r="G1948" i="98"/>
  <c r="F1948" i="98"/>
  <c r="E1948" i="98"/>
  <c r="D1948" i="98"/>
  <c r="C1948" i="98"/>
  <c r="G1947" i="98"/>
  <c r="E1947" i="98"/>
  <c r="D1947" i="98"/>
  <c r="C1947" i="98"/>
  <c r="G1946" i="98"/>
  <c r="F1946" i="98"/>
  <c r="E1946" i="98"/>
  <c r="D1946" i="98"/>
  <c r="C1946" i="98"/>
  <c r="G1945" i="98"/>
  <c r="F1945" i="98"/>
  <c r="C1945" i="98"/>
  <c r="G1944" i="98"/>
  <c r="F1944" i="98"/>
  <c r="E1944" i="98"/>
  <c r="D1944" i="98"/>
  <c r="C1944" i="98"/>
  <c r="G1943" i="98"/>
  <c r="F1943" i="98"/>
  <c r="E1943" i="98"/>
  <c r="D1943" i="98"/>
  <c r="G1933" i="98"/>
  <c r="E1933" i="98"/>
  <c r="D1933" i="98"/>
  <c r="C1933" i="98"/>
  <c r="G1932" i="98"/>
  <c r="F1932" i="98"/>
  <c r="E1932" i="98"/>
  <c r="D1932" i="98"/>
  <c r="C1932" i="98"/>
  <c r="G1931" i="98"/>
  <c r="E1931" i="98"/>
  <c r="D1931" i="98"/>
  <c r="C1931" i="98"/>
  <c r="G1930" i="98"/>
  <c r="F1930" i="98"/>
  <c r="E1930" i="98"/>
  <c r="D1930" i="98"/>
  <c r="C1930" i="98"/>
  <c r="G1929" i="98"/>
  <c r="F1929" i="98"/>
  <c r="E1929" i="98"/>
  <c r="D1929" i="98"/>
  <c r="C1929" i="98"/>
  <c r="G1928" i="98"/>
  <c r="F1928" i="98"/>
  <c r="E1928" i="98"/>
  <c r="D1928" i="98"/>
  <c r="C1928" i="98"/>
  <c r="G1927" i="98"/>
  <c r="F1927" i="98"/>
  <c r="E1927" i="98"/>
  <c r="D1927" i="98"/>
  <c r="G1917" i="98"/>
  <c r="E1917" i="98"/>
  <c r="D1917" i="98"/>
  <c r="C1917" i="98"/>
  <c r="G1916" i="98"/>
  <c r="F1916" i="98"/>
  <c r="E1916" i="98"/>
  <c r="D1916" i="98"/>
  <c r="C1916" i="98"/>
  <c r="G1915" i="98"/>
  <c r="F1915" i="98"/>
  <c r="C1915" i="98"/>
  <c r="G1914" i="98"/>
  <c r="F1914" i="98"/>
  <c r="E1914" i="98"/>
  <c r="D1914" i="98"/>
  <c r="C1914" i="98"/>
  <c r="G1913" i="98"/>
  <c r="F1913" i="98"/>
  <c r="E1913" i="98"/>
  <c r="D1913" i="98"/>
  <c r="C1913" i="98"/>
  <c r="G1912" i="98"/>
  <c r="F1912" i="98"/>
  <c r="E1912" i="98"/>
  <c r="D1912" i="98"/>
  <c r="E1891" i="98"/>
  <c r="D1891" i="98"/>
  <c r="C1891" i="98"/>
  <c r="G1890" i="98"/>
  <c r="F1890" i="98"/>
  <c r="E1890" i="98"/>
  <c r="D1890" i="98"/>
  <c r="C1890" i="98"/>
  <c r="F1889" i="98"/>
  <c r="E1889" i="98"/>
  <c r="D1889" i="98"/>
  <c r="C1889" i="98"/>
  <c r="E1888" i="98"/>
  <c r="D1888" i="98"/>
  <c r="C1888" i="98"/>
  <c r="F1887" i="98"/>
  <c r="E1887" i="98"/>
  <c r="D1887" i="98"/>
  <c r="C1887" i="98"/>
  <c r="G1886" i="98"/>
  <c r="F1886" i="98"/>
  <c r="E1886" i="98"/>
  <c r="D1886" i="98"/>
  <c r="C1886" i="98"/>
  <c r="G1885" i="98"/>
  <c r="E1885" i="98"/>
  <c r="D1885" i="98"/>
  <c r="C1885" i="98"/>
  <c r="G1875" i="98"/>
  <c r="E1875" i="98"/>
  <c r="D1875" i="98"/>
  <c r="C1875" i="98"/>
  <c r="G1874" i="98"/>
  <c r="F1874" i="98"/>
  <c r="E1874" i="98"/>
  <c r="D1874" i="98"/>
  <c r="C1874" i="98"/>
  <c r="G1873" i="98"/>
  <c r="E1873" i="98"/>
  <c r="D1873" i="98"/>
  <c r="C1873" i="98"/>
  <c r="G1872" i="98"/>
  <c r="F1872" i="98"/>
  <c r="E1872" i="98"/>
  <c r="D1872" i="98"/>
  <c r="C1872" i="98"/>
  <c r="G1871" i="98"/>
  <c r="E1871" i="98"/>
  <c r="D1871" i="98"/>
  <c r="C1871" i="98"/>
  <c r="G1870" i="98"/>
  <c r="F1870" i="98"/>
  <c r="E1870" i="98"/>
  <c r="D1870" i="98"/>
  <c r="C1870" i="98"/>
  <c r="G1869" i="98"/>
  <c r="F1869" i="98"/>
  <c r="E1869" i="98"/>
  <c r="D1869" i="98"/>
  <c r="C1869" i="98"/>
  <c r="G1859" i="98"/>
  <c r="E1859" i="98"/>
  <c r="D1859" i="98"/>
  <c r="C1859" i="98"/>
  <c r="G1858" i="98"/>
  <c r="F1858" i="98"/>
  <c r="E1858" i="98"/>
  <c r="D1858" i="98"/>
  <c r="C1858" i="98"/>
  <c r="G1857" i="98"/>
  <c r="F1857" i="98"/>
  <c r="E1857" i="98"/>
  <c r="D1857" i="98"/>
  <c r="C1857" i="98"/>
  <c r="G1856" i="98"/>
  <c r="F1856" i="98"/>
  <c r="E1856" i="98"/>
  <c r="D1856" i="98"/>
  <c r="C1856" i="98"/>
  <c r="G1855" i="98"/>
  <c r="F1855" i="98"/>
  <c r="E1855" i="98"/>
  <c r="D1855" i="98"/>
  <c r="C1855" i="98"/>
  <c r="G1854" i="98"/>
  <c r="F1854" i="98"/>
  <c r="E1854" i="98"/>
  <c r="D1854" i="98"/>
  <c r="G1844" i="98"/>
  <c r="E1844" i="98"/>
  <c r="D1844" i="98"/>
  <c r="C1844" i="98"/>
  <c r="G1843" i="98"/>
  <c r="F1843" i="98"/>
  <c r="E1843" i="98"/>
  <c r="D1843" i="98"/>
  <c r="C1843" i="98"/>
  <c r="G1842" i="98"/>
  <c r="F1842" i="98"/>
  <c r="E1842" i="98"/>
  <c r="D1842" i="98"/>
  <c r="C1842" i="98"/>
  <c r="G1841" i="98"/>
  <c r="F1841" i="98"/>
  <c r="E1841" i="98"/>
  <c r="D1841" i="98"/>
  <c r="C1841" i="98"/>
  <c r="G1840" i="98"/>
  <c r="F1840" i="98"/>
  <c r="E1840" i="98"/>
  <c r="D1840" i="98"/>
  <c r="C1840" i="98"/>
  <c r="G1839" i="98"/>
  <c r="F1839" i="98"/>
  <c r="E1839" i="98"/>
  <c r="D1839" i="98"/>
  <c r="G1829" i="98"/>
  <c r="E1829" i="98"/>
  <c r="D1829" i="98"/>
  <c r="C1829" i="98"/>
  <c r="G1828" i="98"/>
  <c r="F1828" i="98"/>
  <c r="E1828" i="98"/>
  <c r="D1828" i="98"/>
  <c r="C1828" i="98"/>
  <c r="G1827" i="98"/>
  <c r="E1827" i="98"/>
  <c r="D1827" i="98"/>
  <c r="C1827" i="98"/>
  <c r="G1826" i="98"/>
  <c r="F1826" i="98"/>
  <c r="E1826" i="98"/>
  <c r="D1826" i="98"/>
  <c r="C1826" i="98"/>
  <c r="G1825" i="98"/>
  <c r="F1825" i="98"/>
  <c r="E1825" i="98"/>
  <c r="D1825" i="98"/>
  <c r="C1825" i="98"/>
  <c r="G1824" i="98"/>
  <c r="F1824" i="98"/>
  <c r="C1824" i="98"/>
  <c r="G1823" i="98"/>
  <c r="F1823" i="98"/>
  <c r="E1823" i="98"/>
  <c r="D1823" i="98"/>
  <c r="C1823" i="98"/>
  <c r="G1822" i="98"/>
  <c r="F1822" i="98"/>
  <c r="D1822" i="98"/>
  <c r="G1812" i="98"/>
  <c r="E1812" i="98"/>
  <c r="D1812" i="98"/>
  <c r="C1812" i="98"/>
  <c r="G1811" i="98"/>
  <c r="E1811" i="98"/>
  <c r="D1811" i="98"/>
  <c r="C1811" i="98"/>
  <c r="G1810" i="98"/>
  <c r="E1810" i="98"/>
  <c r="D1810" i="98"/>
  <c r="C1810" i="98"/>
  <c r="G1809" i="98"/>
  <c r="F1809" i="98"/>
  <c r="E1809" i="98"/>
  <c r="D1809" i="98"/>
  <c r="C1809" i="98"/>
  <c r="E1808" i="98"/>
  <c r="D1808" i="98"/>
  <c r="C1808" i="98"/>
  <c r="G1807" i="98"/>
  <c r="E1807" i="98"/>
  <c r="D1807" i="98"/>
  <c r="C1807" i="98"/>
  <c r="G1806" i="98"/>
  <c r="E1806" i="98"/>
  <c r="D1806" i="98"/>
  <c r="C1806" i="98"/>
  <c r="G1805" i="98"/>
  <c r="F1805" i="98"/>
  <c r="E1805" i="98"/>
  <c r="D1805" i="98"/>
  <c r="C1805" i="98"/>
  <c r="G1804" i="98"/>
  <c r="F1804" i="98"/>
  <c r="E1804" i="98"/>
  <c r="D1804" i="98"/>
  <c r="C1804" i="98"/>
  <c r="G1803" i="98"/>
  <c r="F1803" i="98"/>
  <c r="E1803" i="98"/>
  <c r="D1803" i="98"/>
  <c r="C1803" i="98"/>
  <c r="G1802" i="98"/>
  <c r="F1802" i="98"/>
  <c r="E1802" i="98"/>
  <c r="D1802" i="98"/>
  <c r="C1802" i="98"/>
  <c r="G1801" i="98"/>
  <c r="F1801" i="98"/>
  <c r="E1801" i="98"/>
  <c r="D1801" i="98"/>
  <c r="C1801" i="98"/>
  <c r="G1800" i="98"/>
  <c r="E1800" i="98"/>
  <c r="D1800" i="98"/>
  <c r="G1790" i="98"/>
  <c r="E1790" i="98"/>
  <c r="D1790" i="98"/>
  <c r="C1790" i="98"/>
  <c r="G1789" i="98"/>
  <c r="F1789" i="98"/>
  <c r="E1789" i="98"/>
  <c r="D1789" i="98"/>
  <c r="C1789" i="98"/>
  <c r="G1788" i="98"/>
  <c r="E1788" i="98"/>
  <c r="D1788" i="98"/>
  <c r="C1788" i="98"/>
  <c r="G1787" i="98"/>
  <c r="F1787" i="98"/>
  <c r="E1787" i="98"/>
  <c r="D1787" i="98"/>
  <c r="C1787" i="98"/>
  <c r="G1786" i="98"/>
  <c r="F1786" i="98"/>
  <c r="E1786" i="98"/>
  <c r="D1786" i="98"/>
  <c r="C1786" i="98"/>
  <c r="G1785" i="98"/>
  <c r="F1785" i="98"/>
  <c r="E1785" i="98"/>
  <c r="D1785" i="98"/>
  <c r="C1785" i="98"/>
  <c r="G1784" i="98"/>
  <c r="E1784" i="98"/>
  <c r="D1784" i="98"/>
  <c r="G1774" i="98"/>
  <c r="E1774" i="98"/>
  <c r="D1774" i="98"/>
  <c r="C1774" i="98"/>
  <c r="G1773" i="98"/>
  <c r="E1773" i="98"/>
  <c r="D1773" i="98"/>
  <c r="C1773" i="98"/>
  <c r="G1772" i="98"/>
  <c r="F1772" i="98"/>
  <c r="E1772" i="98"/>
  <c r="D1772" i="98"/>
  <c r="C1772" i="98"/>
  <c r="G1771" i="98"/>
  <c r="E1771" i="98"/>
  <c r="D1771" i="98"/>
  <c r="C1771" i="98"/>
  <c r="G1770" i="98"/>
  <c r="F1770" i="98"/>
  <c r="E1770" i="98"/>
  <c r="D1770" i="98"/>
  <c r="C1770" i="98"/>
  <c r="G1769" i="98"/>
  <c r="F1769" i="98"/>
  <c r="E1769" i="98"/>
  <c r="D1769" i="98"/>
  <c r="C1769" i="98"/>
  <c r="G1768" i="98"/>
  <c r="F1768" i="98"/>
  <c r="E1768" i="98"/>
  <c r="D1768" i="98"/>
  <c r="C1768" i="98"/>
  <c r="G1767" i="98"/>
  <c r="F1767" i="98"/>
  <c r="E1767" i="98"/>
  <c r="D1767" i="98"/>
  <c r="C1767" i="98"/>
  <c r="G1766" i="98"/>
  <c r="E1766" i="98"/>
  <c r="D1766" i="98"/>
  <c r="G1756" i="98"/>
  <c r="F1756" i="98"/>
  <c r="E1756" i="98"/>
  <c r="D1756" i="98"/>
  <c r="C1756" i="98"/>
  <c r="G1755" i="98"/>
  <c r="E1755" i="98"/>
  <c r="D1755" i="98"/>
  <c r="C1755" i="98"/>
  <c r="G1754" i="98"/>
  <c r="E1754" i="98"/>
  <c r="D1754" i="98"/>
  <c r="C1754" i="98"/>
  <c r="G1753" i="98"/>
  <c r="F1753" i="98"/>
  <c r="E1753" i="98"/>
  <c r="D1753" i="98"/>
  <c r="C1753" i="98"/>
  <c r="G1752" i="98"/>
  <c r="E1752" i="98"/>
  <c r="D1752" i="98"/>
  <c r="C1752" i="98"/>
  <c r="G1751" i="98"/>
  <c r="F1751" i="98"/>
  <c r="E1751" i="98"/>
  <c r="D1751" i="98"/>
  <c r="C1751" i="98"/>
  <c r="G1750" i="98"/>
  <c r="F1750" i="98"/>
  <c r="C1750" i="98"/>
  <c r="G1749" i="98"/>
  <c r="F1749" i="98"/>
  <c r="E1749" i="98"/>
  <c r="D1749" i="98"/>
  <c r="C1749" i="98"/>
  <c r="G1748" i="98"/>
  <c r="F1748" i="98"/>
  <c r="E1748" i="98"/>
  <c r="D1748" i="98"/>
  <c r="E1738" i="98"/>
  <c r="D1738" i="98"/>
  <c r="C1738" i="98"/>
  <c r="G1737" i="98"/>
  <c r="F1737" i="98"/>
  <c r="E1737" i="98"/>
  <c r="D1737" i="98"/>
  <c r="E1727" i="98"/>
  <c r="D1727" i="98"/>
  <c r="C1727" i="98"/>
  <c r="G1726" i="98"/>
  <c r="F1726" i="98"/>
  <c r="E1726" i="98"/>
  <c r="D1726" i="98"/>
  <c r="C1726" i="98"/>
  <c r="G1725" i="98"/>
  <c r="E1725" i="98"/>
  <c r="D1725" i="98"/>
  <c r="C1725" i="98"/>
  <c r="G1724" i="98"/>
  <c r="F1724" i="98"/>
  <c r="E1724" i="98"/>
  <c r="D1724" i="98"/>
  <c r="C1724" i="98"/>
  <c r="G1723" i="98"/>
  <c r="E1723" i="98"/>
  <c r="D1723" i="98"/>
  <c r="C1723" i="98"/>
  <c r="G1722" i="98"/>
  <c r="F1722" i="98"/>
  <c r="E1722" i="98"/>
  <c r="D1722" i="98"/>
  <c r="C1722" i="98"/>
  <c r="G1721" i="98"/>
  <c r="F1721" i="98"/>
  <c r="E1721" i="98"/>
  <c r="D1721" i="98"/>
  <c r="C1721" i="98"/>
  <c r="G1711" i="98"/>
  <c r="F1711" i="98"/>
  <c r="E1711" i="98"/>
  <c r="D1711" i="98"/>
  <c r="C1711" i="98"/>
  <c r="G1710" i="98"/>
  <c r="E1710" i="98"/>
  <c r="D1710" i="98"/>
  <c r="C1710" i="98"/>
  <c r="G1709" i="98"/>
  <c r="E1709" i="98"/>
  <c r="D1709" i="98"/>
  <c r="C1709" i="98"/>
  <c r="G1708" i="98"/>
  <c r="E1708" i="98"/>
  <c r="D1708" i="98"/>
  <c r="C1708" i="98"/>
  <c r="G1707" i="98"/>
  <c r="E1707" i="98"/>
  <c r="D1707" i="98"/>
  <c r="C1707" i="98"/>
  <c r="G1706" i="98"/>
  <c r="E1706" i="98"/>
  <c r="D1706" i="98"/>
  <c r="C1706" i="98"/>
  <c r="G1705" i="98"/>
  <c r="E1705" i="98"/>
  <c r="D1705" i="98"/>
  <c r="C1705" i="98"/>
  <c r="G1704" i="98"/>
  <c r="E1704" i="98"/>
  <c r="D1704" i="98"/>
  <c r="C1704" i="98"/>
  <c r="G1703" i="98"/>
  <c r="E1703" i="98"/>
  <c r="D1703" i="98"/>
  <c r="C1703" i="98"/>
  <c r="G1702" i="98"/>
  <c r="E1702" i="98"/>
  <c r="D1702" i="98"/>
  <c r="C1702" i="98"/>
  <c r="G1701" i="98"/>
  <c r="E1701" i="98"/>
  <c r="D1701" i="98"/>
  <c r="C1701" i="98"/>
  <c r="G1700" i="98"/>
  <c r="E1700" i="98"/>
  <c r="D1700" i="98"/>
  <c r="C1700" i="98"/>
  <c r="G1699" i="98"/>
  <c r="F1699" i="98"/>
  <c r="E1699" i="98"/>
  <c r="D1699" i="98"/>
  <c r="C1699" i="98"/>
  <c r="G1698" i="98"/>
  <c r="E1698" i="98"/>
  <c r="D1698" i="98"/>
  <c r="C1698" i="98"/>
  <c r="G1697" i="98"/>
  <c r="F1697" i="98"/>
  <c r="E1697" i="98"/>
  <c r="D1697" i="98"/>
  <c r="C1697" i="98"/>
  <c r="G1696" i="98"/>
  <c r="F1696" i="98"/>
  <c r="E1696" i="98"/>
  <c r="D1696" i="98"/>
  <c r="C1696" i="98"/>
  <c r="G1695" i="98"/>
  <c r="F1695" i="98"/>
  <c r="E1695" i="98"/>
  <c r="D1695" i="98"/>
  <c r="C1695" i="98"/>
  <c r="G1694" i="98"/>
  <c r="F1694" i="98"/>
  <c r="E1694" i="98"/>
  <c r="D1694" i="98"/>
  <c r="C1694" i="98"/>
  <c r="G1693" i="98"/>
  <c r="F1693" i="98"/>
  <c r="E1693" i="98"/>
  <c r="D1693" i="98"/>
  <c r="C1693" i="98"/>
  <c r="G1692" i="98"/>
  <c r="E1692" i="98"/>
  <c r="D1692" i="98"/>
  <c r="C1692" i="98"/>
  <c r="G1691" i="98"/>
  <c r="F1691" i="98"/>
  <c r="E1691" i="98"/>
  <c r="D1691" i="98"/>
  <c r="C1691" i="98"/>
  <c r="G1690" i="98"/>
  <c r="E1690" i="98"/>
  <c r="D1690" i="98"/>
  <c r="C1690" i="98"/>
  <c r="G1689" i="98"/>
  <c r="F1689" i="98"/>
  <c r="E1689" i="98"/>
  <c r="D1689" i="98"/>
  <c r="C1689" i="98"/>
  <c r="G1688" i="98"/>
  <c r="F1688" i="98"/>
  <c r="E1688" i="98"/>
  <c r="D1688" i="98"/>
  <c r="C1688" i="98"/>
  <c r="G1687" i="98"/>
  <c r="F1687" i="98"/>
  <c r="E1687" i="98"/>
  <c r="D1687" i="98"/>
  <c r="C1687" i="98"/>
  <c r="G1686" i="98"/>
  <c r="E1686" i="98"/>
  <c r="D1686" i="98"/>
  <c r="C1686" i="98"/>
  <c r="G1685" i="98"/>
  <c r="F1685" i="98"/>
  <c r="E1685" i="98"/>
  <c r="C1685" i="98"/>
  <c r="G1684" i="98"/>
  <c r="F1684" i="98"/>
  <c r="E1684" i="98"/>
  <c r="D1684" i="98"/>
  <c r="C1684" i="98"/>
  <c r="G1683" i="98"/>
  <c r="F1683" i="98"/>
  <c r="E1683" i="98"/>
  <c r="C1683" i="98"/>
  <c r="G1673" i="98"/>
  <c r="E1673" i="98"/>
  <c r="D1673" i="98"/>
  <c r="C1673" i="98"/>
  <c r="G1672" i="98"/>
  <c r="F1672" i="98"/>
  <c r="E1672" i="98"/>
  <c r="D1672" i="98"/>
  <c r="C1672" i="98"/>
  <c r="G1671" i="98"/>
  <c r="F1671" i="98"/>
  <c r="E1671" i="98"/>
  <c r="D1671" i="98"/>
  <c r="C1671" i="98"/>
  <c r="G1670" i="98"/>
  <c r="F1670" i="98"/>
  <c r="E1670" i="98"/>
  <c r="D1670" i="98"/>
  <c r="C1670" i="98"/>
  <c r="G1669" i="98"/>
  <c r="F1669" i="98"/>
  <c r="E1669" i="98"/>
  <c r="D1669" i="98"/>
  <c r="E1659" i="98"/>
  <c r="D1659" i="98"/>
  <c r="C1659" i="98"/>
  <c r="G1658" i="98"/>
  <c r="F1658" i="98"/>
  <c r="E1658" i="98"/>
  <c r="D1658" i="98"/>
  <c r="C1658" i="98"/>
  <c r="G1657" i="98"/>
  <c r="F1657" i="98"/>
  <c r="E1657" i="98"/>
  <c r="G1647" i="98"/>
  <c r="E1647" i="98"/>
  <c r="D1647" i="98"/>
  <c r="C1647" i="98"/>
  <c r="G1646" i="98"/>
  <c r="E1646" i="98"/>
  <c r="D1646" i="98"/>
  <c r="C1646" i="98"/>
  <c r="G1645" i="98"/>
  <c r="F1645" i="98"/>
  <c r="E1645" i="98"/>
  <c r="D1645" i="98"/>
  <c r="C1645" i="98"/>
  <c r="G1644" i="98"/>
  <c r="E1644" i="98"/>
  <c r="D1644" i="98"/>
  <c r="C1644" i="98"/>
  <c r="G1643" i="98"/>
  <c r="F1643" i="98"/>
  <c r="D1643" i="98"/>
  <c r="G1622" i="98"/>
  <c r="F1622" i="98"/>
  <c r="E1622" i="98"/>
  <c r="D1622" i="98"/>
  <c r="C1622" i="98"/>
  <c r="G1621" i="98"/>
  <c r="E1621" i="98"/>
  <c r="D1621" i="98"/>
  <c r="C1621" i="98"/>
  <c r="G1620" i="98"/>
  <c r="F1620" i="98"/>
  <c r="E1620" i="98"/>
  <c r="D1620" i="98"/>
  <c r="C1620" i="98"/>
  <c r="G1619" i="98"/>
  <c r="E1619" i="98"/>
  <c r="D1619" i="98"/>
  <c r="C1619" i="98"/>
  <c r="G1618" i="98"/>
  <c r="F1618" i="98"/>
  <c r="E1618" i="98"/>
  <c r="D1618" i="98"/>
  <c r="C1618" i="98"/>
  <c r="G1617" i="98"/>
  <c r="F1617" i="98"/>
  <c r="E1617" i="98"/>
  <c r="D1617" i="98"/>
  <c r="C1617" i="98"/>
  <c r="G1616" i="98"/>
  <c r="F1616" i="98"/>
  <c r="E1616" i="98"/>
  <c r="D1616" i="98"/>
  <c r="C1616" i="98"/>
  <c r="G1615" i="98"/>
  <c r="F1615" i="98"/>
  <c r="E1615" i="98"/>
  <c r="D1615" i="98"/>
  <c r="C1615" i="98"/>
  <c r="G1614" i="98"/>
  <c r="F1614" i="98"/>
  <c r="E1614" i="98"/>
  <c r="D1614" i="98"/>
  <c r="C1614" i="98"/>
  <c r="G1613" i="98"/>
  <c r="F1613" i="98"/>
  <c r="E1613" i="98"/>
  <c r="D1613" i="98"/>
  <c r="G1603" i="98"/>
  <c r="E1603" i="98"/>
  <c r="D1603" i="98"/>
  <c r="C1603" i="98"/>
  <c r="G1602" i="98"/>
  <c r="F1602" i="98"/>
  <c r="E1602" i="98"/>
  <c r="D1602" i="98"/>
  <c r="C1602" i="98"/>
  <c r="G1601" i="98"/>
  <c r="E1601" i="98"/>
  <c r="D1601" i="98"/>
  <c r="C1601" i="98"/>
  <c r="G1600" i="98"/>
  <c r="F1600" i="98"/>
  <c r="E1600" i="98"/>
  <c r="D1600" i="98"/>
  <c r="C1600" i="98"/>
  <c r="G1599" i="98"/>
  <c r="F1599" i="98"/>
  <c r="E1599" i="98"/>
  <c r="D1599" i="98"/>
  <c r="C1599" i="98"/>
  <c r="G1598" i="98"/>
  <c r="F1598" i="98"/>
  <c r="E1598" i="98"/>
  <c r="D1598" i="98"/>
  <c r="C1598" i="98"/>
  <c r="G1597" i="98"/>
  <c r="E1597" i="98"/>
  <c r="D1597" i="98"/>
  <c r="G1587" i="98"/>
  <c r="E1587" i="98"/>
  <c r="D1587" i="98"/>
  <c r="C1587" i="98"/>
  <c r="G1586" i="98"/>
  <c r="F1586" i="98"/>
  <c r="E1586" i="98"/>
  <c r="D1586" i="98"/>
  <c r="C1586" i="98"/>
  <c r="G1585" i="98"/>
  <c r="E1585" i="98"/>
  <c r="D1585" i="98"/>
  <c r="C1585" i="98"/>
  <c r="G1584" i="98"/>
  <c r="F1584" i="98"/>
  <c r="E1584" i="98"/>
  <c r="D1584" i="98"/>
  <c r="C1584" i="98"/>
  <c r="G1583" i="98"/>
  <c r="F1583" i="98"/>
  <c r="C1583" i="98"/>
  <c r="G1582" i="98"/>
  <c r="F1582" i="98"/>
  <c r="E1582" i="98"/>
  <c r="D1582" i="98"/>
  <c r="C1582" i="98"/>
  <c r="G1581" i="98"/>
  <c r="F1581" i="98"/>
  <c r="E1581" i="98"/>
  <c r="D1581" i="98"/>
  <c r="G1571" i="98"/>
  <c r="F1571" i="98"/>
  <c r="E1571" i="98"/>
  <c r="D1571" i="98"/>
  <c r="C1571" i="98"/>
  <c r="G1570" i="98"/>
  <c r="E1570" i="98"/>
  <c r="D1570" i="98"/>
  <c r="C1570" i="98"/>
  <c r="G1569" i="98"/>
  <c r="E1569" i="98"/>
  <c r="D1569" i="98"/>
  <c r="C1569" i="98"/>
  <c r="G1568" i="98"/>
  <c r="F1568" i="98"/>
  <c r="E1568" i="98"/>
  <c r="D1568" i="98"/>
  <c r="C1568" i="98"/>
  <c r="G1567" i="98"/>
  <c r="E1567" i="98"/>
  <c r="D1567" i="98"/>
  <c r="C1567" i="98"/>
  <c r="G1566" i="98"/>
  <c r="F1566" i="98"/>
  <c r="E1566" i="98"/>
  <c r="D1566" i="98"/>
  <c r="C1566" i="98"/>
  <c r="G1565" i="98"/>
  <c r="F1565" i="98"/>
  <c r="E1565" i="98"/>
  <c r="D1565" i="98"/>
  <c r="C1565" i="98"/>
  <c r="G1564" i="98"/>
  <c r="F1564" i="98"/>
  <c r="E1564" i="98"/>
  <c r="D1564" i="98"/>
  <c r="C1564" i="98"/>
  <c r="G1563" i="98"/>
  <c r="F1563" i="98"/>
  <c r="E1563" i="98"/>
  <c r="D1563" i="98"/>
  <c r="C1563" i="98"/>
  <c r="G1562" i="98"/>
  <c r="F1562" i="98"/>
  <c r="E1562" i="98"/>
  <c r="D1562" i="98"/>
  <c r="C1562" i="98"/>
  <c r="G1561" i="98"/>
  <c r="F1561" i="98"/>
  <c r="E1561" i="98"/>
  <c r="D1561" i="98"/>
  <c r="C1561" i="98"/>
  <c r="G1560" i="98"/>
  <c r="F1560" i="98"/>
  <c r="E1560" i="98"/>
  <c r="D1560" i="98"/>
  <c r="G1550" i="98"/>
  <c r="F1550" i="98"/>
  <c r="E1550" i="98"/>
  <c r="D1550" i="98"/>
  <c r="C1550" i="98"/>
  <c r="G1549" i="98"/>
  <c r="E1549" i="98"/>
  <c r="D1549" i="98"/>
  <c r="C1549" i="98"/>
  <c r="G1548" i="98"/>
  <c r="E1548" i="98"/>
  <c r="D1548" i="98"/>
  <c r="C1548" i="98"/>
  <c r="G1547" i="98"/>
  <c r="E1547" i="98"/>
  <c r="D1547" i="98"/>
  <c r="C1547" i="98"/>
  <c r="G1546" i="98"/>
  <c r="F1546" i="98"/>
  <c r="E1546" i="98"/>
  <c r="D1546" i="98"/>
  <c r="C1546" i="98"/>
  <c r="G1545" i="98"/>
  <c r="E1545" i="98"/>
  <c r="D1545" i="98"/>
  <c r="C1545" i="98"/>
  <c r="G1544" i="98"/>
  <c r="F1544" i="98"/>
  <c r="E1544" i="98"/>
  <c r="D1544" i="98"/>
  <c r="C1544" i="98"/>
  <c r="G1543" i="98"/>
  <c r="F1543" i="98"/>
  <c r="E1543" i="98"/>
  <c r="D1543" i="98"/>
  <c r="C1543" i="98"/>
  <c r="G1542" i="98"/>
  <c r="F1542" i="98"/>
  <c r="E1542" i="98"/>
  <c r="D1542" i="98"/>
  <c r="C1542" i="98"/>
  <c r="G1541" i="98"/>
  <c r="F1541" i="98"/>
  <c r="E1541" i="98"/>
  <c r="D1541" i="98"/>
  <c r="C1541" i="98"/>
  <c r="G1540" i="98"/>
  <c r="E1540" i="98"/>
  <c r="D1540" i="98"/>
  <c r="G1530" i="98"/>
  <c r="F1530" i="98"/>
  <c r="E1530" i="98"/>
  <c r="D1530" i="98"/>
  <c r="C1530" i="98"/>
  <c r="G1529" i="98"/>
  <c r="E1529" i="98"/>
  <c r="D1529" i="98"/>
  <c r="C1529" i="98"/>
  <c r="G1528" i="98"/>
  <c r="E1528" i="98"/>
  <c r="D1528" i="98"/>
  <c r="C1528" i="98"/>
  <c r="G1527" i="98"/>
  <c r="E1527" i="98"/>
  <c r="D1527" i="98"/>
  <c r="C1527" i="98"/>
  <c r="G1526" i="98"/>
  <c r="F1526" i="98"/>
  <c r="E1526" i="98"/>
  <c r="D1526" i="98"/>
  <c r="C1526" i="98"/>
  <c r="G1525" i="98"/>
  <c r="E1525" i="98"/>
  <c r="D1525" i="98"/>
  <c r="C1525" i="98"/>
  <c r="G1524" i="98"/>
  <c r="F1524" i="98"/>
  <c r="E1524" i="98"/>
  <c r="D1524" i="98"/>
  <c r="C1524" i="98"/>
  <c r="G1523" i="98"/>
  <c r="F1523" i="98"/>
  <c r="E1523" i="98"/>
  <c r="D1523" i="98"/>
  <c r="C1523" i="98"/>
  <c r="G1522" i="98"/>
  <c r="F1522" i="98"/>
  <c r="E1522" i="98"/>
  <c r="D1522" i="98"/>
  <c r="C1522" i="98"/>
  <c r="G1521" i="98"/>
  <c r="F1521" i="98"/>
  <c r="E1521" i="98"/>
  <c r="D1521" i="98"/>
  <c r="C1521" i="98"/>
  <c r="G1520" i="98"/>
  <c r="E1520" i="98"/>
  <c r="D1520" i="98"/>
  <c r="G1510" i="98"/>
  <c r="F1510" i="98"/>
  <c r="E1510" i="98"/>
  <c r="D1510" i="98"/>
  <c r="C1510" i="98"/>
  <c r="G1509" i="98"/>
  <c r="E1509" i="98"/>
  <c r="D1509" i="98"/>
  <c r="C1509" i="98"/>
  <c r="G1508" i="98"/>
  <c r="F1508" i="98"/>
  <c r="E1508" i="98"/>
  <c r="D1508" i="98"/>
  <c r="C1508" i="98"/>
  <c r="G1507" i="98"/>
  <c r="E1507" i="98"/>
  <c r="D1507" i="98"/>
  <c r="C1507" i="98"/>
  <c r="G1506" i="98"/>
  <c r="F1506" i="98"/>
  <c r="E1506" i="98"/>
  <c r="D1506" i="98"/>
  <c r="C1506" i="98"/>
  <c r="G1505" i="98"/>
  <c r="F1505" i="98"/>
  <c r="E1505" i="98"/>
  <c r="D1505" i="98"/>
  <c r="C1505" i="98"/>
  <c r="G1504" i="98"/>
  <c r="F1504" i="98"/>
  <c r="E1504" i="98"/>
  <c r="D1504" i="98"/>
  <c r="C1504" i="98"/>
  <c r="G1503" i="98"/>
  <c r="E1503" i="98"/>
  <c r="D1503" i="98"/>
  <c r="G1493" i="98"/>
  <c r="F1493" i="98"/>
  <c r="E1493" i="98"/>
  <c r="D1493" i="98"/>
  <c r="C1493" i="98"/>
  <c r="G1492" i="98"/>
  <c r="E1492" i="98"/>
  <c r="D1492" i="98"/>
  <c r="C1492" i="98"/>
  <c r="G1491" i="98"/>
  <c r="E1491" i="98"/>
  <c r="D1491" i="98"/>
  <c r="C1491" i="98"/>
  <c r="G1490" i="98"/>
  <c r="F1490" i="98"/>
  <c r="E1490" i="98"/>
  <c r="D1490" i="98"/>
  <c r="C1490" i="98"/>
  <c r="G1489" i="98"/>
  <c r="E1489" i="98"/>
  <c r="D1489" i="98"/>
  <c r="C1489" i="98"/>
  <c r="G1488" i="98"/>
  <c r="F1488" i="98"/>
  <c r="E1488" i="98"/>
  <c r="D1488" i="98"/>
  <c r="C1488" i="98"/>
  <c r="G1487" i="98"/>
  <c r="F1487" i="98"/>
  <c r="E1487" i="98"/>
  <c r="D1487" i="98"/>
  <c r="C1487" i="98"/>
  <c r="G1486" i="98"/>
  <c r="F1486" i="98"/>
  <c r="E1486" i="98"/>
  <c r="D1486" i="98"/>
  <c r="C1486" i="98"/>
  <c r="G1485" i="98"/>
  <c r="F1485" i="98"/>
  <c r="E1485" i="98"/>
  <c r="D1485" i="98"/>
  <c r="C1485" i="98"/>
  <c r="G1484" i="98"/>
  <c r="F1484" i="98"/>
  <c r="E1484" i="98"/>
  <c r="D1484" i="98"/>
  <c r="C1484" i="98"/>
  <c r="G1483" i="98"/>
  <c r="F1483" i="98"/>
  <c r="E1483" i="98"/>
  <c r="D1483" i="98"/>
  <c r="C1483" i="98"/>
  <c r="G1482" i="98"/>
  <c r="F1482" i="98"/>
  <c r="E1482" i="98"/>
  <c r="D1482" i="98"/>
  <c r="G1472" i="98"/>
  <c r="E1472" i="98"/>
  <c r="D1472" i="98"/>
  <c r="C1472" i="98"/>
  <c r="G1471" i="98"/>
  <c r="E1471" i="98"/>
  <c r="D1471" i="98"/>
  <c r="C1471" i="98"/>
  <c r="G1470" i="98"/>
  <c r="F1470" i="98"/>
  <c r="E1470" i="98"/>
  <c r="D1470" i="98"/>
  <c r="C1470" i="98"/>
  <c r="G1469" i="98"/>
  <c r="E1469" i="98"/>
  <c r="D1469" i="98"/>
  <c r="C1469" i="98"/>
  <c r="G1468" i="98"/>
  <c r="F1468" i="98"/>
  <c r="E1468" i="98"/>
  <c r="D1468" i="98"/>
  <c r="C1468" i="98"/>
  <c r="G1467" i="98"/>
  <c r="F1467" i="98"/>
  <c r="E1467" i="98"/>
  <c r="D1467" i="98"/>
  <c r="C1467" i="98"/>
  <c r="G1466" i="98"/>
  <c r="F1466" i="98"/>
  <c r="E1466" i="98"/>
  <c r="D1466" i="98"/>
  <c r="C1466" i="98"/>
  <c r="G1465" i="98"/>
  <c r="F1465" i="98"/>
  <c r="E1465" i="98"/>
  <c r="D1465" i="98"/>
  <c r="C1465" i="98"/>
  <c r="G1464" i="98"/>
  <c r="E1464" i="98"/>
  <c r="D1464" i="98"/>
  <c r="G1454" i="98"/>
  <c r="E1454" i="98"/>
  <c r="D1454" i="98"/>
  <c r="C1454" i="98"/>
  <c r="G1453" i="98"/>
  <c r="F1453" i="98"/>
  <c r="E1453" i="98"/>
  <c r="D1453" i="98"/>
  <c r="C1453" i="98"/>
  <c r="G1452" i="98"/>
  <c r="E1452" i="98"/>
  <c r="D1452" i="98"/>
  <c r="C1452" i="98"/>
  <c r="G1451" i="98"/>
  <c r="F1451" i="98"/>
  <c r="E1451" i="98"/>
  <c r="D1451" i="98"/>
  <c r="C1451" i="98"/>
  <c r="G1450" i="98"/>
  <c r="F1450" i="98"/>
  <c r="E1450" i="98"/>
  <c r="D1450" i="98"/>
  <c r="C1450" i="98"/>
  <c r="G1449" i="98"/>
  <c r="F1449" i="98"/>
  <c r="E1449" i="98"/>
  <c r="D1449" i="98"/>
  <c r="C1449" i="98"/>
  <c r="G1448" i="98"/>
  <c r="E1448" i="98"/>
  <c r="D1448" i="98"/>
  <c r="G1438" i="98"/>
  <c r="E1438" i="98"/>
  <c r="D1438" i="98"/>
  <c r="C1438" i="98"/>
  <c r="G1437" i="98"/>
  <c r="E1437" i="98"/>
  <c r="D1437" i="98"/>
  <c r="C1437" i="98"/>
  <c r="G1436" i="98"/>
  <c r="F1436" i="98"/>
  <c r="E1436" i="98"/>
  <c r="D1436" i="98"/>
  <c r="C1436" i="98"/>
  <c r="G1435" i="98"/>
  <c r="E1435" i="98"/>
  <c r="D1435" i="98"/>
  <c r="C1435" i="98"/>
  <c r="G1434" i="98"/>
  <c r="F1434" i="98"/>
  <c r="E1434" i="98"/>
  <c r="D1434" i="98"/>
  <c r="C1434" i="98"/>
  <c r="G1433" i="98"/>
  <c r="F1433" i="98"/>
  <c r="E1433" i="98"/>
  <c r="D1433" i="98"/>
  <c r="C1433" i="98"/>
  <c r="G1432" i="98"/>
  <c r="F1432" i="98"/>
  <c r="E1432" i="98"/>
  <c r="D1432" i="98"/>
  <c r="C1432" i="98"/>
  <c r="G1431" i="98"/>
  <c r="F1431" i="98"/>
  <c r="E1431" i="98"/>
  <c r="D1431" i="98"/>
  <c r="C1431" i="98"/>
  <c r="G1430" i="98"/>
  <c r="E1430" i="98"/>
  <c r="D1430" i="98"/>
  <c r="G1420" i="98"/>
  <c r="F1420" i="98"/>
  <c r="E1420" i="98"/>
  <c r="D1420" i="98"/>
  <c r="C1420" i="98"/>
  <c r="G1419" i="98"/>
  <c r="E1419" i="98"/>
  <c r="D1419" i="98"/>
  <c r="C1419" i="98"/>
  <c r="G1418" i="98"/>
  <c r="E1418" i="98"/>
  <c r="D1418" i="98"/>
  <c r="C1418" i="98"/>
  <c r="G1417" i="98"/>
  <c r="F1417" i="98"/>
  <c r="E1417" i="98"/>
  <c r="D1417" i="98"/>
  <c r="C1417" i="98"/>
  <c r="G1416" i="98"/>
  <c r="E1416" i="98"/>
  <c r="D1416" i="98"/>
  <c r="C1416" i="98"/>
  <c r="G1415" i="98"/>
  <c r="F1415" i="98"/>
  <c r="E1415" i="98"/>
  <c r="D1415" i="98"/>
  <c r="C1415" i="98"/>
  <c r="G1414" i="98"/>
  <c r="F1414" i="98"/>
  <c r="C1414" i="98"/>
  <c r="G1413" i="98"/>
  <c r="F1413" i="98"/>
  <c r="E1413" i="98"/>
  <c r="D1413" i="98"/>
  <c r="C1413" i="98"/>
  <c r="G1412" i="98"/>
  <c r="F1412" i="98"/>
  <c r="E1412" i="98"/>
  <c r="D1412" i="98"/>
  <c r="G1402" i="98"/>
  <c r="E1402" i="98"/>
  <c r="D1402" i="98"/>
  <c r="C1402" i="98"/>
  <c r="G1401" i="98"/>
  <c r="F1401" i="98"/>
  <c r="E1401" i="98"/>
  <c r="D1401" i="98"/>
  <c r="C1401" i="98"/>
  <c r="G1400" i="98"/>
  <c r="E1400" i="98"/>
  <c r="D1400" i="98"/>
  <c r="C1400" i="98"/>
  <c r="G1399" i="98"/>
  <c r="F1399" i="98"/>
  <c r="E1399" i="98"/>
  <c r="D1399" i="98"/>
  <c r="C1399" i="98"/>
  <c r="G1398" i="98"/>
  <c r="E1398" i="98"/>
  <c r="D1398" i="98"/>
  <c r="D1387" i="98"/>
  <c r="C1387" i="98"/>
  <c r="D1386" i="98"/>
  <c r="C1386" i="98"/>
  <c r="G1385" i="98"/>
  <c r="F1385" i="98"/>
  <c r="E1385" i="98"/>
  <c r="D1385" i="98"/>
  <c r="C1385" i="98"/>
  <c r="E1384" i="98"/>
  <c r="D1384" i="98"/>
  <c r="C1384" i="98"/>
  <c r="F1383" i="98"/>
  <c r="E1383" i="98"/>
  <c r="D1383" i="98"/>
  <c r="C1383" i="98"/>
  <c r="C1382" i="98"/>
  <c r="G1381" i="98"/>
  <c r="F1381" i="98"/>
  <c r="E1381" i="98"/>
  <c r="D1381" i="98"/>
  <c r="C1381" i="98"/>
  <c r="G1380" i="98"/>
  <c r="C1380" i="98"/>
  <c r="E1370" i="98"/>
  <c r="D1370" i="98"/>
  <c r="C1370" i="98"/>
  <c r="G1369" i="98"/>
  <c r="F1369" i="98"/>
  <c r="E1369" i="98"/>
  <c r="C1369" i="98"/>
  <c r="E1368" i="98"/>
  <c r="D1368" i="98"/>
  <c r="C1368" i="98"/>
  <c r="C1367" i="98"/>
  <c r="G1357" i="98"/>
  <c r="E1357" i="98"/>
  <c r="D1357" i="98"/>
  <c r="C1357" i="98"/>
  <c r="G1356" i="98"/>
  <c r="D1356" i="98"/>
  <c r="C1356" i="98"/>
  <c r="G1355" i="98"/>
  <c r="F1355" i="98"/>
  <c r="E1355" i="98"/>
  <c r="D1355" i="98"/>
  <c r="C1355" i="98"/>
  <c r="G1354" i="98"/>
  <c r="E1354" i="98"/>
  <c r="D1354" i="98"/>
  <c r="C1354" i="98"/>
  <c r="G1353" i="98"/>
  <c r="F1353" i="98"/>
  <c r="E1353" i="98"/>
  <c r="D1353" i="98"/>
  <c r="C1353" i="98"/>
  <c r="G1352" i="98"/>
  <c r="F1352" i="98"/>
  <c r="E1352" i="98"/>
  <c r="D1352" i="98"/>
  <c r="C1352" i="98"/>
  <c r="G1351" i="98"/>
  <c r="F1351" i="98"/>
  <c r="E1351" i="98"/>
  <c r="D1351" i="98"/>
  <c r="G1341" i="98"/>
  <c r="F1341" i="98"/>
  <c r="E1341" i="98"/>
  <c r="D1341" i="98"/>
  <c r="C1341" i="98"/>
  <c r="G1340" i="98"/>
  <c r="E1340" i="98"/>
  <c r="D1340" i="98"/>
  <c r="C1340" i="98"/>
  <c r="G1339" i="98"/>
  <c r="F1339" i="98"/>
  <c r="E1339" i="98"/>
  <c r="D1339" i="98"/>
  <c r="C1339" i="98"/>
  <c r="G1338" i="98"/>
  <c r="E1338" i="98"/>
  <c r="D1338" i="98"/>
  <c r="C1338" i="98"/>
  <c r="G1337" i="98"/>
  <c r="F1337" i="98"/>
  <c r="E1337" i="98"/>
  <c r="D1337" i="98"/>
  <c r="C1337" i="98"/>
  <c r="G1336" i="98"/>
  <c r="E1336" i="98"/>
  <c r="D1336" i="98"/>
  <c r="C1336" i="98"/>
  <c r="G1335" i="98"/>
  <c r="F1335" i="98"/>
  <c r="E1335" i="98"/>
  <c r="D1335" i="98"/>
  <c r="C1335" i="98"/>
  <c r="G1334" i="98"/>
  <c r="F1334" i="98"/>
  <c r="E1334" i="98"/>
  <c r="D1334" i="98"/>
  <c r="C1334" i="98"/>
  <c r="G1333" i="98"/>
  <c r="F1333" i="98"/>
  <c r="E1333" i="98"/>
  <c r="D1333" i="98"/>
  <c r="C1333" i="98"/>
  <c r="G1332" i="98"/>
  <c r="F1332" i="98"/>
  <c r="E1332" i="98"/>
  <c r="D1332" i="98"/>
  <c r="C1332" i="98"/>
  <c r="G1331" i="98"/>
  <c r="F1331" i="98"/>
  <c r="E1331" i="98"/>
  <c r="D1331" i="98"/>
  <c r="C1331" i="98"/>
  <c r="G1330" i="98"/>
  <c r="F1330" i="98"/>
  <c r="E1330" i="98"/>
  <c r="D1330" i="98"/>
  <c r="G1320" i="98"/>
  <c r="F1320" i="98"/>
  <c r="E1320" i="98"/>
  <c r="D1320" i="98"/>
  <c r="C1320" i="98"/>
  <c r="G1319" i="98"/>
  <c r="E1319" i="98"/>
  <c r="D1319" i="98"/>
  <c r="C1319" i="98"/>
  <c r="G1318" i="98"/>
  <c r="F1318" i="98"/>
  <c r="E1318" i="98"/>
  <c r="D1318" i="98"/>
  <c r="C1318" i="98"/>
  <c r="G1317" i="98"/>
  <c r="E1317" i="98"/>
  <c r="D1317" i="98"/>
  <c r="C1317" i="98"/>
  <c r="G1316" i="98"/>
  <c r="F1316" i="98"/>
  <c r="E1316" i="98"/>
  <c r="D1316" i="98"/>
  <c r="C1316" i="98"/>
  <c r="G1315" i="98"/>
  <c r="E1315" i="98"/>
  <c r="D1315" i="98"/>
  <c r="C1315" i="98"/>
  <c r="G1314" i="98"/>
  <c r="F1314" i="98"/>
  <c r="E1314" i="98"/>
  <c r="D1314" i="98"/>
  <c r="C1314" i="98"/>
  <c r="G1313" i="98"/>
  <c r="F1313" i="98"/>
  <c r="E1313" i="98"/>
  <c r="D1313" i="98"/>
  <c r="C1313" i="98"/>
  <c r="G1312" i="98"/>
  <c r="F1312" i="98"/>
  <c r="E1312" i="98"/>
  <c r="D1312" i="98"/>
  <c r="C1312" i="98"/>
  <c r="G1311" i="98"/>
  <c r="F1311" i="98"/>
  <c r="E1311" i="98"/>
  <c r="D1311" i="98"/>
  <c r="C1311" i="98"/>
  <c r="G1310" i="98"/>
  <c r="F1310" i="98"/>
  <c r="E1310" i="98"/>
  <c r="D1310" i="98"/>
  <c r="C1310" i="98"/>
  <c r="G1309" i="98"/>
  <c r="F1309" i="98"/>
  <c r="E1309" i="98"/>
  <c r="D1309" i="98"/>
  <c r="G1299" i="98"/>
  <c r="F1299" i="98"/>
  <c r="E1299" i="98"/>
  <c r="D1299" i="98"/>
  <c r="C1299" i="98"/>
  <c r="G1298" i="98"/>
  <c r="E1298" i="98"/>
  <c r="D1298" i="98"/>
  <c r="C1298" i="98"/>
  <c r="G1297" i="98"/>
  <c r="F1297" i="98"/>
  <c r="E1297" i="98"/>
  <c r="D1297" i="98"/>
  <c r="C1297" i="98"/>
  <c r="G1296" i="98"/>
  <c r="E1296" i="98"/>
  <c r="D1296" i="98"/>
  <c r="C1296" i="98"/>
  <c r="G1295" i="98"/>
  <c r="F1295" i="98"/>
  <c r="E1295" i="98"/>
  <c r="D1295" i="98"/>
  <c r="C1295" i="98"/>
  <c r="G1294" i="98"/>
  <c r="E1294" i="98"/>
  <c r="D1294" i="98"/>
  <c r="C1294" i="98"/>
  <c r="G1293" i="98"/>
  <c r="F1293" i="98"/>
  <c r="E1293" i="98"/>
  <c r="D1293" i="98"/>
  <c r="C1293" i="98"/>
  <c r="G1292" i="98"/>
  <c r="F1292" i="98"/>
  <c r="E1292" i="98"/>
  <c r="D1292" i="98"/>
  <c r="C1292" i="98"/>
  <c r="G1291" i="98"/>
  <c r="F1291" i="98"/>
  <c r="E1291" i="98"/>
  <c r="D1291" i="98"/>
  <c r="C1291" i="98"/>
  <c r="G1290" i="98"/>
  <c r="F1290" i="98"/>
  <c r="E1290" i="98"/>
  <c r="D1290" i="98"/>
  <c r="C1290" i="98"/>
  <c r="G1289" i="98"/>
  <c r="F1289" i="98"/>
  <c r="E1289" i="98"/>
  <c r="D1289" i="98"/>
  <c r="C1289" i="98"/>
  <c r="G1288" i="98"/>
  <c r="F1288" i="98"/>
  <c r="E1288" i="98"/>
  <c r="D1288" i="98"/>
  <c r="G1278" i="98"/>
  <c r="E1278" i="98"/>
  <c r="D1278" i="98"/>
  <c r="C1278" i="98"/>
  <c r="G1277" i="98"/>
  <c r="E1277" i="98"/>
  <c r="D1277" i="98"/>
  <c r="C1277" i="98"/>
  <c r="G1276" i="98"/>
  <c r="E1276" i="98"/>
  <c r="D1276" i="98"/>
  <c r="C1276" i="98"/>
  <c r="G1275" i="98"/>
  <c r="E1275" i="98"/>
  <c r="D1275" i="98"/>
  <c r="C1275" i="98"/>
  <c r="G1274" i="98"/>
  <c r="E1274" i="98"/>
  <c r="D1274" i="98"/>
  <c r="C1274" i="98"/>
  <c r="G1273" i="98"/>
  <c r="E1273" i="98"/>
  <c r="D1273" i="98"/>
  <c r="C1273" i="98"/>
  <c r="G1272" i="98"/>
  <c r="F1272" i="98"/>
  <c r="E1272" i="98"/>
  <c r="D1272" i="98"/>
  <c r="C1272" i="98"/>
  <c r="G1271" i="98"/>
  <c r="E1271" i="98"/>
  <c r="D1271" i="98"/>
  <c r="C1271" i="98"/>
  <c r="G1270" i="98"/>
  <c r="F1270" i="98"/>
  <c r="E1270" i="98"/>
  <c r="D1270" i="98"/>
  <c r="C1270" i="98"/>
  <c r="G1269" i="98"/>
  <c r="F1269" i="98"/>
  <c r="E1269" i="98"/>
  <c r="D1269" i="98"/>
  <c r="C1269" i="98"/>
  <c r="G1268" i="98"/>
  <c r="F1268" i="98"/>
  <c r="E1268" i="98"/>
  <c r="D1268" i="98"/>
  <c r="C1268" i="98"/>
  <c r="G1267" i="98"/>
  <c r="F1267" i="98"/>
  <c r="E1267" i="98"/>
  <c r="D1267" i="98"/>
  <c r="C1267" i="98"/>
  <c r="G1266" i="98"/>
  <c r="E1266" i="98"/>
  <c r="D1266" i="98"/>
  <c r="G1256" i="98"/>
  <c r="E1256" i="98"/>
  <c r="C1256" i="98"/>
  <c r="G1255" i="98"/>
  <c r="E1255" i="98"/>
  <c r="D1255" i="98"/>
  <c r="C1255" i="98"/>
  <c r="G1254" i="98"/>
  <c r="F1254" i="98"/>
  <c r="E1254" i="98"/>
  <c r="D1254" i="98"/>
  <c r="C1254" i="98"/>
  <c r="G1253" i="98"/>
  <c r="E1253" i="98"/>
  <c r="G1243" i="98"/>
  <c r="E1243" i="98"/>
  <c r="D1243" i="98"/>
  <c r="C1243" i="98"/>
  <c r="G1242" i="98"/>
  <c r="F1242" i="98"/>
  <c r="E1242" i="98"/>
  <c r="D1242" i="98"/>
  <c r="C1242" i="98"/>
  <c r="G1241" i="98"/>
  <c r="E1241" i="98"/>
  <c r="D1241" i="98"/>
  <c r="C1241" i="98"/>
  <c r="G1240" i="98"/>
  <c r="F1240" i="98"/>
  <c r="E1240" i="98"/>
  <c r="D1240" i="98"/>
  <c r="C1240" i="98"/>
  <c r="G1239" i="98"/>
  <c r="E1239" i="98"/>
  <c r="D1239" i="98"/>
  <c r="G1229" i="98"/>
  <c r="E1229" i="98"/>
  <c r="D1229" i="98"/>
  <c r="C1229" i="98"/>
  <c r="G1228" i="98"/>
  <c r="F1228" i="98"/>
  <c r="E1228" i="98"/>
  <c r="D1228" i="98"/>
  <c r="C1228" i="98"/>
  <c r="G1227" i="98"/>
  <c r="E1227" i="98"/>
  <c r="D1227" i="98"/>
  <c r="C1227" i="98"/>
  <c r="G1226" i="98"/>
  <c r="F1226" i="98"/>
  <c r="E1226" i="98"/>
  <c r="D1226" i="98"/>
  <c r="C1226" i="98"/>
  <c r="G1225" i="98"/>
  <c r="E1225" i="98"/>
  <c r="D1225" i="98"/>
  <c r="G1215" i="98"/>
  <c r="E1215" i="98"/>
  <c r="D1215" i="98"/>
  <c r="C1215" i="98"/>
  <c r="G1214" i="98"/>
  <c r="F1214" i="98"/>
  <c r="E1214" i="98"/>
  <c r="D1214" i="98"/>
  <c r="C1214" i="98"/>
  <c r="G1213" i="98"/>
  <c r="E1213" i="98"/>
  <c r="D1213" i="98"/>
  <c r="C1213" i="98"/>
  <c r="G1212" i="98"/>
  <c r="F1212" i="98"/>
  <c r="E1212" i="98"/>
  <c r="D1212" i="98"/>
  <c r="C1212" i="98"/>
  <c r="G1211" i="98"/>
  <c r="E1211" i="98"/>
  <c r="D1211" i="98"/>
  <c r="G1201" i="98"/>
  <c r="E1201" i="98"/>
  <c r="D1201" i="98"/>
  <c r="C1201" i="98"/>
  <c r="G1200" i="98"/>
  <c r="F1200" i="98"/>
  <c r="E1200" i="98"/>
  <c r="D1200" i="98"/>
  <c r="C1200" i="98"/>
  <c r="G1199" i="98"/>
  <c r="E1199" i="98"/>
  <c r="D1199" i="98"/>
  <c r="C1199" i="98"/>
  <c r="G1198" i="98"/>
  <c r="F1198" i="98"/>
  <c r="E1198" i="98"/>
  <c r="D1198" i="98"/>
  <c r="C1198" i="98"/>
  <c r="G1197" i="98"/>
  <c r="E1197" i="98"/>
  <c r="D1197" i="98"/>
  <c r="G1187" i="98"/>
  <c r="E1187" i="98"/>
  <c r="D1187" i="98"/>
  <c r="C1187" i="98"/>
  <c r="G1186" i="98"/>
  <c r="F1186" i="98"/>
  <c r="E1186" i="98"/>
  <c r="D1186" i="98"/>
  <c r="C1186" i="98"/>
  <c r="G1185" i="98"/>
  <c r="E1185" i="98"/>
  <c r="D1185" i="98"/>
  <c r="C1185" i="98"/>
  <c r="G1184" i="98"/>
  <c r="F1184" i="98"/>
  <c r="E1184" i="98"/>
  <c r="D1184" i="98"/>
  <c r="C1184" i="98"/>
  <c r="G1183" i="98"/>
  <c r="E1183" i="98"/>
  <c r="D1183" i="98"/>
  <c r="G1173" i="98"/>
  <c r="F1173" i="98"/>
  <c r="E1173" i="98"/>
  <c r="D1173" i="98"/>
  <c r="C1173" i="98"/>
  <c r="G1172" i="98"/>
  <c r="E1172" i="98"/>
  <c r="D1172" i="98"/>
  <c r="C1172" i="98"/>
  <c r="G1171" i="98"/>
  <c r="E1171" i="98"/>
  <c r="D1171" i="98"/>
  <c r="C1171" i="98"/>
  <c r="G1170" i="98"/>
  <c r="E1170" i="98"/>
  <c r="D1170" i="98"/>
  <c r="C1170" i="98"/>
  <c r="G1169" i="98"/>
  <c r="E1169" i="98"/>
  <c r="D1169" i="98"/>
  <c r="C1169" i="98"/>
  <c r="G1168" i="98"/>
  <c r="F1168" i="98"/>
  <c r="E1168" i="98"/>
  <c r="D1168" i="98"/>
  <c r="C1168" i="98"/>
  <c r="G1167" i="98"/>
  <c r="E1167" i="98"/>
  <c r="D1167" i="98"/>
  <c r="C1167" i="98"/>
  <c r="G1166" i="98"/>
  <c r="F1166" i="98"/>
  <c r="E1166" i="98"/>
  <c r="D1166" i="98"/>
  <c r="C1166" i="98"/>
  <c r="G1165" i="98"/>
  <c r="F1165" i="98"/>
  <c r="E1165" i="98"/>
  <c r="D1165" i="98"/>
  <c r="C1165" i="98"/>
  <c r="G1164" i="98"/>
  <c r="F1164" i="98"/>
  <c r="E1164" i="98"/>
  <c r="D1164" i="98"/>
  <c r="C1164" i="98"/>
  <c r="G1163" i="98"/>
  <c r="F1163" i="98"/>
  <c r="E1163" i="98"/>
  <c r="D1163" i="98"/>
  <c r="C1163" i="98"/>
  <c r="G1162" i="98"/>
  <c r="F1162" i="98"/>
  <c r="E1162" i="98"/>
  <c r="D1162" i="98"/>
  <c r="G1131" i="98"/>
  <c r="F1131" i="98"/>
  <c r="E1131" i="98"/>
  <c r="D1131" i="98"/>
  <c r="C1131" i="98"/>
  <c r="G1130" i="98"/>
  <c r="E1130" i="98"/>
  <c r="D1130" i="98"/>
  <c r="C1130" i="98"/>
  <c r="G1129" i="98"/>
  <c r="F1129" i="98"/>
  <c r="E1129" i="98"/>
  <c r="D1129" i="98"/>
  <c r="C1129" i="98"/>
  <c r="G1128" i="98"/>
  <c r="E1128" i="98"/>
  <c r="D1128" i="98"/>
  <c r="C1128" i="98"/>
  <c r="G1127" i="98"/>
  <c r="F1127" i="98"/>
  <c r="E1127" i="98"/>
  <c r="D1127" i="98"/>
  <c r="C1127" i="98"/>
  <c r="G1126" i="98"/>
  <c r="E1126" i="98"/>
  <c r="D1126" i="98"/>
  <c r="C1126" i="98"/>
  <c r="G1125" i="98"/>
  <c r="F1125" i="98"/>
  <c r="E1125" i="98"/>
  <c r="D1125" i="98"/>
  <c r="C1125" i="98"/>
  <c r="G1124" i="98"/>
  <c r="F1124" i="98"/>
  <c r="E1124" i="98"/>
  <c r="D1124" i="98"/>
  <c r="C1124" i="98"/>
  <c r="G1123" i="98"/>
  <c r="F1123" i="98"/>
  <c r="E1123" i="98"/>
  <c r="D1123" i="98"/>
  <c r="C1123" i="98"/>
  <c r="G1122" i="98"/>
  <c r="F1122" i="98"/>
  <c r="E1122" i="98"/>
  <c r="D1122" i="98"/>
  <c r="C1122" i="98"/>
  <c r="G1121" i="98"/>
  <c r="F1121" i="98"/>
  <c r="E1121" i="98"/>
  <c r="D1121" i="98"/>
  <c r="C1121" i="98"/>
  <c r="G1120" i="98"/>
  <c r="F1120" i="98"/>
  <c r="E1120" i="98"/>
  <c r="D1120" i="98"/>
  <c r="G1110" i="98"/>
  <c r="E1110" i="98"/>
  <c r="D1110" i="98"/>
  <c r="C1110" i="98"/>
  <c r="G1109" i="98"/>
  <c r="F1109" i="98"/>
  <c r="E1109" i="98"/>
  <c r="D1109" i="98"/>
  <c r="C1109" i="98"/>
  <c r="G1108" i="98"/>
  <c r="F1108" i="98"/>
  <c r="E1108" i="98"/>
  <c r="C1108" i="98"/>
  <c r="G1107" i="98"/>
  <c r="F1107" i="98"/>
  <c r="E1107" i="98"/>
  <c r="D1107" i="98"/>
  <c r="C1107" i="98"/>
  <c r="G1106" i="98"/>
  <c r="E1106" i="98"/>
  <c r="D1106" i="98"/>
  <c r="C1106" i="98"/>
  <c r="G1105" i="98"/>
  <c r="E1105" i="98"/>
  <c r="D1105" i="98"/>
  <c r="C1105" i="98"/>
  <c r="G1104" i="98"/>
  <c r="E1104" i="98"/>
  <c r="D1104" i="98"/>
  <c r="C1104" i="98"/>
  <c r="G1103" i="98"/>
  <c r="F1103" i="98"/>
  <c r="E1103" i="98"/>
  <c r="D1103" i="98"/>
  <c r="C1103" i="98"/>
  <c r="G1102" i="98"/>
  <c r="E1102" i="98"/>
  <c r="D1102" i="98"/>
  <c r="G1092" i="98"/>
  <c r="E1092" i="98"/>
  <c r="D1092" i="98"/>
  <c r="C1092" i="98"/>
  <c r="G1091" i="98"/>
  <c r="F1091" i="98"/>
  <c r="E1091" i="98"/>
  <c r="D1091" i="98"/>
  <c r="C1091" i="98"/>
  <c r="G1090" i="98"/>
  <c r="F1090" i="98"/>
  <c r="E1090" i="98"/>
  <c r="C1090" i="98"/>
  <c r="G1089" i="98"/>
  <c r="F1089" i="98"/>
  <c r="E1089" i="98"/>
  <c r="D1089" i="98"/>
  <c r="C1089" i="98"/>
  <c r="G1088" i="98"/>
  <c r="E1088" i="98"/>
  <c r="D1088" i="98"/>
  <c r="C1088" i="98"/>
  <c r="G1087" i="98"/>
  <c r="E1087" i="98"/>
  <c r="D1087" i="98"/>
  <c r="C1087" i="98"/>
  <c r="G1086" i="98"/>
  <c r="E1086" i="98"/>
  <c r="D1086" i="98"/>
  <c r="C1086" i="98"/>
  <c r="G1085" i="98"/>
  <c r="F1085" i="98"/>
  <c r="E1085" i="98"/>
  <c r="D1085" i="98"/>
  <c r="C1085" i="98"/>
  <c r="G1084" i="98"/>
  <c r="E1084" i="98"/>
  <c r="D1084" i="98"/>
  <c r="G1074" i="98"/>
  <c r="E1074" i="98"/>
  <c r="D1074" i="98"/>
  <c r="C1074" i="98"/>
  <c r="G1073" i="98"/>
  <c r="F1073" i="98"/>
  <c r="E1073" i="98"/>
  <c r="D1073" i="98"/>
  <c r="C1073" i="98"/>
  <c r="G1072" i="98"/>
  <c r="F1072" i="98"/>
  <c r="E1072" i="98"/>
  <c r="C1072" i="98"/>
  <c r="G1071" i="98"/>
  <c r="F1071" i="98"/>
  <c r="E1071" i="98"/>
  <c r="D1071" i="98"/>
  <c r="C1071" i="98"/>
  <c r="G1070" i="98"/>
  <c r="E1070" i="98"/>
  <c r="D1070" i="98"/>
  <c r="C1070" i="98"/>
  <c r="G1069" i="98"/>
  <c r="E1069" i="98"/>
  <c r="D1069" i="98"/>
  <c r="C1069" i="98"/>
  <c r="G1068" i="98"/>
  <c r="E1068" i="98"/>
  <c r="D1068" i="98"/>
  <c r="C1068" i="98"/>
  <c r="G1067" i="98"/>
  <c r="F1067" i="98"/>
  <c r="E1067" i="98"/>
  <c r="D1067" i="98"/>
  <c r="C1067" i="98"/>
  <c r="G1066" i="98"/>
  <c r="E1066" i="98"/>
  <c r="D1066" i="98"/>
  <c r="G1030" i="98"/>
  <c r="F1030" i="98"/>
  <c r="E1030" i="98"/>
  <c r="D1030" i="98"/>
  <c r="C1030" i="98"/>
  <c r="G1029" i="98"/>
  <c r="E1029" i="98"/>
  <c r="D1029" i="98"/>
  <c r="C1029" i="98"/>
  <c r="G1028" i="98"/>
  <c r="E1028" i="98"/>
  <c r="D1028" i="98"/>
  <c r="C1028" i="98"/>
  <c r="G1027" i="98"/>
  <c r="E1027" i="98"/>
  <c r="D1027" i="98"/>
  <c r="C1027" i="98"/>
  <c r="E1026" i="98"/>
  <c r="D1026" i="98"/>
  <c r="C1026" i="98"/>
  <c r="E1025" i="98"/>
  <c r="D1025" i="98"/>
  <c r="C1025" i="98"/>
  <c r="G1024" i="98"/>
  <c r="E1024" i="98"/>
  <c r="D1024" i="98"/>
  <c r="C1024" i="98"/>
  <c r="G1023" i="98"/>
  <c r="E1023" i="98"/>
  <c r="D1023" i="98"/>
  <c r="C1023" i="98"/>
  <c r="G1022" i="98"/>
  <c r="E1022" i="98"/>
  <c r="D1022" i="98"/>
  <c r="C1022" i="98"/>
  <c r="G1021" i="98"/>
  <c r="E1021" i="98"/>
  <c r="D1021" i="98"/>
  <c r="C1021" i="98"/>
  <c r="G1020" i="98"/>
  <c r="E1020" i="98"/>
  <c r="D1020" i="98"/>
  <c r="C1020" i="98"/>
  <c r="G1019" i="98"/>
  <c r="E1019" i="98"/>
  <c r="D1019" i="98"/>
  <c r="C1019" i="98"/>
  <c r="G1018" i="98"/>
  <c r="F1018" i="98"/>
  <c r="E1018" i="98"/>
  <c r="D1018" i="98"/>
  <c r="C1018" i="98"/>
  <c r="G1017" i="98"/>
  <c r="E1017" i="98"/>
  <c r="D1017" i="98"/>
  <c r="C1017" i="98"/>
  <c r="G1016" i="98"/>
  <c r="F1016" i="98"/>
  <c r="E1016" i="98"/>
  <c r="D1016" i="98"/>
  <c r="C1016" i="98"/>
  <c r="G1015" i="98"/>
  <c r="F1015" i="98"/>
  <c r="E1015" i="98"/>
  <c r="D1015" i="98"/>
  <c r="C1015" i="98"/>
  <c r="G1014" i="98"/>
  <c r="F1014" i="98"/>
  <c r="E1014" i="98"/>
  <c r="D1014" i="98"/>
  <c r="C1014" i="98"/>
  <c r="G1013" i="98"/>
  <c r="F1013" i="98"/>
  <c r="E1013" i="98"/>
  <c r="D1013" i="98"/>
  <c r="C1013" i="98"/>
  <c r="G1012" i="98"/>
  <c r="E1012" i="98"/>
  <c r="D1012" i="98"/>
  <c r="G976" i="98"/>
  <c r="F976" i="98"/>
  <c r="E976" i="98"/>
  <c r="D976" i="98"/>
  <c r="C976" i="98"/>
  <c r="E975" i="98"/>
  <c r="D975" i="98"/>
  <c r="C975" i="98"/>
  <c r="E974" i="98"/>
  <c r="D974" i="98"/>
  <c r="C974" i="98"/>
  <c r="G973" i="98"/>
  <c r="E973" i="98"/>
  <c r="D973" i="98"/>
  <c r="C973" i="98"/>
  <c r="G972" i="98"/>
  <c r="E972" i="98"/>
  <c r="D972" i="98"/>
  <c r="C972" i="98"/>
  <c r="G971" i="98"/>
  <c r="E971" i="98"/>
  <c r="D971" i="98"/>
  <c r="C971" i="98"/>
  <c r="G970" i="98"/>
  <c r="F970" i="98"/>
  <c r="E970" i="98"/>
  <c r="D970" i="98"/>
  <c r="C970" i="98"/>
  <c r="G969" i="98"/>
  <c r="E969" i="98"/>
  <c r="D969" i="98"/>
  <c r="C969" i="98"/>
  <c r="G968" i="98"/>
  <c r="F968" i="98"/>
  <c r="E968" i="98"/>
  <c r="D968" i="98"/>
  <c r="C968" i="98"/>
  <c r="G967" i="98"/>
  <c r="F967" i="98"/>
  <c r="E967" i="98"/>
  <c r="D967" i="98"/>
  <c r="C967" i="98"/>
  <c r="G966" i="98"/>
  <c r="F966" i="98"/>
  <c r="E966" i="98"/>
  <c r="D966" i="98"/>
  <c r="C966" i="98"/>
  <c r="G965" i="98"/>
  <c r="F965" i="98"/>
  <c r="E965" i="98"/>
  <c r="D965" i="98"/>
  <c r="C965" i="98"/>
  <c r="G964" i="98"/>
  <c r="E964" i="98"/>
  <c r="D964" i="98"/>
  <c r="C964" i="98"/>
  <c r="G963" i="98"/>
  <c r="E963" i="98"/>
  <c r="D963" i="98"/>
  <c r="C963" i="98"/>
  <c r="G962" i="98"/>
  <c r="F962" i="98"/>
  <c r="E962" i="98"/>
  <c r="D962" i="98"/>
  <c r="C962" i="98"/>
  <c r="G961" i="98"/>
  <c r="F961" i="98"/>
  <c r="E961" i="98"/>
  <c r="D961" i="98"/>
  <c r="C961" i="98"/>
  <c r="G960" i="98"/>
  <c r="D960" i="98"/>
  <c r="G950" i="98"/>
  <c r="F950" i="98"/>
  <c r="E950" i="98"/>
  <c r="D950" i="98"/>
  <c r="C950" i="98"/>
  <c r="E949" i="98"/>
  <c r="D949" i="98"/>
  <c r="C949" i="98"/>
  <c r="E948" i="98"/>
  <c r="D948" i="98"/>
  <c r="C948" i="98"/>
  <c r="E947" i="98"/>
  <c r="D947" i="98"/>
  <c r="C947" i="98"/>
  <c r="G946" i="98"/>
  <c r="E946" i="98"/>
  <c r="D946" i="98"/>
  <c r="C946" i="98"/>
  <c r="G945" i="98"/>
  <c r="E945" i="98"/>
  <c r="D945" i="98"/>
  <c r="C945" i="98"/>
  <c r="G944" i="98"/>
  <c r="F944" i="98"/>
  <c r="E944" i="98"/>
  <c r="D944" i="98"/>
  <c r="C944" i="98"/>
  <c r="G943" i="98"/>
  <c r="E943" i="98"/>
  <c r="D943" i="98"/>
  <c r="C943" i="98"/>
  <c r="G942" i="98"/>
  <c r="F942" i="98"/>
  <c r="E942" i="98"/>
  <c r="D942" i="98"/>
  <c r="C942" i="98"/>
  <c r="G941" i="98"/>
  <c r="F941" i="98"/>
  <c r="E941" i="98"/>
  <c r="D941" i="98"/>
  <c r="C941" i="98"/>
  <c r="G940" i="98"/>
  <c r="E940" i="98"/>
  <c r="D940" i="98"/>
  <c r="C940" i="98"/>
  <c r="G939" i="98"/>
  <c r="E939" i="98"/>
  <c r="D939" i="98"/>
  <c r="C939" i="98"/>
  <c r="G938" i="98"/>
  <c r="F938" i="98"/>
  <c r="E938" i="98"/>
  <c r="D938" i="98"/>
  <c r="C938" i="98"/>
  <c r="G937" i="98"/>
  <c r="F937" i="98"/>
  <c r="E937" i="98"/>
  <c r="D937" i="98"/>
  <c r="C937" i="98"/>
  <c r="G936" i="98"/>
  <c r="E936" i="98"/>
  <c r="D936" i="98"/>
  <c r="G880" i="98"/>
  <c r="F880" i="98"/>
  <c r="E880" i="98"/>
  <c r="D880" i="98"/>
  <c r="C880" i="98"/>
  <c r="G879" i="98"/>
  <c r="E879" i="98"/>
  <c r="D879" i="98"/>
  <c r="C879" i="98"/>
  <c r="G878" i="98"/>
  <c r="D878" i="98"/>
  <c r="C878" i="98"/>
  <c r="G877" i="98"/>
  <c r="E877" i="98"/>
  <c r="D877" i="98"/>
  <c r="C877" i="98"/>
  <c r="G876" i="98"/>
  <c r="E876" i="98"/>
  <c r="D876" i="98"/>
  <c r="C876" i="98"/>
  <c r="G875" i="98"/>
  <c r="E875" i="98"/>
  <c r="D875" i="98"/>
  <c r="C875" i="98"/>
  <c r="G874" i="98"/>
  <c r="F874" i="98"/>
  <c r="E874" i="98"/>
  <c r="D874" i="98"/>
  <c r="C874" i="98"/>
  <c r="G873" i="98"/>
  <c r="E873" i="98"/>
  <c r="D873" i="98"/>
  <c r="C873" i="98"/>
  <c r="G872" i="98"/>
  <c r="F872" i="98"/>
  <c r="E872" i="98"/>
  <c r="D872" i="98"/>
  <c r="C872" i="98"/>
  <c r="G871" i="98"/>
  <c r="F871" i="98"/>
  <c r="E871" i="98"/>
  <c r="D871" i="98"/>
  <c r="C871" i="98"/>
  <c r="G870" i="98"/>
  <c r="F870" i="98"/>
  <c r="E870" i="98"/>
  <c r="D870" i="98"/>
  <c r="C870" i="98"/>
  <c r="G869" i="98"/>
  <c r="F869" i="98"/>
  <c r="E869" i="98"/>
  <c r="D869" i="98"/>
  <c r="C869" i="98"/>
  <c r="G868" i="98"/>
  <c r="F868" i="98"/>
  <c r="E868" i="98"/>
  <c r="D868" i="98"/>
  <c r="C868" i="98"/>
  <c r="G867" i="98"/>
  <c r="F867" i="98"/>
  <c r="E867" i="98"/>
  <c r="D867" i="98"/>
  <c r="C867" i="98"/>
  <c r="G866" i="98"/>
  <c r="F866" i="98"/>
  <c r="E866" i="98"/>
  <c r="D866" i="98"/>
  <c r="C866" i="98"/>
  <c r="G865" i="98"/>
  <c r="F865" i="98"/>
  <c r="E865" i="98"/>
  <c r="D865" i="98"/>
  <c r="E834" i="98"/>
  <c r="D834" i="98"/>
  <c r="C834" i="98"/>
  <c r="E833" i="98"/>
  <c r="D833" i="98"/>
  <c r="C833" i="98"/>
  <c r="E832" i="98"/>
  <c r="D832" i="98"/>
  <c r="C832" i="98"/>
  <c r="G831" i="98"/>
  <c r="E831" i="98"/>
  <c r="D831" i="98"/>
  <c r="C831" i="98"/>
  <c r="G830" i="98"/>
  <c r="E830" i="98"/>
  <c r="D830" i="98"/>
  <c r="C830" i="98"/>
  <c r="G829" i="98"/>
  <c r="E829" i="98"/>
  <c r="D829" i="98"/>
  <c r="C829" i="98"/>
  <c r="G828" i="98"/>
  <c r="F828" i="98"/>
  <c r="E828" i="98"/>
  <c r="D828" i="98"/>
  <c r="C828" i="98"/>
  <c r="G827" i="98"/>
  <c r="E827" i="98"/>
  <c r="D827" i="98"/>
  <c r="C827" i="98"/>
  <c r="G826" i="98"/>
  <c r="F826" i="98"/>
  <c r="E826" i="98"/>
  <c r="D826" i="98"/>
  <c r="C826" i="98"/>
  <c r="G825" i="98"/>
  <c r="F825" i="98"/>
  <c r="E825" i="98"/>
  <c r="D825" i="98"/>
  <c r="C825" i="98"/>
  <c r="G824" i="98"/>
  <c r="F824" i="98"/>
  <c r="E824" i="98"/>
  <c r="D824" i="98"/>
  <c r="C824" i="98"/>
  <c r="G823" i="98"/>
  <c r="F823" i="98"/>
  <c r="E823" i="98"/>
  <c r="D823" i="98"/>
  <c r="C823" i="98"/>
  <c r="G822" i="98"/>
  <c r="E822" i="98"/>
  <c r="D822" i="98"/>
  <c r="C822" i="98"/>
  <c r="G790" i="98"/>
  <c r="E790" i="98"/>
  <c r="D790" i="98"/>
  <c r="C790" i="98"/>
  <c r="G789" i="98"/>
  <c r="E789" i="98"/>
  <c r="D789" i="98"/>
  <c r="C789" i="98"/>
  <c r="G788" i="98"/>
  <c r="E788" i="98"/>
  <c r="D788" i="98"/>
  <c r="C788" i="98"/>
  <c r="G787" i="98"/>
  <c r="F787" i="98"/>
  <c r="E787" i="98"/>
  <c r="D787" i="98"/>
  <c r="C787" i="98"/>
  <c r="G786" i="98"/>
  <c r="E786" i="98"/>
  <c r="D786" i="98"/>
  <c r="C786" i="98"/>
  <c r="G785" i="98"/>
  <c r="F785" i="98"/>
  <c r="E785" i="98"/>
  <c r="D785" i="98"/>
  <c r="C785" i="98"/>
  <c r="G784" i="98"/>
  <c r="F784" i="98"/>
  <c r="E784" i="98"/>
  <c r="D784" i="98"/>
  <c r="C784" i="98"/>
  <c r="G783" i="98"/>
  <c r="F783" i="98"/>
  <c r="E783" i="98"/>
  <c r="D783" i="98"/>
  <c r="C783" i="98"/>
  <c r="G782" i="98"/>
  <c r="F782" i="98"/>
  <c r="E782" i="98"/>
  <c r="D782" i="98"/>
  <c r="C782" i="98"/>
  <c r="G781" i="98"/>
  <c r="E781" i="98"/>
  <c r="D781" i="98"/>
  <c r="C781" i="98"/>
  <c r="G752" i="98"/>
  <c r="F752" i="98"/>
  <c r="E752" i="98"/>
  <c r="D752" i="98"/>
  <c r="C752" i="98"/>
  <c r="G751" i="98"/>
  <c r="E751" i="98"/>
  <c r="D751" i="98"/>
  <c r="C751" i="98"/>
  <c r="G750" i="98"/>
  <c r="E750" i="98"/>
  <c r="D750" i="98"/>
  <c r="C750" i="98"/>
  <c r="G749" i="98"/>
  <c r="E749" i="98"/>
  <c r="D749" i="98"/>
  <c r="C749" i="98"/>
  <c r="G748" i="98"/>
  <c r="F748" i="98"/>
  <c r="E748" i="98"/>
  <c r="D748" i="98"/>
  <c r="C748" i="98"/>
  <c r="G747" i="98"/>
  <c r="E747" i="98"/>
  <c r="D747" i="98"/>
  <c r="C747" i="98"/>
  <c r="G746" i="98"/>
  <c r="F746" i="98"/>
  <c r="E746" i="98"/>
  <c r="D746" i="98"/>
  <c r="C746" i="98"/>
  <c r="G745" i="98"/>
  <c r="F745" i="98"/>
  <c r="E745" i="98"/>
  <c r="D745" i="98"/>
  <c r="C745" i="98"/>
  <c r="G744" i="98"/>
  <c r="F744" i="98"/>
  <c r="C744" i="98"/>
  <c r="G743" i="98"/>
  <c r="F743" i="98"/>
  <c r="E743" i="98"/>
  <c r="D743" i="98"/>
  <c r="C743" i="98"/>
  <c r="G742" i="98"/>
  <c r="F742" i="98"/>
  <c r="E742" i="98"/>
  <c r="D742" i="98"/>
  <c r="C742" i="98"/>
  <c r="G732" i="98"/>
  <c r="F732" i="98"/>
  <c r="E732" i="98"/>
  <c r="D732" i="98"/>
  <c r="C732" i="98"/>
  <c r="G731" i="98"/>
  <c r="E731" i="98"/>
  <c r="D731" i="98"/>
  <c r="C731" i="98"/>
  <c r="G730" i="98"/>
  <c r="E730" i="98"/>
  <c r="D730" i="98"/>
  <c r="C730" i="98"/>
  <c r="G729" i="98"/>
  <c r="E729" i="98"/>
  <c r="D729" i="98"/>
  <c r="C729" i="98"/>
  <c r="G728" i="98"/>
  <c r="F728" i="98"/>
  <c r="E728" i="98"/>
  <c r="D728" i="98"/>
  <c r="C728" i="98"/>
  <c r="G727" i="98"/>
  <c r="E727" i="98"/>
  <c r="D727" i="98"/>
  <c r="C727" i="98"/>
  <c r="G726" i="98"/>
  <c r="F726" i="98"/>
  <c r="E726" i="98"/>
  <c r="D726" i="98"/>
  <c r="C726" i="98"/>
  <c r="G725" i="98"/>
  <c r="F725" i="98"/>
  <c r="E725" i="98"/>
  <c r="D725" i="98"/>
  <c r="C725" i="98"/>
  <c r="G724" i="98"/>
  <c r="F724" i="98"/>
  <c r="C724" i="98"/>
  <c r="G723" i="98"/>
  <c r="F723" i="98"/>
  <c r="E723" i="98"/>
  <c r="D723" i="98"/>
  <c r="C723" i="98"/>
  <c r="G722" i="98"/>
  <c r="F722" i="98"/>
  <c r="E722" i="98"/>
  <c r="D722" i="98"/>
  <c r="C722" i="98"/>
  <c r="G670" i="98"/>
  <c r="F670" i="98"/>
  <c r="E670" i="98"/>
  <c r="D670" i="98"/>
  <c r="C670" i="98"/>
  <c r="G669" i="98"/>
  <c r="E669" i="98"/>
  <c r="D669" i="98"/>
  <c r="C669" i="98"/>
  <c r="G668" i="98"/>
  <c r="E668" i="98"/>
  <c r="D668" i="98"/>
  <c r="C668" i="98"/>
  <c r="G667" i="98"/>
  <c r="E667" i="98"/>
  <c r="D667" i="98"/>
  <c r="C667" i="98"/>
  <c r="G666" i="98"/>
  <c r="F666" i="98"/>
  <c r="E666" i="98"/>
  <c r="D666" i="98"/>
  <c r="C666" i="98"/>
  <c r="G665" i="98"/>
  <c r="E665" i="98"/>
  <c r="D665" i="98"/>
  <c r="C665" i="98"/>
  <c r="G664" i="98"/>
  <c r="F664" i="98"/>
  <c r="E664" i="98"/>
  <c r="D664" i="98"/>
  <c r="C664" i="98"/>
  <c r="G663" i="98"/>
  <c r="F663" i="98"/>
  <c r="C663" i="98"/>
  <c r="G662" i="98"/>
  <c r="F662" i="98"/>
  <c r="E662" i="98"/>
  <c r="D662" i="98"/>
  <c r="C662" i="98"/>
  <c r="G661" i="98"/>
  <c r="F661" i="98"/>
  <c r="E661" i="98"/>
  <c r="D661" i="98"/>
  <c r="G651" i="98"/>
  <c r="E651" i="98"/>
  <c r="D651" i="98"/>
  <c r="C651" i="98"/>
  <c r="G650" i="98"/>
  <c r="F650" i="98"/>
  <c r="E650" i="98"/>
  <c r="D650" i="98"/>
  <c r="C650" i="98"/>
  <c r="G649" i="98"/>
  <c r="F649" i="98"/>
  <c r="E649" i="98"/>
  <c r="D649" i="98"/>
  <c r="C649" i="98"/>
  <c r="G648" i="98"/>
  <c r="F648" i="98"/>
  <c r="E648" i="98"/>
  <c r="D648" i="98"/>
  <c r="C648" i="98"/>
  <c r="G647" i="98"/>
  <c r="F647" i="98"/>
  <c r="E647" i="98"/>
  <c r="D647" i="98"/>
  <c r="C647" i="98"/>
  <c r="G646" i="98"/>
  <c r="F646" i="98"/>
  <c r="E646" i="98"/>
  <c r="D646" i="98"/>
  <c r="C646" i="98"/>
  <c r="G645" i="98"/>
  <c r="F645" i="98"/>
  <c r="E645" i="98"/>
  <c r="D645" i="98"/>
  <c r="G635" i="98"/>
  <c r="E635" i="98"/>
  <c r="D635" i="98"/>
  <c r="C635" i="98"/>
  <c r="G634" i="98"/>
  <c r="E634" i="98"/>
  <c r="D634" i="98"/>
  <c r="C634" i="98"/>
  <c r="G633" i="98"/>
  <c r="F633" i="98"/>
  <c r="E633" i="98"/>
  <c r="D633" i="98"/>
  <c r="C633" i="98"/>
  <c r="G632" i="98"/>
  <c r="E632" i="98"/>
  <c r="D632" i="98"/>
  <c r="C632" i="98"/>
  <c r="G631" i="98"/>
  <c r="F631" i="98"/>
  <c r="E631" i="98"/>
  <c r="D631" i="98"/>
  <c r="C631" i="98"/>
  <c r="G630" i="98"/>
  <c r="F630" i="98"/>
  <c r="C630" i="98"/>
  <c r="G629" i="98"/>
  <c r="F629" i="98"/>
  <c r="E629" i="98"/>
  <c r="D629" i="98"/>
  <c r="C629" i="98"/>
  <c r="G628" i="98"/>
  <c r="F628" i="98"/>
  <c r="E628" i="98"/>
  <c r="D628" i="98"/>
  <c r="G618" i="98"/>
  <c r="E618" i="98"/>
  <c r="D618" i="98"/>
  <c r="C618" i="98"/>
  <c r="G617" i="98"/>
  <c r="F617" i="98"/>
  <c r="E617" i="98"/>
  <c r="D617" i="98"/>
  <c r="C617" i="98"/>
  <c r="G616" i="98"/>
  <c r="F616" i="98"/>
  <c r="E616" i="98"/>
  <c r="D616" i="98"/>
  <c r="C616" i="98"/>
  <c r="G615" i="98"/>
  <c r="F615" i="98"/>
  <c r="E615" i="98"/>
  <c r="D615" i="98"/>
  <c r="C615" i="98"/>
  <c r="G614" i="98"/>
  <c r="F614" i="98"/>
  <c r="E614" i="98"/>
  <c r="D614" i="98"/>
  <c r="G604" i="98"/>
  <c r="E604" i="98"/>
  <c r="D604" i="98"/>
  <c r="C604" i="98"/>
  <c r="G603" i="98"/>
  <c r="E603" i="98"/>
  <c r="D603" i="98"/>
  <c r="C603" i="98"/>
  <c r="G602" i="98"/>
  <c r="F602" i="98"/>
  <c r="E602" i="98"/>
  <c r="D602" i="98"/>
  <c r="C602" i="98"/>
  <c r="G601" i="98"/>
  <c r="E601" i="98"/>
  <c r="D601" i="98"/>
  <c r="C601" i="98"/>
  <c r="G600" i="98"/>
  <c r="F600" i="98"/>
  <c r="E600" i="98"/>
  <c r="D600" i="98"/>
  <c r="C600" i="98"/>
  <c r="G599" i="98"/>
  <c r="F599" i="98"/>
  <c r="E599" i="98"/>
  <c r="D599" i="98"/>
  <c r="C599" i="98"/>
  <c r="G598" i="98"/>
  <c r="F598" i="98"/>
  <c r="E598" i="98"/>
  <c r="D598" i="98"/>
  <c r="C598" i="98"/>
  <c r="G597" i="98"/>
  <c r="F597" i="98"/>
  <c r="E597" i="98"/>
  <c r="D597" i="98"/>
  <c r="C597" i="98"/>
  <c r="G596" i="98"/>
  <c r="E596" i="98"/>
  <c r="D596" i="98"/>
  <c r="G586" i="98"/>
  <c r="E586" i="98"/>
  <c r="D586" i="98"/>
  <c r="C586" i="98"/>
  <c r="G585" i="98"/>
  <c r="E585" i="98"/>
  <c r="D585" i="98"/>
  <c r="C585" i="98"/>
  <c r="G584" i="98"/>
  <c r="F584" i="98"/>
  <c r="E584" i="98"/>
  <c r="D584" i="98"/>
  <c r="C584" i="98"/>
  <c r="G583" i="98"/>
  <c r="E583" i="98"/>
  <c r="D583" i="98"/>
  <c r="C583" i="98"/>
  <c r="G582" i="98"/>
  <c r="F582" i="98"/>
  <c r="E582" i="98"/>
  <c r="D582" i="98"/>
  <c r="C582" i="98"/>
  <c r="G581" i="98"/>
  <c r="F581" i="98"/>
  <c r="E581" i="98"/>
  <c r="D581" i="98"/>
  <c r="C581" i="98"/>
  <c r="G580" i="98"/>
  <c r="F580" i="98"/>
  <c r="E580" i="98"/>
  <c r="D580" i="98"/>
  <c r="C580" i="98"/>
  <c r="G579" i="98"/>
  <c r="F579" i="98"/>
  <c r="E579" i="98"/>
  <c r="D579" i="98"/>
  <c r="C579" i="98"/>
  <c r="G578" i="98"/>
  <c r="E578" i="98"/>
  <c r="D578" i="98"/>
  <c r="G568" i="98"/>
  <c r="E568" i="98"/>
  <c r="D568" i="98"/>
  <c r="C568" i="98"/>
  <c r="G567" i="98"/>
  <c r="E567" i="98"/>
  <c r="D567" i="98"/>
  <c r="C567" i="98"/>
  <c r="G566" i="98"/>
  <c r="F566" i="98"/>
  <c r="E566" i="98"/>
  <c r="D566" i="98"/>
  <c r="C566" i="98"/>
  <c r="G565" i="98"/>
  <c r="E565" i="98"/>
  <c r="D565" i="98"/>
  <c r="C565" i="98"/>
  <c r="G564" i="98"/>
  <c r="F564" i="98"/>
  <c r="E564" i="98"/>
  <c r="D564" i="98"/>
  <c r="C564" i="98"/>
  <c r="G563" i="98"/>
  <c r="F563" i="98"/>
  <c r="E563" i="98"/>
  <c r="D563" i="98"/>
  <c r="C563" i="98"/>
  <c r="G562" i="98"/>
  <c r="F562" i="98"/>
  <c r="E562" i="98"/>
  <c r="D562" i="98"/>
  <c r="C562" i="98"/>
  <c r="G561" i="98"/>
  <c r="F561" i="98"/>
  <c r="E561" i="98"/>
  <c r="D561" i="98"/>
  <c r="C561" i="98"/>
  <c r="G560" i="98"/>
  <c r="E560" i="98"/>
  <c r="D560" i="98"/>
  <c r="G550" i="98"/>
  <c r="E550" i="98"/>
  <c r="D550" i="98"/>
  <c r="C550" i="98"/>
  <c r="G549" i="98"/>
  <c r="E549" i="98"/>
  <c r="D549" i="98"/>
  <c r="C549" i="98"/>
  <c r="G548" i="98"/>
  <c r="F548" i="98"/>
  <c r="E548" i="98"/>
  <c r="D548" i="98"/>
  <c r="C548" i="98"/>
  <c r="G547" i="98"/>
  <c r="E547" i="98"/>
  <c r="D547" i="98"/>
  <c r="C547" i="98"/>
  <c r="G546" i="98"/>
  <c r="F546" i="98"/>
  <c r="E546" i="98"/>
  <c r="D546" i="98"/>
  <c r="C546" i="98"/>
  <c r="G545" i="98"/>
  <c r="F545" i="98"/>
  <c r="C545" i="98"/>
  <c r="G544" i="98"/>
  <c r="F544" i="98"/>
  <c r="E544" i="98"/>
  <c r="D544" i="98"/>
  <c r="C544" i="98"/>
  <c r="G543" i="98"/>
  <c r="F543" i="98"/>
  <c r="E543" i="98"/>
  <c r="D543" i="98"/>
  <c r="G533" i="98"/>
  <c r="E533" i="98"/>
  <c r="D533" i="98"/>
  <c r="C533" i="98"/>
  <c r="G532" i="98"/>
  <c r="E532" i="98"/>
  <c r="D532" i="98"/>
  <c r="C532" i="98"/>
  <c r="G531" i="98"/>
  <c r="E531" i="98"/>
  <c r="D531" i="98"/>
  <c r="C531" i="98"/>
  <c r="G530" i="98"/>
  <c r="E530" i="98"/>
  <c r="D530" i="98"/>
  <c r="C530" i="98"/>
  <c r="G529" i="98"/>
  <c r="F529" i="98"/>
  <c r="E529" i="98"/>
  <c r="D529" i="98"/>
  <c r="C529" i="98"/>
  <c r="G528" i="98"/>
  <c r="E528" i="98"/>
  <c r="D528" i="98"/>
  <c r="C528" i="98"/>
  <c r="G527" i="98"/>
  <c r="F527" i="98"/>
  <c r="E527" i="98"/>
  <c r="D527" i="98"/>
  <c r="C527" i="98"/>
  <c r="G526" i="98"/>
  <c r="F526" i="98"/>
  <c r="E526" i="98"/>
  <c r="D526" i="98"/>
  <c r="C526" i="98"/>
  <c r="G525" i="98"/>
  <c r="F525" i="98"/>
  <c r="E525" i="98"/>
  <c r="D525" i="98"/>
  <c r="E515" i="98"/>
  <c r="D515" i="98"/>
  <c r="C515" i="98"/>
  <c r="G514" i="98"/>
  <c r="F514" i="98"/>
  <c r="E514" i="98"/>
  <c r="D514" i="98"/>
  <c r="C514" i="98"/>
  <c r="E513" i="98"/>
  <c r="D513" i="98"/>
  <c r="C513" i="98"/>
  <c r="F512" i="98"/>
  <c r="E512" i="98"/>
  <c r="D512" i="98"/>
  <c r="C512" i="98"/>
  <c r="F511" i="98"/>
  <c r="E511" i="98"/>
  <c r="D511" i="98"/>
  <c r="C511" i="98"/>
  <c r="G510" i="98"/>
  <c r="F510" i="98"/>
  <c r="E510" i="98"/>
  <c r="D510" i="98"/>
  <c r="C510" i="98"/>
  <c r="G509" i="98"/>
  <c r="D509" i="98"/>
  <c r="E499" i="98"/>
  <c r="D499" i="98"/>
  <c r="C499" i="98"/>
  <c r="G498" i="98"/>
  <c r="F498" i="98"/>
  <c r="E498" i="98"/>
  <c r="D498" i="98"/>
  <c r="C498" i="98"/>
  <c r="E497" i="98"/>
  <c r="D497" i="98"/>
  <c r="C497" i="98"/>
  <c r="F496" i="98"/>
  <c r="E496" i="98"/>
  <c r="D496" i="98"/>
  <c r="C496" i="98"/>
  <c r="F495" i="98"/>
  <c r="E495" i="98"/>
  <c r="D495" i="98"/>
  <c r="C495" i="98"/>
  <c r="G494" i="98"/>
  <c r="F494" i="98"/>
  <c r="E494" i="98"/>
  <c r="D494" i="98"/>
  <c r="C494" i="98"/>
  <c r="G493" i="98"/>
  <c r="D493" i="98"/>
  <c r="G483" i="98"/>
  <c r="E483" i="98"/>
  <c r="D483" i="98"/>
  <c r="C483" i="98"/>
  <c r="G482" i="98"/>
  <c r="F482" i="98"/>
  <c r="E482" i="98"/>
  <c r="D482" i="98"/>
  <c r="C482" i="98"/>
  <c r="E481" i="98"/>
  <c r="D481" i="98"/>
  <c r="C481" i="98"/>
  <c r="G480" i="98"/>
  <c r="F480" i="98"/>
  <c r="E480" i="98"/>
  <c r="D480" i="98"/>
  <c r="C480" i="98"/>
  <c r="G479" i="98"/>
  <c r="E479" i="98"/>
  <c r="D479" i="98"/>
  <c r="C479" i="98"/>
  <c r="G478" i="98"/>
  <c r="F478" i="98"/>
  <c r="E478" i="98"/>
  <c r="D478" i="98"/>
  <c r="C478" i="98"/>
  <c r="G477" i="98"/>
  <c r="F477" i="98"/>
  <c r="E477" i="98"/>
  <c r="C477" i="98"/>
  <c r="G476" i="98"/>
  <c r="F476" i="98"/>
  <c r="E476" i="98"/>
  <c r="D476" i="98"/>
  <c r="C476" i="98"/>
  <c r="G475" i="98"/>
  <c r="E475" i="98"/>
  <c r="D475" i="98"/>
  <c r="C475" i="98"/>
  <c r="G465" i="98"/>
  <c r="E465" i="98"/>
  <c r="D465" i="98"/>
  <c r="C465" i="98"/>
  <c r="G464" i="98"/>
  <c r="E464" i="98"/>
  <c r="D464" i="98"/>
  <c r="C464" i="98"/>
  <c r="E463" i="98"/>
  <c r="C463" i="98"/>
  <c r="G462" i="98"/>
  <c r="F462" i="98"/>
  <c r="E462" i="98"/>
  <c r="D462" i="98"/>
  <c r="C462" i="98"/>
  <c r="G461" i="98"/>
  <c r="E461" i="98"/>
  <c r="D461" i="98"/>
  <c r="C461" i="98"/>
  <c r="G460" i="98"/>
  <c r="F460" i="98"/>
  <c r="E460" i="98"/>
  <c r="D460" i="98"/>
  <c r="C460" i="98"/>
  <c r="F459" i="98"/>
  <c r="E459" i="98"/>
  <c r="C459" i="98"/>
  <c r="G458" i="98"/>
  <c r="F458" i="98"/>
  <c r="E458" i="98"/>
  <c r="D458" i="98"/>
  <c r="C458" i="98"/>
  <c r="G457" i="98"/>
  <c r="F457" i="98"/>
  <c r="E457" i="98"/>
  <c r="C457" i="98"/>
  <c r="G456" i="98"/>
  <c r="F456" i="98"/>
  <c r="E456" i="98"/>
  <c r="D456" i="98"/>
  <c r="C456" i="98"/>
  <c r="G455" i="98"/>
  <c r="D455" i="98"/>
  <c r="G445" i="98"/>
  <c r="E445" i="98"/>
  <c r="D445" i="98"/>
  <c r="C445" i="98"/>
  <c r="G444" i="98"/>
  <c r="E444" i="98"/>
  <c r="D444" i="98"/>
  <c r="C444" i="98"/>
  <c r="G443" i="98"/>
  <c r="E443" i="98"/>
  <c r="D443" i="98"/>
  <c r="C443" i="98"/>
  <c r="G442" i="98"/>
  <c r="F442" i="98"/>
  <c r="E442" i="98"/>
  <c r="D442" i="98"/>
  <c r="C442" i="98"/>
  <c r="G441" i="98"/>
  <c r="E441" i="98"/>
  <c r="D441" i="98"/>
  <c r="C441" i="98"/>
  <c r="G440" i="98"/>
  <c r="F440" i="98"/>
  <c r="E440" i="98"/>
  <c r="D440" i="98"/>
  <c r="C440" i="98"/>
  <c r="G439" i="98"/>
  <c r="F439" i="98"/>
  <c r="E439" i="98"/>
  <c r="D439" i="98"/>
  <c r="C439" i="98"/>
  <c r="G438" i="98"/>
  <c r="F438" i="98"/>
  <c r="E438" i="98"/>
  <c r="D438" i="98"/>
  <c r="C438" i="98"/>
  <c r="G437" i="98"/>
  <c r="F437" i="98"/>
  <c r="E437" i="98"/>
  <c r="D437" i="98"/>
  <c r="C437" i="98"/>
  <c r="G436" i="98"/>
  <c r="F436" i="98"/>
  <c r="E436" i="98"/>
  <c r="D436" i="98"/>
  <c r="C436" i="98"/>
  <c r="G435" i="98"/>
  <c r="E435" i="98"/>
  <c r="D435" i="98"/>
  <c r="G425" i="98"/>
  <c r="F425" i="98"/>
  <c r="E425" i="98"/>
  <c r="D425" i="98"/>
  <c r="C425" i="98"/>
  <c r="G424" i="98"/>
  <c r="E424" i="98"/>
  <c r="D424" i="98"/>
  <c r="C424" i="98"/>
  <c r="G423" i="98"/>
  <c r="E423" i="98"/>
  <c r="D423" i="98"/>
  <c r="C423" i="98"/>
  <c r="G422" i="98"/>
  <c r="F422" i="98"/>
  <c r="E422" i="98"/>
  <c r="D422" i="98"/>
  <c r="C422" i="98"/>
  <c r="G421" i="98"/>
  <c r="E421" i="98"/>
  <c r="D421" i="98"/>
  <c r="C421" i="98"/>
  <c r="G420" i="98"/>
  <c r="F420" i="98"/>
  <c r="E420" i="98"/>
  <c r="D420" i="98"/>
  <c r="C420" i="98"/>
  <c r="G419" i="98"/>
  <c r="F419" i="98"/>
  <c r="E419" i="98"/>
  <c r="D419" i="98"/>
  <c r="C419" i="98"/>
  <c r="G418" i="98"/>
  <c r="F418" i="98"/>
  <c r="C418" i="98"/>
  <c r="G417" i="98"/>
  <c r="F417" i="98"/>
  <c r="E417" i="98"/>
  <c r="D417" i="98"/>
  <c r="C417" i="98"/>
  <c r="G416" i="98"/>
  <c r="F416" i="98"/>
  <c r="E416" i="98"/>
  <c r="D416" i="98"/>
  <c r="E389" i="98"/>
  <c r="D389" i="98"/>
  <c r="C389" i="98"/>
  <c r="E388" i="98"/>
  <c r="D388" i="98"/>
  <c r="C388" i="98"/>
  <c r="G387" i="98"/>
  <c r="F387" i="98"/>
  <c r="E387" i="98"/>
  <c r="D387" i="98"/>
  <c r="C387" i="98"/>
  <c r="E386" i="98"/>
  <c r="D386" i="98"/>
  <c r="C386" i="98"/>
  <c r="F385" i="98"/>
  <c r="E385" i="98"/>
  <c r="D385" i="98"/>
  <c r="C385" i="98"/>
  <c r="F384" i="98"/>
  <c r="E384" i="98"/>
  <c r="C384" i="98"/>
  <c r="G383" i="98"/>
  <c r="F383" i="98"/>
  <c r="E383" i="98"/>
  <c r="D383" i="98"/>
  <c r="C383" i="98"/>
  <c r="G382" i="98"/>
  <c r="F382" i="98"/>
  <c r="E382" i="98"/>
  <c r="D382" i="98"/>
  <c r="G372" i="98"/>
  <c r="E372" i="98"/>
  <c r="D372" i="98"/>
  <c r="C372" i="98"/>
  <c r="G371" i="98"/>
  <c r="E371" i="98"/>
  <c r="D371" i="98"/>
  <c r="C371" i="98"/>
  <c r="G370" i="98"/>
  <c r="E370" i="98"/>
  <c r="D370" i="98"/>
  <c r="C370" i="98"/>
  <c r="G369" i="98"/>
  <c r="F369" i="98"/>
  <c r="E369" i="98"/>
  <c r="D369" i="98"/>
  <c r="C369" i="98"/>
  <c r="G368" i="98"/>
  <c r="E368" i="98"/>
  <c r="D368" i="98"/>
  <c r="C368" i="98"/>
  <c r="F367" i="98"/>
  <c r="E367" i="98"/>
  <c r="D367" i="98"/>
  <c r="C367" i="98"/>
  <c r="F366" i="98"/>
  <c r="E366" i="98"/>
  <c r="D366" i="98"/>
  <c r="C366" i="98"/>
  <c r="F365" i="98"/>
  <c r="E365" i="98"/>
  <c r="D365" i="98"/>
  <c r="C365" i="98"/>
  <c r="G364" i="98"/>
  <c r="F364" i="98"/>
  <c r="E364" i="98"/>
  <c r="D364" i="98"/>
  <c r="C364" i="98"/>
  <c r="G363" i="98"/>
  <c r="F363" i="98"/>
  <c r="E363" i="98"/>
  <c r="D363" i="98"/>
  <c r="G353" i="98"/>
  <c r="F353" i="98"/>
  <c r="E353" i="98"/>
  <c r="D353" i="98"/>
  <c r="C353" i="98"/>
  <c r="E352" i="98"/>
  <c r="D352" i="98"/>
  <c r="C352" i="98"/>
  <c r="E351" i="98"/>
  <c r="D351" i="98"/>
  <c r="C351" i="98"/>
  <c r="G350" i="98"/>
  <c r="F350" i="98"/>
  <c r="E350" i="98"/>
  <c r="D350" i="98"/>
  <c r="C350" i="98"/>
  <c r="E349" i="98"/>
  <c r="D349" i="98"/>
  <c r="C349" i="98"/>
  <c r="G348" i="98"/>
  <c r="F348" i="98"/>
  <c r="E348" i="98"/>
  <c r="D348" i="98"/>
  <c r="C348" i="98"/>
  <c r="F347" i="98"/>
  <c r="E347" i="98"/>
  <c r="D347" i="98"/>
  <c r="C347" i="98"/>
  <c r="E346" i="98"/>
  <c r="D346" i="98"/>
  <c r="C346" i="98"/>
  <c r="G345" i="98"/>
  <c r="F345" i="98"/>
  <c r="E345" i="98"/>
  <c r="D345" i="98"/>
  <c r="C345" i="98"/>
  <c r="G344" i="98"/>
  <c r="F344" i="98"/>
  <c r="E344" i="98"/>
  <c r="D344" i="98"/>
  <c r="G334" i="98"/>
  <c r="F334" i="98"/>
  <c r="E334" i="98"/>
  <c r="D334" i="98"/>
  <c r="C334" i="98"/>
  <c r="E333" i="98"/>
  <c r="D333" i="98"/>
  <c r="C333" i="98"/>
  <c r="G332" i="98"/>
  <c r="F332" i="98"/>
  <c r="E332" i="98"/>
  <c r="D332" i="98"/>
  <c r="C332" i="98"/>
  <c r="E331" i="98"/>
  <c r="D331" i="98"/>
  <c r="C331" i="98"/>
  <c r="G330" i="98"/>
  <c r="F330" i="98"/>
  <c r="E330" i="98"/>
  <c r="D330" i="98"/>
  <c r="C330" i="98"/>
  <c r="F329" i="98"/>
  <c r="E329" i="98"/>
  <c r="D329" i="98"/>
  <c r="C329" i="98"/>
  <c r="E328" i="98"/>
  <c r="D328" i="98"/>
  <c r="C328" i="98"/>
  <c r="E327" i="98"/>
  <c r="C327" i="98"/>
  <c r="G326" i="98"/>
  <c r="F326" i="98"/>
  <c r="E326" i="98"/>
  <c r="D326" i="98"/>
  <c r="C326" i="98"/>
  <c r="G325" i="98"/>
  <c r="F325" i="98"/>
  <c r="E325" i="98"/>
  <c r="G315" i="98"/>
  <c r="F315" i="98"/>
  <c r="E315" i="98"/>
  <c r="D315" i="98"/>
  <c r="C315" i="98"/>
  <c r="E314" i="98"/>
  <c r="D314" i="98"/>
  <c r="C314" i="98"/>
  <c r="E313" i="98"/>
  <c r="D313" i="98"/>
  <c r="C313" i="98"/>
  <c r="G312" i="98"/>
  <c r="F312" i="98"/>
  <c r="E312" i="98"/>
  <c r="D312" i="98"/>
  <c r="C312" i="98"/>
  <c r="E311" i="98"/>
  <c r="D311" i="98"/>
  <c r="C311" i="98"/>
  <c r="G310" i="98"/>
  <c r="F310" i="98"/>
  <c r="E310" i="98"/>
  <c r="D310" i="98"/>
  <c r="C310" i="98"/>
  <c r="F309" i="98"/>
  <c r="E309" i="98"/>
  <c r="D309" i="98"/>
  <c r="C309" i="98"/>
  <c r="E308" i="98"/>
  <c r="D308" i="98"/>
  <c r="C308" i="98"/>
  <c r="G307" i="98"/>
  <c r="F307" i="98"/>
  <c r="E307" i="98"/>
  <c r="D307" i="98"/>
  <c r="C307" i="98"/>
  <c r="G306" i="98"/>
  <c r="F306" i="98"/>
  <c r="E306" i="98"/>
  <c r="D306" i="98"/>
  <c r="G296" i="98"/>
  <c r="F296" i="98"/>
  <c r="E296" i="98"/>
  <c r="D296" i="98"/>
  <c r="C296" i="98"/>
  <c r="E295" i="98"/>
  <c r="D295" i="98"/>
  <c r="C295" i="98"/>
  <c r="G294" i="98"/>
  <c r="F294" i="98"/>
  <c r="E294" i="98"/>
  <c r="D294" i="98"/>
  <c r="C294" i="98"/>
  <c r="E293" i="98"/>
  <c r="D293" i="98"/>
  <c r="C293" i="98"/>
  <c r="G292" i="98"/>
  <c r="F292" i="98"/>
  <c r="E292" i="98"/>
  <c r="D292" i="98"/>
  <c r="C292" i="98"/>
  <c r="F291" i="98"/>
  <c r="E291" i="98"/>
  <c r="D291" i="98"/>
  <c r="C291" i="98"/>
  <c r="E290" i="98"/>
  <c r="D290" i="98"/>
  <c r="C290" i="98"/>
  <c r="E289" i="98"/>
  <c r="C289" i="98"/>
  <c r="G288" i="98"/>
  <c r="F288" i="98"/>
  <c r="E288" i="98"/>
  <c r="D288" i="98"/>
  <c r="C288" i="98"/>
  <c r="G287" i="98"/>
  <c r="F287" i="98"/>
  <c r="E287" i="98"/>
  <c r="G263" i="98"/>
  <c r="E263" i="98"/>
  <c r="D263" i="98"/>
  <c r="C263" i="98"/>
  <c r="G262" i="98"/>
  <c r="F262" i="98"/>
  <c r="E262" i="98"/>
  <c r="D262" i="98"/>
  <c r="C262" i="98"/>
  <c r="G261" i="98"/>
  <c r="F261" i="98"/>
  <c r="E261" i="98"/>
  <c r="D261" i="98"/>
  <c r="C261" i="98"/>
  <c r="G260" i="98"/>
  <c r="F260" i="98"/>
  <c r="E260" i="98"/>
  <c r="D260" i="98"/>
  <c r="C260" i="98"/>
  <c r="G259" i="98"/>
  <c r="F259" i="98"/>
  <c r="E259" i="98"/>
  <c r="D259" i="98"/>
  <c r="C259" i="98"/>
  <c r="G258" i="98"/>
  <c r="F258" i="98"/>
  <c r="E258" i="98"/>
  <c r="D258" i="98"/>
  <c r="C258" i="98"/>
  <c r="G257" i="98"/>
  <c r="F257" i="98"/>
  <c r="E257" i="98"/>
  <c r="D257" i="98"/>
  <c r="G247" i="98"/>
  <c r="F247" i="98"/>
  <c r="E247" i="98"/>
  <c r="D247" i="98"/>
  <c r="C247" i="98"/>
  <c r="G246" i="98"/>
  <c r="E246" i="98"/>
  <c r="D246" i="98"/>
  <c r="C246" i="98"/>
  <c r="G245" i="98"/>
  <c r="E245" i="98"/>
  <c r="D245" i="98"/>
  <c r="C245" i="98"/>
  <c r="G244" i="98"/>
  <c r="E244" i="98"/>
  <c r="D244" i="98"/>
  <c r="C244" i="98"/>
  <c r="G243" i="98"/>
  <c r="F243" i="98"/>
  <c r="E243" i="98"/>
  <c r="D243" i="98"/>
  <c r="C243" i="98"/>
  <c r="G242" i="98"/>
  <c r="E242" i="98"/>
  <c r="D242" i="98"/>
  <c r="C242" i="98"/>
  <c r="G241" i="98"/>
  <c r="F241" i="98"/>
  <c r="E241" i="98"/>
  <c r="D241" i="98"/>
  <c r="C241" i="98"/>
  <c r="F240" i="98"/>
  <c r="E240" i="98"/>
  <c r="D240" i="98"/>
  <c r="C240" i="98"/>
  <c r="F239" i="98"/>
  <c r="E239" i="98"/>
  <c r="D239" i="98"/>
  <c r="C239" i="98"/>
  <c r="G238" i="98"/>
  <c r="F238" i="98"/>
  <c r="E238" i="98"/>
  <c r="D238" i="98"/>
  <c r="C238" i="98"/>
  <c r="G237" i="98"/>
  <c r="E237" i="98"/>
  <c r="C237" i="98"/>
  <c r="F236" i="98"/>
  <c r="E236" i="98"/>
  <c r="C236" i="98"/>
  <c r="G235" i="98"/>
  <c r="F235" i="98"/>
  <c r="E235" i="98"/>
  <c r="D235" i="98"/>
  <c r="C235" i="98"/>
  <c r="G234" i="98"/>
  <c r="E234" i="98"/>
  <c r="E224" i="98"/>
  <c r="D224" i="98"/>
  <c r="C224" i="98"/>
  <c r="G223" i="98"/>
  <c r="F223" i="98"/>
  <c r="E223" i="98"/>
  <c r="D223" i="98"/>
  <c r="C223" i="98"/>
  <c r="E222" i="98"/>
  <c r="D222" i="98"/>
  <c r="C222" i="98"/>
  <c r="G221" i="98"/>
  <c r="F221" i="98"/>
  <c r="E221" i="98"/>
  <c r="D221" i="98"/>
  <c r="C221" i="98"/>
  <c r="G220" i="98"/>
  <c r="F220" i="98"/>
  <c r="E220" i="98"/>
  <c r="D220" i="98"/>
  <c r="C220" i="98"/>
  <c r="G219" i="98"/>
  <c r="F219" i="98"/>
  <c r="E219" i="98"/>
  <c r="D219" i="98"/>
  <c r="C219" i="98"/>
  <c r="G218" i="98"/>
  <c r="F218" i="98"/>
  <c r="E218" i="98"/>
  <c r="D218" i="98"/>
  <c r="C218" i="98"/>
  <c r="G217" i="98"/>
  <c r="E217" i="98"/>
  <c r="D217" i="98"/>
  <c r="G207" i="98"/>
  <c r="E207" i="98"/>
  <c r="D207" i="98"/>
  <c r="C207" i="98"/>
  <c r="G206" i="98"/>
  <c r="E206" i="98"/>
  <c r="D206" i="98"/>
  <c r="C206" i="98"/>
  <c r="G205" i="98"/>
  <c r="E205" i="98"/>
  <c r="D205" i="98"/>
  <c r="C205" i="98"/>
  <c r="G204" i="98"/>
  <c r="F204" i="98"/>
  <c r="E204" i="98"/>
  <c r="D204" i="98"/>
  <c r="C204" i="98"/>
  <c r="E203" i="98"/>
  <c r="D203" i="98"/>
  <c r="C203" i="98"/>
  <c r="G202" i="98"/>
  <c r="F202" i="98"/>
  <c r="E202" i="98"/>
  <c r="D202" i="98"/>
  <c r="C202" i="98"/>
  <c r="G201" i="98"/>
  <c r="F201" i="98"/>
  <c r="E201" i="98"/>
  <c r="D201" i="98"/>
  <c r="C201" i="98"/>
  <c r="G200" i="98"/>
  <c r="F200" i="98"/>
  <c r="E200" i="98"/>
  <c r="D200" i="98"/>
  <c r="C200" i="98"/>
  <c r="G199" i="98"/>
  <c r="E199" i="98"/>
  <c r="D199" i="98"/>
  <c r="C199" i="98"/>
  <c r="G198" i="98"/>
  <c r="F198" i="98"/>
  <c r="E198" i="98"/>
  <c r="D198" i="98"/>
  <c r="C198" i="98"/>
  <c r="G197" i="98"/>
  <c r="F197" i="98"/>
  <c r="E197" i="98"/>
  <c r="D197" i="98"/>
  <c r="C197" i="98"/>
  <c r="G196" i="98"/>
  <c r="F196" i="98"/>
  <c r="E196" i="98"/>
  <c r="D196" i="98"/>
  <c r="C196" i="98"/>
  <c r="G195" i="98"/>
  <c r="E195" i="98"/>
  <c r="D195" i="98"/>
  <c r="E185" i="98"/>
  <c r="D185" i="98"/>
  <c r="C185" i="98"/>
  <c r="G184" i="98"/>
  <c r="F184" i="98"/>
  <c r="E184" i="98"/>
  <c r="D184" i="98"/>
  <c r="C184" i="98"/>
  <c r="E183" i="98"/>
  <c r="D183" i="98"/>
  <c r="C183" i="98"/>
  <c r="F182" i="98"/>
  <c r="C182" i="98"/>
  <c r="G181" i="98"/>
  <c r="F181" i="98"/>
  <c r="E181" i="98"/>
  <c r="D181" i="98"/>
  <c r="C181" i="98"/>
  <c r="G180" i="98"/>
  <c r="F180" i="98"/>
  <c r="E180" i="98"/>
  <c r="G170" i="98"/>
  <c r="F170" i="98"/>
  <c r="E170" i="98"/>
  <c r="D170" i="98"/>
  <c r="C170" i="98"/>
  <c r="E169" i="98"/>
  <c r="D169" i="98"/>
  <c r="C169" i="98"/>
  <c r="E168" i="98"/>
  <c r="D168" i="98"/>
  <c r="C168" i="98"/>
  <c r="F167" i="98"/>
  <c r="E167" i="98"/>
  <c r="D167" i="98"/>
  <c r="C167" i="98"/>
  <c r="E166" i="98"/>
  <c r="D166" i="98"/>
  <c r="C166" i="98"/>
  <c r="G165" i="98"/>
  <c r="E165" i="98"/>
  <c r="D165" i="98"/>
  <c r="E155" i="98"/>
  <c r="D155" i="98"/>
  <c r="C155" i="98"/>
  <c r="F154" i="98"/>
  <c r="E154" i="98"/>
  <c r="D154" i="98"/>
  <c r="C154" i="98"/>
  <c r="E153" i="98"/>
  <c r="D153" i="98"/>
  <c r="C153" i="98"/>
  <c r="G152" i="98"/>
  <c r="E152" i="98"/>
  <c r="D152" i="98"/>
  <c r="E142" i="98"/>
  <c r="C142" i="98"/>
  <c r="G141" i="98"/>
  <c r="F141" i="98"/>
  <c r="D141" i="98"/>
  <c r="C141" i="98"/>
  <c r="D140" i="98"/>
  <c r="C140" i="98"/>
  <c r="G139" i="98"/>
  <c r="D139" i="98"/>
  <c r="G129" i="98"/>
  <c r="F129" i="98"/>
  <c r="E129" i="98"/>
  <c r="D129" i="98"/>
  <c r="C129" i="98"/>
  <c r="G128" i="98"/>
  <c r="E128" i="98"/>
  <c r="D128" i="98"/>
  <c r="C128" i="98"/>
  <c r="G127" i="98"/>
  <c r="E127" i="98"/>
  <c r="D127" i="98"/>
  <c r="C127" i="98"/>
  <c r="G126" i="98"/>
  <c r="E126" i="98"/>
  <c r="D126" i="98"/>
  <c r="C126" i="98"/>
  <c r="G125" i="98"/>
  <c r="F125" i="98"/>
  <c r="E125" i="98"/>
  <c r="D125" i="98"/>
  <c r="C125" i="98"/>
  <c r="G124" i="98"/>
  <c r="E124" i="98"/>
  <c r="D124" i="98"/>
  <c r="C124" i="98"/>
  <c r="G123" i="98"/>
  <c r="F123" i="98"/>
  <c r="E123" i="98"/>
  <c r="D123" i="98"/>
  <c r="C123" i="98"/>
  <c r="G122" i="98"/>
  <c r="F122" i="98"/>
  <c r="E122" i="98"/>
  <c r="D122" i="98"/>
  <c r="C122" i="98"/>
  <c r="G121" i="98"/>
  <c r="E121" i="98"/>
  <c r="D121" i="98"/>
  <c r="C121" i="98"/>
  <c r="G120" i="98"/>
  <c r="F120" i="98"/>
  <c r="E120" i="98"/>
  <c r="D120" i="98"/>
  <c r="C120" i="98"/>
  <c r="G119" i="98"/>
  <c r="F119" i="98"/>
  <c r="E119" i="98"/>
  <c r="D119" i="98"/>
  <c r="C119" i="98"/>
  <c r="G118" i="98"/>
  <c r="F118" i="98"/>
  <c r="E118" i="98"/>
  <c r="D118" i="98"/>
  <c r="C118" i="98"/>
  <c r="G117" i="98"/>
  <c r="F117" i="98"/>
  <c r="E117" i="98"/>
  <c r="D117" i="98"/>
  <c r="C117" i="98"/>
  <c r="G116" i="98"/>
  <c r="F116" i="98"/>
  <c r="E116" i="98"/>
  <c r="D116" i="98"/>
  <c r="G106" i="98"/>
  <c r="E106" i="98"/>
  <c r="D106" i="98"/>
  <c r="C106" i="98"/>
  <c r="G105" i="98"/>
  <c r="E105" i="98"/>
  <c r="D105" i="98"/>
  <c r="C105" i="98"/>
  <c r="G104" i="98"/>
  <c r="F104" i="98"/>
  <c r="E104" i="98"/>
  <c r="D104" i="98"/>
  <c r="C104" i="98"/>
  <c r="G103" i="98"/>
  <c r="E103" i="98"/>
  <c r="D103" i="98"/>
  <c r="C103" i="98"/>
  <c r="G102" i="98"/>
  <c r="F102" i="98"/>
  <c r="C102" i="98"/>
  <c r="G101" i="98"/>
  <c r="F101" i="98"/>
  <c r="E101" i="98"/>
  <c r="D101" i="98"/>
  <c r="C101" i="98"/>
  <c r="G100" i="98"/>
  <c r="F100" i="98"/>
  <c r="D100" i="98"/>
  <c r="G90" i="98"/>
  <c r="E90" i="98"/>
  <c r="D90" i="98"/>
  <c r="C90" i="98"/>
  <c r="G89" i="98"/>
  <c r="E89" i="98"/>
  <c r="D89" i="98"/>
  <c r="C89" i="98"/>
  <c r="G88" i="98"/>
  <c r="E88" i="98"/>
  <c r="D88" i="98"/>
  <c r="C88" i="98"/>
  <c r="G87" i="98"/>
  <c r="F87" i="98"/>
  <c r="E87" i="98"/>
  <c r="D87" i="98"/>
  <c r="C87" i="98"/>
  <c r="G86" i="98"/>
  <c r="E86" i="98"/>
  <c r="D86" i="98"/>
  <c r="C86" i="98"/>
  <c r="G85" i="98"/>
  <c r="F85" i="98"/>
  <c r="E85" i="98"/>
  <c r="D85" i="98"/>
  <c r="C85" i="98"/>
  <c r="G84" i="98"/>
  <c r="F84" i="98"/>
  <c r="E84" i="98"/>
  <c r="D84" i="98"/>
  <c r="C84" i="98"/>
  <c r="G83" i="98"/>
  <c r="F83" i="98"/>
  <c r="E83" i="98"/>
  <c r="D83" i="98"/>
  <c r="C83" i="98"/>
  <c r="G82" i="98"/>
  <c r="F82" i="98"/>
  <c r="E82" i="98"/>
  <c r="D82" i="98"/>
  <c r="C82" i="98"/>
  <c r="G81" i="98"/>
  <c r="E81" i="98"/>
  <c r="D81" i="98"/>
  <c r="G71" i="98"/>
  <c r="E71" i="98"/>
  <c r="D71" i="98"/>
  <c r="C71" i="98"/>
  <c r="G70" i="98"/>
  <c r="E70" i="98"/>
  <c r="D70" i="98"/>
  <c r="C70" i="98"/>
  <c r="G69" i="98"/>
  <c r="E69" i="98"/>
  <c r="D69" i="98"/>
  <c r="C69" i="98"/>
  <c r="G68" i="98"/>
  <c r="F68" i="98"/>
  <c r="E68" i="98"/>
  <c r="D68" i="98"/>
  <c r="C68" i="98"/>
  <c r="G67" i="98"/>
  <c r="E67" i="98"/>
  <c r="D67" i="98"/>
  <c r="C67" i="98"/>
  <c r="G66" i="98"/>
  <c r="F66" i="98"/>
  <c r="E66" i="98"/>
  <c r="D66" i="98"/>
  <c r="C66" i="98"/>
  <c r="G65" i="98"/>
  <c r="F65" i="98"/>
  <c r="E65" i="98"/>
  <c r="D65" i="98"/>
  <c r="C65" i="98"/>
  <c r="G64" i="98"/>
  <c r="F64" i="98"/>
  <c r="E64" i="98"/>
  <c r="D64" i="98"/>
  <c r="C64" i="98"/>
  <c r="G63" i="98"/>
  <c r="F63" i="98"/>
  <c r="E63" i="98"/>
  <c r="D63" i="98"/>
  <c r="C63" i="98"/>
  <c r="G62" i="98"/>
  <c r="E62" i="98"/>
  <c r="D62" i="98"/>
  <c r="G52" i="98"/>
  <c r="E25" i="104" s="1"/>
  <c r="E52" i="98"/>
  <c r="C25" i="104" s="1"/>
  <c r="D52" i="98"/>
  <c r="C52" i="98"/>
  <c r="G51" i="98"/>
  <c r="E24" i="104" s="1"/>
  <c r="F51" i="98"/>
  <c r="D24" i="104" s="1"/>
  <c r="E51" i="98"/>
  <c r="C24" i="104" s="1"/>
  <c r="D51" i="98"/>
  <c r="C51" i="98"/>
  <c r="G50" i="98"/>
  <c r="E23" i="104" s="1"/>
  <c r="E50" i="98"/>
  <c r="C23" i="104" s="1"/>
  <c r="D50" i="98"/>
  <c r="C50" i="98"/>
  <c r="G49" i="98"/>
  <c r="E22" i="104" s="1"/>
  <c r="E49" i="98"/>
  <c r="C22" i="104" s="1"/>
  <c r="D49" i="98"/>
  <c r="C49" i="98"/>
  <c r="G48" i="98"/>
  <c r="E21" i="104" s="1"/>
  <c r="E48" i="98"/>
  <c r="C21" i="104" s="1"/>
  <c r="D48" i="98"/>
  <c r="C48" i="98"/>
  <c r="G47" i="98"/>
  <c r="E20" i="104" s="1"/>
  <c r="F47" i="98"/>
  <c r="D20" i="104" s="1"/>
  <c r="E47" i="98"/>
  <c r="C20" i="104" s="1"/>
  <c r="D47" i="98"/>
  <c r="C47" i="98"/>
  <c r="G46" i="98"/>
  <c r="E19" i="104" s="1"/>
  <c r="E46" i="98"/>
  <c r="C19" i="104" s="1"/>
  <c r="D46" i="98"/>
  <c r="C46" i="98"/>
  <c r="G45" i="98"/>
  <c r="F45" i="98"/>
  <c r="E45" i="98"/>
  <c r="D45" i="98"/>
  <c r="G16" i="98"/>
  <c r="E17" i="104" s="1"/>
  <c r="F16" i="98"/>
  <c r="D17" i="104" s="1"/>
  <c r="E16" i="98"/>
  <c r="C17" i="104" s="1"/>
  <c r="D16" i="98"/>
  <c r="C16" i="98"/>
  <c r="G15" i="98"/>
  <c r="E16" i="104" s="1"/>
  <c r="E15" i="98"/>
  <c r="C16" i="104" s="1"/>
  <c r="D15" i="98"/>
  <c r="C15" i="98"/>
  <c r="G14" i="98"/>
  <c r="E15" i="104" s="1"/>
  <c r="E14" i="98"/>
  <c r="C15" i="104" s="1"/>
  <c r="D14" i="98"/>
  <c r="C14" i="98"/>
  <c r="G13" i="98"/>
  <c r="E14" i="104" s="1"/>
  <c r="E13" i="98"/>
  <c r="C14" i="104" s="1"/>
  <c r="D13" i="98"/>
  <c r="C13" i="98"/>
  <c r="G12" i="98"/>
  <c r="E13" i="104" s="1"/>
  <c r="F12" i="98"/>
  <c r="D13" i="104" s="1"/>
  <c r="E12" i="98"/>
  <c r="C13" i="104" s="1"/>
  <c r="D12" i="98"/>
  <c r="C12" i="98"/>
  <c r="G11" i="98"/>
  <c r="E12" i="104" s="1"/>
  <c r="E11" i="98"/>
  <c r="C12" i="104" s="1"/>
  <c r="D11" i="98"/>
  <c r="C11" i="98"/>
  <c r="G10" i="98"/>
  <c r="E11" i="104" s="1"/>
  <c r="F10" i="98"/>
  <c r="D11" i="104" s="1"/>
  <c r="E10" i="98"/>
  <c r="C11" i="104" s="1"/>
  <c r="D10" i="98"/>
  <c r="C10" i="98"/>
  <c r="G9" i="98"/>
  <c r="E10" i="104" s="1"/>
  <c r="F9" i="98"/>
  <c r="D10" i="104" s="1"/>
  <c r="C9" i="98"/>
  <c r="G8" i="98"/>
  <c r="E9" i="104" s="1"/>
  <c r="F8" i="98"/>
  <c r="D9" i="104" s="1"/>
  <c r="E8" i="98"/>
  <c r="C9" i="104" s="1"/>
  <c r="D8" i="98"/>
  <c r="C8" i="98"/>
  <c r="G7" i="98"/>
  <c r="F7" i="98"/>
  <c r="E7" i="98"/>
  <c r="D7" i="98"/>
  <c r="F38" i="85"/>
  <c r="B39" i="85" s="1"/>
  <c r="H383" i="42"/>
  <c r="H379" i="42"/>
  <c r="D100" i="58"/>
  <c r="D51" i="58"/>
  <c r="H3217" i="42"/>
  <c r="G1481" i="103" s="1"/>
  <c r="D99" i="58"/>
  <c r="D98" i="58"/>
  <c r="D97" i="58"/>
  <c r="AE85" i="58"/>
  <c r="AE84" i="58"/>
  <c r="W83" i="58"/>
  <c r="AE83" i="58" s="1"/>
  <c r="AE82" i="58"/>
  <c r="W80" i="58"/>
  <c r="AE80" i="58" s="1"/>
  <c r="AE79" i="58"/>
  <c r="W77" i="58"/>
  <c r="AE77" i="58" s="1"/>
  <c r="AE76" i="58"/>
  <c r="W74" i="58"/>
  <c r="AE74" i="58" s="1"/>
  <c r="AE73" i="58"/>
  <c r="W71" i="58"/>
  <c r="AE71" i="58" s="1"/>
  <c r="AE70" i="58"/>
  <c r="L26" i="12"/>
  <c r="M26" i="12" s="1"/>
  <c r="B2206" i="42"/>
  <c r="B2205" i="42"/>
  <c r="B2204" i="42"/>
  <c r="B2202" i="42"/>
  <c r="B693" i="103" s="1"/>
  <c r="B2201" i="42"/>
  <c r="B692" i="103" s="1"/>
  <c r="B2200" i="42"/>
  <c r="B691" i="103" s="1"/>
  <c r="B2199" i="42"/>
  <c r="B690" i="103" s="1"/>
  <c r="B2198" i="42"/>
  <c r="B689" i="103" s="1"/>
  <c r="B2197" i="42"/>
  <c r="B688" i="103" s="1"/>
  <c r="B2196" i="42"/>
  <c r="B687" i="103" s="1"/>
  <c r="B2194" i="42"/>
  <c r="B2193" i="42"/>
  <c r="B2192" i="42"/>
  <c r="B2191" i="42"/>
  <c r="B2190" i="42"/>
  <c r="B2189" i="42"/>
  <c r="B2187" i="42"/>
  <c r="B2186" i="42"/>
  <c r="B2185" i="42"/>
  <c r="B2184" i="42"/>
  <c r="B2183" i="42"/>
  <c r="H1608" i="42"/>
  <c r="H1595" i="42"/>
  <c r="H1621" i="42"/>
  <c r="H1385" i="42"/>
  <c r="B2711" i="42"/>
  <c r="B2712" i="42"/>
  <c r="B2713" i="42"/>
  <c r="B2714" i="42"/>
  <c r="B2715" i="42"/>
  <c r="B2716" i="42"/>
  <c r="B2717" i="42"/>
  <c r="B2718" i="42"/>
  <c r="B2719" i="42"/>
  <c r="B2720" i="42"/>
  <c r="B2721" i="42"/>
  <c r="B2722" i="42"/>
  <c r="B2724" i="42"/>
  <c r="B2725" i="42"/>
  <c r="B2726" i="42"/>
  <c r="B2728" i="42"/>
  <c r="B2729" i="42"/>
  <c r="B2730" i="42"/>
  <c r="B2732" i="42"/>
  <c r="B2733" i="42"/>
  <c r="B2734" i="42"/>
  <c r="B2735" i="42"/>
  <c r="B2736" i="42"/>
  <c r="H2730" i="42"/>
  <c r="F2730" i="42"/>
  <c r="H2729" i="42"/>
  <c r="F2729" i="42"/>
  <c r="F2728" i="42"/>
  <c r="C2727" i="42"/>
  <c r="H2726" i="42"/>
  <c r="F2726" i="42"/>
  <c r="H2725" i="42"/>
  <c r="F2725" i="42"/>
  <c r="F2724" i="42"/>
  <c r="C2723" i="42"/>
  <c r="D13" i="87"/>
  <c r="E24" i="12"/>
  <c r="E25" i="12" s="1"/>
  <c r="C25" i="12"/>
  <c r="D11" i="87"/>
  <c r="H3347" i="42"/>
  <c r="B3348" i="42"/>
  <c r="B3347" i="42"/>
  <c r="B3346" i="42"/>
  <c r="F3346" i="42"/>
  <c r="C3345" i="42"/>
  <c r="H3134" i="42"/>
  <c r="H3133" i="42"/>
  <c r="E14" i="49"/>
  <c r="D14" i="49"/>
  <c r="I3344" i="42"/>
  <c r="J3344" i="42" s="1"/>
  <c r="I3343" i="42"/>
  <c r="J3343" i="42" s="1"/>
  <c r="I3342" i="42"/>
  <c r="J3342" i="42" s="1"/>
  <c r="I3340" i="42"/>
  <c r="J3340" i="42" s="1"/>
  <c r="L3336" i="42" s="1"/>
  <c r="B3337" i="42"/>
  <c r="B3338" i="42"/>
  <c r="B3339" i="42"/>
  <c r="B3340" i="42"/>
  <c r="B3341" i="42"/>
  <c r="B3342" i="42"/>
  <c r="B3343" i="42"/>
  <c r="B3344" i="42"/>
  <c r="H2836" i="42"/>
  <c r="H3202" i="42"/>
  <c r="G1463" i="103" s="1"/>
  <c r="H3198" i="42"/>
  <c r="G1450" i="103" s="1"/>
  <c r="H1562" i="42"/>
  <c r="H1538" i="42"/>
  <c r="F1539" i="42"/>
  <c r="B1539" i="42"/>
  <c r="O1538" i="42"/>
  <c r="F1538" i="42"/>
  <c r="B1538" i="42"/>
  <c r="F1537" i="42"/>
  <c r="B1537" i="42"/>
  <c r="C1536" i="42"/>
  <c r="H2712" i="42"/>
  <c r="H2713" i="42"/>
  <c r="H2700" i="42"/>
  <c r="H2699" i="42"/>
  <c r="H1667" i="42"/>
  <c r="H1666" i="42"/>
  <c r="H1665" i="42"/>
  <c r="H1719" i="42"/>
  <c r="H1534" i="42"/>
  <c r="H2791" i="42"/>
  <c r="H2790" i="42"/>
  <c r="H1530" i="42"/>
  <c r="H2782" i="42"/>
  <c r="H191" i="42"/>
  <c r="O203" i="42"/>
  <c r="H203" i="42"/>
  <c r="B203" i="42"/>
  <c r="O202" i="42"/>
  <c r="H202" i="42"/>
  <c r="B202" i="42"/>
  <c r="O201" i="42"/>
  <c r="H201" i="42"/>
  <c r="B201" i="42"/>
  <c r="F200" i="42"/>
  <c r="B200" i="42"/>
  <c r="H199" i="42"/>
  <c r="F199" i="42"/>
  <c r="B199" i="42"/>
  <c r="F198" i="42"/>
  <c r="B198" i="42"/>
  <c r="O197" i="42"/>
  <c r="F197" i="42"/>
  <c r="B197" i="42"/>
  <c r="O196" i="42"/>
  <c r="F196" i="42"/>
  <c r="B196" i="42"/>
  <c r="O195" i="42"/>
  <c r="F195" i="42"/>
  <c r="B195" i="42"/>
  <c r="O194" i="42"/>
  <c r="F194" i="42"/>
  <c r="B194" i="42"/>
  <c r="O193" i="42"/>
  <c r="F193" i="42"/>
  <c r="B193" i="42"/>
  <c r="F192" i="42"/>
  <c r="B192" i="42"/>
  <c r="F191" i="42"/>
  <c r="C191" i="42"/>
  <c r="H178" i="42"/>
  <c r="H16" i="96"/>
  <c r="H15" i="96"/>
  <c r="H12" i="96"/>
  <c r="B3434" i="42"/>
  <c r="B3433" i="42"/>
  <c r="B3432" i="42"/>
  <c r="B3431" i="42"/>
  <c r="B3430" i="42"/>
  <c r="B3429" i="42"/>
  <c r="B3428" i="42"/>
  <c r="B3427" i="42"/>
  <c r="B3426" i="42"/>
  <c r="B3425" i="42"/>
  <c r="B3424" i="42"/>
  <c r="B3423" i="42"/>
  <c r="B3422" i="42"/>
  <c r="B3421" i="42"/>
  <c r="B3420" i="42"/>
  <c r="B3419" i="42"/>
  <c r="B3418" i="42"/>
  <c r="B3417" i="42"/>
  <c r="B3416" i="42"/>
  <c r="B3415" i="42"/>
  <c r="B3414" i="42"/>
  <c r="B3413" i="42"/>
  <c r="B3412" i="42"/>
  <c r="B3411" i="42"/>
  <c r="B3410" i="42"/>
  <c r="B3409" i="42"/>
  <c r="B3408" i="42"/>
  <c r="B3407" i="42"/>
  <c r="B3406" i="42"/>
  <c r="B3405" i="42"/>
  <c r="B3404" i="42"/>
  <c r="B3403" i="42"/>
  <c r="B3402" i="42"/>
  <c r="B3401" i="42"/>
  <c r="B3400" i="42"/>
  <c r="B3399" i="42"/>
  <c r="B3398" i="42"/>
  <c r="B3397" i="42"/>
  <c r="B3396" i="42"/>
  <c r="B3395" i="42"/>
  <c r="B3394" i="42"/>
  <c r="B3393" i="42"/>
  <c r="B3392" i="42"/>
  <c r="B3391" i="42"/>
  <c r="B3390" i="42"/>
  <c r="B3389" i="42"/>
  <c r="B3388" i="42"/>
  <c r="B3387" i="42"/>
  <c r="B3386" i="42"/>
  <c r="B3385" i="42"/>
  <c r="B3384" i="42"/>
  <c r="B3383" i="42"/>
  <c r="B3382" i="42"/>
  <c r="B3381" i="42"/>
  <c r="B3380" i="42"/>
  <c r="B3379" i="42"/>
  <c r="B3378" i="42"/>
  <c r="B3377" i="42"/>
  <c r="B3376" i="42"/>
  <c r="B3375" i="42"/>
  <c r="B3374" i="42"/>
  <c r="B3373" i="42"/>
  <c r="B3372" i="42"/>
  <c r="B3371" i="42"/>
  <c r="B3370" i="42"/>
  <c r="B3369" i="42"/>
  <c r="B3368" i="42"/>
  <c r="B3367" i="42"/>
  <c r="B3366" i="42"/>
  <c r="B3365" i="42"/>
  <c r="B3364" i="42"/>
  <c r="B3363" i="42"/>
  <c r="B3362" i="42"/>
  <c r="B3361" i="42"/>
  <c r="B3360" i="42"/>
  <c r="B3359" i="42"/>
  <c r="B3358" i="42"/>
  <c r="B3357" i="42"/>
  <c r="B3356" i="42"/>
  <c r="B3355" i="42"/>
  <c r="B3354" i="42"/>
  <c r="B3353" i="42"/>
  <c r="B3352" i="42"/>
  <c r="B3351" i="42"/>
  <c r="B3350" i="42"/>
  <c r="B3349" i="42"/>
  <c r="B3335" i="42"/>
  <c r="B3334" i="42"/>
  <c r="B3333" i="42"/>
  <c r="B3332" i="42"/>
  <c r="B3331" i="42"/>
  <c r="B3330" i="42"/>
  <c r="B3329" i="42"/>
  <c r="B3328" i="42"/>
  <c r="B3326" i="42"/>
  <c r="B3325" i="42"/>
  <c r="B3324" i="42"/>
  <c r="B3323" i="42"/>
  <c r="B3322" i="42"/>
  <c r="B3321" i="42"/>
  <c r="B3320" i="42"/>
  <c r="B3318" i="42"/>
  <c r="B3317" i="42"/>
  <c r="B3316" i="42"/>
  <c r="B3315" i="42"/>
  <c r="B3314" i="42"/>
  <c r="B3313" i="42"/>
  <c r="B3312" i="42"/>
  <c r="B3311" i="42"/>
  <c r="B3310" i="42"/>
  <c r="B3309" i="42"/>
  <c r="B3308" i="42"/>
  <c r="B3307" i="42"/>
  <c r="B3306" i="42"/>
  <c r="B3305" i="42"/>
  <c r="B3304" i="42"/>
  <c r="B3303" i="42"/>
  <c r="B3302" i="42"/>
  <c r="B3301" i="42"/>
  <c r="B3300" i="42"/>
  <c r="B3299" i="42"/>
  <c r="B3298" i="42"/>
  <c r="B3297" i="42"/>
  <c r="F3311" i="42"/>
  <c r="I177" i="12"/>
  <c r="I178" i="12"/>
  <c r="I180" i="12"/>
  <c r="I181" i="12"/>
  <c r="A180" i="12"/>
  <c r="F179" i="12"/>
  <c r="I179" i="12" s="1"/>
  <c r="H3317" i="42"/>
  <c r="H3316" i="42"/>
  <c r="H3315" i="42"/>
  <c r="H3314" i="42"/>
  <c r="H3313" i="42"/>
  <c r="H3312" i="42"/>
  <c r="H3310" i="42"/>
  <c r="H3309" i="42"/>
  <c r="H3306" i="42"/>
  <c r="H3305" i="42"/>
  <c r="H3304" i="42"/>
  <c r="H3303" i="42"/>
  <c r="H3302" i="42"/>
  <c r="W61" i="58"/>
  <c r="AD61" i="58"/>
  <c r="AC61" i="58"/>
  <c r="AA61" i="58"/>
  <c r="X61" i="58"/>
  <c r="U61" i="58"/>
  <c r="P61" i="58"/>
  <c r="O61" i="58"/>
  <c r="N61" i="58"/>
  <c r="L61" i="58"/>
  <c r="Y61" i="58"/>
  <c r="H2841" i="42"/>
  <c r="H2840" i="42"/>
  <c r="H3299" i="42"/>
  <c r="H3297" i="42"/>
  <c r="F3299" i="42"/>
  <c r="L79" i="93"/>
  <c r="L80" i="93"/>
  <c r="L81" i="93"/>
  <c r="L82" i="93"/>
  <c r="I176" i="12"/>
  <c r="F3282" i="42"/>
  <c r="F3286" i="42"/>
  <c r="F3285" i="42"/>
  <c r="F3283" i="42"/>
  <c r="E3289" i="42"/>
  <c r="D3289" i="42"/>
  <c r="B3295" i="42"/>
  <c r="B3294" i="42"/>
  <c r="B3293" i="42"/>
  <c r="B3292" i="42"/>
  <c r="B3291" i="42"/>
  <c r="B3290" i="42"/>
  <c r="B3289" i="42"/>
  <c r="B3288" i="42"/>
  <c r="B3286" i="42"/>
  <c r="B3285" i="42"/>
  <c r="B3284" i="42"/>
  <c r="B3283" i="42"/>
  <c r="B3282" i="42"/>
  <c r="B3281" i="42"/>
  <c r="B3280" i="42"/>
  <c r="B3279" i="42"/>
  <c r="B3278" i="42"/>
  <c r="B3277" i="42"/>
  <c r="B3276" i="42"/>
  <c r="B3275" i="42"/>
  <c r="B3274" i="42"/>
  <c r="B3272" i="42"/>
  <c r="B3271" i="42"/>
  <c r="B3270" i="42"/>
  <c r="F3275" i="42"/>
  <c r="F3274" i="42"/>
  <c r="C39" i="42"/>
  <c r="C30" i="42"/>
  <c r="B1716" i="42"/>
  <c r="H1715" i="42"/>
  <c r="B1715" i="42"/>
  <c r="F1714" i="42"/>
  <c r="B1714" i="42"/>
  <c r="H1713" i="42"/>
  <c r="F1713" i="42"/>
  <c r="B1713" i="42"/>
  <c r="F1712" i="42"/>
  <c r="B1712" i="42"/>
  <c r="O1711" i="42"/>
  <c r="H1711" i="42"/>
  <c r="F1711" i="42"/>
  <c r="B1711" i="42"/>
  <c r="O1710" i="42"/>
  <c r="H1710" i="42"/>
  <c r="F1710" i="42"/>
  <c r="B1710" i="42"/>
  <c r="O1709" i="42"/>
  <c r="H1709" i="42"/>
  <c r="F1709" i="42"/>
  <c r="B1709" i="42"/>
  <c r="F1708" i="42"/>
  <c r="B1708" i="42"/>
  <c r="C1707" i="42"/>
  <c r="C115" i="42"/>
  <c r="O124" i="93"/>
  <c r="O123" i="93"/>
  <c r="O122" i="93"/>
  <c r="O121" i="93"/>
  <c r="O120" i="93"/>
  <c r="O119" i="93"/>
  <c r="K113" i="93"/>
  <c r="N113" i="93" s="1"/>
  <c r="J113" i="93"/>
  <c r="M113" i="93" s="1"/>
  <c r="C113" i="93"/>
  <c r="K112" i="93"/>
  <c r="N112" i="93" s="1"/>
  <c r="J112" i="93"/>
  <c r="M112" i="93" s="1"/>
  <c r="C112" i="93"/>
  <c r="K111" i="93"/>
  <c r="N111" i="93" s="1"/>
  <c r="J111" i="93"/>
  <c r="M111" i="93" s="1"/>
  <c r="C111" i="93"/>
  <c r="K110" i="93"/>
  <c r="N110" i="93" s="1"/>
  <c r="J110" i="93"/>
  <c r="M110" i="93" s="1"/>
  <c r="C110" i="93"/>
  <c r="K109" i="93"/>
  <c r="N109" i="93" s="1"/>
  <c r="J109" i="93"/>
  <c r="M109" i="93" s="1"/>
  <c r="C109" i="93"/>
  <c r="K108" i="93"/>
  <c r="N108" i="93" s="1"/>
  <c r="J108" i="93"/>
  <c r="M108" i="93" s="1"/>
  <c r="C108" i="93"/>
  <c r="K107" i="93"/>
  <c r="N107" i="93" s="1"/>
  <c r="J107" i="93"/>
  <c r="M107" i="93" s="1"/>
  <c r="C107" i="93"/>
  <c r="K106" i="93"/>
  <c r="N106" i="93" s="1"/>
  <c r="J106" i="93"/>
  <c r="M106" i="93" s="1"/>
  <c r="C106" i="93"/>
  <c r="K105" i="93"/>
  <c r="N105" i="93" s="1"/>
  <c r="J105" i="93"/>
  <c r="M105" i="93" s="1"/>
  <c r="C105" i="93"/>
  <c r="K104" i="93"/>
  <c r="N104" i="93" s="1"/>
  <c r="J104" i="93"/>
  <c r="M104" i="93" s="1"/>
  <c r="K103" i="93"/>
  <c r="N103" i="93" s="1"/>
  <c r="J103" i="93"/>
  <c r="M103" i="93" s="1"/>
  <c r="C103" i="93"/>
  <c r="K102" i="93"/>
  <c r="N102" i="93" s="1"/>
  <c r="J102" i="93"/>
  <c r="M102" i="93" s="1"/>
  <c r="C102" i="93"/>
  <c r="K101" i="93"/>
  <c r="N101" i="93" s="1"/>
  <c r="J101" i="93"/>
  <c r="M101" i="93" s="1"/>
  <c r="C101" i="93"/>
  <c r="K100" i="93"/>
  <c r="N100" i="93" s="1"/>
  <c r="J100" i="93"/>
  <c r="M100" i="93" s="1"/>
  <c r="C100" i="93"/>
  <c r="K99" i="93"/>
  <c r="N99" i="93" s="1"/>
  <c r="J99" i="93"/>
  <c r="M99" i="93" s="1"/>
  <c r="C99" i="93"/>
  <c r="K98" i="93"/>
  <c r="N98" i="93" s="1"/>
  <c r="J98" i="93"/>
  <c r="M98" i="93" s="1"/>
  <c r="C98" i="93"/>
  <c r="K97" i="93"/>
  <c r="N97" i="93" s="1"/>
  <c r="J97" i="93"/>
  <c r="M97" i="93" s="1"/>
  <c r="C97" i="93"/>
  <c r="K96" i="93"/>
  <c r="N96" i="93" s="1"/>
  <c r="J96" i="93"/>
  <c r="M96" i="93" s="1"/>
  <c r="C96" i="93"/>
  <c r="K95" i="93"/>
  <c r="N95" i="93" s="1"/>
  <c r="J95" i="93"/>
  <c r="M95" i="93" s="1"/>
  <c r="C95" i="93"/>
  <c r="K94" i="93"/>
  <c r="N94" i="93" s="1"/>
  <c r="J94" i="93"/>
  <c r="M94" i="93" s="1"/>
  <c r="K93" i="93"/>
  <c r="N93" i="93" s="1"/>
  <c r="J93" i="93"/>
  <c r="M93" i="93" s="1"/>
  <c r="K92" i="93"/>
  <c r="N92" i="93" s="1"/>
  <c r="J92" i="93"/>
  <c r="M92" i="93" s="1"/>
  <c r="K91" i="93"/>
  <c r="N91" i="93" s="1"/>
  <c r="J91" i="93"/>
  <c r="M91" i="93" s="1"/>
  <c r="K90" i="93"/>
  <c r="N90" i="93" s="1"/>
  <c r="J90" i="93"/>
  <c r="M90" i="93" s="1"/>
  <c r="K89" i="93"/>
  <c r="N89" i="93" s="1"/>
  <c r="J89" i="93"/>
  <c r="M89" i="93" s="1"/>
  <c r="K88" i="93"/>
  <c r="N88" i="93" s="1"/>
  <c r="J88" i="93"/>
  <c r="M88" i="93" s="1"/>
  <c r="K87" i="93"/>
  <c r="N87" i="93" s="1"/>
  <c r="J87" i="93"/>
  <c r="M87" i="93" s="1"/>
  <c r="K86" i="93"/>
  <c r="N86" i="93" s="1"/>
  <c r="J86" i="93"/>
  <c r="M86" i="93" s="1"/>
  <c r="K85" i="93"/>
  <c r="N85" i="93" s="1"/>
  <c r="J85" i="93"/>
  <c r="M85" i="93" s="1"/>
  <c r="C85" i="93"/>
  <c r="K84" i="93"/>
  <c r="N84" i="93" s="1"/>
  <c r="J84" i="93"/>
  <c r="M84" i="93" s="1"/>
  <c r="A84" i="93"/>
  <c r="A85" i="93" s="1"/>
  <c r="A86" i="93" s="1"/>
  <c r="A87" i="93" s="1"/>
  <c r="A88" i="93" s="1"/>
  <c r="A89" i="93" s="1"/>
  <c r="A90" i="93" s="1"/>
  <c r="A91" i="93" s="1"/>
  <c r="A92" i="93" s="1"/>
  <c r="A93" i="93" s="1"/>
  <c r="A94" i="93" s="1"/>
  <c r="A95" i="93" s="1"/>
  <c r="A96" i="93" s="1"/>
  <c r="A97" i="93" s="1"/>
  <c r="A98" i="93" s="1"/>
  <c r="A99" i="93" s="1"/>
  <c r="A100" i="93" s="1"/>
  <c r="A101" i="93" s="1"/>
  <c r="A102" i="93" s="1"/>
  <c r="A103" i="93" s="1"/>
  <c r="A104" i="93" s="1"/>
  <c r="A105" i="93" s="1"/>
  <c r="A106" i="93" s="1"/>
  <c r="A107" i="93" s="1"/>
  <c r="A108" i="93" s="1"/>
  <c r="A109" i="93" s="1"/>
  <c r="A110" i="93" s="1"/>
  <c r="A111" i="93" s="1"/>
  <c r="A112" i="93" s="1"/>
  <c r="A113" i="93" s="1"/>
  <c r="K83" i="93"/>
  <c r="N83" i="93" s="1"/>
  <c r="J83" i="93"/>
  <c r="M83" i="93" s="1"/>
  <c r="E69" i="93"/>
  <c r="E70" i="93" s="1"/>
  <c r="D69" i="93"/>
  <c r="C69" i="93"/>
  <c r="C70" i="93" s="1"/>
  <c r="C71" i="93" s="1"/>
  <c r="E59" i="93"/>
  <c r="D59" i="93"/>
  <c r="D60" i="93" s="1"/>
  <c r="C59" i="93"/>
  <c r="P52" i="93"/>
  <c r="P51" i="93"/>
  <c r="P50" i="93"/>
  <c r="P49" i="93"/>
  <c r="E49" i="93"/>
  <c r="E50" i="93" s="1"/>
  <c r="D49" i="93"/>
  <c r="D50" i="93" s="1"/>
  <c r="C49" i="93"/>
  <c r="C50" i="93" s="1"/>
  <c r="P48" i="93"/>
  <c r="P46" i="93"/>
  <c r="P45" i="93"/>
  <c r="P44" i="93"/>
  <c r="P43" i="93"/>
  <c r="P42" i="93"/>
  <c r="P41" i="93"/>
  <c r="E39" i="93"/>
  <c r="E40" i="93" s="1"/>
  <c r="D39" i="93"/>
  <c r="C39" i="93"/>
  <c r="C40" i="93" s="1"/>
  <c r="E29" i="93"/>
  <c r="D29" i="93"/>
  <c r="D30" i="93" s="1"/>
  <c r="C29" i="93"/>
  <c r="A28" i="93"/>
  <c r="A29" i="93" s="1"/>
  <c r="A30" i="93" s="1"/>
  <c r="A31" i="93" s="1"/>
  <c r="A32" i="93" s="1"/>
  <c r="A33" i="93" s="1"/>
  <c r="A34" i="93" s="1"/>
  <c r="A35" i="93" s="1"/>
  <c r="A36" i="93" s="1"/>
  <c r="A37" i="93" s="1"/>
  <c r="A38" i="93" s="1"/>
  <c r="A39" i="93" s="1"/>
  <c r="A40" i="93" s="1"/>
  <c r="A41" i="93" s="1"/>
  <c r="A42" i="93" s="1"/>
  <c r="A43" i="93" s="1"/>
  <c r="A44" i="93" s="1"/>
  <c r="A45" i="93" s="1"/>
  <c r="A46" i="93" s="1"/>
  <c r="A47" i="93" s="1"/>
  <c r="A48" i="93" s="1"/>
  <c r="A49" i="93" s="1"/>
  <c r="A50" i="93" s="1"/>
  <c r="A51" i="93" s="1"/>
  <c r="A52" i="93" s="1"/>
  <c r="A53" i="93" s="1"/>
  <c r="A54" i="93" s="1"/>
  <c r="A55" i="93" s="1"/>
  <c r="A56" i="93" s="1"/>
  <c r="A57" i="93" s="1"/>
  <c r="A58" i="93" s="1"/>
  <c r="A59" i="93" s="1"/>
  <c r="A60" i="93" s="1"/>
  <c r="A61" i="93" s="1"/>
  <c r="A62" i="93" s="1"/>
  <c r="A63" i="93" s="1"/>
  <c r="A64" i="93" s="1"/>
  <c r="A65" i="93" s="1"/>
  <c r="A66" i="93" s="1"/>
  <c r="A67" i="93" s="1"/>
  <c r="A68" i="93" s="1"/>
  <c r="A69" i="93" s="1"/>
  <c r="A70" i="93" s="1"/>
  <c r="A71" i="93" s="1"/>
  <c r="A72" i="93" s="1"/>
  <c r="A73" i="93" s="1"/>
  <c r="A74" i="93" s="1"/>
  <c r="A75" i="93" s="1"/>
  <c r="A76" i="93" s="1"/>
  <c r="A77" i="93" s="1"/>
  <c r="A78" i="93" s="1"/>
  <c r="F13" i="93"/>
  <c r="F10" i="93"/>
  <c r="F142" i="12"/>
  <c r="B2085" i="42"/>
  <c r="B521" i="103" s="1"/>
  <c r="B2086" i="42"/>
  <c r="B522" i="103" s="1"/>
  <c r="B2087" i="42"/>
  <c r="B523" i="103" s="1"/>
  <c r="B2088" i="42"/>
  <c r="B524" i="103" s="1"/>
  <c r="B2089" i="42"/>
  <c r="B525" i="103" s="1"/>
  <c r="B2090" i="42"/>
  <c r="B526" i="103" s="1"/>
  <c r="B2091" i="42"/>
  <c r="B527" i="103" s="1"/>
  <c r="B2093" i="42"/>
  <c r="B538" i="103" s="1"/>
  <c r="B2094" i="42"/>
  <c r="B539" i="103" s="1"/>
  <c r="B2095" i="42"/>
  <c r="B540" i="103" s="1"/>
  <c r="B2096" i="42"/>
  <c r="B541" i="103" s="1"/>
  <c r="B2097" i="42"/>
  <c r="B542" i="103" s="1"/>
  <c r="B2098" i="42"/>
  <c r="B543" i="103" s="1"/>
  <c r="B2099" i="42"/>
  <c r="B544" i="103" s="1"/>
  <c r="B2101" i="42"/>
  <c r="B2102" i="42"/>
  <c r="B2103" i="42"/>
  <c r="B2104" i="42"/>
  <c r="B2106" i="42"/>
  <c r="B2605" i="98" s="1"/>
  <c r="B2107" i="42"/>
  <c r="B2606" i="98" s="1"/>
  <c r="B2108" i="42"/>
  <c r="B2607" i="98" s="1"/>
  <c r="B2109" i="42"/>
  <c r="B2608" i="98" s="1"/>
  <c r="B2111" i="42"/>
  <c r="B569" i="103" s="1"/>
  <c r="B2112" i="42"/>
  <c r="B570" i="103" s="1"/>
  <c r="B2113" i="42"/>
  <c r="B571" i="103" s="1"/>
  <c r="B2114" i="42"/>
  <c r="B572" i="103" s="1"/>
  <c r="F2099" i="42"/>
  <c r="O2098" i="42"/>
  <c r="O2097" i="42"/>
  <c r="F2096" i="42"/>
  <c r="H2095" i="42"/>
  <c r="G540" i="103" s="1"/>
  <c r="F2095" i="42"/>
  <c r="F2094" i="42"/>
  <c r="F2093" i="42"/>
  <c r="C2092" i="42"/>
  <c r="C537" i="103" s="1"/>
  <c r="F2015" i="42"/>
  <c r="B2004" i="42"/>
  <c r="B2006" i="42"/>
  <c r="B2007" i="42"/>
  <c r="B440" i="103" s="1"/>
  <c r="B2008" i="42"/>
  <c r="B441" i="103" s="1"/>
  <c r="B2009" i="42"/>
  <c r="B442" i="103" s="1"/>
  <c r="B2010" i="42"/>
  <c r="B443" i="103" s="1"/>
  <c r="B2011" i="42"/>
  <c r="B444" i="103" s="1"/>
  <c r="B2012" i="42"/>
  <c r="B445" i="103" s="1"/>
  <c r="B2014" i="42"/>
  <c r="B456" i="103" s="1"/>
  <c r="B2015" i="42"/>
  <c r="B457" i="103" s="1"/>
  <c r="B2016" i="42"/>
  <c r="B458" i="103" s="1"/>
  <c r="B2017" i="42"/>
  <c r="B2018" i="42"/>
  <c r="B460" i="103" s="1"/>
  <c r="B2019" i="42"/>
  <c r="B461" i="103" s="1"/>
  <c r="B2020" i="42"/>
  <c r="B462" i="103" s="1"/>
  <c r="B2022" i="42"/>
  <c r="B2023" i="42"/>
  <c r="B2024" i="42"/>
  <c r="B2025" i="42"/>
  <c r="B2026" i="42"/>
  <c r="B2027" i="42"/>
  <c r="B2028" i="42"/>
  <c r="B2030" i="42"/>
  <c r="B473" i="103" s="1"/>
  <c r="F2020" i="42"/>
  <c r="O2019" i="42"/>
  <c r="O2018" i="42"/>
  <c r="F2017" i="42"/>
  <c r="H2016" i="42"/>
  <c r="G458" i="103" s="1"/>
  <c r="F2016" i="42"/>
  <c r="F2014" i="42"/>
  <c r="C2013" i="42"/>
  <c r="C455" i="103" s="1"/>
  <c r="O145" i="12"/>
  <c r="O144" i="12"/>
  <c r="O143" i="12"/>
  <c r="O142" i="12"/>
  <c r="E197" i="12"/>
  <c r="I197" i="12" s="1"/>
  <c r="F1597" i="81"/>
  <c r="F1596" i="81"/>
  <c r="F1595" i="81"/>
  <c r="F1594" i="81"/>
  <c r="F1593" i="81"/>
  <c r="F1592" i="81"/>
  <c r="E1590" i="81"/>
  <c r="E153" i="102" s="1"/>
  <c r="I153" i="102" s="1"/>
  <c r="H240" i="98" s="1"/>
  <c r="I240" i="98" s="1"/>
  <c r="E1589" i="81"/>
  <c r="D1556" i="81"/>
  <c r="D1555" i="81"/>
  <c r="D1553" i="81"/>
  <c r="D1551" i="81"/>
  <c r="D1550" i="81"/>
  <c r="D1541" i="81"/>
  <c r="D1540" i="81"/>
  <c r="D1531" i="81"/>
  <c r="D1518" i="81"/>
  <c r="D1515" i="81"/>
  <c r="D1513" i="81"/>
  <c r="D1512" i="81"/>
  <c r="D1511" i="81"/>
  <c r="D1510" i="81"/>
  <c r="D1508" i="81"/>
  <c r="D1507" i="81"/>
  <c r="D1506" i="81"/>
  <c r="D1505" i="81"/>
  <c r="D1502" i="81"/>
  <c r="D1501" i="81"/>
  <c r="D1500" i="81"/>
  <c r="D1499" i="81"/>
  <c r="D1495" i="81"/>
  <c r="D1494" i="81"/>
  <c r="D1493" i="81"/>
  <c r="D1492" i="81"/>
  <c r="D1489" i="81"/>
  <c r="D1488" i="81"/>
  <c r="D1487" i="81"/>
  <c r="D1486" i="81"/>
  <c r="D1482" i="81"/>
  <c r="D1481" i="81"/>
  <c r="D1478" i="81"/>
  <c r="D1477" i="81"/>
  <c r="D1473" i="81"/>
  <c r="D1472" i="81"/>
  <c r="D1469" i="81"/>
  <c r="D1468" i="81"/>
  <c r="F1434" i="81"/>
  <c r="F1433" i="81"/>
  <c r="F1431" i="81"/>
  <c r="F1430" i="81"/>
  <c r="F1429" i="81"/>
  <c r="F1428" i="81"/>
  <c r="F1427" i="81"/>
  <c r="F1426" i="81"/>
  <c r="F1425" i="81"/>
  <c r="F1423" i="81"/>
  <c r="F1422" i="81"/>
  <c r="F1421" i="81"/>
  <c r="F1420" i="81"/>
  <c r="F1419" i="81"/>
  <c r="F1418" i="81"/>
  <c r="F1417" i="81"/>
  <c r="D1400" i="81"/>
  <c r="D1399" i="81"/>
  <c r="D1398" i="81"/>
  <c r="D1397" i="81"/>
  <c r="D1396" i="81"/>
  <c r="D1395" i="81"/>
  <c r="D1394" i="81"/>
  <c r="D1393" i="81"/>
  <c r="D1392" i="81"/>
  <c r="D1391" i="81"/>
  <c r="E1368" i="81"/>
  <c r="F1368" i="81" s="1"/>
  <c r="E1367" i="81"/>
  <c r="F1367" i="81" s="1"/>
  <c r="E1366" i="81"/>
  <c r="F1366" i="81" s="1"/>
  <c r="E1365" i="81"/>
  <c r="F1365" i="81" s="1"/>
  <c r="E1364" i="81"/>
  <c r="F1364" i="81" s="1"/>
  <c r="E1363" i="81"/>
  <c r="F1363" i="81" s="1"/>
  <c r="E1362" i="81"/>
  <c r="F1362" i="81" s="1"/>
  <c r="E1361" i="81"/>
  <c r="F1361" i="81" s="1"/>
  <c r="E1360" i="81"/>
  <c r="F1360" i="81" s="1"/>
  <c r="E1359" i="81"/>
  <c r="F1359" i="81" s="1"/>
  <c r="E1358" i="81"/>
  <c r="F1358" i="81" s="1"/>
  <c r="E1357" i="81"/>
  <c r="F1357" i="81" s="1"/>
  <c r="E1356" i="81"/>
  <c r="F1356" i="81" s="1"/>
  <c r="E1355" i="81"/>
  <c r="F1355" i="81" s="1"/>
  <c r="E1354" i="81"/>
  <c r="F1354" i="81" s="1"/>
  <c r="E1353" i="81"/>
  <c r="F1353" i="81" s="1"/>
  <c r="E1352" i="81"/>
  <c r="F1352" i="81" s="1"/>
  <c r="E1351" i="81"/>
  <c r="F1351" i="81" s="1"/>
  <c r="E1350" i="81"/>
  <c r="F1350" i="81" s="1"/>
  <c r="E1349" i="81"/>
  <c r="F1349" i="81" s="1"/>
  <c r="E1348" i="81"/>
  <c r="F1348" i="81" s="1"/>
  <c r="E1347" i="81"/>
  <c r="F1347" i="81" s="1"/>
  <c r="E1333" i="81"/>
  <c r="E1332" i="81"/>
  <c r="E1331" i="81"/>
  <c r="E1330" i="81"/>
  <c r="E1329" i="81"/>
  <c r="E1328" i="81"/>
  <c r="E1327" i="81"/>
  <c r="E1326" i="81"/>
  <c r="E1325" i="81"/>
  <c r="E1324" i="81"/>
  <c r="E1323" i="81"/>
  <c r="E1322" i="81"/>
  <c r="E1321" i="81"/>
  <c r="E1320" i="81"/>
  <c r="E1319" i="81"/>
  <c r="E1318" i="81"/>
  <c r="E1317" i="81"/>
  <c r="E1316" i="81"/>
  <c r="E1315" i="81"/>
  <c r="E1314" i="81"/>
  <c r="E1313" i="81"/>
  <c r="E1312" i="81"/>
  <c r="E1311" i="81"/>
  <c r="E1309" i="81"/>
  <c r="E1308" i="81"/>
  <c r="E1307" i="81"/>
  <c r="E1306" i="81"/>
  <c r="D1304" i="81"/>
  <c r="D1303" i="81"/>
  <c r="D1302" i="81"/>
  <c r="D1301" i="81"/>
  <c r="D1300" i="81"/>
  <c r="D1299" i="81"/>
  <c r="D1298" i="81"/>
  <c r="D1297" i="81"/>
  <c r="D1296" i="81"/>
  <c r="D1295" i="81"/>
  <c r="D1294" i="81"/>
  <c r="D1293" i="81"/>
  <c r="D1292" i="81"/>
  <c r="D1291" i="81"/>
  <c r="D1290" i="81"/>
  <c r="D1289" i="81"/>
  <c r="D1288" i="81"/>
  <c r="D1287" i="81"/>
  <c r="D1286" i="81"/>
  <c r="D1285" i="81"/>
  <c r="D1284" i="81"/>
  <c r="D1283" i="81"/>
  <c r="D1282" i="81"/>
  <c r="D1281" i="81"/>
  <c r="D1280" i="81"/>
  <c r="D1279" i="81"/>
  <c r="D1278" i="81"/>
  <c r="D1277" i="81"/>
  <c r="D1276" i="81"/>
  <c r="E1274" i="81"/>
  <c r="E1273" i="81"/>
  <c r="E1272" i="81"/>
  <c r="E1271" i="81"/>
  <c r="E1270" i="81"/>
  <c r="E1269" i="81"/>
  <c r="E1268" i="81"/>
  <c r="E1267" i="81"/>
  <c r="E1266" i="81"/>
  <c r="E1265" i="81"/>
  <c r="E1264" i="81"/>
  <c r="E1263" i="81"/>
  <c r="E1262" i="81"/>
  <c r="E1261" i="81"/>
  <c r="E1260" i="81"/>
  <c r="E1259" i="81"/>
  <c r="E1258" i="81"/>
  <c r="F1256" i="81"/>
  <c r="F1255" i="81"/>
  <c r="F1254" i="81"/>
  <c r="F1253" i="81"/>
  <c r="F1252" i="81"/>
  <c r="F1251" i="81"/>
  <c r="F1250" i="81"/>
  <c r="F1249" i="81"/>
  <c r="F1248" i="81"/>
  <c r="F1247" i="81"/>
  <c r="F1246" i="81"/>
  <c r="F1245" i="81"/>
  <c r="F1244" i="81"/>
  <c r="F1243" i="81"/>
  <c r="F1242" i="81"/>
  <c r="F1241" i="81"/>
  <c r="F1240" i="81"/>
  <c r="F1239" i="81"/>
  <c r="F1238" i="81"/>
  <c r="F1237" i="81"/>
  <c r="F1236" i="81"/>
  <c r="F1235" i="81"/>
  <c r="F1234" i="81"/>
  <c r="F1232" i="81"/>
  <c r="F1231" i="81"/>
  <c r="F1230" i="81"/>
  <c r="F1229" i="81"/>
  <c r="F1228" i="81"/>
  <c r="F1227" i="81"/>
  <c r="F1226" i="81"/>
  <c r="F1225" i="81"/>
  <c r="F1224" i="81"/>
  <c r="F1223" i="81"/>
  <c r="F1222" i="81"/>
  <c r="F1221" i="81"/>
  <c r="F1220" i="81"/>
  <c r="F1219" i="81"/>
  <c r="F1218" i="81"/>
  <c r="F1217" i="81"/>
  <c r="F1216" i="81"/>
  <c r="F1215" i="81"/>
  <c r="F1214" i="81"/>
  <c r="F1213" i="81"/>
  <c r="F1212" i="81"/>
  <c r="F1211" i="81"/>
  <c r="F1210" i="81"/>
  <c r="F1209" i="81"/>
  <c r="F1208" i="81"/>
  <c r="F1207" i="81"/>
  <c r="F1206" i="81"/>
  <c r="F1205" i="81"/>
  <c r="F1204" i="81"/>
  <c r="F1203" i="81"/>
  <c r="F1202" i="81"/>
  <c r="F1201" i="81"/>
  <c r="F1200" i="81"/>
  <c r="F1199" i="81"/>
  <c r="F1198" i="81"/>
  <c r="F1197" i="81"/>
  <c r="F1196" i="81"/>
  <c r="F1195" i="81"/>
  <c r="F1194" i="81"/>
  <c r="F1193" i="81"/>
  <c r="F1192" i="81"/>
  <c r="F1191" i="81"/>
  <c r="F1190" i="81"/>
  <c r="F1189" i="81"/>
  <c r="F1188" i="81"/>
  <c r="F1187" i="81"/>
  <c r="F1186" i="81"/>
  <c r="F1185" i="81"/>
  <c r="F1184" i="81"/>
  <c r="F1183" i="81"/>
  <c r="F1182" i="81"/>
  <c r="F1181" i="81"/>
  <c r="F1180" i="81"/>
  <c r="F1179" i="81"/>
  <c r="F1178" i="81"/>
  <c r="F1177" i="81"/>
  <c r="F1176" i="81"/>
  <c r="F1175" i="81"/>
  <c r="F1174" i="81"/>
  <c r="F1173" i="81"/>
  <c r="F1172" i="81"/>
  <c r="F1171" i="81"/>
  <c r="F1170" i="81"/>
  <c r="F1169" i="81"/>
  <c r="F1168" i="81"/>
  <c r="F1167" i="81"/>
  <c r="F1166" i="81"/>
  <c r="F1165" i="81"/>
  <c r="F1164" i="81"/>
  <c r="F1163" i="81"/>
  <c r="F1162" i="81"/>
  <c r="F1161" i="81"/>
  <c r="F1160" i="81"/>
  <c r="F1159" i="81"/>
  <c r="F1158" i="81"/>
  <c r="F1157" i="81"/>
  <c r="F1156" i="81"/>
  <c r="F1155" i="81"/>
  <c r="F1154" i="81"/>
  <c r="F1153" i="81"/>
  <c r="F1152" i="81"/>
  <c r="F1151" i="81"/>
  <c r="F1150" i="81"/>
  <c r="F1149" i="81"/>
  <c r="F1148" i="81"/>
  <c r="F1147" i="81"/>
  <c r="E1145" i="81"/>
  <c r="E1144" i="81"/>
  <c r="E1143" i="81"/>
  <c r="E1142" i="81"/>
  <c r="E1141" i="81"/>
  <c r="E1140" i="81"/>
  <c r="E1138" i="81"/>
  <c r="E1137" i="81"/>
  <c r="E1136" i="81"/>
  <c r="E1133" i="81"/>
  <c r="F1133" i="81" s="1"/>
  <c r="E1132" i="81"/>
  <c r="F1132" i="81" s="1"/>
  <c r="E1131" i="81"/>
  <c r="F1131" i="81" s="1"/>
  <c r="E1130" i="81"/>
  <c r="F1130" i="81" s="1"/>
  <c r="E1129" i="81"/>
  <c r="F1129" i="81" s="1"/>
  <c r="E1128" i="81"/>
  <c r="F1128" i="81" s="1"/>
  <c r="E1126" i="81"/>
  <c r="F1126" i="81" s="1"/>
  <c r="E1125" i="81"/>
  <c r="F1125" i="81" s="1"/>
  <c r="E1124" i="81"/>
  <c r="F1124" i="81" s="1"/>
  <c r="E1123" i="81"/>
  <c r="F1123" i="81" s="1"/>
  <c r="E1122" i="81"/>
  <c r="F1122" i="81" s="1"/>
  <c r="E1121" i="81"/>
  <c r="F1121" i="81" s="1"/>
  <c r="E1120" i="81"/>
  <c r="F1120" i="81" s="1"/>
  <c r="E1119" i="81"/>
  <c r="F1119" i="81" s="1"/>
  <c r="E1118" i="81"/>
  <c r="F1118" i="81" s="1"/>
  <c r="E1117" i="81"/>
  <c r="F1117" i="81" s="1"/>
  <c r="E1116" i="81"/>
  <c r="F1116" i="81" s="1"/>
  <c r="F1113" i="81"/>
  <c r="F1112" i="81"/>
  <c r="F1111" i="81"/>
  <c r="F1109" i="81"/>
  <c r="F1108" i="81"/>
  <c r="F1107" i="81"/>
  <c r="F1106" i="81"/>
  <c r="F1104" i="81"/>
  <c r="F1103" i="81"/>
  <c r="F1102" i="81"/>
  <c r="F1101" i="81"/>
  <c r="F1100" i="81"/>
  <c r="F1099" i="81"/>
  <c r="F1098" i="81"/>
  <c r="F1097" i="81"/>
  <c r="F1096" i="81"/>
  <c r="F1095" i="81"/>
  <c r="F1094" i="81"/>
  <c r="F1020" i="81"/>
  <c r="F1019" i="81"/>
  <c r="F1018" i="81"/>
  <c r="F1017" i="81"/>
  <c r="F1016" i="81"/>
  <c r="F1015" i="81"/>
  <c r="F1014" i="81"/>
  <c r="F1013" i="81"/>
  <c r="F1012" i="81"/>
  <c r="F1011" i="81"/>
  <c r="F1010" i="81"/>
  <c r="F1009" i="81"/>
  <c r="F1008" i="81"/>
  <c r="F1007" i="81"/>
  <c r="F917" i="81"/>
  <c r="E917" i="81"/>
  <c r="F916" i="81"/>
  <c r="E916" i="81"/>
  <c r="F915" i="81"/>
  <c r="E915" i="81"/>
  <c r="F914" i="81"/>
  <c r="E914" i="81"/>
  <c r="F913" i="81"/>
  <c r="E913" i="81"/>
  <c r="F912" i="81"/>
  <c r="E912" i="81"/>
  <c r="F911" i="81"/>
  <c r="E911" i="81"/>
  <c r="F910" i="81"/>
  <c r="E910" i="81"/>
  <c r="F909" i="81"/>
  <c r="E909" i="81"/>
  <c r="F908" i="81"/>
  <c r="E908" i="81"/>
  <c r="F907" i="81"/>
  <c r="E907" i="81"/>
  <c r="F906" i="81"/>
  <c r="E906" i="81"/>
  <c r="F905" i="81"/>
  <c r="E905" i="81"/>
  <c r="F904" i="81"/>
  <c r="E904" i="81"/>
  <c r="F903" i="81"/>
  <c r="E903" i="81"/>
  <c r="F902" i="81"/>
  <c r="E902" i="81"/>
  <c r="F901" i="81"/>
  <c r="E901" i="81"/>
  <c r="F900" i="81"/>
  <c r="E900" i="81"/>
  <c r="F899" i="81"/>
  <c r="E899" i="81"/>
  <c r="F898" i="81"/>
  <c r="E898" i="81"/>
  <c r="F897" i="81"/>
  <c r="E897" i="81"/>
  <c r="F896" i="81"/>
  <c r="E896" i="81"/>
  <c r="F895" i="81"/>
  <c r="E895" i="81"/>
  <c r="F893" i="81"/>
  <c r="E893" i="81"/>
  <c r="F892" i="81"/>
  <c r="E892" i="81"/>
  <c r="F891" i="81"/>
  <c r="E891" i="81"/>
  <c r="F890" i="81"/>
  <c r="E890" i="81"/>
  <c r="F889" i="81"/>
  <c r="E889" i="81"/>
  <c r="F888" i="81"/>
  <c r="E888" i="81"/>
  <c r="F887" i="81"/>
  <c r="E887" i="81"/>
  <c r="F886" i="81"/>
  <c r="E886" i="81"/>
  <c r="F885" i="81"/>
  <c r="E885" i="81"/>
  <c r="F884" i="81"/>
  <c r="E884" i="81"/>
  <c r="F883" i="81"/>
  <c r="E883" i="81"/>
  <c r="F882" i="81"/>
  <c r="E882" i="81"/>
  <c r="F881" i="81"/>
  <c r="E881" i="81"/>
  <c r="F880" i="81"/>
  <c r="E880" i="81"/>
  <c r="F879" i="81"/>
  <c r="E879" i="81"/>
  <c r="F878" i="81"/>
  <c r="E878" i="81"/>
  <c r="F877" i="81"/>
  <c r="E877" i="81"/>
  <c r="F876" i="81"/>
  <c r="E876" i="81"/>
  <c r="F875" i="81"/>
  <c r="E875" i="81"/>
  <c r="F874" i="81"/>
  <c r="E874" i="81"/>
  <c r="F873" i="81"/>
  <c r="E873" i="81"/>
  <c r="F872" i="81"/>
  <c r="E872" i="81"/>
  <c r="F871" i="81"/>
  <c r="E871" i="81"/>
  <c r="F870" i="81"/>
  <c r="E870" i="81"/>
  <c r="E836" i="81"/>
  <c r="F836" i="81" s="1"/>
  <c r="E835" i="81"/>
  <c r="F835" i="81" s="1"/>
  <c r="E834" i="81"/>
  <c r="F834" i="81" s="1"/>
  <c r="E833" i="81"/>
  <c r="F833" i="81" s="1"/>
  <c r="E832" i="81"/>
  <c r="F832" i="81" s="1"/>
  <c r="E831" i="81"/>
  <c r="F831" i="81" s="1"/>
  <c r="E830" i="81"/>
  <c r="F830" i="81" s="1"/>
  <c r="F828" i="81"/>
  <c r="E827" i="81"/>
  <c r="F827" i="81" s="1"/>
  <c r="E826" i="81"/>
  <c r="F826" i="81" s="1"/>
  <c r="E825" i="81"/>
  <c r="F825" i="81" s="1"/>
  <c r="E824" i="81"/>
  <c r="F824" i="81" s="1"/>
  <c r="E822" i="81"/>
  <c r="F822" i="81" s="1"/>
  <c r="E821" i="81"/>
  <c r="F821" i="81" s="1"/>
  <c r="E820" i="81"/>
  <c r="F820" i="81" s="1"/>
  <c r="E819" i="81"/>
  <c r="F819" i="81" s="1"/>
  <c r="E818" i="81"/>
  <c r="F818" i="81" s="1"/>
  <c r="E816" i="81"/>
  <c r="E815" i="81"/>
  <c r="E814" i="81"/>
  <c r="E813" i="81"/>
  <c r="E812" i="81"/>
  <c r="E811" i="81"/>
  <c r="E810" i="81"/>
  <c r="E809" i="81"/>
  <c r="E807" i="81"/>
  <c r="F807" i="81" s="1"/>
  <c r="E806" i="81"/>
  <c r="F806" i="81" s="1"/>
  <c r="E805" i="81"/>
  <c r="F805" i="81" s="1"/>
  <c r="E804" i="81"/>
  <c r="F804" i="81" s="1"/>
  <c r="E803" i="81"/>
  <c r="F803" i="81" s="1"/>
  <c r="E802" i="81"/>
  <c r="F802" i="81" s="1"/>
  <c r="E801" i="81"/>
  <c r="F801" i="81" s="1"/>
  <c r="E800" i="81"/>
  <c r="F800" i="81" s="1"/>
  <c r="E799" i="81"/>
  <c r="F799" i="81" s="1"/>
  <c r="E798" i="81"/>
  <c r="F798" i="81" s="1"/>
  <c r="E797" i="81"/>
  <c r="F797" i="81" s="1"/>
  <c r="E796" i="81"/>
  <c r="F796" i="81" s="1"/>
  <c r="E795" i="81"/>
  <c r="F795" i="81" s="1"/>
  <c r="E793" i="81"/>
  <c r="F793" i="81" s="1"/>
  <c r="E792" i="81"/>
  <c r="F792" i="81" s="1"/>
  <c r="E790" i="81"/>
  <c r="F790" i="81" s="1"/>
  <c r="E789" i="81"/>
  <c r="F789" i="81" s="1"/>
  <c r="E788" i="81"/>
  <c r="F788" i="81" s="1"/>
  <c r="E787" i="81"/>
  <c r="F787" i="81" s="1"/>
  <c r="E785" i="81"/>
  <c r="F785" i="81" s="1"/>
  <c r="E784" i="81"/>
  <c r="F784" i="81" s="1"/>
  <c r="E783" i="81"/>
  <c r="F783" i="81" s="1"/>
  <c r="E782" i="81"/>
  <c r="F782" i="81" s="1"/>
  <c r="E781" i="81"/>
  <c r="F781" i="81" s="1"/>
  <c r="E780" i="81"/>
  <c r="F780" i="81" s="1"/>
  <c r="E779" i="81"/>
  <c r="F779" i="81" s="1"/>
  <c r="E778" i="81"/>
  <c r="F778" i="81" s="1"/>
  <c r="E777" i="81"/>
  <c r="F777" i="81" s="1"/>
  <c r="E776" i="81"/>
  <c r="F776" i="81" s="1"/>
  <c r="E775" i="81"/>
  <c r="F775" i="81" s="1"/>
  <c r="E774" i="81"/>
  <c r="F774" i="81" s="1"/>
  <c r="E773" i="81"/>
  <c r="F773" i="81" s="1"/>
  <c r="E772" i="81"/>
  <c r="F772" i="81" s="1"/>
  <c r="E771" i="81"/>
  <c r="F771" i="81" s="1"/>
  <c r="E770" i="81"/>
  <c r="F770" i="81" s="1"/>
  <c r="F768" i="81"/>
  <c r="E768" i="81"/>
  <c r="F767" i="81"/>
  <c r="E767" i="81"/>
  <c r="F766" i="81"/>
  <c r="E766" i="81"/>
  <c r="F765" i="81"/>
  <c r="E765" i="81"/>
  <c r="E160" i="102" s="1"/>
  <c r="I160" i="102" s="1"/>
  <c r="F764" i="81"/>
  <c r="E764" i="81"/>
  <c r="F763" i="81"/>
  <c r="E763" i="81"/>
  <c r="F762" i="81"/>
  <c r="E762" i="81"/>
  <c r="F761" i="81"/>
  <c r="E761" i="81"/>
  <c r="F760" i="81"/>
  <c r="E760" i="81"/>
  <c r="F759" i="81"/>
  <c r="E759" i="81"/>
  <c r="F758" i="81"/>
  <c r="E758" i="81"/>
  <c r="F757" i="81"/>
  <c r="E757" i="81"/>
  <c r="F756" i="81"/>
  <c r="E756" i="81"/>
  <c r="F755" i="81"/>
  <c r="E755" i="81"/>
  <c r="F754" i="81"/>
  <c r="E754" i="81"/>
  <c r="F753" i="81"/>
  <c r="E753" i="81"/>
  <c r="E751" i="81"/>
  <c r="F751" i="81" s="1"/>
  <c r="E750" i="81"/>
  <c r="E748" i="81"/>
  <c r="F748" i="81" s="1"/>
  <c r="E747" i="81"/>
  <c r="F747" i="81" s="1"/>
  <c r="E746" i="81"/>
  <c r="F746" i="81" s="1"/>
  <c r="E745" i="81"/>
  <c r="F745" i="81" s="1"/>
  <c r="E744" i="81"/>
  <c r="F744" i="81" s="1"/>
  <c r="E743" i="81"/>
  <c r="F743" i="81" s="1"/>
  <c r="E742" i="81"/>
  <c r="F742" i="81" s="1"/>
  <c r="E741" i="81"/>
  <c r="F741" i="81" s="1"/>
  <c r="E740" i="81"/>
  <c r="F740" i="81" s="1"/>
  <c r="E720" i="81"/>
  <c r="E719" i="81"/>
  <c r="E718" i="81"/>
  <c r="E716" i="81"/>
  <c r="E715" i="81"/>
  <c r="E714" i="81"/>
  <c r="E712" i="81"/>
  <c r="E711" i="81"/>
  <c r="E710" i="81"/>
  <c r="E709" i="81"/>
  <c r="E707" i="81"/>
  <c r="E706" i="81"/>
  <c r="E705" i="81"/>
  <c r="E704" i="81"/>
  <c r="E698" i="81"/>
  <c r="E697" i="81"/>
  <c r="E696" i="81"/>
  <c r="E695" i="81"/>
  <c r="E693" i="81"/>
  <c r="E692" i="81"/>
  <c r="D688" i="81"/>
  <c r="D687" i="81"/>
  <c r="D686" i="81"/>
  <c r="D684" i="81"/>
  <c r="D683" i="81"/>
  <c r="D682" i="81"/>
  <c r="E668" i="81"/>
  <c r="F668" i="81" s="1"/>
  <c r="E667" i="81"/>
  <c r="F667" i="81" s="1"/>
  <c r="E666" i="81"/>
  <c r="F666" i="81" s="1"/>
  <c r="E665" i="81"/>
  <c r="F665" i="81" s="1"/>
  <c r="E664" i="81"/>
  <c r="F664" i="81" s="1"/>
  <c r="E663" i="81"/>
  <c r="F663" i="81" s="1"/>
  <c r="E662" i="81"/>
  <c r="F662" i="81" s="1"/>
  <c r="E661" i="81"/>
  <c r="F661" i="81" s="1"/>
  <c r="E659" i="81"/>
  <c r="F659" i="81" s="1"/>
  <c r="E658" i="81"/>
  <c r="F658" i="81" s="1"/>
  <c r="E657" i="81"/>
  <c r="F657" i="81" s="1"/>
  <c r="E656" i="81"/>
  <c r="F656" i="81" s="1"/>
  <c r="E655" i="81"/>
  <c r="F655" i="81" s="1"/>
  <c r="E654" i="81"/>
  <c r="F654" i="81" s="1"/>
  <c r="E653" i="81"/>
  <c r="F653" i="81" s="1"/>
  <c r="E651" i="81"/>
  <c r="F651" i="81" s="1"/>
  <c r="E650" i="81"/>
  <c r="F650" i="81" s="1"/>
  <c r="E649" i="81"/>
  <c r="F649" i="81" s="1"/>
  <c r="E648" i="81"/>
  <c r="F648" i="81" s="1"/>
  <c r="E647" i="81"/>
  <c r="F647" i="81" s="1"/>
  <c r="E646" i="81"/>
  <c r="F646" i="81" s="1"/>
  <c r="E645" i="81"/>
  <c r="F645" i="81" s="1"/>
  <c r="E644" i="81"/>
  <c r="F644" i="81" s="1"/>
  <c r="E643" i="81"/>
  <c r="F643" i="81" s="1"/>
  <c r="E642" i="81"/>
  <c r="F642" i="81" s="1"/>
  <c r="E641" i="81"/>
  <c r="F641" i="81" s="1"/>
  <c r="E640" i="81"/>
  <c r="F640" i="81" s="1"/>
  <c r="E639" i="81"/>
  <c r="F639" i="81" s="1"/>
  <c r="E638" i="81"/>
  <c r="F638" i="81" s="1"/>
  <c r="E636" i="81"/>
  <c r="F636" i="81" s="1"/>
  <c r="E635" i="81"/>
  <c r="F635" i="81" s="1"/>
  <c r="E634" i="81"/>
  <c r="F634" i="81" s="1"/>
  <c r="E633" i="81"/>
  <c r="F633" i="81" s="1"/>
  <c r="E632" i="81"/>
  <c r="F632" i="81" s="1"/>
  <c r="E631" i="81"/>
  <c r="F631" i="81" s="1"/>
  <c r="E624" i="81"/>
  <c r="E623" i="81"/>
  <c r="E621" i="81"/>
  <c r="E619" i="81"/>
  <c r="E617" i="81"/>
  <c r="E616" i="81"/>
  <c r="E614" i="81"/>
  <c r="E613" i="81"/>
  <c r="E611" i="81"/>
  <c r="E610" i="81"/>
  <c r="E608" i="81"/>
  <c r="E606" i="81"/>
  <c r="E605" i="81"/>
  <c r="E603" i="81"/>
  <c r="E602" i="81"/>
  <c r="E600" i="81"/>
  <c r="E599" i="81"/>
  <c r="E598" i="81"/>
  <c r="E595" i="81"/>
  <c r="E593" i="81"/>
  <c r="E591" i="81"/>
  <c r="E589" i="81"/>
  <c r="E587" i="81"/>
  <c r="E585" i="81"/>
  <c r="D562" i="81"/>
  <c r="D561" i="81"/>
  <c r="D559" i="81"/>
  <c r="D558" i="81"/>
  <c r="E545" i="81"/>
  <c r="E544" i="81"/>
  <c r="E543" i="81"/>
  <c r="E542" i="81"/>
  <c r="E541" i="81"/>
  <c r="D539" i="81"/>
  <c r="E539" i="81" s="1"/>
  <c r="D538" i="81"/>
  <c r="E538" i="81" s="1"/>
  <c r="D537" i="81"/>
  <c r="E537" i="81" s="1"/>
  <c r="E536" i="81"/>
  <c r="D535" i="81"/>
  <c r="E535" i="81" s="1"/>
  <c r="D533" i="81"/>
  <c r="E533" i="81" s="1"/>
  <c r="D532" i="81"/>
  <c r="E532" i="81" s="1"/>
  <c r="D531" i="81"/>
  <c r="E531" i="81" s="1"/>
  <c r="D530" i="81"/>
  <c r="E530" i="81" s="1"/>
  <c r="D529" i="81"/>
  <c r="E529" i="81" s="1"/>
  <c r="D528" i="81"/>
  <c r="E528" i="81" s="1"/>
  <c r="D527" i="81"/>
  <c r="E527" i="81" s="1"/>
  <c r="D526" i="81"/>
  <c r="E526" i="81" s="1"/>
  <c r="D506" i="81"/>
  <c r="D481" i="81"/>
  <c r="D480" i="81"/>
  <c r="D479" i="81"/>
  <c r="D478" i="81"/>
  <c r="E459" i="81"/>
  <c r="F459" i="81" s="1"/>
  <c r="E438" i="81"/>
  <c r="E437" i="81"/>
  <c r="D428" i="81"/>
  <c r="D427" i="81"/>
  <c r="D426" i="81"/>
  <c r="D425" i="81"/>
  <c r="D424" i="81"/>
  <c r="D423" i="81"/>
  <c r="D421" i="81"/>
  <c r="D420" i="81"/>
  <c r="D419" i="81"/>
  <c r="D418" i="81"/>
  <c r="D417" i="81"/>
  <c r="D415" i="81"/>
  <c r="D414" i="81"/>
  <c r="D413" i="81"/>
  <c r="D412" i="81"/>
  <c r="E383" i="81"/>
  <c r="E382" i="81"/>
  <c r="E381" i="81"/>
  <c r="E380" i="81"/>
  <c r="E379" i="81"/>
  <c r="E378" i="81"/>
  <c r="E377" i="81"/>
  <c r="E376" i="81"/>
  <c r="E375" i="81"/>
  <c r="E374" i="81"/>
  <c r="E373" i="81"/>
  <c r="E372" i="81"/>
  <c r="E371" i="81"/>
  <c r="E369" i="81"/>
  <c r="E368" i="81"/>
  <c r="E367" i="81"/>
  <c r="E366" i="81"/>
  <c r="E364" i="81"/>
  <c r="E363" i="81"/>
  <c r="E362" i="81"/>
  <c r="E361" i="81"/>
  <c r="E360" i="81"/>
  <c r="E341" i="81"/>
  <c r="E340" i="81"/>
  <c r="E338" i="81"/>
  <c r="E337" i="81"/>
  <c r="E336" i="81"/>
  <c r="E312" i="81"/>
  <c r="F312" i="81" s="1"/>
  <c r="E310" i="81"/>
  <c r="F310" i="81" s="1"/>
  <c r="E309" i="81"/>
  <c r="F309" i="81" s="1"/>
  <c r="E308" i="81"/>
  <c r="F308" i="81" s="1"/>
  <c r="E307" i="81"/>
  <c r="F307" i="81" s="1"/>
  <c r="E304" i="81"/>
  <c r="E303" i="81"/>
  <c r="E302" i="81"/>
  <c r="E301" i="81"/>
  <c r="E300" i="81"/>
  <c r="E299" i="81"/>
  <c r="E298" i="81"/>
  <c r="E297" i="81"/>
  <c r="E296" i="81"/>
  <c r="E295" i="81"/>
  <c r="E293" i="81"/>
  <c r="E292" i="81"/>
  <c r="E291" i="81"/>
  <c r="E290" i="81"/>
  <c r="E289" i="81"/>
  <c r="E288" i="81"/>
  <c r="E287" i="81"/>
  <c r="E286" i="81"/>
  <c r="E285" i="81"/>
  <c r="E283" i="81"/>
  <c r="E282" i="81"/>
  <c r="E281" i="81"/>
  <c r="E280" i="81"/>
  <c r="E279" i="81"/>
  <c r="E278" i="81"/>
  <c r="E277" i="81"/>
  <c r="E276" i="81"/>
  <c r="E274" i="81"/>
  <c r="E273" i="81"/>
  <c r="E272" i="81"/>
  <c r="E271" i="81"/>
  <c r="E270" i="81"/>
  <c r="E269" i="81"/>
  <c r="E267" i="81"/>
  <c r="E266" i="81"/>
  <c r="E265" i="81"/>
  <c r="E264" i="81"/>
  <c r="E263" i="81"/>
  <c r="E175" i="102" s="1"/>
  <c r="E262" i="81"/>
  <c r="E261" i="81"/>
  <c r="D216" i="81"/>
  <c r="D215" i="81"/>
  <c r="D214" i="81"/>
  <c r="E212" i="81"/>
  <c r="F212" i="81" s="1"/>
  <c r="E210" i="81"/>
  <c r="D209" i="81"/>
  <c r="D208" i="81"/>
  <c r="D207" i="81"/>
  <c r="E206" i="81"/>
  <c r="D204" i="81"/>
  <c r="E208" i="102" s="1"/>
  <c r="D203" i="81"/>
  <c r="E207" i="102" s="1"/>
  <c r="D200" i="81"/>
  <c r="D199" i="81"/>
  <c r="D198" i="81"/>
  <c r="D197" i="81"/>
  <c r="D196" i="81"/>
  <c r="D195" i="81"/>
  <c r="D194" i="81"/>
  <c r="D193" i="81"/>
  <c r="D192" i="81"/>
  <c r="D191" i="81"/>
  <c r="D190" i="81"/>
  <c r="D189" i="81"/>
  <c r="E168" i="81"/>
  <c r="E167" i="81"/>
  <c r="E165" i="81"/>
  <c r="F165" i="81" s="1"/>
  <c r="E164" i="81"/>
  <c r="F164" i="81" s="1"/>
  <c r="E163" i="81"/>
  <c r="F163" i="81" s="1"/>
  <c r="E162" i="81"/>
  <c r="F162" i="81" s="1"/>
  <c r="E84" i="81"/>
  <c r="F84" i="81" s="1"/>
  <c r="E83" i="81"/>
  <c r="F83" i="81" s="1"/>
  <c r="E82" i="81"/>
  <c r="F82" i="81" s="1"/>
  <c r="E81" i="81"/>
  <c r="F81" i="81" s="1"/>
  <c r="E80" i="81"/>
  <c r="F80" i="81" s="1"/>
  <c r="E79" i="81"/>
  <c r="F79" i="81" s="1"/>
  <c r="E78" i="81"/>
  <c r="D59" i="81"/>
  <c r="E39" i="102" s="1"/>
  <c r="E38" i="102" s="1"/>
  <c r="M1570" i="81"/>
  <c r="M1571" i="81"/>
  <c r="M1572" i="81"/>
  <c r="M1573" i="81"/>
  <c r="M1574" i="81"/>
  <c r="M1575" i="81"/>
  <c r="M1576" i="81"/>
  <c r="M1577" i="81"/>
  <c r="M1578" i="81"/>
  <c r="M1579" i="81"/>
  <c r="M1580" i="81"/>
  <c r="M1581" i="81"/>
  <c r="M1582" i="81"/>
  <c r="M1583" i="81"/>
  <c r="M1584" i="81"/>
  <c r="M1585" i="81"/>
  <c r="M1586" i="81"/>
  <c r="M1587" i="81"/>
  <c r="M1588" i="81"/>
  <c r="M1589" i="81"/>
  <c r="M1590" i="81"/>
  <c r="M1591" i="81"/>
  <c r="M1592" i="81"/>
  <c r="M1593" i="81"/>
  <c r="M1594" i="81"/>
  <c r="M1595" i="81"/>
  <c r="M1596" i="81"/>
  <c r="M1597" i="81"/>
  <c r="M1513" i="81"/>
  <c r="M1514" i="81"/>
  <c r="M1515" i="81"/>
  <c r="M1516" i="81"/>
  <c r="M1517" i="81"/>
  <c r="M1518" i="81"/>
  <c r="M1519" i="81"/>
  <c r="M1520" i="81"/>
  <c r="M1521" i="81"/>
  <c r="M1522" i="81"/>
  <c r="M1523" i="81"/>
  <c r="M1524" i="81"/>
  <c r="M1525" i="81"/>
  <c r="M1526" i="81"/>
  <c r="M1527" i="81"/>
  <c r="M1528" i="81"/>
  <c r="M1529" i="81"/>
  <c r="M1530" i="81"/>
  <c r="M1531" i="81"/>
  <c r="M1532" i="81"/>
  <c r="M1533" i="81"/>
  <c r="M1534" i="81"/>
  <c r="M1535" i="81"/>
  <c r="M1536" i="81"/>
  <c r="M1537" i="81"/>
  <c r="M1538" i="81"/>
  <c r="M1539" i="81"/>
  <c r="M1540" i="81"/>
  <c r="M1541" i="81"/>
  <c r="M1542" i="81"/>
  <c r="M1543" i="81"/>
  <c r="M1544" i="81"/>
  <c r="M1545" i="81"/>
  <c r="M1546" i="81"/>
  <c r="M1547" i="81"/>
  <c r="M1548" i="81"/>
  <c r="M1549" i="81"/>
  <c r="M1550" i="81"/>
  <c r="M1551" i="81"/>
  <c r="M1552" i="81"/>
  <c r="M1553" i="81"/>
  <c r="M1554" i="81"/>
  <c r="M1555" i="81"/>
  <c r="M1556" i="81"/>
  <c r="M1557" i="81"/>
  <c r="M1558" i="81"/>
  <c r="M1559" i="81"/>
  <c r="M1560" i="81"/>
  <c r="M1561" i="81"/>
  <c r="M1562" i="81"/>
  <c r="M1563" i="81"/>
  <c r="M1564" i="81"/>
  <c r="M1565" i="81"/>
  <c r="M1566" i="81"/>
  <c r="M1567" i="81"/>
  <c r="M1568" i="81"/>
  <c r="M1569" i="81"/>
  <c r="M1447" i="81"/>
  <c r="M1448" i="81"/>
  <c r="M1449" i="81"/>
  <c r="M1450" i="81"/>
  <c r="M1451" i="81"/>
  <c r="M1452" i="81"/>
  <c r="M1453" i="81"/>
  <c r="M1454" i="81"/>
  <c r="M1455" i="81"/>
  <c r="M1456" i="81"/>
  <c r="M1457" i="81"/>
  <c r="M1458" i="81"/>
  <c r="M1459" i="81"/>
  <c r="M1460" i="81"/>
  <c r="M1461" i="81"/>
  <c r="M1462" i="81"/>
  <c r="M1463" i="81"/>
  <c r="M1464" i="81"/>
  <c r="M1465" i="81"/>
  <c r="M1466" i="81"/>
  <c r="M1467" i="81"/>
  <c r="M1468" i="81"/>
  <c r="M1469" i="81"/>
  <c r="M1470" i="81"/>
  <c r="M1471" i="81"/>
  <c r="M1472" i="81"/>
  <c r="M1473" i="81"/>
  <c r="M1474" i="81"/>
  <c r="M1475" i="81"/>
  <c r="M1476" i="81"/>
  <c r="M1477" i="81"/>
  <c r="M1478" i="81"/>
  <c r="M1479" i="81"/>
  <c r="M1480" i="81"/>
  <c r="M1481" i="81"/>
  <c r="M1482" i="81"/>
  <c r="M1483" i="81"/>
  <c r="M1484" i="81"/>
  <c r="M1485" i="81"/>
  <c r="M1486" i="81"/>
  <c r="M1487" i="81"/>
  <c r="M1488" i="81"/>
  <c r="M1489" i="81"/>
  <c r="M1490" i="81"/>
  <c r="M1491" i="81"/>
  <c r="M1492" i="81"/>
  <c r="M1493" i="81"/>
  <c r="M1494" i="81"/>
  <c r="M1495" i="81"/>
  <c r="M1496" i="81"/>
  <c r="M1497" i="81"/>
  <c r="M1498" i="81"/>
  <c r="M1499" i="81"/>
  <c r="M1500" i="81"/>
  <c r="M1501" i="81"/>
  <c r="M1502" i="81"/>
  <c r="M1503" i="81"/>
  <c r="M1504" i="81"/>
  <c r="M1505" i="81"/>
  <c r="M1506" i="81"/>
  <c r="M1507" i="81"/>
  <c r="M1508" i="81"/>
  <c r="M1509" i="81"/>
  <c r="M1510" i="81"/>
  <c r="M1511" i="81"/>
  <c r="M1512" i="81"/>
  <c r="M1391" i="81"/>
  <c r="M1392" i="81"/>
  <c r="M1393" i="81"/>
  <c r="M1394" i="81"/>
  <c r="M1395" i="81"/>
  <c r="M1396" i="81"/>
  <c r="M1397" i="81"/>
  <c r="M1398" i="81"/>
  <c r="M1399" i="81"/>
  <c r="M1400" i="81"/>
  <c r="M1401" i="81"/>
  <c r="M1402" i="81"/>
  <c r="M1403" i="81"/>
  <c r="M1404" i="81"/>
  <c r="M1405" i="81"/>
  <c r="M1406" i="81"/>
  <c r="M1407" i="81"/>
  <c r="M1408" i="81"/>
  <c r="M1409" i="81"/>
  <c r="M1410" i="81"/>
  <c r="M1411" i="81"/>
  <c r="M1412" i="81"/>
  <c r="M1413" i="81"/>
  <c r="M1414" i="81"/>
  <c r="M1415" i="81"/>
  <c r="M1416" i="81"/>
  <c r="M1417" i="81"/>
  <c r="M1418" i="81"/>
  <c r="M1419" i="81"/>
  <c r="M1420" i="81"/>
  <c r="M1421" i="81"/>
  <c r="M1422" i="81"/>
  <c r="M1423" i="81"/>
  <c r="M1424" i="81"/>
  <c r="M1425" i="81"/>
  <c r="M1426" i="81"/>
  <c r="M1427" i="81"/>
  <c r="M1428" i="81"/>
  <c r="M1429" i="81"/>
  <c r="M1430" i="81"/>
  <c r="M1431" i="81"/>
  <c r="M1432" i="81"/>
  <c r="M1433" i="81"/>
  <c r="M1434" i="81"/>
  <c r="M1435" i="81"/>
  <c r="M1436" i="81"/>
  <c r="M1437" i="81"/>
  <c r="M1438" i="81"/>
  <c r="M1439" i="81"/>
  <c r="M1440" i="81"/>
  <c r="M1441" i="81"/>
  <c r="M1442" i="81"/>
  <c r="M1443" i="81"/>
  <c r="M1444" i="81"/>
  <c r="M1445" i="81"/>
  <c r="M1446" i="81"/>
  <c r="M1347" i="81"/>
  <c r="M1348" i="81"/>
  <c r="M1349" i="81"/>
  <c r="M1350" i="81"/>
  <c r="M1351" i="81"/>
  <c r="M1352" i="81"/>
  <c r="M1353" i="81"/>
  <c r="M1354" i="81"/>
  <c r="M1355" i="81"/>
  <c r="M1356" i="81"/>
  <c r="M1357" i="81"/>
  <c r="M1358" i="81"/>
  <c r="M1359" i="81"/>
  <c r="M1360" i="81"/>
  <c r="M1361" i="81"/>
  <c r="M1362" i="81"/>
  <c r="M1363" i="81"/>
  <c r="M1364" i="81"/>
  <c r="M1365" i="81"/>
  <c r="M1366" i="81"/>
  <c r="M1367" i="81"/>
  <c r="M1368" i="81"/>
  <c r="M1369" i="81"/>
  <c r="M1370" i="81"/>
  <c r="M1371" i="81"/>
  <c r="M1372" i="81"/>
  <c r="M1373" i="81"/>
  <c r="M1374" i="81"/>
  <c r="M1375" i="81"/>
  <c r="M1376" i="81"/>
  <c r="M1377" i="81"/>
  <c r="M1378" i="81"/>
  <c r="M1379" i="81"/>
  <c r="M1380" i="81"/>
  <c r="M1381" i="81"/>
  <c r="M1382" i="81"/>
  <c r="M1383" i="81"/>
  <c r="M1384" i="81"/>
  <c r="M1385" i="81"/>
  <c r="M1386" i="81"/>
  <c r="M1387" i="81"/>
  <c r="M1388" i="81"/>
  <c r="M1389" i="81"/>
  <c r="M1390" i="81"/>
  <c r="M1304" i="81"/>
  <c r="M1305" i="81"/>
  <c r="M1306" i="81"/>
  <c r="M1307" i="81"/>
  <c r="M1308" i="81"/>
  <c r="M1309" i="81"/>
  <c r="M1310" i="81"/>
  <c r="M1311" i="81"/>
  <c r="M1312" i="81"/>
  <c r="M1313" i="81"/>
  <c r="M1314" i="81"/>
  <c r="M1315" i="81"/>
  <c r="M1316" i="81"/>
  <c r="M1317" i="81"/>
  <c r="M1318" i="81"/>
  <c r="M1319" i="81"/>
  <c r="M1320" i="81"/>
  <c r="M1321" i="81"/>
  <c r="M1322" i="81"/>
  <c r="M1323" i="81"/>
  <c r="M1324" i="81"/>
  <c r="M1325" i="81"/>
  <c r="M1326" i="81"/>
  <c r="M1327" i="81"/>
  <c r="M1328" i="81"/>
  <c r="M1329" i="81"/>
  <c r="M1330" i="81"/>
  <c r="M1331" i="81"/>
  <c r="M1332" i="81"/>
  <c r="M1333" i="81"/>
  <c r="M1334" i="81"/>
  <c r="M1335" i="81"/>
  <c r="M1336" i="81"/>
  <c r="M1337" i="81"/>
  <c r="M1338" i="81"/>
  <c r="M1339" i="81"/>
  <c r="M1340" i="81"/>
  <c r="M1341" i="81"/>
  <c r="M1342" i="81"/>
  <c r="M1343" i="81"/>
  <c r="M1344" i="81"/>
  <c r="M1345" i="81"/>
  <c r="M1346" i="81"/>
  <c r="M1184" i="81"/>
  <c r="M1185" i="81"/>
  <c r="M1186" i="81"/>
  <c r="M1187" i="81"/>
  <c r="M1188" i="81"/>
  <c r="M1189" i="81"/>
  <c r="M1190" i="81"/>
  <c r="M1191" i="81"/>
  <c r="M1192" i="81"/>
  <c r="M1193" i="81"/>
  <c r="M1194" i="81"/>
  <c r="M1195" i="81"/>
  <c r="M1196" i="81"/>
  <c r="M1197" i="81"/>
  <c r="M1198" i="81"/>
  <c r="M1199" i="81"/>
  <c r="M1200" i="81"/>
  <c r="M1201" i="81"/>
  <c r="M1202" i="81"/>
  <c r="M1203" i="81"/>
  <c r="M1204" i="81"/>
  <c r="M1205" i="81"/>
  <c r="M1206" i="81"/>
  <c r="M1207" i="81"/>
  <c r="M1208" i="81"/>
  <c r="M1209" i="81"/>
  <c r="M1210" i="81"/>
  <c r="M1211" i="81"/>
  <c r="M1212" i="81"/>
  <c r="M1213" i="81"/>
  <c r="M1214" i="81"/>
  <c r="M1215" i="81"/>
  <c r="M1216" i="81"/>
  <c r="M1217" i="81"/>
  <c r="M1218" i="81"/>
  <c r="M1219" i="81"/>
  <c r="M1220" i="81"/>
  <c r="M1221" i="81"/>
  <c r="M1222" i="81"/>
  <c r="M1223" i="81"/>
  <c r="M1224" i="81"/>
  <c r="M1225" i="81"/>
  <c r="M1226" i="81"/>
  <c r="M1227" i="81"/>
  <c r="M1228" i="81"/>
  <c r="M1229" i="81"/>
  <c r="M1230" i="81"/>
  <c r="M1231" i="81"/>
  <c r="M1232" i="81"/>
  <c r="M1233" i="81"/>
  <c r="M1234" i="81"/>
  <c r="M1235" i="81"/>
  <c r="M1236" i="81"/>
  <c r="M1237" i="81"/>
  <c r="M1238" i="81"/>
  <c r="M1239" i="81"/>
  <c r="M1240" i="81"/>
  <c r="M1241" i="81"/>
  <c r="M1242" i="81"/>
  <c r="M1243" i="81"/>
  <c r="M1244" i="81"/>
  <c r="M1245" i="81"/>
  <c r="M1246" i="81"/>
  <c r="M1247" i="81"/>
  <c r="M1248" i="81"/>
  <c r="M1249" i="81"/>
  <c r="M1250" i="81"/>
  <c r="M1251" i="81"/>
  <c r="M1252" i="81"/>
  <c r="M1253" i="81"/>
  <c r="M1254" i="81"/>
  <c r="M1255" i="81"/>
  <c r="M1256" i="81"/>
  <c r="M1257" i="81"/>
  <c r="M1258" i="81"/>
  <c r="M1259" i="81"/>
  <c r="M1260" i="81"/>
  <c r="M1261" i="81"/>
  <c r="M1262" i="81"/>
  <c r="M1263" i="81"/>
  <c r="M1264" i="81"/>
  <c r="M1265" i="81"/>
  <c r="M1266" i="81"/>
  <c r="M1267" i="81"/>
  <c r="M1268" i="81"/>
  <c r="M1269" i="81"/>
  <c r="M1270" i="81"/>
  <c r="M1271" i="81"/>
  <c r="M1272" i="81"/>
  <c r="M1273" i="81"/>
  <c r="M1274" i="81"/>
  <c r="M1275" i="81"/>
  <c r="M1276" i="81"/>
  <c r="M1277" i="81"/>
  <c r="M1278" i="81"/>
  <c r="M1279" i="81"/>
  <c r="M1280" i="81"/>
  <c r="M1281" i="81"/>
  <c r="M1282" i="81"/>
  <c r="M1283" i="81"/>
  <c r="M1284" i="81"/>
  <c r="M1285" i="81"/>
  <c r="M1286" i="81"/>
  <c r="M1287" i="81"/>
  <c r="M1288" i="81"/>
  <c r="M1289" i="81"/>
  <c r="M1290" i="81"/>
  <c r="M1291" i="81"/>
  <c r="M1292" i="81"/>
  <c r="M1293" i="81"/>
  <c r="M1294" i="81"/>
  <c r="M1295" i="81"/>
  <c r="M1296" i="81"/>
  <c r="M1297" i="81"/>
  <c r="M1298" i="81"/>
  <c r="M1299" i="81"/>
  <c r="M1300" i="81"/>
  <c r="M1301" i="81"/>
  <c r="M1302" i="81"/>
  <c r="M1303" i="81"/>
  <c r="M1132" i="81"/>
  <c r="M1133" i="81"/>
  <c r="M1134" i="81"/>
  <c r="M1135" i="81"/>
  <c r="M1136" i="81"/>
  <c r="M1137" i="81"/>
  <c r="M1138" i="81"/>
  <c r="M1139" i="81"/>
  <c r="M1140" i="81"/>
  <c r="M1141" i="81"/>
  <c r="M1142" i="81"/>
  <c r="M1143" i="81"/>
  <c r="M1144" i="81"/>
  <c r="M1145" i="81"/>
  <c r="M1146" i="81"/>
  <c r="M1147" i="81"/>
  <c r="M1148" i="81"/>
  <c r="M1149" i="81"/>
  <c r="M1150" i="81"/>
  <c r="M1151" i="81"/>
  <c r="M1152" i="81"/>
  <c r="M1153" i="81"/>
  <c r="M1154" i="81"/>
  <c r="M1155" i="81"/>
  <c r="M1156" i="81"/>
  <c r="M1157" i="81"/>
  <c r="M1158" i="81"/>
  <c r="M1159" i="81"/>
  <c r="M1160" i="81"/>
  <c r="M1161" i="81"/>
  <c r="M1162" i="81"/>
  <c r="M1163" i="81"/>
  <c r="M1164" i="81"/>
  <c r="M1165" i="81"/>
  <c r="M1166" i="81"/>
  <c r="M1167" i="81"/>
  <c r="M1168" i="81"/>
  <c r="M1169" i="81"/>
  <c r="M1170" i="81"/>
  <c r="M1171" i="81"/>
  <c r="M1172" i="81"/>
  <c r="M1173" i="81"/>
  <c r="M1174" i="81"/>
  <c r="M1175" i="81"/>
  <c r="M1176" i="81"/>
  <c r="M1177" i="81"/>
  <c r="M1178" i="81"/>
  <c r="M1100" i="81"/>
  <c r="M1101" i="81"/>
  <c r="M1102" i="81"/>
  <c r="M1103" i="81"/>
  <c r="M1104" i="81"/>
  <c r="M1105" i="81"/>
  <c r="M1106" i="81"/>
  <c r="M1107" i="81"/>
  <c r="M1108" i="81"/>
  <c r="M1109" i="81"/>
  <c r="M1110" i="81"/>
  <c r="M1111" i="81"/>
  <c r="M1112" i="81"/>
  <c r="M1113" i="81"/>
  <c r="M1114" i="81"/>
  <c r="M1115" i="81"/>
  <c r="M1116" i="81"/>
  <c r="M1117" i="81"/>
  <c r="M1118" i="81"/>
  <c r="M1119" i="81"/>
  <c r="M1120" i="81"/>
  <c r="M1121" i="81"/>
  <c r="M1122" i="81"/>
  <c r="M1123" i="81"/>
  <c r="M1124" i="81"/>
  <c r="M1125" i="81"/>
  <c r="M1126" i="81"/>
  <c r="M1127" i="81"/>
  <c r="M1128" i="81"/>
  <c r="M1129" i="81"/>
  <c r="M1130" i="81"/>
  <c r="M1131" i="81"/>
  <c r="M1070" i="81"/>
  <c r="M1071" i="81"/>
  <c r="M1072" i="81"/>
  <c r="M1073" i="81"/>
  <c r="M1074" i="81"/>
  <c r="M1075" i="81"/>
  <c r="M1076" i="81"/>
  <c r="M1077" i="81"/>
  <c r="M1078" i="81"/>
  <c r="M1079" i="81"/>
  <c r="M1080" i="81"/>
  <c r="M1081" i="81"/>
  <c r="M1082" i="81"/>
  <c r="M1083" i="81"/>
  <c r="M1084" i="81"/>
  <c r="M1085" i="81"/>
  <c r="M1086" i="81"/>
  <c r="M1087" i="81"/>
  <c r="M1088" i="81"/>
  <c r="M1089" i="81"/>
  <c r="M1090" i="81"/>
  <c r="M1091" i="81"/>
  <c r="M1092" i="81"/>
  <c r="M1093" i="81"/>
  <c r="M1094" i="81"/>
  <c r="M1095" i="81"/>
  <c r="M1096" i="81"/>
  <c r="M1097" i="81"/>
  <c r="M1098" i="81"/>
  <c r="M1099" i="81"/>
  <c r="M984" i="81"/>
  <c r="M985" i="81"/>
  <c r="M986" i="81"/>
  <c r="M987" i="81"/>
  <c r="M988" i="81"/>
  <c r="M989" i="81"/>
  <c r="M990" i="81"/>
  <c r="M991" i="81"/>
  <c r="M992" i="81"/>
  <c r="M993" i="81"/>
  <c r="M994" i="81"/>
  <c r="M995" i="81"/>
  <c r="M996" i="81"/>
  <c r="M997" i="81"/>
  <c r="M998" i="81"/>
  <c r="M999" i="81"/>
  <c r="M1000" i="81"/>
  <c r="M1001" i="81"/>
  <c r="M1002" i="81"/>
  <c r="M1003" i="81"/>
  <c r="M1004" i="81"/>
  <c r="M1005" i="81"/>
  <c r="M1006" i="81"/>
  <c r="M1007" i="81"/>
  <c r="M1008" i="81"/>
  <c r="M1009" i="81"/>
  <c r="M1010" i="81"/>
  <c r="M1011" i="81"/>
  <c r="M1012" i="81"/>
  <c r="M1013" i="81"/>
  <c r="M1014" i="81"/>
  <c r="M1015" i="81"/>
  <c r="M1016" i="81"/>
  <c r="M1017" i="81"/>
  <c r="M1018" i="81"/>
  <c r="M1019" i="81"/>
  <c r="M1020" i="81"/>
  <c r="M1021" i="81"/>
  <c r="M1022" i="81"/>
  <c r="M1023" i="81"/>
  <c r="M1024" i="81"/>
  <c r="M1025" i="81"/>
  <c r="M1026" i="81"/>
  <c r="M1027" i="81"/>
  <c r="M1028" i="81"/>
  <c r="M1029" i="81"/>
  <c r="M1030" i="81"/>
  <c r="M1031" i="81"/>
  <c r="M1032" i="81"/>
  <c r="M1033" i="81"/>
  <c r="M1034" i="81"/>
  <c r="M1035" i="81"/>
  <c r="M1036" i="81"/>
  <c r="M1037" i="81"/>
  <c r="M1038" i="81"/>
  <c r="M1039" i="81"/>
  <c r="M1040" i="81"/>
  <c r="M1041" i="81"/>
  <c r="M1042" i="81"/>
  <c r="M1043" i="81"/>
  <c r="M1044" i="81"/>
  <c r="M1045" i="81"/>
  <c r="M1046" i="81"/>
  <c r="M1047" i="81"/>
  <c r="M1048" i="81"/>
  <c r="M1049" i="81"/>
  <c r="M1050" i="81"/>
  <c r="M1051" i="81"/>
  <c r="M1052" i="81"/>
  <c r="M1053" i="81"/>
  <c r="M1054" i="81"/>
  <c r="M1055" i="81"/>
  <c r="M1056" i="81"/>
  <c r="M1057" i="81"/>
  <c r="M1058" i="81"/>
  <c r="M1059" i="81"/>
  <c r="M1060" i="81"/>
  <c r="M1061" i="81"/>
  <c r="M1062" i="81"/>
  <c r="M1063" i="81"/>
  <c r="M1064" i="81"/>
  <c r="M1065" i="81"/>
  <c r="M1066" i="81"/>
  <c r="M1067" i="81"/>
  <c r="M1068" i="81"/>
  <c r="M1069" i="81"/>
  <c r="M937" i="81"/>
  <c r="M938" i="81"/>
  <c r="M939" i="81"/>
  <c r="M940" i="81"/>
  <c r="M941" i="81"/>
  <c r="M942" i="81"/>
  <c r="M943" i="81"/>
  <c r="M944" i="81"/>
  <c r="M945" i="81"/>
  <c r="M946" i="81"/>
  <c r="M947" i="81"/>
  <c r="M948" i="81"/>
  <c r="M949" i="81"/>
  <c r="M950" i="81"/>
  <c r="M951" i="81"/>
  <c r="M952" i="81"/>
  <c r="M953" i="81"/>
  <c r="M954" i="81"/>
  <c r="M955" i="81"/>
  <c r="M956" i="81"/>
  <c r="M957" i="81"/>
  <c r="M958" i="81"/>
  <c r="M959" i="81"/>
  <c r="M960" i="81"/>
  <c r="M961" i="81"/>
  <c r="M962" i="81"/>
  <c r="M963" i="81"/>
  <c r="M964" i="81"/>
  <c r="M965" i="81"/>
  <c r="M966" i="81"/>
  <c r="M967" i="81"/>
  <c r="M968" i="81"/>
  <c r="M969" i="81"/>
  <c r="M970" i="81"/>
  <c r="M971" i="81"/>
  <c r="M972" i="81"/>
  <c r="M973" i="81"/>
  <c r="M974" i="81"/>
  <c r="M975" i="81"/>
  <c r="M976" i="81"/>
  <c r="M977" i="81"/>
  <c r="M978" i="81"/>
  <c r="M979" i="81"/>
  <c r="M980" i="81"/>
  <c r="M981" i="81"/>
  <c r="M982" i="81"/>
  <c r="M983" i="81"/>
  <c r="M905" i="81"/>
  <c r="M906" i="81"/>
  <c r="M907" i="81"/>
  <c r="M908" i="81"/>
  <c r="M909" i="81"/>
  <c r="M910" i="81"/>
  <c r="M911" i="81"/>
  <c r="M912" i="81"/>
  <c r="M913" i="81"/>
  <c r="M914" i="81"/>
  <c r="M915" i="81"/>
  <c r="M916" i="81"/>
  <c r="M917" i="81"/>
  <c r="M918" i="81"/>
  <c r="M919" i="81"/>
  <c r="M920" i="81"/>
  <c r="M921" i="81"/>
  <c r="M922" i="81"/>
  <c r="M923" i="81"/>
  <c r="M924" i="81"/>
  <c r="M925" i="81"/>
  <c r="M926" i="81"/>
  <c r="M927" i="81"/>
  <c r="M928" i="81"/>
  <c r="M929" i="81"/>
  <c r="M930" i="81"/>
  <c r="M931" i="81"/>
  <c r="M932" i="81"/>
  <c r="M933" i="81"/>
  <c r="M934" i="81"/>
  <c r="M935" i="81"/>
  <c r="M936" i="81"/>
  <c r="M857" i="81"/>
  <c r="M858" i="81"/>
  <c r="M859" i="81"/>
  <c r="M860" i="81"/>
  <c r="M861" i="81"/>
  <c r="M862" i="81"/>
  <c r="M863" i="81"/>
  <c r="M864" i="81"/>
  <c r="M865" i="81"/>
  <c r="M866" i="81"/>
  <c r="M867" i="81"/>
  <c r="M868" i="81"/>
  <c r="M869" i="81"/>
  <c r="M870" i="81"/>
  <c r="M871" i="81"/>
  <c r="M872" i="81"/>
  <c r="M873" i="81"/>
  <c r="M874" i="81"/>
  <c r="M875" i="81"/>
  <c r="M876" i="81"/>
  <c r="M877" i="81"/>
  <c r="M878" i="81"/>
  <c r="M879" i="81"/>
  <c r="M880" i="81"/>
  <c r="M881" i="81"/>
  <c r="M882" i="81"/>
  <c r="M883" i="81"/>
  <c r="M884" i="81"/>
  <c r="M885" i="81"/>
  <c r="M886" i="81"/>
  <c r="M887" i="81"/>
  <c r="M888" i="81"/>
  <c r="M889" i="81"/>
  <c r="M890" i="81"/>
  <c r="M891" i="81"/>
  <c r="M892" i="81"/>
  <c r="M893" i="81"/>
  <c r="M894" i="81"/>
  <c r="M895" i="81"/>
  <c r="M896" i="81"/>
  <c r="M897" i="81"/>
  <c r="M898" i="81"/>
  <c r="M899" i="81"/>
  <c r="M900" i="81"/>
  <c r="M901" i="81"/>
  <c r="M902" i="81"/>
  <c r="M903" i="81"/>
  <c r="M904" i="81"/>
  <c r="M808" i="81"/>
  <c r="M809" i="81"/>
  <c r="M810" i="81"/>
  <c r="M811" i="81"/>
  <c r="M812" i="81"/>
  <c r="M813" i="81"/>
  <c r="M814" i="81"/>
  <c r="M815" i="81"/>
  <c r="M816" i="81"/>
  <c r="M817" i="81"/>
  <c r="M818" i="81"/>
  <c r="M819" i="81"/>
  <c r="M820" i="81"/>
  <c r="M821" i="81"/>
  <c r="M822" i="81"/>
  <c r="M823" i="81"/>
  <c r="M824" i="81"/>
  <c r="M825" i="81"/>
  <c r="M826" i="81"/>
  <c r="M827" i="81"/>
  <c r="M828" i="81"/>
  <c r="M829" i="81"/>
  <c r="M830" i="81"/>
  <c r="M831" i="81"/>
  <c r="M832" i="81"/>
  <c r="M833" i="81"/>
  <c r="M834" i="81"/>
  <c r="M835" i="81"/>
  <c r="M836" i="81"/>
  <c r="M837" i="81"/>
  <c r="M838" i="81"/>
  <c r="M839" i="81"/>
  <c r="M840" i="81"/>
  <c r="M841" i="81"/>
  <c r="M842" i="81"/>
  <c r="M843" i="81"/>
  <c r="M844" i="81"/>
  <c r="M845" i="81"/>
  <c r="M846" i="81"/>
  <c r="M847" i="81"/>
  <c r="M848" i="81"/>
  <c r="M849" i="81"/>
  <c r="M850" i="81"/>
  <c r="M851" i="81"/>
  <c r="M852" i="81"/>
  <c r="M853" i="81"/>
  <c r="M854" i="81"/>
  <c r="M855" i="81"/>
  <c r="M856" i="81"/>
  <c r="M762" i="81"/>
  <c r="M763" i="81"/>
  <c r="M764" i="81"/>
  <c r="M765" i="81"/>
  <c r="M766" i="81"/>
  <c r="M767" i="81"/>
  <c r="M768" i="81"/>
  <c r="M769" i="81"/>
  <c r="M770" i="81"/>
  <c r="M771" i="81"/>
  <c r="M772" i="81"/>
  <c r="M773" i="81"/>
  <c r="M774" i="81"/>
  <c r="M775" i="81"/>
  <c r="M776" i="81"/>
  <c r="M777" i="81"/>
  <c r="M778" i="81"/>
  <c r="M779" i="81"/>
  <c r="M780" i="81"/>
  <c r="M781" i="81"/>
  <c r="M782" i="81"/>
  <c r="M783" i="81"/>
  <c r="M784" i="81"/>
  <c r="M785" i="81"/>
  <c r="M786" i="81"/>
  <c r="M787" i="81"/>
  <c r="M788" i="81"/>
  <c r="M789" i="81"/>
  <c r="M790" i="81"/>
  <c r="M791" i="81"/>
  <c r="M792" i="81"/>
  <c r="M793" i="81"/>
  <c r="M794" i="81"/>
  <c r="M795" i="81"/>
  <c r="M796" i="81"/>
  <c r="M797" i="81"/>
  <c r="M798" i="81"/>
  <c r="M799" i="81"/>
  <c r="M800" i="81"/>
  <c r="M801" i="81"/>
  <c r="M802" i="81"/>
  <c r="M803" i="81"/>
  <c r="M804" i="81"/>
  <c r="M805" i="81"/>
  <c r="M806" i="81"/>
  <c r="M807" i="81"/>
  <c r="M707" i="81"/>
  <c r="M708" i="81"/>
  <c r="M709" i="81"/>
  <c r="M710" i="81"/>
  <c r="M711" i="81"/>
  <c r="M712" i="81"/>
  <c r="M713" i="81"/>
  <c r="M714" i="81"/>
  <c r="M715" i="81"/>
  <c r="M716" i="81"/>
  <c r="M717" i="81"/>
  <c r="M718" i="81"/>
  <c r="M719" i="81"/>
  <c r="M720" i="81"/>
  <c r="M721" i="81"/>
  <c r="M722" i="81"/>
  <c r="M723" i="81"/>
  <c r="M724" i="81"/>
  <c r="M725" i="81"/>
  <c r="M726" i="81"/>
  <c r="M727" i="81"/>
  <c r="M728" i="81"/>
  <c r="M729" i="81"/>
  <c r="M730" i="81"/>
  <c r="M731" i="81"/>
  <c r="M732" i="81"/>
  <c r="M733" i="81"/>
  <c r="M734" i="81"/>
  <c r="M735" i="81"/>
  <c r="M736" i="81"/>
  <c r="M737" i="81"/>
  <c r="M738" i="81"/>
  <c r="M739" i="81"/>
  <c r="M740" i="81"/>
  <c r="M741" i="81"/>
  <c r="M742" i="81"/>
  <c r="M743" i="81"/>
  <c r="M744" i="81"/>
  <c r="M745" i="81"/>
  <c r="M746" i="81"/>
  <c r="M747" i="81"/>
  <c r="M748" i="81"/>
  <c r="M749" i="81"/>
  <c r="M750" i="81"/>
  <c r="M751" i="81"/>
  <c r="M752" i="81"/>
  <c r="M753" i="81"/>
  <c r="M754" i="81"/>
  <c r="M755" i="81"/>
  <c r="M756" i="81"/>
  <c r="M757" i="81"/>
  <c r="M758" i="81"/>
  <c r="M759" i="81"/>
  <c r="M760" i="81"/>
  <c r="M761" i="81"/>
  <c r="M668" i="81"/>
  <c r="M669" i="81"/>
  <c r="M670" i="81"/>
  <c r="M671" i="81"/>
  <c r="M672" i="81"/>
  <c r="M673" i="81"/>
  <c r="M674" i="81"/>
  <c r="M675" i="81"/>
  <c r="M676" i="81"/>
  <c r="M677" i="81"/>
  <c r="M678" i="81"/>
  <c r="M679" i="81"/>
  <c r="M680" i="81"/>
  <c r="M681" i="81"/>
  <c r="M682" i="81"/>
  <c r="M683" i="81"/>
  <c r="M684" i="81"/>
  <c r="M685" i="81"/>
  <c r="M686" i="81"/>
  <c r="M687" i="81"/>
  <c r="M688" i="81"/>
  <c r="M689" i="81"/>
  <c r="M690" i="81"/>
  <c r="M691" i="81"/>
  <c r="M692" i="81"/>
  <c r="M693" i="81"/>
  <c r="M694" i="81"/>
  <c r="M695" i="81"/>
  <c r="M696" i="81"/>
  <c r="M697" i="81"/>
  <c r="M698" i="81"/>
  <c r="M699" i="81"/>
  <c r="M700" i="81"/>
  <c r="M701" i="81"/>
  <c r="M702" i="81"/>
  <c r="M703" i="81"/>
  <c r="M704" i="81"/>
  <c r="M705" i="81"/>
  <c r="M706" i="81"/>
  <c r="M628" i="81"/>
  <c r="M629" i="81"/>
  <c r="M630" i="81"/>
  <c r="M631" i="81"/>
  <c r="M632" i="81"/>
  <c r="M633" i="81"/>
  <c r="M634" i="81"/>
  <c r="M635" i="81"/>
  <c r="M636" i="81"/>
  <c r="M637" i="81"/>
  <c r="M638" i="81"/>
  <c r="M639" i="81"/>
  <c r="M640" i="81"/>
  <c r="M641" i="81"/>
  <c r="M642" i="81"/>
  <c r="M643" i="81"/>
  <c r="M644" i="81"/>
  <c r="M645" i="81"/>
  <c r="M646" i="81"/>
  <c r="M647" i="81"/>
  <c r="M648" i="81"/>
  <c r="M649" i="81"/>
  <c r="M650" i="81"/>
  <c r="M651" i="81"/>
  <c r="M652" i="81"/>
  <c r="M653" i="81"/>
  <c r="M654" i="81"/>
  <c r="M655" i="81"/>
  <c r="M656" i="81"/>
  <c r="M657" i="81"/>
  <c r="M658" i="81"/>
  <c r="M659" i="81"/>
  <c r="M660" i="81"/>
  <c r="M661" i="81"/>
  <c r="M662" i="81"/>
  <c r="M663" i="81"/>
  <c r="M664" i="81"/>
  <c r="M665" i="81"/>
  <c r="M666" i="81"/>
  <c r="M667" i="81"/>
  <c r="M593" i="81"/>
  <c r="M594" i="81"/>
  <c r="M595" i="81"/>
  <c r="M596" i="81"/>
  <c r="M597" i="81"/>
  <c r="M598" i="81"/>
  <c r="M599" i="81"/>
  <c r="M600" i="81"/>
  <c r="M601" i="81"/>
  <c r="M602" i="81"/>
  <c r="M603" i="81"/>
  <c r="M604" i="81"/>
  <c r="M605" i="81"/>
  <c r="M606" i="81"/>
  <c r="M607" i="81"/>
  <c r="M608" i="81"/>
  <c r="M609" i="81"/>
  <c r="M610" i="81"/>
  <c r="M611" i="81"/>
  <c r="M612" i="81"/>
  <c r="M613" i="81"/>
  <c r="M614" i="81"/>
  <c r="M615" i="81"/>
  <c r="M616" i="81"/>
  <c r="M617" i="81"/>
  <c r="M618" i="81"/>
  <c r="M619" i="81"/>
  <c r="M620" i="81"/>
  <c r="M621" i="81"/>
  <c r="M622" i="81"/>
  <c r="M623" i="81"/>
  <c r="M624" i="81"/>
  <c r="M625" i="81"/>
  <c r="M626" i="81"/>
  <c r="M627" i="81"/>
  <c r="M557" i="81"/>
  <c r="M558" i="81"/>
  <c r="M559" i="81"/>
  <c r="M560" i="81"/>
  <c r="M561" i="81"/>
  <c r="M562" i="81"/>
  <c r="M563" i="81"/>
  <c r="M564" i="81"/>
  <c r="M565" i="81"/>
  <c r="M566" i="81"/>
  <c r="M567" i="81"/>
  <c r="M568" i="81"/>
  <c r="M569" i="81"/>
  <c r="M570" i="81"/>
  <c r="M571" i="81"/>
  <c r="M572" i="81"/>
  <c r="M573" i="81"/>
  <c r="M574" i="81"/>
  <c r="M575" i="81"/>
  <c r="M576" i="81"/>
  <c r="M577" i="81"/>
  <c r="M578" i="81"/>
  <c r="M579" i="81"/>
  <c r="M580" i="81"/>
  <c r="M581" i="81"/>
  <c r="M582" i="81"/>
  <c r="M583" i="81"/>
  <c r="M584" i="81"/>
  <c r="M585" i="81"/>
  <c r="M586" i="81"/>
  <c r="M587" i="81"/>
  <c r="M588" i="81"/>
  <c r="M589" i="81"/>
  <c r="M590" i="81"/>
  <c r="M591" i="81"/>
  <c r="M592" i="81"/>
  <c r="M530" i="81"/>
  <c r="M531" i="81"/>
  <c r="M532" i="81"/>
  <c r="M533" i="81"/>
  <c r="M534" i="81"/>
  <c r="M535" i="81"/>
  <c r="M536" i="81"/>
  <c r="M537" i="81"/>
  <c r="M538" i="81"/>
  <c r="M539" i="81"/>
  <c r="M540" i="81"/>
  <c r="M541" i="81"/>
  <c r="M542" i="81"/>
  <c r="M543" i="81"/>
  <c r="M544" i="81"/>
  <c r="M545" i="81"/>
  <c r="M546" i="81"/>
  <c r="M547" i="81"/>
  <c r="M548" i="81"/>
  <c r="M549" i="81"/>
  <c r="M550" i="81"/>
  <c r="M551" i="81"/>
  <c r="M552" i="81"/>
  <c r="M553" i="81"/>
  <c r="M554" i="81"/>
  <c r="M555" i="81"/>
  <c r="M556" i="81"/>
  <c r="M497" i="81"/>
  <c r="M498" i="81"/>
  <c r="M499" i="81"/>
  <c r="M500" i="81"/>
  <c r="M501" i="81"/>
  <c r="M502" i="81"/>
  <c r="M503" i="81"/>
  <c r="M504" i="81"/>
  <c r="M505" i="81"/>
  <c r="M506" i="81"/>
  <c r="M507" i="81"/>
  <c r="M508" i="81"/>
  <c r="M509" i="81"/>
  <c r="M510" i="81"/>
  <c r="M511" i="81"/>
  <c r="M512" i="81"/>
  <c r="M513" i="81"/>
  <c r="M514" i="81"/>
  <c r="M515" i="81"/>
  <c r="M516" i="81"/>
  <c r="M517" i="81"/>
  <c r="M518" i="81"/>
  <c r="M519" i="81"/>
  <c r="M520" i="81"/>
  <c r="M521" i="81"/>
  <c r="M522" i="81"/>
  <c r="M523" i="81"/>
  <c r="M524" i="81"/>
  <c r="M525" i="81"/>
  <c r="M526" i="81"/>
  <c r="M527" i="81"/>
  <c r="M528" i="81"/>
  <c r="M529" i="81"/>
  <c r="M471" i="81"/>
  <c r="M472" i="81"/>
  <c r="M473" i="81"/>
  <c r="M474" i="81"/>
  <c r="M475" i="81"/>
  <c r="M476" i="81"/>
  <c r="M477" i="81"/>
  <c r="M478" i="81"/>
  <c r="M479" i="81"/>
  <c r="M480" i="81"/>
  <c r="M481" i="81"/>
  <c r="M482" i="81"/>
  <c r="M483" i="81"/>
  <c r="M484" i="81"/>
  <c r="M485" i="81"/>
  <c r="M486" i="81"/>
  <c r="M487" i="81"/>
  <c r="M488" i="81"/>
  <c r="M489" i="81"/>
  <c r="M490" i="81"/>
  <c r="M491" i="81"/>
  <c r="M492" i="81"/>
  <c r="M493" i="81"/>
  <c r="M494" i="81"/>
  <c r="M495" i="81"/>
  <c r="M496" i="81"/>
  <c r="M437" i="81"/>
  <c r="M438" i="81"/>
  <c r="M439" i="81"/>
  <c r="M440" i="81"/>
  <c r="M441" i="81"/>
  <c r="M442" i="81"/>
  <c r="M443" i="81"/>
  <c r="M444" i="81"/>
  <c r="M445" i="81"/>
  <c r="M446" i="81"/>
  <c r="M447" i="81"/>
  <c r="M448" i="81"/>
  <c r="M449" i="81"/>
  <c r="M450" i="81"/>
  <c r="M451" i="81"/>
  <c r="M452" i="81"/>
  <c r="M453" i="81"/>
  <c r="M454" i="81"/>
  <c r="M455" i="81"/>
  <c r="M456" i="81"/>
  <c r="M457" i="81"/>
  <c r="M458" i="81"/>
  <c r="M459" i="81"/>
  <c r="M460" i="81"/>
  <c r="M461" i="81"/>
  <c r="M462" i="81"/>
  <c r="M463" i="81"/>
  <c r="M464" i="81"/>
  <c r="M465" i="81"/>
  <c r="M466" i="81"/>
  <c r="M467" i="81"/>
  <c r="M468" i="81"/>
  <c r="M469" i="81"/>
  <c r="M470" i="81"/>
  <c r="M397" i="81"/>
  <c r="M398" i="81"/>
  <c r="M399" i="81"/>
  <c r="M400" i="81"/>
  <c r="M401" i="81"/>
  <c r="M402" i="81"/>
  <c r="M403" i="81"/>
  <c r="M404" i="81"/>
  <c r="M405" i="81"/>
  <c r="M406" i="81"/>
  <c r="M407" i="81"/>
  <c r="M408" i="81"/>
  <c r="M409" i="81"/>
  <c r="M410" i="81"/>
  <c r="M411" i="81"/>
  <c r="M412" i="81"/>
  <c r="M413" i="81"/>
  <c r="M414" i="81"/>
  <c r="M415" i="81"/>
  <c r="M416" i="81"/>
  <c r="M417" i="81"/>
  <c r="M418" i="81"/>
  <c r="M419" i="81"/>
  <c r="M420" i="81"/>
  <c r="M421" i="81"/>
  <c r="M422" i="81"/>
  <c r="M423" i="81"/>
  <c r="M424" i="81"/>
  <c r="M425" i="81"/>
  <c r="M426" i="81"/>
  <c r="M427" i="81"/>
  <c r="M428" i="81"/>
  <c r="M429" i="81"/>
  <c r="M430" i="81"/>
  <c r="M431" i="81"/>
  <c r="M432" i="81"/>
  <c r="M433" i="81"/>
  <c r="M434" i="81"/>
  <c r="M435" i="81"/>
  <c r="M436" i="81"/>
  <c r="M354" i="81"/>
  <c r="M355" i="81"/>
  <c r="M356" i="81"/>
  <c r="M357" i="81"/>
  <c r="M358" i="81"/>
  <c r="M359" i="81"/>
  <c r="M360" i="81"/>
  <c r="M361" i="81"/>
  <c r="M362" i="81"/>
  <c r="M363" i="81"/>
  <c r="M364" i="81"/>
  <c r="M365" i="81"/>
  <c r="M366" i="81"/>
  <c r="M367" i="81"/>
  <c r="M368" i="81"/>
  <c r="M369" i="81"/>
  <c r="M370" i="81"/>
  <c r="M371" i="81"/>
  <c r="M372" i="81"/>
  <c r="M373" i="81"/>
  <c r="M374" i="81"/>
  <c r="M375" i="81"/>
  <c r="M376" i="81"/>
  <c r="M377" i="81"/>
  <c r="M378" i="81"/>
  <c r="M379" i="81"/>
  <c r="M380" i="81"/>
  <c r="M381" i="81"/>
  <c r="M382" i="81"/>
  <c r="M383" i="81"/>
  <c r="M384" i="81"/>
  <c r="M385" i="81"/>
  <c r="M386" i="81"/>
  <c r="M387" i="81"/>
  <c r="M388" i="81"/>
  <c r="M389" i="81"/>
  <c r="M390" i="81"/>
  <c r="M391" i="81"/>
  <c r="M392" i="81"/>
  <c r="M393" i="81"/>
  <c r="M394" i="81"/>
  <c r="M395" i="81"/>
  <c r="M396" i="81"/>
  <c r="M292" i="81"/>
  <c r="M293" i="81"/>
  <c r="M294" i="81"/>
  <c r="M295" i="81"/>
  <c r="M296" i="81"/>
  <c r="M297" i="81"/>
  <c r="M298" i="81"/>
  <c r="M299" i="81"/>
  <c r="M300" i="81"/>
  <c r="M301" i="81"/>
  <c r="M302" i="81"/>
  <c r="M303" i="81"/>
  <c r="M304" i="81"/>
  <c r="M305" i="81"/>
  <c r="M306" i="81"/>
  <c r="M307" i="81"/>
  <c r="M308" i="81"/>
  <c r="M309" i="81"/>
  <c r="M310" i="81"/>
  <c r="M311" i="81"/>
  <c r="M312" i="81"/>
  <c r="M313" i="81"/>
  <c r="M314" i="81"/>
  <c r="M315" i="81"/>
  <c r="M316" i="81"/>
  <c r="M317" i="81"/>
  <c r="M318" i="81"/>
  <c r="M319" i="81"/>
  <c r="M320" i="81"/>
  <c r="M321" i="81"/>
  <c r="M322" i="81"/>
  <c r="M323" i="81"/>
  <c r="M324" i="81"/>
  <c r="M325" i="81"/>
  <c r="M326" i="81"/>
  <c r="M327" i="81"/>
  <c r="M328" i="81"/>
  <c r="M329" i="81"/>
  <c r="M330" i="81"/>
  <c r="M331" i="81"/>
  <c r="M332" i="81"/>
  <c r="M333" i="81"/>
  <c r="M334" i="81"/>
  <c r="M335" i="81"/>
  <c r="M336" i="81"/>
  <c r="M337" i="81"/>
  <c r="M338" i="81"/>
  <c r="M339" i="81"/>
  <c r="M340" i="81"/>
  <c r="M341" i="81"/>
  <c r="M342" i="81"/>
  <c r="M343" i="81"/>
  <c r="M344" i="81"/>
  <c r="M345" i="81"/>
  <c r="M346" i="81"/>
  <c r="M347" i="81"/>
  <c r="M348" i="81"/>
  <c r="M349" i="81"/>
  <c r="M350" i="81"/>
  <c r="M351" i="81"/>
  <c r="M242" i="81"/>
  <c r="M243" i="81"/>
  <c r="M244" i="81"/>
  <c r="M245" i="81"/>
  <c r="M246" i="81"/>
  <c r="M247" i="81"/>
  <c r="M248" i="81"/>
  <c r="M249" i="81"/>
  <c r="M250" i="81"/>
  <c r="M251" i="81"/>
  <c r="M252" i="81"/>
  <c r="M253" i="81"/>
  <c r="M254" i="81"/>
  <c r="M255" i="81"/>
  <c r="M256" i="81"/>
  <c r="M257" i="81"/>
  <c r="M258" i="81"/>
  <c r="M259" i="81"/>
  <c r="M260" i="81"/>
  <c r="M261" i="81"/>
  <c r="M262" i="81"/>
  <c r="M263" i="81"/>
  <c r="M264" i="81"/>
  <c r="M265" i="81"/>
  <c r="M266" i="81"/>
  <c r="M267" i="81"/>
  <c r="M268" i="81"/>
  <c r="M269" i="81"/>
  <c r="M270" i="81"/>
  <c r="M271" i="81"/>
  <c r="M272" i="81"/>
  <c r="M273" i="81"/>
  <c r="M274" i="81"/>
  <c r="M275" i="81"/>
  <c r="M276" i="81"/>
  <c r="M277" i="81"/>
  <c r="M278" i="81"/>
  <c r="M279" i="81"/>
  <c r="M280" i="81"/>
  <c r="M281" i="81"/>
  <c r="M282" i="81"/>
  <c r="M283" i="81"/>
  <c r="M284" i="81"/>
  <c r="M285" i="81"/>
  <c r="M286" i="81"/>
  <c r="M287" i="81"/>
  <c r="M288" i="81"/>
  <c r="M289" i="81"/>
  <c r="M290" i="81"/>
  <c r="M291" i="81"/>
  <c r="M202" i="81"/>
  <c r="M203" i="81"/>
  <c r="M204" i="81"/>
  <c r="M205" i="81"/>
  <c r="M206" i="81"/>
  <c r="M207" i="81"/>
  <c r="M208" i="81"/>
  <c r="M209" i="81"/>
  <c r="M210" i="81"/>
  <c r="M211" i="81"/>
  <c r="M212" i="81"/>
  <c r="M213" i="81"/>
  <c r="M214" i="81"/>
  <c r="M215" i="81"/>
  <c r="M216" i="81"/>
  <c r="M217" i="81"/>
  <c r="M218" i="81"/>
  <c r="M219" i="81"/>
  <c r="M220" i="81"/>
  <c r="M221" i="81"/>
  <c r="M222" i="81"/>
  <c r="M223" i="81"/>
  <c r="M224" i="81"/>
  <c r="M225" i="81"/>
  <c r="M226" i="81"/>
  <c r="M227" i="81"/>
  <c r="M228" i="81"/>
  <c r="M229" i="81"/>
  <c r="M230" i="81"/>
  <c r="M231" i="81"/>
  <c r="M232" i="81"/>
  <c r="M233" i="81"/>
  <c r="M234" i="81"/>
  <c r="M235" i="81"/>
  <c r="M236" i="81"/>
  <c r="M237" i="81"/>
  <c r="M238" i="81"/>
  <c r="M239" i="81"/>
  <c r="M240" i="81"/>
  <c r="M241" i="81"/>
  <c r="M173" i="81"/>
  <c r="M174" i="81"/>
  <c r="M175" i="81"/>
  <c r="M176" i="81"/>
  <c r="M177" i="81"/>
  <c r="M178" i="81"/>
  <c r="M179" i="81"/>
  <c r="M180" i="81"/>
  <c r="M181" i="81"/>
  <c r="M182" i="81"/>
  <c r="M183" i="81"/>
  <c r="M184" i="81"/>
  <c r="M185" i="81"/>
  <c r="M186" i="81"/>
  <c r="M187" i="81"/>
  <c r="M188" i="81"/>
  <c r="M189" i="81"/>
  <c r="M190" i="81"/>
  <c r="M191" i="81"/>
  <c r="M192" i="81"/>
  <c r="M193" i="81"/>
  <c r="M194" i="81"/>
  <c r="M195" i="81"/>
  <c r="M196" i="81"/>
  <c r="M197" i="81"/>
  <c r="M198" i="81"/>
  <c r="M199" i="81"/>
  <c r="M200" i="81"/>
  <c r="M201" i="81"/>
  <c r="M139" i="81"/>
  <c r="M140" i="81"/>
  <c r="M141" i="81"/>
  <c r="M142" i="81"/>
  <c r="M143" i="81"/>
  <c r="M144" i="81"/>
  <c r="M145" i="81"/>
  <c r="M146" i="81"/>
  <c r="M147" i="81"/>
  <c r="M148" i="81"/>
  <c r="M149" i="81"/>
  <c r="M150" i="81"/>
  <c r="M151" i="81"/>
  <c r="M152" i="81"/>
  <c r="M153" i="81"/>
  <c r="M154" i="81"/>
  <c r="M155" i="81"/>
  <c r="M156" i="81"/>
  <c r="M157" i="81"/>
  <c r="M158" i="81"/>
  <c r="M159" i="81"/>
  <c r="M160" i="81"/>
  <c r="M161" i="81"/>
  <c r="M162" i="81"/>
  <c r="M163" i="81"/>
  <c r="M164" i="81"/>
  <c r="M165" i="81"/>
  <c r="M166" i="81"/>
  <c r="M167" i="81"/>
  <c r="M168" i="81"/>
  <c r="M169" i="81"/>
  <c r="M170" i="81"/>
  <c r="M171" i="81"/>
  <c r="M172" i="81"/>
  <c r="M101" i="81"/>
  <c r="M102" i="81"/>
  <c r="M103" i="81"/>
  <c r="M104" i="81"/>
  <c r="M105" i="81"/>
  <c r="M106" i="81"/>
  <c r="M107" i="81"/>
  <c r="M108" i="81"/>
  <c r="M109" i="81"/>
  <c r="M110" i="81"/>
  <c r="M111" i="81"/>
  <c r="M112" i="81"/>
  <c r="M113" i="81"/>
  <c r="M114" i="81"/>
  <c r="M115" i="81"/>
  <c r="M116" i="81"/>
  <c r="M117" i="81"/>
  <c r="M118" i="81"/>
  <c r="M119" i="81"/>
  <c r="M120" i="81"/>
  <c r="M121" i="81"/>
  <c r="M122" i="81"/>
  <c r="M123" i="81"/>
  <c r="M124" i="81"/>
  <c r="M125" i="81"/>
  <c r="M126" i="81"/>
  <c r="M127" i="81"/>
  <c r="M128" i="81"/>
  <c r="M129" i="81"/>
  <c r="M130" i="81"/>
  <c r="M131" i="81"/>
  <c r="M132" i="81"/>
  <c r="M133" i="81"/>
  <c r="M134" i="81"/>
  <c r="M135" i="81"/>
  <c r="M136" i="81"/>
  <c r="M137" i="81"/>
  <c r="M138" i="81"/>
  <c r="M77" i="81"/>
  <c r="M78" i="81"/>
  <c r="M79" i="81"/>
  <c r="M80" i="81"/>
  <c r="M81" i="81"/>
  <c r="M82" i="81"/>
  <c r="M83" i="81"/>
  <c r="M84" i="81"/>
  <c r="M85" i="81"/>
  <c r="M86" i="81"/>
  <c r="M87" i="81"/>
  <c r="M88" i="81"/>
  <c r="M89" i="81"/>
  <c r="M90" i="81"/>
  <c r="M91" i="81"/>
  <c r="M92" i="81"/>
  <c r="M93" i="81"/>
  <c r="M94" i="81"/>
  <c r="M95" i="81"/>
  <c r="M96" i="81"/>
  <c r="M97" i="81"/>
  <c r="M98" i="81"/>
  <c r="M99" i="81"/>
  <c r="M100" i="81"/>
  <c r="M62" i="81"/>
  <c r="M63" i="81"/>
  <c r="M64" i="81"/>
  <c r="M65" i="81"/>
  <c r="M66" i="81"/>
  <c r="M67" i="81"/>
  <c r="M68" i="81"/>
  <c r="M69" i="81"/>
  <c r="M70" i="81"/>
  <c r="M71" i="81"/>
  <c r="M72" i="81"/>
  <c r="M73" i="81"/>
  <c r="M74" i="81"/>
  <c r="M75" i="81"/>
  <c r="M76" i="81"/>
  <c r="M56" i="81"/>
  <c r="M57" i="81"/>
  <c r="M58" i="81"/>
  <c r="M59" i="81"/>
  <c r="M60" i="81"/>
  <c r="M61" i="81"/>
  <c r="L1597" i="81"/>
  <c r="L1596" i="81"/>
  <c r="L1595" i="81"/>
  <c r="L1594" i="81"/>
  <c r="L1593" i="81"/>
  <c r="L1592" i="81"/>
  <c r="K1590" i="81"/>
  <c r="K1589" i="81"/>
  <c r="J1556" i="81"/>
  <c r="J1555" i="81"/>
  <c r="J1553" i="81"/>
  <c r="J1551" i="81"/>
  <c r="J1550" i="81"/>
  <c r="J1541" i="81"/>
  <c r="J1540" i="81"/>
  <c r="J1531" i="81"/>
  <c r="J1518" i="81"/>
  <c r="J1515" i="81"/>
  <c r="J1513" i="81"/>
  <c r="J1512" i="81"/>
  <c r="J1511" i="81"/>
  <c r="J1510" i="81"/>
  <c r="J1508" i="81"/>
  <c r="J1507" i="81"/>
  <c r="J1506" i="81"/>
  <c r="J1505" i="81"/>
  <c r="J1502" i="81"/>
  <c r="J1501" i="81"/>
  <c r="J1500" i="81"/>
  <c r="J1499" i="81"/>
  <c r="J1495" i="81"/>
  <c r="J1494" i="81"/>
  <c r="J1493" i="81"/>
  <c r="J1492" i="81"/>
  <c r="J1489" i="81"/>
  <c r="J1488" i="81"/>
  <c r="J1487" i="81"/>
  <c r="J1486" i="81"/>
  <c r="J1482" i="81"/>
  <c r="J1481" i="81"/>
  <c r="J1478" i="81"/>
  <c r="J1477" i="81"/>
  <c r="J1473" i="81"/>
  <c r="J1472" i="81"/>
  <c r="J1469" i="81"/>
  <c r="J1468" i="81"/>
  <c r="L1434" i="81"/>
  <c r="L1433" i="81"/>
  <c r="L1431" i="81"/>
  <c r="L1430" i="81"/>
  <c r="L1429" i="81"/>
  <c r="L1428" i="81"/>
  <c r="L1427" i="81"/>
  <c r="L1426" i="81"/>
  <c r="L1425" i="81"/>
  <c r="L1423" i="81"/>
  <c r="L1422" i="81"/>
  <c r="L1421" i="81"/>
  <c r="L1420" i="81"/>
  <c r="L1419" i="81"/>
  <c r="L1418" i="81"/>
  <c r="L1417" i="81"/>
  <c r="J1400" i="81"/>
  <c r="J1399" i="81"/>
  <c r="J1398" i="81"/>
  <c r="J1397" i="81"/>
  <c r="J1396" i="81"/>
  <c r="J1395" i="81"/>
  <c r="J1394" i="81"/>
  <c r="J1393" i="81"/>
  <c r="J1392" i="81"/>
  <c r="J1391" i="81"/>
  <c r="K1368" i="81"/>
  <c r="L1368" i="81" s="1"/>
  <c r="K1367" i="81"/>
  <c r="L1367" i="81" s="1"/>
  <c r="K1366" i="81"/>
  <c r="L1366" i="81" s="1"/>
  <c r="K1365" i="81"/>
  <c r="L1365" i="81" s="1"/>
  <c r="K1364" i="81"/>
  <c r="L1364" i="81" s="1"/>
  <c r="K1363" i="81"/>
  <c r="L1363" i="81" s="1"/>
  <c r="K1362" i="81"/>
  <c r="L1362" i="81" s="1"/>
  <c r="K1361" i="81"/>
  <c r="L1361" i="81" s="1"/>
  <c r="K1360" i="81"/>
  <c r="L1360" i="81" s="1"/>
  <c r="K1359" i="81"/>
  <c r="L1359" i="81" s="1"/>
  <c r="K1358" i="81"/>
  <c r="L1358" i="81" s="1"/>
  <c r="K1357" i="81"/>
  <c r="L1357" i="81" s="1"/>
  <c r="K1356" i="81"/>
  <c r="L1356" i="81" s="1"/>
  <c r="K1355" i="81"/>
  <c r="L1355" i="81" s="1"/>
  <c r="K1354" i="81"/>
  <c r="L1354" i="81" s="1"/>
  <c r="K1353" i="81"/>
  <c r="L1353" i="81" s="1"/>
  <c r="K1352" i="81"/>
  <c r="L1352" i="81" s="1"/>
  <c r="K1351" i="81"/>
  <c r="L1351" i="81" s="1"/>
  <c r="K1350" i="81"/>
  <c r="L1350" i="81" s="1"/>
  <c r="K1349" i="81"/>
  <c r="L1349" i="81" s="1"/>
  <c r="K1348" i="81"/>
  <c r="L1348" i="81" s="1"/>
  <c r="K1347" i="81"/>
  <c r="L1347" i="81" s="1"/>
  <c r="K1333" i="81"/>
  <c r="K1332" i="81"/>
  <c r="K1331" i="81"/>
  <c r="K1330" i="81"/>
  <c r="K1329" i="81"/>
  <c r="K1328" i="81"/>
  <c r="K1327" i="81"/>
  <c r="K1326" i="81"/>
  <c r="K1325" i="81"/>
  <c r="K1324" i="81"/>
  <c r="K1323" i="81"/>
  <c r="K1322" i="81"/>
  <c r="K1321" i="81"/>
  <c r="K1320" i="81"/>
  <c r="K1319" i="81"/>
  <c r="K1318" i="81"/>
  <c r="K1317" i="81"/>
  <c r="K1316" i="81"/>
  <c r="K1315" i="81"/>
  <c r="K1314" i="81"/>
  <c r="K1313" i="81"/>
  <c r="K1312" i="81"/>
  <c r="K1311" i="81"/>
  <c r="K1309" i="81"/>
  <c r="K1308" i="81"/>
  <c r="K1307" i="81"/>
  <c r="K1306" i="81"/>
  <c r="J1304" i="81"/>
  <c r="J1303" i="81"/>
  <c r="J1302" i="81"/>
  <c r="J1301" i="81"/>
  <c r="J1300" i="81"/>
  <c r="J1299" i="81"/>
  <c r="J1298" i="81"/>
  <c r="J1297" i="81"/>
  <c r="J1296" i="81"/>
  <c r="J1295" i="81"/>
  <c r="J1294" i="81"/>
  <c r="J1293" i="81"/>
  <c r="J1292" i="81"/>
  <c r="J1291" i="81"/>
  <c r="J1290" i="81"/>
  <c r="J1289" i="81"/>
  <c r="J1288" i="81"/>
  <c r="J1287" i="81"/>
  <c r="J1286" i="81"/>
  <c r="J1285" i="81"/>
  <c r="J1284" i="81"/>
  <c r="J1283" i="81"/>
  <c r="J1282" i="81"/>
  <c r="J1281" i="81"/>
  <c r="J1280" i="81"/>
  <c r="J1279" i="81"/>
  <c r="J1278" i="81"/>
  <c r="J1277" i="81"/>
  <c r="J1276" i="81"/>
  <c r="K1274" i="81"/>
  <c r="K1273" i="81"/>
  <c r="K1272" i="81"/>
  <c r="K1271" i="81"/>
  <c r="K1270" i="81"/>
  <c r="K1269" i="81"/>
  <c r="K1268" i="81"/>
  <c r="K1267" i="81"/>
  <c r="K1266" i="81"/>
  <c r="K1265" i="81"/>
  <c r="K1264" i="81"/>
  <c r="K1263" i="81"/>
  <c r="K1262" i="81"/>
  <c r="K1261" i="81"/>
  <c r="K1260" i="81"/>
  <c r="K1259" i="81"/>
  <c r="K1258" i="81"/>
  <c r="L1256" i="81"/>
  <c r="L1255" i="81"/>
  <c r="L1254" i="81"/>
  <c r="L1253" i="81"/>
  <c r="L1252" i="81"/>
  <c r="L1251" i="81"/>
  <c r="L1250" i="81"/>
  <c r="L1249" i="81"/>
  <c r="L1248" i="81"/>
  <c r="L1247" i="81"/>
  <c r="L1246" i="81"/>
  <c r="L1245" i="81"/>
  <c r="L1244" i="81"/>
  <c r="L1243" i="81"/>
  <c r="L1242" i="81"/>
  <c r="L1241" i="81"/>
  <c r="L1240" i="81"/>
  <c r="L1239" i="81"/>
  <c r="L1238" i="81"/>
  <c r="L1237" i="81"/>
  <c r="L1236" i="81"/>
  <c r="L1235" i="81"/>
  <c r="L1234" i="81"/>
  <c r="L1232" i="81"/>
  <c r="L1231" i="81"/>
  <c r="L1230" i="81"/>
  <c r="L1229" i="81"/>
  <c r="L1228" i="81"/>
  <c r="L1227" i="81"/>
  <c r="L1226" i="81"/>
  <c r="L1225" i="81"/>
  <c r="L1224" i="81"/>
  <c r="L1223" i="81"/>
  <c r="L1222" i="81"/>
  <c r="L1221" i="81"/>
  <c r="L1220" i="81"/>
  <c r="L1219" i="81"/>
  <c r="L1218" i="81"/>
  <c r="L1217" i="81"/>
  <c r="L1216" i="81"/>
  <c r="L1215" i="81"/>
  <c r="L1214" i="81"/>
  <c r="L1213" i="81"/>
  <c r="L1212" i="81"/>
  <c r="L1211" i="81"/>
  <c r="L1210" i="81"/>
  <c r="L1209" i="81"/>
  <c r="L1208" i="81"/>
  <c r="L1207" i="81"/>
  <c r="L1206" i="81"/>
  <c r="L1205" i="81"/>
  <c r="L1204" i="81"/>
  <c r="L1203" i="81"/>
  <c r="L1202" i="81"/>
  <c r="L1201" i="81"/>
  <c r="L1200" i="81"/>
  <c r="L1199" i="81"/>
  <c r="L1198" i="81"/>
  <c r="L1197" i="81"/>
  <c r="L1196" i="81"/>
  <c r="L1195" i="81"/>
  <c r="L1194" i="81"/>
  <c r="L1193" i="81"/>
  <c r="L1192" i="81"/>
  <c r="L1191" i="81"/>
  <c r="L1190" i="81"/>
  <c r="L1189" i="81"/>
  <c r="L1188" i="81"/>
  <c r="L1187" i="81"/>
  <c r="L1186" i="81"/>
  <c r="L1185" i="81"/>
  <c r="L1184" i="81"/>
  <c r="L1183" i="81"/>
  <c r="L1182" i="81"/>
  <c r="L1181" i="81"/>
  <c r="L1180" i="81"/>
  <c r="L1179" i="81"/>
  <c r="L1178" i="81"/>
  <c r="L1177" i="81"/>
  <c r="L1176" i="81"/>
  <c r="L1175" i="81"/>
  <c r="L1174" i="81"/>
  <c r="L1173" i="81"/>
  <c r="L1172" i="81"/>
  <c r="L1171" i="81"/>
  <c r="L1170" i="81"/>
  <c r="L1169" i="81"/>
  <c r="L1168" i="81"/>
  <c r="L1167" i="81"/>
  <c r="L1166" i="81"/>
  <c r="L1165" i="81"/>
  <c r="L1164" i="81"/>
  <c r="L1163" i="81"/>
  <c r="L1162" i="81"/>
  <c r="L1161" i="81"/>
  <c r="L1160" i="81"/>
  <c r="L1159" i="81"/>
  <c r="L1158" i="81"/>
  <c r="L1157" i="81"/>
  <c r="L1156" i="81"/>
  <c r="L1155" i="81"/>
  <c r="L1154" i="81"/>
  <c r="L1153" i="81"/>
  <c r="L1152" i="81"/>
  <c r="L1151" i="81"/>
  <c r="L1150" i="81"/>
  <c r="L1149" i="81"/>
  <c r="L1148" i="81"/>
  <c r="L1147" i="81"/>
  <c r="K1145" i="81"/>
  <c r="K1144" i="81"/>
  <c r="K1143" i="81"/>
  <c r="K1142" i="81"/>
  <c r="K1141" i="81"/>
  <c r="K1140" i="81"/>
  <c r="K1138" i="81"/>
  <c r="K1137" i="81"/>
  <c r="K1136" i="81"/>
  <c r="K1133" i="81"/>
  <c r="L1133" i="81" s="1"/>
  <c r="K1132" i="81"/>
  <c r="L1132" i="81" s="1"/>
  <c r="K1131" i="81"/>
  <c r="L1131" i="81" s="1"/>
  <c r="K1130" i="81"/>
  <c r="L1130" i="81" s="1"/>
  <c r="K1129" i="81"/>
  <c r="L1129" i="81" s="1"/>
  <c r="K1128" i="81"/>
  <c r="L1128" i="81" s="1"/>
  <c r="K1126" i="81"/>
  <c r="L1126" i="81" s="1"/>
  <c r="K1125" i="81"/>
  <c r="L1125" i="81" s="1"/>
  <c r="K1124" i="81"/>
  <c r="L1124" i="81" s="1"/>
  <c r="K1123" i="81"/>
  <c r="L1123" i="81" s="1"/>
  <c r="K1122" i="81"/>
  <c r="L1122" i="81" s="1"/>
  <c r="K1121" i="81"/>
  <c r="L1121" i="81" s="1"/>
  <c r="K1120" i="81"/>
  <c r="L1120" i="81" s="1"/>
  <c r="K1119" i="81"/>
  <c r="L1119" i="81" s="1"/>
  <c r="K1118" i="81"/>
  <c r="L1118" i="81" s="1"/>
  <c r="K1117" i="81"/>
  <c r="L1117" i="81" s="1"/>
  <c r="K1116" i="81"/>
  <c r="L1116" i="81" s="1"/>
  <c r="L1113" i="81"/>
  <c r="L1112" i="81"/>
  <c r="L1111" i="81"/>
  <c r="L1109" i="81"/>
  <c r="L1108" i="81"/>
  <c r="L1107" i="81"/>
  <c r="L1106" i="81"/>
  <c r="L1104" i="81"/>
  <c r="L1103" i="81"/>
  <c r="L1102" i="81"/>
  <c r="L1101" i="81"/>
  <c r="L1100" i="81"/>
  <c r="L1099" i="81"/>
  <c r="L1098" i="81"/>
  <c r="L1097" i="81"/>
  <c r="L1096" i="81"/>
  <c r="L1095" i="81"/>
  <c r="L1094" i="81"/>
  <c r="L1020" i="81"/>
  <c r="L1019" i="81"/>
  <c r="L1018" i="81"/>
  <c r="L1017" i="81"/>
  <c r="L1016" i="81"/>
  <c r="L1015" i="81"/>
  <c r="L1014" i="81"/>
  <c r="L1013" i="81"/>
  <c r="L1012" i="81"/>
  <c r="L1011" i="81"/>
  <c r="L1010" i="81"/>
  <c r="L1009" i="81"/>
  <c r="L1008" i="81"/>
  <c r="L1007" i="81"/>
  <c r="L917" i="81"/>
  <c r="K917" i="81"/>
  <c r="L916" i="81"/>
  <c r="K916" i="81"/>
  <c r="L915" i="81"/>
  <c r="K915" i="81"/>
  <c r="L914" i="81"/>
  <c r="K914" i="81"/>
  <c r="L913" i="81"/>
  <c r="K913" i="81"/>
  <c r="L912" i="81"/>
  <c r="K912" i="81"/>
  <c r="L911" i="81"/>
  <c r="K911" i="81"/>
  <c r="L910" i="81"/>
  <c r="K910" i="81"/>
  <c r="L909" i="81"/>
  <c r="K909" i="81"/>
  <c r="L908" i="81"/>
  <c r="K908" i="81"/>
  <c r="L907" i="81"/>
  <c r="K907" i="81"/>
  <c r="L906" i="81"/>
  <c r="K906" i="81"/>
  <c r="L905" i="81"/>
  <c r="K905" i="81"/>
  <c r="L904" i="81"/>
  <c r="K904" i="81"/>
  <c r="L903" i="81"/>
  <c r="K903" i="81"/>
  <c r="L902" i="81"/>
  <c r="K902" i="81"/>
  <c r="L901" i="81"/>
  <c r="K901" i="81"/>
  <c r="L900" i="81"/>
  <c r="K900" i="81"/>
  <c r="L899" i="81"/>
  <c r="K899" i="81"/>
  <c r="L898" i="81"/>
  <c r="K898" i="81"/>
  <c r="L897" i="81"/>
  <c r="K897" i="81"/>
  <c r="L896" i="81"/>
  <c r="K896" i="81"/>
  <c r="L895" i="81"/>
  <c r="K895" i="81"/>
  <c r="L893" i="81"/>
  <c r="K893" i="81"/>
  <c r="L892" i="81"/>
  <c r="K892" i="81"/>
  <c r="L891" i="81"/>
  <c r="K891" i="81"/>
  <c r="L890" i="81"/>
  <c r="K890" i="81"/>
  <c r="L889" i="81"/>
  <c r="K889" i="81"/>
  <c r="L888" i="81"/>
  <c r="K888" i="81"/>
  <c r="L887" i="81"/>
  <c r="K887" i="81"/>
  <c r="L886" i="81"/>
  <c r="K886" i="81"/>
  <c r="L885" i="81"/>
  <c r="K885" i="81"/>
  <c r="L884" i="81"/>
  <c r="K884" i="81"/>
  <c r="L883" i="81"/>
  <c r="K883" i="81"/>
  <c r="L882" i="81"/>
  <c r="K882" i="81"/>
  <c r="L881" i="81"/>
  <c r="K881" i="81"/>
  <c r="L880" i="81"/>
  <c r="K880" i="81"/>
  <c r="L879" i="81"/>
  <c r="K879" i="81"/>
  <c r="L878" i="81"/>
  <c r="K878" i="81"/>
  <c r="L877" i="81"/>
  <c r="K877" i="81"/>
  <c r="L876" i="81"/>
  <c r="K876" i="81"/>
  <c r="L875" i="81"/>
  <c r="K875" i="81"/>
  <c r="L874" i="81"/>
  <c r="K874" i="81"/>
  <c r="L873" i="81"/>
  <c r="K873" i="81"/>
  <c r="L872" i="81"/>
  <c r="K872" i="81"/>
  <c r="L871" i="81"/>
  <c r="K871" i="81"/>
  <c r="L870" i="81"/>
  <c r="K870" i="81"/>
  <c r="K836" i="81"/>
  <c r="L836" i="81" s="1"/>
  <c r="K835" i="81"/>
  <c r="L835" i="81" s="1"/>
  <c r="K834" i="81"/>
  <c r="L834" i="81" s="1"/>
  <c r="K833" i="81"/>
  <c r="L833" i="81" s="1"/>
  <c r="K832" i="81"/>
  <c r="L832" i="81" s="1"/>
  <c r="K831" i="81"/>
  <c r="L831" i="81" s="1"/>
  <c r="K830" i="81"/>
  <c r="L830" i="81" s="1"/>
  <c r="L828" i="81"/>
  <c r="K827" i="81"/>
  <c r="L827" i="81" s="1"/>
  <c r="K826" i="81"/>
  <c r="L826" i="81" s="1"/>
  <c r="K825" i="81"/>
  <c r="L825" i="81" s="1"/>
  <c r="K824" i="81"/>
  <c r="L824" i="81" s="1"/>
  <c r="K822" i="81"/>
  <c r="L822" i="81" s="1"/>
  <c r="K821" i="81"/>
  <c r="L821" i="81" s="1"/>
  <c r="K820" i="81"/>
  <c r="L820" i="81" s="1"/>
  <c r="K819" i="81"/>
  <c r="L819" i="81" s="1"/>
  <c r="K818" i="81"/>
  <c r="L818" i="81" s="1"/>
  <c r="K816" i="81"/>
  <c r="K815" i="81"/>
  <c r="K814" i="81"/>
  <c r="K813" i="81"/>
  <c r="K812" i="81"/>
  <c r="K811" i="81"/>
  <c r="K810" i="81"/>
  <c r="K809" i="81"/>
  <c r="K807" i="81"/>
  <c r="L807" i="81" s="1"/>
  <c r="K806" i="81"/>
  <c r="L806" i="81" s="1"/>
  <c r="K805" i="81"/>
  <c r="L805" i="81" s="1"/>
  <c r="K804" i="81"/>
  <c r="L804" i="81" s="1"/>
  <c r="K803" i="81"/>
  <c r="L803" i="81" s="1"/>
  <c r="K802" i="81"/>
  <c r="L802" i="81" s="1"/>
  <c r="K801" i="81"/>
  <c r="L801" i="81" s="1"/>
  <c r="K800" i="81"/>
  <c r="L800" i="81" s="1"/>
  <c r="K799" i="81"/>
  <c r="L799" i="81" s="1"/>
  <c r="K798" i="81"/>
  <c r="L798" i="81" s="1"/>
  <c r="K797" i="81"/>
  <c r="L797" i="81" s="1"/>
  <c r="K796" i="81"/>
  <c r="L796" i="81" s="1"/>
  <c r="K795" i="81"/>
  <c r="L795" i="81" s="1"/>
  <c r="K793" i="81"/>
  <c r="L793" i="81" s="1"/>
  <c r="K792" i="81"/>
  <c r="L792" i="81" s="1"/>
  <c r="K790" i="81"/>
  <c r="L790" i="81" s="1"/>
  <c r="K789" i="81"/>
  <c r="L789" i="81" s="1"/>
  <c r="K788" i="81"/>
  <c r="L788" i="81" s="1"/>
  <c r="K787" i="81"/>
  <c r="L787" i="81" s="1"/>
  <c r="K785" i="81"/>
  <c r="L785" i="81" s="1"/>
  <c r="K784" i="81"/>
  <c r="L784" i="81" s="1"/>
  <c r="K783" i="81"/>
  <c r="L783" i="81" s="1"/>
  <c r="K782" i="81"/>
  <c r="L782" i="81" s="1"/>
  <c r="K781" i="81"/>
  <c r="L781" i="81" s="1"/>
  <c r="K780" i="81"/>
  <c r="L780" i="81" s="1"/>
  <c r="K779" i="81"/>
  <c r="L779" i="81" s="1"/>
  <c r="K778" i="81"/>
  <c r="L778" i="81" s="1"/>
  <c r="K777" i="81"/>
  <c r="L777" i="81" s="1"/>
  <c r="K776" i="81"/>
  <c r="L776" i="81" s="1"/>
  <c r="K775" i="81"/>
  <c r="L775" i="81" s="1"/>
  <c r="K774" i="81"/>
  <c r="L774" i="81" s="1"/>
  <c r="K773" i="81"/>
  <c r="L773" i="81" s="1"/>
  <c r="K772" i="81"/>
  <c r="L772" i="81" s="1"/>
  <c r="K771" i="81"/>
  <c r="L771" i="81" s="1"/>
  <c r="K770" i="81"/>
  <c r="L770" i="81" s="1"/>
  <c r="L768" i="81"/>
  <c r="K768" i="81"/>
  <c r="L767" i="81"/>
  <c r="K767" i="81"/>
  <c r="L766" i="81"/>
  <c r="K766" i="81"/>
  <c r="L765" i="81"/>
  <c r="K765" i="81"/>
  <c r="L764" i="81"/>
  <c r="K764" i="81"/>
  <c r="L763" i="81"/>
  <c r="K763" i="81"/>
  <c r="L762" i="81"/>
  <c r="K762" i="81"/>
  <c r="L761" i="81"/>
  <c r="K761" i="81"/>
  <c r="L760" i="81"/>
  <c r="K760" i="81"/>
  <c r="L759" i="81"/>
  <c r="K759" i="81"/>
  <c r="L758" i="81"/>
  <c r="K758" i="81"/>
  <c r="L757" i="81"/>
  <c r="K757" i="81"/>
  <c r="L756" i="81"/>
  <c r="K756" i="81"/>
  <c r="L755" i="81"/>
  <c r="K755" i="81"/>
  <c r="L754" i="81"/>
  <c r="K754" i="81"/>
  <c r="L753" i="81"/>
  <c r="K753" i="81"/>
  <c r="K751" i="81"/>
  <c r="L751" i="81" s="1"/>
  <c r="K750" i="81"/>
  <c r="L750" i="81" s="1"/>
  <c r="K748" i="81"/>
  <c r="L748" i="81" s="1"/>
  <c r="K747" i="81"/>
  <c r="L747" i="81" s="1"/>
  <c r="K746" i="81"/>
  <c r="L746" i="81" s="1"/>
  <c r="K745" i="81"/>
  <c r="L745" i="81" s="1"/>
  <c r="K744" i="81"/>
  <c r="L744" i="81" s="1"/>
  <c r="K743" i="81"/>
  <c r="L743" i="81" s="1"/>
  <c r="K742" i="81"/>
  <c r="L742" i="81" s="1"/>
  <c r="K741" i="81"/>
  <c r="L741" i="81" s="1"/>
  <c r="K740" i="81"/>
  <c r="L740" i="81" s="1"/>
  <c r="K720" i="81"/>
  <c r="K719" i="81"/>
  <c r="K718" i="81"/>
  <c r="K716" i="81"/>
  <c r="K715" i="81"/>
  <c r="K714" i="81"/>
  <c r="K712" i="81"/>
  <c r="K711" i="81"/>
  <c r="K710" i="81"/>
  <c r="K709" i="81"/>
  <c r="K707" i="81"/>
  <c r="K706" i="81"/>
  <c r="K705" i="81"/>
  <c r="K704" i="81"/>
  <c r="K698" i="81"/>
  <c r="K697" i="81"/>
  <c r="K696" i="81"/>
  <c r="K695" i="81"/>
  <c r="K693" i="81"/>
  <c r="K692" i="81"/>
  <c r="J688" i="81"/>
  <c r="J687" i="81"/>
  <c r="J686" i="81"/>
  <c r="J684" i="81"/>
  <c r="J683" i="81"/>
  <c r="J682" i="81"/>
  <c r="K668" i="81"/>
  <c r="L668" i="81" s="1"/>
  <c r="K667" i="81"/>
  <c r="L667" i="81" s="1"/>
  <c r="K666" i="81"/>
  <c r="L666" i="81" s="1"/>
  <c r="K665" i="81"/>
  <c r="L665" i="81" s="1"/>
  <c r="K664" i="81"/>
  <c r="L664" i="81" s="1"/>
  <c r="K663" i="81"/>
  <c r="L663" i="81" s="1"/>
  <c r="K662" i="81"/>
  <c r="L662" i="81" s="1"/>
  <c r="K661" i="81"/>
  <c r="L661" i="81" s="1"/>
  <c r="K659" i="81"/>
  <c r="L659" i="81" s="1"/>
  <c r="K658" i="81"/>
  <c r="L658" i="81" s="1"/>
  <c r="K657" i="81"/>
  <c r="L657" i="81" s="1"/>
  <c r="K656" i="81"/>
  <c r="L656" i="81" s="1"/>
  <c r="K655" i="81"/>
  <c r="L655" i="81" s="1"/>
  <c r="K654" i="81"/>
  <c r="L654" i="81" s="1"/>
  <c r="K653" i="81"/>
  <c r="L653" i="81" s="1"/>
  <c r="K651" i="81"/>
  <c r="L651" i="81" s="1"/>
  <c r="K650" i="81"/>
  <c r="L650" i="81" s="1"/>
  <c r="K649" i="81"/>
  <c r="L649" i="81" s="1"/>
  <c r="K648" i="81"/>
  <c r="L648" i="81" s="1"/>
  <c r="K647" i="81"/>
  <c r="L647" i="81" s="1"/>
  <c r="K646" i="81"/>
  <c r="L646" i="81" s="1"/>
  <c r="K645" i="81"/>
  <c r="L645" i="81" s="1"/>
  <c r="K644" i="81"/>
  <c r="L644" i="81" s="1"/>
  <c r="K643" i="81"/>
  <c r="L643" i="81" s="1"/>
  <c r="K642" i="81"/>
  <c r="L642" i="81" s="1"/>
  <c r="K641" i="81"/>
  <c r="L641" i="81" s="1"/>
  <c r="K640" i="81"/>
  <c r="L640" i="81" s="1"/>
  <c r="K639" i="81"/>
  <c r="L639" i="81" s="1"/>
  <c r="K638" i="81"/>
  <c r="L638" i="81" s="1"/>
  <c r="K636" i="81"/>
  <c r="L636" i="81" s="1"/>
  <c r="K635" i="81"/>
  <c r="L635" i="81" s="1"/>
  <c r="K634" i="81"/>
  <c r="L634" i="81" s="1"/>
  <c r="K633" i="81"/>
  <c r="L633" i="81" s="1"/>
  <c r="K632" i="81"/>
  <c r="L632" i="81" s="1"/>
  <c r="K631" i="81"/>
  <c r="L631" i="81" s="1"/>
  <c r="K624" i="81"/>
  <c r="K623" i="81"/>
  <c r="K621" i="81"/>
  <c r="K619" i="81"/>
  <c r="K617" i="81"/>
  <c r="K616" i="81"/>
  <c r="K614" i="81"/>
  <c r="K613" i="81"/>
  <c r="K611" i="81"/>
  <c r="K610" i="81"/>
  <c r="K608" i="81"/>
  <c r="K606" i="81"/>
  <c r="K605" i="81"/>
  <c r="K603" i="81"/>
  <c r="K602" i="81"/>
  <c r="K600" i="81"/>
  <c r="K599" i="81"/>
  <c r="K598" i="81"/>
  <c r="K595" i="81"/>
  <c r="K593" i="81"/>
  <c r="K591" i="81"/>
  <c r="K589" i="81"/>
  <c r="K587" i="81"/>
  <c r="K585" i="81"/>
  <c r="J562" i="81"/>
  <c r="J561" i="81"/>
  <c r="J559" i="81"/>
  <c r="J558" i="81"/>
  <c r="K545" i="81"/>
  <c r="K544" i="81"/>
  <c r="K543" i="81"/>
  <c r="K542" i="81"/>
  <c r="K541" i="81"/>
  <c r="J539" i="81"/>
  <c r="K539" i="81" s="1"/>
  <c r="J538" i="81"/>
  <c r="K538" i="81" s="1"/>
  <c r="J537" i="81"/>
  <c r="K537" i="81" s="1"/>
  <c r="K536" i="81"/>
  <c r="J535" i="81"/>
  <c r="K535" i="81" s="1"/>
  <c r="J533" i="81"/>
  <c r="K533" i="81" s="1"/>
  <c r="J532" i="81"/>
  <c r="K532" i="81" s="1"/>
  <c r="J531" i="81"/>
  <c r="K531" i="81" s="1"/>
  <c r="J530" i="81"/>
  <c r="K530" i="81" s="1"/>
  <c r="J529" i="81"/>
  <c r="K529" i="81" s="1"/>
  <c r="J528" i="81"/>
  <c r="K528" i="81" s="1"/>
  <c r="J527" i="81"/>
  <c r="K527" i="81" s="1"/>
  <c r="J526" i="81"/>
  <c r="K526" i="81" s="1"/>
  <c r="J506" i="81"/>
  <c r="J481" i="81"/>
  <c r="J480" i="81"/>
  <c r="J479" i="81"/>
  <c r="J478" i="81"/>
  <c r="K459" i="81"/>
  <c r="L459" i="81" s="1"/>
  <c r="K438" i="81"/>
  <c r="K437" i="81"/>
  <c r="J428" i="81"/>
  <c r="J427" i="81"/>
  <c r="J426" i="81"/>
  <c r="J425" i="81"/>
  <c r="J424" i="81"/>
  <c r="J423" i="81"/>
  <c r="J421" i="81"/>
  <c r="J420" i="81"/>
  <c r="J419" i="81"/>
  <c r="J418" i="81"/>
  <c r="J417" i="81"/>
  <c r="J415" i="81"/>
  <c r="J414" i="81"/>
  <c r="J413" i="81"/>
  <c r="J412" i="81"/>
  <c r="K383" i="81"/>
  <c r="K382" i="81"/>
  <c r="K381" i="81"/>
  <c r="K380" i="81"/>
  <c r="K379" i="81"/>
  <c r="K378" i="81"/>
  <c r="K377" i="81"/>
  <c r="K376" i="81"/>
  <c r="K375" i="81"/>
  <c r="K374" i="81"/>
  <c r="K373" i="81"/>
  <c r="K372" i="81"/>
  <c r="K371" i="81"/>
  <c r="K369" i="81"/>
  <c r="K368" i="81"/>
  <c r="K367" i="81"/>
  <c r="K366" i="81"/>
  <c r="K364" i="81"/>
  <c r="K363" i="81"/>
  <c r="K362" i="81"/>
  <c r="K361" i="81"/>
  <c r="K360" i="81"/>
  <c r="K341" i="81"/>
  <c r="K340" i="81"/>
  <c r="K338" i="81"/>
  <c r="K337" i="81"/>
  <c r="K336" i="81"/>
  <c r="K312" i="81"/>
  <c r="L312" i="81" s="1"/>
  <c r="K310" i="81"/>
  <c r="L310" i="81" s="1"/>
  <c r="K309" i="81"/>
  <c r="L309" i="81" s="1"/>
  <c r="K308" i="81"/>
  <c r="L308" i="81" s="1"/>
  <c r="K307" i="81"/>
  <c r="L307" i="81" s="1"/>
  <c r="K304" i="81"/>
  <c r="K303" i="81"/>
  <c r="K302" i="81"/>
  <c r="K301" i="81"/>
  <c r="K300" i="81"/>
  <c r="K299" i="81"/>
  <c r="K298" i="81"/>
  <c r="K297" i="81"/>
  <c r="K296" i="81"/>
  <c r="K295" i="81"/>
  <c r="K293" i="81"/>
  <c r="K292" i="81"/>
  <c r="K291" i="81"/>
  <c r="K290" i="81"/>
  <c r="K289" i="81"/>
  <c r="K288" i="81"/>
  <c r="K287" i="81"/>
  <c r="K286" i="81"/>
  <c r="K285" i="81"/>
  <c r="K283" i="81"/>
  <c r="K282" i="81"/>
  <c r="K281" i="81"/>
  <c r="K280" i="81"/>
  <c r="K279" i="81"/>
  <c r="K278" i="81"/>
  <c r="K277" i="81"/>
  <c r="K276" i="81"/>
  <c r="K274" i="81"/>
  <c r="K273" i="81"/>
  <c r="K272" i="81"/>
  <c r="K271" i="81"/>
  <c r="K270" i="81"/>
  <c r="K269" i="81"/>
  <c r="K267" i="81"/>
  <c r="K266" i="81"/>
  <c r="K265" i="81"/>
  <c r="K264" i="81"/>
  <c r="K263" i="81"/>
  <c r="K262" i="81"/>
  <c r="K261" i="81"/>
  <c r="J216" i="81"/>
  <c r="J215" i="81"/>
  <c r="J214" i="81"/>
  <c r="K212" i="81"/>
  <c r="L212" i="81" s="1"/>
  <c r="K210" i="81"/>
  <c r="J209" i="81"/>
  <c r="J208" i="81"/>
  <c r="J207" i="81"/>
  <c r="K206" i="81"/>
  <c r="J204" i="81"/>
  <c r="J203" i="81"/>
  <c r="J200" i="81"/>
  <c r="J199" i="81"/>
  <c r="J198" i="81"/>
  <c r="J197" i="81"/>
  <c r="J196" i="81"/>
  <c r="J195" i="81"/>
  <c r="J194" i="81"/>
  <c r="J193" i="81"/>
  <c r="J192" i="81"/>
  <c r="J191" i="81"/>
  <c r="J190" i="81"/>
  <c r="J189" i="81"/>
  <c r="K168" i="81"/>
  <c r="K167" i="81"/>
  <c r="K165" i="81"/>
  <c r="L165" i="81" s="1"/>
  <c r="K164" i="81"/>
  <c r="L164" i="81" s="1"/>
  <c r="K163" i="81"/>
  <c r="L163" i="81" s="1"/>
  <c r="K162" i="81"/>
  <c r="L162" i="81" s="1"/>
  <c r="K84" i="81"/>
  <c r="L84" i="81" s="1"/>
  <c r="K83" i="81"/>
  <c r="L83" i="81" s="1"/>
  <c r="K82" i="81"/>
  <c r="L82" i="81" s="1"/>
  <c r="K81" i="81"/>
  <c r="L81" i="81" s="1"/>
  <c r="K80" i="81"/>
  <c r="L80" i="81" s="1"/>
  <c r="K79" i="81"/>
  <c r="L79" i="81" s="1"/>
  <c r="K78" i="81"/>
  <c r="L78" i="81" s="1"/>
  <c r="J59" i="81"/>
  <c r="J58" i="81"/>
  <c r="B839" i="42"/>
  <c r="B840" i="42"/>
  <c r="B841" i="42"/>
  <c r="B842" i="42"/>
  <c r="B844" i="42"/>
  <c r="B845" i="42"/>
  <c r="B846" i="42"/>
  <c r="B847" i="42"/>
  <c r="B849" i="42"/>
  <c r="B850" i="42"/>
  <c r="B851" i="42"/>
  <c r="B852" i="42"/>
  <c r="B854" i="42"/>
  <c r="B855" i="42"/>
  <c r="B856" i="42"/>
  <c r="B858" i="42"/>
  <c r="B859" i="42"/>
  <c r="B860" i="42"/>
  <c r="B861" i="42"/>
  <c r="B862" i="42"/>
  <c r="B863" i="42"/>
  <c r="F852" i="42"/>
  <c r="F851" i="42"/>
  <c r="O850" i="42"/>
  <c r="F850" i="42"/>
  <c r="F849" i="42"/>
  <c r="F848" i="42"/>
  <c r="C848" i="42"/>
  <c r="F842" i="42"/>
  <c r="F841" i="42"/>
  <c r="O840" i="42"/>
  <c r="F840" i="42"/>
  <c r="F839" i="42"/>
  <c r="F838" i="42"/>
  <c r="C838" i="42"/>
  <c r="B819" i="42"/>
  <c r="B820" i="42"/>
  <c r="B821" i="42"/>
  <c r="B822" i="42"/>
  <c r="B824" i="42"/>
  <c r="B825" i="42"/>
  <c r="B826" i="42"/>
  <c r="B827" i="42"/>
  <c r="B829" i="42"/>
  <c r="B830" i="42"/>
  <c r="B831" i="42"/>
  <c r="B832" i="42"/>
  <c r="B834" i="42"/>
  <c r="F827" i="42"/>
  <c r="F826" i="42"/>
  <c r="O825" i="42"/>
  <c r="F825" i="42"/>
  <c r="F824" i="42"/>
  <c r="F823" i="42"/>
  <c r="C823" i="42"/>
  <c r="C69" i="12"/>
  <c r="C70" i="12"/>
  <c r="C71" i="12"/>
  <c r="C72" i="12"/>
  <c r="C73" i="12"/>
  <c r="C74" i="12"/>
  <c r="C75" i="12"/>
  <c r="C76" i="12"/>
  <c r="C77" i="12"/>
  <c r="C78" i="12"/>
  <c r="F13" i="84"/>
  <c r="E13" i="84"/>
  <c r="J6" i="84"/>
  <c r="G19" i="84"/>
  <c r="G13" i="84"/>
  <c r="G9" i="84"/>
  <c r="G6" i="84"/>
  <c r="G7" i="84" s="1"/>
  <c r="G30" i="84"/>
  <c r="H2786" i="42"/>
  <c r="B2781" i="42"/>
  <c r="B2782" i="42"/>
  <c r="B2783" i="42"/>
  <c r="B2785" i="42"/>
  <c r="B2786" i="42"/>
  <c r="B2787" i="42"/>
  <c r="B2789" i="42"/>
  <c r="B2790" i="42"/>
  <c r="B2791" i="42"/>
  <c r="F2787" i="42"/>
  <c r="O2786" i="42"/>
  <c r="F2786" i="42"/>
  <c r="F2785" i="42"/>
  <c r="F2784" i="42"/>
  <c r="C2784" i="42"/>
  <c r="B21" i="42"/>
  <c r="B27" i="98" s="1"/>
  <c r="B22" i="42"/>
  <c r="B28" i="98" s="1"/>
  <c r="B23" i="42"/>
  <c r="B29" i="98" s="1"/>
  <c r="B24" i="42"/>
  <c r="B30" i="98" s="1"/>
  <c r="B25" i="42"/>
  <c r="B31" i="98" s="1"/>
  <c r="B26" i="42"/>
  <c r="B32" i="98" s="1"/>
  <c r="B27" i="42"/>
  <c r="B33" i="98" s="1"/>
  <c r="B28" i="42"/>
  <c r="B34" i="98" s="1"/>
  <c r="B29" i="42"/>
  <c r="B35" i="98" s="1"/>
  <c r="B31" i="42"/>
  <c r="B32" i="42"/>
  <c r="B33" i="42"/>
  <c r="B34" i="42"/>
  <c r="B35" i="42"/>
  <c r="B36" i="42"/>
  <c r="B37" i="42"/>
  <c r="B38" i="42"/>
  <c r="B40" i="42"/>
  <c r="B41" i="42"/>
  <c r="B42" i="42"/>
  <c r="B43" i="42"/>
  <c r="B44" i="42"/>
  <c r="B45" i="42"/>
  <c r="B46" i="42"/>
  <c r="B47" i="42"/>
  <c r="B49" i="42"/>
  <c r="B50" i="42"/>
  <c r="B52" i="42"/>
  <c r="B53" i="42"/>
  <c r="B54" i="42"/>
  <c r="B55" i="42"/>
  <c r="B56" i="42"/>
  <c r="B57" i="42"/>
  <c r="B58" i="42"/>
  <c r="B59" i="42"/>
  <c r="B60" i="42"/>
  <c r="B62" i="42"/>
  <c r="B63" i="42"/>
  <c r="B64" i="42"/>
  <c r="B65" i="42"/>
  <c r="B66" i="42"/>
  <c r="B67" i="42"/>
  <c r="B68" i="42"/>
  <c r="B69" i="42"/>
  <c r="B70" i="42"/>
  <c r="B72" i="42"/>
  <c r="B73" i="42"/>
  <c r="B74" i="42"/>
  <c r="B75" i="42"/>
  <c r="B76" i="42"/>
  <c r="B77" i="42"/>
  <c r="B79" i="42"/>
  <c r="B8" i="103" s="1"/>
  <c r="B80" i="42"/>
  <c r="B9" i="103" s="1"/>
  <c r="B81" i="42"/>
  <c r="B10" i="103" s="1"/>
  <c r="B82" i="42"/>
  <c r="B11" i="103" s="1"/>
  <c r="B83" i="42"/>
  <c r="B12" i="103" s="1"/>
  <c r="B85" i="42"/>
  <c r="B86" i="42"/>
  <c r="B87" i="42"/>
  <c r="B88" i="42"/>
  <c r="B89" i="42"/>
  <c r="B90" i="42"/>
  <c r="B91" i="42"/>
  <c r="B92" i="42"/>
  <c r="B93" i="42"/>
  <c r="B94" i="42"/>
  <c r="B95" i="42"/>
  <c r="B96" i="42"/>
  <c r="B97" i="42"/>
  <c r="B98" i="42"/>
  <c r="B99" i="42"/>
  <c r="B100" i="42"/>
  <c r="B102" i="42"/>
  <c r="B103" i="42"/>
  <c r="B104" i="42"/>
  <c r="B105" i="42"/>
  <c r="B106" i="42"/>
  <c r="B107" i="42"/>
  <c r="B108" i="42"/>
  <c r="B109" i="42"/>
  <c r="B110" i="42"/>
  <c r="B111" i="42"/>
  <c r="B112" i="42"/>
  <c r="B113" i="42"/>
  <c r="B114" i="42"/>
  <c r="B116" i="42"/>
  <c r="B117" i="42"/>
  <c r="B118" i="42"/>
  <c r="B120" i="42"/>
  <c r="B23" i="103" s="1"/>
  <c r="B121" i="42"/>
  <c r="B24" i="103" s="1"/>
  <c r="B122" i="42"/>
  <c r="B25" i="103" s="1"/>
  <c r="B124" i="42"/>
  <c r="B125" i="42"/>
  <c r="B126" i="42"/>
  <c r="B127" i="42"/>
  <c r="B128" i="42"/>
  <c r="B130" i="42"/>
  <c r="B36" i="103" s="1"/>
  <c r="B131" i="42"/>
  <c r="B37" i="103" s="1"/>
  <c r="B132" i="42"/>
  <c r="B38" i="103" s="1"/>
  <c r="B133" i="42"/>
  <c r="B39" i="103" s="1"/>
  <c r="B134" i="42"/>
  <c r="B40" i="103" s="1"/>
  <c r="B135" i="42"/>
  <c r="B41" i="103" s="1"/>
  <c r="B136" i="42"/>
  <c r="B42" i="103" s="1"/>
  <c r="B138" i="42"/>
  <c r="B139" i="42"/>
  <c r="B140" i="42"/>
  <c r="B141" i="42"/>
  <c r="B143" i="42"/>
  <c r="B144" i="42"/>
  <c r="B145" i="42"/>
  <c r="B146" i="42"/>
  <c r="B147" i="42"/>
  <c r="B149" i="42"/>
  <c r="B53" i="103" s="1"/>
  <c r="B150" i="42"/>
  <c r="B54" i="103" s="1"/>
  <c r="B151" i="42"/>
  <c r="B55" i="103" s="1"/>
  <c r="B152" i="42"/>
  <c r="B56" i="103" s="1"/>
  <c r="B153" i="42"/>
  <c r="B57" i="103" s="1"/>
  <c r="B154" i="42"/>
  <c r="B58" i="103" s="1"/>
  <c r="B155" i="42"/>
  <c r="B59" i="103" s="1"/>
  <c r="B156" i="42"/>
  <c r="B60" i="103" s="1"/>
  <c r="B157" i="42"/>
  <c r="B61" i="103" s="1"/>
  <c r="B158" i="42"/>
  <c r="B62" i="103" s="1"/>
  <c r="B159" i="42"/>
  <c r="B160" i="42"/>
  <c r="B64" i="103" s="1"/>
  <c r="B161" i="42"/>
  <c r="B65" i="103" s="1"/>
  <c r="B162" i="42"/>
  <c r="B66" i="103" s="1"/>
  <c r="B164" i="42"/>
  <c r="B165" i="42"/>
  <c r="B166" i="42"/>
  <c r="B167" i="42"/>
  <c r="B168" i="42"/>
  <c r="B169" i="42"/>
  <c r="B170" i="42"/>
  <c r="B171" i="42"/>
  <c r="B172" i="42"/>
  <c r="B173" i="42"/>
  <c r="B174" i="42"/>
  <c r="B175" i="42"/>
  <c r="B176" i="42"/>
  <c r="B177" i="42"/>
  <c r="B179" i="42"/>
  <c r="B180" i="42"/>
  <c r="B181" i="42"/>
  <c r="B182" i="42"/>
  <c r="B183" i="42"/>
  <c r="B184" i="42"/>
  <c r="B185" i="42"/>
  <c r="B186" i="42"/>
  <c r="B187" i="42"/>
  <c r="B188" i="42"/>
  <c r="B189" i="42"/>
  <c r="B190" i="42"/>
  <c r="B205" i="42"/>
  <c r="B77" i="103" s="1"/>
  <c r="B206" i="42"/>
  <c r="B78" i="103" s="1"/>
  <c r="B207" i="42"/>
  <c r="B79" i="103" s="1"/>
  <c r="B208" i="42"/>
  <c r="B80" i="103" s="1"/>
  <c r="B209" i="42"/>
  <c r="B81" i="103" s="1"/>
  <c r="B210" i="42"/>
  <c r="B211" i="42"/>
  <c r="B83" i="103" s="1"/>
  <c r="B212" i="42"/>
  <c r="B84" i="103" s="1"/>
  <c r="B213" i="42"/>
  <c r="B85" i="103" s="1"/>
  <c r="B215" i="42"/>
  <c r="B216" i="42"/>
  <c r="B217" i="42"/>
  <c r="B218" i="42"/>
  <c r="B219" i="42"/>
  <c r="B220" i="42"/>
  <c r="B221" i="42"/>
  <c r="B222" i="42"/>
  <c r="B223" i="42"/>
  <c r="B224" i="42"/>
  <c r="B225" i="42"/>
  <c r="B226" i="42"/>
  <c r="B227" i="42"/>
  <c r="B229" i="42"/>
  <c r="B230" i="42"/>
  <c r="B231" i="42"/>
  <c r="B232" i="42"/>
  <c r="B233" i="42"/>
  <c r="B234" i="42"/>
  <c r="B236" i="42"/>
  <c r="B274" i="98" s="1"/>
  <c r="B237" i="42"/>
  <c r="B275" i="98" s="1"/>
  <c r="B238" i="42"/>
  <c r="B276" i="98" s="1"/>
  <c r="B239" i="42"/>
  <c r="B277" i="98" s="1"/>
  <c r="B241" i="42"/>
  <c r="B242" i="42"/>
  <c r="B243" i="42"/>
  <c r="B244" i="42"/>
  <c r="B245" i="42"/>
  <c r="B246" i="42"/>
  <c r="B247" i="42"/>
  <c r="B248" i="42"/>
  <c r="B249" i="42"/>
  <c r="B251" i="42"/>
  <c r="B252" i="42"/>
  <c r="B253" i="42"/>
  <c r="B254" i="42"/>
  <c r="B255" i="42"/>
  <c r="B256" i="42"/>
  <c r="B257" i="42"/>
  <c r="B258" i="42"/>
  <c r="B259" i="42"/>
  <c r="B261" i="42"/>
  <c r="B262" i="42"/>
  <c r="B263" i="42"/>
  <c r="B264" i="42"/>
  <c r="B265" i="42"/>
  <c r="B266" i="42"/>
  <c r="B267" i="42"/>
  <c r="B268" i="42"/>
  <c r="B269" i="42"/>
  <c r="B271" i="42"/>
  <c r="B272" i="42"/>
  <c r="B273" i="42"/>
  <c r="B274" i="42"/>
  <c r="B275" i="42"/>
  <c r="B276" i="42"/>
  <c r="B277" i="42"/>
  <c r="B278" i="42"/>
  <c r="B279" i="42"/>
  <c r="B281" i="42"/>
  <c r="B282" i="42"/>
  <c r="B283" i="42"/>
  <c r="B284" i="42"/>
  <c r="B285" i="42"/>
  <c r="B286" i="42"/>
  <c r="B287" i="42"/>
  <c r="B288" i="42"/>
  <c r="B289" i="42"/>
  <c r="B291" i="42"/>
  <c r="B292" i="42"/>
  <c r="B293" i="42"/>
  <c r="B294" i="42"/>
  <c r="B295" i="42"/>
  <c r="B296" i="42"/>
  <c r="B297" i="42"/>
  <c r="B298" i="42"/>
  <c r="B299" i="42"/>
  <c r="B301" i="42"/>
  <c r="B302" i="42"/>
  <c r="B303" i="42"/>
  <c r="B304" i="42"/>
  <c r="B305" i="42"/>
  <c r="B306" i="42"/>
  <c r="B307" i="42"/>
  <c r="B308" i="42"/>
  <c r="B309" i="42"/>
  <c r="B310" i="42"/>
  <c r="B311" i="42"/>
  <c r="B313" i="42"/>
  <c r="B314" i="42"/>
  <c r="B315" i="42"/>
  <c r="B316" i="42"/>
  <c r="B317" i="42"/>
  <c r="B318" i="42"/>
  <c r="B319" i="42"/>
  <c r="B320" i="42"/>
  <c r="B321" i="42"/>
  <c r="B323" i="42"/>
  <c r="B400" i="98" s="1"/>
  <c r="B324" i="42"/>
  <c r="B401" i="98" s="1"/>
  <c r="B325" i="42"/>
  <c r="B402" i="98" s="1"/>
  <c r="B326" i="42"/>
  <c r="B327" i="42"/>
  <c r="B403" i="98" s="1"/>
  <c r="B328" i="42"/>
  <c r="B404" i="98" s="1"/>
  <c r="B329" i="42"/>
  <c r="B405" i="98" s="1"/>
  <c r="B330" i="42"/>
  <c r="B406" i="98" s="1"/>
  <c r="B331" i="42"/>
  <c r="B333" i="42"/>
  <c r="B334" i="42"/>
  <c r="B335" i="42"/>
  <c r="B336" i="42"/>
  <c r="B337" i="42"/>
  <c r="B339" i="42"/>
  <c r="B340" i="42"/>
  <c r="B341" i="42"/>
  <c r="B342" i="42"/>
  <c r="B343" i="42"/>
  <c r="B345" i="42"/>
  <c r="B346" i="42"/>
  <c r="B347" i="42"/>
  <c r="B348" i="42"/>
  <c r="B349" i="42"/>
  <c r="B350" i="42"/>
  <c r="B351" i="42"/>
  <c r="B352" i="42"/>
  <c r="B353" i="42"/>
  <c r="B355" i="42"/>
  <c r="B356" i="42"/>
  <c r="B357" i="42"/>
  <c r="B358" i="42"/>
  <c r="B359" i="42"/>
  <c r="B360" i="42"/>
  <c r="B361" i="42"/>
  <c r="B362" i="42"/>
  <c r="B363" i="42"/>
  <c r="B365" i="42"/>
  <c r="B366" i="42"/>
  <c r="B367" i="42"/>
  <c r="B368" i="42"/>
  <c r="B369" i="42"/>
  <c r="B370" i="42"/>
  <c r="B371" i="42"/>
  <c r="B372" i="42"/>
  <c r="B373" i="42"/>
  <c r="B374" i="42"/>
  <c r="B376" i="42"/>
  <c r="B377" i="42"/>
  <c r="B378" i="42"/>
  <c r="B379" i="42"/>
  <c r="B380" i="42"/>
  <c r="B381" i="42"/>
  <c r="B382" i="42"/>
  <c r="B383" i="42"/>
  <c r="B384" i="42"/>
  <c r="B385" i="42"/>
  <c r="B387" i="42"/>
  <c r="B388" i="42"/>
  <c r="B389" i="42"/>
  <c r="B390" i="42"/>
  <c r="B391" i="42"/>
  <c r="B392" i="42"/>
  <c r="B393" i="42"/>
  <c r="B394" i="42"/>
  <c r="B396" i="42"/>
  <c r="B397" i="42"/>
  <c r="B398" i="42"/>
  <c r="B399" i="42"/>
  <c r="B400" i="42"/>
  <c r="B401" i="42"/>
  <c r="B402" i="42"/>
  <c r="B403" i="42"/>
  <c r="B405" i="42"/>
  <c r="B406" i="42"/>
  <c r="B407" i="42"/>
  <c r="B408" i="42"/>
  <c r="B409" i="42"/>
  <c r="B410" i="42"/>
  <c r="B411" i="42"/>
  <c r="B412" i="42"/>
  <c r="B414" i="42"/>
  <c r="B415" i="42"/>
  <c r="B416" i="42"/>
  <c r="B417" i="42"/>
  <c r="B418" i="42"/>
  <c r="B419" i="42"/>
  <c r="B420" i="42"/>
  <c r="B421" i="42"/>
  <c r="B422" i="42"/>
  <c r="B424" i="42"/>
  <c r="B425" i="42"/>
  <c r="B426" i="42"/>
  <c r="B427" i="42"/>
  <c r="B428" i="42"/>
  <c r="B429" i="42"/>
  <c r="B430" i="42"/>
  <c r="B431" i="42"/>
  <c r="B433" i="42"/>
  <c r="B434" i="42"/>
  <c r="B435" i="42"/>
  <c r="B436" i="42"/>
  <c r="B437" i="42"/>
  <c r="B438" i="42"/>
  <c r="B439" i="42"/>
  <c r="B441" i="42"/>
  <c r="B442" i="42"/>
  <c r="B443" i="42"/>
  <c r="B444" i="42"/>
  <c r="B445" i="42"/>
  <c r="B446" i="42"/>
  <c r="B447" i="42"/>
  <c r="B449" i="42"/>
  <c r="B96" i="103" s="1"/>
  <c r="B450" i="42"/>
  <c r="B97" i="103" s="1"/>
  <c r="B451" i="42"/>
  <c r="B98" i="103" s="1"/>
  <c r="B452" i="42"/>
  <c r="B99" i="103" s="1"/>
  <c r="B453" i="42"/>
  <c r="B100" i="103" s="1"/>
  <c r="B454" i="42"/>
  <c r="B455" i="42"/>
  <c r="B102" i="103" s="1"/>
  <c r="B457" i="42"/>
  <c r="B458" i="42"/>
  <c r="B459" i="42"/>
  <c r="B460" i="42"/>
  <c r="B461" i="42"/>
  <c r="B462" i="42"/>
  <c r="B463" i="42"/>
  <c r="B464" i="42"/>
  <c r="B466" i="42"/>
  <c r="B467" i="42"/>
  <c r="B468" i="42"/>
  <c r="B469" i="42"/>
  <c r="B470" i="42"/>
  <c r="B471" i="42"/>
  <c r="B472" i="42"/>
  <c r="B473" i="42"/>
  <c r="B475" i="42"/>
  <c r="B476" i="42"/>
  <c r="B477" i="42"/>
  <c r="B478" i="42"/>
  <c r="B479" i="42"/>
  <c r="B480" i="42"/>
  <c r="B481" i="42"/>
  <c r="B482" i="42"/>
  <c r="B484" i="42"/>
  <c r="B485" i="42"/>
  <c r="B486" i="42"/>
  <c r="B487" i="42"/>
  <c r="B489" i="42"/>
  <c r="B490" i="42"/>
  <c r="B491" i="42"/>
  <c r="B492" i="42"/>
  <c r="B493" i="42"/>
  <c r="B494" i="42"/>
  <c r="B495" i="42"/>
  <c r="B497" i="42"/>
  <c r="B498" i="42"/>
  <c r="B499" i="42"/>
  <c r="B500" i="42"/>
  <c r="B501" i="42"/>
  <c r="B502" i="42"/>
  <c r="B504" i="42"/>
  <c r="B505" i="42"/>
  <c r="B506" i="42"/>
  <c r="B507" i="42"/>
  <c r="B508" i="42"/>
  <c r="B509" i="42"/>
  <c r="B510" i="42"/>
  <c r="B511" i="42"/>
  <c r="B512" i="42"/>
  <c r="B514" i="42"/>
  <c r="B515" i="42"/>
  <c r="B516" i="42"/>
  <c r="B517" i="42"/>
  <c r="B518" i="42"/>
  <c r="B519" i="42"/>
  <c r="B520" i="42"/>
  <c r="B521" i="42"/>
  <c r="B522" i="42"/>
  <c r="B524" i="42"/>
  <c r="B681" i="98" s="1"/>
  <c r="B525" i="42"/>
  <c r="B682" i="98" s="1"/>
  <c r="B526" i="42"/>
  <c r="B683" i="98" s="1"/>
  <c r="B527" i="42"/>
  <c r="B684" i="98" s="1"/>
  <c r="B528" i="42"/>
  <c r="B685" i="98" s="1"/>
  <c r="B529" i="42"/>
  <c r="B686" i="98" s="1"/>
  <c r="B530" i="42"/>
  <c r="B687" i="98" s="1"/>
  <c r="B531" i="42"/>
  <c r="B688" i="98" s="1"/>
  <c r="B532" i="42"/>
  <c r="B689" i="98" s="1"/>
  <c r="B533" i="42"/>
  <c r="B690" i="98" s="1"/>
  <c r="B535" i="42"/>
  <c r="B701" i="98" s="1"/>
  <c r="B536" i="42"/>
  <c r="B702" i="98" s="1"/>
  <c r="B537" i="42"/>
  <c r="B703" i="98" s="1"/>
  <c r="B538" i="42"/>
  <c r="B704" i="98" s="1"/>
  <c r="B539" i="42"/>
  <c r="B705" i="98" s="1"/>
  <c r="B540" i="42"/>
  <c r="B706" i="98" s="1"/>
  <c r="B541" i="42"/>
  <c r="B707" i="98" s="1"/>
  <c r="B542" i="42"/>
  <c r="B708" i="98" s="1"/>
  <c r="B543" i="42"/>
  <c r="B709" i="98" s="1"/>
  <c r="B544" i="42"/>
  <c r="B710" i="98" s="1"/>
  <c r="B545" i="42"/>
  <c r="B711" i="98" s="1"/>
  <c r="B546" i="42"/>
  <c r="B712" i="98" s="1"/>
  <c r="B548" i="42"/>
  <c r="B549" i="42"/>
  <c r="B550" i="42"/>
  <c r="B551" i="42"/>
  <c r="B552" i="42"/>
  <c r="B553" i="42"/>
  <c r="B554" i="42"/>
  <c r="B555" i="42"/>
  <c r="B556" i="42"/>
  <c r="B557" i="42"/>
  <c r="B559" i="42"/>
  <c r="B560" i="42"/>
  <c r="B561" i="42"/>
  <c r="B562" i="42"/>
  <c r="B563" i="42"/>
  <c r="B564" i="42"/>
  <c r="B565" i="42"/>
  <c r="B566" i="42"/>
  <c r="B567" i="42"/>
  <c r="B568" i="42"/>
  <c r="B570" i="42"/>
  <c r="B571" i="42"/>
  <c r="B572" i="42"/>
  <c r="B573" i="42"/>
  <c r="B574" i="42"/>
  <c r="B575" i="42"/>
  <c r="B576" i="42"/>
  <c r="B577" i="42"/>
  <c r="B578" i="42"/>
  <c r="B579" i="42"/>
  <c r="B580" i="42"/>
  <c r="B581" i="42"/>
  <c r="B583" i="42"/>
  <c r="B763" i="98" s="1"/>
  <c r="B584" i="42"/>
  <c r="B764" i="98" s="1"/>
  <c r="B585" i="42"/>
  <c r="B765" i="98" s="1"/>
  <c r="B586" i="42"/>
  <c r="B766" i="98" s="1"/>
  <c r="B587" i="42"/>
  <c r="B767" i="98" s="1"/>
  <c r="B588" i="42"/>
  <c r="B768" i="98" s="1"/>
  <c r="B589" i="42"/>
  <c r="B769" i="98" s="1"/>
  <c r="B590" i="42"/>
  <c r="B770" i="98" s="1"/>
  <c r="B591" i="42"/>
  <c r="B771" i="98" s="1"/>
  <c r="B593" i="42"/>
  <c r="B594" i="42"/>
  <c r="B595" i="42"/>
  <c r="B596" i="42"/>
  <c r="B597" i="42"/>
  <c r="B598" i="42"/>
  <c r="B599" i="42"/>
  <c r="B600" i="42"/>
  <c r="B601" i="42"/>
  <c r="B603" i="42"/>
  <c r="B801" i="98" s="1"/>
  <c r="B604" i="42"/>
  <c r="B802" i="98" s="1"/>
  <c r="B605" i="42"/>
  <c r="B803" i="98" s="1"/>
  <c r="B606" i="42"/>
  <c r="B804" i="98" s="1"/>
  <c r="B607" i="42"/>
  <c r="B805" i="98" s="1"/>
  <c r="B608" i="42"/>
  <c r="B806" i="98" s="1"/>
  <c r="B609" i="42"/>
  <c r="B807" i="98" s="1"/>
  <c r="B610" i="42"/>
  <c r="B808" i="98" s="1"/>
  <c r="B611" i="42"/>
  <c r="B809" i="98" s="1"/>
  <c r="B612" i="42"/>
  <c r="B810" i="98" s="1"/>
  <c r="B613" i="42"/>
  <c r="B811" i="98" s="1"/>
  <c r="B614" i="42"/>
  <c r="B812" i="98" s="1"/>
  <c r="B616" i="42"/>
  <c r="B617" i="42"/>
  <c r="B618" i="42"/>
  <c r="B619" i="42"/>
  <c r="B620" i="42"/>
  <c r="B621" i="42"/>
  <c r="B622" i="42"/>
  <c r="B623" i="42"/>
  <c r="B624" i="42"/>
  <c r="B625" i="42"/>
  <c r="B626" i="42"/>
  <c r="B627" i="42"/>
  <c r="B629" i="42"/>
  <c r="B845" i="98" s="1"/>
  <c r="B630" i="42"/>
  <c r="B846" i="98" s="1"/>
  <c r="B631" i="42"/>
  <c r="B847" i="98" s="1"/>
  <c r="B632" i="42"/>
  <c r="B848" i="98" s="1"/>
  <c r="B633" i="42"/>
  <c r="B849" i="98" s="1"/>
  <c r="B634" i="42"/>
  <c r="B850" i="98" s="1"/>
  <c r="B635" i="42"/>
  <c r="B851" i="98" s="1"/>
  <c r="B636" i="42"/>
  <c r="B852" i="98" s="1"/>
  <c r="B637" i="42"/>
  <c r="B853" i="98" s="1"/>
  <c r="B638" i="42"/>
  <c r="B854" i="98" s="1"/>
  <c r="B639" i="42"/>
  <c r="B855" i="98" s="1"/>
  <c r="B641" i="42"/>
  <c r="B642" i="42"/>
  <c r="B643" i="42"/>
  <c r="B644" i="42"/>
  <c r="B645" i="42"/>
  <c r="B646" i="42"/>
  <c r="B647" i="42"/>
  <c r="B648" i="42"/>
  <c r="B649" i="42"/>
  <c r="B650" i="42"/>
  <c r="B651" i="42"/>
  <c r="B652" i="42"/>
  <c r="B653" i="42"/>
  <c r="B654" i="42"/>
  <c r="B655" i="42"/>
  <c r="B657" i="42"/>
  <c r="B658" i="42"/>
  <c r="B659" i="42"/>
  <c r="B660" i="42"/>
  <c r="B661" i="42"/>
  <c r="B662" i="42"/>
  <c r="B663" i="42"/>
  <c r="B664" i="42"/>
  <c r="B665" i="42"/>
  <c r="B666" i="42"/>
  <c r="B667" i="42"/>
  <c r="B668" i="42"/>
  <c r="B669" i="42"/>
  <c r="B670" i="42"/>
  <c r="B672" i="42"/>
  <c r="B673" i="42"/>
  <c r="B674" i="42"/>
  <c r="B675" i="42"/>
  <c r="B676" i="42"/>
  <c r="B677" i="42"/>
  <c r="B678" i="42"/>
  <c r="B679" i="42"/>
  <c r="B680" i="42"/>
  <c r="B681" i="42"/>
  <c r="B682" i="42"/>
  <c r="B683" i="42"/>
  <c r="B684" i="42"/>
  <c r="B685" i="42"/>
  <c r="B686" i="42"/>
  <c r="B687" i="42"/>
  <c r="B689" i="42"/>
  <c r="B987" i="98" s="1"/>
  <c r="B690" i="42"/>
  <c r="B988" i="98" s="1"/>
  <c r="B691" i="42"/>
  <c r="B989" i="98" s="1"/>
  <c r="B692" i="42"/>
  <c r="B990" i="98" s="1"/>
  <c r="B693" i="42"/>
  <c r="B991" i="98" s="1"/>
  <c r="B694" i="42"/>
  <c r="B992" i="98" s="1"/>
  <c r="B695" i="42"/>
  <c r="B993" i="98" s="1"/>
  <c r="B696" i="42"/>
  <c r="B994" i="98" s="1"/>
  <c r="B697" i="42"/>
  <c r="B995" i="98" s="1"/>
  <c r="B698" i="42"/>
  <c r="B996" i="98" s="1"/>
  <c r="B699" i="42"/>
  <c r="B997" i="98" s="1"/>
  <c r="B700" i="42"/>
  <c r="B998" i="98" s="1"/>
  <c r="B701" i="42"/>
  <c r="B999" i="98" s="1"/>
  <c r="B702" i="42"/>
  <c r="B1000" i="98" s="1"/>
  <c r="B703" i="42"/>
  <c r="B1001" i="98" s="1"/>
  <c r="B704" i="42"/>
  <c r="B1002" i="98" s="1"/>
  <c r="B706" i="42"/>
  <c r="B707" i="42"/>
  <c r="B708" i="42"/>
  <c r="B709" i="42"/>
  <c r="B710" i="42"/>
  <c r="B711" i="42"/>
  <c r="B712" i="42"/>
  <c r="B713" i="42"/>
  <c r="B714" i="42"/>
  <c r="B715" i="42"/>
  <c r="B716" i="42"/>
  <c r="B717" i="42"/>
  <c r="B718" i="42"/>
  <c r="B719" i="42"/>
  <c r="B720" i="42"/>
  <c r="B721" i="42"/>
  <c r="B722" i="42"/>
  <c r="B723" i="42"/>
  <c r="B725" i="42"/>
  <c r="B1041" i="98" s="1"/>
  <c r="B726" i="42"/>
  <c r="B1042" i="98" s="1"/>
  <c r="B727" i="42"/>
  <c r="B1043" i="98" s="1"/>
  <c r="B728" i="42"/>
  <c r="B1044" i="98" s="1"/>
  <c r="B729" i="42"/>
  <c r="B1045" i="98" s="1"/>
  <c r="B730" i="42"/>
  <c r="B1046" i="98" s="1"/>
  <c r="B731" i="42"/>
  <c r="B1047" i="98" s="1"/>
  <c r="B732" i="42"/>
  <c r="B1048" i="98" s="1"/>
  <c r="B733" i="42"/>
  <c r="B1049" i="98" s="1"/>
  <c r="B734" i="42"/>
  <c r="B1050" i="98" s="1"/>
  <c r="B735" i="42"/>
  <c r="B1051" i="98" s="1"/>
  <c r="B736" i="42"/>
  <c r="B1052" i="98" s="1"/>
  <c r="B737" i="42"/>
  <c r="B1053" i="98" s="1"/>
  <c r="B738" i="42"/>
  <c r="B1054" i="98" s="1"/>
  <c r="B739" i="42"/>
  <c r="B1055" i="98" s="1"/>
  <c r="B740" i="42"/>
  <c r="B1056" i="98" s="1"/>
  <c r="B742" i="42"/>
  <c r="B743" i="42"/>
  <c r="B744" i="42"/>
  <c r="B745" i="42"/>
  <c r="B746" i="42"/>
  <c r="B747" i="42"/>
  <c r="B748" i="42"/>
  <c r="B749" i="42"/>
  <c r="B751" i="42"/>
  <c r="B752" i="42"/>
  <c r="B753" i="42"/>
  <c r="B754" i="42"/>
  <c r="B755" i="42"/>
  <c r="B756" i="42"/>
  <c r="B757" i="42"/>
  <c r="B758" i="42"/>
  <c r="B760" i="42"/>
  <c r="B761" i="42"/>
  <c r="B762" i="42"/>
  <c r="B763" i="42"/>
  <c r="B764" i="42"/>
  <c r="B765" i="42"/>
  <c r="B766" i="42"/>
  <c r="B767" i="42"/>
  <c r="B769" i="42"/>
  <c r="B770" i="42"/>
  <c r="B771" i="42"/>
  <c r="B772" i="42"/>
  <c r="B773" i="42"/>
  <c r="B774" i="42"/>
  <c r="B775" i="42"/>
  <c r="B776" i="42"/>
  <c r="B778" i="42"/>
  <c r="B779" i="42"/>
  <c r="B780" i="42"/>
  <c r="B781" i="42"/>
  <c r="B782" i="42"/>
  <c r="B783" i="42"/>
  <c r="B784" i="42"/>
  <c r="B785" i="42"/>
  <c r="B786" i="42"/>
  <c r="B787" i="42"/>
  <c r="B788" i="42"/>
  <c r="B790" i="42"/>
  <c r="B1142" i="98" s="1"/>
  <c r="B791" i="42"/>
  <c r="B1143" i="98" s="1"/>
  <c r="B792" i="42"/>
  <c r="B1144" i="98" s="1"/>
  <c r="B793" i="42"/>
  <c r="B1145" i="98" s="1"/>
  <c r="B794" i="42"/>
  <c r="B1146" i="98" s="1"/>
  <c r="B795" i="42"/>
  <c r="B1147" i="98" s="1"/>
  <c r="B796" i="42"/>
  <c r="B1148" i="98" s="1"/>
  <c r="B797" i="42"/>
  <c r="B1149" i="98" s="1"/>
  <c r="B798" i="42"/>
  <c r="B1150" i="98" s="1"/>
  <c r="B799" i="42"/>
  <c r="B1151" i="98" s="1"/>
  <c r="B800" i="42"/>
  <c r="B1152" i="98" s="1"/>
  <c r="B802" i="42"/>
  <c r="B803" i="42"/>
  <c r="B804" i="42"/>
  <c r="B805" i="42"/>
  <c r="B806" i="42"/>
  <c r="B807" i="42"/>
  <c r="B808" i="42"/>
  <c r="B809" i="42"/>
  <c r="B810" i="42"/>
  <c r="B811" i="42"/>
  <c r="B812" i="42"/>
  <c r="B814" i="42"/>
  <c r="B815" i="42"/>
  <c r="B816" i="42"/>
  <c r="B817" i="42"/>
  <c r="B835" i="42"/>
  <c r="B836" i="42"/>
  <c r="B837" i="42"/>
  <c r="B864" i="42"/>
  <c r="B865" i="42"/>
  <c r="B866" i="42"/>
  <c r="B867" i="42"/>
  <c r="B868" i="42"/>
  <c r="B869" i="42"/>
  <c r="B871" i="42"/>
  <c r="B872" i="42"/>
  <c r="B873" i="42"/>
  <c r="B874" i="42"/>
  <c r="B875" i="42"/>
  <c r="B876" i="42"/>
  <c r="B877" i="42"/>
  <c r="B878" i="42"/>
  <c r="B879" i="42"/>
  <c r="B880" i="42"/>
  <c r="B881" i="42"/>
  <c r="B883" i="42"/>
  <c r="B884" i="42"/>
  <c r="B885" i="42"/>
  <c r="B886" i="42"/>
  <c r="B887" i="42"/>
  <c r="B888" i="42"/>
  <c r="B889" i="42"/>
  <c r="B890" i="42"/>
  <c r="B891" i="42"/>
  <c r="B892" i="42"/>
  <c r="B893" i="42"/>
  <c r="B895" i="42"/>
  <c r="B896" i="42"/>
  <c r="B897" i="42"/>
  <c r="B898" i="42"/>
  <c r="B899" i="42"/>
  <c r="B900" i="42"/>
  <c r="B901" i="42"/>
  <c r="B902" i="42"/>
  <c r="B903" i="42"/>
  <c r="B904" i="42"/>
  <c r="B905" i="42"/>
  <c r="B907" i="42"/>
  <c r="B908" i="42"/>
  <c r="B909" i="42"/>
  <c r="B910" i="42"/>
  <c r="B911" i="42"/>
  <c r="B912" i="42"/>
  <c r="B914" i="42"/>
  <c r="B915" i="42"/>
  <c r="B916" i="42"/>
  <c r="B917" i="42"/>
  <c r="B918" i="42"/>
  <c r="B919" i="42"/>
  <c r="B920" i="42"/>
  <c r="B921" i="42"/>
  <c r="B922" i="42"/>
  <c r="B923" i="42"/>
  <c r="B924" i="42"/>
  <c r="B925" i="42"/>
  <c r="B926" i="42"/>
  <c r="B927" i="42"/>
  <c r="B928" i="42"/>
  <c r="B930" i="42"/>
  <c r="B931" i="42"/>
  <c r="B932" i="42"/>
  <c r="B933" i="42"/>
  <c r="B934" i="42"/>
  <c r="B935" i="42"/>
  <c r="B936" i="42"/>
  <c r="B937" i="42"/>
  <c r="B938" i="42"/>
  <c r="B939" i="42"/>
  <c r="B941" i="42"/>
  <c r="B942" i="42"/>
  <c r="B943" i="42"/>
  <c r="B944" i="42"/>
  <c r="B945" i="42"/>
  <c r="B946" i="42"/>
  <c r="B947" i="42"/>
  <c r="B948" i="42"/>
  <c r="B949" i="42"/>
  <c r="B950" i="42"/>
  <c r="B952" i="42"/>
  <c r="B953" i="42"/>
  <c r="B954" i="42"/>
  <c r="B955" i="42"/>
  <c r="B956" i="42"/>
  <c r="B957" i="42"/>
  <c r="B958" i="42"/>
  <c r="B959" i="42"/>
  <c r="B960" i="42"/>
  <c r="B961" i="42"/>
  <c r="B962" i="42"/>
  <c r="B963" i="42"/>
  <c r="B964" i="42"/>
  <c r="B965" i="42"/>
  <c r="B967" i="42"/>
  <c r="B968" i="42"/>
  <c r="B969" i="42"/>
  <c r="B970" i="42"/>
  <c r="B971" i="42"/>
  <c r="B972" i="42"/>
  <c r="B973" i="42"/>
  <c r="B974" i="42"/>
  <c r="B975" i="42"/>
  <c r="B976" i="42"/>
  <c r="B977" i="42"/>
  <c r="B978" i="42"/>
  <c r="B979" i="42"/>
  <c r="B980" i="42"/>
  <c r="B981" i="42"/>
  <c r="B982" i="42"/>
  <c r="B983" i="42"/>
  <c r="B985" i="42"/>
  <c r="B986" i="42"/>
  <c r="B987" i="42"/>
  <c r="B988" i="42"/>
  <c r="B989" i="42"/>
  <c r="B990" i="42"/>
  <c r="B991" i="42"/>
  <c r="B992" i="42"/>
  <c r="B993" i="42"/>
  <c r="B994" i="42"/>
  <c r="B996" i="42"/>
  <c r="B997" i="42"/>
  <c r="B998" i="42"/>
  <c r="B999" i="42"/>
  <c r="B1000" i="42"/>
  <c r="B1001" i="42"/>
  <c r="B1003" i="42"/>
  <c r="B1004" i="42"/>
  <c r="B1005" i="42"/>
  <c r="B1006" i="42"/>
  <c r="B1007" i="42"/>
  <c r="B1008" i="42"/>
  <c r="B1010" i="42"/>
  <c r="B1011" i="42"/>
  <c r="B1012" i="42"/>
  <c r="B1013" i="42"/>
  <c r="B1014" i="42"/>
  <c r="B1015" i="42"/>
  <c r="B1016" i="42"/>
  <c r="B1017" i="42"/>
  <c r="B1018" i="42"/>
  <c r="B1019" i="42"/>
  <c r="B1020" i="42"/>
  <c r="B1021" i="42"/>
  <c r="B1022" i="42"/>
  <c r="B1023" i="42"/>
  <c r="B1025" i="42"/>
  <c r="B1026" i="42"/>
  <c r="B1027" i="42"/>
  <c r="B1028" i="42"/>
  <c r="B1029" i="42"/>
  <c r="B1030" i="42"/>
  <c r="B1031" i="42"/>
  <c r="B1032" i="42"/>
  <c r="B1033" i="42"/>
  <c r="B1035" i="42"/>
  <c r="B1036" i="42"/>
  <c r="B1037" i="42"/>
  <c r="B1039" i="42"/>
  <c r="B1040" i="42"/>
  <c r="B1041" i="42"/>
  <c r="B1043" i="42"/>
  <c r="B1044" i="42"/>
  <c r="B1045" i="42"/>
  <c r="B1046" i="42"/>
  <c r="B1048" i="42"/>
  <c r="B1049" i="42"/>
  <c r="B1050" i="42"/>
  <c r="B1051" i="42"/>
  <c r="B1052" i="42"/>
  <c r="B1053" i="42"/>
  <c r="B1055" i="42"/>
  <c r="B1056" i="42"/>
  <c r="B1057" i="42"/>
  <c r="B1058" i="42"/>
  <c r="B1059" i="42"/>
  <c r="B1060" i="42"/>
  <c r="B1061" i="42"/>
  <c r="B1062" i="42"/>
  <c r="B1064" i="42"/>
  <c r="B1065" i="42"/>
  <c r="B1066" i="42"/>
  <c r="B1068" i="42"/>
  <c r="B1069" i="42"/>
  <c r="B1070" i="42"/>
  <c r="B1071" i="42"/>
  <c r="B1072" i="42"/>
  <c r="B1073" i="42"/>
  <c r="B1074" i="42"/>
  <c r="B1075" i="42"/>
  <c r="B1077" i="42"/>
  <c r="B1078" i="42"/>
  <c r="B1079" i="42"/>
  <c r="B1080" i="42"/>
  <c r="B1082" i="42"/>
  <c r="B1083" i="42"/>
  <c r="B1084" i="42"/>
  <c r="B1085" i="42"/>
  <c r="B1086" i="42"/>
  <c r="B1087" i="42"/>
  <c r="B1088" i="42"/>
  <c r="B1089" i="42"/>
  <c r="B1091" i="42"/>
  <c r="B1092" i="42"/>
  <c r="B1093" i="42"/>
  <c r="B1094" i="42"/>
  <c r="B1095" i="42"/>
  <c r="B1096" i="42"/>
  <c r="B1097" i="42"/>
  <c r="B1098" i="42"/>
  <c r="B1100" i="42"/>
  <c r="B1101" i="42"/>
  <c r="B1102" i="42"/>
  <c r="B1103" i="42"/>
  <c r="B1104" i="42"/>
  <c r="B1105" i="42"/>
  <c r="B1107" i="42"/>
  <c r="B1108" i="42"/>
  <c r="B1109" i="42"/>
  <c r="B1110" i="42"/>
  <c r="B1111" i="42"/>
  <c r="B1112" i="42"/>
  <c r="B1113" i="42"/>
  <c r="B1114" i="42"/>
  <c r="B1116" i="42"/>
  <c r="B113" i="103" s="1"/>
  <c r="B1117" i="42"/>
  <c r="B114" i="103" s="1"/>
  <c r="B1118" i="42"/>
  <c r="B115" i="103" s="1"/>
  <c r="B1119" i="42"/>
  <c r="B116" i="103" s="1"/>
  <c r="B1120" i="42"/>
  <c r="B1121" i="42"/>
  <c r="B118" i="103" s="1"/>
  <c r="B1122" i="42"/>
  <c r="B119" i="103" s="1"/>
  <c r="B1123" i="42"/>
  <c r="B120" i="103" s="1"/>
  <c r="B1124" i="42"/>
  <c r="B121" i="103" s="1"/>
  <c r="B1125" i="42"/>
  <c r="B122" i="103" s="1"/>
  <c r="B1126" i="42"/>
  <c r="B123" i="103" s="1"/>
  <c r="B1128" i="42"/>
  <c r="B1129" i="42"/>
  <c r="B1130" i="42"/>
  <c r="B1131" i="42"/>
  <c r="B1132" i="42"/>
  <c r="B1133" i="42"/>
  <c r="B1134" i="42"/>
  <c r="B1136" i="42"/>
  <c r="B1137" i="42"/>
  <c r="B1138" i="42"/>
  <c r="B1139" i="42"/>
  <c r="B1140" i="42"/>
  <c r="B1141" i="42"/>
  <c r="B1142" i="42"/>
  <c r="B1143" i="42"/>
  <c r="B1144" i="42"/>
  <c r="B1145" i="42"/>
  <c r="B1147" i="42"/>
  <c r="B1148" i="42"/>
  <c r="B1149" i="42"/>
  <c r="B1150" i="42"/>
  <c r="B1151" i="42"/>
  <c r="B1152" i="42"/>
  <c r="B1153" i="42"/>
  <c r="B1154" i="42"/>
  <c r="B1155" i="42"/>
  <c r="B1156" i="42"/>
  <c r="B1158" i="42"/>
  <c r="B1159" i="42"/>
  <c r="B1160" i="42"/>
  <c r="B1161" i="42"/>
  <c r="B1162" i="42"/>
  <c r="B1163" i="42"/>
  <c r="B1164" i="42"/>
  <c r="B1165" i="42"/>
  <c r="B1166" i="42"/>
  <c r="B1167" i="42"/>
  <c r="B1168" i="42"/>
  <c r="B1170" i="42"/>
  <c r="B1171" i="42"/>
  <c r="B1172" i="42"/>
  <c r="B1173" i="42"/>
  <c r="B1174" i="42"/>
  <c r="B1175" i="42"/>
  <c r="B1177" i="42"/>
  <c r="B134" i="103" s="1"/>
  <c r="B1178" i="42"/>
  <c r="B135" i="103" s="1"/>
  <c r="B1179" i="42"/>
  <c r="B136" i="103" s="1"/>
  <c r="B1180" i="42"/>
  <c r="B137" i="103" s="1"/>
  <c r="B1181" i="42"/>
  <c r="B138" i="103" s="1"/>
  <c r="B1182" i="42"/>
  <c r="B139" i="103" s="1"/>
  <c r="B1184" i="42"/>
  <c r="B150" i="103" s="1"/>
  <c r="B1185" i="42"/>
  <c r="B151" i="103" s="1"/>
  <c r="B1186" i="42"/>
  <c r="B152" i="103" s="1"/>
  <c r="B1187" i="42"/>
  <c r="B1188" i="42"/>
  <c r="B154" i="103" s="1"/>
  <c r="B1189" i="42"/>
  <c r="B155" i="103" s="1"/>
  <c r="B1190" i="42"/>
  <c r="B156" i="103" s="1"/>
  <c r="B1191" i="42"/>
  <c r="B157" i="103" s="1"/>
  <c r="B1192" i="42"/>
  <c r="B158" i="103" s="1"/>
  <c r="B1194" i="42"/>
  <c r="B1633" i="98" s="1"/>
  <c r="B1196" i="42"/>
  <c r="B169" i="103" s="1"/>
  <c r="B1198" i="42"/>
  <c r="B180" i="103" s="1"/>
  <c r="B1199" i="42"/>
  <c r="B1200" i="42"/>
  <c r="B182" i="103" s="1"/>
  <c r="B1201" i="42"/>
  <c r="B183" i="103" s="1"/>
  <c r="B1203" i="42"/>
  <c r="B1204" i="42"/>
  <c r="B1206" i="42"/>
  <c r="B1207" i="42"/>
  <c r="B1208" i="42"/>
  <c r="B1209" i="42"/>
  <c r="B1211" i="42"/>
  <c r="B1212" i="42"/>
  <c r="B1213" i="42"/>
  <c r="B1214" i="42"/>
  <c r="B1215" i="42"/>
  <c r="B1216" i="42"/>
  <c r="B1217" i="42"/>
  <c r="B1218" i="42"/>
  <c r="B1219" i="42"/>
  <c r="B1220" i="42"/>
  <c r="B1221" i="42"/>
  <c r="B1222" i="42"/>
  <c r="B1223" i="42"/>
  <c r="B1224" i="42"/>
  <c r="B1225" i="42"/>
  <c r="B1226" i="42"/>
  <c r="B1227" i="42"/>
  <c r="B1228" i="42"/>
  <c r="B1229" i="42"/>
  <c r="B1230" i="42"/>
  <c r="B1231" i="42"/>
  <c r="B1232" i="42"/>
  <c r="B1233" i="42"/>
  <c r="B1234" i="42"/>
  <c r="B1235" i="42"/>
  <c r="B1236" i="42"/>
  <c r="B1237" i="42"/>
  <c r="B1238" i="42"/>
  <c r="B1239" i="42"/>
  <c r="B1241" i="42"/>
  <c r="B1242" i="42"/>
  <c r="B1243" i="42"/>
  <c r="B1244" i="42"/>
  <c r="B1245" i="42"/>
  <c r="B1246" i="42"/>
  <c r="B1248" i="42"/>
  <c r="B1250" i="42"/>
  <c r="B1251" i="42"/>
  <c r="B1252" i="42"/>
  <c r="B1253" i="42"/>
  <c r="B1254" i="42"/>
  <c r="B1255" i="42"/>
  <c r="B1256" i="42"/>
  <c r="B1257" i="42"/>
  <c r="B1259" i="42"/>
  <c r="B194" i="103" s="1"/>
  <c r="B1260" i="42"/>
  <c r="B195" i="103" s="1"/>
  <c r="B1261" i="42"/>
  <c r="B1262" i="42"/>
  <c r="B197" i="103" s="1"/>
  <c r="B1263" i="42"/>
  <c r="B198" i="103" s="1"/>
  <c r="B1264" i="42"/>
  <c r="B199" i="103" s="1"/>
  <c r="B1265" i="42"/>
  <c r="B200" i="103" s="1"/>
  <c r="B1266" i="42"/>
  <c r="B201" i="103" s="1"/>
  <c r="B1268" i="42"/>
  <c r="B212" i="103" s="1"/>
  <c r="B1269" i="42"/>
  <c r="B213" i="103" s="1"/>
  <c r="B1270" i="42"/>
  <c r="B214" i="103" s="1"/>
  <c r="B1271" i="42"/>
  <c r="B215" i="103" s="1"/>
  <c r="B1272" i="42"/>
  <c r="B216" i="103" s="1"/>
  <c r="B1273" i="42"/>
  <c r="B217" i="103" s="1"/>
  <c r="B1275" i="42"/>
  <c r="B1276" i="42"/>
  <c r="B1277" i="42"/>
  <c r="B1278" i="42"/>
  <c r="B1279" i="42"/>
  <c r="B1280" i="42"/>
  <c r="B1281" i="42"/>
  <c r="B1282" i="42"/>
  <c r="B1283" i="42"/>
  <c r="B1284" i="42"/>
  <c r="B1285" i="42"/>
  <c r="B1286" i="42"/>
  <c r="B1287" i="42"/>
  <c r="B1288" i="42"/>
  <c r="B1289" i="42"/>
  <c r="B1291" i="42"/>
  <c r="B1292" i="42"/>
  <c r="B1293" i="42"/>
  <c r="B1294" i="42"/>
  <c r="B1295" i="42"/>
  <c r="B1296" i="42"/>
  <c r="B1297" i="42"/>
  <c r="B1299" i="42"/>
  <c r="B1300" i="42"/>
  <c r="B1301" i="42"/>
  <c r="B1302" i="42"/>
  <c r="B1303" i="42"/>
  <c r="B1305" i="42"/>
  <c r="B228" i="103" s="1"/>
  <c r="B1306" i="42"/>
  <c r="B229" i="103" s="1"/>
  <c r="B1307" i="42"/>
  <c r="B230" i="103" s="1"/>
  <c r="B1308" i="42"/>
  <c r="B231" i="103" s="1"/>
  <c r="B1309" i="42"/>
  <c r="B232" i="103" s="1"/>
  <c r="B1311" i="42"/>
  <c r="B1312" i="42"/>
  <c r="B1313" i="42"/>
  <c r="B1314" i="42"/>
  <c r="B1315" i="42"/>
  <c r="B1317" i="42"/>
  <c r="B1318" i="42"/>
  <c r="B1319" i="42"/>
  <c r="B1320" i="42"/>
  <c r="B1321" i="42"/>
  <c r="B1322" i="42"/>
  <c r="B1324" i="42"/>
  <c r="B1325" i="42"/>
  <c r="B1326" i="42"/>
  <c r="B1327" i="42"/>
  <c r="B1328" i="42"/>
  <c r="B1329" i="42"/>
  <c r="B1331" i="42"/>
  <c r="B1902" i="98" s="1"/>
  <c r="B1333" i="42"/>
  <c r="B1334" i="42"/>
  <c r="B1335" i="42"/>
  <c r="B1336" i="42"/>
  <c r="B1337" i="42"/>
  <c r="B1339" i="42"/>
  <c r="B1340" i="42"/>
  <c r="B1341" i="42"/>
  <c r="B1342" i="42"/>
  <c r="B1343" i="42"/>
  <c r="B1344" i="42"/>
  <c r="B1346" i="42"/>
  <c r="B1347" i="42"/>
  <c r="B1348" i="42"/>
  <c r="B1349" i="42"/>
  <c r="B1350" i="42"/>
  <c r="B1351" i="42"/>
  <c r="B1352" i="42"/>
  <c r="B1353" i="42"/>
  <c r="B1355" i="42"/>
  <c r="B1356" i="42"/>
  <c r="B1357" i="42"/>
  <c r="B1358" i="42"/>
  <c r="B1359" i="42"/>
  <c r="B1360" i="42"/>
  <c r="B1361" i="42"/>
  <c r="B1363" i="42"/>
  <c r="B243" i="103" s="1"/>
  <c r="B1364" i="42"/>
  <c r="B244" i="103" s="1"/>
  <c r="B1365" i="42"/>
  <c r="B245" i="103" s="1"/>
  <c r="B1366" i="42"/>
  <c r="B246" i="103" s="1"/>
  <c r="B1367" i="42"/>
  <c r="B247" i="103" s="1"/>
  <c r="B1368" i="42"/>
  <c r="B248" i="103" s="1"/>
  <c r="B1369" i="42"/>
  <c r="B249" i="103" s="1"/>
  <c r="B1370" i="42"/>
  <c r="B250" i="103" s="1"/>
  <c r="B1371" i="42"/>
  <c r="B251" i="103" s="1"/>
  <c r="B1372" i="42"/>
  <c r="B252" i="103" s="1"/>
  <c r="B1373" i="42"/>
  <c r="B253" i="103" s="1"/>
  <c r="B1374" i="42"/>
  <c r="B254" i="103" s="1"/>
  <c r="B1375" i="42"/>
  <c r="B255" i="103" s="1"/>
  <c r="B1376" i="42"/>
  <c r="B256" i="103" s="1"/>
  <c r="B1377" i="42"/>
  <c r="B257" i="103" s="1"/>
  <c r="B1378" i="42"/>
  <c r="B1379" i="42"/>
  <c r="B259" i="103" s="1"/>
  <c r="B1380" i="42"/>
  <c r="B260" i="103" s="1"/>
  <c r="B1381" i="42"/>
  <c r="B261" i="103" s="1"/>
  <c r="B1382" i="42"/>
  <c r="B262" i="103" s="1"/>
  <c r="B1384" i="42"/>
  <c r="B1385" i="42"/>
  <c r="B1989" i="98" s="1"/>
  <c r="B1387" i="42"/>
  <c r="B285" i="103" s="1"/>
  <c r="B1388" i="42"/>
  <c r="B286" i="103" s="1"/>
  <c r="B1389" i="42"/>
  <c r="B287" i="103" s="1"/>
  <c r="B1390" i="42"/>
  <c r="B1391" i="42"/>
  <c r="B289" i="103" s="1"/>
  <c r="B1392" i="42"/>
  <c r="B290" i="103" s="1"/>
  <c r="B1394" i="42"/>
  <c r="B301" i="103" s="1"/>
  <c r="B1395" i="42"/>
  <c r="B302" i="103" s="1"/>
  <c r="B1396" i="42"/>
  <c r="B303" i="103" s="1"/>
  <c r="B1397" i="42"/>
  <c r="B304" i="103" s="1"/>
  <c r="B1398" i="42"/>
  <c r="B305" i="103" s="1"/>
  <c r="B1399" i="42"/>
  <c r="B306" i="103" s="1"/>
  <c r="B1400" i="42"/>
  <c r="B1401" i="42"/>
  <c r="B308" i="103" s="1"/>
  <c r="B1403" i="42"/>
  <c r="B1404" i="42"/>
  <c r="B1405" i="42"/>
  <c r="B1406" i="42"/>
  <c r="B1407" i="42"/>
  <c r="B1408" i="42"/>
  <c r="B1409" i="42"/>
  <c r="B1410" i="42"/>
  <c r="B1411" i="42"/>
  <c r="B1412" i="42"/>
  <c r="B1413" i="42"/>
  <c r="B1414" i="42"/>
  <c r="B1415" i="42"/>
  <c r="B1416" i="42"/>
  <c r="B1418" i="42"/>
  <c r="B1419" i="42"/>
  <c r="B1420" i="42"/>
  <c r="B1421" i="42"/>
  <c r="B1423" i="42"/>
  <c r="B2091" i="98" s="1"/>
  <c r="B1424" i="42"/>
  <c r="B2092" i="98" s="1"/>
  <c r="B1425" i="42"/>
  <c r="B2093" i="98" s="1"/>
  <c r="B1426" i="42"/>
  <c r="B2094" i="98" s="1"/>
  <c r="B1427" i="42"/>
  <c r="B2095" i="98" s="1"/>
  <c r="B1428" i="42"/>
  <c r="B2096" i="98" s="1"/>
  <c r="B1429" i="42"/>
  <c r="B2097" i="98" s="1"/>
  <c r="B1430" i="42"/>
  <c r="B1431" i="42"/>
  <c r="B1433" i="42"/>
  <c r="B1434" i="42"/>
  <c r="B1435" i="42"/>
  <c r="B1436" i="42"/>
  <c r="B1437" i="42"/>
  <c r="B1438" i="42"/>
  <c r="B1439" i="42"/>
  <c r="B1441" i="42"/>
  <c r="B1442" i="42"/>
  <c r="B1443" i="42"/>
  <c r="B1444" i="42"/>
  <c r="B1445" i="42"/>
  <c r="B1446" i="42"/>
  <c r="B1447" i="42"/>
  <c r="B1449" i="42"/>
  <c r="B319" i="103" s="1"/>
  <c r="B1450" i="42"/>
  <c r="B320" i="103" s="1"/>
  <c r="B1451" i="42"/>
  <c r="B321" i="103" s="1"/>
  <c r="B1452" i="42"/>
  <c r="B322" i="103" s="1"/>
  <c r="B1453" i="42"/>
  <c r="B323" i="103" s="1"/>
  <c r="B1454" i="42"/>
  <c r="B324" i="103" s="1"/>
  <c r="B1455" i="42"/>
  <c r="B325" i="103" s="1"/>
  <c r="B1456" i="42"/>
  <c r="B1457" i="42"/>
  <c r="B327" i="103" s="1"/>
  <c r="B1458" i="42"/>
  <c r="B328" i="103" s="1"/>
  <c r="B1460" i="42"/>
  <c r="B339" i="103" s="1"/>
  <c r="B1461" i="42"/>
  <c r="B340" i="103" s="1"/>
  <c r="B1462" i="42"/>
  <c r="B341" i="103" s="1"/>
  <c r="B1463" i="42"/>
  <c r="B342" i="103" s="1"/>
  <c r="B1464" i="42"/>
  <c r="B343" i="103" s="1"/>
  <c r="B1465" i="42"/>
  <c r="B344" i="103" s="1"/>
  <c r="B1466" i="42"/>
  <c r="B1467" i="42"/>
  <c r="B346" i="103" s="1"/>
  <c r="B1468" i="42"/>
  <c r="B347" i="103" s="1"/>
  <c r="B1470" i="42"/>
  <c r="B358" i="103" s="1"/>
  <c r="B1471" i="42"/>
  <c r="B359" i="103" s="1"/>
  <c r="B1472" i="42"/>
  <c r="B360" i="103" s="1"/>
  <c r="B1473" i="42"/>
  <c r="B361" i="103" s="1"/>
  <c r="B1474" i="42"/>
  <c r="B362" i="103" s="1"/>
  <c r="B1475" i="42"/>
  <c r="B363" i="103" s="1"/>
  <c r="B1476" i="42"/>
  <c r="B1477" i="42"/>
  <c r="B365" i="103" s="1"/>
  <c r="B1478" i="42"/>
  <c r="B366" i="103" s="1"/>
  <c r="B1480" i="42"/>
  <c r="B377" i="103" s="1"/>
  <c r="B1481" i="42"/>
  <c r="B378" i="103" s="1"/>
  <c r="B1482" i="42"/>
  <c r="B379" i="103" s="1"/>
  <c r="B1483" i="42"/>
  <c r="B380" i="103" s="1"/>
  <c r="B1485" i="42"/>
  <c r="B1486" i="42"/>
  <c r="B1487" i="42"/>
  <c r="B1488" i="42"/>
  <c r="B1490" i="42"/>
  <c r="B1491" i="42"/>
  <c r="B1492" i="42"/>
  <c r="B1493" i="42"/>
  <c r="B1494" i="42"/>
  <c r="B1495" i="42"/>
  <c r="B1496" i="42"/>
  <c r="B1497" i="42"/>
  <c r="B1498" i="42"/>
  <c r="B1499" i="42"/>
  <c r="B1500" i="42"/>
  <c r="B1502" i="42"/>
  <c r="B1503" i="42"/>
  <c r="B1505" i="42"/>
  <c r="B1506" i="42"/>
  <c r="B1507" i="42"/>
  <c r="B1508" i="42"/>
  <c r="B1509" i="42"/>
  <c r="B1510" i="42"/>
  <c r="B1511" i="42"/>
  <c r="B1512" i="42"/>
  <c r="B1513" i="42"/>
  <c r="B1514" i="42"/>
  <c r="B1515" i="42"/>
  <c r="B1516" i="42"/>
  <c r="B1517" i="42"/>
  <c r="B1518" i="42"/>
  <c r="B1519" i="42"/>
  <c r="B1521" i="42"/>
  <c r="B391" i="103" s="1"/>
  <c r="B1522" i="42"/>
  <c r="B392" i="103" s="1"/>
  <c r="B1523" i="42"/>
  <c r="B393" i="103" s="1"/>
  <c r="B1524" i="42"/>
  <c r="B394" i="103" s="1"/>
  <c r="B1525" i="42"/>
  <c r="B395" i="103" s="1"/>
  <c r="B1526" i="42"/>
  <c r="B396" i="103" s="1"/>
  <c r="B1527" i="42"/>
  <c r="B397" i="103" s="1"/>
  <c r="B1529" i="42"/>
  <c r="B1530" i="42"/>
  <c r="B1531" i="42"/>
  <c r="B1533" i="42"/>
  <c r="B1534" i="42"/>
  <c r="B1535" i="42"/>
  <c r="B1541" i="42"/>
  <c r="B1542" i="42"/>
  <c r="B1543" i="42"/>
  <c r="B1545" i="42"/>
  <c r="B1546" i="42"/>
  <c r="B1547" i="42"/>
  <c r="B1548" i="42"/>
  <c r="B1549" i="42"/>
  <c r="B1550" i="42"/>
  <c r="B1551" i="42"/>
  <c r="B1553" i="42"/>
  <c r="B1554" i="42"/>
  <c r="B1555" i="42"/>
  <c r="B1556" i="42"/>
  <c r="B1557" i="42"/>
  <c r="B1558" i="42"/>
  <c r="B1559" i="42"/>
  <c r="B1561" i="42"/>
  <c r="B1562" i="42"/>
  <c r="B1563" i="42"/>
  <c r="B1564" i="42"/>
  <c r="B1565" i="42"/>
  <c r="B1566" i="42"/>
  <c r="B1567" i="42"/>
  <c r="B1568" i="42"/>
  <c r="B1569" i="42"/>
  <c r="B1570" i="42"/>
  <c r="B1571" i="42"/>
  <c r="B1572" i="42"/>
  <c r="B1574" i="42"/>
  <c r="B1575" i="42"/>
  <c r="B1576" i="42"/>
  <c r="B1577" i="42"/>
  <c r="B1578" i="42"/>
  <c r="B1579" i="42"/>
  <c r="B1580" i="42"/>
  <c r="B1581" i="42"/>
  <c r="B1582" i="42"/>
  <c r="B1583" i="42"/>
  <c r="B1584" i="42"/>
  <c r="B1585" i="42"/>
  <c r="B1586" i="42"/>
  <c r="B1588" i="42"/>
  <c r="B1589" i="42"/>
  <c r="B1590" i="42"/>
  <c r="B1591" i="42"/>
  <c r="B1592" i="42"/>
  <c r="B1593" i="42"/>
  <c r="B1594" i="42"/>
  <c r="B1596" i="42"/>
  <c r="B1597" i="42"/>
  <c r="B1598" i="42"/>
  <c r="B1599" i="42"/>
  <c r="B1600" i="42"/>
  <c r="B1601" i="42"/>
  <c r="B1602" i="42"/>
  <c r="B1603" i="42"/>
  <c r="B1604" i="42"/>
  <c r="B1605" i="42"/>
  <c r="B1606" i="42"/>
  <c r="B1607" i="42"/>
  <c r="B1609" i="42"/>
  <c r="B1610" i="42"/>
  <c r="B1611" i="42"/>
  <c r="B1612" i="42"/>
  <c r="B1613" i="42"/>
  <c r="B1614" i="42"/>
  <c r="B1615" i="42"/>
  <c r="B1616" i="42"/>
  <c r="B1617" i="42"/>
  <c r="B1618" i="42"/>
  <c r="B1619" i="42"/>
  <c r="B1620" i="42"/>
  <c r="B1622" i="42"/>
  <c r="B1623" i="42"/>
  <c r="B1624" i="42"/>
  <c r="B1625" i="42"/>
  <c r="B1626" i="42"/>
  <c r="B1627" i="42"/>
  <c r="B1628" i="42"/>
  <c r="B1629" i="42"/>
  <c r="B1630" i="42"/>
  <c r="B1631" i="42"/>
  <c r="B1632" i="42"/>
  <c r="B1633" i="42"/>
  <c r="B1635" i="42"/>
  <c r="B1636" i="42"/>
  <c r="B1637" i="42"/>
  <c r="B1638" i="42"/>
  <c r="B1639" i="42"/>
  <c r="B1640" i="42"/>
  <c r="B1641" i="42"/>
  <c r="B1642" i="42"/>
  <c r="B1643" i="42"/>
  <c r="B1644" i="42"/>
  <c r="B1645" i="42"/>
  <c r="B1646" i="42"/>
  <c r="B1648" i="42"/>
  <c r="B1649" i="42"/>
  <c r="B1650" i="42"/>
  <c r="B1651" i="42"/>
  <c r="B1653" i="42"/>
  <c r="B1654" i="42"/>
  <c r="B1655" i="42"/>
  <c r="B1656" i="42"/>
  <c r="B1658" i="42"/>
  <c r="B1659" i="42"/>
  <c r="B1660" i="42"/>
  <c r="B1661" i="42"/>
  <c r="B1662" i="42"/>
  <c r="B1664" i="42"/>
  <c r="B1665" i="42"/>
  <c r="B1666" i="42"/>
  <c r="B1667" i="42"/>
  <c r="B1668" i="42"/>
  <c r="B1669" i="42"/>
  <c r="B1670" i="42"/>
  <c r="B1671" i="42"/>
  <c r="B1672" i="42"/>
  <c r="B1673" i="42"/>
  <c r="B1674" i="42"/>
  <c r="B1675" i="42"/>
  <c r="B1677" i="42"/>
  <c r="B1678" i="42"/>
  <c r="B1679" i="42"/>
  <c r="B1680" i="42"/>
  <c r="B1681" i="42"/>
  <c r="B1682" i="42"/>
  <c r="B1683" i="42"/>
  <c r="B1684" i="42"/>
  <c r="B1685" i="42"/>
  <c r="B1686" i="42"/>
  <c r="B1687" i="42"/>
  <c r="B1688" i="42"/>
  <c r="B1690" i="42"/>
  <c r="B1691" i="42"/>
  <c r="B1692" i="42"/>
  <c r="B1693" i="42"/>
  <c r="B1694" i="42"/>
  <c r="B1695" i="42"/>
  <c r="B1696" i="42"/>
  <c r="B1698" i="42"/>
  <c r="B1699" i="42"/>
  <c r="B1700" i="42"/>
  <c r="B1701" i="42"/>
  <c r="B1702" i="42"/>
  <c r="B1703" i="42"/>
  <c r="B1704" i="42"/>
  <c r="B1705" i="42"/>
  <c r="B1706" i="42"/>
  <c r="B1718" i="42"/>
  <c r="B1719" i="42"/>
  <c r="B1720" i="42"/>
  <c r="B1722" i="42"/>
  <c r="B1723" i="42"/>
  <c r="B1724" i="42"/>
  <c r="B1726" i="42"/>
  <c r="B1727" i="42"/>
  <c r="B1728" i="42"/>
  <c r="B1729" i="42"/>
  <c r="B1730" i="42"/>
  <c r="B1731" i="42"/>
  <c r="B1732" i="42"/>
  <c r="B1734" i="42"/>
  <c r="B1735" i="42"/>
  <c r="B1736" i="42"/>
  <c r="B1737" i="42"/>
  <c r="B1738" i="42"/>
  <c r="B1739" i="42"/>
  <c r="B1741" i="42"/>
  <c r="B1742" i="42"/>
  <c r="B1743" i="42"/>
  <c r="B1744" i="42"/>
  <c r="B1745" i="42"/>
  <c r="B1746" i="42"/>
  <c r="B1747" i="42"/>
  <c r="B1748" i="42"/>
  <c r="B1749" i="42"/>
  <c r="B1751" i="42"/>
  <c r="B1752" i="42"/>
  <c r="B1753" i="42"/>
  <c r="B1754" i="42"/>
  <c r="B1755" i="42"/>
  <c r="B1756" i="42"/>
  <c r="B1757" i="42"/>
  <c r="B1758" i="42"/>
  <c r="B1759" i="42"/>
  <c r="B1760" i="42"/>
  <c r="B1761" i="42"/>
  <c r="B1762" i="42"/>
  <c r="B1764" i="42"/>
  <c r="B1765" i="42"/>
  <c r="B1766" i="42"/>
  <c r="B1767" i="42"/>
  <c r="B1768" i="42"/>
  <c r="B1769" i="42"/>
  <c r="B1770" i="42"/>
  <c r="B1771" i="42"/>
  <c r="B1772" i="42"/>
  <c r="B1773" i="42"/>
  <c r="B1774" i="42"/>
  <c r="B1775" i="42"/>
  <c r="B1777" i="42"/>
  <c r="B1778" i="42"/>
  <c r="B1779" i="42"/>
  <c r="B1780" i="42"/>
  <c r="B1781" i="42"/>
  <c r="B1782" i="42"/>
  <c r="B1783" i="42"/>
  <c r="B1784" i="42"/>
  <c r="B1786" i="42"/>
  <c r="B1787" i="42"/>
  <c r="B1788" i="42"/>
  <c r="B1789" i="42"/>
  <c r="B1790" i="42"/>
  <c r="B1791" i="42"/>
  <c r="B1792" i="42"/>
  <c r="B1793" i="42"/>
  <c r="B1794" i="42"/>
  <c r="B1796" i="42"/>
  <c r="B1797" i="42"/>
  <c r="B1798" i="42"/>
  <c r="B1799" i="42"/>
  <c r="B1800" i="42"/>
  <c r="B1801" i="42"/>
  <c r="B1802" i="42"/>
  <c r="B1803" i="42"/>
  <c r="B1804" i="42"/>
  <c r="B1806" i="42"/>
  <c r="B1807" i="42"/>
  <c r="B1808" i="42"/>
  <c r="B1809" i="42"/>
  <c r="B1810" i="42"/>
  <c r="B1811" i="42"/>
  <c r="B1812" i="42"/>
  <c r="B1813" i="42"/>
  <c r="B1814" i="42"/>
  <c r="B1816" i="42"/>
  <c r="B1817" i="42"/>
  <c r="B1818" i="42"/>
  <c r="B1819" i="42"/>
  <c r="B1820" i="42"/>
  <c r="B1821" i="42"/>
  <c r="B1822" i="42"/>
  <c r="B1823" i="42"/>
  <c r="B1824" i="42"/>
  <c r="B1825" i="42"/>
  <c r="B1826" i="42"/>
  <c r="B1827" i="42"/>
  <c r="B1829" i="42"/>
  <c r="B1830" i="42"/>
  <c r="B1831" i="42"/>
  <c r="B1832" i="42"/>
  <c r="B1833" i="42"/>
  <c r="B1834" i="42"/>
  <c r="B1835" i="42"/>
  <c r="B1836" i="42"/>
  <c r="B1837" i="42"/>
  <c r="B1838" i="42"/>
  <c r="B1839" i="42"/>
  <c r="B1840" i="42"/>
  <c r="B1842" i="42"/>
  <c r="B1843" i="42"/>
  <c r="B1844" i="42"/>
  <c r="B1845" i="42"/>
  <c r="B1846" i="42"/>
  <c r="B1847" i="42"/>
  <c r="B1848" i="42"/>
  <c r="B1849" i="42"/>
  <c r="B1850" i="42"/>
  <c r="B1851" i="42"/>
  <c r="B1852" i="42"/>
  <c r="B1853" i="42"/>
  <c r="B1854" i="42"/>
  <c r="B1856" i="42"/>
  <c r="B1857" i="42"/>
  <c r="B1858" i="42"/>
  <c r="B1859" i="42"/>
  <c r="B1860" i="42"/>
  <c r="B1861" i="42"/>
  <c r="B1862" i="42"/>
  <c r="B1863" i="42"/>
  <c r="B1864" i="42"/>
  <c r="B1865" i="42"/>
  <c r="B1867" i="42"/>
  <c r="B1868" i="42"/>
  <c r="B1869" i="42"/>
  <c r="B1870" i="42"/>
  <c r="B1871" i="42"/>
  <c r="B1872" i="42"/>
  <c r="B1873" i="42"/>
  <c r="B1874" i="42"/>
  <c r="B1875" i="42"/>
  <c r="B1876" i="42"/>
  <c r="B1878" i="42"/>
  <c r="B1879" i="42"/>
  <c r="B1880" i="42"/>
  <c r="B1881" i="42"/>
  <c r="B1882" i="42"/>
  <c r="B1883" i="42"/>
  <c r="B1884" i="42"/>
  <c r="B1885" i="42"/>
  <c r="B1886" i="42"/>
  <c r="B1887" i="42"/>
  <c r="B1889" i="42"/>
  <c r="B1890" i="42"/>
  <c r="B1891" i="42"/>
  <c r="B1892" i="42"/>
  <c r="B1893" i="42"/>
  <c r="B1894" i="42"/>
  <c r="B1895" i="42"/>
  <c r="B1896" i="42"/>
  <c r="B1897" i="42"/>
  <c r="B1898" i="42"/>
  <c r="B1900" i="42"/>
  <c r="B1901" i="42"/>
  <c r="B1902" i="42"/>
  <c r="B1903" i="42"/>
  <c r="B1904" i="42"/>
  <c r="B1905" i="42"/>
  <c r="B1906" i="42"/>
  <c r="B1907" i="42"/>
  <c r="B1908" i="42"/>
  <c r="B1910" i="42"/>
  <c r="B1911" i="42"/>
  <c r="B1912" i="42"/>
  <c r="B1913" i="42"/>
  <c r="B1914" i="42"/>
  <c r="B1915" i="42"/>
  <c r="B1916" i="42"/>
  <c r="B1917" i="42"/>
  <c r="B1919" i="42"/>
  <c r="B1920" i="42"/>
  <c r="B1921" i="42"/>
  <c r="B1922" i="42"/>
  <c r="B1923" i="42"/>
  <c r="B1924" i="42"/>
  <c r="B1925" i="42"/>
  <c r="B1926" i="42"/>
  <c r="B1928" i="42"/>
  <c r="B1929" i="42"/>
  <c r="B1930" i="42"/>
  <c r="B1931" i="42"/>
  <c r="B1932" i="42"/>
  <c r="B1933" i="42"/>
  <c r="B1934" i="42"/>
  <c r="B1935" i="42"/>
  <c r="B1937" i="42"/>
  <c r="B408" i="103" s="1"/>
  <c r="B1938" i="42"/>
  <c r="B409" i="103" s="1"/>
  <c r="B1939" i="42"/>
  <c r="B410" i="103" s="1"/>
  <c r="B1940" i="42"/>
  <c r="B411" i="103" s="1"/>
  <c r="B1941" i="42"/>
  <c r="B412" i="103" s="1"/>
  <c r="B1942" i="42"/>
  <c r="B413" i="103" s="1"/>
  <c r="B1943" i="42"/>
  <c r="B414" i="103" s="1"/>
  <c r="B1944" i="42"/>
  <c r="B415" i="103" s="1"/>
  <c r="B1946" i="42"/>
  <c r="B1947" i="42"/>
  <c r="B1948" i="42"/>
  <c r="B1949" i="42"/>
  <c r="B1950" i="42"/>
  <c r="B1951" i="42"/>
  <c r="B1952" i="42"/>
  <c r="B1953" i="42"/>
  <c r="B1955" i="42"/>
  <c r="B1956" i="42"/>
  <c r="B1957" i="42"/>
  <c r="B1958" i="42"/>
  <c r="B1959" i="42"/>
  <c r="B1960" i="42"/>
  <c r="B1961" i="42"/>
  <c r="B1962" i="42"/>
  <c r="B1963" i="42"/>
  <c r="B1964" i="42"/>
  <c r="B1966" i="42"/>
  <c r="B1967" i="42"/>
  <c r="B1968" i="42"/>
  <c r="B1969" i="42"/>
  <c r="B1971" i="42"/>
  <c r="B1972" i="42"/>
  <c r="B1973" i="42"/>
  <c r="B1974" i="42"/>
  <c r="B1976" i="42"/>
  <c r="B1977" i="42"/>
  <c r="B1978" i="42"/>
  <c r="B1979" i="42"/>
  <c r="B1980" i="42"/>
  <c r="B1981" i="42"/>
  <c r="B1982" i="42"/>
  <c r="B1983" i="42"/>
  <c r="B1984" i="42"/>
  <c r="B1985" i="42"/>
  <c r="B1987" i="42"/>
  <c r="B1988" i="42"/>
  <c r="B1989" i="42"/>
  <c r="B1990" i="42"/>
  <c r="B1991" i="42"/>
  <c r="B1992" i="42"/>
  <c r="B1993" i="42"/>
  <c r="B1994" i="42"/>
  <c r="B1996" i="42"/>
  <c r="B426" i="103" s="1"/>
  <c r="B1997" i="42"/>
  <c r="B427" i="103" s="1"/>
  <c r="B1998" i="42"/>
  <c r="B428" i="103" s="1"/>
  <c r="B2000" i="42"/>
  <c r="B2001" i="42"/>
  <c r="B2002" i="42"/>
  <c r="B2031" i="42"/>
  <c r="B474" i="103" s="1"/>
  <c r="B2032" i="42"/>
  <c r="B475" i="103" s="1"/>
  <c r="B2033" i="42"/>
  <c r="B476" i="103" s="1"/>
  <c r="B2034" i="42"/>
  <c r="B477" i="103" s="1"/>
  <c r="B2035" i="42"/>
  <c r="B478" i="103" s="1"/>
  <c r="B2037" i="42"/>
  <c r="B2038" i="42"/>
  <c r="B2039" i="42"/>
  <c r="B2040" i="42"/>
  <c r="B2041" i="42"/>
  <c r="B2042" i="42"/>
  <c r="B2044" i="42"/>
  <c r="B2045" i="42"/>
  <c r="B2046" i="42"/>
  <c r="B2047" i="42"/>
  <c r="B2049" i="42"/>
  <c r="B2050" i="42"/>
  <c r="B2051" i="42"/>
  <c r="B2053" i="42"/>
  <c r="B489" i="103" s="1"/>
  <c r="B2054" i="42"/>
  <c r="B490" i="103" s="1"/>
  <c r="B2055" i="42"/>
  <c r="B491" i="103" s="1"/>
  <c r="B2056" i="42"/>
  <c r="B492" i="103" s="1"/>
  <c r="B2057" i="42"/>
  <c r="B493" i="103" s="1"/>
  <c r="B2058" i="42"/>
  <c r="B494" i="103" s="1"/>
  <c r="B2059" i="42"/>
  <c r="B495" i="103" s="1"/>
  <c r="B2061" i="42"/>
  <c r="B506" i="103" s="1"/>
  <c r="B2062" i="42"/>
  <c r="B507" i="103" s="1"/>
  <c r="B2063" i="42"/>
  <c r="B508" i="103" s="1"/>
  <c r="B2064" i="42"/>
  <c r="B509" i="103" s="1"/>
  <c r="B2065" i="42"/>
  <c r="B510" i="103" s="1"/>
  <c r="B2067" i="42"/>
  <c r="B2069" i="42"/>
  <c r="B2070" i="42"/>
  <c r="B2071" i="42"/>
  <c r="B2073" i="42"/>
  <c r="B2074" i="42"/>
  <c r="B2075" i="42"/>
  <c r="B2076" i="42"/>
  <c r="B2078" i="42"/>
  <c r="B2079" i="42"/>
  <c r="B2080" i="42"/>
  <c r="B2081" i="42"/>
  <c r="B2082" i="42"/>
  <c r="B2083" i="42"/>
  <c r="B2115" i="42"/>
  <c r="B573" i="103" s="1"/>
  <c r="B2116" i="42"/>
  <c r="B574" i="103" s="1"/>
  <c r="B2117" i="42"/>
  <c r="B575" i="103" s="1"/>
  <c r="B2119" i="42"/>
  <c r="B586" i="103" s="1"/>
  <c r="B2120" i="42"/>
  <c r="B587" i="103" s="1"/>
  <c r="B2121" i="42"/>
  <c r="B588" i="103" s="1"/>
  <c r="B2122" i="42"/>
  <c r="B589" i="103" s="1"/>
  <c r="B2123" i="42"/>
  <c r="B590" i="103" s="1"/>
  <c r="B2124" i="42"/>
  <c r="B591" i="103" s="1"/>
  <c r="B2125" i="42"/>
  <c r="B592" i="103" s="1"/>
  <c r="B2126" i="42"/>
  <c r="B593" i="103" s="1"/>
  <c r="B2127" i="42"/>
  <c r="B594" i="103" s="1"/>
  <c r="B2128" i="42"/>
  <c r="B595" i="103" s="1"/>
  <c r="B2129" i="42"/>
  <c r="B596" i="103" s="1"/>
  <c r="B2131" i="42"/>
  <c r="B2132" i="42"/>
  <c r="B2133" i="42"/>
  <c r="B2134" i="42"/>
  <c r="B2135" i="42"/>
  <c r="B2136" i="42"/>
  <c r="B2137" i="42"/>
  <c r="B2139" i="42"/>
  <c r="B607" i="103" s="1"/>
  <c r="B2140" i="42"/>
  <c r="B608" i="103" s="1"/>
  <c r="B2141" i="42"/>
  <c r="B609" i="103" s="1"/>
  <c r="B2142" i="42"/>
  <c r="B610" i="103" s="1"/>
  <c r="B2144" i="42"/>
  <c r="B621" i="103" s="1"/>
  <c r="B2145" i="42"/>
  <c r="B622" i="103" s="1"/>
  <c r="B2146" i="42"/>
  <c r="B623" i="103" s="1"/>
  <c r="B2147" i="42"/>
  <c r="B624" i="103" s="1"/>
  <c r="B2148" i="42"/>
  <c r="B625" i="103" s="1"/>
  <c r="B2149" i="42"/>
  <c r="B626" i="103" s="1"/>
  <c r="B2150" i="42"/>
  <c r="B627" i="103" s="1"/>
  <c r="B2151" i="42"/>
  <c r="B628" i="103" s="1"/>
  <c r="B2153" i="42"/>
  <c r="B639" i="103" s="1"/>
  <c r="B2154" i="42"/>
  <c r="B640" i="103" s="1"/>
  <c r="B2155" i="42"/>
  <c r="B641" i="103" s="1"/>
  <c r="B2156" i="42"/>
  <c r="B642" i="103" s="1"/>
  <c r="B2157" i="42"/>
  <c r="B643" i="103" s="1"/>
  <c r="B2158" i="42"/>
  <c r="B644" i="103" s="1"/>
  <c r="B2160" i="42"/>
  <c r="B655" i="103" s="1"/>
  <c r="B2161" i="42"/>
  <c r="B656" i="103" s="1"/>
  <c r="B2162" i="42"/>
  <c r="B657" i="103" s="1"/>
  <c r="B2163" i="42"/>
  <c r="B658" i="103" s="1"/>
  <c r="B2164" i="42"/>
  <c r="B659" i="103" s="1"/>
  <c r="B2165" i="42"/>
  <c r="B660" i="103" s="1"/>
  <c r="B2166" i="42"/>
  <c r="B661" i="103" s="1"/>
  <c r="B2167" i="42"/>
  <c r="B662" i="103" s="1"/>
  <c r="B2168" i="42"/>
  <c r="B663" i="103" s="1"/>
  <c r="B2169" i="42"/>
  <c r="B664" i="103" s="1"/>
  <c r="B2170" i="42"/>
  <c r="B2171" i="42"/>
  <c r="B666" i="103" s="1"/>
  <c r="B2172" i="42"/>
  <c r="B667" i="103" s="1"/>
  <c r="B2173" i="42"/>
  <c r="B668" i="103" s="1"/>
  <c r="B2174" i="42"/>
  <c r="B669" i="103" s="1"/>
  <c r="B2175" i="42"/>
  <c r="B670" i="103" s="1"/>
  <c r="B2176" i="42"/>
  <c r="B671" i="103" s="1"/>
  <c r="B2177" i="42"/>
  <c r="B672" i="103" s="1"/>
  <c r="B2178" i="42"/>
  <c r="B673" i="103" s="1"/>
  <c r="B2179" i="42"/>
  <c r="B674" i="103" s="1"/>
  <c r="B2180" i="42"/>
  <c r="B675" i="103" s="1"/>
  <c r="B2181" i="42"/>
  <c r="B676" i="103" s="1"/>
  <c r="B2207" i="42"/>
  <c r="B2209" i="42"/>
  <c r="B2210" i="42"/>
  <c r="B705" i="103" s="1"/>
  <c r="B2211" i="42"/>
  <c r="B706" i="103" s="1"/>
  <c r="B2212" i="42"/>
  <c r="B707" i="103" s="1"/>
  <c r="B2213" i="42"/>
  <c r="B708" i="103" s="1"/>
  <c r="B2214" i="42"/>
  <c r="B709" i="103" s="1"/>
  <c r="B2215" i="42"/>
  <c r="B710" i="103" s="1"/>
  <c r="B2216" i="42"/>
  <c r="B711" i="103" s="1"/>
  <c r="B2217" i="42"/>
  <c r="B712" i="103" s="1"/>
  <c r="B2218" i="42"/>
  <c r="B713" i="103" s="1"/>
  <c r="B2219" i="42"/>
  <c r="B714" i="103" s="1"/>
  <c r="B2221" i="42"/>
  <c r="B2222" i="42"/>
  <c r="B2223" i="42"/>
  <c r="B2224" i="42"/>
  <c r="B2225" i="42"/>
  <c r="B2226" i="42"/>
  <c r="B2227" i="42"/>
  <c r="B2228" i="42"/>
  <c r="B2229" i="42"/>
  <c r="B2230" i="42"/>
  <c r="B2231" i="42"/>
  <c r="B2233" i="42"/>
  <c r="B2234" i="42"/>
  <c r="B2235" i="42"/>
  <c r="B2236" i="42"/>
  <c r="B2237" i="42"/>
  <c r="B2238" i="42"/>
  <c r="B2239" i="42"/>
  <c r="B2240" i="42"/>
  <c r="B2241" i="42"/>
  <c r="B2242" i="42"/>
  <c r="B2243" i="42"/>
  <c r="B2244" i="42"/>
  <c r="B2245" i="42"/>
  <c r="B2247" i="42"/>
  <c r="B2248" i="42"/>
  <c r="B2249" i="42"/>
  <c r="B2250" i="42"/>
  <c r="B2251" i="42"/>
  <c r="B2252" i="42"/>
  <c r="B2253" i="42"/>
  <c r="B2255" i="42"/>
  <c r="B725" i="103" s="1"/>
  <c r="B2256" i="42"/>
  <c r="B2257" i="42"/>
  <c r="B727" i="103" s="1"/>
  <c r="B2258" i="42"/>
  <c r="B728" i="103" s="1"/>
  <c r="B2259" i="42"/>
  <c r="B729" i="103" s="1"/>
  <c r="B2260" i="42"/>
  <c r="B730" i="103" s="1"/>
  <c r="B2262" i="42"/>
  <c r="B741" i="103" s="1"/>
  <c r="B2263" i="42"/>
  <c r="B742" i="103" s="1"/>
  <c r="B2264" i="42"/>
  <c r="B743" i="103" s="1"/>
  <c r="B2265" i="42"/>
  <c r="B744" i="103" s="1"/>
  <c r="B2267" i="42"/>
  <c r="B755" i="103" s="1"/>
  <c r="B2268" i="42"/>
  <c r="B756" i="103" s="1"/>
  <c r="B2269" i="42"/>
  <c r="B757" i="103" s="1"/>
  <c r="B2271" i="42"/>
  <c r="B2272" i="42"/>
  <c r="B2273" i="42"/>
  <c r="B2274" i="42"/>
  <c r="B2275" i="42"/>
  <c r="B2277" i="42"/>
  <c r="B2278" i="42"/>
  <c r="B2279" i="42"/>
  <c r="B2280" i="42"/>
  <c r="B2282" i="42"/>
  <c r="B768" i="103" s="1"/>
  <c r="B2283" i="42"/>
  <c r="B769" i="103" s="1"/>
  <c r="B2284" i="42"/>
  <c r="B770" i="103" s="1"/>
  <c r="B2285" i="42"/>
  <c r="B771" i="103" s="1"/>
  <c r="B2286" i="42"/>
  <c r="B772" i="103" s="1"/>
  <c r="B2287" i="42"/>
  <c r="B773" i="103" s="1"/>
  <c r="B2288" i="42"/>
  <c r="B774" i="103" s="1"/>
  <c r="B2289" i="42"/>
  <c r="B775" i="103" s="1"/>
  <c r="B2290" i="42"/>
  <c r="B776" i="103" s="1"/>
  <c r="B2291" i="42"/>
  <c r="B777" i="103" s="1"/>
  <c r="B2292" i="42"/>
  <c r="B778" i="103" s="1"/>
  <c r="B2294" i="42"/>
  <c r="B789" i="103" s="1"/>
  <c r="B2295" i="42"/>
  <c r="B790" i="103" s="1"/>
  <c r="B2296" i="42"/>
  <c r="B791" i="103" s="1"/>
  <c r="B2297" i="42"/>
  <c r="B792" i="103" s="1"/>
  <c r="B2298" i="42"/>
  <c r="B793" i="103" s="1"/>
  <c r="B2299" i="42"/>
  <c r="B794" i="103" s="1"/>
  <c r="B2300" i="42"/>
  <c r="B795" i="103" s="1"/>
  <c r="B2301" i="42"/>
  <c r="B796" i="103" s="1"/>
  <c r="B2303" i="42"/>
  <c r="B2304" i="42"/>
  <c r="B2305" i="42"/>
  <c r="B2306" i="42"/>
  <c r="B2307" i="42"/>
  <c r="B2308" i="42"/>
  <c r="B2309" i="42"/>
  <c r="B2310" i="42"/>
  <c r="B2312" i="42"/>
  <c r="B807" i="103" s="1"/>
  <c r="B2313" i="42"/>
  <c r="B808" i="103" s="1"/>
  <c r="B2314" i="42"/>
  <c r="B809" i="103" s="1"/>
  <c r="B2315" i="42"/>
  <c r="B810" i="103" s="1"/>
  <c r="B2316" i="42"/>
  <c r="B811" i="103" s="1"/>
  <c r="B2317" i="42"/>
  <c r="B812" i="103" s="1"/>
  <c r="B2319" i="42"/>
  <c r="B2320" i="42"/>
  <c r="B2322" i="42"/>
  <c r="B2323" i="42"/>
  <c r="B2324" i="42"/>
  <c r="B2325" i="42"/>
  <c r="B2326" i="42"/>
  <c r="B2327" i="42"/>
  <c r="B2328" i="42"/>
  <c r="B2329" i="42"/>
  <c r="B2331" i="42"/>
  <c r="B2332" i="42"/>
  <c r="B2333" i="42"/>
  <c r="B2335" i="42"/>
  <c r="B2336" i="42"/>
  <c r="B2338" i="42"/>
  <c r="B2339" i="42"/>
  <c r="B2341" i="42"/>
  <c r="B2342" i="42"/>
  <c r="B2344" i="42"/>
  <c r="B2345" i="42"/>
  <c r="B2347" i="42"/>
  <c r="B2348" i="42"/>
  <c r="B2350" i="42"/>
  <c r="B2351" i="42"/>
  <c r="B2353" i="42"/>
  <c r="B2354" i="42"/>
  <c r="B2356" i="42"/>
  <c r="B2357" i="42"/>
  <c r="B2359" i="42"/>
  <c r="B2360" i="42"/>
  <c r="B2362" i="42"/>
  <c r="B823" i="103" s="1"/>
  <c r="B2363" i="42"/>
  <c r="B824" i="103" s="1"/>
  <c r="B2365" i="42"/>
  <c r="B2366" i="42"/>
  <c r="B2368" i="42"/>
  <c r="B2369" i="42"/>
  <c r="B2371" i="42"/>
  <c r="B2372" i="42"/>
  <c r="B2374" i="42"/>
  <c r="B2375" i="42"/>
  <c r="B2377" i="42"/>
  <c r="B2378" i="42"/>
  <c r="B2380" i="42"/>
  <c r="B2381" i="42"/>
  <c r="B2383" i="42"/>
  <c r="B835" i="103" s="1"/>
  <c r="B2384" i="42"/>
  <c r="B836" i="103" s="1"/>
  <c r="B2386" i="42"/>
  <c r="B2387" i="42"/>
  <c r="B2389" i="42"/>
  <c r="B2390" i="42"/>
  <c r="B2392" i="42"/>
  <c r="B2393" i="42"/>
  <c r="B2394" i="42"/>
  <c r="B2395" i="42"/>
  <c r="B2396" i="42"/>
  <c r="B2397" i="42"/>
  <c r="B2398" i="42"/>
  <c r="B2399" i="42"/>
  <c r="B2400" i="42"/>
  <c r="B2401" i="42"/>
  <c r="B2402" i="42"/>
  <c r="B2403" i="42"/>
  <c r="B2404" i="42"/>
  <c r="B2405" i="42"/>
  <c r="B2406" i="42"/>
  <c r="B2407" i="42"/>
  <c r="B2408" i="42"/>
  <c r="B2409" i="42"/>
  <c r="B2410" i="42"/>
  <c r="B2411" i="42"/>
  <c r="B2413" i="42"/>
  <c r="B2414" i="42"/>
  <c r="B2415" i="42"/>
  <c r="B2417" i="42"/>
  <c r="B2418" i="42"/>
  <c r="B2419" i="42"/>
  <c r="B2420" i="42"/>
  <c r="B2421" i="42"/>
  <c r="B2422" i="42"/>
  <c r="B2423" i="42"/>
  <c r="B2424" i="42"/>
  <c r="B2425" i="42"/>
  <c r="B2426" i="42"/>
  <c r="B2427" i="42"/>
  <c r="B2428" i="42"/>
  <c r="B2429" i="42"/>
  <c r="B2430" i="42"/>
  <c r="B2431" i="42"/>
  <c r="B2432" i="42"/>
  <c r="B2433" i="42"/>
  <c r="B2434" i="42"/>
  <c r="B2435" i="42"/>
  <c r="B2436" i="42"/>
  <c r="B2438" i="42"/>
  <c r="B2439" i="42"/>
  <c r="B2440" i="42"/>
  <c r="B2441" i="42"/>
  <c r="B2442" i="42"/>
  <c r="B2443" i="42"/>
  <c r="B2444" i="42"/>
  <c r="B2445" i="42"/>
  <c r="B2446" i="42"/>
  <c r="B2448" i="42"/>
  <c r="B2449" i="42"/>
  <c r="B2450" i="42"/>
  <c r="B2451" i="42"/>
  <c r="B2452" i="42"/>
  <c r="B2453" i="42"/>
  <c r="B2454" i="42"/>
  <c r="B2455" i="42"/>
  <c r="B2456" i="42"/>
  <c r="B2458" i="42"/>
  <c r="B2459" i="42"/>
  <c r="B2460" i="42"/>
  <c r="B2461" i="42"/>
  <c r="B2462" i="42"/>
  <c r="B2463" i="42"/>
  <c r="B2464" i="42"/>
  <c r="B2465" i="42"/>
  <c r="B2466" i="42"/>
  <c r="B2468" i="42"/>
  <c r="B2469" i="42"/>
  <c r="B2470" i="42"/>
  <c r="B2471" i="42"/>
  <c r="B2472" i="42"/>
  <c r="B2473" i="42"/>
  <c r="B2474" i="42"/>
  <c r="B2475" i="42"/>
  <c r="B2476" i="42"/>
  <c r="B2478" i="42"/>
  <c r="B2479" i="42"/>
  <c r="B2480" i="42"/>
  <c r="B2481" i="42"/>
  <c r="B2482" i="42"/>
  <c r="B2483" i="42"/>
  <c r="B2484" i="42"/>
  <c r="B2485" i="42"/>
  <c r="B2486" i="42"/>
  <c r="B2488" i="42"/>
  <c r="B2489" i="42"/>
  <c r="B2490" i="42"/>
  <c r="B2491" i="42"/>
  <c r="B2492" i="42"/>
  <c r="B2493" i="42"/>
  <c r="B2494" i="42"/>
  <c r="B2495" i="42"/>
  <c r="B2496" i="42"/>
  <c r="B2498" i="42"/>
  <c r="B2499" i="42"/>
  <c r="B2500" i="42"/>
  <c r="B2501" i="42"/>
  <c r="B2502" i="42"/>
  <c r="B2503" i="42"/>
  <c r="B2504" i="42"/>
  <c r="B2505" i="42"/>
  <c r="B2506" i="42"/>
  <c r="B2507" i="42"/>
  <c r="B2508" i="42"/>
  <c r="B2509" i="42"/>
  <c r="B2511" i="42"/>
  <c r="B2512" i="42"/>
  <c r="B2513" i="42"/>
  <c r="B2514" i="42"/>
  <c r="B2515" i="42"/>
  <c r="B2516" i="42"/>
  <c r="B2517" i="42"/>
  <c r="B2518" i="42"/>
  <c r="B2519" i="42"/>
  <c r="B2520" i="42"/>
  <c r="B2521" i="42"/>
  <c r="B2522" i="42"/>
  <c r="B2523" i="42"/>
  <c r="B2524" i="42"/>
  <c r="B2526" i="42"/>
  <c r="B2527" i="42"/>
  <c r="B2528" i="42"/>
  <c r="B2529" i="42"/>
  <c r="B2531" i="42"/>
  <c r="B2532" i="42"/>
  <c r="B2533" i="42"/>
  <c r="B2534" i="42"/>
  <c r="B2536" i="42"/>
  <c r="B2537" i="42"/>
  <c r="B2538" i="42"/>
  <c r="B2539" i="42"/>
  <c r="B2541" i="42"/>
  <c r="B2542" i="42"/>
  <c r="B2543" i="42"/>
  <c r="B2544" i="42"/>
  <c r="B2546" i="42"/>
  <c r="B2547" i="42"/>
  <c r="B2548" i="42"/>
  <c r="B2549" i="42"/>
  <c r="B2550" i="42"/>
  <c r="B2551" i="42"/>
  <c r="B2552" i="42"/>
  <c r="B2553" i="42"/>
  <c r="B2554" i="42"/>
  <c r="B2555" i="42"/>
  <c r="B2556" i="42"/>
  <c r="B2558" i="42"/>
  <c r="B2559" i="42"/>
  <c r="B2560" i="42"/>
  <c r="B2561" i="42"/>
  <c r="B2562" i="42"/>
  <c r="B2563" i="42"/>
  <c r="B2564" i="42"/>
  <c r="B2566" i="42"/>
  <c r="B2567" i="42"/>
  <c r="B2568" i="42"/>
  <c r="B2569" i="42"/>
  <c r="B2570" i="42"/>
  <c r="B2571" i="42"/>
  <c r="B2572" i="42"/>
  <c r="B2574" i="42"/>
  <c r="B847" i="103" s="1"/>
  <c r="B2575" i="42"/>
  <c r="B848" i="103" s="1"/>
  <c r="B2576" i="42"/>
  <c r="B849" i="103" s="1"/>
  <c r="B2577" i="42"/>
  <c r="B850" i="103" s="1"/>
  <c r="B2578" i="42"/>
  <c r="B851" i="103" s="1"/>
  <c r="B2579" i="42"/>
  <c r="B852" i="103" s="1"/>
  <c r="B2581" i="42"/>
  <c r="B863" i="103" s="1"/>
  <c r="B2582" i="42"/>
  <c r="B864" i="103" s="1"/>
  <c r="B2583" i="42"/>
  <c r="B865" i="103" s="1"/>
  <c r="B2584" i="42"/>
  <c r="B866" i="103" s="1"/>
  <c r="B2585" i="42"/>
  <c r="B2587" i="42"/>
  <c r="B2588" i="42"/>
  <c r="B2589" i="42"/>
  <c r="B2590" i="42"/>
  <c r="B2591" i="42"/>
  <c r="B2592" i="42"/>
  <c r="B2593" i="42"/>
  <c r="B2595" i="42"/>
  <c r="B2596" i="42"/>
  <c r="B2597" i="42"/>
  <c r="B2598" i="42"/>
  <c r="B2599" i="42"/>
  <c r="B2600" i="42"/>
  <c r="B2601" i="42"/>
  <c r="B2602" i="42"/>
  <c r="B2604" i="42"/>
  <c r="B2605" i="42"/>
  <c r="B2606" i="42"/>
  <c r="B2607" i="42"/>
  <c r="B2608" i="42"/>
  <c r="B2609" i="42"/>
  <c r="B2610" i="42"/>
  <c r="B2612" i="42"/>
  <c r="B2613" i="42"/>
  <c r="B2614" i="42"/>
  <c r="B2615" i="42"/>
  <c r="B2616" i="42"/>
  <c r="B2617" i="42"/>
  <c r="B2618" i="42"/>
  <c r="B2619" i="42"/>
  <c r="B2620" i="42"/>
  <c r="B2621" i="42"/>
  <c r="B2622" i="42"/>
  <c r="B2623" i="42"/>
  <c r="B2624" i="42"/>
  <c r="B2625" i="42"/>
  <c r="B2626" i="42"/>
  <c r="B2627" i="42"/>
  <c r="B2628" i="42"/>
  <c r="B2630" i="42"/>
  <c r="B2631" i="42"/>
  <c r="B2632" i="42"/>
  <c r="B2633" i="42"/>
  <c r="B2634" i="42"/>
  <c r="B2635" i="42"/>
  <c r="B2636" i="42"/>
  <c r="B2637" i="42"/>
  <c r="B2638" i="42"/>
  <c r="B2639" i="42"/>
  <c r="B2641" i="42"/>
  <c r="B2642" i="42"/>
  <c r="B2643" i="42"/>
  <c r="B2644" i="42"/>
  <c r="B2645" i="42"/>
  <c r="B2646" i="42"/>
  <c r="B2647" i="42"/>
  <c r="B2648" i="42"/>
  <c r="B2649" i="42"/>
  <c r="B2650" i="42"/>
  <c r="B2651" i="42"/>
  <c r="B2653" i="42"/>
  <c r="B2654" i="42"/>
  <c r="B2655" i="42"/>
  <c r="B2656" i="42"/>
  <c r="B2658" i="42"/>
  <c r="B878" i="103" s="1"/>
  <c r="B2659" i="42"/>
  <c r="B879" i="103" s="1"/>
  <c r="B2660" i="42"/>
  <c r="B880" i="103" s="1"/>
  <c r="B2661" i="42"/>
  <c r="B881" i="103" s="1"/>
  <c r="B2663" i="42"/>
  <c r="B2664" i="42"/>
  <c r="B2665" i="42"/>
  <c r="B2667" i="42"/>
  <c r="B2668" i="42"/>
  <c r="B2669" i="42"/>
  <c r="B2670" i="42"/>
  <c r="B2671" i="42"/>
  <c r="B2673" i="42"/>
  <c r="B2674" i="42"/>
  <c r="B2675" i="42"/>
  <c r="B894" i="103" s="1"/>
  <c r="B2676" i="42"/>
  <c r="B895" i="103" s="1"/>
  <c r="B2677" i="42"/>
  <c r="B2678" i="42"/>
  <c r="B2680" i="42"/>
  <c r="B2681" i="42"/>
  <c r="B2682" i="42"/>
  <c r="B2683" i="42"/>
  <c r="B2684" i="42"/>
  <c r="B2685" i="42"/>
  <c r="B2686" i="42"/>
  <c r="B2687" i="42"/>
  <c r="B2688" i="42"/>
  <c r="B2689" i="42"/>
  <c r="B2690" i="42"/>
  <c r="B2692" i="42"/>
  <c r="B2693" i="42"/>
  <c r="B2695" i="42"/>
  <c r="B2696" i="42"/>
  <c r="B2698" i="42"/>
  <c r="B2699" i="42"/>
  <c r="B2700" i="42"/>
  <c r="B2701" i="42"/>
  <c r="B2702" i="42"/>
  <c r="B2703" i="42"/>
  <c r="B2704" i="42"/>
  <c r="B2705" i="42"/>
  <c r="B2706" i="42"/>
  <c r="B2707" i="42"/>
  <c r="B2708" i="42"/>
  <c r="B2709" i="42"/>
  <c r="B2737" i="42"/>
  <c r="B2738" i="42"/>
  <c r="B2739" i="42"/>
  <c r="B2740" i="42"/>
  <c r="B2741" i="42"/>
  <c r="B2742" i="42"/>
  <c r="B2743" i="42"/>
  <c r="B2745" i="42"/>
  <c r="B2746" i="42"/>
  <c r="B2747" i="42"/>
  <c r="B2748" i="42"/>
  <c r="B2749" i="42"/>
  <c r="B2750" i="42"/>
  <c r="B2751" i="42"/>
  <c r="B2752" i="42"/>
  <c r="B2754" i="42"/>
  <c r="B2755" i="42"/>
  <c r="B2757" i="42"/>
  <c r="B2758" i="42"/>
  <c r="B2759" i="42"/>
  <c r="B2760" i="42"/>
  <c r="B2761" i="42"/>
  <c r="B2762" i="42"/>
  <c r="B2763" i="42"/>
  <c r="B2765" i="42"/>
  <c r="B2766" i="42"/>
  <c r="B2768" i="42"/>
  <c r="B2769" i="42"/>
  <c r="B2770" i="42"/>
  <c r="B2771" i="42"/>
  <c r="B2772" i="42"/>
  <c r="B2773" i="42"/>
  <c r="B2774" i="42"/>
  <c r="B2775" i="42"/>
  <c r="B2776" i="42"/>
  <c r="B2777" i="42"/>
  <c r="B2778" i="42"/>
  <c r="B2779" i="42"/>
  <c r="B2792" i="42"/>
  <c r="B2793" i="42"/>
  <c r="B2794" i="42"/>
  <c r="B2795" i="42"/>
  <c r="B2796" i="42"/>
  <c r="B2797" i="42"/>
  <c r="B2798" i="42"/>
  <c r="B2799" i="42"/>
  <c r="B2800" i="42"/>
  <c r="B2802" i="42"/>
  <c r="B2803" i="42"/>
  <c r="B2804" i="42"/>
  <c r="B2805" i="42"/>
  <c r="B2806" i="42"/>
  <c r="B2807" i="42"/>
  <c r="B2808" i="42"/>
  <c r="B2809" i="42"/>
  <c r="B2810" i="42"/>
  <c r="B2811" i="42"/>
  <c r="B2812" i="42"/>
  <c r="B2813" i="42"/>
  <c r="B2815" i="42"/>
  <c r="B2816" i="42"/>
  <c r="B2817" i="42"/>
  <c r="B2818" i="42"/>
  <c r="B2820" i="42"/>
  <c r="B908" i="103" s="1"/>
  <c r="B2821" i="42"/>
  <c r="B909" i="103" s="1"/>
  <c r="B2822" i="42"/>
  <c r="B910" i="103" s="1"/>
  <c r="B2823" i="42"/>
  <c r="B911" i="103" s="1"/>
  <c r="B2825" i="42"/>
  <c r="B922" i="103" s="1"/>
  <c r="B2826" i="42"/>
  <c r="B923" i="103" s="1"/>
  <c r="B2827" i="42"/>
  <c r="B924" i="103" s="1"/>
  <c r="B2828" i="42"/>
  <c r="B925" i="103" s="1"/>
  <c r="B2830" i="42"/>
  <c r="B2831" i="42"/>
  <c r="B2832" i="42"/>
  <c r="B2834" i="42"/>
  <c r="B2835" i="42"/>
  <c r="B2836" i="42"/>
  <c r="B2838" i="42"/>
  <c r="B2839" i="42"/>
  <c r="B2840" i="42"/>
  <c r="B2841" i="42"/>
  <c r="B2843" i="42"/>
  <c r="B2844" i="42"/>
  <c r="B2846" i="42"/>
  <c r="B2847" i="42"/>
  <c r="B2848" i="42"/>
  <c r="B2849" i="42"/>
  <c r="B2850" i="42"/>
  <c r="B2851" i="42"/>
  <c r="B2853" i="42"/>
  <c r="B936" i="103" s="1"/>
  <c r="B2854" i="42"/>
  <c r="B937" i="103" s="1"/>
  <c r="B2855" i="42"/>
  <c r="B938" i="103" s="1"/>
  <c r="B2856" i="42"/>
  <c r="B939" i="103" s="1"/>
  <c r="B2857" i="42"/>
  <c r="B2858" i="42"/>
  <c r="B941" i="103" s="1"/>
  <c r="B2859" i="42"/>
  <c r="B942" i="103" s="1"/>
  <c r="B2860" i="42"/>
  <c r="B943" i="103" s="1"/>
  <c r="B2861" i="42"/>
  <c r="B944" i="103" s="1"/>
  <c r="B2862" i="42"/>
  <c r="B945" i="103" s="1"/>
  <c r="B2863" i="42"/>
  <c r="B946" i="103" s="1"/>
  <c r="B2864" i="42"/>
  <c r="B947" i="103" s="1"/>
  <c r="B2865" i="42"/>
  <c r="B948" i="103" s="1"/>
  <c r="B2866" i="42"/>
  <c r="B949" i="103" s="1"/>
  <c r="B2868" i="42"/>
  <c r="B2869" i="42"/>
  <c r="B2870" i="42"/>
  <c r="B2871" i="42"/>
  <c r="B2872" i="42"/>
  <c r="B2874" i="42"/>
  <c r="B2875" i="42"/>
  <c r="B2876" i="42"/>
  <c r="B2877" i="42"/>
  <c r="B2878" i="42"/>
  <c r="B2880" i="42"/>
  <c r="B960" i="103" s="1"/>
  <c r="B2881" i="42"/>
  <c r="B961" i="103" s="1"/>
  <c r="B2882" i="42"/>
  <c r="B962" i="103" s="1"/>
  <c r="B2883" i="42"/>
  <c r="B963" i="103" s="1"/>
  <c r="B2884" i="42"/>
  <c r="B964" i="103" s="1"/>
  <c r="B2886" i="42"/>
  <c r="B975" i="103" s="1"/>
  <c r="B2887" i="42"/>
  <c r="B976" i="103" s="1"/>
  <c r="B2888" i="42"/>
  <c r="B977" i="103" s="1"/>
  <c r="B2889" i="42"/>
  <c r="B978" i="103" s="1"/>
  <c r="B2890" i="42"/>
  <c r="B979" i="103" s="1"/>
  <c r="B2892" i="42"/>
  <c r="B990" i="103" s="1"/>
  <c r="B2893" i="42"/>
  <c r="B991" i="103" s="1"/>
  <c r="B2894" i="42"/>
  <c r="B992" i="103" s="1"/>
  <c r="B2895" i="42"/>
  <c r="B2896" i="42"/>
  <c r="B994" i="103" s="1"/>
  <c r="B2898" i="42"/>
  <c r="B1005" i="103" s="1"/>
  <c r="B2899" i="42"/>
  <c r="B1006" i="103" s="1"/>
  <c r="B2900" i="42"/>
  <c r="B1007" i="103" s="1"/>
  <c r="B2901" i="42"/>
  <c r="B1008" i="103" s="1"/>
  <c r="B2902" i="42"/>
  <c r="B1009" i="103" s="1"/>
  <c r="B2904" i="42"/>
  <c r="B2905" i="42"/>
  <c r="B2906" i="42"/>
  <c r="B2907" i="42"/>
  <c r="B2908" i="42"/>
  <c r="B2910" i="42"/>
  <c r="B1020" i="103" s="1"/>
  <c r="B2911" i="42"/>
  <c r="B1021" i="103" s="1"/>
  <c r="B2912" i="42"/>
  <c r="B1022" i="103" s="1"/>
  <c r="B2913" i="42"/>
  <c r="B1023" i="103" s="1"/>
  <c r="B2914" i="42"/>
  <c r="B1024" i="103" s="1"/>
  <c r="B2916" i="42"/>
  <c r="B1035" i="103" s="1"/>
  <c r="B2917" i="42"/>
  <c r="B2918" i="42"/>
  <c r="B1037" i="103" s="1"/>
  <c r="B2919" i="42"/>
  <c r="B1038" i="103" s="1"/>
  <c r="B2920" i="42"/>
  <c r="B1039" i="103" s="1"/>
  <c r="B2922" i="42"/>
  <c r="B1050" i="103" s="1"/>
  <c r="B2923" i="42"/>
  <c r="B1051" i="103" s="1"/>
  <c r="B2924" i="42"/>
  <c r="B1052" i="103" s="1"/>
  <c r="B2925" i="42"/>
  <c r="B1053" i="103" s="1"/>
  <c r="B2926" i="42"/>
  <c r="B2928" i="42"/>
  <c r="B1065" i="103" s="1"/>
  <c r="B2929" i="42"/>
  <c r="B1066" i="103" s="1"/>
  <c r="B2930" i="42"/>
  <c r="B1067" i="103" s="1"/>
  <c r="B2931" i="42"/>
  <c r="B1068" i="103" s="1"/>
  <c r="B2932" i="42"/>
  <c r="B1069" i="103" s="1"/>
  <c r="B2934" i="42"/>
  <c r="B1080" i="103" s="1"/>
  <c r="B2935" i="42"/>
  <c r="B1081" i="103" s="1"/>
  <c r="B2936" i="42"/>
  <c r="B1082" i="103" s="1"/>
  <c r="B2937" i="42"/>
  <c r="B1083" i="103" s="1"/>
  <c r="B2938" i="42"/>
  <c r="B1084" i="103" s="1"/>
  <c r="B2939" i="42"/>
  <c r="B1085" i="103" s="1"/>
  <c r="B2940" i="42"/>
  <c r="B1086" i="103" s="1"/>
  <c r="B2941" i="42"/>
  <c r="B1087" i="103" s="1"/>
  <c r="B2942" i="42"/>
  <c r="B1088" i="103" s="1"/>
  <c r="B2943" i="42"/>
  <c r="B1089" i="103" s="1"/>
  <c r="B2944" i="42"/>
  <c r="B1090" i="103" s="1"/>
  <c r="B2945" i="42"/>
  <c r="B1091" i="103" s="1"/>
  <c r="B2947" i="42"/>
  <c r="B1101" i="103" s="1"/>
  <c r="B2948" i="42"/>
  <c r="B1102" i="103" s="1"/>
  <c r="B2949" i="42"/>
  <c r="B1103" i="103" s="1"/>
  <c r="B2950" i="42"/>
  <c r="B1104" i="103" s="1"/>
  <c r="B2951" i="42"/>
  <c r="B1105" i="103" s="1"/>
  <c r="B2952" i="42"/>
  <c r="B1106" i="103" s="1"/>
  <c r="B2953" i="42"/>
  <c r="B1107" i="103" s="1"/>
  <c r="B2954" i="42"/>
  <c r="B1108" i="103" s="1"/>
  <c r="B2955" i="42"/>
  <c r="B1109" i="103" s="1"/>
  <c r="B2956" i="42"/>
  <c r="B1110" i="103" s="1"/>
  <c r="B2957" i="42"/>
  <c r="B1111" i="103" s="1"/>
  <c r="B2958" i="42"/>
  <c r="B1112" i="103" s="1"/>
  <c r="B2960" i="42"/>
  <c r="B1123" i="103" s="1"/>
  <c r="B2961" i="42"/>
  <c r="B1124" i="103" s="1"/>
  <c r="B2963" i="42"/>
  <c r="B2964" i="42"/>
  <c r="B2966" i="42"/>
  <c r="B2967" i="42"/>
  <c r="B2969" i="42"/>
  <c r="B1135" i="103" s="1"/>
  <c r="B2971" i="42"/>
  <c r="B1146" i="103" s="1"/>
  <c r="B2972" i="42"/>
  <c r="B1147" i="103" s="1"/>
  <c r="B2973" i="42"/>
  <c r="B1148" i="103" s="1"/>
  <c r="B2974" i="42"/>
  <c r="B1149" i="103" s="1"/>
  <c r="B2975" i="42"/>
  <c r="B1150" i="103" s="1"/>
  <c r="B2976" i="42"/>
  <c r="B1151" i="103" s="1"/>
  <c r="B2978" i="42"/>
  <c r="B1162" i="103" s="1"/>
  <c r="B2979" i="42"/>
  <c r="B1163" i="103" s="1"/>
  <c r="B2980" i="42"/>
  <c r="B1164" i="103" s="1"/>
  <c r="B2981" i="42"/>
  <c r="B1165" i="103" s="1"/>
  <c r="B2982" i="42"/>
  <c r="B1166" i="103" s="1"/>
  <c r="B2983" i="42"/>
  <c r="B1167" i="103" s="1"/>
  <c r="B2984" i="42"/>
  <c r="B1168" i="103" s="1"/>
  <c r="B2985" i="42"/>
  <c r="B1169" i="103" s="1"/>
  <c r="B2986" i="42"/>
  <c r="B1170" i="103" s="1"/>
  <c r="B2987" i="42"/>
  <c r="B1171" i="103" s="1"/>
  <c r="B2988" i="42"/>
  <c r="B1172" i="103" s="1"/>
  <c r="B2990" i="42"/>
  <c r="B2991" i="42"/>
  <c r="B2992" i="42"/>
  <c r="B2993" i="42"/>
  <c r="B2995" i="42"/>
  <c r="B2996" i="42"/>
  <c r="B2997" i="42"/>
  <c r="B2998" i="42"/>
  <c r="B2999" i="42"/>
  <c r="B3000" i="42"/>
  <c r="B3001" i="42"/>
  <c r="B3002" i="42"/>
  <c r="B3003" i="42"/>
  <c r="B3004" i="42"/>
  <c r="B3005" i="42"/>
  <c r="B3007" i="42"/>
  <c r="B3008" i="42"/>
  <c r="B3009" i="42"/>
  <c r="B3010" i="42"/>
  <c r="B3011" i="42"/>
  <c r="B3012" i="42"/>
  <c r="B3013" i="42"/>
  <c r="B3014" i="42"/>
  <c r="B3015" i="42"/>
  <c r="B3016" i="42"/>
  <c r="B3018" i="42"/>
  <c r="B1183" i="103" s="1"/>
  <c r="B3019" i="42"/>
  <c r="B1184" i="103" s="1"/>
  <c r="B3020" i="42"/>
  <c r="B1185" i="103" s="1"/>
  <c r="B3021" i="42"/>
  <c r="B1186" i="103" s="1"/>
  <c r="B3022" i="42"/>
  <c r="B1187" i="103" s="1"/>
  <c r="B3023" i="42"/>
  <c r="B1188" i="103" s="1"/>
  <c r="B3024" i="42"/>
  <c r="B1189" i="103" s="1"/>
  <c r="B3025" i="42"/>
  <c r="B1190" i="103" s="1"/>
  <c r="B3027" i="42"/>
  <c r="B1201" i="103" s="1"/>
  <c r="B3028" i="42"/>
  <c r="B1202" i="103" s="1"/>
  <c r="B3030" i="42"/>
  <c r="B1213" i="103" s="1"/>
  <c r="B3031" i="42"/>
  <c r="B1214" i="103" s="1"/>
  <c r="B3032" i="42"/>
  <c r="B1215" i="103" s="1"/>
  <c r="B3033" i="42"/>
  <c r="B1216" i="103" s="1"/>
  <c r="B3034" i="42"/>
  <c r="B1217" i="103" s="1"/>
  <c r="B3035" i="42"/>
  <c r="B1218" i="103" s="1"/>
  <c r="B3036" i="42"/>
  <c r="B1219" i="103" s="1"/>
  <c r="B3037" i="42"/>
  <c r="B1220" i="103" s="1"/>
  <c r="B3039" i="42"/>
  <c r="B1231" i="103" s="1"/>
  <c r="B3040" i="42"/>
  <c r="B1232" i="103" s="1"/>
  <c r="B3042" i="42"/>
  <c r="B1243" i="103" s="1"/>
  <c r="B3043" i="42"/>
  <c r="B1244" i="103" s="1"/>
  <c r="B3044" i="42"/>
  <c r="B1245" i="103" s="1"/>
  <c r="B3045" i="42"/>
  <c r="B1246" i="103" s="1"/>
  <c r="B3046" i="42"/>
  <c r="B1247" i="103" s="1"/>
  <c r="B3047" i="42"/>
  <c r="B1248" i="103" s="1"/>
  <c r="B3048" i="42"/>
  <c r="B1249" i="103" s="1"/>
  <c r="B3050" i="42"/>
  <c r="B3051" i="42"/>
  <c r="B3052" i="42"/>
  <c r="B3053" i="42"/>
  <c r="B3054" i="42"/>
  <c r="B3055" i="42"/>
  <c r="B3057" i="42"/>
  <c r="B1260" i="103" s="1"/>
  <c r="B3058" i="42"/>
  <c r="B1261" i="103" s="1"/>
  <c r="B3059" i="42"/>
  <c r="B1262" i="103" s="1"/>
  <c r="B3060" i="42"/>
  <c r="B1263" i="103" s="1"/>
  <c r="B3062" i="42"/>
  <c r="B1274" i="103" s="1"/>
  <c r="B3063" i="42"/>
  <c r="B1275" i="103" s="1"/>
  <c r="B3065" i="42"/>
  <c r="B1286" i="103" s="1"/>
  <c r="B3066" i="42"/>
  <c r="B1287" i="103" s="1"/>
  <c r="B3068" i="42"/>
  <c r="B1298" i="103" s="1"/>
  <c r="B3069" i="42"/>
  <c r="B1299" i="103" s="1"/>
  <c r="B3071" i="42"/>
  <c r="B1310" i="103" s="1"/>
  <c r="B3072" i="42"/>
  <c r="B1311" i="103" s="1"/>
  <c r="B3073" i="42"/>
  <c r="B1312" i="103" s="1"/>
  <c r="B3074" i="42"/>
  <c r="B1313" i="103" s="1"/>
  <c r="B3075" i="42"/>
  <c r="B1314" i="103" s="1"/>
  <c r="B3076" i="42"/>
  <c r="B1315" i="103" s="1"/>
  <c r="B3077" i="42"/>
  <c r="B1316" i="103" s="1"/>
  <c r="B3078" i="42"/>
  <c r="B1317" i="103" s="1"/>
  <c r="B3079" i="42"/>
  <c r="B1318" i="103" s="1"/>
  <c r="B3080" i="42"/>
  <c r="B1319" i="103" s="1"/>
  <c r="B3081" i="42"/>
  <c r="B1320" i="103" s="1"/>
  <c r="B3082" i="42"/>
  <c r="B1321" i="103" s="1"/>
  <c r="B3083" i="42"/>
  <c r="B1322" i="103" s="1"/>
  <c r="B3084" i="42"/>
  <c r="B1323" i="103" s="1"/>
  <c r="B3086" i="42"/>
  <c r="B1334" i="103" s="1"/>
  <c r="B3087" i="42"/>
  <c r="B1335" i="103" s="1"/>
  <c r="B3088" i="42"/>
  <c r="B1336" i="103" s="1"/>
  <c r="B3089" i="42"/>
  <c r="B1337" i="103" s="1"/>
  <c r="B3090" i="42"/>
  <c r="B1338" i="103" s="1"/>
  <c r="B3091" i="42"/>
  <c r="B1339" i="103" s="1"/>
  <c r="B3092" i="42"/>
  <c r="B1340" i="103" s="1"/>
  <c r="B3093" i="42"/>
  <c r="B1341" i="103" s="1"/>
  <c r="B3094" i="42"/>
  <c r="B1342" i="103" s="1"/>
  <c r="B3096" i="42"/>
  <c r="B1353" i="103" s="1"/>
  <c r="B3097" i="42"/>
  <c r="B1354" i="103" s="1"/>
  <c r="B3099" i="42"/>
  <c r="B1365" i="103" s="1"/>
  <c r="B3100" i="42"/>
  <c r="B1366" i="103" s="1"/>
  <c r="B3101" i="42"/>
  <c r="B1367" i="103" s="1"/>
  <c r="B3102" i="42"/>
  <c r="B1368" i="103" s="1"/>
  <c r="B3103" i="42"/>
  <c r="B1369" i="103" s="1"/>
  <c r="B3105" i="42"/>
  <c r="B1380" i="103" s="1"/>
  <c r="B3106" i="42"/>
  <c r="B1381" i="103" s="1"/>
  <c r="B3107" i="42"/>
  <c r="B1382" i="103" s="1"/>
  <c r="B3108" i="42"/>
  <c r="B1383" i="103" s="1"/>
  <c r="B3109" i="42"/>
  <c r="B1384" i="103" s="1"/>
  <c r="B3110" i="42"/>
  <c r="B1385" i="103" s="1"/>
  <c r="B3112" i="42"/>
  <c r="B3113" i="42"/>
  <c r="B3114" i="42"/>
  <c r="B3115" i="42"/>
  <c r="B3117" i="42"/>
  <c r="B3118" i="42"/>
  <c r="B3119" i="42"/>
  <c r="B3120" i="42"/>
  <c r="B3122" i="42"/>
  <c r="B3123" i="42"/>
  <c r="B3124" i="42"/>
  <c r="B3125" i="42"/>
  <c r="B3127" i="42"/>
  <c r="B3128" i="42"/>
  <c r="B3129" i="42"/>
  <c r="B3130" i="42"/>
  <c r="B3132" i="42"/>
  <c r="B3133" i="42"/>
  <c r="B3134" i="42"/>
  <c r="B3135" i="42"/>
  <c r="B3136" i="42"/>
  <c r="B3137" i="42"/>
  <c r="B3138" i="42"/>
  <c r="B3139" i="42"/>
  <c r="B3140" i="42"/>
  <c r="B3141" i="42"/>
  <c r="B3142" i="42"/>
  <c r="B3143" i="42"/>
  <c r="B3145" i="42"/>
  <c r="B3146" i="42"/>
  <c r="B3147" i="42"/>
  <c r="B3148" i="42"/>
  <c r="B3149" i="42"/>
  <c r="B3150" i="42"/>
  <c r="B3151" i="42"/>
  <c r="B3152" i="42"/>
  <c r="B3153" i="42"/>
  <c r="B3155" i="42"/>
  <c r="B3156" i="42"/>
  <c r="B3157" i="42"/>
  <c r="B3158" i="42"/>
  <c r="B3159" i="42"/>
  <c r="B3160" i="42"/>
  <c r="B3161" i="42"/>
  <c r="B3162" i="42"/>
  <c r="B3163" i="42"/>
  <c r="B3164" i="42"/>
  <c r="B3165" i="42"/>
  <c r="B3167" i="42"/>
  <c r="B1396" i="103" s="1"/>
  <c r="B3168" i="42"/>
  <c r="B1397" i="103" s="1"/>
  <c r="B3169" i="42"/>
  <c r="B1398" i="103" s="1"/>
  <c r="B3170" i="42"/>
  <c r="B1399" i="103" s="1"/>
  <c r="B3171" i="42"/>
  <c r="B1400" i="103" s="1"/>
  <c r="B3172" i="42"/>
  <c r="B1401" i="103" s="1"/>
  <c r="B3173" i="42"/>
  <c r="B1402" i="103" s="1"/>
  <c r="B3174" i="42"/>
  <c r="B1403" i="103" s="1"/>
  <c r="B3176" i="42"/>
  <c r="B1414" i="103" s="1"/>
  <c r="B3177" i="42"/>
  <c r="B1415" i="103" s="1"/>
  <c r="B3178" i="42"/>
  <c r="B1416" i="103" s="1"/>
  <c r="B3179" i="42"/>
  <c r="B1417" i="103" s="1"/>
  <c r="B3180" i="42"/>
  <c r="B1418" i="103" s="1"/>
  <c r="B3181" i="42"/>
  <c r="B1419" i="103" s="1"/>
  <c r="B3182" i="42"/>
  <c r="B1420" i="103" s="1"/>
  <c r="B3183" i="42"/>
  <c r="B1421" i="103" s="1"/>
  <c r="B3185" i="42"/>
  <c r="B3186" i="42"/>
  <c r="B3187" i="42"/>
  <c r="B3189" i="42"/>
  <c r="B1432" i="103" s="1"/>
  <c r="B3190" i="42"/>
  <c r="B1433" i="103" s="1"/>
  <c r="B3191" i="42"/>
  <c r="B1434" i="103" s="1"/>
  <c r="B3192" i="42"/>
  <c r="B1435" i="103" s="1"/>
  <c r="B3193" i="42"/>
  <c r="B1436" i="103" s="1"/>
  <c r="B3194" i="42"/>
  <c r="B1437" i="103" s="1"/>
  <c r="B3196" i="42"/>
  <c r="B1448" i="103" s="1"/>
  <c r="B3197" i="42"/>
  <c r="B1449" i="103" s="1"/>
  <c r="B3198" i="42"/>
  <c r="B1450" i="103" s="1"/>
  <c r="B3200" i="42"/>
  <c r="B1461" i="103" s="1"/>
  <c r="B3201" i="42"/>
  <c r="B1462" i="103" s="1"/>
  <c r="B3202" i="42"/>
  <c r="B1463" i="103" s="1"/>
  <c r="B3204" i="42"/>
  <c r="B3205" i="42"/>
  <c r="B3206" i="42"/>
  <c r="B3207" i="42"/>
  <c r="B3208" i="42"/>
  <c r="B3210" i="42"/>
  <c r="B1474" i="103" s="1"/>
  <c r="B3211" i="42"/>
  <c r="B1475" i="103" s="1"/>
  <c r="B3212" i="42"/>
  <c r="B1476" i="103" s="1"/>
  <c r="B3213" i="42"/>
  <c r="B1477" i="103" s="1"/>
  <c r="B3214" i="42"/>
  <c r="B1478" i="103" s="1"/>
  <c r="B3215" i="42"/>
  <c r="B1479" i="103" s="1"/>
  <c r="B3216" i="42"/>
  <c r="B1480" i="103" s="1"/>
  <c r="B3217" i="42"/>
  <c r="B1481" i="103" s="1"/>
  <c r="B3219" i="42"/>
  <c r="B3220" i="42"/>
  <c r="B3222" i="42"/>
  <c r="B3223" i="42"/>
  <c r="B3225" i="42"/>
  <c r="B3226" i="42"/>
  <c r="B3228" i="42"/>
  <c r="B3229" i="42"/>
  <c r="B3230" i="42"/>
  <c r="B3231" i="42"/>
  <c r="B3232" i="42"/>
  <c r="B3233" i="42"/>
  <c r="B3234" i="42"/>
  <c r="B3235" i="42"/>
  <c r="B3236" i="42"/>
  <c r="B3237" i="42"/>
  <c r="B3238" i="42"/>
  <c r="B3239" i="42"/>
  <c r="B3240" i="42"/>
  <c r="B3241" i="42"/>
  <c r="B3242" i="42"/>
  <c r="B3243" i="42"/>
  <c r="B3244" i="42"/>
  <c r="B3245" i="42"/>
  <c r="B3246" i="42"/>
  <c r="B3247" i="42"/>
  <c r="B3248" i="42"/>
  <c r="B3250" i="42"/>
  <c r="B3251" i="42"/>
  <c r="B3252" i="42"/>
  <c r="B3253" i="42"/>
  <c r="B3254" i="42"/>
  <c r="B3255" i="42"/>
  <c r="B3256" i="42"/>
  <c r="B3257" i="42"/>
  <c r="B3258" i="42"/>
  <c r="B3259" i="42"/>
  <c r="B3261" i="42"/>
  <c r="B3262" i="42"/>
  <c r="B3263" i="42"/>
  <c r="B3264" i="42"/>
  <c r="B3265" i="42"/>
  <c r="B3266" i="42"/>
  <c r="B3267" i="42"/>
  <c r="B3268" i="42"/>
  <c r="F2168" i="42"/>
  <c r="F1366" i="42"/>
  <c r="L203" i="12"/>
  <c r="L204" i="12" s="1"/>
  <c r="L62" i="12"/>
  <c r="L54" i="12"/>
  <c r="L53" i="12"/>
  <c r="L52" i="12"/>
  <c r="L51" i="12"/>
  <c r="L50" i="12"/>
  <c r="L49" i="12"/>
  <c r="C15" i="12"/>
  <c r="H2170" i="42"/>
  <c r="G665" i="103" s="1"/>
  <c r="H2168" i="42"/>
  <c r="G663" i="103" s="1"/>
  <c r="H2165" i="42"/>
  <c r="G660" i="103" s="1"/>
  <c r="H2163" i="42"/>
  <c r="G658" i="103" s="1"/>
  <c r="H2161" i="42"/>
  <c r="G656" i="103" s="1"/>
  <c r="H1371" i="42"/>
  <c r="G251" i="103" s="1"/>
  <c r="H1368" i="42"/>
  <c r="G248" i="103" s="1"/>
  <c r="H1366" i="42"/>
  <c r="G246" i="103" s="1"/>
  <c r="H1364" i="42"/>
  <c r="G244" i="103" s="1"/>
  <c r="H163" i="42"/>
  <c r="F177" i="42"/>
  <c r="O176" i="42"/>
  <c r="O175" i="42"/>
  <c r="O174" i="42"/>
  <c r="F173" i="42"/>
  <c r="F172" i="42"/>
  <c r="F171" i="42"/>
  <c r="O170" i="42"/>
  <c r="F170" i="42"/>
  <c r="O169" i="42"/>
  <c r="F169" i="42"/>
  <c r="O168" i="42"/>
  <c r="F168" i="42"/>
  <c r="O167" i="42"/>
  <c r="F167" i="42"/>
  <c r="O166" i="42"/>
  <c r="F166" i="42"/>
  <c r="O165" i="42"/>
  <c r="F165" i="42"/>
  <c r="F164" i="42"/>
  <c r="C163" i="42"/>
  <c r="H3124" i="42"/>
  <c r="G3247" i="98" s="1"/>
  <c r="H3122" i="42"/>
  <c r="G3245" i="98" s="1"/>
  <c r="F3121" i="42"/>
  <c r="F3125" i="42"/>
  <c r="F3123" i="42"/>
  <c r="F3122" i="42"/>
  <c r="C3121" i="42"/>
  <c r="F2535" i="42"/>
  <c r="F2539" i="42"/>
  <c r="F2537" i="42"/>
  <c r="F2536" i="42"/>
  <c r="C2535" i="42"/>
  <c r="H1723" i="42"/>
  <c r="G2475" i="98" s="1"/>
  <c r="F1724" i="42"/>
  <c r="O1723" i="42"/>
  <c r="F1722" i="42"/>
  <c r="C1721" i="42"/>
  <c r="F1689" i="42"/>
  <c r="F1696" i="42"/>
  <c r="F1695" i="42"/>
  <c r="F1694" i="42"/>
  <c r="H1693" i="42"/>
  <c r="F1693" i="42"/>
  <c r="H1692" i="42"/>
  <c r="F1692" i="42"/>
  <c r="H1691" i="42"/>
  <c r="G2426" i="98" s="1"/>
  <c r="F1691" i="42"/>
  <c r="F1690" i="42"/>
  <c r="C1689" i="42"/>
  <c r="H1687" i="42"/>
  <c r="H1680" i="42"/>
  <c r="H1679" i="42"/>
  <c r="H1678" i="42"/>
  <c r="F1685" i="42"/>
  <c r="F1684" i="42"/>
  <c r="F1683" i="42"/>
  <c r="F1682" i="42"/>
  <c r="F1681" i="42"/>
  <c r="F1680" i="42"/>
  <c r="F1679" i="42"/>
  <c r="F1678" i="42"/>
  <c r="F1677" i="42"/>
  <c r="C1676" i="42"/>
  <c r="H131" i="42"/>
  <c r="G37" i="103" s="1"/>
  <c r="F131" i="42"/>
  <c r="F130" i="42"/>
  <c r="F136" i="42"/>
  <c r="F133" i="42"/>
  <c r="F132" i="42"/>
  <c r="C129" i="42"/>
  <c r="C35" i="103" s="1"/>
  <c r="M1179" i="81"/>
  <c r="M1180" i="81"/>
  <c r="M1181" i="81"/>
  <c r="M1182" i="81"/>
  <c r="M1183" i="81"/>
  <c r="M352" i="81"/>
  <c r="M353" i="81"/>
  <c r="H1674" i="42"/>
  <c r="F1667" i="42"/>
  <c r="F30" i="42"/>
  <c r="F45" i="42"/>
  <c r="O44" i="42"/>
  <c r="O43" i="42"/>
  <c r="O42" i="42"/>
  <c r="F41" i="42"/>
  <c r="F40" i="42"/>
  <c r="B2" i="42"/>
  <c r="E52" i="7"/>
  <c r="E58" i="7"/>
  <c r="E65" i="7"/>
  <c r="E71" i="7"/>
  <c r="E77" i="7"/>
  <c r="E93" i="7"/>
  <c r="E99" i="7"/>
  <c r="E105" i="7"/>
  <c r="E111" i="7"/>
  <c r="E113" i="7"/>
  <c r="E134" i="7"/>
  <c r="E140" i="7"/>
  <c r="E146" i="7"/>
  <c r="E152" i="7"/>
  <c r="E158" i="7"/>
  <c r="B737" i="90"/>
  <c r="F1676" i="42"/>
  <c r="C19" i="12"/>
  <c r="C20" i="12"/>
  <c r="C21" i="12"/>
  <c r="C22" i="12"/>
  <c r="C23" i="12"/>
  <c r="E81" i="7" s="1"/>
  <c r="C24" i="12"/>
  <c r="C26" i="12"/>
  <c r="C27" i="12"/>
  <c r="C28" i="12"/>
  <c r="E117" i="7" s="1"/>
  <c r="C29" i="12"/>
  <c r="C30" i="12"/>
  <c r="C31" i="12"/>
  <c r="C32" i="12"/>
  <c r="C35" i="12"/>
  <c r="C36" i="12"/>
  <c r="C37" i="12"/>
  <c r="C38" i="12"/>
  <c r="C39" i="12"/>
  <c r="C40" i="12"/>
  <c r="C41" i="12"/>
  <c r="C42" i="12"/>
  <c r="C43" i="12"/>
  <c r="C44" i="12"/>
  <c r="C45" i="12"/>
  <c r="C46" i="12"/>
  <c r="C47" i="12"/>
  <c r="C49" i="12"/>
  <c r="C50" i="12"/>
  <c r="C51" i="12"/>
  <c r="C52" i="12"/>
  <c r="C53" i="12"/>
  <c r="C54" i="12"/>
  <c r="C55" i="12"/>
  <c r="C56" i="12"/>
  <c r="C57" i="12"/>
  <c r="C58" i="12"/>
  <c r="C59" i="12"/>
  <c r="C60" i="12"/>
  <c r="C61" i="12"/>
  <c r="C62" i="12"/>
  <c r="C63" i="12"/>
  <c r="C64" i="12"/>
  <c r="C65" i="12"/>
  <c r="C66" i="12"/>
  <c r="C67" i="12"/>
  <c r="C68" i="12"/>
  <c r="C79" i="12"/>
  <c r="C80" i="12"/>
  <c r="C85" i="12"/>
  <c r="C86" i="12"/>
  <c r="C87" i="12"/>
  <c r="C88" i="12"/>
  <c r="C91" i="12"/>
  <c r="C92" i="12"/>
  <c r="C93" i="12"/>
  <c r="C94" i="12"/>
  <c r="C95" i="12"/>
  <c r="C96" i="12"/>
  <c r="C97" i="12"/>
  <c r="C98" i="12"/>
  <c r="C100" i="12"/>
  <c r="C101" i="12"/>
  <c r="C102" i="12"/>
  <c r="C104" i="12"/>
  <c r="C105" i="12"/>
  <c r="C106" i="12"/>
  <c r="C107" i="12"/>
  <c r="C108" i="12"/>
  <c r="C109" i="12"/>
  <c r="C110" i="12"/>
  <c r="C111" i="12"/>
  <c r="C112" i="12"/>
  <c r="C113" i="12"/>
  <c r="C114" i="12"/>
  <c r="C115" i="12"/>
  <c r="C116" i="12"/>
  <c r="C117" i="12"/>
  <c r="C118" i="12"/>
  <c r="C119" i="12"/>
  <c r="C120" i="12"/>
  <c r="C121" i="12"/>
  <c r="C122" i="12"/>
  <c r="C123" i="12"/>
  <c r="C125" i="12"/>
  <c r="C126" i="12"/>
  <c r="C127" i="12"/>
  <c r="C128" i="12"/>
  <c r="C129" i="12"/>
  <c r="C130" i="12"/>
  <c r="C131" i="12"/>
  <c r="C133" i="12"/>
  <c r="C134" i="12"/>
  <c r="C135" i="12"/>
  <c r="C136" i="12"/>
  <c r="C138" i="12"/>
  <c r="C140" i="12"/>
  <c r="C141" i="12"/>
  <c r="C142" i="12"/>
  <c r="C144" i="12"/>
  <c r="C145" i="12"/>
  <c r="C146" i="12"/>
  <c r="C147" i="12"/>
  <c r="C148" i="12"/>
  <c r="C149" i="12"/>
  <c r="C150" i="12"/>
  <c r="C151" i="12"/>
  <c r="C152" i="12"/>
  <c r="C156" i="12"/>
  <c r="E98" i="7" s="1"/>
  <c r="C157" i="12"/>
  <c r="C158" i="12"/>
  <c r="C159" i="12"/>
  <c r="C160" i="12"/>
  <c r="C161" i="12"/>
  <c r="C162" i="12"/>
  <c r="C163" i="12"/>
  <c r="C164" i="12"/>
  <c r="C165" i="12"/>
  <c r="C166" i="12"/>
  <c r="C167" i="12"/>
  <c r="C168" i="12"/>
  <c r="C169" i="12"/>
  <c r="C170" i="12"/>
  <c r="C171" i="12"/>
  <c r="C172" i="12"/>
  <c r="C173" i="12"/>
  <c r="C174" i="12"/>
  <c r="C175" i="12"/>
  <c r="C181" i="12"/>
  <c r="C182" i="12"/>
  <c r="C183" i="12"/>
  <c r="C184" i="12"/>
  <c r="C185" i="12"/>
  <c r="C186" i="12"/>
  <c r="C187" i="12"/>
  <c r="C188" i="12"/>
  <c r="C189" i="12"/>
  <c r="C190" i="12"/>
  <c r="C191" i="12"/>
  <c r="C192" i="12"/>
  <c r="C193" i="12"/>
  <c r="C194" i="12"/>
  <c r="C195" i="12"/>
  <c r="C196" i="12"/>
  <c r="C197" i="12"/>
  <c r="C200" i="12"/>
  <c r="C201" i="12"/>
  <c r="C202" i="12"/>
  <c r="C203" i="12"/>
  <c r="C204" i="12"/>
  <c r="C205" i="12"/>
  <c r="C206" i="12"/>
  <c r="C207" i="12"/>
  <c r="C208" i="12"/>
  <c r="C209" i="12"/>
  <c r="C210" i="12"/>
  <c r="C211" i="12"/>
  <c r="C212" i="12"/>
  <c r="C213" i="12"/>
  <c r="C214" i="12"/>
  <c r="C215" i="12"/>
  <c r="C216" i="12"/>
  <c r="C217" i="12"/>
  <c r="C218" i="12"/>
  <c r="C219" i="12"/>
  <c r="C220" i="12"/>
  <c r="C221" i="12"/>
  <c r="C222" i="12"/>
  <c r="C223" i="12"/>
  <c r="C224" i="12"/>
  <c r="C225" i="12"/>
  <c r="C226" i="12"/>
  <c r="C227" i="12"/>
  <c r="C228" i="12"/>
  <c r="C229" i="12"/>
  <c r="C230" i="12"/>
  <c r="C231" i="12"/>
  <c r="C232" i="12"/>
  <c r="C233" i="12"/>
  <c r="C234" i="12"/>
  <c r="C235" i="12"/>
  <c r="C236" i="12"/>
  <c r="C237" i="12"/>
  <c r="C238" i="12"/>
  <c r="C242" i="12"/>
  <c r="C243" i="12"/>
  <c r="C244" i="12"/>
  <c r="C245" i="12"/>
  <c r="C246" i="12"/>
  <c r="C247" i="12"/>
  <c r="C248" i="12"/>
  <c r="C249" i="12"/>
  <c r="C250" i="12"/>
  <c r="C251" i="12"/>
  <c r="C252" i="12"/>
  <c r="C253" i="12"/>
  <c r="C254" i="12"/>
  <c r="C255" i="12"/>
  <c r="C256" i="12"/>
  <c r="C13" i="12"/>
  <c r="C14" i="12"/>
  <c r="C18" i="12"/>
  <c r="C12" i="12"/>
  <c r="C11" i="12"/>
  <c r="F10" i="42"/>
  <c r="F11" i="42"/>
  <c r="F3271" i="42"/>
  <c r="F3270" i="42"/>
  <c r="F3269" i="42"/>
  <c r="F3268" i="42"/>
  <c r="F3265" i="42"/>
  <c r="F3264" i="42"/>
  <c r="F3263" i="42"/>
  <c r="F3262" i="42"/>
  <c r="F3261" i="42"/>
  <c r="F3260" i="42"/>
  <c r="F3259" i="42"/>
  <c r="F3257" i="42"/>
  <c r="F3256" i="42"/>
  <c r="F3255" i="42"/>
  <c r="F3253" i="42"/>
  <c r="F3252" i="42"/>
  <c r="F3251" i="42"/>
  <c r="F3250" i="42"/>
  <c r="F3249" i="42"/>
  <c r="F3243" i="42"/>
  <c r="F3242" i="42"/>
  <c r="F3241" i="42"/>
  <c r="F3240" i="42"/>
  <c r="F3239" i="42"/>
  <c r="F3238" i="42"/>
  <c r="F3237" i="42"/>
  <c r="F3236" i="42"/>
  <c r="F3235" i="42"/>
  <c r="F3234" i="42"/>
  <c r="F3233" i="42"/>
  <c r="F3232" i="42"/>
  <c r="F3231" i="42"/>
  <c r="F3230" i="42"/>
  <c r="F3229" i="42"/>
  <c r="F3228" i="42"/>
  <c r="F3227" i="42"/>
  <c r="F3226" i="42"/>
  <c r="F3225" i="42"/>
  <c r="F3224" i="42"/>
  <c r="F3223" i="42"/>
  <c r="F3222" i="42"/>
  <c r="F3221" i="42"/>
  <c r="F3220" i="42"/>
  <c r="F3219" i="42"/>
  <c r="F3218" i="42"/>
  <c r="F3216" i="42"/>
  <c r="F3215" i="42"/>
  <c r="F3211" i="42"/>
  <c r="F3210" i="42"/>
  <c r="F3209" i="42"/>
  <c r="F3207" i="42"/>
  <c r="F3205" i="42"/>
  <c r="F3204" i="42"/>
  <c r="F3203" i="42"/>
  <c r="F3200" i="42"/>
  <c r="F3196" i="42"/>
  <c r="F3194" i="42"/>
  <c r="F3190" i="42"/>
  <c r="F3189" i="42"/>
  <c r="F3188" i="42"/>
  <c r="F3187" i="42"/>
  <c r="F3186" i="42"/>
  <c r="F3185" i="42"/>
  <c r="F3184" i="42"/>
  <c r="F3183" i="42"/>
  <c r="F3180" i="42"/>
  <c r="F3179" i="42"/>
  <c r="F3178" i="42"/>
  <c r="F3176" i="42"/>
  <c r="F3175" i="42"/>
  <c r="F3174" i="42"/>
  <c r="F3171" i="42"/>
  <c r="F3170" i="42"/>
  <c r="F3169" i="42"/>
  <c r="F3167" i="42"/>
  <c r="F3166" i="42"/>
  <c r="F3165" i="42"/>
  <c r="F3162" i="42"/>
  <c r="F3161" i="42"/>
  <c r="F3160" i="42"/>
  <c r="F3159" i="42"/>
  <c r="F3158" i="42"/>
  <c r="F3157" i="42"/>
  <c r="F3155" i="42"/>
  <c r="F3154" i="42"/>
  <c r="F3153" i="42"/>
  <c r="F3149" i="42"/>
  <c r="F3148" i="42"/>
  <c r="F3147" i="42"/>
  <c r="F3145" i="42"/>
  <c r="F3144" i="42"/>
  <c r="F3140" i="42"/>
  <c r="F3139" i="42"/>
  <c r="F3138" i="42"/>
  <c r="F3137" i="42"/>
  <c r="F3136" i="42"/>
  <c r="F3135" i="42"/>
  <c r="F3134" i="42"/>
  <c r="F3133" i="42"/>
  <c r="F3132" i="42"/>
  <c r="F3130" i="42"/>
  <c r="F3128" i="42"/>
  <c r="F3127" i="42"/>
  <c r="F3126" i="42"/>
  <c r="F3120" i="42"/>
  <c r="F3118" i="42"/>
  <c r="F3117" i="42"/>
  <c r="F3116" i="42"/>
  <c r="F3115" i="42"/>
  <c r="F3113" i="42"/>
  <c r="F3112" i="42"/>
  <c r="F3111" i="42"/>
  <c r="F3110" i="42"/>
  <c r="F3109" i="42"/>
  <c r="F3108" i="42"/>
  <c r="F3107" i="42"/>
  <c r="F3106" i="42"/>
  <c r="F3105" i="42"/>
  <c r="F3104" i="42"/>
  <c r="F3103" i="42"/>
  <c r="F3102" i="42"/>
  <c r="F3101" i="42"/>
  <c r="F3100" i="42"/>
  <c r="F3099" i="42"/>
  <c r="F3098" i="42"/>
  <c r="F3097" i="42"/>
  <c r="F3096" i="42"/>
  <c r="F3095" i="42"/>
  <c r="F3094" i="42"/>
  <c r="F3092" i="42"/>
  <c r="F3091" i="42"/>
  <c r="F3090" i="42"/>
  <c r="F3089" i="42"/>
  <c r="F3088" i="42"/>
  <c r="F3087" i="42"/>
  <c r="F3086" i="42"/>
  <c r="F3085" i="42"/>
  <c r="F3084" i="42"/>
  <c r="F3080" i="42"/>
  <c r="F3079" i="42"/>
  <c r="F3078" i="42"/>
  <c r="F3077" i="42"/>
  <c r="F3076" i="42"/>
  <c r="F3075" i="42"/>
  <c r="F3074" i="42"/>
  <c r="F3073" i="42"/>
  <c r="F3072" i="42"/>
  <c r="F3071" i="42"/>
  <c r="F3070" i="42"/>
  <c r="F3069" i="42"/>
  <c r="F3068" i="42"/>
  <c r="F3067" i="42"/>
  <c r="F3066" i="42"/>
  <c r="F3065" i="42"/>
  <c r="F3064" i="42"/>
  <c r="F3063" i="42"/>
  <c r="F3062" i="42"/>
  <c r="F3061" i="42"/>
  <c r="F3060" i="42"/>
  <c r="F3059" i="42"/>
  <c r="F3058" i="42"/>
  <c r="F3057" i="42"/>
  <c r="F3056" i="42"/>
  <c r="F3054" i="42"/>
  <c r="F3053" i="42"/>
  <c r="F3052" i="42"/>
  <c r="F3051" i="42"/>
  <c r="F3050" i="42"/>
  <c r="F3049" i="42"/>
  <c r="F3046" i="42"/>
  <c r="F3045" i="42"/>
  <c r="F3044" i="42"/>
  <c r="F3042" i="42"/>
  <c r="F3041" i="42"/>
  <c r="F3040" i="42"/>
  <c r="F3039" i="42"/>
  <c r="F3038" i="42"/>
  <c r="F3035" i="42"/>
  <c r="F3034" i="42"/>
  <c r="F3033" i="42"/>
  <c r="F3032" i="42"/>
  <c r="F3031" i="42"/>
  <c r="F3030" i="42"/>
  <c r="F3029" i="42"/>
  <c r="F3028" i="42"/>
  <c r="F3027" i="42"/>
  <c r="F3026" i="42"/>
  <c r="F3023" i="42"/>
  <c r="F3022" i="42"/>
  <c r="F3021" i="42"/>
  <c r="F3020" i="42"/>
  <c r="F3019" i="42"/>
  <c r="F3018" i="42"/>
  <c r="F3017" i="42"/>
  <c r="F3014" i="42"/>
  <c r="F3013" i="42"/>
  <c r="F3012" i="42"/>
  <c r="F3011" i="42"/>
  <c r="F3010" i="42"/>
  <c r="F3009" i="42"/>
  <c r="F3007" i="42"/>
  <c r="F3006" i="42"/>
  <c r="F3003" i="42"/>
  <c r="F3002" i="42"/>
  <c r="F3001" i="42"/>
  <c r="F3000" i="42"/>
  <c r="F2999" i="42"/>
  <c r="F2998" i="42"/>
  <c r="F2997" i="42"/>
  <c r="F2995" i="42"/>
  <c r="F2994" i="42"/>
  <c r="F2993" i="42"/>
  <c r="F2992" i="42"/>
  <c r="F2991" i="42"/>
  <c r="F2990" i="42"/>
  <c r="F2989" i="42"/>
  <c r="F2986" i="42"/>
  <c r="F2985" i="42"/>
  <c r="F2984" i="42"/>
  <c r="F2983" i="42"/>
  <c r="F2982" i="42"/>
  <c r="F2981" i="42"/>
  <c r="F2980" i="42"/>
  <c r="F2978" i="42"/>
  <c r="F2977" i="42"/>
  <c r="F2974" i="42"/>
  <c r="F2973" i="42"/>
  <c r="F2971" i="42"/>
  <c r="F2970" i="42"/>
  <c r="F2969" i="42"/>
  <c r="F2968" i="42"/>
  <c r="F2967" i="42"/>
  <c r="F2966" i="42"/>
  <c r="F2965" i="42"/>
  <c r="F2964" i="42"/>
  <c r="F2963" i="42"/>
  <c r="F2962" i="42"/>
  <c r="F2961" i="42"/>
  <c r="F2960" i="42"/>
  <c r="F2959" i="42"/>
  <c r="F2955" i="42"/>
  <c r="F2954" i="42"/>
  <c r="F2953" i="42"/>
  <c r="F2951" i="42"/>
  <c r="F2950" i="42"/>
  <c r="F2949" i="42"/>
  <c r="F2948" i="42"/>
  <c r="F2947" i="42"/>
  <c r="F2946" i="42"/>
  <c r="F2942" i="42"/>
  <c r="F2941" i="42"/>
  <c r="F2940" i="42"/>
  <c r="F2938" i="42"/>
  <c r="F2937" i="42"/>
  <c r="F2936" i="42"/>
  <c r="F2935" i="42"/>
  <c r="F2934" i="42"/>
  <c r="F2933" i="42"/>
  <c r="F2931" i="42"/>
  <c r="F2930" i="42"/>
  <c r="F2929" i="42"/>
  <c r="F2928" i="42"/>
  <c r="F2927" i="42"/>
  <c r="F2925" i="42"/>
  <c r="F2924" i="42"/>
  <c r="F2923" i="42"/>
  <c r="F2922" i="42"/>
  <c r="F2921" i="42"/>
  <c r="F2919" i="42"/>
  <c r="F2918" i="42"/>
  <c r="F2917" i="42"/>
  <c r="F2916" i="42"/>
  <c r="F2915" i="42"/>
  <c r="F2913" i="42"/>
  <c r="F2912" i="42"/>
  <c r="F2911" i="42"/>
  <c r="F2910" i="42"/>
  <c r="F2909" i="42"/>
  <c r="F2907" i="42"/>
  <c r="F2906" i="42"/>
  <c r="F2905" i="42"/>
  <c r="F2904" i="42"/>
  <c r="F2903" i="42"/>
  <c r="F2901" i="42"/>
  <c r="F2900" i="42"/>
  <c r="F2899" i="42"/>
  <c r="F2898" i="42"/>
  <c r="F2897" i="42"/>
  <c r="F2895" i="42"/>
  <c r="F2894" i="42"/>
  <c r="F2893" i="42"/>
  <c r="F2892" i="42"/>
  <c r="F2891" i="42"/>
  <c r="F2889" i="42"/>
  <c r="F2888" i="42"/>
  <c r="F2887" i="42"/>
  <c r="F2886" i="42"/>
  <c r="F2885" i="42"/>
  <c r="F2883" i="42"/>
  <c r="F2882" i="42"/>
  <c r="F2881" i="42"/>
  <c r="F2880" i="42"/>
  <c r="F2879" i="42"/>
  <c r="F2877" i="42"/>
  <c r="F2876" i="42"/>
  <c r="F2875" i="42"/>
  <c r="F2874" i="42"/>
  <c r="F2873" i="42"/>
  <c r="F2871" i="42"/>
  <c r="F2870" i="42"/>
  <c r="F2869" i="42"/>
  <c r="F2868" i="42"/>
  <c r="F2867" i="42"/>
  <c r="F2866" i="42"/>
  <c r="F2862" i="42"/>
  <c r="F2861" i="42"/>
  <c r="F2860" i="42"/>
  <c r="F2859" i="42"/>
  <c r="F2858" i="42"/>
  <c r="F2857" i="42"/>
  <c r="F2856" i="42"/>
  <c r="F2855" i="42"/>
  <c r="F2854" i="42"/>
  <c r="F2853" i="42"/>
  <c r="F2852" i="42"/>
  <c r="F2851" i="42"/>
  <c r="F2849" i="42"/>
  <c r="F2848" i="42"/>
  <c r="F2847" i="42"/>
  <c r="F2846" i="42"/>
  <c r="F2845" i="42"/>
  <c r="F2844" i="42"/>
  <c r="F2843" i="42"/>
  <c r="F2842" i="42"/>
  <c r="F2838" i="42"/>
  <c r="F2837" i="42"/>
  <c r="F2834" i="42"/>
  <c r="F2830" i="42"/>
  <c r="F2829" i="42"/>
  <c r="F2826" i="42"/>
  <c r="F2825" i="42"/>
  <c r="F2824" i="42"/>
  <c r="F2821" i="42"/>
  <c r="F2820" i="42"/>
  <c r="F2819" i="42"/>
  <c r="F2816" i="42"/>
  <c r="F2815" i="42"/>
  <c r="F2814" i="42"/>
  <c r="F2810" i="42"/>
  <c r="F2809" i="42"/>
  <c r="F2808" i="42"/>
  <c r="F2807" i="42"/>
  <c r="F2806" i="42"/>
  <c r="F2805" i="42"/>
  <c r="F2804" i="42"/>
  <c r="F2803" i="42"/>
  <c r="F2802" i="42"/>
  <c r="F2801" i="42"/>
  <c r="F2797" i="42"/>
  <c r="F2796" i="42"/>
  <c r="F2795" i="42"/>
  <c r="F2794" i="42"/>
  <c r="F2793" i="42"/>
  <c r="F2792" i="42"/>
  <c r="F2791" i="42"/>
  <c r="F2790" i="42"/>
  <c r="F2789" i="42"/>
  <c r="F2783" i="42"/>
  <c r="F2782" i="42"/>
  <c r="F2781" i="42"/>
  <c r="F2779" i="42"/>
  <c r="F2775" i="42"/>
  <c r="F2774" i="42"/>
  <c r="F2773" i="42"/>
  <c r="F2772" i="42"/>
  <c r="F2771" i="42"/>
  <c r="F2770" i="42"/>
  <c r="F2769" i="42"/>
  <c r="F2768" i="42"/>
  <c r="F2767" i="42"/>
  <c r="F2766" i="42"/>
  <c r="F2765" i="42"/>
  <c r="F2764" i="42"/>
  <c r="F2763" i="42"/>
  <c r="F2761" i="42"/>
  <c r="F2760" i="42"/>
  <c r="F2759" i="42"/>
  <c r="F2758" i="42"/>
  <c r="F2757" i="42"/>
  <c r="F2756" i="42"/>
  <c r="F2755" i="42"/>
  <c r="F2754" i="42"/>
  <c r="F2753" i="42"/>
  <c r="F2752" i="42"/>
  <c r="F2749" i="42"/>
  <c r="F2748" i="42"/>
  <c r="F2747" i="42"/>
  <c r="F2745" i="42"/>
  <c r="F2744" i="42"/>
  <c r="F2740" i="42"/>
  <c r="F2739" i="42"/>
  <c r="F2738" i="42"/>
  <c r="F2737" i="42"/>
  <c r="F2736" i="42"/>
  <c r="F2735" i="42"/>
  <c r="F2734" i="42"/>
  <c r="F2733" i="42"/>
  <c r="F2732" i="42"/>
  <c r="F2731" i="42"/>
  <c r="F2719" i="42"/>
  <c r="F2718" i="42"/>
  <c r="F2717" i="42"/>
  <c r="F2716" i="42"/>
  <c r="F2715" i="42"/>
  <c r="F2714" i="42"/>
  <c r="F2713" i="42"/>
  <c r="F2712" i="42"/>
  <c r="F2711" i="42"/>
  <c r="F2706" i="42"/>
  <c r="F2705" i="42"/>
  <c r="F2704" i="42"/>
  <c r="F2703" i="42"/>
  <c r="F2702" i="42"/>
  <c r="F2701" i="42"/>
  <c r="F2700" i="42"/>
  <c r="F2699" i="42"/>
  <c r="F2698" i="42"/>
  <c r="F2696" i="42"/>
  <c r="F2695" i="42"/>
  <c r="F2694" i="42"/>
  <c r="F2693" i="42"/>
  <c r="F2692" i="42"/>
  <c r="F2691" i="42"/>
  <c r="F2690" i="42"/>
  <c r="F2688" i="42"/>
  <c r="F2687" i="42"/>
  <c r="F2686" i="42"/>
  <c r="F2685" i="42"/>
  <c r="F2684" i="42"/>
  <c r="F2683" i="42"/>
  <c r="F2682" i="42"/>
  <c r="F2681" i="42"/>
  <c r="F2680" i="42"/>
  <c r="F2679" i="42"/>
  <c r="F2678" i="42"/>
  <c r="F2677" i="42"/>
  <c r="F2676" i="42"/>
  <c r="F2675" i="42"/>
  <c r="F2674" i="42"/>
  <c r="F2673" i="42"/>
  <c r="F2672" i="42"/>
  <c r="F2671" i="42"/>
  <c r="F2669" i="42"/>
  <c r="F2668" i="42"/>
  <c r="F2667" i="42"/>
  <c r="F2666" i="42"/>
  <c r="F2665" i="42"/>
  <c r="F2664" i="42"/>
  <c r="F2663" i="42"/>
  <c r="F2662" i="42"/>
  <c r="F2661" i="42"/>
  <c r="F2660" i="42"/>
  <c r="F2659" i="42"/>
  <c r="F2658" i="42"/>
  <c r="F2657" i="42"/>
  <c r="F2654" i="42"/>
  <c r="F2653" i="42"/>
  <c r="F2652" i="42"/>
  <c r="F2651" i="42"/>
  <c r="F2647" i="42"/>
  <c r="F2646" i="42"/>
  <c r="F2645" i="42"/>
  <c r="F2644" i="42"/>
  <c r="F2643" i="42"/>
  <c r="F2642" i="42"/>
  <c r="F2641" i="42"/>
  <c r="F2640" i="42"/>
  <c r="F2639" i="42"/>
  <c r="F2635" i="42"/>
  <c r="F2634" i="42"/>
  <c r="F2633" i="42"/>
  <c r="F2632" i="42"/>
  <c r="F2631" i="42"/>
  <c r="F2630" i="42"/>
  <c r="F2629" i="42"/>
  <c r="F2628" i="42"/>
  <c r="F2623" i="42"/>
  <c r="F2622" i="42"/>
  <c r="F2621" i="42"/>
  <c r="F2620" i="42"/>
  <c r="F2619" i="42"/>
  <c r="F2618" i="42"/>
  <c r="F2617" i="42"/>
  <c r="F2616" i="42"/>
  <c r="F2615" i="42"/>
  <c r="F2614" i="42"/>
  <c r="F2613" i="42"/>
  <c r="F2612" i="42"/>
  <c r="F2611" i="42"/>
  <c r="F2608" i="42"/>
  <c r="F2606" i="42"/>
  <c r="F2605" i="42"/>
  <c r="F2604" i="42"/>
  <c r="F2603" i="42"/>
  <c r="F2600" i="42"/>
  <c r="F2597" i="42"/>
  <c r="F2596" i="42"/>
  <c r="F2595" i="42"/>
  <c r="F2591" i="42"/>
  <c r="F2589" i="42"/>
  <c r="F2588" i="42"/>
  <c r="F2587" i="42"/>
  <c r="F2586" i="42"/>
  <c r="F2584" i="42"/>
  <c r="F2583" i="42"/>
  <c r="F2581" i="42"/>
  <c r="F2580" i="42"/>
  <c r="F2578" i="42"/>
  <c r="F2577" i="42"/>
  <c r="F2576" i="42"/>
  <c r="F2574" i="42"/>
  <c r="F2573" i="42"/>
  <c r="F2572" i="42"/>
  <c r="F2571" i="42"/>
  <c r="F2570" i="42"/>
  <c r="F2569" i="42"/>
  <c r="F2568" i="42"/>
  <c r="F2567" i="42"/>
  <c r="F2566" i="42"/>
  <c r="F2565" i="42"/>
  <c r="F2564" i="42"/>
  <c r="F2563" i="42"/>
  <c r="F2562" i="42"/>
  <c r="F2561" i="42"/>
  <c r="F2560" i="42"/>
  <c r="F2559" i="42"/>
  <c r="F2558" i="42"/>
  <c r="F2557" i="42"/>
  <c r="F2556" i="42"/>
  <c r="F2553" i="42"/>
  <c r="F2552" i="42"/>
  <c r="F2551" i="42"/>
  <c r="F2550" i="42"/>
  <c r="F2549" i="42"/>
  <c r="F2548" i="42"/>
  <c r="F2546" i="42"/>
  <c r="F2545" i="42"/>
  <c r="F2544" i="42"/>
  <c r="F2542" i="42"/>
  <c r="F2541" i="42"/>
  <c r="F2540" i="42"/>
  <c r="F2534" i="42"/>
  <c r="F2532" i="42"/>
  <c r="F2531" i="42"/>
  <c r="F2530" i="42"/>
  <c r="F2529" i="42"/>
  <c r="F2527" i="42"/>
  <c r="F2526" i="42"/>
  <c r="F2525" i="42"/>
  <c r="F2524" i="42"/>
  <c r="F2520" i="42"/>
  <c r="F2519" i="42"/>
  <c r="F2518" i="42"/>
  <c r="F2517" i="42"/>
  <c r="F2516" i="42"/>
  <c r="F2515" i="42"/>
  <c r="F2514" i="42"/>
  <c r="F2513" i="42"/>
  <c r="F2512" i="42"/>
  <c r="F2511" i="42"/>
  <c r="F2510" i="42"/>
  <c r="F2509" i="42"/>
  <c r="F2505" i="42"/>
  <c r="F2504" i="42"/>
  <c r="F2503" i="42"/>
  <c r="F2502" i="42"/>
  <c r="F2501" i="42"/>
  <c r="F2500" i="42"/>
  <c r="F2499" i="42"/>
  <c r="F2498" i="42"/>
  <c r="F2497" i="42"/>
  <c r="F2493" i="42"/>
  <c r="F2492" i="42"/>
  <c r="F2491" i="42"/>
  <c r="F2490" i="42"/>
  <c r="F2489" i="42"/>
  <c r="F2488" i="42"/>
  <c r="F2487" i="42"/>
  <c r="F2483" i="42"/>
  <c r="F2482" i="42"/>
  <c r="F2481" i="42"/>
  <c r="F2480" i="42"/>
  <c r="F2479" i="42"/>
  <c r="F2478" i="42"/>
  <c r="F2477" i="42"/>
  <c r="F2473" i="42"/>
  <c r="F2472" i="42"/>
  <c r="F2471" i="42"/>
  <c r="F2470" i="42"/>
  <c r="F2469" i="42"/>
  <c r="F2468" i="42"/>
  <c r="F2467" i="42"/>
  <c r="F2463" i="42"/>
  <c r="F2462" i="42"/>
  <c r="F2461" i="42"/>
  <c r="F2460" i="42"/>
  <c r="F2459" i="42"/>
  <c r="F2458" i="42"/>
  <c r="F2457" i="42"/>
  <c r="F2453" i="42"/>
  <c r="F2452" i="42"/>
  <c r="F2451" i="42"/>
  <c r="F2450" i="42"/>
  <c r="F2449" i="42"/>
  <c r="F2448" i="42"/>
  <c r="F2447" i="42"/>
  <c r="F2443" i="42"/>
  <c r="F2442" i="42"/>
  <c r="F2441" i="42"/>
  <c r="F2440" i="42"/>
  <c r="F2439" i="42"/>
  <c r="F2438" i="42"/>
  <c r="F2437" i="42"/>
  <c r="F2436" i="42"/>
  <c r="F2431" i="42"/>
  <c r="F2426" i="42"/>
  <c r="F2425" i="42"/>
  <c r="F2424" i="42"/>
  <c r="F2423" i="42"/>
  <c r="F2422" i="42"/>
  <c r="F2421" i="42"/>
  <c r="F2420" i="42"/>
  <c r="F2419" i="42"/>
  <c r="F2418" i="42"/>
  <c r="F2417" i="42"/>
  <c r="F2416" i="42"/>
  <c r="F2415" i="42"/>
  <c r="F2414" i="42"/>
  <c r="F2413" i="42"/>
  <c r="F2412" i="42"/>
  <c r="F2409" i="42"/>
  <c r="F2408" i="42"/>
  <c r="F2407" i="42"/>
  <c r="F2406" i="42"/>
  <c r="F2405" i="42"/>
  <c r="F2404" i="42"/>
  <c r="F2403" i="42"/>
  <c r="F2402" i="42"/>
  <c r="F2401" i="42"/>
  <c r="F2400" i="42"/>
  <c r="F2399" i="42"/>
  <c r="F2398" i="42"/>
  <c r="F2397" i="42"/>
  <c r="F2396" i="42"/>
  <c r="F2395" i="42"/>
  <c r="F2393" i="42"/>
  <c r="F2392" i="42"/>
  <c r="F2391" i="42"/>
  <c r="F2390" i="42"/>
  <c r="F2389" i="42"/>
  <c r="F2388" i="42"/>
  <c r="F2387" i="42"/>
  <c r="F2386" i="42"/>
  <c r="F2385" i="42"/>
  <c r="F2384" i="42"/>
  <c r="F2383" i="42"/>
  <c r="F2382" i="42"/>
  <c r="F2381" i="42"/>
  <c r="F2380" i="42"/>
  <c r="F2379" i="42"/>
  <c r="F2378" i="42"/>
  <c r="F2377" i="42"/>
  <c r="F2376" i="42"/>
  <c r="F2375" i="42"/>
  <c r="F2374" i="42"/>
  <c r="F2373" i="42"/>
  <c r="F2372" i="42"/>
  <c r="F2371" i="42"/>
  <c r="F2370" i="42"/>
  <c r="F2369" i="42"/>
  <c r="F2368" i="42"/>
  <c r="F2367" i="42"/>
  <c r="F2366" i="42"/>
  <c r="F2365" i="42"/>
  <c r="F2364" i="42"/>
  <c r="F2363" i="42"/>
  <c r="F2362" i="42"/>
  <c r="F2361" i="42"/>
  <c r="F2360" i="42"/>
  <c r="F2359" i="42"/>
  <c r="F2358" i="42"/>
  <c r="F2357" i="42"/>
  <c r="F2356" i="42"/>
  <c r="F2355" i="42"/>
  <c r="F2354" i="42"/>
  <c r="F2353" i="42"/>
  <c r="F2352" i="42"/>
  <c r="F2351" i="42"/>
  <c r="F2350" i="42"/>
  <c r="F2349" i="42"/>
  <c r="F2348" i="42"/>
  <c r="F2347" i="42"/>
  <c r="F2346" i="42"/>
  <c r="F2345" i="42"/>
  <c r="F2344" i="42"/>
  <c r="F2343" i="42"/>
  <c r="F2342" i="42"/>
  <c r="F2341" i="42"/>
  <c r="F2340" i="42"/>
  <c r="F2339" i="42"/>
  <c r="F2338" i="42"/>
  <c r="F2337" i="42"/>
  <c r="F2336" i="42"/>
  <c r="F2335" i="42"/>
  <c r="F2334" i="42"/>
  <c r="F2333" i="42"/>
  <c r="F2332" i="42"/>
  <c r="F2331" i="42"/>
  <c r="F2330" i="42"/>
  <c r="F2326" i="42"/>
  <c r="F2325" i="42"/>
  <c r="F2324" i="42"/>
  <c r="F2323" i="42"/>
  <c r="F2322" i="42"/>
  <c r="F2321" i="42"/>
  <c r="F2320" i="42"/>
  <c r="F2319" i="42"/>
  <c r="F2318" i="42"/>
  <c r="F2315" i="42"/>
  <c r="F2314" i="42"/>
  <c r="F2312" i="42"/>
  <c r="F2311" i="42"/>
  <c r="F2310" i="42"/>
  <c r="F2307" i="42"/>
  <c r="F2306" i="42"/>
  <c r="F2305" i="42"/>
  <c r="F2303" i="42"/>
  <c r="F2302" i="42"/>
  <c r="F2299" i="42"/>
  <c r="F2298" i="42"/>
  <c r="F2297" i="42"/>
  <c r="F2296" i="42"/>
  <c r="F2295" i="42"/>
  <c r="F2294" i="42"/>
  <c r="F2293" i="42"/>
  <c r="F2292" i="42"/>
  <c r="F2289" i="42"/>
  <c r="F2288" i="42"/>
  <c r="F2287" i="42"/>
  <c r="F2286" i="42"/>
  <c r="F2285" i="42"/>
  <c r="F2284" i="42"/>
  <c r="F2282" i="42"/>
  <c r="F2281" i="42"/>
  <c r="F2280" i="42"/>
  <c r="F2279" i="42"/>
  <c r="F2278" i="42"/>
  <c r="F2277" i="42"/>
  <c r="F2276" i="42"/>
  <c r="F2275" i="42"/>
  <c r="F2273" i="42"/>
  <c r="F2272" i="42"/>
  <c r="F2271" i="42"/>
  <c r="F2270" i="42"/>
  <c r="F2268" i="42"/>
  <c r="F2267" i="42"/>
  <c r="F2266" i="42"/>
  <c r="F2265" i="42"/>
  <c r="F2264" i="42"/>
  <c r="F2263" i="42"/>
  <c r="F2262" i="42"/>
  <c r="F2261" i="42"/>
  <c r="F2260" i="42"/>
  <c r="F2258" i="42"/>
  <c r="F2257" i="42"/>
  <c r="F2256" i="42"/>
  <c r="F2255" i="42"/>
  <c r="F2254" i="42"/>
  <c r="F2253" i="42"/>
  <c r="F2252" i="42"/>
  <c r="F2251" i="42"/>
  <c r="F2250" i="42"/>
  <c r="F2249" i="42"/>
  <c r="F2248" i="42"/>
  <c r="F2247" i="42"/>
  <c r="F2246" i="42"/>
  <c r="F2242" i="42"/>
  <c r="F2241" i="42"/>
  <c r="F2240" i="42"/>
  <c r="F2238" i="42"/>
  <c r="F2237" i="42"/>
  <c r="F2236" i="42"/>
  <c r="F2235" i="42"/>
  <c r="F2234" i="42"/>
  <c r="F2233" i="42"/>
  <c r="F2232" i="42"/>
  <c r="F2231" i="42"/>
  <c r="F2230" i="42"/>
  <c r="F2229" i="42"/>
  <c r="F2228" i="42"/>
  <c r="F2227" i="42"/>
  <c r="F2226" i="42"/>
  <c r="F2225" i="42"/>
  <c r="F2224" i="42"/>
  <c r="F2223" i="42"/>
  <c r="F2222" i="42"/>
  <c r="F2221" i="42"/>
  <c r="F2220" i="42"/>
  <c r="F2219" i="42"/>
  <c r="F2215" i="42"/>
  <c r="F2214" i="42"/>
  <c r="F2213" i="42"/>
  <c r="F2212" i="42"/>
  <c r="F2211" i="42"/>
  <c r="F2210" i="42"/>
  <c r="F2209" i="42"/>
  <c r="F2208" i="42"/>
  <c r="F2207" i="42"/>
  <c r="F2206" i="42"/>
  <c r="F2205" i="42"/>
  <c r="F2204" i="42"/>
  <c r="F2203" i="42"/>
  <c r="F2202" i="42"/>
  <c r="F2201" i="42"/>
  <c r="F2199" i="42"/>
  <c r="F2198" i="42"/>
  <c r="F2197" i="42"/>
  <c r="F2196" i="42"/>
  <c r="F2195" i="42"/>
  <c r="F2187" i="42"/>
  <c r="F2184" i="42"/>
  <c r="F2183" i="42"/>
  <c r="F2182" i="42"/>
  <c r="F2181" i="42"/>
  <c r="F2177" i="42"/>
  <c r="F2176" i="42"/>
  <c r="F2175" i="42"/>
  <c r="F2174" i="42"/>
  <c r="F2173" i="42"/>
  <c r="F2172" i="42"/>
  <c r="F2170" i="42"/>
  <c r="F2167" i="42"/>
  <c r="F2165" i="42"/>
  <c r="F2164" i="42"/>
  <c r="F2163" i="42"/>
  <c r="F2161" i="42"/>
  <c r="F2160" i="42"/>
  <c r="F2159" i="42"/>
  <c r="F2158" i="42"/>
  <c r="F2154" i="42"/>
  <c r="F2153" i="42"/>
  <c r="F2152" i="42"/>
  <c r="F2148" i="42"/>
  <c r="F2147" i="42"/>
  <c r="F2146" i="42"/>
  <c r="F2145" i="42"/>
  <c r="F2144" i="42"/>
  <c r="F2143" i="42"/>
  <c r="F2140" i="42"/>
  <c r="F2139" i="42"/>
  <c r="F2138" i="42"/>
  <c r="F2137" i="42"/>
  <c r="F2134" i="42"/>
  <c r="F2133" i="42"/>
  <c r="F2132" i="42"/>
  <c r="F2131" i="42"/>
  <c r="F2130" i="42"/>
  <c r="F2129" i="42"/>
  <c r="F2122" i="42"/>
  <c r="F2121" i="42"/>
  <c r="F2120" i="42"/>
  <c r="F2119" i="42"/>
  <c r="F2118" i="42"/>
  <c r="F2117" i="42"/>
  <c r="F2114" i="42"/>
  <c r="F2113" i="42"/>
  <c r="F2112" i="42"/>
  <c r="F2111" i="42"/>
  <c r="F2109" i="42"/>
  <c r="F2108" i="42"/>
  <c r="F2107" i="42"/>
  <c r="F2106" i="42"/>
  <c r="F2105" i="42"/>
  <c r="F2104" i="42"/>
  <c r="F2103" i="42"/>
  <c r="F2102" i="42"/>
  <c r="F2101" i="42"/>
  <c r="F2100" i="42"/>
  <c r="F2091" i="42"/>
  <c r="F2088" i="42"/>
  <c r="F2087" i="42"/>
  <c r="F2086" i="42"/>
  <c r="F2085" i="42"/>
  <c r="F2084" i="42"/>
  <c r="F2081" i="42"/>
  <c r="F2080" i="42"/>
  <c r="F2079" i="42"/>
  <c r="F2078" i="42"/>
  <c r="F2077" i="42"/>
  <c r="F2074" i="42"/>
  <c r="F2073" i="42"/>
  <c r="F2072" i="42"/>
  <c r="F2071" i="42"/>
  <c r="F2070" i="42"/>
  <c r="F2069" i="42"/>
  <c r="F2068" i="42"/>
  <c r="F2067" i="42"/>
  <c r="F2066" i="42"/>
  <c r="F2065" i="42"/>
  <c r="F2062" i="42"/>
  <c r="F2061" i="42"/>
  <c r="F2060" i="42"/>
  <c r="F2059" i="42"/>
  <c r="F2056" i="42"/>
  <c r="F2055" i="42"/>
  <c r="F2054" i="42"/>
  <c r="F2053" i="42"/>
  <c r="F2052" i="42"/>
  <c r="F2051" i="42"/>
  <c r="F2050" i="42"/>
  <c r="F2049" i="42"/>
  <c r="F2048" i="42"/>
  <c r="F2047" i="42"/>
  <c r="F2046" i="42"/>
  <c r="F2045" i="42"/>
  <c r="F2044" i="42"/>
  <c r="F2043" i="42"/>
  <c r="F2042" i="42"/>
  <c r="F2041" i="42"/>
  <c r="F2040" i="42"/>
  <c r="F2039" i="42"/>
  <c r="F2038" i="42"/>
  <c r="F2037" i="42"/>
  <c r="F2036" i="42"/>
  <c r="F2035" i="42"/>
  <c r="F2034" i="42"/>
  <c r="F2033" i="42"/>
  <c r="F2032" i="42"/>
  <c r="F2031" i="42"/>
  <c r="F2030" i="42"/>
  <c r="F2029" i="42"/>
  <c r="F2028" i="42"/>
  <c r="F2025" i="42"/>
  <c r="F2024" i="42"/>
  <c r="F2023" i="42"/>
  <c r="F2022" i="42"/>
  <c r="F2021" i="42"/>
  <c r="F2012" i="42"/>
  <c r="F2009" i="42"/>
  <c r="F2008" i="42"/>
  <c r="F2007" i="42"/>
  <c r="F2006" i="42"/>
  <c r="F2004" i="42"/>
  <c r="F2003" i="42"/>
  <c r="F2001" i="42"/>
  <c r="F2000" i="42"/>
  <c r="F1999" i="42"/>
  <c r="F1997" i="42"/>
  <c r="F1996" i="42"/>
  <c r="F1995" i="42"/>
  <c r="F1994" i="42"/>
  <c r="F1991" i="42"/>
  <c r="F1990" i="42"/>
  <c r="F1989" i="42"/>
  <c r="F1988" i="42"/>
  <c r="F1987" i="42"/>
  <c r="F1986" i="42"/>
  <c r="F1982" i="42"/>
  <c r="F1981" i="42"/>
  <c r="F1980" i="42"/>
  <c r="F1979" i="42"/>
  <c r="F1978" i="42"/>
  <c r="F1977" i="42"/>
  <c r="F1976" i="42"/>
  <c r="F1975" i="42"/>
  <c r="F1974" i="42"/>
  <c r="F1973" i="42"/>
  <c r="F1972" i="42"/>
  <c r="F1971" i="42"/>
  <c r="F1970" i="42"/>
  <c r="F1969" i="42"/>
  <c r="F1967" i="42"/>
  <c r="F1966" i="42"/>
  <c r="F1965" i="42"/>
  <c r="F1964" i="42"/>
  <c r="F1962" i="42"/>
  <c r="F1961" i="42"/>
  <c r="F1959" i="42"/>
  <c r="F1958" i="42"/>
  <c r="F1957" i="42"/>
  <c r="F1956" i="42"/>
  <c r="F1955" i="42"/>
  <c r="F1954" i="42"/>
  <c r="F1953" i="42"/>
  <c r="F1951" i="42"/>
  <c r="F1950" i="42"/>
  <c r="F1949" i="42"/>
  <c r="F1948" i="42"/>
  <c r="F1947" i="42"/>
  <c r="F1946" i="42"/>
  <c r="F1945" i="42"/>
  <c r="F1942" i="42"/>
  <c r="F1941" i="42"/>
  <c r="F1940" i="42"/>
  <c r="F1939" i="42"/>
  <c r="F1938" i="42"/>
  <c r="F1937" i="42"/>
  <c r="F1936" i="42"/>
  <c r="F1933" i="42"/>
  <c r="F1932" i="42"/>
  <c r="F1931" i="42"/>
  <c r="F1930" i="42"/>
  <c r="F1929" i="42"/>
  <c r="F1928" i="42"/>
  <c r="F1927" i="42"/>
  <c r="F1926" i="42"/>
  <c r="F1923" i="42"/>
  <c r="F1922" i="42"/>
  <c r="F1921" i="42"/>
  <c r="F1919" i="42"/>
  <c r="F1918" i="42"/>
  <c r="F1917" i="42"/>
  <c r="F1914" i="42"/>
  <c r="F1913" i="42"/>
  <c r="F1912" i="42"/>
  <c r="F1910" i="42"/>
  <c r="F1909" i="42"/>
  <c r="F1906" i="42"/>
  <c r="F1905" i="42"/>
  <c r="F1904" i="42"/>
  <c r="F1903" i="42"/>
  <c r="F1902" i="42"/>
  <c r="F1901" i="42"/>
  <c r="F1900" i="42"/>
  <c r="F1899" i="42"/>
  <c r="F1897" i="42"/>
  <c r="F1896" i="42"/>
  <c r="F1895" i="42"/>
  <c r="F1894" i="42"/>
  <c r="F1893" i="42"/>
  <c r="F1892" i="42"/>
  <c r="F1891" i="42"/>
  <c r="F1890" i="42"/>
  <c r="F1889" i="42"/>
  <c r="F1888" i="42"/>
  <c r="F1886" i="42"/>
  <c r="F1885" i="42"/>
  <c r="F1884" i="42"/>
  <c r="F1883" i="42"/>
  <c r="F1882" i="42"/>
  <c r="F1881" i="42"/>
  <c r="F1880" i="42"/>
  <c r="F1879" i="42"/>
  <c r="F1878" i="42"/>
  <c r="F1877" i="42"/>
  <c r="F1875" i="42"/>
  <c r="F1874" i="42"/>
  <c r="F1873" i="42"/>
  <c r="F1872" i="42"/>
  <c r="F1871" i="42"/>
  <c r="F1870" i="42"/>
  <c r="F1869" i="42"/>
  <c r="F1868" i="42"/>
  <c r="F1867" i="42"/>
  <c r="F1866" i="42"/>
  <c r="F1865" i="42"/>
  <c r="F1861" i="42"/>
  <c r="F1860" i="42"/>
  <c r="F1859" i="42"/>
  <c r="F1858" i="42"/>
  <c r="F1856" i="42"/>
  <c r="F1855" i="42"/>
  <c r="F1854" i="42"/>
  <c r="F1848" i="42"/>
  <c r="F1847" i="42"/>
  <c r="F1846" i="42"/>
  <c r="F1845" i="42"/>
  <c r="F1844" i="42"/>
  <c r="F1843" i="42"/>
  <c r="F1842" i="42"/>
  <c r="F1841" i="42"/>
  <c r="F1837" i="42"/>
  <c r="F1836" i="42"/>
  <c r="F1835" i="42"/>
  <c r="F1834" i="42"/>
  <c r="F1833" i="42"/>
  <c r="F1832" i="42"/>
  <c r="F1831" i="42"/>
  <c r="F1830" i="42"/>
  <c r="F1829" i="42"/>
  <c r="F1828" i="42"/>
  <c r="F1824" i="42"/>
  <c r="F1823" i="42"/>
  <c r="F1822" i="42"/>
  <c r="F1821" i="42"/>
  <c r="F1820" i="42"/>
  <c r="F1819" i="42"/>
  <c r="F1818" i="42"/>
  <c r="F1817" i="42"/>
  <c r="F1816" i="42"/>
  <c r="F1815" i="42"/>
  <c r="F1814" i="42"/>
  <c r="F1811" i="42"/>
  <c r="F1810" i="42"/>
  <c r="F1809" i="42"/>
  <c r="F1808" i="42"/>
  <c r="F1807" i="42"/>
  <c r="F1806" i="42"/>
  <c r="F1805" i="42"/>
  <c r="F1804" i="42"/>
  <c r="F1802" i="42"/>
  <c r="F1801" i="42"/>
  <c r="F1800" i="42"/>
  <c r="F1799" i="42"/>
  <c r="F1798" i="42"/>
  <c r="F1797" i="42"/>
  <c r="F1796" i="42"/>
  <c r="F1795" i="42"/>
  <c r="F1794" i="42"/>
  <c r="F1792" i="42"/>
  <c r="F1791" i="42"/>
  <c r="F1790" i="42"/>
  <c r="F1789" i="42"/>
  <c r="F1788" i="42"/>
  <c r="F1787" i="42"/>
  <c r="F1786" i="42"/>
  <c r="F1785" i="42"/>
  <c r="F1784" i="42"/>
  <c r="F1781" i="42"/>
  <c r="F1780" i="42"/>
  <c r="F1779" i="42"/>
  <c r="F1777" i="42"/>
  <c r="F1776" i="42"/>
  <c r="F1772" i="42"/>
  <c r="F1771" i="42"/>
  <c r="F1770" i="42"/>
  <c r="F1769" i="42"/>
  <c r="F1768" i="42"/>
  <c r="F1767" i="42"/>
  <c r="F1766" i="42"/>
  <c r="F1765" i="42"/>
  <c r="F1764" i="42"/>
  <c r="F1759" i="42"/>
  <c r="F1758" i="42"/>
  <c r="F1757" i="42"/>
  <c r="F1756" i="42"/>
  <c r="F1755" i="42"/>
  <c r="F1754" i="42"/>
  <c r="F1753" i="42"/>
  <c r="F1752" i="42"/>
  <c r="F1751" i="42"/>
  <c r="F1749" i="42"/>
  <c r="F1746" i="42"/>
  <c r="F1745" i="42"/>
  <c r="F1744" i="42"/>
  <c r="F1743" i="42"/>
  <c r="F1741" i="42"/>
  <c r="F1740" i="42"/>
  <c r="F1739" i="42"/>
  <c r="F1735" i="42"/>
  <c r="F1734" i="42"/>
  <c r="F1733" i="42"/>
  <c r="F1732" i="42"/>
  <c r="F1727" i="42"/>
  <c r="F1726" i="42"/>
  <c r="F1725" i="42"/>
  <c r="F1720" i="42"/>
  <c r="F1718" i="42"/>
  <c r="F1704" i="42"/>
  <c r="F1703" i="42"/>
  <c r="F1702" i="42"/>
  <c r="F1701" i="42"/>
  <c r="F1700" i="42"/>
  <c r="F1699" i="42"/>
  <c r="F1698" i="42"/>
  <c r="F1697" i="42"/>
  <c r="F1672" i="42"/>
  <c r="F1671" i="42"/>
  <c r="F1670" i="42"/>
  <c r="F1669" i="42"/>
  <c r="F1668" i="42"/>
  <c r="F1666" i="42"/>
  <c r="F1665" i="42"/>
  <c r="F1664" i="42"/>
  <c r="F1662" i="42"/>
  <c r="F1659" i="42"/>
  <c r="F1658" i="42"/>
  <c r="F1657" i="42"/>
  <c r="F1656" i="42"/>
  <c r="F1654" i="42"/>
  <c r="F1653" i="42"/>
  <c r="F1652" i="42"/>
  <c r="F1651" i="42"/>
  <c r="F1649" i="42"/>
  <c r="F1648" i="42"/>
  <c r="F1647" i="42"/>
  <c r="F1646" i="42"/>
  <c r="F1642" i="42"/>
  <c r="F1641" i="42"/>
  <c r="F1640" i="42"/>
  <c r="F1639" i="42"/>
  <c r="F1638" i="42"/>
  <c r="F1637" i="42"/>
  <c r="F1636" i="42"/>
  <c r="F1635" i="42"/>
  <c r="F1634" i="42"/>
  <c r="F1633" i="42"/>
  <c r="F1629" i="42"/>
  <c r="F1628" i="42"/>
  <c r="F1627" i="42"/>
  <c r="F1626" i="42"/>
  <c r="F1625" i="42"/>
  <c r="F1624" i="42"/>
  <c r="F1623" i="42"/>
  <c r="F1622" i="42"/>
  <c r="F1621" i="42"/>
  <c r="F1620" i="42"/>
  <c r="F1616" i="42"/>
  <c r="F1615" i="42"/>
  <c r="F1614" i="42"/>
  <c r="F1613" i="42"/>
  <c r="F1612" i="42"/>
  <c r="F1611" i="42"/>
  <c r="F1610" i="42"/>
  <c r="F1609" i="42"/>
  <c r="F1608" i="42"/>
  <c r="F1607" i="42"/>
  <c r="F1603" i="42"/>
  <c r="F1602" i="42"/>
  <c r="F1601" i="42"/>
  <c r="F1600" i="42"/>
  <c r="F1599" i="42"/>
  <c r="F1598" i="42"/>
  <c r="F1597" i="42"/>
  <c r="F1596" i="42"/>
  <c r="F1595" i="42"/>
  <c r="F1592" i="42"/>
  <c r="F1591" i="42"/>
  <c r="F1590" i="42"/>
  <c r="F1588" i="42"/>
  <c r="F1587" i="42"/>
  <c r="F1580" i="42"/>
  <c r="F1579" i="42"/>
  <c r="F1578" i="42"/>
  <c r="F1577" i="42"/>
  <c r="F1576" i="42"/>
  <c r="F1575" i="42"/>
  <c r="F1574" i="42"/>
  <c r="F1573" i="42"/>
  <c r="F1569" i="42"/>
  <c r="F1568" i="42"/>
  <c r="F1567" i="42"/>
  <c r="F1566" i="42"/>
  <c r="F1565" i="42"/>
  <c r="F1564" i="42"/>
  <c r="F1563" i="42"/>
  <c r="F1562" i="42"/>
  <c r="F1561" i="42"/>
  <c r="F1560" i="42"/>
  <c r="F1559" i="42"/>
  <c r="F1554" i="42"/>
  <c r="F1553" i="42"/>
  <c r="F1552" i="42"/>
  <c r="F1551" i="42"/>
  <c r="F1546" i="42"/>
  <c r="F1545" i="42"/>
  <c r="F1544" i="42"/>
  <c r="F1543" i="42"/>
  <c r="F1542" i="42"/>
  <c r="F1541" i="42"/>
  <c r="F1540" i="42"/>
  <c r="F1535" i="42"/>
  <c r="F1534" i="42"/>
  <c r="F1533" i="42"/>
  <c r="F1531" i="42"/>
  <c r="F1530" i="42"/>
  <c r="F1529" i="42"/>
  <c r="F1525" i="42"/>
  <c r="F1524" i="42"/>
  <c r="F1523" i="42"/>
  <c r="F1521" i="42"/>
  <c r="F1520" i="42"/>
  <c r="F1519" i="42"/>
  <c r="F1514" i="42"/>
  <c r="F1513" i="42"/>
  <c r="F1512" i="42"/>
  <c r="F1511" i="42"/>
  <c r="F1510" i="42"/>
  <c r="F1509" i="42"/>
  <c r="F1508" i="42"/>
  <c r="F1507" i="42"/>
  <c r="F1506" i="42"/>
  <c r="F1505" i="42"/>
  <c r="F1504" i="42"/>
  <c r="F1503" i="42"/>
  <c r="F1502" i="42"/>
  <c r="F1501" i="42"/>
  <c r="F1499" i="42"/>
  <c r="F1498" i="42"/>
  <c r="F1497" i="42"/>
  <c r="F1496" i="42"/>
  <c r="F1495" i="42"/>
  <c r="F1494" i="42"/>
  <c r="F1493" i="42"/>
  <c r="F1492" i="42"/>
  <c r="F1491" i="42"/>
  <c r="F1490" i="42"/>
  <c r="F1489" i="42"/>
  <c r="F1488" i="42"/>
  <c r="F1486" i="42"/>
  <c r="F1485" i="42"/>
  <c r="F1484" i="42"/>
  <c r="F1483" i="42"/>
  <c r="F1481" i="42"/>
  <c r="F1480" i="42"/>
  <c r="F1479" i="42"/>
  <c r="F1478" i="42"/>
  <c r="F1476" i="42"/>
  <c r="F1475" i="42"/>
  <c r="F1474" i="42"/>
  <c r="F1473" i="42"/>
  <c r="F1472" i="42"/>
  <c r="F1471" i="42"/>
  <c r="F1470" i="42"/>
  <c r="F1469" i="42"/>
  <c r="F1468" i="42"/>
  <c r="F1466" i="42"/>
  <c r="F1465" i="42"/>
  <c r="F1464" i="42"/>
  <c r="F1463" i="42"/>
  <c r="F1462" i="42"/>
  <c r="F1461" i="42"/>
  <c r="F1460" i="42"/>
  <c r="F1459" i="42"/>
  <c r="F1458" i="42"/>
  <c r="F1452" i="42"/>
  <c r="F1451" i="42"/>
  <c r="F1450" i="42"/>
  <c r="F1449" i="42"/>
  <c r="F1448" i="42"/>
  <c r="F1447" i="42"/>
  <c r="F1444" i="42"/>
  <c r="F1443" i="42"/>
  <c r="F1442" i="42"/>
  <c r="F1441" i="42"/>
  <c r="F1440" i="42"/>
  <c r="F1437" i="42"/>
  <c r="F1436" i="42"/>
  <c r="F1435" i="42"/>
  <c r="F1433" i="42"/>
  <c r="F1432" i="42"/>
  <c r="F1428" i="42"/>
  <c r="F1427" i="42"/>
  <c r="F1426" i="42"/>
  <c r="F1425" i="42"/>
  <c r="F1424" i="42"/>
  <c r="F1423" i="42"/>
  <c r="F1422" i="42"/>
  <c r="F1421" i="42"/>
  <c r="F1420" i="42"/>
  <c r="F1419" i="42"/>
  <c r="F1418" i="42"/>
  <c r="F1417" i="42"/>
  <c r="F1416" i="42"/>
  <c r="F1413" i="42"/>
  <c r="F1412" i="42"/>
  <c r="F1411" i="42"/>
  <c r="F1410" i="42"/>
  <c r="F1409" i="42"/>
  <c r="F1408" i="42"/>
  <c r="F1407" i="42"/>
  <c r="F1406" i="42"/>
  <c r="F1405" i="42"/>
  <c r="F1404" i="42"/>
  <c r="F1403" i="42"/>
  <c r="F1402" i="42"/>
  <c r="F1398" i="42"/>
  <c r="F1397" i="42"/>
  <c r="F1396" i="42"/>
  <c r="F1395" i="42"/>
  <c r="F1394" i="42"/>
  <c r="F1393" i="42"/>
  <c r="F1392" i="42"/>
  <c r="F1388" i="42"/>
  <c r="F1387" i="42"/>
  <c r="F1386" i="42"/>
  <c r="F1384" i="42"/>
  <c r="F1383" i="42"/>
  <c r="F1382" i="42"/>
  <c r="F1378" i="42"/>
  <c r="F1377" i="42"/>
  <c r="F1376" i="42"/>
  <c r="F1375" i="42"/>
  <c r="F1374" i="42"/>
  <c r="F1371" i="42"/>
  <c r="F1370" i="42"/>
  <c r="F1368" i="42"/>
  <c r="F1364" i="42"/>
  <c r="F1363" i="42"/>
  <c r="F1362" i="42"/>
  <c r="F1360" i="42"/>
  <c r="F1359" i="42"/>
  <c r="F1358" i="42"/>
  <c r="F1356" i="42"/>
  <c r="F1355" i="42"/>
  <c r="F1354" i="42"/>
  <c r="F1353" i="42"/>
  <c r="F1350" i="42"/>
  <c r="F1349" i="42"/>
  <c r="F1348" i="42"/>
  <c r="F1346" i="42"/>
  <c r="F1345" i="42"/>
  <c r="F1343" i="42"/>
  <c r="F1342" i="42"/>
  <c r="F1341" i="42"/>
  <c r="F1340" i="42"/>
  <c r="F1339" i="42"/>
  <c r="F1338" i="42"/>
  <c r="F1337" i="42"/>
  <c r="F1336" i="42"/>
  <c r="F1334" i="42"/>
  <c r="F1333" i="42"/>
  <c r="F1332" i="42"/>
  <c r="F1331" i="42"/>
  <c r="F1330" i="42"/>
  <c r="F1329" i="42"/>
  <c r="F1328" i="42"/>
  <c r="F1327" i="42"/>
  <c r="F1326" i="42"/>
  <c r="F1325" i="42"/>
  <c r="F1324" i="42"/>
  <c r="F1323" i="42"/>
  <c r="F1321" i="42"/>
  <c r="F1320" i="42"/>
  <c r="F1319" i="42"/>
  <c r="F1318" i="42"/>
  <c r="F1317" i="42"/>
  <c r="F1316" i="42"/>
  <c r="F1315" i="42"/>
  <c r="F1314" i="42"/>
  <c r="F1313" i="42"/>
  <c r="F1312" i="42"/>
  <c r="F1311" i="42"/>
  <c r="F1310" i="42"/>
  <c r="F1309" i="42"/>
  <c r="F1308" i="42"/>
  <c r="F1307" i="42"/>
  <c r="F1306" i="42"/>
  <c r="F1305" i="42"/>
  <c r="F1304" i="42"/>
  <c r="F1303" i="42"/>
  <c r="F1302" i="42"/>
  <c r="F1301" i="42"/>
  <c r="F1300" i="42"/>
  <c r="F1299" i="42"/>
  <c r="F1298" i="42"/>
  <c r="F1296" i="42"/>
  <c r="F1295" i="42"/>
  <c r="F1294" i="42"/>
  <c r="F1293" i="42"/>
  <c r="F1291" i="42"/>
  <c r="F1290" i="42"/>
  <c r="F1289" i="42"/>
  <c r="F1285" i="42"/>
  <c r="F1284" i="42"/>
  <c r="F1283" i="42"/>
  <c r="F1282" i="42"/>
  <c r="F1281" i="42"/>
  <c r="F1280" i="42"/>
  <c r="F1279" i="42"/>
  <c r="F1278" i="42"/>
  <c r="F1277" i="42"/>
  <c r="F1276" i="42"/>
  <c r="F1275" i="42"/>
  <c r="F1274" i="42"/>
  <c r="F1272" i="42"/>
  <c r="F1271" i="42"/>
  <c r="F1270" i="42"/>
  <c r="F1269" i="42"/>
  <c r="F1268" i="42"/>
  <c r="F1267" i="42"/>
  <c r="F1264" i="42"/>
  <c r="F1263" i="42"/>
  <c r="F1262" i="42"/>
  <c r="F1261" i="42"/>
  <c r="F1260" i="42"/>
  <c r="F1259" i="42"/>
  <c r="F1258" i="42"/>
  <c r="F1257" i="42"/>
  <c r="F1254" i="42"/>
  <c r="F1253" i="42"/>
  <c r="F1252" i="42"/>
  <c r="F1250" i="42"/>
  <c r="F1249" i="42"/>
  <c r="F1248" i="42"/>
  <c r="F1247" i="42"/>
  <c r="F1245" i="42"/>
  <c r="F1244" i="42"/>
  <c r="F1243" i="42"/>
  <c r="F1242" i="42"/>
  <c r="F1241" i="42"/>
  <c r="F1240" i="42"/>
  <c r="F1239" i="42"/>
  <c r="F1227" i="42"/>
  <c r="F1226" i="42"/>
  <c r="F1225" i="42"/>
  <c r="F1224" i="42"/>
  <c r="F1223" i="42"/>
  <c r="F1222" i="42"/>
  <c r="F1221" i="42"/>
  <c r="F1220" i="42"/>
  <c r="F1219" i="42"/>
  <c r="F1218" i="42"/>
  <c r="F1217" i="42"/>
  <c r="F1216" i="42"/>
  <c r="F1215" i="42"/>
  <c r="F1214" i="42"/>
  <c r="F1213" i="42"/>
  <c r="F1212" i="42"/>
  <c r="F1211" i="42"/>
  <c r="F1210" i="42"/>
  <c r="F1209" i="42"/>
  <c r="F1208" i="42"/>
  <c r="F1207" i="42"/>
  <c r="F1206" i="42"/>
  <c r="F1205" i="42"/>
  <c r="F1203" i="42"/>
  <c r="F1202" i="42"/>
  <c r="F1199" i="42"/>
  <c r="F1198" i="42"/>
  <c r="F1197" i="42"/>
  <c r="F1196" i="42"/>
  <c r="F1195" i="42"/>
  <c r="F1194" i="42"/>
  <c r="F1193" i="42"/>
  <c r="F1192" i="42"/>
  <c r="F1190" i="42"/>
  <c r="F1189" i="42"/>
  <c r="F1188" i="42"/>
  <c r="F1187" i="42"/>
  <c r="F1186" i="42"/>
  <c r="F1185" i="42"/>
  <c r="F1184" i="42"/>
  <c r="F1183" i="42"/>
  <c r="F1181" i="42"/>
  <c r="F1180" i="42"/>
  <c r="F1179" i="42"/>
  <c r="F1178" i="42"/>
  <c r="F1177" i="42"/>
  <c r="F1176" i="42"/>
  <c r="F1174" i="42"/>
  <c r="F1173" i="42"/>
  <c r="F1172" i="42"/>
  <c r="F1170" i="42"/>
  <c r="F1169" i="42"/>
  <c r="F1168" i="42"/>
  <c r="F1165" i="42"/>
  <c r="F1164" i="42"/>
  <c r="F1163" i="42"/>
  <c r="F1162" i="42"/>
  <c r="F1161" i="42"/>
  <c r="F1160" i="42"/>
  <c r="F1159" i="42"/>
  <c r="F1158" i="42"/>
  <c r="F1157" i="42"/>
  <c r="F1156" i="42"/>
  <c r="F1152" i="42"/>
  <c r="F1151" i="42"/>
  <c r="F1150" i="42"/>
  <c r="F1149" i="42"/>
  <c r="F1148" i="42"/>
  <c r="F1147" i="42"/>
  <c r="F1146" i="42"/>
  <c r="F1145" i="42"/>
  <c r="F1141" i="42"/>
  <c r="F1140" i="42"/>
  <c r="F1139" i="42"/>
  <c r="F1138" i="42"/>
  <c r="F1137" i="42"/>
  <c r="F1136" i="42"/>
  <c r="F1135" i="42"/>
  <c r="F1134" i="42"/>
  <c r="F1132" i="42"/>
  <c r="F1131" i="42"/>
  <c r="F1130" i="42"/>
  <c r="F1129" i="42"/>
  <c r="F1128" i="42"/>
  <c r="F1127" i="42"/>
  <c r="F1126" i="42"/>
  <c r="F1123" i="42"/>
  <c r="F1122" i="42"/>
  <c r="F1121" i="42"/>
  <c r="F1120" i="42"/>
  <c r="F1119" i="42"/>
  <c r="F1118" i="42"/>
  <c r="F1117" i="42"/>
  <c r="F1116" i="42"/>
  <c r="F1115" i="42"/>
  <c r="F1112" i="42"/>
  <c r="F1111" i="42"/>
  <c r="F1110" i="42"/>
  <c r="F1109" i="42"/>
  <c r="F1108" i="42"/>
  <c r="F1107" i="42"/>
  <c r="F1106" i="42"/>
  <c r="F1104" i="42"/>
  <c r="F1103" i="42"/>
  <c r="F1102" i="42"/>
  <c r="F1101" i="42"/>
  <c r="F1100" i="42"/>
  <c r="F1099" i="42"/>
  <c r="F1096" i="42"/>
  <c r="F1095" i="42"/>
  <c r="F1094" i="42"/>
  <c r="F1093" i="42"/>
  <c r="F1092" i="42"/>
  <c r="F1091" i="42"/>
  <c r="F1090" i="42"/>
  <c r="F1089" i="42"/>
  <c r="F1086" i="42"/>
  <c r="F1085" i="42"/>
  <c r="F1084" i="42"/>
  <c r="F1082" i="42"/>
  <c r="F1081" i="42"/>
  <c r="F1080" i="42"/>
  <c r="F1079" i="42"/>
  <c r="F1078" i="42"/>
  <c r="F1077" i="42"/>
  <c r="F1076" i="42"/>
  <c r="F1075" i="42"/>
  <c r="F1072" i="42"/>
  <c r="F1071" i="42"/>
  <c r="F1070" i="42"/>
  <c r="F1069" i="42"/>
  <c r="F1068" i="42"/>
  <c r="F1067" i="42"/>
  <c r="F1065" i="42"/>
  <c r="F1064" i="42"/>
  <c r="F1063" i="42"/>
  <c r="F1062" i="42"/>
  <c r="F1059" i="42"/>
  <c r="F1058" i="42"/>
  <c r="F1057" i="42"/>
  <c r="F1056" i="42"/>
  <c r="F1055" i="42"/>
  <c r="F1054" i="42"/>
  <c r="F1053" i="42"/>
  <c r="F1052" i="42"/>
  <c r="F1051" i="42"/>
  <c r="F1050" i="42"/>
  <c r="F1049" i="42"/>
  <c r="F1048" i="42"/>
  <c r="F1047" i="42"/>
  <c r="F1046" i="42"/>
  <c r="F1045" i="42"/>
  <c r="F1044" i="42"/>
  <c r="F1043" i="42"/>
  <c r="F1042" i="42"/>
  <c r="F1040" i="42"/>
  <c r="F1039" i="42"/>
  <c r="F1038" i="42"/>
  <c r="F1037" i="42"/>
  <c r="F1036" i="42"/>
  <c r="F1035" i="42"/>
  <c r="F1034" i="42"/>
  <c r="F1033" i="42"/>
  <c r="F1031" i="42"/>
  <c r="F1030" i="42"/>
  <c r="F1029" i="42"/>
  <c r="F1028" i="42"/>
  <c r="F1027" i="42"/>
  <c r="F1026" i="42"/>
  <c r="F1025" i="42"/>
  <c r="F1024" i="42"/>
  <c r="F1023" i="42"/>
  <c r="F1019" i="42"/>
  <c r="F1018" i="42"/>
  <c r="F1017" i="42"/>
  <c r="F1016" i="42"/>
  <c r="F1015" i="42"/>
  <c r="F1014" i="42"/>
  <c r="F1013" i="42"/>
  <c r="F1012" i="42"/>
  <c r="F1011" i="42"/>
  <c r="F1010" i="42"/>
  <c r="F1009" i="42"/>
  <c r="F1008" i="42"/>
  <c r="F1007" i="42"/>
  <c r="F1006" i="42"/>
  <c r="F1005" i="42"/>
  <c r="F1004" i="42"/>
  <c r="F1003" i="42"/>
  <c r="F1002" i="42"/>
  <c r="F1001" i="42"/>
  <c r="F1000" i="42"/>
  <c r="F999" i="42"/>
  <c r="F998" i="42"/>
  <c r="F997" i="42"/>
  <c r="F996" i="42"/>
  <c r="F995" i="42"/>
  <c r="F994" i="42"/>
  <c r="F990" i="42"/>
  <c r="F989" i="42"/>
  <c r="F988" i="42"/>
  <c r="F987" i="42"/>
  <c r="F986" i="42"/>
  <c r="F985" i="42"/>
  <c r="F984" i="42"/>
  <c r="F983" i="42"/>
  <c r="F978" i="42"/>
  <c r="F977" i="42"/>
  <c r="F976" i="42"/>
  <c r="F975" i="42"/>
  <c r="F974" i="42"/>
  <c r="F973" i="42"/>
  <c r="F972" i="42"/>
  <c r="F971" i="42"/>
  <c r="F970" i="42"/>
  <c r="F969" i="42"/>
  <c r="F968" i="42"/>
  <c r="F967" i="42"/>
  <c r="F966" i="42"/>
  <c r="F965" i="42"/>
  <c r="F960" i="42"/>
  <c r="F959" i="42"/>
  <c r="F958" i="42"/>
  <c r="F957" i="42"/>
  <c r="F956" i="42"/>
  <c r="F955" i="42"/>
  <c r="F954" i="42"/>
  <c r="F953" i="42"/>
  <c r="F952" i="42"/>
  <c r="F951" i="42"/>
  <c r="F950" i="42"/>
  <c r="F946" i="42"/>
  <c r="F945" i="42"/>
  <c r="F944" i="42"/>
  <c r="F943" i="42"/>
  <c r="F942" i="42"/>
  <c r="F941" i="42"/>
  <c r="F940" i="42"/>
  <c r="F939" i="42"/>
  <c r="F935" i="42"/>
  <c r="F934" i="42"/>
  <c r="F933" i="42"/>
  <c r="F932" i="42"/>
  <c r="F931" i="42"/>
  <c r="F930" i="42"/>
  <c r="F929" i="42"/>
  <c r="F928" i="42"/>
  <c r="F921" i="42"/>
  <c r="F920" i="42"/>
  <c r="F919" i="42"/>
  <c r="F918" i="42"/>
  <c r="F917" i="42"/>
  <c r="F916" i="42"/>
  <c r="F914" i="42"/>
  <c r="F913" i="42"/>
  <c r="F910" i="42"/>
  <c r="F909" i="42"/>
  <c r="F908" i="42"/>
  <c r="F907" i="42"/>
  <c r="F906" i="42"/>
  <c r="F905" i="42"/>
  <c r="F903" i="42"/>
  <c r="F902" i="42"/>
  <c r="F901" i="42"/>
  <c r="F900" i="42"/>
  <c r="F899" i="42"/>
  <c r="F898" i="42"/>
  <c r="F897" i="42"/>
  <c r="F896" i="42"/>
  <c r="F895" i="42"/>
  <c r="F894" i="42"/>
  <c r="F893" i="42"/>
  <c r="F891" i="42"/>
  <c r="F890" i="42"/>
  <c r="F889" i="42"/>
  <c r="F888" i="42"/>
  <c r="F887" i="42"/>
  <c r="F886" i="42"/>
  <c r="F885" i="42"/>
  <c r="F884" i="42"/>
  <c r="F883" i="42"/>
  <c r="F882" i="42"/>
  <c r="F881" i="42"/>
  <c r="F879" i="42"/>
  <c r="F878" i="42"/>
  <c r="F877" i="42"/>
  <c r="F876" i="42"/>
  <c r="F875" i="42"/>
  <c r="F874" i="42"/>
  <c r="F873" i="42"/>
  <c r="F872" i="42"/>
  <c r="F871" i="42"/>
  <c r="F870" i="42"/>
  <c r="F863" i="42"/>
  <c r="F862" i="42"/>
  <c r="F861" i="42"/>
  <c r="F860" i="42"/>
  <c r="F859" i="42"/>
  <c r="F858" i="42"/>
  <c r="F857" i="42"/>
  <c r="F856" i="42"/>
  <c r="F855" i="42"/>
  <c r="F854" i="42"/>
  <c r="F853" i="42"/>
  <c r="F847" i="42"/>
  <c r="F846" i="42"/>
  <c r="F845" i="42"/>
  <c r="F844" i="42"/>
  <c r="F843" i="42"/>
  <c r="F837" i="42"/>
  <c r="F836" i="42"/>
  <c r="F835" i="42"/>
  <c r="F834" i="42"/>
  <c r="F833" i="42"/>
  <c r="F832" i="42"/>
  <c r="F831" i="42"/>
  <c r="F830" i="42"/>
  <c r="F829" i="42"/>
  <c r="F828" i="42"/>
  <c r="F822" i="42"/>
  <c r="F821" i="42"/>
  <c r="F820" i="42"/>
  <c r="F819" i="42"/>
  <c r="F818" i="42"/>
  <c r="F817" i="42"/>
  <c r="F816" i="42"/>
  <c r="F815" i="42"/>
  <c r="F814" i="42"/>
  <c r="F813" i="42"/>
  <c r="F812" i="42"/>
  <c r="F807" i="42"/>
  <c r="F806" i="42"/>
  <c r="F805" i="42"/>
  <c r="F804" i="42"/>
  <c r="F803" i="42"/>
  <c r="F802" i="42"/>
  <c r="F801" i="42"/>
  <c r="F800" i="42"/>
  <c r="F798" i="42"/>
  <c r="F797" i="42"/>
  <c r="F796" i="42"/>
  <c r="F795" i="42"/>
  <c r="F794" i="42"/>
  <c r="F793" i="42"/>
  <c r="F792" i="42"/>
  <c r="F791" i="42"/>
  <c r="F790" i="42"/>
  <c r="F789" i="42"/>
  <c r="F788" i="42"/>
  <c r="F786" i="42"/>
  <c r="F785" i="42"/>
  <c r="F784" i="42"/>
  <c r="F783" i="42"/>
  <c r="F782" i="42"/>
  <c r="F781" i="42"/>
  <c r="F780" i="42"/>
  <c r="F779" i="42"/>
  <c r="F778" i="42"/>
  <c r="F777" i="42"/>
  <c r="F776" i="42"/>
  <c r="F775" i="42"/>
  <c r="F774" i="42"/>
  <c r="F773" i="42"/>
  <c r="F772" i="42"/>
  <c r="F771" i="42"/>
  <c r="F770" i="42"/>
  <c r="F769" i="42"/>
  <c r="F768" i="42"/>
  <c r="F767" i="42"/>
  <c r="F766" i="42"/>
  <c r="F765" i="42"/>
  <c r="F764" i="42"/>
  <c r="F763" i="42"/>
  <c r="F762" i="42"/>
  <c r="F761" i="42"/>
  <c r="F760" i="42"/>
  <c r="F759" i="42"/>
  <c r="F758" i="42"/>
  <c r="F757" i="42"/>
  <c r="F756" i="42"/>
  <c r="F755" i="42"/>
  <c r="F754" i="42"/>
  <c r="F753" i="42"/>
  <c r="F752" i="42"/>
  <c r="F751" i="42"/>
  <c r="F750" i="42"/>
  <c r="F749" i="42"/>
  <c r="F748" i="42"/>
  <c r="F747" i="42"/>
  <c r="F746" i="42"/>
  <c r="F745" i="42"/>
  <c r="F744" i="42"/>
  <c r="F743" i="42"/>
  <c r="F742" i="42"/>
  <c r="F741" i="42"/>
  <c r="F740" i="42"/>
  <c r="F730" i="42"/>
  <c r="F729" i="42"/>
  <c r="F728" i="42"/>
  <c r="F727" i="42"/>
  <c r="F726" i="42"/>
  <c r="F725" i="42"/>
  <c r="F724" i="42"/>
  <c r="F723" i="42"/>
  <c r="F711" i="42"/>
  <c r="F710" i="42"/>
  <c r="F709" i="42"/>
  <c r="F708" i="42"/>
  <c r="F707" i="42"/>
  <c r="F706" i="42"/>
  <c r="F705" i="42"/>
  <c r="F704" i="42"/>
  <c r="F694" i="42"/>
  <c r="F693" i="42"/>
  <c r="F692" i="42"/>
  <c r="F691" i="42"/>
  <c r="F690" i="42"/>
  <c r="F689" i="42"/>
  <c r="F688" i="42"/>
  <c r="F687" i="42"/>
  <c r="F681" i="42"/>
  <c r="F680" i="42"/>
  <c r="F679" i="42"/>
  <c r="F678" i="42"/>
  <c r="F677" i="42"/>
  <c r="F676" i="42"/>
  <c r="F675" i="42"/>
  <c r="F674" i="42"/>
  <c r="F673" i="42"/>
  <c r="F672" i="42"/>
  <c r="F671" i="42"/>
  <c r="F670" i="42"/>
  <c r="F664" i="42"/>
  <c r="F663" i="42"/>
  <c r="F662" i="42"/>
  <c r="F661" i="42"/>
  <c r="F660" i="42"/>
  <c r="F659" i="42"/>
  <c r="F658" i="42"/>
  <c r="F657" i="42"/>
  <c r="F656" i="42"/>
  <c r="F655" i="42"/>
  <c r="F649" i="42"/>
  <c r="F648" i="42"/>
  <c r="F647" i="42"/>
  <c r="F646" i="42"/>
  <c r="F645" i="42"/>
  <c r="F644" i="42"/>
  <c r="F643" i="42"/>
  <c r="F642" i="42"/>
  <c r="F641" i="42"/>
  <c r="F640" i="42"/>
  <c r="F639" i="42"/>
  <c r="F635" i="42"/>
  <c r="F634" i="42"/>
  <c r="F633" i="42"/>
  <c r="F632" i="42"/>
  <c r="F631" i="42"/>
  <c r="F630" i="42"/>
  <c r="F629" i="42"/>
  <c r="F628" i="42"/>
  <c r="F621" i="42"/>
  <c r="F620" i="42"/>
  <c r="F619" i="42"/>
  <c r="F618" i="42"/>
  <c r="F617" i="42"/>
  <c r="F616" i="42"/>
  <c r="F615" i="42"/>
  <c r="F608" i="42"/>
  <c r="F607" i="42"/>
  <c r="F606" i="42"/>
  <c r="F605" i="42"/>
  <c r="F604" i="42"/>
  <c r="F603" i="42"/>
  <c r="F602" i="42"/>
  <c r="F598" i="42"/>
  <c r="F597" i="42"/>
  <c r="F596" i="42"/>
  <c r="F595" i="42"/>
  <c r="F594" i="42"/>
  <c r="F593" i="42"/>
  <c r="F592" i="42"/>
  <c r="F588" i="42"/>
  <c r="F587" i="42"/>
  <c r="F586" i="42"/>
  <c r="F585" i="42"/>
  <c r="F584" i="42"/>
  <c r="F583" i="42"/>
  <c r="F582" i="42"/>
  <c r="F575" i="42"/>
  <c r="F574" i="42"/>
  <c r="F573" i="42"/>
  <c r="F572" i="42"/>
  <c r="F571" i="42"/>
  <c r="F570" i="42"/>
  <c r="F569" i="42"/>
  <c r="F568" i="42"/>
  <c r="F564" i="42"/>
  <c r="F563" i="42"/>
  <c r="F562" i="42"/>
  <c r="F561" i="42"/>
  <c r="F559" i="42"/>
  <c r="F558" i="42"/>
  <c r="F557" i="42"/>
  <c r="F553" i="42"/>
  <c r="F552" i="42"/>
  <c r="F551" i="42"/>
  <c r="F550" i="42"/>
  <c r="F548" i="42"/>
  <c r="F547" i="42"/>
  <c r="F546" i="42"/>
  <c r="F540" i="42"/>
  <c r="F539" i="42"/>
  <c r="F538" i="42"/>
  <c r="F537" i="42"/>
  <c r="F535" i="42"/>
  <c r="F534" i="42"/>
  <c r="F533" i="42"/>
  <c r="F529" i="42"/>
  <c r="F528" i="42"/>
  <c r="F527" i="42"/>
  <c r="F526" i="42"/>
  <c r="F524" i="42"/>
  <c r="F523" i="42"/>
  <c r="F522" i="42"/>
  <c r="F518" i="42"/>
  <c r="F517" i="42"/>
  <c r="F516" i="42"/>
  <c r="F514" i="42"/>
  <c r="F513" i="42"/>
  <c r="F512" i="42"/>
  <c r="F508" i="42"/>
  <c r="F507" i="42"/>
  <c r="F506" i="42"/>
  <c r="F504" i="42"/>
  <c r="F503" i="42"/>
  <c r="F502" i="42"/>
  <c r="F501" i="42"/>
  <c r="F500" i="42"/>
  <c r="F499" i="42"/>
  <c r="F498" i="42"/>
  <c r="F497" i="42"/>
  <c r="F496" i="42"/>
  <c r="F493" i="42"/>
  <c r="F492" i="42"/>
  <c r="F491" i="42"/>
  <c r="F489" i="42"/>
  <c r="F488" i="42"/>
  <c r="F487" i="42"/>
  <c r="F486" i="42"/>
  <c r="F485" i="42"/>
  <c r="F484" i="42"/>
  <c r="F483" i="42"/>
  <c r="F480" i="42"/>
  <c r="F479" i="42"/>
  <c r="F478" i="42"/>
  <c r="F477" i="42"/>
  <c r="F476" i="42"/>
  <c r="F475" i="42"/>
  <c r="F474" i="42"/>
  <c r="F471" i="42"/>
  <c r="F470" i="42"/>
  <c r="F469" i="42"/>
  <c r="F468" i="42"/>
  <c r="F467" i="42"/>
  <c r="F466" i="42"/>
  <c r="F465" i="42"/>
  <c r="F462" i="42"/>
  <c r="F461" i="42"/>
  <c r="F460" i="42"/>
  <c r="F459" i="42"/>
  <c r="F458" i="42"/>
  <c r="F457" i="42"/>
  <c r="F456" i="42"/>
  <c r="F453" i="42"/>
  <c r="F452" i="42"/>
  <c r="F451" i="42"/>
  <c r="F449" i="42"/>
  <c r="F448" i="42"/>
  <c r="F445" i="42"/>
  <c r="F444" i="42"/>
  <c r="F443" i="42"/>
  <c r="F441" i="42"/>
  <c r="F440" i="42"/>
  <c r="F436" i="42"/>
  <c r="F435" i="42"/>
  <c r="F434" i="42"/>
  <c r="F433" i="42"/>
  <c r="F432" i="42"/>
  <c r="F427" i="42"/>
  <c r="F426" i="42"/>
  <c r="F425" i="42"/>
  <c r="F424" i="42"/>
  <c r="F423" i="42"/>
  <c r="F422" i="42"/>
  <c r="F418" i="42"/>
  <c r="F417" i="42"/>
  <c r="F416" i="42"/>
  <c r="F414" i="42"/>
  <c r="F413" i="42"/>
  <c r="F412" i="42"/>
  <c r="F410" i="42"/>
  <c r="F409" i="42"/>
  <c r="F408" i="42"/>
  <c r="F407" i="42"/>
  <c r="F406" i="42"/>
  <c r="F405" i="42"/>
  <c r="F404" i="42"/>
  <c r="F403" i="42"/>
  <c r="F401" i="42"/>
  <c r="F400" i="42"/>
  <c r="F399" i="42"/>
  <c r="F398" i="42"/>
  <c r="F397" i="42"/>
  <c r="F396" i="42"/>
  <c r="F395" i="42"/>
  <c r="F393" i="42"/>
  <c r="F392" i="42"/>
  <c r="F391" i="42"/>
  <c r="F390" i="42"/>
  <c r="F389" i="42"/>
  <c r="F388" i="42"/>
  <c r="F387" i="42"/>
  <c r="F386" i="42"/>
  <c r="F382" i="42"/>
  <c r="F381" i="42"/>
  <c r="F380" i="42"/>
  <c r="F379" i="42"/>
  <c r="F378" i="42"/>
  <c r="F377" i="42"/>
  <c r="F376" i="42"/>
  <c r="F375" i="42"/>
  <c r="F371" i="42"/>
  <c r="F370" i="42"/>
  <c r="F369" i="42"/>
  <c r="F368" i="42"/>
  <c r="F367" i="42"/>
  <c r="F366" i="42"/>
  <c r="F365" i="42"/>
  <c r="F364" i="42"/>
  <c r="F363" i="42"/>
  <c r="F360" i="42"/>
  <c r="F359" i="42"/>
  <c r="F358" i="42"/>
  <c r="F357" i="42"/>
  <c r="F355" i="42"/>
  <c r="F354" i="42"/>
  <c r="F353" i="42"/>
  <c r="F350" i="42"/>
  <c r="F349" i="42"/>
  <c r="F348" i="42"/>
  <c r="F347" i="42"/>
  <c r="F345" i="42"/>
  <c r="F344" i="42"/>
  <c r="F343" i="42"/>
  <c r="F340" i="42"/>
  <c r="F339" i="42"/>
  <c r="F338" i="42"/>
  <c r="F337" i="42"/>
  <c r="F334" i="42"/>
  <c r="F333" i="42"/>
  <c r="F332" i="42"/>
  <c r="F331" i="42"/>
  <c r="F328" i="42"/>
  <c r="F327" i="42"/>
  <c r="F326" i="42"/>
  <c r="F325" i="42"/>
  <c r="F324" i="42"/>
  <c r="F323" i="42"/>
  <c r="F322" i="42"/>
  <c r="F321" i="42"/>
  <c r="F318" i="42"/>
  <c r="F317" i="42"/>
  <c r="F316" i="42"/>
  <c r="F315" i="42"/>
  <c r="F314" i="42"/>
  <c r="F313" i="42"/>
  <c r="F312" i="42"/>
  <c r="F311" i="42"/>
  <c r="F307" i="42"/>
  <c r="F306" i="42"/>
  <c r="F305" i="42"/>
  <c r="F304" i="42"/>
  <c r="F303" i="42"/>
  <c r="F302" i="42"/>
  <c r="F301" i="42"/>
  <c r="F300" i="42"/>
  <c r="F299" i="42"/>
  <c r="F296" i="42"/>
  <c r="F295" i="42"/>
  <c r="F294" i="42"/>
  <c r="F293" i="42"/>
  <c r="F292" i="42"/>
  <c r="F291" i="42"/>
  <c r="F290" i="42"/>
  <c r="F289" i="42"/>
  <c r="F287" i="42"/>
  <c r="F286" i="42"/>
  <c r="F285" i="42"/>
  <c r="F284" i="42"/>
  <c r="F283" i="42"/>
  <c r="F282" i="42"/>
  <c r="F281" i="42"/>
  <c r="F280" i="42"/>
  <c r="F279" i="42"/>
  <c r="F277" i="42"/>
  <c r="F276" i="42"/>
  <c r="F275" i="42"/>
  <c r="F274" i="42"/>
  <c r="F273" i="42"/>
  <c r="F272" i="42"/>
  <c r="F271" i="42"/>
  <c r="F270" i="42"/>
  <c r="F269" i="42"/>
  <c r="F266" i="42"/>
  <c r="F265" i="42"/>
  <c r="F264" i="42"/>
  <c r="F263" i="42"/>
  <c r="F262" i="42"/>
  <c r="F261" i="42"/>
  <c r="F260" i="42"/>
  <c r="F259" i="42"/>
  <c r="F257" i="42"/>
  <c r="F256" i="42"/>
  <c r="F255" i="42"/>
  <c r="F254" i="42"/>
  <c r="F253" i="42"/>
  <c r="F252" i="42"/>
  <c r="F251" i="42"/>
  <c r="F250" i="42"/>
  <c r="F249" i="42"/>
  <c r="F247" i="42"/>
  <c r="F246" i="42"/>
  <c r="F245" i="42"/>
  <c r="F244" i="42"/>
  <c r="F243" i="42"/>
  <c r="F242" i="42"/>
  <c r="F241" i="42"/>
  <c r="F240" i="42"/>
  <c r="F239" i="42"/>
  <c r="F238" i="42"/>
  <c r="F237" i="42"/>
  <c r="F236" i="42"/>
  <c r="F235" i="42"/>
  <c r="F234" i="42"/>
  <c r="F233" i="42"/>
  <c r="F232" i="42"/>
  <c r="F231" i="42"/>
  <c r="F230" i="42"/>
  <c r="F229" i="42"/>
  <c r="F228" i="42"/>
  <c r="F227" i="42"/>
  <c r="F223" i="42"/>
  <c r="F222" i="42"/>
  <c r="F221" i="42"/>
  <c r="F220" i="42"/>
  <c r="F219" i="42"/>
  <c r="F218" i="42"/>
  <c r="F217" i="42"/>
  <c r="F216" i="42"/>
  <c r="F215" i="42"/>
  <c r="F214" i="42"/>
  <c r="F213" i="42"/>
  <c r="F211" i="42"/>
  <c r="F210" i="42"/>
  <c r="F209" i="42"/>
  <c r="F208" i="42"/>
  <c r="F207" i="42"/>
  <c r="F206" i="42"/>
  <c r="F205" i="42"/>
  <c r="F204" i="42"/>
  <c r="F187" i="42"/>
  <c r="F186" i="42"/>
  <c r="F185" i="42"/>
  <c r="F184" i="42"/>
  <c r="F183" i="42"/>
  <c r="F182" i="42"/>
  <c r="F181" i="42"/>
  <c r="F180" i="42"/>
  <c r="F179" i="42"/>
  <c r="F178" i="42"/>
  <c r="F162" i="42"/>
  <c r="F158" i="42"/>
  <c r="F157" i="42"/>
  <c r="F156" i="42"/>
  <c r="F155" i="42"/>
  <c r="F154" i="42"/>
  <c r="F153" i="42"/>
  <c r="F152" i="42"/>
  <c r="F151" i="42"/>
  <c r="F150" i="42"/>
  <c r="F149" i="42"/>
  <c r="F148" i="42"/>
  <c r="F146" i="42"/>
  <c r="F145" i="42"/>
  <c r="F143" i="42"/>
  <c r="F142" i="42"/>
  <c r="F139" i="42"/>
  <c r="F138" i="42"/>
  <c r="F137" i="42"/>
  <c r="F128" i="42"/>
  <c r="F125" i="42"/>
  <c r="F124" i="42"/>
  <c r="F123" i="42"/>
  <c r="F121" i="42"/>
  <c r="F120" i="42"/>
  <c r="F119" i="42"/>
  <c r="F117" i="42"/>
  <c r="F116" i="42"/>
  <c r="F114" i="42"/>
  <c r="F110" i="42"/>
  <c r="F109" i="42"/>
  <c r="F108" i="42"/>
  <c r="F107" i="42"/>
  <c r="F106" i="42"/>
  <c r="F105" i="42"/>
  <c r="F104" i="42"/>
  <c r="F103" i="42"/>
  <c r="F102" i="42"/>
  <c r="F101" i="42"/>
  <c r="F100" i="42"/>
  <c r="F93" i="42"/>
  <c r="F92" i="42"/>
  <c r="F91" i="42"/>
  <c r="F90" i="42"/>
  <c r="F89" i="42"/>
  <c r="F88" i="42"/>
  <c r="F87" i="42"/>
  <c r="F86" i="42"/>
  <c r="F85" i="42"/>
  <c r="F84" i="42"/>
  <c r="F83" i="42"/>
  <c r="F82" i="42"/>
  <c r="F81" i="42"/>
  <c r="F80" i="42"/>
  <c r="F79" i="42"/>
  <c r="F78" i="42"/>
  <c r="F75" i="42"/>
  <c r="F74" i="42"/>
  <c r="F72" i="42"/>
  <c r="F71" i="42"/>
  <c r="F67" i="42"/>
  <c r="F66" i="42"/>
  <c r="F65" i="42"/>
  <c r="F64" i="42"/>
  <c r="F63" i="42"/>
  <c r="F62" i="42"/>
  <c r="F61" i="42"/>
  <c r="F57" i="42"/>
  <c r="F56" i="42"/>
  <c r="F55" i="42"/>
  <c r="F54" i="42"/>
  <c r="F53" i="42"/>
  <c r="F52" i="42"/>
  <c r="F51" i="42"/>
  <c r="F49" i="42"/>
  <c r="F48" i="42"/>
  <c r="F37" i="42"/>
  <c r="F36" i="42"/>
  <c r="F32" i="42"/>
  <c r="F31" i="42"/>
  <c r="F29" i="42"/>
  <c r="F25" i="42"/>
  <c r="F24" i="42"/>
  <c r="F23" i="42"/>
  <c r="F21" i="42"/>
  <c r="F20" i="42"/>
  <c r="F19" i="42"/>
  <c r="F15" i="42"/>
  <c r="F14" i="42"/>
  <c r="F13" i="42"/>
  <c r="G2401" i="42"/>
  <c r="G2394" i="42"/>
  <c r="E2547" i="42"/>
  <c r="H2054" i="42"/>
  <c r="G490" i="103" s="1"/>
  <c r="D16" i="49"/>
  <c r="C2077" i="42"/>
  <c r="E17" i="49"/>
  <c r="D17" i="49"/>
  <c r="F19" i="84"/>
  <c r="K18" i="84"/>
  <c r="F66" i="12" s="1"/>
  <c r="I66" i="12" s="1"/>
  <c r="I743" i="42" s="1"/>
  <c r="J743" i="42" s="1"/>
  <c r="E19" i="84"/>
  <c r="K17" i="84"/>
  <c r="F6" i="84"/>
  <c r="F7" i="84" s="1"/>
  <c r="E6" i="84"/>
  <c r="I7" i="84"/>
  <c r="I6" i="84"/>
  <c r="I256" i="12"/>
  <c r="F255" i="12"/>
  <c r="I255" i="12" s="1"/>
  <c r="I3223" i="42" s="1"/>
  <c r="J3223" i="42" s="1"/>
  <c r="J3222" i="42" s="1"/>
  <c r="K3221" i="42" s="1"/>
  <c r="H1471" i="42"/>
  <c r="G359" i="103" s="1"/>
  <c r="H1461" i="42"/>
  <c r="G340" i="103" s="1"/>
  <c r="O1477" i="42"/>
  <c r="H1477" i="42"/>
  <c r="G365" i="103" s="1"/>
  <c r="H1475" i="42"/>
  <c r="G363" i="103" s="1"/>
  <c r="O1473" i="42"/>
  <c r="O1472" i="42"/>
  <c r="O1471" i="42"/>
  <c r="C1469" i="42"/>
  <c r="C357" i="103" s="1"/>
  <c r="D2283" i="42"/>
  <c r="D769" i="103" s="1"/>
  <c r="E2283" i="42"/>
  <c r="E769" i="103" s="1"/>
  <c r="D2304" i="42"/>
  <c r="E2304" i="42"/>
  <c r="F87" i="12"/>
  <c r="I87" i="12" s="1"/>
  <c r="O1645" i="42"/>
  <c r="H1645" i="42"/>
  <c r="O1644" i="42"/>
  <c r="H1644" i="42"/>
  <c r="O1643" i="42"/>
  <c r="H1643" i="42"/>
  <c r="H1641" i="42"/>
  <c r="O1639" i="42"/>
  <c r="H1639" i="42"/>
  <c r="O1638" i="42"/>
  <c r="H1638" i="42"/>
  <c r="O1637" i="42"/>
  <c r="H1637" i="42"/>
  <c r="O1636" i="42"/>
  <c r="H1636" i="42"/>
  <c r="C1634" i="42"/>
  <c r="H1628" i="42"/>
  <c r="O1632" i="42"/>
  <c r="O1631" i="42"/>
  <c r="O1630" i="42"/>
  <c r="O1626" i="42"/>
  <c r="O1625" i="42"/>
  <c r="O1624" i="42"/>
  <c r="O1623" i="42"/>
  <c r="C1621" i="42"/>
  <c r="O1619" i="42"/>
  <c r="O1618" i="42"/>
  <c r="O1617" i="42"/>
  <c r="O1613" i="42"/>
  <c r="O1612" i="42"/>
  <c r="O1611" i="42"/>
  <c r="O1610" i="42"/>
  <c r="H1619" i="42"/>
  <c r="G2326" i="98" s="1"/>
  <c r="C1608" i="42"/>
  <c r="H1606" i="42"/>
  <c r="E138" i="12"/>
  <c r="I138" i="12" s="1"/>
  <c r="E23" i="12"/>
  <c r="E19" i="12"/>
  <c r="E13" i="12"/>
  <c r="E14" i="12"/>
  <c r="E15" i="12" s="1"/>
  <c r="E12" i="12"/>
  <c r="E11" i="12"/>
  <c r="O92" i="58"/>
  <c r="I251" i="12"/>
  <c r="I1218" i="42" s="1"/>
  <c r="J1218" i="42" s="1"/>
  <c r="I252" i="12"/>
  <c r="O1225" i="42"/>
  <c r="F189" i="12"/>
  <c r="I189" i="12" s="1"/>
  <c r="H2932" i="42"/>
  <c r="G1069" i="103" s="1"/>
  <c r="H2930" i="42"/>
  <c r="G1067" i="103" s="1"/>
  <c r="C2927" i="42"/>
  <c r="I222" i="12"/>
  <c r="H2914" i="42"/>
  <c r="G1024" i="103" s="1"/>
  <c r="H2912" i="42"/>
  <c r="G1022" i="103" s="1"/>
  <c r="C2909" i="42"/>
  <c r="C1019" i="103" s="1"/>
  <c r="F220" i="12"/>
  <c r="I220" i="12" s="1"/>
  <c r="H2902" i="42"/>
  <c r="G1009" i="103" s="1"/>
  <c r="H2900" i="42"/>
  <c r="G1007" i="103" s="1"/>
  <c r="C2897" i="42"/>
  <c r="C1004" i="103" s="1"/>
  <c r="F219" i="12"/>
  <c r="I219" i="12" s="1"/>
  <c r="H2908" i="42"/>
  <c r="H2906" i="42"/>
  <c r="C2903" i="42"/>
  <c r="F218" i="12"/>
  <c r="I218" i="12" s="1"/>
  <c r="F217" i="12"/>
  <c r="I217" i="12" s="1"/>
  <c r="D3156" i="42"/>
  <c r="E3156" i="42"/>
  <c r="F3156" i="42" s="1"/>
  <c r="D2746" i="42"/>
  <c r="E2746" i="42"/>
  <c r="F2746" i="42" s="1"/>
  <c r="D1778" i="42"/>
  <c r="E1778" i="42"/>
  <c r="F1778" i="42" s="1"/>
  <c r="D1742" i="42"/>
  <c r="E1742" i="42"/>
  <c r="E2488" i="98" s="1"/>
  <c r="B279" i="12"/>
  <c r="C279" i="12" s="1"/>
  <c r="A107" i="7"/>
  <c r="A108" i="7"/>
  <c r="A109" i="7"/>
  <c r="A110" i="7"/>
  <c r="G111" i="7"/>
  <c r="D1347" i="42"/>
  <c r="E1347" i="42"/>
  <c r="E1945" i="98" s="1"/>
  <c r="D1083" i="42"/>
  <c r="E1083" i="42"/>
  <c r="E1414" i="98" s="1"/>
  <c r="D3146" i="42"/>
  <c r="E3146" i="42"/>
  <c r="E3260" i="98" s="1"/>
  <c r="A95" i="7"/>
  <c r="A96" i="7"/>
  <c r="A97" i="7"/>
  <c r="A98" i="7"/>
  <c r="D12" i="42"/>
  <c r="D9" i="98" s="1"/>
  <c r="E12" i="42"/>
  <c r="B278" i="12"/>
  <c r="C278" i="12" s="1"/>
  <c r="B277" i="12"/>
  <c r="B276" i="12"/>
  <c r="C276" i="12" s="1"/>
  <c r="A101" i="7"/>
  <c r="A102" i="7"/>
  <c r="A103" i="7"/>
  <c r="A104" i="7"/>
  <c r="G105" i="7"/>
  <c r="A113" i="7"/>
  <c r="A114" i="7"/>
  <c r="G99" i="7"/>
  <c r="G156" i="7"/>
  <c r="G155" i="7"/>
  <c r="G150" i="7"/>
  <c r="G149" i="7"/>
  <c r="G144" i="7"/>
  <c r="G143" i="7"/>
  <c r="G138" i="7"/>
  <c r="G137" i="7"/>
  <c r="G132" i="7"/>
  <c r="G131" i="7"/>
  <c r="A84" i="7"/>
  <c r="A85" i="7"/>
  <c r="A86" i="7"/>
  <c r="A87" i="7"/>
  <c r="A89" i="7"/>
  <c r="A90" i="7"/>
  <c r="G93" i="7"/>
  <c r="G158" i="7"/>
  <c r="A157" i="7"/>
  <c r="A156" i="7"/>
  <c r="A155" i="7"/>
  <c r="A154" i="7"/>
  <c r="G152" i="7"/>
  <c r="I152" i="7" s="1"/>
  <c r="A151" i="7"/>
  <c r="A150" i="7"/>
  <c r="A149" i="7"/>
  <c r="A148" i="7"/>
  <c r="G146" i="7"/>
  <c r="I146" i="7" s="1"/>
  <c r="A145" i="7"/>
  <c r="A144" i="7"/>
  <c r="A143" i="7"/>
  <c r="A142" i="7"/>
  <c r="G140" i="7"/>
  <c r="G134" i="7"/>
  <c r="A139" i="7"/>
  <c r="A138" i="7"/>
  <c r="A137" i="7"/>
  <c r="A136" i="7"/>
  <c r="A133" i="7"/>
  <c r="A132" i="7"/>
  <c r="A131" i="7"/>
  <c r="A130" i="7"/>
  <c r="F254" i="12"/>
  <c r="I254" i="12" s="1"/>
  <c r="H1482" i="42"/>
  <c r="G379" i="103" s="1"/>
  <c r="H1480" i="42"/>
  <c r="G377" i="103" s="1"/>
  <c r="O1482" i="42"/>
  <c r="C1479" i="42"/>
  <c r="C376" i="103" s="1"/>
  <c r="C2824" i="42"/>
  <c r="C921" i="103" s="1"/>
  <c r="C2819" i="42"/>
  <c r="C907" i="103" s="1"/>
  <c r="C1999" i="42"/>
  <c r="O1313" i="42"/>
  <c r="O1312" i="42"/>
  <c r="C1310" i="42"/>
  <c r="C1854" i="98" s="1"/>
  <c r="F186" i="12"/>
  <c r="I186" i="12" s="1"/>
  <c r="H342" i="42"/>
  <c r="H341" i="42"/>
  <c r="H339" i="42"/>
  <c r="O342" i="42"/>
  <c r="O341" i="42"/>
  <c r="C338" i="42"/>
  <c r="O330" i="42"/>
  <c r="O329" i="42"/>
  <c r="O325" i="42"/>
  <c r="O324" i="42"/>
  <c r="C322" i="42"/>
  <c r="C399" i="98" s="1"/>
  <c r="H298" i="42"/>
  <c r="H297" i="42"/>
  <c r="G351" i="98" s="1"/>
  <c r="H295" i="42"/>
  <c r="O293" i="42"/>
  <c r="H293" i="42"/>
  <c r="G347" i="98" s="1"/>
  <c r="O292" i="42"/>
  <c r="H292" i="42"/>
  <c r="C290" i="42"/>
  <c r="H288" i="42"/>
  <c r="H286" i="42"/>
  <c r="H284" i="42"/>
  <c r="H283" i="42"/>
  <c r="H282" i="42"/>
  <c r="O288" i="42"/>
  <c r="O284" i="42"/>
  <c r="O283" i="42"/>
  <c r="O282" i="42"/>
  <c r="C280" i="42"/>
  <c r="H268" i="42"/>
  <c r="G314" i="98" s="1"/>
  <c r="H267" i="42"/>
  <c r="H265" i="42"/>
  <c r="H263" i="42"/>
  <c r="H262" i="42"/>
  <c r="G308" i="98" s="1"/>
  <c r="O263" i="42"/>
  <c r="O262" i="42"/>
  <c r="C260" i="42"/>
  <c r="C306" i="98" s="1"/>
  <c r="H258" i="42"/>
  <c r="H256" i="42"/>
  <c r="H254" i="42"/>
  <c r="H253" i="42"/>
  <c r="H252" i="42"/>
  <c r="O258" i="42"/>
  <c r="O254" i="42"/>
  <c r="O253" i="42"/>
  <c r="O252" i="42"/>
  <c r="C250" i="42"/>
  <c r="H24" i="84"/>
  <c r="K24" i="84" s="1"/>
  <c r="F64" i="102" s="1"/>
  <c r="I64" i="102" s="1"/>
  <c r="H25" i="84"/>
  <c r="K25" i="84" s="1"/>
  <c r="F47" i="102" s="1"/>
  <c r="H23" i="84"/>
  <c r="K23" i="84" s="1"/>
  <c r="F168" i="102" s="1"/>
  <c r="I168" i="102" s="1"/>
  <c r="F30" i="84"/>
  <c r="E30" i="84"/>
  <c r="K29" i="84"/>
  <c r="F139" i="102" s="1"/>
  <c r="I139" i="102" s="1"/>
  <c r="M25" i="84"/>
  <c r="M24" i="84"/>
  <c r="M23" i="84"/>
  <c r="E22" i="84"/>
  <c r="K22" i="84" s="1"/>
  <c r="E9" i="84"/>
  <c r="K9" i="84" s="1"/>
  <c r="F208" i="12"/>
  <c r="I208" i="12" s="1"/>
  <c r="H2112" i="42"/>
  <c r="G570" i="103" s="1"/>
  <c r="J24" i="84"/>
  <c r="J23" i="84"/>
  <c r="F221" i="12"/>
  <c r="I221" i="12" s="1"/>
  <c r="F216" i="12"/>
  <c r="I216" i="12" s="1"/>
  <c r="F215" i="12"/>
  <c r="I215" i="12" s="1"/>
  <c r="F214" i="12"/>
  <c r="I214" i="12" s="1"/>
  <c r="I2869" i="42" s="1"/>
  <c r="J2869" i="42" s="1"/>
  <c r="J2868" i="42" s="1"/>
  <c r="K2867" i="42" s="1"/>
  <c r="F188" i="12"/>
  <c r="I188" i="12" s="1"/>
  <c r="F163" i="12"/>
  <c r="I163" i="12" s="1"/>
  <c r="F158" i="12"/>
  <c r="I158" i="12" s="1"/>
  <c r="E125" i="12"/>
  <c r="I125" i="12" s="1"/>
  <c r="I2032" i="42" s="1"/>
  <c r="J2032" i="42" s="1"/>
  <c r="F102" i="12"/>
  <c r="I102" i="12" s="1"/>
  <c r="F101" i="12"/>
  <c r="I101" i="12" s="1"/>
  <c r="F100" i="12"/>
  <c r="I100" i="12" s="1"/>
  <c r="F61" i="12"/>
  <c r="I61" i="12" s="1"/>
  <c r="F60" i="12"/>
  <c r="I60" i="12" s="1"/>
  <c r="F59" i="12"/>
  <c r="I59" i="12" s="1"/>
  <c r="I57" i="12" s="1"/>
  <c r="I885" i="42" s="1"/>
  <c r="J885" i="42" s="1"/>
  <c r="E150" i="12"/>
  <c r="I150" i="12" s="1"/>
  <c r="E34" i="12"/>
  <c r="E33" i="12"/>
  <c r="F136" i="12"/>
  <c r="I136" i="12" s="1"/>
  <c r="I90" i="42" s="1"/>
  <c r="J90" i="42" s="1"/>
  <c r="M15" i="81"/>
  <c r="M16" i="81"/>
  <c r="M17" i="81"/>
  <c r="M18" i="81"/>
  <c r="M19" i="81"/>
  <c r="M20" i="81"/>
  <c r="M21" i="81"/>
  <c r="M22" i="81"/>
  <c r="M23" i="81"/>
  <c r="M24" i="81"/>
  <c r="M25" i="81"/>
  <c r="M26" i="81"/>
  <c r="M27" i="81"/>
  <c r="M28" i="81"/>
  <c r="M29" i="81"/>
  <c r="M30" i="81"/>
  <c r="M31" i="81"/>
  <c r="M32" i="81"/>
  <c r="M33" i="81"/>
  <c r="M34" i="81"/>
  <c r="M35" i="81"/>
  <c r="AD58" i="58"/>
  <c r="AA58" i="58"/>
  <c r="Y58" i="58"/>
  <c r="X58" i="58"/>
  <c r="U58" i="58"/>
  <c r="P58" i="58"/>
  <c r="O58" i="58"/>
  <c r="N58" i="58"/>
  <c r="L58" i="58"/>
  <c r="AC58" i="58" s="1"/>
  <c r="A58" i="58"/>
  <c r="AD54" i="58"/>
  <c r="AC54" i="58"/>
  <c r="AA54" i="58"/>
  <c r="AE54" i="58" s="1"/>
  <c r="Y54" i="58"/>
  <c r="X54" i="58"/>
  <c r="U54" i="58"/>
  <c r="P54" i="58"/>
  <c r="O54" i="58"/>
  <c r="N54" i="58"/>
  <c r="D54" i="58"/>
  <c r="W54" i="58" s="1"/>
  <c r="A54" i="58"/>
  <c r="AD51" i="58"/>
  <c r="AC51" i="58"/>
  <c r="AA51" i="58"/>
  <c r="Y51" i="58"/>
  <c r="X51" i="58"/>
  <c r="U51" i="58"/>
  <c r="P51" i="58"/>
  <c r="O51" i="58"/>
  <c r="N51" i="58"/>
  <c r="W51" i="58"/>
  <c r="A51" i="58"/>
  <c r="AD48" i="58"/>
  <c r="AA48" i="58"/>
  <c r="Y48" i="58"/>
  <c r="X48" i="58"/>
  <c r="U48" i="58"/>
  <c r="P48" i="58"/>
  <c r="O48" i="58"/>
  <c r="N48" i="58"/>
  <c r="AC48" i="58"/>
  <c r="W48" i="58"/>
  <c r="A48" i="58"/>
  <c r="AD45" i="58"/>
  <c r="AA45" i="58"/>
  <c r="Y45" i="58"/>
  <c r="X45" i="58"/>
  <c r="U45" i="58"/>
  <c r="P45" i="58"/>
  <c r="O45" i="58"/>
  <c r="N45" i="58"/>
  <c r="AC45" i="58"/>
  <c r="D45" i="58"/>
  <c r="W45" i="58" s="1"/>
  <c r="AE45" i="58" s="1"/>
  <c r="A45" i="58"/>
  <c r="AD42" i="58"/>
  <c r="AA42" i="58"/>
  <c r="Y42" i="58"/>
  <c r="X42" i="58"/>
  <c r="U42" i="58"/>
  <c r="P42" i="58"/>
  <c r="O42" i="58"/>
  <c r="N42" i="58"/>
  <c r="L42" i="58"/>
  <c r="AC42" i="58" s="1"/>
  <c r="A42" i="58"/>
  <c r="AD39" i="58"/>
  <c r="AA39" i="58"/>
  <c r="Y39" i="58"/>
  <c r="X39" i="58"/>
  <c r="U39" i="58"/>
  <c r="P39" i="58"/>
  <c r="O39" i="58"/>
  <c r="N39" i="58"/>
  <c r="L39" i="58"/>
  <c r="AC39" i="58" s="1"/>
  <c r="A39" i="58"/>
  <c r="AD35" i="58"/>
  <c r="AA35" i="58"/>
  <c r="Y35" i="58"/>
  <c r="X35" i="58"/>
  <c r="U35" i="58"/>
  <c r="P35" i="58"/>
  <c r="O35" i="58"/>
  <c r="N35" i="58"/>
  <c r="L35" i="58"/>
  <c r="AC35" i="58" s="1"/>
  <c r="A35" i="58"/>
  <c r="AD32" i="58"/>
  <c r="AA32" i="58"/>
  <c r="Y32" i="58"/>
  <c r="X32" i="58"/>
  <c r="U32" i="58"/>
  <c r="P32" i="58"/>
  <c r="O32" i="58"/>
  <c r="N32" i="58"/>
  <c r="L32" i="58"/>
  <c r="AC32" i="58" s="1"/>
  <c r="A32" i="58"/>
  <c r="AD28" i="58"/>
  <c r="AA28" i="58"/>
  <c r="Y28" i="58"/>
  <c r="X28" i="58"/>
  <c r="U28" i="58"/>
  <c r="P28" i="58"/>
  <c r="O28" i="58"/>
  <c r="N28" i="58"/>
  <c r="L28" i="58"/>
  <c r="AC28" i="58" s="1"/>
  <c r="A28" i="58"/>
  <c r="AD25" i="58"/>
  <c r="AA25" i="58"/>
  <c r="Y25" i="58"/>
  <c r="X25" i="58"/>
  <c r="U25" i="58"/>
  <c r="P25" i="58"/>
  <c r="O25" i="58"/>
  <c r="N25" i="58"/>
  <c r="A25" i="58"/>
  <c r="L25" i="58"/>
  <c r="AC25" i="58" s="1"/>
  <c r="C1936" i="42"/>
  <c r="C407" i="103" s="1"/>
  <c r="D3177" i="42"/>
  <c r="D1415" i="103" s="1"/>
  <c r="E3177" i="42"/>
  <c r="E1415" i="103" s="1"/>
  <c r="O3182" i="42"/>
  <c r="O3181" i="42"/>
  <c r="C3175" i="42"/>
  <c r="C1413" i="103" s="1"/>
  <c r="H993" i="42"/>
  <c r="H992" i="42"/>
  <c r="H991" i="42"/>
  <c r="H989" i="42"/>
  <c r="H987" i="42"/>
  <c r="H986" i="42"/>
  <c r="H186" i="42"/>
  <c r="H190" i="42"/>
  <c r="H189" i="42"/>
  <c r="H188" i="42"/>
  <c r="O182" i="42"/>
  <c r="O1213" i="42"/>
  <c r="O1214" i="42"/>
  <c r="O1215" i="42"/>
  <c r="O1216" i="42"/>
  <c r="O1217" i="42"/>
  <c r="O1218" i="42"/>
  <c r="O1219" i="42"/>
  <c r="O1220" i="42"/>
  <c r="O1221" i="42"/>
  <c r="O1222" i="42"/>
  <c r="O1223" i="42"/>
  <c r="O1224" i="42"/>
  <c r="D73" i="42"/>
  <c r="E73" i="42"/>
  <c r="E102" i="98" s="1"/>
  <c r="B281" i="12"/>
  <c r="C281" i="12" s="1"/>
  <c r="A36" i="7"/>
  <c r="A35" i="7"/>
  <c r="A34" i="7"/>
  <c r="A33" i="7"/>
  <c r="H274" i="42"/>
  <c r="H273" i="42"/>
  <c r="H272" i="42"/>
  <c r="G327" i="98" s="1"/>
  <c r="H244" i="42"/>
  <c r="H243" i="42"/>
  <c r="H242" i="42"/>
  <c r="E196" i="12"/>
  <c r="I196" i="12" s="1"/>
  <c r="I1471" i="42" s="1"/>
  <c r="J1471" i="42" s="1"/>
  <c r="E36" i="12"/>
  <c r="E37" i="12" s="1"/>
  <c r="E35" i="12"/>
  <c r="M54" i="81"/>
  <c r="M55" i="81"/>
  <c r="M36" i="81"/>
  <c r="M37" i="81"/>
  <c r="M38" i="81"/>
  <c r="M39" i="81"/>
  <c r="M40" i="81"/>
  <c r="M41" i="81"/>
  <c r="M42" i="81"/>
  <c r="M43" i="81"/>
  <c r="M44" i="81"/>
  <c r="M45" i="81"/>
  <c r="M46" i="81"/>
  <c r="M47" i="81"/>
  <c r="M48" i="81"/>
  <c r="M49" i="81"/>
  <c r="M50" i="81"/>
  <c r="M51" i="81"/>
  <c r="M52" i="81"/>
  <c r="M53" i="81"/>
  <c r="M14" i="81"/>
  <c r="H16" i="86"/>
  <c r="L16" i="86" s="1"/>
  <c r="C123" i="42"/>
  <c r="C165" i="98" s="1"/>
  <c r="H18" i="86"/>
  <c r="H19" i="86" s="1"/>
  <c r="E98" i="12"/>
  <c r="I98" i="12" s="1"/>
  <c r="I2674" i="42" s="1"/>
  <c r="J2674" i="42" s="1"/>
  <c r="I2677" i="42" s="1"/>
  <c r="J2677" i="42" s="1"/>
  <c r="J2673" i="42" s="1"/>
  <c r="K2672" i="42" s="1"/>
  <c r="J24" i="58"/>
  <c r="W24" i="58" s="1"/>
  <c r="J18" i="58"/>
  <c r="J21" i="58" s="1"/>
  <c r="W21" i="58" s="1"/>
  <c r="AD27" i="58"/>
  <c r="AA27" i="58"/>
  <c r="X27" i="58"/>
  <c r="U27" i="58"/>
  <c r="P27" i="58"/>
  <c r="O27" i="58"/>
  <c r="N27" i="58"/>
  <c r="L27" i="58"/>
  <c r="AC27" i="58"/>
  <c r="D27" i="58"/>
  <c r="D28" i="58" s="1"/>
  <c r="W28" i="58" s="1"/>
  <c r="AD24" i="58"/>
  <c r="AA24" i="58"/>
  <c r="X24" i="58"/>
  <c r="U24" i="58"/>
  <c r="P24" i="58"/>
  <c r="O24" i="58"/>
  <c r="N24" i="58"/>
  <c r="L24" i="58"/>
  <c r="AC24" i="58"/>
  <c r="D24" i="58"/>
  <c r="D25" i="58" s="1"/>
  <c r="W25" i="58" s="1"/>
  <c r="H2875" i="42"/>
  <c r="H2869" i="42"/>
  <c r="I7" i="59"/>
  <c r="G6" i="82"/>
  <c r="G7" i="82"/>
  <c r="E20" i="82" s="1"/>
  <c r="G8" i="82"/>
  <c r="G9" i="82"/>
  <c r="C10" i="82"/>
  <c r="G10" i="82" s="1"/>
  <c r="G11" i="82"/>
  <c r="G12" i="82"/>
  <c r="G13" i="82"/>
  <c r="E149" i="12"/>
  <c r="I149" i="12" s="1"/>
  <c r="I2951" i="42" s="1"/>
  <c r="J2951" i="42" s="1"/>
  <c r="A1" i="86"/>
  <c r="A2" i="86"/>
  <c r="B8" i="86"/>
  <c r="H13" i="86"/>
  <c r="B11" i="49"/>
  <c r="B13" i="58"/>
  <c r="C13" i="58" s="1"/>
  <c r="D13" i="58" s="1"/>
  <c r="E13" i="58" s="1"/>
  <c r="G13" i="58" s="1"/>
  <c r="H13" i="58" s="1"/>
  <c r="I13" i="58" s="1"/>
  <c r="J13" i="58" s="1"/>
  <c r="K13" i="58" s="1"/>
  <c r="L13" i="58" s="1"/>
  <c r="W13" i="58" s="1"/>
  <c r="AE13" i="58" s="1"/>
  <c r="AF13" i="58" s="1"/>
  <c r="AG13" i="58" s="1"/>
  <c r="AH13" i="58" s="1"/>
  <c r="AI13" i="58" s="1"/>
  <c r="AJ13" i="58" s="1"/>
  <c r="A17" i="58"/>
  <c r="D17" i="58"/>
  <c r="W17" i="58" s="1"/>
  <c r="L17" i="58"/>
  <c r="AC17" i="58" s="1"/>
  <c r="N17" i="58"/>
  <c r="O17" i="58"/>
  <c r="P17" i="58"/>
  <c r="U17" i="58"/>
  <c r="X17" i="58"/>
  <c r="Y17" i="58"/>
  <c r="AA17" i="58"/>
  <c r="AD17" i="58"/>
  <c r="A18" i="58"/>
  <c r="D18" i="58"/>
  <c r="L18" i="58"/>
  <c r="N18" i="58"/>
  <c r="O18" i="58"/>
  <c r="P18" i="58"/>
  <c r="U18" i="58"/>
  <c r="X18" i="58"/>
  <c r="AA18" i="58"/>
  <c r="AC18" i="58"/>
  <c r="AD18" i="58"/>
  <c r="D20" i="58"/>
  <c r="W20" i="58" s="1"/>
  <c r="L20" i="58"/>
  <c r="AC20" i="58" s="1"/>
  <c r="N20" i="58"/>
  <c r="O20" i="58"/>
  <c r="P20" i="58"/>
  <c r="U20" i="58"/>
  <c r="X20" i="58"/>
  <c r="Y20" i="58"/>
  <c r="AA20" i="58"/>
  <c r="AD20" i="58"/>
  <c r="D21" i="58"/>
  <c r="Y21" i="58" s="1"/>
  <c r="L21" i="58"/>
  <c r="N21" i="58"/>
  <c r="O21" i="58"/>
  <c r="P21" i="58"/>
  <c r="U21" i="58"/>
  <c r="X21" i="58"/>
  <c r="AA21" i="58"/>
  <c r="AC21" i="58"/>
  <c r="AD21" i="58"/>
  <c r="D31" i="58"/>
  <c r="D32" i="58" s="1"/>
  <c r="W32" i="58" s="1"/>
  <c r="J31" i="58"/>
  <c r="L31" i="58"/>
  <c r="N31" i="58"/>
  <c r="O31" i="58"/>
  <c r="P31" i="58"/>
  <c r="U31" i="58"/>
  <c r="X31" i="58"/>
  <c r="AA31" i="58"/>
  <c r="AC31" i="58"/>
  <c r="AD31" i="58"/>
  <c r="D34" i="58"/>
  <c r="D35" i="58" s="1"/>
  <c r="W35" i="58" s="1"/>
  <c r="J34" i="58"/>
  <c r="W34" i="58" s="1"/>
  <c r="L34" i="58"/>
  <c r="AC34" i="58"/>
  <c r="N34" i="58"/>
  <c r="O34" i="58"/>
  <c r="P34" i="58"/>
  <c r="U34" i="58"/>
  <c r="X34" i="58"/>
  <c r="AA34" i="58"/>
  <c r="AD34" i="58"/>
  <c r="D38" i="58"/>
  <c r="L38" i="58"/>
  <c r="N38" i="58"/>
  <c r="O38" i="58"/>
  <c r="X38" i="58"/>
  <c r="AA38" i="58"/>
  <c r="AC38" i="58"/>
  <c r="AD38" i="58"/>
  <c r="D41" i="58"/>
  <c r="J41" i="58"/>
  <c r="L41" i="58"/>
  <c r="N41" i="58"/>
  <c r="O41" i="58"/>
  <c r="P41" i="58"/>
  <c r="U41" i="58"/>
  <c r="X41" i="58"/>
  <c r="AA41" i="58"/>
  <c r="AC41" i="58"/>
  <c r="AD41" i="58"/>
  <c r="A43" i="58"/>
  <c r="A46" i="58" s="1"/>
  <c r="A49" i="58" s="1"/>
  <c r="A52" i="58" s="1"/>
  <c r="J44" i="58"/>
  <c r="W44" i="58" s="1"/>
  <c r="L44" i="58"/>
  <c r="N44" i="58"/>
  <c r="O44" i="58"/>
  <c r="P44" i="58"/>
  <c r="U44" i="58"/>
  <c r="X44" i="58"/>
  <c r="AA44" i="58"/>
  <c r="AC44" i="58"/>
  <c r="AD44" i="58"/>
  <c r="L47" i="58"/>
  <c r="N47" i="58"/>
  <c r="O47" i="58"/>
  <c r="P47" i="58"/>
  <c r="U47" i="58"/>
  <c r="X47" i="58"/>
  <c r="AA47" i="58"/>
  <c r="AC47" i="58"/>
  <c r="AD47" i="58"/>
  <c r="L50" i="58"/>
  <c r="N50" i="58"/>
  <c r="O50" i="58"/>
  <c r="P50" i="58"/>
  <c r="U50" i="58"/>
  <c r="X50" i="58"/>
  <c r="AA50" i="58"/>
  <c r="AC50" i="58"/>
  <c r="AD50" i="58"/>
  <c r="L53" i="58"/>
  <c r="N53" i="58"/>
  <c r="O53" i="58"/>
  <c r="P53" i="58"/>
  <c r="U53" i="58"/>
  <c r="W53" i="58"/>
  <c r="X53" i="58"/>
  <c r="Y53" i="58"/>
  <c r="AA53" i="58"/>
  <c r="AC53" i="58"/>
  <c r="AD53" i="58"/>
  <c r="D57" i="58"/>
  <c r="J57" i="58"/>
  <c r="W57" i="58" s="1"/>
  <c r="L57" i="58"/>
  <c r="AC57" i="58"/>
  <c r="N57" i="58"/>
  <c r="O57" i="58"/>
  <c r="P57" i="58"/>
  <c r="U57" i="58"/>
  <c r="X57" i="58"/>
  <c r="AA57" i="58"/>
  <c r="AD57" i="58"/>
  <c r="A6" i="84"/>
  <c r="A7" i="84" s="1"/>
  <c r="A8" i="84" s="1"/>
  <c r="A9" i="84" s="1"/>
  <c r="A10" i="84" s="1"/>
  <c r="A11" i="84" s="1"/>
  <c r="A12" i="84" s="1"/>
  <c r="A13" i="84" s="1"/>
  <c r="A14" i="84" s="1"/>
  <c r="A15" i="84" s="1"/>
  <c r="A16" i="84" s="1"/>
  <c r="A17" i="84" s="1"/>
  <c r="A18" i="84" s="1"/>
  <c r="A19" i="84" s="1"/>
  <c r="A20" i="84" s="1"/>
  <c r="A21" i="84" s="1"/>
  <c r="A22" i="84" s="1"/>
  <c r="A23" i="84" s="1"/>
  <c r="A24" i="84" s="1"/>
  <c r="A25" i="84" s="1"/>
  <c r="A26" i="84" s="1"/>
  <c r="A27" i="84" s="1"/>
  <c r="A28" i="84" s="1"/>
  <c r="A29" i="84" s="1"/>
  <c r="A30" i="84" s="1"/>
  <c r="J20" i="84"/>
  <c r="J21" i="84"/>
  <c r="J22" i="84"/>
  <c r="D9" i="87"/>
  <c r="G9" i="87"/>
  <c r="D10" i="87"/>
  <c r="G10" i="87"/>
  <c r="D12" i="87"/>
  <c r="G12" i="87"/>
  <c r="G13" i="87" s="1"/>
  <c r="E27" i="12"/>
  <c r="E28" i="12"/>
  <c r="E29" i="12" s="1"/>
  <c r="E42" i="12"/>
  <c r="E43" i="12" s="1"/>
  <c r="E44" i="12" s="1"/>
  <c r="I47" i="12"/>
  <c r="I216" i="42" s="1"/>
  <c r="J216" i="42" s="1"/>
  <c r="I63" i="12"/>
  <c r="I2501" i="42" s="1"/>
  <c r="J2501" i="42" s="1"/>
  <c r="I82" i="12"/>
  <c r="H113" i="7" s="1"/>
  <c r="I113" i="7" s="1"/>
  <c r="I83" i="12"/>
  <c r="H105" i="7" s="1"/>
  <c r="I84" i="12"/>
  <c r="H77" i="7" s="1"/>
  <c r="I77" i="7" s="1"/>
  <c r="I85" i="12"/>
  <c r="I86" i="12"/>
  <c r="F88" i="12"/>
  <c r="I88" i="12" s="1"/>
  <c r="F89" i="12"/>
  <c r="I89" i="12" s="1"/>
  <c r="I91" i="12"/>
  <c r="I347" i="42" s="1"/>
  <c r="J347" i="42" s="1"/>
  <c r="E92" i="12"/>
  <c r="I92" i="12" s="1"/>
  <c r="E93" i="12"/>
  <c r="I93" i="12" s="1"/>
  <c r="E94" i="12"/>
  <c r="I94" i="12" s="1"/>
  <c r="E95" i="12"/>
  <c r="I95" i="12" s="1"/>
  <c r="E96" i="12"/>
  <c r="I96" i="12" s="1"/>
  <c r="I1004" i="42" s="1"/>
  <c r="J1004" i="42" s="1"/>
  <c r="E97" i="12"/>
  <c r="I97" i="12" s="1"/>
  <c r="E104" i="12"/>
  <c r="I104" i="12" s="1"/>
  <c r="I2759" i="42" s="1"/>
  <c r="J2759" i="42" s="1"/>
  <c r="E105" i="12"/>
  <c r="I105" i="12" s="1"/>
  <c r="I2999" i="42" s="1"/>
  <c r="J2999" i="42" s="1"/>
  <c r="I106" i="12"/>
  <c r="I107" i="12"/>
  <c r="I108" i="12"/>
  <c r="I109" i="12"/>
  <c r="E110" i="12"/>
  <c r="I110" i="12" s="1"/>
  <c r="I220" i="42" s="1"/>
  <c r="J220" i="42" s="1"/>
  <c r="F111" i="12"/>
  <c r="I111" i="12" s="1"/>
  <c r="I1279" i="42" s="1"/>
  <c r="J1279" i="42" s="1"/>
  <c r="E112" i="12"/>
  <c r="I112" i="12" s="1"/>
  <c r="I113" i="12"/>
  <c r="I900" i="42" s="1"/>
  <c r="J900" i="42" s="1"/>
  <c r="I114" i="12"/>
  <c r="I2618" i="42" s="1"/>
  <c r="J2618" i="42" s="1"/>
  <c r="I115" i="12"/>
  <c r="I116" i="12"/>
  <c r="I1420" i="42" s="1"/>
  <c r="J1420" i="42" s="1"/>
  <c r="I117" i="12"/>
  <c r="I1700" i="42" s="1"/>
  <c r="I118" i="12"/>
  <c r="F119" i="12"/>
  <c r="I119" i="12" s="1"/>
  <c r="I120" i="12"/>
  <c r="I2693" i="42" s="1"/>
  <c r="J2693" i="42" s="1"/>
  <c r="J2692" i="42" s="1"/>
  <c r="K2691" i="42" s="1"/>
  <c r="I121" i="12"/>
  <c r="I122" i="12"/>
  <c r="I2755" i="42" s="1"/>
  <c r="J2755" i="42" s="1"/>
  <c r="J2754" i="42" s="1"/>
  <c r="K2753" i="42" s="1"/>
  <c r="F123" i="12"/>
  <c r="I123" i="12" s="1"/>
  <c r="E126" i="12"/>
  <c r="I126" i="12" s="1"/>
  <c r="I2031" i="42" s="1"/>
  <c r="J2031" i="42" s="1"/>
  <c r="E127" i="12"/>
  <c r="I131" i="12"/>
  <c r="I133" i="12"/>
  <c r="I1013" i="42" s="1"/>
  <c r="J1013" i="42" s="1"/>
  <c r="E134" i="12"/>
  <c r="I134" i="12" s="1"/>
  <c r="I135" i="12"/>
  <c r="I137" i="12"/>
  <c r="E140" i="12"/>
  <c r="I142" i="12"/>
  <c r="I2146" i="42" s="1"/>
  <c r="J2146" i="42" s="1"/>
  <c r="I143" i="12"/>
  <c r="I1307" i="42" s="1"/>
  <c r="J1307" i="42" s="1"/>
  <c r="I145" i="12"/>
  <c r="I1375" i="42" s="1"/>
  <c r="J1375" i="42" s="1"/>
  <c r="I146" i="12"/>
  <c r="G147" i="12"/>
  <c r="I147" i="12"/>
  <c r="I676" i="42" s="1"/>
  <c r="J676" i="42" s="1"/>
  <c r="I148" i="12"/>
  <c r="I151" i="12"/>
  <c r="I1300" i="42" s="1"/>
  <c r="J1300" i="42" s="1"/>
  <c r="I152" i="12"/>
  <c r="I156" i="12"/>
  <c r="I157" i="12"/>
  <c r="I159" i="12"/>
  <c r="I231" i="42" s="1"/>
  <c r="J231" i="42" s="1"/>
  <c r="I160" i="12"/>
  <c r="I1798" i="42" s="1"/>
  <c r="J1798" i="42" s="1"/>
  <c r="I161" i="12"/>
  <c r="I162" i="12"/>
  <c r="F164" i="12"/>
  <c r="I164" i="12" s="1"/>
  <c r="I165" i="12"/>
  <c r="I166" i="12"/>
  <c r="I167" i="12"/>
  <c r="I168" i="12"/>
  <c r="I169" i="12"/>
  <c r="I170" i="12"/>
  <c r="I916" i="42" s="1"/>
  <c r="J916" i="42" s="1"/>
  <c r="I171" i="12"/>
  <c r="I172" i="12"/>
  <c r="I918" i="42" s="1"/>
  <c r="J918" i="42" s="1"/>
  <c r="I173" i="12"/>
  <c r="I175" i="12"/>
  <c r="I1050" i="42" s="1"/>
  <c r="J1050" i="42" s="1"/>
  <c r="I1318" i="42"/>
  <c r="J1318" i="42" s="1"/>
  <c r="I182" i="12"/>
  <c r="I3262" i="42" s="1"/>
  <c r="J3262" i="42" s="1"/>
  <c r="I183" i="12"/>
  <c r="E184" i="12"/>
  <c r="I184" i="12" s="1"/>
  <c r="I1356" i="42" s="1"/>
  <c r="J1356" i="42" s="1"/>
  <c r="I185" i="12"/>
  <c r="I187" i="12"/>
  <c r="I2050" i="42" s="1"/>
  <c r="J2050" i="42" s="1"/>
  <c r="J2049" i="42" s="1"/>
  <c r="K2048" i="42" s="1"/>
  <c r="I190" i="12"/>
  <c r="I191" i="12"/>
  <c r="I192" i="12"/>
  <c r="I194" i="12"/>
  <c r="I1325" i="42" s="1"/>
  <c r="J1325" i="42" s="1"/>
  <c r="I195" i="12"/>
  <c r="I198" i="12"/>
  <c r="I199" i="12"/>
  <c r="I200" i="12"/>
  <c r="I201" i="12"/>
  <c r="I3040" i="42" s="1"/>
  <c r="J3040" i="42" s="1"/>
  <c r="J3039" i="42" s="1"/>
  <c r="K3038" i="42" s="1"/>
  <c r="I202" i="12"/>
  <c r="I205" i="12"/>
  <c r="F206" i="12"/>
  <c r="I206" i="12" s="1"/>
  <c r="I2384" i="42" s="1"/>
  <c r="J2384" i="42" s="1"/>
  <c r="J2383" i="42" s="1"/>
  <c r="K2382" i="42" s="1"/>
  <c r="I207" i="12"/>
  <c r="I209" i="12"/>
  <c r="I210" i="12"/>
  <c r="I211" i="12"/>
  <c r="I212" i="12"/>
  <c r="I213" i="12"/>
  <c r="I223" i="12"/>
  <c r="I224" i="12"/>
  <c r="I225" i="12"/>
  <c r="I226" i="12"/>
  <c r="I227" i="12"/>
  <c r="I228" i="12"/>
  <c r="I229" i="12"/>
  <c r="I230" i="12"/>
  <c r="I231" i="12"/>
  <c r="I232" i="12"/>
  <c r="I233" i="12"/>
  <c r="I234" i="12"/>
  <c r="I235" i="12"/>
  <c r="I236" i="12"/>
  <c r="I237" i="12"/>
  <c r="I238" i="12"/>
  <c r="I239" i="12"/>
  <c r="I240" i="12"/>
  <c r="I241" i="12"/>
  <c r="I242" i="12"/>
  <c r="I243" i="12"/>
  <c r="I244" i="12"/>
  <c r="I245" i="12"/>
  <c r="I246" i="12"/>
  <c r="I2568" i="42" s="1"/>
  <c r="J2568" i="42" s="1"/>
  <c r="I247" i="12"/>
  <c r="I248" i="12"/>
  <c r="I249" i="12"/>
  <c r="I250" i="12"/>
  <c r="I2561" i="42" s="1"/>
  <c r="J2561" i="42" s="1"/>
  <c r="I253" i="12"/>
  <c r="B258" i="12"/>
  <c r="B259" i="12"/>
  <c r="C259" i="12" s="1"/>
  <c r="B260" i="12"/>
  <c r="C260" i="12" s="1"/>
  <c r="B261" i="12"/>
  <c r="B262" i="12"/>
  <c r="C262" i="12" s="1"/>
  <c r="B263" i="12"/>
  <c r="C263" i="12" s="1"/>
  <c r="B264" i="12"/>
  <c r="C264" i="12" s="1"/>
  <c r="B265" i="12"/>
  <c r="C265" i="12" s="1"/>
  <c r="B266" i="12"/>
  <c r="C266" i="12" s="1"/>
  <c r="B267" i="12"/>
  <c r="C267" i="12" s="1"/>
  <c r="B268" i="12"/>
  <c r="C268" i="12" s="1"/>
  <c r="B269" i="12"/>
  <c r="C269" i="12" s="1"/>
  <c r="B270" i="12"/>
  <c r="C270" i="12" s="1"/>
  <c r="B271" i="12"/>
  <c r="C271" i="12" s="1"/>
  <c r="B272" i="12"/>
  <c r="C272" i="12" s="1"/>
  <c r="B274" i="12"/>
  <c r="C274" i="12" s="1"/>
  <c r="B275" i="12"/>
  <c r="C275" i="12" s="1"/>
  <c r="B280" i="12"/>
  <c r="C280" i="12" s="1"/>
  <c r="A7" i="7"/>
  <c r="A8" i="7"/>
  <c r="A9" i="7"/>
  <c r="A10" i="7"/>
  <c r="A11" i="7"/>
  <c r="A13" i="7"/>
  <c r="A14" i="7"/>
  <c r="A15" i="7"/>
  <c r="A16" i="7"/>
  <c r="A18" i="7"/>
  <c r="A19" i="7"/>
  <c r="A20" i="7"/>
  <c r="A21" i="7"/>
  <c r="A23" i="7"/>
  <c r="A24" i="7"/>
  <c r="A25" i="7"/>
  <c r="A26" i="7"/>
  <c r="A28" i="7"/>
  <c r="A29" i="7"/>
  <c r="A30" i="7"/>
  <c r="A31" i="7"/>
  <c r="A38" i="7"/>
  <c r="A39" i="7"/>
  <c r="A40" i="7"/>
  <c r="A41" i="7"/>
  <c r="A43" i="7"/>
  <c r="A44" i="7"/>
  <c r="A45" i="7"/>
  <c r="A46" i="7"/>
  <c r="A48" i="7"/>
  <c r="A49" i="7"/>
  <c r="A50" i="7"/>
  <c r="A51" i="7"/>
  <c r="G52" i="7"/>
  <c r="A54" i="7"/>
  <c r="A55" i="7"/>
  <c r="A56" i="7"/>
  <c r="A57" i="7"/>
  <c r="G58" i="7"/>
  <c r="A59" i="7"/>
  <c r="A61" i="7"/>
  <c r="A62" i="7"/>
  <c r="A63" i="7"/>
  <c r="A64" i="7"/>
  <c r="A65" i="7"/>
  <c r="A67" i="7"/>
  <c r="A68" i="7"/>
  <c r="A69" i="7"/>
  <c r="A70" i="7"/>
  <c r="A71" i="7"/>
  <c r="A73" i="7"/>
  <c r="A74" i="7"/>
  <c r="A75" i="7"/>
  <c r="A76" i="7"/>
  <c r="A77" i="7"/>
  <c r="A79" i="7"/>
  <c r="A80" i="7"/>
  <c r="A81" i="7"/>
  <c r="A82" i="7"/>
  <c r="A116" i="7"/>
  <c r="A117" i="7"/>
  <c r="A118" i="7"/>
  <c r="A120" i="7"/>
  <c r="A121" i="7"/>
  <c r="A122" i="7"/>
  <c r="A123" i="7"/>
  <c r="A125" i="7"/>
  <c r="A126" i="7"/>
  <c r="A127" i="7"/>
  <c r="A128" i="7"/>
  <c r="H12" i="66"/>
  <c r="E18" i="66"/>
  <c r="L20" i="66"/>
  <c r="S20" i="66" s="1"/>
  <c r="M20" i="66"/>
  <c r="Z20" i="66" s="1"/>
  <c r="L21" i="66"/>
  <c r="S21" i="66" s="1"/>
  <c r="M21" i="66"/>
  <c r="Z21" i="66" s="1"/>
  <c r="S22" i="66"/>
  <c r="M22" i="66"/>
  <c r="Z22" i="66" s="1"/>
  <c r="L23" i="66"/>
  <c r="S23" i="66" s="1"/>
  <c r="M23" i="66"/>
  <c r="Z23" i="66" s="1"/>
  <c r="L24" i="66"/>
  <c r="S24" i="66" s="1"/>
  <c r="M24" i="66"/>
  <c r="Z24" i="66" s="1"/>
  <c r="L25" i="66"/>
  <c r="S25" i="66" s="1"/>
  <c r="M25" i="66"/>
  <c r="Z25" i="66" s="1"/>
  <c r="L26" i="66"/>
  <c r="S26" i="66" s="1"/>
  <c r="M26" i="66"/>
  <c r="Z26" i="66" s="1"/>
  <c r="L27" i="66"/>
  <c r="S27" i="66" s="1"/>
  <c r="M27" i="66"/>
  <c r="Z27" i="66" s="1"/>
  <c r="L28" i="66"/>
  <c r="S28" i="66" s="1"/>
  <c r="M28" i="66"/>
  <c r="Z28" i="66" s="1"/>
  <c r="L29" i="66"/>
  <c r="S29" i="66" s="1"/>
  <c r="M29" i="66"/>
  <c r="Z29" i="66" s="1"/>
  <c r="L30" i="66"/>
  <c r="S30" i="66" s="1"/>
  <c r="M30" i="66"/>
  <c r="Z30" i="66" s="1"/>
  <c r="L31" i="66"/>
  <c r="S31" i="66" s="1"/>
  <c r="M31" i="66"/>
  <c r="Z31" i="66" s="1"/>
  <c r="L32" i="66"/>
  <c r="S32" i="66" s="1"/>
  <c r="M32" i="66"/>
  <c r="Z32" i="66" s="1"/>
  <c r="L33" i="66"/>
  <c r="S33" i="66" s="1"/>
  <c r="M33" i="66"/>
  <c r="Z33" i="66" s="1"/>
  <c r="L34" i="66"/>
  <c r="S34" i="66" s="1"/>
  <c r="M34" i="66"/>
  <c r="Z34" i="66" s="1"/>
  <c r="L35" i="66"/>
  <c r="S35" i="66" s="1"/>
  <c r="M35" i="66"/>
  <c r="Z35" i="66" s="1"/>
  <c r="L36" i="66"/>
  <c r="S36" i="66" s="1"/>
  <c r="M36" i="66"/>
  <c r="Z36" i="66" s="1"/>
  <c r="L37" i="66"/>
  <c r="S37" i="66" s="1"/>
  <c r="M37" i="66"/>
  <c r="Z37" i="66" s="1"/>
  <c r="L38" i="66"/>
  <c r="S38" i="66" s="1"/>
  <c r="M38" i="66"/>
  <c r="Z38" i="66" s="1"/>
  <c r="L39" i="66"/>
  <c r="S39" i="66" s="1"/>
  <c r="T39" i="66" s="1"/>
  <c r="Y39" i="66" s="1"/>
  <c r="M39" i="66"/>
  <c r="Z39" i="66" s="1"/>
  <c r="L40" i="66"/>
  <c r="S40" i="66" s="1"/>
  <c r="M40" i="66"/>
  <c r="Z40" i="66" s="1"/>
  <c r="L41" i="66"/>
  <c r="S41" i="66" s="1"/>
  <c r="M41" i="66"/>
  <c r="Z41" i="66" s="1"/>
  <c r="L42" i="66"/>
  <c r="S42" i="66" s="1"/>
  <c r="M42" i="66"/>
  <c r="Z42" i="66" s="1"/>
  <c r="L43" i="66"/>
  <c r="S43" i="66" s="1"/>
  <c r="M43" i="66"/>
  <c r="Z43" i="66" s="1"/>
  <c r="L44" i="66"/>
  <c r="S44" i="66" s="1"/>
  <c r="M44" i="66"/>
  <c r="Z44" i="66" s="1"/>
  <c r="L45" i="66"/>
  <c r="S45" i="66" s="1"/>
  <c r="M45" i="66"/>
  <c r="P45" i="66" s="1"/>
  <c r="L46" i="66"/>
  <c r="S46" i="66" s="1"/>
  <c r="M46" i="66"/>
  <c r="Z46" i="66" s="1"/>
  <c r="L47" i="66"/>
  <c r="S47" i="66" s="1"/>
  <c r="M47" i="66"/>
  <c r="Z47" i="66" s="1"/>
  <c r="L48" i="66"/>
  <c r="S48" i="66" s="1"/>
  <c r="M48" i="66"/>
  <c r="Z48" i="66" s="1"/>
  <c r="L49" i="66"/>
  <c r="S49" i="66" s="1"/>
  <c r="M49" i="66"/>
  <c r="Z49" i="66" s="1"/>
  <c r="L50" i="66"/>
  <c r="S50" i="66" s="1"/>
  <c r="T50" i="66" s="1"/>
  <c r="Y50" i="66" s="1"/>
  <c r="M50" i="66"/>
  <c r="L51" i="66"/>
  <c r="S51" i="66" s="1"/>
  <c r="M51" i="66"/>
  <c r="Z51" i="66" s="1"/>
  <c r="L52" i="66"/>
  <c r="S52" i="66" s="1"/>
  <c r="M52" i="66"/>
  <c r="Z52" i="66" s="1"/>
  <c r="L53" i="66"/>
  <c r="S53" i="66" s="1"/>
  <c r="M53" i="66"/>
  <c r="Z53" i="66" s="1"/>
  <c r="L54" i="66"/>
  <c r="S54" i="66" s="1"/>
  <c r="M54" i="66"/>
  <c r="Z54" i="66" s="1"/>
  <c r="L55" i="66"/>
  <c r="S55" i="66" s="1"/>
  <c r="M55" i="66"/>
  <c r="Z55" i="66" s="1"/>
  <c r="L56" i="66"/>
  <c r="S56" i="66" s="1"/>
  <c r="M56" i="66"/>
  <c r="Z56" i="66" s="1"/>
  <c r="L57" i="66"/>
  <c r="S57" i="66" s="1"/>
  <c r="M57" i="66"/>
  <c r="P57" i="66" s="1"/>
  <c r="L58" i="66"/>
  <c r="S58" i="66" s="1"/>
  <c r="M58" i="66"/>
  <c r="Z58" i="66" s="1"/>
  <c r="L59" i="66"/>
  <c r="S59" i="66" s="1"/>
  <c r="M59" i="66"/>
  <c r="Z59" i="66" s="1"/>
  <c r="L60" i="66"/>
  <c r="S60" i="66" s="1"/>
  <c r="M60" i="66"/>
  <c r="Z60" i="66" s="1"/>
  <c r="L61" i="66"/>
  <c r="S61" i="66" s="1"/>
  <c r="M61" i="66"/>
  <c r="Z61" i="66" s="1"/>
  <c r="L62" i="66"/>
  <c r="S62" i="66" s="1"/>
  <c r="M62" i="66"/>
  <c r="Z62" i="66" s="1"/>
  <c r="L63" i="66"/>
  <c r="S63" i="66" s="1"/>
  <c r="M63" i="66"/>
  <c r="Z63" i="66" s="1"/>
  <c r="L64" i="66"/>
  <c r="S64" i="66" s="1"/>
  <c r="M64" i="66"/>
  <c r="Z64" i="66" s="1"/>
  <c r="L65" i="66"/>
  <c r="S65" i="66" s="1"/>
  <c r="M65" i="66"/>
  <c r="Z65" i="66" s="1"/>
  <c r="L66" i="66"/>
  <c r="S66" i="66" s="1"/>
  <c r="M66" i="66"/>
  <c r="Z66" i="66" s="1"/>
  <c r="L67" i="66"/>
  <c r="S67" i="66" s="1"/>
  <c r="M67" i="66"/>
  <c r="Z67" i="66" s="1"/>
  <c r="L68" i="66"/>
  <c r="S68" i="66" s="1"/>
  <c r="M68" i="66"/>
  <c r="Z68" i="66" s="1"/>
  <c r="L69" i="66"/>
  <c r="S69" i="66" s="1"/>
  <c r="M69" i="66"/>
  <c r="Z69" i="66" s="1"/>
  <c r="L70" i="66"/>
  <c r="S70" i="66" s="1"/>
  <c r="M70" i="66"/>
  <c r="Z70" i="66" s="1"/>
  <c r="L71" i="66"/>
  <c r="S71" i="66" s="1"/>
  <c r="M71" i="66"/>
  <c r="Z71" i="66" s="1"/>
  <c r="L72" i="66"/>
  <c r="S72" i="66" s="1"/>
  <c r="M72" i="66"/>
  <c r="Z72" i="66" s="1"/>
  <c r="L73" i="66"/>
  <c r="S73" i="66" s="1"/>
  <c r="M73" i="66"/>
  <c r="Z73" i="66" s="1"/>
  <c r="L74" i="66"/>
  <c r="S74" i="66" s="1"/>
  <c r="M74" i="66"/>
  <c r="Z74" i="66" s="1"/>
  <c r="L75" i="66"/>
  <c r="S75" i="66" s="1"/>
  <c r="M75" i="66"/>
  <c r="Z75" i="66" s="1"/>
  <c r="L76" i="66"/>
  <c r="S76" i="66" s="1"/>
  <c r="M76" i="66"/>
  <c r="Z76" i="66" s="1"/>
  <c r="L77" i="66"/>
  <c r="S77" i="66" s="1"/>
  <c r="M77" i="66"/>
  <c r="Z77" i="66" s="1"/>
  <c r="L78" i="66"/>
  <c r="S78" i="66" s="1"/>
  <c r="T78" i="66" s="1"/>
  <c r="Y78" i="66" s="1"/>
  <c r="M78" i="66"/>
  <c r="P78" i="66" s="1"/>
  <c r="L79" i="66"/>
  <c r="S79" i="66" s="1"/>
  <c r="M79" i="66"/>
  <c r="Z79" i="66" s="1"/>
  <c r="L80" i="66"/>
  <c r="S80" i="66" s="1"/>
  <c r="M80" i="66"/>
  <c r="Z80" i="66" s="1"/>
  <c r="L81" i="66"/>
  <c r="S81" i="66" s="1"/>
  <c r="M81" i="66"/>
  <c r="Z81" i="66" s="1"/>
  <c r="L82" i="66"/>
  <c r="S82" i="66" s="1"/>
  <c r="M82" i="66"/>
  <c r="Z82" i="66" s="1"/>
  <c r="L83" i="66"/>
  <c r="S83" i="66" s="1"/>
  <c r="M83" i="66"/>
  <c r="Z83" i="66" s="1"/>
  <c r="L84" i="66"/>
  <c r="S84" i="66" s="1"/>
  <c r="M84" i="66"/>
  <c r="Z84" i="66" s="1"/>
  <c r="L85" i="66"/>
  <c r="S85" i="66" s="1"/>
  <c r="M85" i="66"/>
  <c r="Z85" i="66" s="1"/>
  <c r="L86" i="66"/>
  <c r="S86" i="66" s="1"/>
  <c r="M86" i="66"/>
  <c r="Z86" i="66" s="1"/>
  <c r="L87" i="66"/>
  <c r="S87" i="66" s="1"/>
  <c r="M87" i="66"/>
  <c r="Z87" i="66" s="1"/>
  <c r="L88" i="66"/>
  <c r="S88" i="66" s="1"/>
  <c r="M88" i="66"/>
  <c r="Z88" i="66" s="1"/>
  <c r="L89" i="66"/>
  <c r="S89" i="66" s="1"/>
  <c r="M89" i="66"/>
  <c r="Z89" i="66" s="1"/>
  <c r="L90" i="66"/>
  <c r="S90" i="66" s="1"/>
  <c r="M90" i="66"/>
  <c r="Z90" i="66" s="1"/>
  <c r="L91" i="66"/>
  <c r="S91" i="66" s="1"/>
  <c r="M91" i="66"/>
  <c r="L92" i="66"/>
  <c r="S92" i="66" s="1"/>
  <c r="M92" i="66"/>
  <c r="Z92" i="66" s="1"/>
  <c r="L93" i="66"/>
  <c r="S93" i="66" s="1"/>
  <c r="M93" i="66"/>
  <c r="Z93" i="66" s="1"/>
  <c r="L94" i="66"/>
  <c r="S94" i="66" s="1"/>
  <c r="M94" i="66"/>
  <c r="Z94" i="66" s="1"/>
  <c r="L95" i="66"/>
  <c r="S95" i="66" s="1"/>
  <c r="M95" i="66"/>
  <c r="Z95" i="66" s="1"/>
  <c r="L96" i="66"/>
  <c r="S96" i="66" s="1"/>
  <c r="M96" i="66"/>
  <c r="Z96" i="66" s="1"/>
  <c r="L97" i="66"/>
  <c r="S97" i="66" s="1"/>
  <c r="M97" i="66"/>
  <c r="L98" i="66"/>
  <c r="S98" i="66" s="1"/>
  <c r="M98" i="66"/>
  <c r="Z98" i="66" s="1"/>
  <c r="L99" i="66"/>
  <c r="S99" i="66" s="1"/>
  <c r="M99" i="66"/>
  <c r="Z99" i="66" s="1"/>
  <c r="L100" i="66"/>
  <c r="S100" i="66" s="1"/>
  <c r="M100" i="66"/>
  <c r="Z100" i="66" s="1"/>
  <c r="L101" i="66"/>
  <c r="S101" i="66" s="1"/>
  <c r="M101" i="66"/>
  <c r="Z101" i="66" s="1"/>
  <c r="L102" i="66"/>
  <c r="S102" i="66" s="1"/>
  <c r="M102" i="66"/>
  <c r="L103" i="66"/>
  <c r="S103" i="66" s="1"/>
  <c r="M103" i="66"/>
  <c r="Z103" i="66" s="1"/>
  <c r="L104" i="66"/>
  <c r="S104" i="66" s="1"/>
  <c r="M104" i="66"/>
  <c r="Z104" i="66" s="1"/>
  <c r="L105" i="66"/>
  <c r="S105" i="66" s="1"/>
  <c r="M105" i="66"/>
  <c r="Z105" i="66" s="1"/>
  <c r="L106" i="66"/>
  <c r="S106" i="66" s="1"/>
  <c r="M106" i="66"/>
  <c r="Z106" i="66" s="1"/>
  <c r="L107" i="66"/>
  <c r="S107" i="66" s="1"/>
  <c r="M107" i="66"/>
  <c r="Z107" i="66" s="1"/>
  <c r="L108" i="66"/>
  <c r="S108" i="66" s="1"/>
  <c r="M108" i="66"/>
  <c r="L109" i="66"/>
  <c r="S109" i="66" s="1"/>
  <c r="M109" i="66"/>
  <c r="Z109" i="66" s="1"/>
  <c r="L110" i="66"/>
  <c r="S110" i="66" s="1"/>
  <c r="M110" i="66"/>
  <c r="Z110" i="66" s="1"/>
  <c r="L111" i="66"/>
  <c r="S111" i="66" s="1"/>
  <c r="M111" i="66"/>
  <c r="Z111" i="66" s="1"/>
  <c r="L112" i="66"/>
  <c r="S112" i="66" s="1"/>
  <c r="M112" i="66"/>
  <c r="P112" i="66" s="1"/>
  <c r="L113" i="66"/>
  <c r="S113" i="66" s="1"/>
  <c r="M113" i="66"/>
  <c r="Z113" i="66" s="1"/>
  <c r="L114" i="66"/>
  <c r="S114" i="66" s="1"/>
  <c r="M114" i="66"/>
  <c r="Z114" i="66" s="1"/>
  <c r="L115" i="66"/>
  <c r="S115" i="66" s="1"/>
  <c r="M115" i="66"/>
  <c r="Z115" i="66" s="1"/>
  <c r="L116" i="66"/>
  <c r="S116" i="66" s="1"/>
  <c r="M116" i="66"/>
  <c r="Z116" i="66" s="1"/>
  <c r="L117" i="66"/>
  <c r="S117" i="66" s="1"/>
  <c r="M117" i="66"/>
  <c r="L118" i="66"/>
  <c r="S118" i="66" s="1"/>
  <c r="M118" i="66"/>
  <c r="Z118" i="66" s="1"/>
  <c r="L119" i="66"/>
  <c r="S119" i="66" s="1"/>
  <c r="M119" i="66"/>
  <c r="Z119" i="66" s="1"/>
  <c r="L120" i="66"/>
  <c r="S120" i="66" s="1"/>
  <c r="M120" i="66"/>
  <c r="Z120" i="66" s="1"/>
  <c r="L121" i="66"/>
  <c r="S121" i="66" s="1"/>
  <c r="M121" i="66"/>
  <c r="Z121" i="66" s="1"/>
  <c r="L122" i="66"/>
  <c r="S122" i="66" s="1"/>
  <c r="M122" i="66"/>
  <c r="Z122" i="66" s="1"/>
  <c r="L123" i="66"/>
  <c r="S123" i="66" s="1"/>
  <c r="M123" i="66"/>
  <c r="Z123" i="66" s="1"/>
  <c r="L124" i="66"/>
  <c r="S124" i="66" s="1"/>
  <c r="M124" i="66"/>
  <c r="Z124" i="66" s="1"/>
  <c r="L125" i="66"/>
  <c r="S125" i="66" s="1"/>
  <c r="M125" i="66"/>
  <c r="Z125" i="66" s="1"/>
  <c r="L126" i="66"/>
  <c r="S126" i="66" s="1"/>
  <c r="M126" i="66"/>
  <c r="Z126" i="66" s="1"/>
  <c r="L127" i="66"/>
  <c r="S127" i="66" s="1"/>
  <c r="M127" i="66"/>
  <c r="Z127" i="66" s="1"/>
  <c r="L128" i="66"/>
  <c r="S128" i="66" s="1"/>
  <c r="M128" i="66"/>
  <c r="Z128" i="66" s="1"/>
  <c r="L129" i="66"/>
  <c r="S129" i="66" s="1"/>
  <c r="M129" i="66"/>
  <c r="L130" i="66"/>
  <c r="S130" i="66" s="1"/>
  <c r="M130" i="66"/>
  <c r="Z130" i="66" s="1"/>
  <c r="L131" i="66"/>
  <c r="S131" i="66" s="1"/>
  <c r="M131" i="66"/>
  <c r="Z131" i="66" s="1"/>
  <c r="L132" i="66"/>
  <c r="S132" i="66" s="1"/>
  <c r="M132" i="66"/>
  <c r="Z132" i="66" s="1"/>
  <c r="L133" i="66"/>
  <c r="S133" i="66" s="1"/>
  <c r="M133" i="66"/>
  <c r="Z133" i="66" s="1"/>
  <c r="L134" i="66"/>
  <c r="S134" i="66" s="1"/>
  <c r="M134" i="66"/>
  <c r="Z134" i="66" s="1"/>
  <c r="L135" i="66"/>
  <c r="S135" i="66" s="1"/>
  <c r="M135" i="66"/>
  <c r="Z135" i="66" s="1"/>
  <c r="L136" i="66"/>
  <c r="S136" i="66" s="1"/>
  <c r="M136" i="66"/>
  <c r="Z136" i="66" s="1"/>
  <c r="L137" i="66"/>
  <c r="S137" i="66" s="1"/>
  <c r="M137" i="66"/>
  <c r="Z137" i="66" s="1"/>
  <c r="L138" i="66"/>
  <c r="S138" i="66" s="1"/>
  <c r="M138" i="66"/>
  <c r="Z138" i="66" s="1"/>
  <c r="L139" i="66"/>
  <c r="S139" i="66" s="1"/>
  <c r="M139" i="66"/>
  <c r="Z139" i="66" s="1"/>
  <c r="L140" i="66"/>
  <c r="S140" i="66" s="1"/>
  <c r="M140" i="66"/>
  <c r="L141" i="66"/>
  <c r="S141" i="66" s="1"/>
  <c r="M141" i="66"/>
  <c r="Z141" i="66" s="1"/>
  <c r="L142" i="66"/>
  <c r="S142" i="66" s="1"/>
  <c r="M142" i="66"/>
  <c r="Z142" i="66" s="1"/>
  <c r="L143" i="66"/>
  <c r="S143" i="66" s="1"/>
  <c r="M143" i="66"/>
  <c r="Z143" i="66" s="1"/>
  <c r="L144" i="66"/>
  <c r="S144" i="66" s="1"/>
  <c r="M144" i="66"/>
  <c r="Z144" i="66" s="1"/>
  <c r="L145" i="66"/>
  <c r="S145" i="66" s="1"/>
  <c r="M145" i="66"/>
  <c r="Z145" i="66" s="1"/>
  <c r="L146" i="66"/>
  <c r="S146" i="66" s="1"/>
  <c r="M146" i="66"/>
  <c r="Z146" i="66" s="1"/>
  <c r="L147" i="66"/>
  <c r="S147" i="66" s="1"/>
  <c r="M147" i="66"/>
  <c r="Z147" i="66" s="1"/>
  <c r="L148" i="66"/>
  <c r="S148" i="66" s="1"/>
  <c r="M148" i="66"/>
  <c r="Z148" i="66" s="1"/>
  <c r="L149" i="66"/>
  <c r="S149" i="66" s="1"/>
  <c r="M149" i="66"/>
  <c r="Z149" i="66" s="1"/>
  <c r="L150" i="66"/>
  <c r="S150" i="66" s="1"/>
  <c r="M150" i="66"/>
  <c r="Z150" i="66" s="1"/>
  <c r="L151" i="66"/>
  <c r="S151" i="66" s="1"/>
  <c r="M151" i="66"/>
  <c r="Z151" i="66" s="1"/>
  <c r="L152" i="66"/>
  <c r="S152" i="66" s="1"/>
  <c r="M152" i="66"/>
  <c r="Z152" i="66" s="1"/>
  <c r="L153" i="66"/>
  <c r="S153" i="66" s="1"/>
  <c r="M153" i="66"/>
  <c r="Z153" i="66" s="1"/>
  <c r="L154" i="66"/>
  <c r="S154" i="66" s="1"/>
  <c r="M154" i="66"/>
  <c r="Z154" i="66" s="1"/>
  <c r="L155" i="66"/>
  <c r="S155" i="66" s="1"/>
  <c r="M155" i="66"/>
  <c r="Z155" i="66" s="1"/>
  <c r="L156" i="66"/>
  <c r="S156" i="66" s="1"/>
  <c r="M156" i="66"/>
  <c r="Z156" i="66" s="1"/>
  <c r="L157" i="66"/>
  <c r="S157" i="66" s="1"/>
  <c r="M157" i="66"/>
  <c r="Z157" i="66" s="1"/>
  <c r="L158" i="66"/>
  <c r="S158" i="66" s="1"/>
  <c r="M158" i="66"/>
  <c r="Z158" i="66" s="1"/>
  <c r="L159" i="66"/>
  <c r="S159" i="66" s="1"/>
  <c r="M159" i="66"/>
  <c r="L160" i="66"/>
  <c r="S160" i="66" s="1"/>
  <c r="M160" i="66"/>
  <c r="Z160" i="66" s="1"/>
  <c r="L161" i="66"/>
  <c r="S161" i="66" s="1"/>
  <c r="M161" i="66"/>
  <c r="Z161" i="66" s="1"/>
  <c r="L162" i="66"/>
  <c r="S162" i="66" s="1"/>
  <c r="M162" i="66"/>
  <c r="Z162" i="66" s="1"/>
  <c r="L163" i="66"/>
  <c r="S163" i="66" s="1"/>
  <c r="M163" i="66"/>
  <c r="Z163" i="66" s="1"/>
  <c r="L164" i="66"/>
  <c r="S164" i="66" s="1"/>
  <c r="M164" i="66"/>
  <c r="Z164" i="66" s="1"/>
  <c r="L165" i="66"/>
  <c r="S165" i="66" s="1"/>
  <c r="M165" i="66"/>
  <c r="Z165" i="66" s="1"/>
  <c r="L166" i="66"/>
  <c r="S166" i="66" s="1"/>
  <c r="M166" i="66"/>
  <c r="L167" i="66"/>
  <c r="S167" i="66" s="1"/>
  <c r="M167" i="66"/>
  <c r="Z167" i="66" s="1"/>
  <c r="L168" i="66"/>
  <c r="S168" i="66" s="1"/>
  <c r="M168" i="66"/>
  <c r="Z168" i="66" s="1"/>
  <c r="L169" i="66"/>
  <c r="S169" i="66" s="1"/>
  <c r="M169" i="66"/>
  <c r="Z169" i="66" s="1"/>
  <c r="L170" i="66"/>
  <c r="S170" i="66" s="1"/>
  <c r="M170" i="66"/>
  <c r="Z170" i="66" s="1"/>
  <c r="L171" i="66"/>
  <c r="S171" i="66" s="1"/>
  <c r="M171" i="66"/>
  <c r="Z171" i="66" s="1"/>
  <c r="L172" i="66"/>
  <c r="S172" i="66" s="1"/>
  <c r="M172" i="66"/>
  <c r="Z172" i="66" s="1"/>
  <c r="L173" i="66"/>
  <c r="S173" i="66" s="1"/>
  <c r="M173" i="66"/>
  <c r="L174" i="66"/>
  <c r="S174" i="66" s="1"/>
  <c r="M174" i="66"/>
  <c r="Z174" i="66" s="1"/>
  <c r="L175" i="66"/>
  <c r="S175" i="66" s="1"/>
  <c r="M175" i="66"/>
  <c r="Z175" i="66" s="1"/>
  <c r="L176" i="66"/>
  <c r="S176" i="66" s="1"/>
  <c r="M176" i="66"/>
  <c r="Z176" i="66" s="1"/>
  <c r="L177" i="66"/>
  <c r="S177" i="66" s="1"/>
  <c r="M177" i="66"/>
  <c r="Z177" i="66" s="1"/>
  <c r="L178" i="66"/>
  <c r="S178" i="66" s="1"/>
  <c r="M178" i="66"/>
  <c r="Z178" i="66" s="1"/>
  <c r="L179" i="66"/>
  <c r="S179" i="66" s="1"/>
  <c r="M179" i="66"/>
  <c r="P179" i="66" s="1"/>
  <c r="L180" i="66"/>
  <c r="S180" i="66" s="1"/>
  <c r="M180" i="66"/>
  <c r="Z180" i="66" s="1"/>
  <c r="L181" i="66"/>
  <c r="S181" i="66" s="1"/>
  <c r="M181" i="66"/>
  <c r="Z181" i="66" s="1"/>
  <c r="L182" i="66"/>
  <c r="S182" i="66" s="1"/>
  <c r="M182" i="66"/>
  <c r="Z182" i="66" s="1"/>
  <c r="L183" i="66"/>
  <c r="S183" i="66" s="1"/>
  <c r="M183" i="66"/>
  <c r="Z183" i="66" s="1"/>
  <c r="L184" i="66"/>
  <c r="S184" i="66" s="1"/>
  <c r="M184" i="66"/>
  <c r="P184" i="66" s="1"/>
  <c r="L185" i="66"/>
  <c r="S185" i="66" s="1"/>
  <c r="M185" i="66"/>
  <c r="Z185" i="66" s="1"/>
  <c r="L186" i="66"/>
  <c r="S186" i="66" s="1"/>
  <c r="M186" i="66"/>
  <c r="Z186" i="66" s="1"/>
  <c r="L187" i="66"/>
  <c r="S187" i="66" s="1"/>
  <c r="M187" i="66"/>
  <c r="Z187" i="66" s="1"/>
  <c r="L188" i="66"/>
  <c r="S188" i="66" s="1"/>
  <c r="M188" i="66"/>
  <c r="Z188" i="66" s="1"/>
  <c r="L189" i="66"/>
  <c r="S189" i="66" s="1"/>
  <c r="M189" i="66"/>
  <c r="Z189" i="66" s="1"/>
  <c r="L190" i="66"/>
  <c r="S190" i="66" s="1"/>
  <c r="M190" i="66"/>
  <c r="Z190" i="66" s="1"/>
  <c r="L191" i="66"/>
  <c r="S191" i="66" s="1"/>
  <c r="M191" i="66"/>
  <c r="Z191" i="66" s="1"/>
  <c r="L192" i="66"/>
  <c r="S192" i="66" s="1"/>
  <c r="M192" i="66"/>
  <c r="Z192" i="66" s="1"/>
  <c r="L193" i="66"/>
  <c r="S193" i="66" s="1"/>
  <c r="M193" i="66"/>
  <c r="Z193" i="66" s="1"/>
  <c r="L194" i="66"/>
  <c r="S194" i="66" s="1"/>
  <c r="M194" i="66"/>
  <c r="P194" i="66" s="1"/>
  <c r="L195" i="66"/>
  <c r="S195" i="66" s="1"/>
  <c r="M195" i="66"/>
  <c r="Z195" i="66" s="1"/>
  <c r="L196" i="66"/>
  <c r="S196" i="66" s="1"/>
  <c r="M196" i="66"/>
  <c r="Z196" i="66" s="1"/>
  <c r="L197" i="66"/>
  <c r="S197" i="66" s="1"/>
  <c r="M197" i="66"/>
  <c r="Z197" i="66" s="1"/>
  <c r="L198" i="66"/>
  <c r="S198" i="66" s="1"/>
  <c r="M198" i="66"/>
  <c r="Z198" i="66" s="1"/>
  <c r="L199" i="66"/>
  <c r="S199" i="66" s="1"/>
  <c r="M199" i="66"/>
  <c r="Z199" i="66" s="1"/>
  <c r="L200" i="66"/>
  <c r="S200" i="66" s="1"/>
  <c r="M200" i="66"/>
  <c r="L201" i="66"/>
  <c r="S201" i="66" s="1"/>
  <c r="M201" i="66"/>
  <c r="Z201" i="66" s="1"/>
  <c r="L202" i="66"/>
  <c r="S202" i="66" s="1"/>
  <c r="M202" i="66"/>
  <c r="Z202" i="66" s="1"/>
  <c r="L203" i="66"/>
  <c r="S203" i="66" s="1"/>
  <c r="M203" i="66"/>
  <c r="Z203" i="66" s="1"/>
  <c r="L204" i="66"/>
  <c r="S204" i="66" s="1"/>
  <c r="M204" i="66"/>
  <c r="Z204" i="66" s="1"/>
  <c r="L205" i="66"/>
  <c r="S205" i="66" s="1"/>
  <c r="M205" i="66"/>
  <c r="Z205" i="66" s="1"/>
  <c r="L206" i="66"/>
  <c r="S206" i="66" s="1"/>
  <c r="M206" i="66"/>
  <c r="Z206" i="66" s="1"/>
  <c r="L207" i="66"/>
  <c r="S207" i="66" s="1"/>
  <c r="M207" i="66"/>
  <c r="Z207" i="66" s="1"/>
  <c r="L208" i="66"/>
  <c r="S208" i="66" s="1"/>
  <c r="M208" i="66"/>
  <c r="P208" i="66" s="1"/>
  <c r="L209" i="66"/>
  <c r="S209" i="66" s="1"/>
  <c r="M209" i="66"/>
  <c r="Z209" i="66" s="1"/>
  <c r="L210" i="66"/>
  <c r="S210" i="66" s="1"/>
  <c r="M210" i="66"/>
  <c r="Z210" i="66" s="1"/>
  <c r="L211" i="66"/>
  <c r="S211" i="66" s="1"/>
  <c r="M211" i="66"/>
  <c r="Z211" i="66" s="1"/>
  <c r="L212" i="66"/>
  <c r="S212" i="66" s="1"/>
  <c r="M212" i="66"/>
  <c r="Z212" i="66" s="1"/>
  <c r="L213" i="66"/>
  <c r="S213" i="66" s="1"/>
  <c r="M213" i="66"/>
  <c r="Z213" i="66" s="1"/>
  <c r="L214" i="66"/>
  <c r="S214" i="66" s="1"/>
  <c r="M214" i="66"/>
  <c r="T214" i="66" s="1"/>
  <c r="Y214" i="66" s="1"/>
  <c r="L215" i="66"/>
  <c r="S215" i="66" s="1"/>
  <c r="M215" i="66"/>
  <c r="Z215" i="66" s="1"/>
  <c r="L216" i="66"/>
  <c r="S216" i="66" s="1"/>
  <c r="M216" i="66"/>
  <c r="Z216" i="66" s="1"/>
  <c r="L217" i="66"/>
  <c r="S217" i="66" s="1"/>
  <c r="M217" i="66"/>
  <c r="Z217" i="66" s="1"/>
  <c r="L218" i="66"/>
  <c r="S218" i="66" s="1"/>
  <c r="M218" i="66"/>
  <c r="Z218" i="66" s="1"/>
  <c r="L219" i="66"/>
  <c r="S219" i="66" s="1"/>
  <c r="M219" i="66"/>
  <c r="L220" i="66"/>
  <c r="S220" i="66" s="1"/>
  <c r="M220" i="66"/>
  <c r="Z220" i="66" s="1"/>
  <c r="L221" i="66"/>
  <c r="S221" i="66" s="1"/>
  <c r="M221" i="66"/>
  <c r="Z221" i="66" s="1"/>
  <c r="L222" i="66"/>
  <c r="S222" i="66" s="1"/>
  <c r="M222" i="66"/>
  <c r="Z222" i="66" s="1"/>
  <c r="L223" i="66"/>
  <c r="S223" i="66" s="1"/>
  <c r="M223" i="66"/>
  <c r="Z223" i="66" s="1"/>
  <c r="L224" i="66"/>
  <c r="S224" i="66" s="1"/>
  <c r="M224" i="66"/>
  <c r="Z224" i="66" s="1"/>
  <c r="L225" i="66"/>
  <c r="S225" i="66" s="1"/>
  <c r="M225" i="66"/>
  <c r="Z225" i="66" s="1"/>
  <c r="L226" i="66"/>
  <c r="S226" i="66" s="1"/>
  <c r="M226" i="66"/>
  <c r="Z226" i="66" s="1"/>
  <c r="L227" i="66"/>
  <c r="S227" i="66" s="1"/>
  <c r="M227" i="66"/>
  <c r="Z227" i="66" s="1"/>
  <c r="L228" i="66"/>
  <c r="S228" i="66" s="1"/>
  <c r="M228" i="66"/>
  <c r="Z228" i="66" s="1"/>
  <c r="L229" i="66"/>
  <c r="S229" i="66" s="1"/>
  <c r="M229" i="66"/>
  <c r="Z229" i="66" s="1"/>
  <c r="L230" i="66"/>
  <c r="S230" i="66" s="1"/>
  <c r="M230" i="66"/>
  <c r="Z230" i="66" s="1"/>
  <c r="L231" i="66"/>
  <c r="S231" i="66" s="1"/>
  <c r="M231" i="66"/>
  <c r="Z231" i="66" s="1"/>
  <c r="L232" i="66"/>
  <c r="S232" i="66" s="1"/>
  <c r="M232" i="66"/>
  <c r="Z232" i="66" s="1"/>
  <c r="L233" i="66"/>
  <c r="S233" i="66" s="1"/>
  <c r="M233" i="66"/>
  <c r="Z233" i="66" s="1"/>
  <c r="L234" i="66"/>
  <c r="S234" i="66" s="1"/>
  <c r="M234" i="66"/>
  <c r="L235" i="66"/>
  <c r="S235" i="66" s="1"/>
  <c r="M235" i="66"/>
  <c r="Z235" i="66" s="1"/>
  <c r="L236" i="66"/>
  <c r="S236" i="66" s="1"/>
  <c r="M236" i="66"/>
  <c r="Z236" i="66" s="1"/>
  <c r="L237" i="66"/>
  <c r="S237" i="66" s="1"/>
  <c r="M237" i="66"/>
  <c r="Z237" i="66" s="1"/>
  <c r="L238" i="66"/>
  <c r="S238" i="66" s="1"/>
  <c r="M238" i="66"/>
  <c r="Z238" i="66" s="1"/>
  <c r="L239" i="66"/>
  <c r="S239" i="66" s="1"/>
  <c r="M239" i="66"/>
  <c r="Z239" i="66" s="1"/>
  <c r="L240" i="66"/>
  <c r="S240" i="66" s="1"/>
  <c r="M240" i="66"/>
  <c r="Z240" i="66" s="1"/>
  <c r="L241" i="66"/>
  <c r="S241" i="66" s="1"/>
  <c r="M241" i="66"/>
  <c r="Z241" i="66" s="1"/>
  <c r="L242" i="66"/>
  <c r="S242" i="66" s="1"/>
  <c r="M242" i="66"/>
  <c r="Z242" i="66" s="1"/>
  <c r="L243" i="66"/>
  <c r="S243" i="66" s="1"/>
  <c r="M243" i="66"/>
  <c r="L244" i="66"/>
  <c r="S244" i="66" s="1"/>
  <c r="M244" i="66"/>
  <c r="Z244" i="66" s="1"/>
  <c r="L245" i="66"/>
  <c r="S245" i="66" s="1"/>
  <c r="M245" i="66"/>
  <c r="Z245" i="66" s="1"/>
  <c r="L246" i="66"/>
  <c r="S246" i="66" s="1"/>
  <c r="M246" i="66"/>
  <c r="Z246" i="66" s="1"/>
  <c r="L247" i="66"/>
  <c r="S247" i="66" s="1"/>
  <c r="M247" i="66"/>
  <c r="Z247" i="66" s="1"/>
  <c r="L248" i="66"/>
  <c r="S248" i="66" s="1"/>
  <c r="M248" i="66"/>
  <c r="Z248" i="66" s="1"/>
  <c r="L249" i="66"/>
  <c r="S249" i="66" s="1"/>
  <c r="M249" i="66"/>
  <c r="Z249" i="66" s="1"/>
  <c r="L250" i="66"/>
  <c r="S250" i="66" s="1"/>
  <c r="M250" i="66"/>
  <c r="Z250" i="66" s="1"/>
  <c r="L251" i="66"/>
  <c r="S251" i="66" s="1"/>
  <c r="M251" i="66"/>
  <c r="Z251" i="66" s="1"/>
  <c r="L252" i="66"/>
  <c r="S252" i="66" s="1"/>
  <c r="M252" i="66"/>
  <c r="Z252" i="66" s="1"/>
  <c r="L253" i="66"/>
  <c r="S253" i="66" s="1"/>
  <c r="M253" i="66"/>
  <c r="Z253" i="66" s="1"/>
  <c r="L254" i="66"/>
  <c r="S254" i="66" s="1"/>
  <c r="M254" i="66"/>
  <c r="Z254" i="66" s="1"/>
  <c r="L255" i="66"/>
  <c r="S255" i="66" s="1"/>
  <c r="M255" i="66"/>
  <c r="Z255" i="66" s="1"/>
  <c r="L256" i="66"/>
  <c r="S256" i="66" s="1"/>
  <c r="M256" i="66"/>
  <c r="Z256" i="66" s="1"/>
  <c r="L257" i="66"/>
  <c r="S257" i="66" s="1"/>
  <c r="M257" i="66"/>
  <c r="T257" i="66" s="1"/>
  <c r="Y257" i="66" s="1"/>
  <c r="L258" i="66"/>
  <c r="S258" i="66" s="1"/>
  <c r="M258" i="66"/>
  <c r="Z258" i="66" s="1"/>
  <c r="L259" i="66"/>
  <c r="S259" i="66" s="1"/>
  <c r="M259" i="66"/>
  <c r="Z259" i="66" s="1"/>
  <c r="L260" i="66"/>
  <c r="S260" i="66" s="1"/>
  <c r="M260" i="66"/>
  <c r="Z260" i="66" s="1"/>
  <c r="L261" i="66"/>
  <c r="S261" i="66" s="1"/>
  <c r="M261" i="66"/>
  <c r="Z261" i="66" s="1"/>
  <c r="L262" i="66"/>
  <c r="S262" i="66" s="1"/>
  <c r="M262" i="66"/>
  <c r="Z262" i="66" s="1"/>
  <c r="L263" i="66"/>
  <c r="S263" i="66" s="1"/>
  <c r="M263" i="66"/>
  <c r="Z263" i="66" s="1"/>
  <c r="L264" i="66"/>
  <c r="S264" i="66" s="1"/>
  <c r="M264" i="66"/>
  <c r="Z264" i="66" s="1"/>
  <c r="L265" i="66"/>
  <c r="S265" i="66" s="1"/>
  <c r="M265" i="66"/>
  <c r="Z265" i="66" s="1"/>
  <c r="L266" i="66"/>
  <c r="S266" i="66" s="1"/>
  <c r="M266" i="66"/>
  <c r="Z266" i="66" s="1"/>
  <c r="L267" i="66"/>
  <c r="S267" i="66" s="1"/>
  <c r="M267" i="66"/>
  <c r="Z267" i="66" s="1"/>
  <c r="L268" i="66"/>
  <c r="S268" i="66" s="1"/>
  <c r="M268" i="66"/>
  <c r="Z268" i="66" s="1"/>
  <c r="L269" i="66"/>
  <c r="S269" i="66" s="1"/>
  <c r="M269" i="66"/>
  <c r="Z269" i="66" s="1"/>
  <c r="L270" i="66"/>
  <c r="S270" i="66" s="1"/>
  <c r="M270" i="66"/>
  <c r="Z270" i="66" s="1"/>
  <c r="L271" i="66"/>
  <c r="S271" i="66" s="1"/>
  <c r="M271" i="66"/>
  <c r="P271" i="66" s="1"/>
  <c r="L272" i="66"/>
  <c r="S272" i="66" s="1"/>
  <c r="M272" i="66"/>
  <c r="Z272" i="66" s="1"/>
  <c r="L273" i="66"/>
  <c r="S273" i="66" s="1"/>
  <c r="M273" i="66"/>
  <c r="P273" i="66" s="1"/>
  <c r="L274" i="66"/>
  <c r="S274" i="66" s="1"/>
  <c r="M274" i="66"/>
  <c r="Z274" i="66" s="1"/>
  <c r="L275" i="66"/>
  <c r="S275" i="66" s="1"/>
  <c r="M275" i="66"/>
  <c r="Z275" i="66" s="1"/>
  <c r="L276" i="66"/>
  <c r="S276" i="66" s="1"/>
  <c r="M276" i="66"/>
  <c r="Z276" i="66" s="1"/>
  <c r="L277" i="66"/>
  <c r="S277" i="66" s="1"/>
  <c r="M277" i="66"/>
  <c r="P277" i="66" s="1"/>
  <c r="L278" i="66"/>
  <c r="S278" i="66" s="1"/>
  <c r="M278" i="66"/>
  <c r="Z278" i="66" s="1"/>
  <c r="L279" i="66"/>
  <c r="S279" i="66" s="1"/>
  <c r="M279" i="66"/>
  <c r="Z279" i="66" s="1"/>
  <c r="L280" i="66"/>
  <c r="S280" i="66" s="1"/>
  <c r="M280" i="66"/>
  <c r="Z280" i="66" s="1"/>
  <c r="L281" i="66"/>
  <c r="S281" i="66" s="1"/>
  <c r="M281" i="66"/>
  <c r="Z281" i="66" s="1"/>
  <c r="L282" i="66"/>
  <c r="S282" i="66" s="1"/>
  <c r="M282" i="66"/>
  <c r="L283" i="66"/>
  <c r="S283" i="66" s="1"/>
  <c r="M283" i="66"/>
  <c r="Z283" i="66" s="1"/>
  <c r="L284" i="66"/>
  <c r="S284" i="66" s="1"/>
  <c r="M284" i="66"/>
  <c r="Z284" i="66" s="1"/>
  <c r="L285" i="66"/>
  <c r="S285" i="66" s="1"/>
  <c r="M285" i="66"/>
  <c r="Z285" i="66" s="1"/>
  <c r="L286" i="66"/>
  <c r="S286" i="66" s="1"/>
  <c r="M286" i="66"/>
  <c r="Z286" i="66" s="1"/>
  <c r="L287" i="66"/>
  <c r="S287" i="66" s="1"/>
  <c r="M287" i="66"/>
  <c r="Z287" i="66" s="1"/>
  <c r="L288" i="66"/>
  <c r="S288" i="66" s="1"/>
  <c r="M288" i="66"/>
  <c r="Z288" i="66" s="1"/>
  <c r="L289" i="66"/>
  <c r="S289" i="66" s="1"/>
  <c r="M289" i="66"/>
  <c r="Z289" i="66" s="1"/>
  <c r="L290" i="66"/>
  <c r="S290" i="66" s="1"/>
  <c r="M290" i="66"/>
  <c r="Z290" i="66" s="1"/>
  <c r="L291" i="66"/>
  <c r="S291" i="66" s="1"/>
  <c r="M291" i="66"/>
  <c r="Z291" i="66" s="1"/>
  <c r="L292" i="66"/>
  <c r="S292" i="66" s="1"/>
  <c r="M292" i="66"/>
  <c r="L293" i="66"/>
  <c r="S293" i="66" s="1"/>
  <c r="M293" i="66"/>
  <c r="Z293" i="66" s="1"/>
  <c r="L294" i="66"/>
  <c r="S294" i="66" s="1"/>
  <c r="M294" i="66"/>
  <c r="Z294" i="66" s="1"/>
  <c r="L295" i="66"/>
  <c r="S295" i="66" s="1"/>
  <c r="M295" i="66"/>
  <c r="Z295" i="66" s="1"/>
  <c r="L296" i="66"/>
  <c r="S296" i="66" s="1"/>
  <c r="M296" i="66"/>
  <c r="Z296" i="66" s="1"/>
  <c r="L297" i="66"/>
  <c r="S297" i="66" s="1"/>
  <c r="M297" i="66"/>
  <c r="Z297" i="66" s="1"/>
  <c r="L298" i="66"/>
  <c r="S298" i="66" s="1"/>
  <c r="M298" i="66"/>
  <c r="Z298" i="66" s="1"/>
  <c r="L299" i="66"/>
  <c r="S299" i="66" s="1"/>
  <c r="M299" i="66"/>
  <c r="L300" i="66"/>
  <c r="S300" i="66" s="1"/>
  <c r="M300" i="66"/>
  <c r="Z300" i="66" s="1"/>
  <c r="L301" i="66"/>
  <c r="S301" i="66" s="1"/>
  <c r="M301" i="66"/>
  <c r="Z301" i="66" s="1"/>
  <c r="L302" i="66"/>
  <c r="S302" i="66" s="1"/>
  <c r="M302" i="66"/>
  <c r="Z302" i="66" s="1"/>
  <c r="L303" i="66"/>
  <c r="S303" i="66" s="1"/>
  <c r="M303" i="66"/>
  <c r="Z303" i="66" s="1"/>
  <c r="L304" i="66"/>
  <c r="S304" i="66" s="1"/>
  <c r="M304" i="66"/>
  <c r="Z304" i="66" s="1"/>
  <c r="L305" i="66"/>
  <c r="S305" i="66" s="1"/>
  <c r="M305" i="66"/>
  <c r="Z305" i="66" s="1"/>
  <c r="L306" i="66"/>
  <c r="S306" i="66" s="1"/>
  <c r="M306" i="66"/>
  <c r="Z306" i="66" s="1"/>
  <c r="L307" i="66"/>
  <c r="S307" i="66" s="1"/>
  <c r="M307" i="66"/>
  <c r="Z307" i="66" s="1"/>
  <c r="L308" i="66"/>
  <c r="S308" i="66" s="1"/>
  <c r="M308" i="66"/>
  <c r="Z308" i="66" s="1"/>
  <c r="L309" i="66"/>
  <c r="S309" i="66" s="1"/>
  <c r="M309" i="66"/>
  <c r="Z309" i="66" s="1"/>
  <c r="L310" i="66"/>
  <c r="S310" i="66" s="1"/>
  <c r="M310" i="66"/>
  <c r="Z310" i="66" s="1"/>
  <c r="L311" i="66"/>
  <c r="S311" i="66" s="1"/>
  <c r="M311" i="66"/>
  <c r="Z311" i="66" s="1"/>
  <c r="L312" i="66"/>
  <c r="S312" i="66" s="1"/>
  <c r="M312" i="66"/>
  <c r="Z312" i="66" s="1"/>
  <c r="L313" i="66"/>
  <c r="S313" i="66" s="1"/>
  <c r="M313" i="66"/>
  <c r="Z313" i="66" s="1"/>
  <c r="L314" i="66"/>
  <c r="S314" i="66" s="1"/>
  <c r="M314" i="66"/>
  <c r="Z314" i="66" s="1"/>
  <c r="L315" i="66"/>
  <c r="S315" i="66" s="1"/>
  <c r="M315" i="66"/>
  <c r="L316" i="66"/>
  <c r="S316" i="66" s="1"/>
  <c r="M316" i="66"/>
  <c r="Z316" i="66" s="1"/>
  <c r="L317" i="66"/>
  <c r="S317" i="66" s="1"/>
  <c r="M317" i="66"/>
  <c r="P317" i="66" s="1"/>
  <c r="L318" i="66"/>
  <c r="S318" i="66" s="1"/>
  <c r="M318" i="66"/>
  <c r="Z318" i="66" s="1"/>
  <c r="L319" i="66"/>
  <c r="S319" i="66" s="1"/>
  <c r="M319" i="66"/>
  <c r="Z319" i="66" s="1"/>
  <c r="L320" i="66"/>
  <c r="S320" i="66" s="1"/>
  <c r="M320" i="66"/>
  <c r="P320" i="66" s="1"/>
  <c r="L321" i="66"/>
  <c r="M321" i="66"/>
  <c r="Z321" i="66" s="1"/>
  <c r="L322" i="66"/>
  <c r="S322" i="66" s="1"/>
  <c r="M322" i="66"/>
  <c r="Z322" i="66" s="1"/>
  <c r="L323" i="66"/>
  <c r="S323" i="66" s="1"/>
  <c r="M323" i="66"/>
  <c r="Z323" i="66" s="1"/>
  <c r="L324" i="66"/>
  <c r="S324" i="66" s="1"/>
  <c r="M324" i="66"/>
  <c r="Z324" i="66" s="1"/>
  <c r="L325" i="66"/>
  <c r="S325" i="66" s="1"/>
  <c r="M325" i="66"/>
  <c r="Z325" i="66" s="1"/>
  <c r="L326" i="66"/>
  <c r="S326" i="66" s="1"/>
  <c r="M326" i="66"/>
  <c r="Z326" i="66" s="1"/>
  <c r="L327" i="66"/>
  <c r="S327" i="66" s="1"/>
  <c r="M327" i="66"/>
  <c r="P327" i="66" s="1"/>
  <c r="L328" i="66"/>
  <c r="S328" i="66" s="1"/>
  <c r="M328" i="66"/>
  <c r="Z328" i="66" s="1"/>
  <c r="L329" i="66"/>
  <c r="S329" i="66" s="1"/>
  <c r="M329" i="66"/>
  <c r="L330" i="66"/>
  <c r="S330" i="66" s="1"/>
  <c r="M330" i="66"/>
  <c r="Z330" i="66" s="1"/>
  <c r="L331" i="66"/>
  <c r="S331" i="66" s="1"/>
  <c r="M331" i="66"/>
  <c r="Z331" i="66" s="1"/>
  <c r="L332" i="66"/>
  <c r="S332" i="66" s="1"/>
  <c r="M332" i="66"/>
  <c r="Z332" i="66" s="1"/>
  <c r="L333" i="66"/>
  <c r="S333" i="66" s="1"/>
  <c r="M333" i="66"/>
  <c r="Z333" i="66" s="1"/>
  <c r="L334" i="66"/>
  <c r="S334" i="66" s="1"/>
  <c r="M334" i="66"/>
  <c r="Z334" i="66" s="1"/>
  <c r="L335" i="66"/>
  <c r="S335" i="66" s="1"/>
  <c r="M335" i="66"/>
  <c r="Z335" i="66" s="1"/>
  <c r="L336" i="66"/>
  <c r="S336" i="66" s="1"/>
  <c r="M336" i="66"/>
  <c r="Z336" i="66" s="1"/>
  <c r="L337" i="66"/>
  <c r="S337" i="66" s="1"/>
  <c r="M337" i="66"/>
  <c r="Z337" i="66" s="1"/>
  <c r="L338" i="66"/>
  <c r="S338" i="66" s="1"/>
  <c r="M338" i="66"/>
  <c r="Z338" i="66" s="1"/>
  <c r="L339" i="66"/>
  <c r="S339" i="66" s="1"/>
  <c r="M339" i="66"/>
  <c r="T339" i="66" s="1"/>
  <c r="Y339" i="66" s="1"/>
  <c r="L340" i="66"/>
  <c r="S340" i="66" s="1"/>
  <c r="M340" i="66"/>
  <c r="Z340" i="66" s="1"/>
  <c r="L341" i="66"/>
  <c r="S341" i="66" s="1"/>
  <c r="M341" i="66"/>
  <c r="Z341" i="66" s="1"/>
  <c r="L342" i="66"/>
  <c r="S342" i="66" s="1"/>
  <c r="M342" i="66"/>
  <c r="Z342" i="66" s="1"/>
  <c r="L343" i="66"/>
  <c r="S343" i="66" s="1"/>
  <c r="M343" i="66"/>
  <c r="Z343" i="66" s="1"/>
  <c r="L344" i="66"/>
  <c r="S344" i="66" s="1"/>
  <c r="M344" i="66"/>
  <c r="Z344" i="66" s="1"/>
  <c r="L345" i="66"/>
  <c r="S345" i="66" s="1"/>
  <c r="M345" i="66"/>
  <c r="Z345" i="66" s="1"/>
  <c r="L346" i="66"/>
  <c r="S346" i="66" s="1"/>
  <c r="M346" i="66"/>
  <c r="P346" i="66" s="1"/>
  <c r="L347" i="66"/>
  <c r="S347" i="66" s="1"/>
  <c r="M347" i="66"/>
  <c r="Z347" i="66" s="1"/>
  <c r="L348" i="66"/>
  <c r="S348" i="66" s="1"/>
  <c r="M348" i="66"/>
  <c r="Z348" i="66" s="1"/>
  <c r="L349" i="66"/>
  <c r="S349" i="66" s="1"/>
  <c r="M349" i="66"/>
  <c r="Z349" i="66" s="1"/>
  <c r="L350" i="66"/>
  <c r="S350" i="66" s="1"/>
  <c r="M350" i="66"/>
  <c r="Z350" i="66" s="1"/>
  <c r="L351" i="66"/>
  <c r="S351" i="66" s="1"/>
  <c r="M351" i="66"/>
  <c r="Z351" i="66" s="1"/>
  <c r="L352" i="66"/>
  <c r="S352" i="66" s="1"/>
  <c r="M352" i="66"/>
  <c r="Z352" i="66" s="1"/>
  <c r="L353" i="66"/>
  <c r="S353" i="66" s="1"/>
  <c r="M353" i="66"/>
  <c r="Z353" i="66" s="1"/>
  <c r="L354" i="66"/>
  <c r="S354" i="66" s="1"/>
  <c r="M354" i="66"/>
  <c r="Z354" i="66" s="1"/>
  <c r="L355" i="66"/>
  <c r="S355" i="66" s="1"/>
  <c r="M355" i="66"/>
  <c r="L356" i="66"/>
  <c r="S356" i="66" s="1"/>
  <c r="M356" i="66"/>
  <c r="Z356" i="66" s="1"/>
  <c r="L357" i="66"/>
  <c r="S357" i="66" s="1"/>
  <c r="M357" i="66"/>
  <c r="Z357" i="66" s="1"/>
  <c r="L358" i="66"/>
  <c r="S358" i="66" s="1"/>
  <c r="M358" i="66"/>
  <c r="Z358" i="66" s="1"/>
  <c r="L359" i="66"/>
  <c r="S359" i="66" s="1"/>
  <c r="M359" i="66"/>
  <c r="Z359" i="66" s="1"/>
  <c r="L360" i="66"/>
  <c r="S360" i="66" s="1"/>
  <c r="M360" i="66"/>
  <c r="Z360" i="66" s="1"/>
  <c r="L361" i="66"/>
  <c r="S361" i="66" s="1"/>
  <c r="T361" i="66" s="1"/>
  <c r="Y361" i="66" s="1"/>
  <c r="M361" i="66"/>
  <c r="L362" i="66"/>
  <c r="S362" i="66" s="1"/>
  <c r="M362" i="66"/>
  <c r="Z362" i="66" s="1"/>
  <c r="L363" i="66"/>
  <c r="S363" i="66" s="1"/>
  <c r="M363" i="66"/>
  <c r="Z363" i="66" s="1"/>
  <c r="L364" i="66"/>
  <c r="S364" i="66" s="1"/>
  <c r="M364" i="66"/>
  <c r="L365" i="66"/>
  <c r="S365" i="66" s="1"/>
  <c r="M365" i="66"/>
  <c r="Z365" i="66" s="1"/>
  <c r="L366" i="66"/>
  <c r="S366" i="66" s="1"/>
  <c r="M366" i="66"/>
  <c r="Z366" i="66" s="1"/>
  <c r="L367" i="66"/>
  <c r="S367" i="66" s="1"/>
  <c r="M367" i="66"/>
  <c r="L368" i="66"/>
  <c r="S368" i="66" s="1"/>
  <c r="M368" i="66"/>
  <c r="Z368" i="66" s="1"/>
  <c r="L369" i="66"/>
  <c r="S369" i="66" s="1"/>
  <c r="M369" i="66"/>
  <c r="Z369" i="66" s="1"/>
  <c r="L370" i="66"/>
  <c r="S370" i="66" s="1"/>
  <c r="M370" i="66"/>
  <c r="Z370" i="66" s="1"/>
  <c r="L371" i="66"/>
  <c r="S371" i="66" s="1"/>
  <c r="M371" i="66"/>
  <c r="L372" i="66"/>
  <c r="S372" i="66" s="1"/>
  <c r="M372" i="66"/>
  <c r="Z372" i="66" s="1"/>
  <c r="L373" i="66"/>
  <c r="S373" i="66" s="1"/>
  <c r="M373" i="66"/>
  <c r="Z373" i="66" s="1"/>
  <c r="L374" i="66"/>
  <c r="S374" i="66" s="1"/>
  <c r="M374" i="66"/>
  <c r="Z374" i="66" s="1"/>
  <c r="L375" i="66"/>
  <c r="S375" i="66" s="1"/>
  <c r="M375" i="66"/>
  <c r="Z375" i="66" s="1"/>
  <c r="L376" i="66"/>
  <c r="S376" i="66" s="1"/>
  <c r="M376" i="66"/>
  <c r="P376" i="66" s="1"/>
  <c r="L377" i="66"/>
  <c r="S377" i="66" s="1"/>
  <c r="M377" i="66"/>
  <c r="Z377" i="66" s="1"/>
  <c r="L378" i="66"/>
  <c r="S378" i="66" s="1"/>
  <c r="M378" i="66"/>
  <c r="L379" i="66"/>
  <c r="S379" i="66" s="1"/>
  <c r="M379" i="66"/>
  <c r="Z379" i="66" s="1"/>
  <c r="L380" i="66"/>
  <c r="S380" i="66" s="1"/>
  <c r="M380" i="66"/>
  <c r="Z380" i="66" s="1"/>
  <c r="L381" i="66"/>
  <c r="S381" i="66" s="1"/>
  <c r="M381" i="66"/>
  <c r="L382" i="66"/>
  <c r="S382" i="66" s="1"/>
  <c r="M382" i="66"/>
  <c r="Z382" i="66" s="1"/>
  <c r="L383" i="66"/>
  <c r="S383" i="66" s="1"/>
  <c r="M383" i="66"/>
  <c r="Z383" i="66" s="1"/>
  <c r="L384" i="66"/>
  <c r="S384" i="66" s="1"/>
  <c r="M384" i="66"/>
  <c r="Z384" i="66" s="1"/>
  <c r="L385" i="66"/>
  <c r="S385" i="66" s="1"/>
  <c r="M385" i="66"/>
  <c r="P385" i="66" s="1"/>
  <c r="L386" i="66"/>
  <c r="S386" i="66" s="1"/>
  <c r="M386" i="66"/>
  <c r="Z386" i="66" s="1"/>
  <c r="L387" i="66"/>
  <c r="S387" i="66" s="1"/>
  <c r="M387" i="66"/>
  <c r="Z387" i="66" s="1"/>
  <c r="L388" i="66"/>
  <c r="S388" i="66" s="1"/>
  <c r="M388" i="66"/>
  <c r="Z388" i="66" s="1"/>
  <c r="L389" i="66"/>
  <c r="S389" i="66" s="1"/>
  <c r="M389" i="66"/>
  <c r="P389" i="66" s="1"/>
  <c r="L390" i="66"/>
  <c r="S390" i="66" s="1"/>
  <c r="M390" i="66"/>
  <c r="Z390" i="66" s="1"/>
  <c r="L391" i="66"/>
  <c r="S391" i="66" s="1"/>
  <c r="M391" i="66"/>
  <c r="Z391" i="66" s="1"/>
  <c r="L392" i="66"/>
  <c r="S392" i="66" s="1"/>
  <c r="M392" i="66"/>
  <c r="Z392" i="66" s="1"/>
  <c r="L393" i="66"/>
  <c r="S393" i="66" s="1"/>
  <c r="M393" i="66"/>
  <c r="Z393" i="66" s="1"/>
  <c r="L394" i="66"/>
  <c r="S394" i="66" s="1"/>
  <c r="M394" i="66"/>
  <c r="L395" i="66"/>
  <c r="S395" i="66" s="1"/>
  <c r="M395" i="66"/>
  <c r="Z395" i="66" s="1"/>
  <c r="L396" i="66"/>
  <c r="S396" i="66" s="1"/>
  <c r="M396" i="66"/>
  <c r="Z396" i="66" s="1"/>
  <c r="L397" i="66"/>
  <c r="S397" i="66" s="1"/>
  <c r="M397" i="66"/>
  <c r="L398" i="66"/>
  <c r="S398" i="66" s="1"/>
  <c r="M398" i="66"/>
  <c r="Z398" i="66" s="1"/>
  <c r="L399" i="66"/>
  <c r="S399" i="66" s="1"/>
  <c r="M399" i="66"/>
  <c r="Z399" i="66" s="1"/>
  <c r="L400" i="66"/>
  <c r="S400" i="66" s="1"/>
  <c r="M400" i="66"/>
  <c r="Z400" i="66" s="1"/>
  <c r="L401" i="66"/>
  <c r="S401" i="66" s="1"/>
  <c r="M401" i="66"/>
  <c r="Z401" i="66" s="1"/>
  <c r="L402" i="66"/>
  <c r="S402" i="66" s="1"/>
  <c r="M402" i="66"/>
  <c r="Z402" i="66" s="1"/>
  <c r="L403" i="66"/>
  <c r="S403" i="66" s="1"/>
  <c r="M403" i="66"/>
  <c r="Z403" i="66" s="1"/>
  <c r="L404" i="66"/>
  <c r="S404" i="66" s="1"/>
  <c r="M404" i="66"/>
  <c r="L405" i="66"/>
  <c r="S405" i="66" s="1"/>
  <c r="M405" i="66"/>
  <c r="Z405" i="66" s="1"/>
  <c r="L406" i="66"/>
  <c r="S406" i="66" s="1"/>
  <c r="M406" i="66"/>
  <c r="L407" i="66"/>
  <c r="S407" i="66" s="1"/>
  <c r="M407" i="66"/>
  <c r="Z407" i="66" s="1"/>
  <c r="L408" i="66"/>
  <c r="S408" i="66" s="1"/>
  <c r="M408" i="66"/>
  <c r="Z408" i="66" s="1"/>
  <c r="L409" i="66"/>
  <c r="S409" i="66" s="1"/>
  <c r="M409" i="66"/>
  <c r="Z409" i="66" s="1"/>
  <c r="L410" i="66"/>
  <c r="S410" i="66" s="1"/>
  <c r="M410" i="66"/>
  <c r="Z410" i="66" s="1"/>
  <c r="L411" i="66"/>
  <c r="S411" i="66" s="1"/>
  <c r="M411" i="66"/>
  <c r="Z411" i="66" s="1"/>
  <c r="L412" i="66"/>
  <c r="S412" i="66" s="1"/>
  <c r="M412" i="66"/>
  <c r="Z412" i="66" s="1"/>
  <c r="L413" i="66"/>
  <c r="S413" i="66" s="1"/>
  <c r="M413" i="66"/>
  <c r="L414" i="66"/>
  <c r="S414" i="66" s="1"/>
  <c r="M414" i="66"/>
  <c r="Z414" i="66" s="1"/>
  <c r="L415" i="66"/>
  <c r="S415" i="66" s="1"/>
  <c r="M415" i="66"/>
  <c r="Z415" i="66" s="1"/>
  <c r="L416" i="66"/>
  <c r="S416" i="66" s="1"/>
  <c r="M416" i="66"/>
  <c r="Z416" i="66" s="1"/>
  <c r="L417" i="66"/>
  <c r="S417" i="66" s="1"/>
  <c r="M417" i="66"/>
  <c r="Z417" i="66" s="1"/>
  <c r="L418" i="66"/>
  <c r="S418" i="66" s="1"/>
  <c r="M418" i="66"/>
  <c r="Z418" i="66" s="1"/>
  <c r="L419" i="66"/>
  <c r="S419" i="66" s="1"/>
  <c r="M419" i="66"/>
  <c r="Z419" i="66" s="1"/>
  <c r="L420" i="66"/>
  <c r="S420" i="66" s="1"/>
  <c r="M420" i="66"/>
  <c r="Z420" i="66" s="1"/>
  <c r="L421" i="66"/>
  <c r="S421" i="66" s="1"/>
  <c r="M421" i="66"/>
  <c r="Z421" i="66" s="1"/>
  <c r="L422" i="66"/>
  <c r="S422" i="66" s="1"/>
  <c r="M422" i="66"/>
  <c r="Z422" i="66" s="1"/>
  <c r="L423" i="66"/>
  <c r="S423" i="66" s="1"/>
  <c r="M423" i="66"/>
  <c r="Z423" i="66" s="1"/>
  <c r="L424" i="66"/>
  <c r="S424" i="66" s="1"/>
  <c r="M424" i="66"/>
  <c r="Z424" i="66" s="1"/>
  <c r="L425" i="66"/>
  <c r="S425" i="66" s="1"/>
  <c r="M425" i="66"/>
  <c r="Z425" i="66" s="1"/>
  <c r="L426" i="66"/>
  <c r="S426" i="66" s="1"/>
  <c r="M426" i="66"/>
  <c r="Z426" i="66" s="1"/>
  <c r="L427" i="66"/>
  <c r="S427" i="66" s="1"/>
  <c r="M427" i="66"/>
  <c r="Z427" i="66" s="1"/>
  <c r="L428" i="66"/>
  <c r="S428" i="66" s="1"/>
  <c r="M428" i="66"/>
  <c r="Z428" i="66" s="1"/>
  <c r="L429" i="66"/>
  <c r="S429" i="66" s="1"/>
  <c r="M429" i="66"/>
  <c r="Z429" i="66" s="1"/>
  <c r="L430" i="66"/>
  <c r="S430" i="66" s="1"/>
  <c r="M430" i="66"/>
  <c r="Z430" i="66" s="1"/>
  <c r="L431" i="66"/>
  <c r="S431" i="66" s="1"/>
  <c r="M431" i="66"/>
  <c r="Z431" i="66" s="1"/>
  <c r="L432" i="66"/>
  <c r="S432" i="66" s="1"/>
  <c r="M432" i="66"/>
  <c r="Z432" i="66" s="1"/>
  <c r="L433" i="66"/>
  <c r="S433" i="66" s="1"/>
  <c r="M433" i="66"/>
  <c r="Z433" i="66" s="1"/>
  <c r="L434" i="66"/>
  <c r="S434" i="66" s="1"/>
  <c r="M434" i="66"/>
  <c r="L435" i="66"/>
  <c r="S435" i="66" s="1"/>
  <c r="M435" i="66"/>
  <c r="Z435" i="66" s="1"/>
  <c r="L436" i="66"/>
  <c r="S436" i="66" s="1"/>
  <c r="M436" i="66"/>
  <c r="Z436" i="66" s="1"/>
  <c r="L437" i="66"/>
  <c r="S437" i="66" s="1"/>
  <c r="M437" i="66"/>
  <c r="Z437" i="66" s="1"/>
  <c r="L438" i="66"/>
  <c r="S438" i="66" s="1"/>
  <c r="M438" i="66"/>
  <c r="Z438" i="66" s="1"/>
  <c r="L439" i="66"/>
  <c r="S439" i="66" s="1"/>
  <c r="M439" i="66"/>
  <c r="Z439" i="66" s="1"/>
  <c r="L440" i="66"/>
  <c r="S440" i="66" s="1"/>
  <c r="M440" i="66"/>
  <c r="Z440" i="66" s="1"/>
  <c r="L441" i="66"/>
  <c r="S441" i="66" s="1"/>
  <c r="M441" i="66"/>
  <c r="Z441" i="66" s="1"/>
  <c r="L442" i="66"/>
  <c r="S442" i="66" s="1"/>
  <c r="M442" i="66"/>
  <c r="Z442" i="66" s="1"/>
  <c r="L443" i="66"/>
  <c r="S443" i="66" s="1"/>
  <c r="M443" i="66"/>
  <c r="Z443" i="66" s="1"/>
  <c r="L444" i="66"/>
  <c r="S444" i="66" s="1"/>
  <c r="M444" i="66"/>
  <c r="Z444" i="66" s="1"/>
  <c r="L445" i="66"/>
  <c r="S445" i="66" s="1"/>
  <c r="M445" i="66"/>
  <c r="Z445" i="66" s="1"/>
  <c r="L446" i="66"/>
  <c r="S446" i="66" s="1"/>
  <c r="M446" i="66"/>
  <c r="Z446" i="66" s="1"/>
  <c r="L447" i="66"/>
  <c r="S447" i="66" s="1"/>
  <c r="M447" i="66"/>
  <c r="P447" i="66" s="1"/>
  <c r="L448" i="66"/>
  <c r="S448" i="66" s="1"/>
  <c r="M448" i="66"/>
  <c r="Z448" i="66" s="1"/>
  <c r="L449" i="66"/>
  <c r="S449" i="66" s="1"/>
  <c r="M449" i="66"/>
  <c r="Z449" i="66" s="1"/>
  <c r="L450" i="66"/>
  <c r="S450" i="66" s="1"/>
  <c r="M450" i="66"/>
  <c r="Z450" i="66" s="1"/>
  <c r="L451" i="66"/>
  <c r="S451" i="66" s="1"/>
  <c r="M451" i="66"/>
  <c r="Z451" i="66" s="1"/>
  <c r="L452" i="66"/>
  <c r="S452" i="66" s="1"/>
  <c r="M452" i="66"/>
  <c r="Z452" i="66" s="1"/>
  <c r="L453" i="66"/>
  <c r="S453" i="66" s="1"/>
  <c r="M453" i="66"/>
  <c r="L454" i="66"/>
  <c r="S454" i="66" s="1"/>
  <c r="M454" i="66"/>
  <c r="Z454" i="66" s="1"/>
  <c r="L455" i="66"/>
  <c r="S455" i="66" s="1"/>
  <c r="M455" i="66"/>
  <c r="Z455" i="66" s="1"/>
  <c r="L456" i="66"/>
  <c r="S456" i="66" s="1"/>
  <c r="M456" i="66"/>
  <c r="Z456" i="66" s="1"/>
  <c r="L457" i="66"/>
  <c r="S457" i="66" s="1"/>
  <c r="M457" i="66"/>
  <c r="Z457" i="66" s="1"/>
  <c r="L458" i="66"/>
  <c r="M458" i="66"/>
  <c r="Z458" i="66" s="1"/>
  <c r="S458" i="66"/>
  <c r="L459" i="66"/>
  <c r="S459" i="66" s="1"/>
  <c r="M459" i="66"/>
  <c r="Z459" i="66" s="1"/>
  <c r="L460" i="66"/>
  <c r="S460" i="66" s="1"/>
  <c r="M460" i="66"/>
  <c r="Z460" i="66" s="1"/>
  <c r="L461" i="66"/>
  <c r="S461" i="66" s="1"/>
  <c r="M461" i="66"/>
  <c r="Z461" i="66" s="1"/>
  <c r="L462" i="66"/>
  <c r="S462" i="66" s="1"/>
  <c r="M462" i="66"/>
  <c r="Z462" i="66" s="1"/>
  <c r="L463" i="66"/>
  <c r="S463" i="66" s="1"/>
  <c r="M463" i="66"/>
  <c r="Z463" i="66" s="1"/>
  <c r="L464" i="66"/>
  <c r="S464" i="66" s="1"/>
  <c r="M464" i="66"/>
  <c r="Z464" i="66" s="1"/>
  <c r="L465" i="66"/>
  <c r="S465" i="66" s="1"/>
  <c r="M465" i="66"/>
  <c r="Z465" i="66" s="1"/>
  <c r="L466" i="66"/>
  <c r="M466" i="66"/>
  <c r="Z466" i="66" s="1"/>
  <c r="S466" i="66"/>
  <c r="L467" i="66"/>
  <c r="S467" i="66" s="1"/>
  <c r="M467" i="66"/>
  <c r="Z467" i="66" s="1"/>
  <c r="L468" i="66"/>
  <c r="S468" i="66" s="1"/>
  <c r="M468" i="66"/>
  <c r="Z468" i="66" s="1"/>
  <c r="L469" i="66"/>
  <c r="S469" i="66" s="1"/>
  <c r="M469" i="66"/>
  <c r="Z469" i="66" s="1"/>
  <c r="L470" i="66"/>
  <c r="S470" i="66" s="1"/>
  <c r="M470" i="66"/>
  <c r="Z470" i="66" s="1"/>
  <c r="L471" i="66"/>
  <c r="S471" i="66" s="1"/>
  <c r="M471" i="66"/>
  <c r="Z471" i="66" s="1"/>
  <c r="L472" i="66"/>
  <c r="S472" i="66" s="1"/>
  <c r="M472" i="66"/>
  <c r="Z472" i="66" s="1"/>
  <c r="L473" i="66"/>
  <c r="S473" i="66" s="1"/>
  <c r="M473" i="66"/>
  <c r="Z473" i="66" s="1"/>
  <c r="L474" i="66"/>
  <c r="S474" i="66" s="1"/>
  <c r="M474" i="66"/>
  <c r="Z474" i="66" s="1"/>
  <c r="L475" i="66"/>
  <c r="S475" i="66" s="1"/>
  <c r="M475" i="66"/>
  <c r="Z475" i="66" s="1"/>
  <c r="L476" i="66"/>
  <c r="S476" i="66" s="1"/>
  <c r="M476" i="66"/>
  <c r="Z476" i="66" s="1"/>
  <c r="L477" i="66"/>
  <c r="S477" i="66" s="1"/>
  <c r="M477" i="66"/>
  <c r="Z477" i="66" s="1"/>
  <c r="L478" i="66"/>
  <c r="S478" i="66" s="1"/>
  <c r="M478" i="66"/>
  <c r="Z478" i="66" s="1"/>
  <c r="L479" i="66"/>
  <c r="S479" i="66" s="1"/>
  <c r="M479" i="66"/>
  <c r="Z479" i="66" s="1"/>
  <c r="L480" i="66"/>
  <c r="S480" i="66" s="1"/>
  <c r="M480" i="66"/>
  <c r="Z480" i="66" s="1"/>
  <c r="L481" i="66"/>
  <c r="S481" i="66" s="1"/>
  <c r="M481" i="66"/>
  <c r="Z481" i="66" s="1"/>
  <c r="L482" i="66"/>
  <c r="S482" i="66" s="1"/>
  <c r="M482" i="66"/>
  <c r="Z482" i="66" s="1"/>
  <c r="L483" i="66"/>
  <c r="S483" i="66" s="1"/>
  <c r="M483" i="66"/>
  <c r="Z483" i="66" s="1"/>
  <c r="L484" i="66"/>
  <c r="S484" i="66" s="1"/>
  <c r="M484" i="66"/>
  <c r="Z484" i="66" s="1"/>
  <c r="L485" i="66"/>
  <c r="S485" i="66" s="1"/>
  <c r="M485" i="66"/>
  <c r="Z485" i="66" s="1"/>
  <c r="L486" i="66"/>
  <c r="S486" i="66" s="1"/>
  <c r="M486" i="66"/>
  <c r="Z486" i="66" s="1"/>
  <c r="L487" i="66"/>
  <c r="S487" i="66" s="1"/>
  <c r="M487" i="66"/>
  <c r="Z487" i="66" s="1"/>
  <c r="L488" i="66"/>
  <c r="S488" i="66" s="1"/>
  <c r="M488" i="66"/>
  <c r="Z488" i="66" s="1"/>
  <c r="L489" i="66"/>
  <c r="S489" i="66" s="1"/>
  <c r="M489" i="66"/>
  <c r="Z489" i="66" s="1"/>
  <c r="L490" i="66"/>
  <c r="S490" i="66" s="1"/>
  <c r="M490" i="66"/>
  <c r="Z490" i="66" s="1"/>
  <c r="L491" i="66"/>
  <c r="S491" i="66" s="1"/>
  <c r="M491" i="66"/>
  <c r="L492" i="66"/>
  <c r="S492" i="66" s="1"/>
  <c r="M492" i="66"/>
  <c r="Z492" i="66" s="1"/>
  <c r="L493" i="66"/>
  <c r="S493" i="66" s="1"/>
  <c r="M493" i="66"/>
  <c r="Z493" i="66" s="1"/>
  <c r="L494" i="66"/>
  <c r="S494" i="66" s="1"/>
  <c r="M494" i="66"/>
  <c r="Z494" i="66" s="1"/>
  <c r="L495" i="66"/>
  <c r="S495" i="66" s="1"/>
  <c r="M495" i="66"/>
  <c r="Z495" i="66" s="1"/>
  <c r="L496" i="66"/>
  <c r="S496" i="66" s="1"/>
  <c r="M496" i="66"/>
  <c r="Z496" i="66" s="1"/>
  <c r="L497" i="66"/>
  <c r="S497" i="66" s="1"/>
  <c r="M497" i="66"/>
  <c r="Z497" i="66" s="1"/>
  <c r="L498" i="66"/>
  <c r="S498" i="66" s="1"/>
  <c r="M498" i="66"/>
  <c r="Z498" i="66" s="1"/>
  <c r="L499" i="66"/>
  <c r="S499" i="66" s="1"/>
  <c r="M499" i="66"/>
  <c r="Z499" i="66" s="1"/>
  <c r="L500" i="66"/>
  <c r="S500" i="66" s="1"/>
  <c r="M500" i="66"/>
  <c r="Z500" i="66" s="1"/>
  <c r="L501" i="66"/>
  <c r="S501" i="66" s="1"/>
  <c r="M501" i="66"/>
  <c r="Z501" i="66" s="1"/>
  <c r="L502" i="66"/>
  <c r="S502" i="66" s="1"/>
  <c r="M502" i="66"/>
  <c r="L503" i="66"/>
  <c r="S503" i="66" s="1"/>
  <c r="M503" i="66"/>
  <c r="Z503" i="66" s="1"/>
  <c r="L504" i="66"/>
  <c r="S504" i="66" s="1"/>
  <c r="M504" i="66"/>
  <c r="Z504" i="66" s="1"/>
  <c r="L505" i="66"/>
  <c r="S505" i="66" s="1"/>
  <c r="M505" i="66"/>
  <c r="L506" i="66"/>
  <c r="S506" i="66" s="1"/>
  <c r="M506" i="66"/>
  <c r="Z506" i="66" s="1"/>
  <c r="L507" i="66"/>
  <c r="S507" i="66" s="1"/>
  <c r="M507" i="66"/>
  <c r="Z507" i="66" s="1"/>
  <c r="L508" i="66"/>
  <c r="S508" i="66" s="1"/>
  <c r="M508" i="66"/>
  <c r="Z508" i="66" s="1"/>
  <c r="L509" i="66"/>
  <c r="S509" i="66" s="1"/>
  <c r="M509" i="66"/>
  <c r="Z509" i="66" s="1"/>
  <c r="L510" i="66"/>
  <c r="S510" i="66" s="1"/>
  <c r="M510" i="66"/>
  <c r="Z510" i="66" s="1"/>
  <c r="L511" i="66"/>
  <c r="S511" i="66" s="1"/>
  <c r="M511" i="66"/>
  <c r="Z511" i="66" s="1"/>
  <c r="L512" i="66"/>
  <c r="S512" i="66" s="1"/>
  <c r="M512" i="66"/>
  <c r="Z512" i="66" s="1"/>
  <c r="L513" i="66"/>
  <c r="S513" i="66" s="1"/>
  <c r="M513" i="66"/>
  <c r="Z513" i="66" s="1"/>
  <c r="L514" i="66"/>
  <c r="S514" i="66" s="1"/>
  <c r="M514" i="66"/>
  <c r="L515" i="66"/>
  <c r="S515" i="66" s="1"/>
  <c r="M515" i="66"/>
  <c r="Z515" i="66" s="1"/>
  <c r="L516" i="66"/>
  <c r="S516" i="66" s="1"/>
  <c r="M516" i="66"/>
  <c r="Z516" i="66" s="1"/>
  <c r="L517" i="66"/>
  <c r="S517" i="66" s="1"/>
  <c r="M517" i="66"/>
  <c r="P517" i="66" s="1"/>
  <c r="L518" i="66"/>
  <c r="S518" i="66" s="1"/>
  <c r="M518" i="66"/>
  <c r="Z518" i="66" s="1"/>
  <c r="L519" i="66"/>
  <c r="S519" i="66" s="1"/>
  <c r="M519" i="66"/>
  <c r="Z519" i="66" s="1"/>
  <c r="L520" i="66"/>
  <c r="S520" i="66" s="1"/>
  <c r="M520" i="66"/>
  <c r="Z520" i="66" s="1"/>
  <c r="L521" i="66"/>
  <c r="S521" i="66" s="1"/>
  <c r="M521" i="66"/>
  <c r="L522" i="66"/>
  <c r="S522" i="66" s="1"/>
  <c r="M522" i="66"/>
  <c r="Z522" i="66" s="1"/>
  <c r="L523" i="66"/>
  <c r="S523" i="66" s="1"/>
  <c r="M523" i="66"/>
  <c r="Z523" i="66" s="1"/>
  <c r="L524" i="66"/>
  <c r="S524" i="66" s="1"/>
  <c r="M524" i="66"/>
  <c r="Z524" i="66" s="1"/>
  <c r="L525" i="66"/>
  <c r="S525" i="66" s="1"/>
  <c r="M525" i="66"/>
  <c r="L526" i="66"/>
  <c r="S526" i="66" s="1"/>
  <c r="M526" i="66"/>
  <c r="Z526" i="66" s="1"/>
  <c r="L527" i="66"/>
  <c r="S527" i="66" s="1"/>
  <c r="M527" i="66"/>
  <c r="Z527" i="66" s="1"/>
  <c r="L528" i="66"/>
  <c r="S528" i="66" s="1"/>
  <c r="M528" i="66"/>
  <c r="L529" i="66"/>
  <c r="S529" i="66" s="1"/>
  <c r="M529" i="66"/>
  <c r="Z529" i="66" s="1"/>
  <c r="L530" i="66"/>
  <c r="S530" i="66" s="1"/>
  <c r="M530" i="66"/>
  <c r="L531" i="66"/>
  <c r="S531" i="66" s="1"/>
  <c r="M531" i="66"/>
  <c r="Z531" i="66" s="1"/>
  <c r="L532" i="66"/>
  <c r="S532" i="66" s="1"/>
  <c r="M532" i="66"/>
  <c r="L533" i="66"/>
  <c r="S533" i="66" s="1"/>
  <c r="M533" i="66"/>
  <c r="Z533" i="66" s="1"/>
  <c r="L534" i="66"/>
  <c r="S534" i="66" s="1"/>
  <c r="M534" i="66"/>
  <c r="P534" i="66" s="1"/>
  <c r="L535" i="66"/>
  <c r="S535" i="66" s="1"/>
  <c r="M535" i="66"/>
  <c r="Z535" i="66" s="1"/>
  <c r="L536" i="66"/>
  <c r="S536" i="66" s="1"/>
  <c r="M536" i="66"/>
  <c r="Z536" i="66" s="1"/>
  <c r="L537" i="66"/>
  <c r="S537" i="66" s="1"/>
  <c r="M537" i="66"/>
  <c r="Z537" i="66" s="1"/>
  <c r="L538" i="66"/>
  <c r="S538" i="66" s="1"/>
  <c r="M538" i="66"/>
  <c r="Z538" i="66" s="1"/>
  <c r="L539" i="66"/>
  <c r="S539" i="66" s="1"/>
  <c r="M539" i="66"/>
  <c r="Z539" i="66" s="1"/>
  <c r="L540" i="66"/>
  <c r="S540" i="66" s="1"/>
  <c r="M540" i="66"/>
  <c r="L541" i="66"/>
  <c r="S541" i="66" s="1"/>
  <c r="M541" i="66"/>
  <c r="Z541" i="66" s="1"/>
  <c r="L542" i="66"/>
  <c r="S542" i="66" s="1"/>
  <c r="M542" i="66"/>
  <c r="P542" i="66" s="1"/>
  <c r="L543" i="66"/>
  <c r="S543" i="66" s="1"/>
  <c r="M543" i="66"/>
  <c r="Z543" i="66" s="1"/>
  <c r="L544" i="66"/>
  <c r="S544" i="66" s="1"/>
  <c r="M544" i="66"/>
  <c r="Z544" i="66" s="1"/>
  <c r="L545" i="66"/>
  <c r="S545" i="66" s="1"/>
  <c r="M545" i="66"/>
  <c r="L546" i="66"/>
  <c r="S546" i="66" s="1"/>
  <c r="M546" i="66"/>
  <c r="Z546" i="66" s="1"/>
  <c r="L547" i="66"/>
  <c r="S547" i="66" s="1"/>
  <c r="M547" i="66"/>
  <c r="Z547" i="66" s="1"/>
  <c r="L548" i="66"/>
  <c r="S548" i="66" s="1"/>
  <c r="M548" i="66"/>
  <c r="L549" i="66"/>
  <c r="S549" i="66" s="1"/>
  <c r="M549" i="66"/>
  <c r="Z549" i="66" s="1"/>
  <c r="L550" i="66"/>
  <c r="S550" i="66" s="1"/>
  <c r="M550" i="66"/>
  <c r="P550" i="66" s="1"/>
  <c r="L551" i="66"/>
  <c r="S551" i="66" s="1"/>
  <c r="M551" i="66"/>
  <c r="Z551" i="66" s="1"/>
  <c r="L552" i="66"/>
  <c r="S552" i="66" s="1"/>
  <c r="M552" i="66"/>
  <c r="P552" i="66" s="1"/>
  <c r="L553" i="66"/>
  <c r="S553" i="66" s="1"/>
  <c r="M553" i="66"/>
  <c r="Z553" i="66" s="1"/>
  <c r="L554" i="66"/>
  <c r="S554" i="66" s="1"/>
  <c r="M554" i="66"/>
  <c r="P554" i="66" s="1"/>
  <c r="L555" i="66"/>
  <c r="S555" i="66" s="1"/>
  <c r="M555" i="66"/>
  <c r="Z555" i="66" s="1"/>
  <c r="L556" i="66"/>
  <c r="S556" i="66" s="1"/>
  <c r="M556" i="66"/>
  <c r="P556" i="66" s="1"/>
  <c r="L557" i="66"/>
  <c r="S557" i="66" s="1"/>
  <c r="M557" i="66"/>
  <c r="Z557" i="66" s="1"/>
  <c r="L558" i="66"/>
  <c r="S558" i="66" s="1"/>
  <c r="M558" i="66"/>
  <c r="Z558" i="66" s="1"/>
  <c r="L559" i="66"/>
  <c r="S559" i="66" s="1"/>
  <c r="M559" i="66"/>
  <c r="Z559" i="66" s="1"/>
  <c r="L560" i="66"/>
  <c r="S560" i="66" s="1"/>
  <c r="M560" i="66"/>
  <c r="L561" i="66"/>
  <c r="S561" i="66" s="1"/>
  <c r="M561" i="66"/>
  <c r="Z561" i="66" s="1"/>
  <c r="L562" i="66"/>
  <c r="S562" i="66" s="1"/>
  <c r="M562" i="66"/>
  <c r="L563" i="66"/>
  <c r="S563" i="66" s="1"/>
  <c r="M563" i="66"/>
  <c r="Z563" i="66" s="1"/>
  <c r="L564" i="66"/>
  <c r="S564" i="66" s="1"/>
  <c r="M564" i="66"/>
  <c r="Z564" i="66" s="1"/>
  <c r="L565" i="66"/>
  <c r="S565" i="66" s="1"/>
  <c r="M565" i="66"/>
  <c r="L566" i="66"/>
  <c r="S566" i="66" s="1"/>
  <c r="M566" i="66"/>
  <c r="Z566" i="66" s="1"/>
  <c r="L567" i="66"/>
  <c r="S567" i="66" s="1"/>
  <c r="M567" i="66"/>
  <c r="P567" i="66" s="1"/>
  <c r="L568" i="66"/>
  <c r="S568" i="66" s="1"/>
  <c r="M568" i="66"/>
  <c r="Z568" i="66" s="1"/>
  <c r="L569" i="66"/>
  <c r="S569" i="66" s="1"/>
  <c r="M569" i="66"/>
  <c r="L570" i="66"/>
  <c r="S570" i="66" s="1"/>
  <c r="M570" i="66"/>
  <c r="Z570" i="66" s="1"/>
  <c r="L571" i="66"/>
  <c r="S571" i="66" s="1"/>
  <c r="M571" i="66"/>
  <c r="Z571" i="66" s="1"/>
  <c r="L572" i="66"/>
  <c r="S572" i="66" s="1"/>
  <c r="M572" i="66"/>
  <c r="Z572" i="66" s="1"/>
  <c r="L573" i="66"/>
  <c r="S573" i="66" s="1"/>
  <c r="M573" i="66"/>
  <c r="Z573" i="66" s="1"/>
  <c r="L574" i="66"/>
  <c r="S574" i="66" s="1"/>
  <c r="T574" i="66" s="1"/>
  <c r="Y574" i="66" s="1"/>
  <c r="M574" i="66"/>
  <c r="L575" i="66"/>
  <c r="S575" i="66" s="1"/>
  <c r="M575" i="66"/>
  <c r="Z575" i="66" s="1"/>
  <c r="L576" i="66"/>
  <c r="S576" i="66" s="1"/>
  <c r="M576" i="66"/>
  <c r="Z576" i="66" s="1"/>
  <c r="L577" i="66"/>
  <c r="S577" i="66" s="1"/>
  <c r="M577" i="66"/>
  <c r="P577" i="66" s="1"/>
  <c r="L578" i="66"/>
  <c r="S578" i="66" s="1"/>
  <c r="M578" i="66"/>
  <c r="Z578" i="66" s="1"/>
  <c r="L579" i="66"/>
  <c r="S579" i="66" s="1"/>
  <c r="M579" i="66"/>
  <c r="P579" i="66" s="1"/>
  <c r="L580" i="66"/>
  <c r="S580" i="66" s="1"/>
  <c r="M580" i="66"/>
  <c r="Z580" i="66" s="1"/>
  <c r="L581" i="66"/>
  <c r="S581" i="66" s="1"/>
  <c r="M581" i="66"/>
  <c r="P581" i="66" s="1"/>
  <c r="L582" i="66"/>
  <c r="S582" i="66" s="1"/>
  <c r="M582" i="66"/>
  <c r="Z582" i="66" s="1"/>
  <c r="L583" i="66"/>
  <c r="S583" i="66" s="1"/>
  <c r="M583" i="66"/>
  <c r="P583" i="66" s="1"/>
  <c r="L584" i="66"/>
  <c r="S584" i="66" s="1"/>
  <c r="M584" i="66"/>
  <c r="Z584" i="66" s="1"/>
  <c r="L585" i="66"/>
  <c r="S585" i="66" s="1"/>
  <c r="M585" i="66"/>
  <c r="Z585" i="66" s="1"/>
  <c r="L586" i="66"/>
  <c r="S586" i="66" s="1"/>
  <c r="M586" i="66"/>
  <c r="Z586" i="66" s="1"/>
  <c r="L587" i="66"/>
  <c r="S587" i="66" s="1"/>
  <c r="M587" i="66"/>
  <c r="Z587" i="66" s="1"/>
  <c r="L588" i="66"/>
  <c r="S588" i="66" s="1"/>
  <c r="M588" i="66"/>
  <c r="Z588" i="66" s="1"/>
  <c r="L589" i="66"/>
  <c r="S589" i="66" s="1"/>
  <c r="M589" i="66"/>
  <c r="Z589" i="66" s="1"/>
  <c r="L590" i="66"/>
  <c r="S590" i="66" s="1"/>
  <c r="M590" i="66"/>
  <c r="L591" i="66"/>
  <c r="S591" i="66" s="1"/>
  <c r="M591" i="66"/>
  <c r="Z591" i="66" s="1"/>
  <c r="L592" i="66"/>
  <c r="S592" i="66" s="1"/>
  <c r="M592" i="66"/>
  <c r="P592" i="66" s="1"/>
  <c r="L593" i="66"/>
  <c r="S593" i="66" s="1"/>
  <c r="M593" i="66"/>
  <c r="Z593" i="66" s="1"/>
  <c r="L594" i="66"/>
  <c r="S594" i="66" s="1"/>
  <c r="M594" i="66"/>
  <c r="L595" i="66"/>
  <c r="S595" i="66" s="1"/>
  <c r="M595" i="66"/>
  <c r="Z595" i="66" s="1"/>
  <c r="L596" i="66"/>
  <c r="S596" i="66" s="1"/>
  <c r="M596" i="66"/>
  <c r="Z596" i="66" s="1"/>
  <c r="L597" i="66"/>
  <c r="S597" i="66" s="1"/>
  <c r="M597" i="66"/>
  <c r="L598" i="66"/>
  <c r="S598" i="66" s="1"/>
  <c r="M598" i="66"/>
  <c r="Z598" i="66" s="1"/>
  <c r="L599" i="66"/>
  <c r="S599" i="66" s="1"/>
  <c r="M599" i="66"/>
  <c r="L600" i="66"/>
  <c r="S600" i="66" s="1"/>
  <c r="M600" i="66"/>
  <c r="Z600" i="66" s="1"/>
  <c r="L601" i="66"/>
  <c r="S601" i="66" s="1"/>
  <c r="M601" i="66"/>
  <c r="L602" i="66"/>
  <c r="S602" i="66" s="1"/>
  <c r="M602" i="66"/>
  <c r="Z602" i="66" s="1"/>
  <c r="L603" i="66"/>
  <c r="S603" i="66" s="1"/>
  <c r="M603" i="66"/>
  <c r="L604" i="66"/>
  <c r="S604" i="66" s="1"/>
  <c r="M604" i="66"/>
  <c r="Z604" i="66" s="1"/>
  <c r="L605" i="66"/>
  <c r="S605" i="66" s="1"/>
  <c r="M605" i="66"/>
  <c r="Z605" i="66" s="1"/>
  <c r="L606" i="66"/>
  <c r="S606" i="66" s="1"/>
  <c r="M606" i="66"/>
  <c r="Z606" i="66" s="1"/>
  <c r="L607" i="66"/>
  <c r="S607" i="66" s="1"/>
  <c r="M607" i="66"/>
  <c r="Z607" i="66" s="1"/>
  <c r="L608" i="66"/>
  <c r="S608" i="66" s="1"/>
  <c r="M608" i="66"/>
  <c r="L609" i="66"/>
  <c r="S609" i="66" s="1"/>
  <c r="M609" i="66"/>
  <c r="Z609" i="66" s="1"/>
  <c r="L610" i="66"/>
  <c r="S610" i="66" s="1"/>
  <c r="M610" i="66"/>
  <c r="Z610" i="66" s="1"/>
  <c r="L611" i="66"/>
  <c r="S611" i="66" s="1"/>
  <c r="M611" i="66"/>
  <c r="Z611" i="66" s="1"/>
  <c r="L612" i="66"/>
  <c r="S612" i="66" s="1"/>
  <c r="M612" i="66"/>
  <c r="Z612" i="66" s="1"/>
  <c r="L613" i="66"/>
  <c r="S613" i="66" s="1"/>
  <c r="M613" i="66"/>
  <c r="Z613" i="66" s="1"/>
  <c r="L614" i="66"/>
  <c r="S614" i="66" s="1"/>
  <c r="M614" i="66"/>
  <c r="L615" i="66"/>
  <c r="S615" i="66" s="1"/>
  <c r="M615" i="66"/>
  <c r="Z615" i="66" s="1"/>
  <c r="L616" i="66"/>
  <c r="S616" i="66" s="1"/>
  <c r="M616" i="66"/>
  <c r="Z616" i="66" s="1"/>
  <c r="L617" i="66"/>
  <c r="S617" i="66" s="1"/>
  <c r="M617" i="66"/>
  <c r="Z617" i="66" s="1"/>
  <c r="L618" i="66"/>
  <c r="S618" i="66" s="1"/>
  <c r="M618" i="66"/>
  <c r="Z618" i="66" s="1"/>
  <c r="L619" i="66"/>
  <c r="S619" i="66" s="1"/>
  <c r="M619" i="66"/>
  <c r="Z619" i="66" s="1"/>
  <c r="L620" i="66"/>
  <c r="S620" i="66" s="1"/>
  <c r="M620" i="66"/>
  <c r="Z620" i="66" s="1"/>
  <c r="L621" i="66"/>
  <c r="S621" i="66" s="1"/>
  <c r="M621" i="66"/>
  <c r="Z621" i="66" s="1"/>
  <c r="L622" i="66"/>
  <c r="S622" i="66" s="1"/>
  <c r="M622" i="66"/>
  <c r="P622" i="66" s="1"/>
  <c r="L623" i="66"/>
  <c r="S623" i="66" s="1"/>
  <c r="M623" i="66"/>
  <c r="Z623" i="66" s="1"/>
  <c r="L624" i="66"/>
  <c r="S624" i="66" s="1"/>
  <c r="M624" i="66"/>
  <c r="L625" i="66"/>
  <c r="S625" i="66" s="1"/>
  <c r="M625" i="66"/>
  <c r="Z625" i="66" s="1"/>
  <c r="L626" i="66"/>
  <c r="S626" i="66" s="1"/>
  <c r="M626" i="66"/>
  <c r="Z626" i="66" s="1"/>
  <c r="L627" i="66"/>
  <c r="S627" i="66" s="1"/>
  <c r="M627" i="66"/>
  <c r="Z627" i="66" s="1"/>
  <c r="L628" i="66"/>
  <c r="S628" i="66" s="1"/>
  <c r="M628" i="66"/>
  <c r="L629" i="66"/>
  <c r="S629" i="66" s="1"/>
  <c r="M629" i="66"/>
  <c r="Z629" i="66" s="1"/>
  <c r="L630" i="66"/>
  <c r="S630" i="66" s="1"/>
  <c r="M630" i="66"/>
  <c r="Z630" i="66" s="1"/>
  <c r="L631" i="66"/>
  <c r="S631" i="66" s="1"/>
  <c r="M631" i="66"/>
  <c r="Z631" i="66" s="1"/>
  <c r="L632" i="66"/>
  <c r="S632" i="66" s="1"/>
  <c r="M632" i="66"/>
  <c r="L633" i="66"/>
  <c r="S633" i="66" s="1"/>
  <c r="M633" i="66"/>
  <c r="Z633" i="66" s="1"/>
  <c r="L634" i="66"/>
  <c r="S634" i="66" s="1"/>
  <c r="M634" i="66"/>
  <c r="Z634" i="66" s="1"/>
  <c r="L635" i="66"/>
  <c r="S635" i="66" s="1"/>
  <c r="M635" i="66"/>
  <c r="Z635" i="66" s="1"/>
  <c r="L636" i="66"/>
  <c r="S636" i="66" s="1"/>
  <c r="M636" i="66"/>
  <c r="Z636" i="66" s="1"/>
  <c r="L637" i="66"/>
  <c r="S637" i="66" s="1"/>
  <c r="M637" i="66"/>
  <c r="Z637" i="66" s="1"/>
  <c r="L638" i="66"/>
  <c r="S638" i="66" s="1"/>
  <c r="M638" i="66"/>
  <c r="Z638" i="66" s="1"/>
  <c r="L639" i="66"/>
  <c r="S639" i="66" s="1"/>
  <c r="M639" i="66"/>
  <c r="L640" i="66"/>
  <c r="S640" i="66" s="1"/>
  <c r="M640" i="66"/>
  <c r="Z640" i="66" s="1"/>
  <c r="L641" i="66"/>
  <c r="S641" i="66" s="1"/>
  <c r="M641" i="66"/>
  <c r="Z641" i="66" s="1"/>
  <c r="L642" i="66"/>
  <c r="S642" i="66" s="1"/>
  <c r="M642" i="66"/>
  <c r="Z642" i="66" s="1"/>
  <c r="L643" i="66"/>
  <c r="S643" i="66" s="1"/>
  <c r="M643" i="66"/>
  <c r="Z643" i="66" s="1"/>
  <c r="L644" i="66"/>
  <c r="S644" i="66" s="1"/>
  <c r="M644" i="66"/>
  <c r="Z644" i="66" s="1"/>
  <c r="L645" i="66"/>
  <c r="S645" i="66" s="1"/>
  <c r="M645" i="66"/>
  <c r="L646" i="66"/>
  <c r="S646" i="66" s="1"/>
  <c r="M646" i="66"/>
  <c r="Z646" i="66" s="1"/>
  <c r="L647" i="66"/>
  <c r="S647" i="66" s="1"/>
  <c r="M647" i="66"/>
  <c r="Z647" i="66" s="1"/>
  <c r="L648" i="66"/>
  <c r="S648" i="66" s="1"/>
  <c r="M648" i="66"/>
  <c r="T648" i="66" s="1"/>
  <c r="Y648" i="66" s="1"/>
  <c r="L649" i="66"/>
  <c r="S649" i="66" s="1"/>
  <c r="M649" i="66"/>
  <c r="Z649" i="66" s="1"/>
  <c r="L650" i="66"/>
  <c r="S650" i="66" s="1"/>
  <c r="M650" i="66"/>
  <c r="L651" i="66"/>
  <c r="S651" i="66" s="1"/>
  <c r="M651" i="66"/>
  <c r="Z651" i="66" s="1"/>
  <c r="L652" i="66"/>
  <c r="S652" i="66" s="1"/>
  <c r="M652" i="66"/>
  <c r="Z652" i="66" s="1"/>
  <c r="L653" i="66"/>
  <c r="S653" i="66" s="1"/>
  <c r="M653" i="66"/>
  <c r="Z653" i="66" s="1"/>
  <c r="L654" i="66"/>
  <c r="S654" i="66" s="1"/>
  <c r="M654" i="66"/>
  <c r="Z654" i="66" s="1"/>
  <c r="L655" i="66"/>
  <c r="S655" i="66" s="1"/>
  <c r="M655" i="66"/>
  <c r="Z655" i="66" s="1"/>
  <c r="L656" i="66"/>
  <c r="S656" i="66" s="1"/>
  <c r="M656" i="66"/>
  <c r="Z656" i="66" s="1"/>
  <c r="L657" i="66"/>
  <c r="S657" i="66" s="1"/>
  <c r="M657" i="66"/>
  <c r="Z657" i="66" s="1"/>
  <c r="L658" i="66"/>
  <c r="S658" i="66" s="1"/>
  <c r="M658" i="66"/>
  <c r="Z658" i="66" s="1"/>
  <c r="L659" i="66"/>
  <c r="S659" i="66" s="1"/>
  <c r="M659" i="66"/>
  <c r="P659" i="66" s="1"/>
  <c r="L660" i="66"/>
  <c r="S660" i="66" s="1"/>
  <c r="M660" i="66"/>
  <c r="Z660" i="66" s="1"/>
  <c r="L661" i="66"/>
  <c r="S661" i="66" s="1"/>
  <c r="M661" i="66"/>
  <c r="P661" i="66" s="1"/>
  <c r="L662" i="66"/>
  <c r="S662" i="66" s="1"/>
  <c r="M662" i="66"/>
  <c r="Z662" i="66" s="1"/>
  <c r="L663" i="66"/>
  <c r="S663" i="66" s="1"/>
  <c r="M663" i="66"/>
  <c r="Z663" i="66" s="1"/>
  <c r="L664" i="66"/>
  <c r="S664" i="66" s="1"/>
  <c r="M664" i="66"/>
  <c r="Z664" i="66" s="1"/>
  <c r="L665" i="66"/>
  <c r="S665" i="66" s="1"/>
  <c r="M665" i="66"/>
  <c r="Z665" i="66" s="1"/>
  <c r="L666" i="66"/>
  <c r="S666" i="66" s="1"/>
  <c r="M666" i="66"/>
  <c r="Z666" i="66" s="1"/>
  <c r="L667" i="66"/>
  <c r="S667" i="66" s="1"/>
  <c r="M667" i="66"/>
  <c r="Z667" i="66" s="1"/>
  <c r="L668" i="66"/>
  <c r="S668" i="66" s="1"/>
  <c r="M668" i="66"/>
  <c r="Z668" i="66" s="1"/>
  <c r="L669" i="66"/>
  <c r="S669" i="66" s="1"/>
  <c r="M669" i="66"/>
  <c r="Z669" i="66" s="1"/>
  <c r="L670" i="66"/>
  <c r="S670" i="66" s="1"/>
  <c r="M670" i="66"/>
  <c r="Z670" i="66" s="1"/>
  <c r="L671" i="66"/>
  <c r="S671" i="66" s="1"/>
  <c r="M671" i="66"/>
  <c r="Z671" i="66" s="1"/>
  <c r="L672" i="66"/>
  <c r="S672" i="66" s="1"/>
  <c r="M672" i="66"/>
  <c r="Z672" i="66" s="1"/>
  <c r="L673" i="66"/>
  <c r="S673" i="66" s="1"/>
  <c r="M673" i="66"/>
  <c r="Z673" i="66" s="1"/>
  <c r="L674" i="66"/>
  <c r="S674" i="66" s="1"/>
  <c r="M674" i="66"/>
  <c r="L675" i="66"/>
  <c r="M675" i="66"/>
  <c r="Z675" i="66" s="1"/>
  <c r="L676" i="66"/>
  <c r="S676" i="66" s="1"/>
  <c r="M676" i="66"/>
  <c r="Z676" i="66" s="1"/>
  <c r="L677" i="66"/>
  <c r="S677" i="66" s="1"/>
  <c r="M677" i="66"/>
  <c r="Z677" i="66" s="1"/>
  <c r="L678" i="66"/>
  <c r="S678" i="66" s="1"/>
  <c r="M678" i="66"/>
  <c r="Z678" i="66" s="1"/>
  <c r="L679" i="66"/>
  <c r="S679" i="66" s="1"/>
  <c r="M679" i="66"/>
  <c r="Z679" i="66" s="1"/>
  <c r="L680" i="66"/>
  <c r="S680" i="66" s="1"/>
  <c r="M680" i="66"/>
  <c r="Z680" i="66" s="1"/>
  <c r="L681" i="66"/>
  <c r="S681" i="66" s="1"/>
  <c r="M681" i="66"/>
  <c r="Z681" i="66" s="1"/>
  <c r="L682" i="66"/>
  <c r="S682" i="66" s="1"/>
  <c r="M682" i="66"/>
  <c r="Z682" i="66" s="1"/>
  <c r="L683" i="66"/>
  <c r="S683" i="66" s="1"/>
  <c r="M683" i="66"/>
  <c r="Z683" i="66" s="1"/>
  <c r="L684" i="66"/>
  <c r="S684" i="66" s="1"/>
  <c r="M684" i="66"/>
  <c r="L685" i="66"/>
  <c r="S685" i="66" s="1"/>
  <c r="M685" i="66"/>
  <c r="Z685" i="66" s="1"/>
  <c r="L686" i="66"/>
  <c r="S686" i="66" s="1"/>
  <c r="M686" i="66"/>
  <c r="Z686" i="66" s="1"/>
  <c r="L687" i="66"/>
  <c r="S687" i="66" s="1"/>
  <c r="M687" i="66"/>
  <c r="Z687" i="66" s="1"/>
  <c r="L688" i="66"/>
  <c r="S688" i="66" s="1"/>
  <c r="M688" i="66"/>
  <c r="P688" i="66" s="1"/>
  <c r="L689" i="66"/>
  <c r="S689" i="66" s="1"/>
  <c r="M689" i="66"/>
  <c r="Z689" i="66" s="1"/>
  <c r="L690" i="66"/>
  <c r="S690" i="66" s="1"/>
  <c r="M690" i="66"/>
  <c r="Z690" i="66" s="1"/>
  <c r="L691" i="66"/>
  <c r="S691" i="66" s="1"/>
  <c r="M691" i="66"/>
  <c r="Z691" i="66" s="1"/>
  <c r="L692" i="66"/>
  <c r="S692" i="66" s="1"/>
  <c r="M692" i="66"/>
  <c r="P692" i="66" s="1"/>
  <c r="L693" i="66"/>
  <c r="S693" i="66" s="1"/>
  <c r="M693" i="66"/>
  <c r="Z693" i="66" s="1"/>
  <c r="L694" i="66"/>
  <c r="S694" i="66" s="1"/>
  <c r="T694" i="66" s="1"/>
  <c r="Y694" i="66" s="1"/>
  <c r="M694" i="66"/>
  <c r="L695" i="66"/>
  <c r="S695" i="66" s="1"/>
  <c r="M695" i="66"/>
  <c r="Z695" i="66" s="1"/>
  <c r="L696" i="66"/>
  <c r="S696" i="66" s="1"/>
  <c r="M696" i="66"/>
  <c r="L697" i="66"/>
  <c r="S697" i="66" s="1"/>
  <c r="M697" i="66"/>
  <c r="Z697" i="66" s="1"/>
  <c r="L698" i="66"/>
  <c r="S698" i="66" s="1"/>
  <c r="M698" i="66"/>
  <c r="Z698" i="66" s="1"/>
  <c r="L699" i="66"/>
  <c r="S699" i="66" s="1"/>
  <c r="M699" i="66"/>
  <c r="Z699" i="66" s="1"/>
  <c r="L700" i="66"/>
  <c r="S700" i="66" s="1"/>
  <c r="M700" i="66"/>
  <c r="Z700" i="66" s="1"/>
  <c r="L701" i="66"/>
  <c r="S701" i="66" s="1"/>
  <c r="M701" i="66"/>
  <c r="Z701" i="66" s="1"/>
  <c r="L702" i="66"/>
  <c r="S702" i="66" s="1"/>
  <c r="M702" i="66"/>
  <c r="Z702" i="66" s="1"/>
  <c r="L703" i="66"/>
  <c r="S703" i="66" s="1"/>
  <c r="M703" i="66"/>
  <c r="Z703" i="66" s="1"/>
  <c r="L704" i="66"/>
  <c r="S704" i="66" s="1"/>
  <c r="M704" i="66"/>
  <c r="Z704" i="66" s="1"/>
  <c r="L705" i="66"/>
  <c r="S705" i="66" s="1"/>
  <c r="M705" i="66"/>
  <c r="Z705" i="66" s="1"/>
  <c r="L706" i="66"/>
  <c r="S706" i="66" s="1"/>
  <c r="M706" i="66"/>
  <c r="P706" i="66" s="1"/>
  <c r="L707" i="66"/>
  <c r="S707" i="66" s="1"/>
  <c r="M707" i="66"/>
  <c r="Z707" i="66" s="1"/>
  <c r="L708" i="66"/>
  <c r="S708" i="66" s="1"/>
  <c r="M708" i="66"/>
  <c r="P708" i="66" s="1"/>
  <c r="L709" i="66"/>
  <c r="S709" i="66" s="1"/>
  <c r="M709" i="66"/>
  <c r="Z709" i="66" s="1"/>
  <c r="L710" i="66"/>
  <c r="S710" i="66" s="1"/>
  <c r="M710" i="66"/>
  <c r="Z710" i="66" s="1"/>
  <c r="L711" i="66"/>
  <c r="S711" i="66" s="1"/>
  <c r="M711" i="66"/>
  <c r="Z711" i="66" s="1"/>
  <c r="L712" i="66"/>
  <c r="S712" i="66" s="1"/>
  <c r="M712" i="66"/>
  <c r="P712" i="66" s="1"/>
  <c r="L713" i="66"/>
  <c r="M713" i="66"/>
  <c r="Z713" i="66" s="1"/>
  <c r="L714" i="66"/>
  <c r="S714" i="66" s="1"/>
  <c r="M714" i="66"/>
  <c r="Z714" i="66" s="1"/>
  <c r="L715" i="66"/>
  <c r="S715" i="66" s="1"/>
  <c r="M715" i="66"/>
  <c r="Z715" i="66" s="1"/>
  <c r="L716" i="66"/>
  <c r="S716" i="66" s="1"/>
  <c r="M716" i="66"/>
  <c r="Z716" i="66" s="1"/>
  <c r="L717" i="66"/>
  <c r="S717" i="66" s="1"/>
  <c r="M717" i="66"/>
  <c r="Z717" i="66" s="1"/>
  <c r="L718" i="66"/>
  <c r="S718" i="66" s="1"/>
  <c r="M718" i="66"/>
  <c r="Z718" i="66" s="1"/>
  <c r="L719" i="66"/>
  <c r="S719" i="66" s="1"/>
  <c r="M719" i="66"/>
  <c r="Z719" i="66" s="1"/>
  <c r="L720" i="66"/>
  <c r="S720" i="66" s="1"/>
  <c r="M720" i="66"/>
  <c r="P720" i="66" s="1"/>
  <c r="L721" i="66"/>
  <c r="S721" i="66" s="1"/>
  <c r="M721" i="66"/>
  <c r="Z721" i="66" s="1"/>
  <c r="L722" i="66"/>
  <c r="S722" i="66" s="1"/>
  <c r="M722" i="66"/>
  <c r="Z722" i="66" s="1"/>
  <c r="L723" i="66"/>
  <c r="S723" i="66" s="1"/>
  <c r="M723" i="66"/>
  <c r="Z723" i="66" s="1"/>
  <c r="L724" i="66"/>
  <c r="S724" i="66" s="1"/>
  <c r="M724" i="66"/>
  <c r="Z724" i="66" s="1"/>
  <c r="L725" i="66"/>
  <c r="S725" i="66" s="1"/>
  <c r="M725" i="66"/>
  <c r="T725" i="66" s="1"/>
  <c r="Y725" i="66" s="1"/>
  <c r="L726" i="66"/>
  <c r="S726" i="66" s="1"/>
  <c r="M726" i="66"/>
  <c r="Z726" i="66" s="1"/>
  <c r="L727" i="66"/>
  <c r="S727" i="66" s="1"/>
  <c r="M727" i="66"/>
  <c r="P727" i="66" s="1"/>
  <c r="L728" i="66"/>
  <c r="S728" i="66" s="1"/>
  <c r="M728" i="66"/>
  <c r="Z728" i="66" s="1"/>
  <c r="L729" i="66"/>
  <c r="S729" i="66" s="1"/>
  <c r="M729" i="66"/>
  <c r="L730" i="66"/>
  <c r="S730" i="66" s="1"/>
  <c r="M730" i="66"/>
  <c r="Z730" i="66" s="1"/>
  <c r="L731" i="66"/>
  <c r="S731" i="66" s="1"/>
  <c r="M731" i="66"/>
  <c r="L732" i="66"/>
  <c r="S732" i="66" s="1"/>
  <c r="M732" i="66"/>
  <c r="Z732" i="66" s="1"/>
  <c r="L733" i="66"/>
  <c r="S733" i="66" s="1"/>
  <c r="M733" i="66"/>
  <c r="L734" i="66"/>
  <c r="S734" i="66" s="1"/>
  <c r="M734" i="66"/>
  <c r="Z734" i="66" s="1"/>
  <c r="L735" i="66"/>
  <c r="S735" i="66" s="1"/>
  <c r="M735" i="66"/>
  <c r="Z735" i="66" s="1"/>
  <c r="L736" i="66"/>
  <c r="S736" i="66" s="1"/>
  <c r="M736" i="66"/>
  <c r="P736" i="66" s="1"/>
  <c r="L737" i="66"/>
  <c r="S737" i="66" s="1"/>
  <c r="M737" i="66"/>
  <c r="Z737" i="66" s="1"/>
  <c r="L738" i="66"/>
  <c r="S738" i="66" s="1"/>
  <c r="M738" i="66"/>
  <c r="Z738" i="66" s="1"/>
  <c r="L739" i="66"/>
  <c r="S739" i="66" s="1"/>
  <c r="M739" i="66"/>
  <c r="L740" i="66"/>
  <c r="S740" i="66" s="1"/>
  <c r="M740" i="66"/>
  <c r="L741" i="66"/>
  <c r="S741" i="66" s="1"/>
  <c r="M741" i="66"/>
  <c r="Z741" i="66" s="1"/>
  <c r="L742" i="66"/>
  <c r="S742" i="66" s="1"/>
  <c r="M742" i="66"/>
  <c r="Z742" i="66" s="1"/>
  <c r="L743" i="66"/>
  <c r="S743" i="66" s="1"/>
  <c r="M743" i="66"/>
  <c r="Z743" i="66" s="1"/>
  <c r="L744" i="66"/>
  <c r="S744" i="66" s="1"/>
  <c r="M744" i="66"/>
  <c r="Z744" i="66" s="1"/>
  <c r="L745" i="66"/>
  <c r="S745" i="66" s="1"/>
  <c r="M745" i="66"/>
  <c r="Z745" i="66" s="1"/>
  <c r="L746" i="66"/>
  <c r="S746" i="66" s="1"/>
  <c r="M746" i="66"/>
  <c r="Z746" i="66" s="1"/>
  <c r="L747" i="66"/>
  <c r="S747" i="66" s="1"/>
  <c r="M747" i="66"/>
  <c r="Z747" i="66" s="1"/>
  <c r="L748" i="66"/>
  <c r="S748" i="66" s="1"/>
  <c r="M748" i="66"/>
  <c r="P748" i="66" s="1"/>
  <c r="L749" i="66"/>
  <c r="S749" i="66" s="1"/>
  <c r="M749" i="66"/>
  <c r="Z749" i="66" s="1"/>
  <c r="L750" i="66"/>
  <c r="S750" i="66" s="1"/>
  <c r="M750" i="66"/>
  <c r="Z750" i="66" s="1"/>
  <c r="L751" i="66"/>
  <c r="S751" i="66" s="1"/>
  <c r="M751" i="66"/>
  <c r="L752" i="66"/>
  <c r="S752" i="66" s="1"/>
  <c r="M752" i="66"/>
  <c r="Z752" i="66" s="1"/>
  <c r="L753" i="66"/>
  <c r="S753" i="66" s="1"/>
  <c r="M753" i="66"/>
  <c r="L754" i="66"/>
  <c r="S754" i="66" s="1"/>
  <c r="M754" i="66"/>
  <c r="Z754" i="66" s="1"/>
  <c r="L755" i="66"/>
  <c r="S755" i="66" s="1"/>
  <c r="M755" i="66"/>
  <c r="Z755" i="66" s="1"/>
  <c r="L756" i="66"/>
  <c r="S756" i="66" s="1"/>
  <c r="M756" i="66"/>
  <c r="L757" i="66"/>
  <c r="S757" i="66" s="1"/>
  <c r="M757" i="66"/>
  <c r="Z757" i="66" s="1"/>
  <c r="L758" i="66"/>
  <c r="S758" i="66" s="1"/>
  <c r="T758" i="66" s="1"/>
  <c r="Y758" i="66" s="1"/>
  <c r="M758" i="66"/>
  <c r="P758" i="66" s="1"/>
  <c r="L759" i="66"/>
  <c r="S759" i="66" s="1"/>
  <c r="M759" i="66"/>
  <c r="Z759" i="66" s="1"/>
  <c r="L760" i="66"/>
  <c r="S760" i="66" s="1"/>
  <c r="M760" i="66"/>
  <c r="P760" i="66" s="1"/>
  <c r="L761" i="66"/>
  <c r="S761" i="66" s="1"/>
  <c r="M761" i="66"/>
  <c r="Z761" i="66" s="1"/>
  <c r="L762" i="66"/>
  <c r="S762" i="66" s="1"/>
  <c r="M762" i="66"/>
  <c r="P762" i="66" s="1"/>
  <c r="L763" i="66"/>
  <c r="S763" i="66" s="1"/>
  <c r="M763" i="66"/>
  <c r="Z763" i="66" s="1"/>
  <c r="L764" i="66"/>
  <c r="S764" i="66" s="1"/>
  <c r="M764" i="66"/>
  <c r="Z764" i="66" s="1"/>
  <c r="L765" i="66"/>
  <c r="S765" i="66" s="1"/>
  <c r="M765" i="66"/>
  <c r="L766" i="66"/>
  <c r="S766" i="66" s="1"/>
  <c r="M766" i="66"/>
  <c r="Z766" i="66" s="1"/>
  <c r="L767" i="66"/>
  <c r="S767" i="66" s="1"/>
  <c r="M767" i="66"/>
  <c r="L768" i="66"/>
  <c r="S768" i="66" s="1"/>
  <c r="M768" i="66"/>
  <c r="Z768" i="66" s="1"/>
  <c r="L769" i="66"/>
  <c r="S769" i="66" s="1"/>
  <c r="M769" i="66"/>
  <c r="Z769" i="66" s="1"/>
  <c r="L770" i="66"/>
  <c r="S770" i="66" s="1"/>
  <c r="M770" i="66"/>
  <c r="Z770" i="66" s="1"/>
  <c r="L771" i="66"/>
  <c r="S771" i="66" s="1"/>
  <c r="M771" i="66"/>
  <c r="L772" i="66"/>
  <c r="S772" i="66" s="1"/>
  <c r="M772" i="66"/>
  <c r="Z772" i="66" s="1"/>
  <c r="L773" i="66"/>
  <c r="M773" i="66"/>
  <c r="L774" i="66"/>
  <c r="S774" i="66" s="1"/>
  <c r="M774" i="66"/>
  <c r="Z774" i="66" s="1"/>
  <c r="L775" i="66"/>
  <c r="S775" i="66" s="1"/>
  <c r="M775" i="66"/>
  <c r="L776" i="66"/>
  <c r="S776" i="66" s="1"/>
  <c r="M776" i="66"/>
  <c r="Z776" i="66" s="1"/>
  <c r="L777" i="66"/>
  <c r="S777" i="66" s="1"/>
  <c r="M777" i="66"/>
  <c r="L778" i="66"/>
  <c r="S778" i="66" s="1"/>
  <c r="M778" i="66"/>
  <c r="Z778" i="66" s="1"/>
  <c r="L779" i="66"/>
  <c r="S779" i="66" s="1"/>
  <c r="M779" i="66"/>
  <c r="Z779" i="66" s="1"/>
  <c r="L780" i="66"/>
  <c r="S780" i="66" s="1"/>
  <c r="M780" i="66"/>
  <c r="P780" i="66" s="1"/>
  <c r="L781" i="66"/>
  <c r="S781" i="66" s="1"/>
  <c r="M781" i="66"/>
  <c r="Z781" i="66" s="1"/>
  <c r="L782" i="66"/>
  <c r="S782" i="66" s="1"/>
  <c r="M782" i="66"/>
  <c r="P782" i="66" s="1"/>
  <c r="L783" i="66"/>
  <c r="S783" i="66" s="1"/>
  <c r="M783" i="66"/>
  <c r="Z783" i="66" s="1"/>
  <c r="L784" i="66"/>
  <c r="S784" i="66" s="1"/>
  <c r="M784" i="66"/>
  <c r="L785" i="66"/>
  <c r="S785" i="66" s="1"/>
  <c r="M785" i="66"/>
  <c r="Z785" i="66" s="1"/>
  <c r="L786" i="66"/>
  <c r="S786" i="66" s="1"/>
  <c r="M786" i="66"/>
  <c r="Z786" i="66" s="1"/>
  <c r="L787" i="66"/>
  <c r="S787" i="66" s="1"/>
  <c r="M787" i="66"/>
  <c r="L788" i="66"/>
  <c r="S788" i="66" s="1"/>
  <c r="M788" i="66"/>
  <c r="Z788" i="66" s="1"/>
  <c r="L789" i="66"/>
  <c r="S789" i="66" s="1"/>
  <c r="M789" i="66"/>
  <c r="Z789" i="66" s="1"/>
  <c r="L790" i="66"/>
  <c r="S790" i="66" s="1"/>
  <c r="M790" i="66"/>
  <c r="Z790" i="66" s="1"/>
  <c r="L791" i="66"/>
  <c r="S791" i="66" s="1"/>
  <c r="M791" i="66"/>
  <c r="Z791" i="66" s="1"/>
  <c r="L792" i="66"/>
  <c r="S792" i="66" s="1"/>
  <c r="M792" i="66"/>
  <c r="L793" i="66"/>
  <c r="S793" i="66" s="1"/>
  <c r="M793" i="66"/>
  <c r="Z793" i="66" s="1"/>
  <c r="L794" i="66"/>
  <c r="S794" i="66" s="1"/>
  <c r="M794" i="66"/>
  <c r="P794" i="66" s="1"/>
  <c r="L795" i="66"/>
  <c r="S795" i="66" s="1"/>
  <c r="M795" i="66"/>
  <c r="Z795" i="66" s="1"/>
  <c r="L796" i="66"/>
  <c r="S796" i="66" s="1"/>
  <c r="M796" i="66"/>
  <c r="Z796" i="66" s="1"/>
  <c r="L797" i="66"/>
  <c r="S797" i="66" s="1"/>
  <c r="M797" i="66"/>
  <c r="P797" i="66" s="1"/>
  <c r="L798" i="66"/>
  <c r="S798" i="66" s="1"/>
  <c r="M798" i="66"/>
  <c r="Z798" i="66" s="1"/>
  <c r="L799" i="66"/>
  <c r="S799" i="66" s="1"/>
  <c r="M799" i="66"/>
  <c r="Z799" i="66" s="1"/>
  <c r="L800" i="66"/>
  <c r="S800" i="66" s="1"/>
  <c r="M800" i="66"/>
  <c r="P800" i="66" s="1"/>
  <c r="L801" i="66"/>
  <c r="S801" i="66" s="1"/>
  <c r="M801" i="66"/>
  <c r="Z801" i="66" s="1"/>
  <c r="L802" i="66"/>
  <c r="S802" i="66" s="1"/>
  <c r="M802" i="66"/>
  <c r="L803" i="66"/>
  <c r="S803" i="66" s="1"/>
  <c r="M803" i="66"/>
  <c r="Z803" i="66" s="1"/>
  <c r="L804" i="66"/>
  <c r="S804" i="66" s="1"/>
  <c r="M804" i="66"/>
  <c r="L805" i="66"/>
  <c r="S805" i="66" s="1"/>
  <c r="M805" i="66"/>
  <c r="Z805" i="66" s="1"/>
  <c r="L806" i="66"/>
  <c r="S806" i="66" s="1"/>
  <c r="M806" i="66"/>
  <c r="Z806" i="66" s="1"/>
  <c r="L807" i="66"/>
  <c r="S807" i="66" s="1"/>
  <c r="M807" i="66"/>
  <c r="Z807" i="66" s="1"/>
  <c r="L808" i="66"/>
  <c r="S808" i="66" s="1"/>
  <c r="M808" i="66"/>
  <c r="Z808" i="66" s="1"/>
  <c r="L809" i="66"/>
  <c r="S809" i="66" s="1"/>
  <c r="M809" i="66"/>
  <c r="Z809" i="66" s="1"/>
  <c r="L810" i="66"/>
  <c r="S810" i="66" s="1"/>
  <c r="M810" i="66"/>
  <c r="Z810" i="66" s="1"/>
  <c r="L811" i="66"/>
  <c r="S811" i="66" s="1"/>
  <c r="M811" i="66"/>
  <c r="Z811" i="66" s="1"/>
  <c r="L812" i="66"/>
  <c r="S812" i="66" s="1"/>
  <c r="M812" i="66"/>
  <c r="L813" i="66"/>
  <c r="S813" i="66" s="1"/>
  <c r="M813" i="66"/>
  <c r="Z813" i="66" s="1"/>
  <c r="L814" i="66"/>
  <c r="S814" i="66" s="1"/>
  <c r="M814" i="66"/>
  <c r="Z814" i="66" s="1"/>
  <c r="L815" i="66"/>
  <c r="S815" i="66" s="1"/>
  <c r="M815" i="66"/>
  <c r="Z815" i="66" s="1"/>
  <c r="L816" i="66"/>
  <c r="S816" i="66" s="1"/>
  <c r="M816" i="66"/>
  <c r="Z816" i="66" s="1"/>
  <c r="L817" i="66"/>
  <c r="S817" i="66" s="1"/>
  <c r="M817" i="66"/>
  <c r="P817" i="66" s="1"/>
  <c r="L818" i="66"/>
  <c r="S818" i="66" s="1"/>
  <c r="M818" i="66"/>
  <c r="Z818" i="66" s="1"/>
  <c r="L819" i="66"/>
  <c r="S819" i="66" s="1"/>
  <c r="M819" i="66"/>
  <c r="Z819" i="66" s="1"/>
  <c r="L820" i="66"/>
  <c r="S820" i="66" s="1"/>
  <c r="M820" i="66"/>
  <c r="Z820" i="66" s="1"/>
  <c r="L821" i="66"/>
  <c r="S821" i="66" s="1"/>
  <c r="M821" i="66"/>
  <c r="L822" i="66"/>
  <c r="S822" i="66" s="1"/>
  <c r="M822" i="66"/>
  <c r="Z822" i="66" s="1"/>
  <c r="L823" i="66"/>
  <c r="S823" i="66" s="1"/>
  <c r="M823" i="66"/>
  <c r="Z823" i="66" s="1"/>
  <c r="L824" i="66"/>
  <c r="S824" i="66" s="1"/>
  <c r="M824" i="66"/>
  <c r="L825" i="66"/>
  <c r="S825" i="66" s="1"/>
  <c r="M825" i="66"/>
  <c r="Z825" i="66" s="1"/>
  <c r="L826" i="66"/>
  <c r="S826" i="66" s="1"/>
  <c r="M826" i="66"/>
  <c r="L827" i="66"/>
  <c r="S827" i="66" s="1"/>
  <c r="M827" i="66"/>
  <c r="Z827" i="66" s="1"/>
  <c r="L828" i="66"/>
  <c r="S828" i="66" s="1"/>
  <c r="M828" i="66"/>
  <c r="L829" i="66"/>
  <c r="S829" i="66" s="1"/>
  <c r="M829" i="66"/>
  <c r="Z829" i="66" s="1"/>
  <c r="L830" i="66"/>
  <c r="S830" i="66" s="1"/>
  <c r="M830" i="66"/>
  <c r="P830" i="66" s="1"/>
  <c r="L831" i="66"/>
  <c r="S831" i="66" s="1"/>
  <c r="M831" i="66"/>
  <c r="Z831" i="66" s="1"/>
  <c r="L832" i="66"/>
  <c r="S832" i="66" s="1"/>
  <c r="M832" i="66"/>
  <c r="Z832" i="66" s="1"/>
  <c r="L833" i="66"/>
  <c r="S833" i="66" s="1"/>
  <c r="M833" i="66"/>
  <c r="P833" i="66" s="1"/>
  <c r="L834" i="66"/>
  <c r="S834" i="66" s="1"/>
  <c r="M834" i="66"/>
  <c r="Z834" i="66" s="1"/>
  <c r="L835" i="66"/>
  <c r="M835" i="66"/>
  <c r="Z835" i="66" s="1"/>
  <c r="S835" i="66"/>
  <c r="L836" i="66"/>
  <c r="S836" i="66" s="1"/>
  <c r="M836" i="66"/>
  <c r="Z836" i="66" s="1"/>
  <c r="L837" i="66"/>
  <c r="S837" i="66" s="1"/>
  <c r="M837" i="66"/>
  <c r="Z837" i="66" s="1"/>
  <c r="L838" i="66"/>
  <c r="S838" i="66" s="1"/>
  <c r="M838" i="66"/>
  <c r="Z838" i="66" s="1"/>
  <c r="L839" i="66"/>
  <c r="S839" i="66" s="1"/>
  <c r="M839" i="66"/>
  <c r="Z839" i="66" s="1"/>
  <c r="L840" i="66"/>
  <c r="S840" i="66" s="1"/>
  <c r="M840" i="66"/>
  <c r="Z840" i="66" s="1"/>
  <c r="L841" i="66"/>
  <c r="S841" i="66" s="1"/>
  <c r="M841" i="66"/>
  <c r="Z841" i="66" s="1"/>
  <c r="L842" i="66"/>
  <c r="S842" i="66" s="1"/>
  <c r="M842" i="66"/>
  <c r="Z842" i="66" s="1"/>
  <c r="L843" i="66"/>
  <c r="S843" i="66" s="1"/>
  <c r="M843" i="66"/>
  <c r="P843" i="66" s="1"/>
  <c r="L844" i="66"/>
  <c r="S844" i="66" s="1"/>
  <c r="M844" i="66"/>
  <c r="Z844" i="66" s="1"/>
  <c r="L845" i="66"/>
  <c r="S845" i="66" s="1"/>
  <c r="M845" i="66"/>
  <c r="L846" i="66"/>
  <c r="S846" i="66" s="1"/>
  <c r="M846" i="66"/>
  <c r="Z846" i="66" s="1"/>
  <c r="L847" i="66"/>
  <c r="S847" i="66" s="1"/>
  <c r="M847" i="66"/>
  <c r="Z847" i="66" s="1"/>
  <c r="L848" i="66"/>
  <c r="S848" i="66" s="1"/>
  <c r="M848" i="66"/>
  <c r="P848" i="66" s="1"/>
  <c r="L849" i="66"/>
  <c r="S849" i="66" s="1"/>
  <c r="M849" i="66"/>
  <c r="Z849" i="66" s="1"/>
  <c r="L850" i="66"/>
  <c r="S850" i="66" s="1"/>
  <c r="M850" i="66"/>
  <c r="Z850" i="66" s="1"/>
  <c r="L851" i="66"/>
  <c r="S851" i="66" s="1"/>
  <c r="M851" i="66"/>
  <c r="Z851" i="66" s="1"/>
  <c r="L852" i="66"/>
  <c r="S852" i="66" s="1"/>
  <c r="M852" i="66"/>
  <c r="P852" i="66" s="1"/>
  <c r="L853" i="66"/>
  <c r="S853" i="66" s="1"/>
  <c r="M853" i="66"/>
  <c r="Z853" i="66" s="1"/>
  <c r="L854" i="66"/>
  <c r="S854" i="66" s="1"/>
  <c r="M854" i="66"/>
  <c r="Z854" i="66" s="1"/>
  <c r="L855" i="66"/>
  <c r="S855" i="66" s="1"/>
  <c r="M855" i="66"/>
  <c r="Z855" i="66" s="1"/>
  <c r="L856" i="66"/>
  <c r="S856" i="66" s="1"/>
  <c r="M856" i="66"/>
  <c r="Z856" i="66" s="1"/>
  <c r="L857" i="66"/>
  <c r="S857" i="66" s="1"/>
  <c r="M857" i="66"/>
  <c r="Z857" i="66" s="1"/>
  <c r="L858" i="66"/>
  <c r="S858" i="66" s="1"/>
  <c r="M858" i="66"/>
  <c r="Z858" i="66" s="1"/>
  <c r="L859" i="66"/>
  <c r="S859" i="66" s="1"/>
  <c r="M859" i="66"/>
  <c r="P859" i="66" s="1"/>
  <c r="L860" i="66"/>
  <c r="S860" i="66" s="1"/>
  <c r="M860" i="66"/>
  <c r="Z860" i="66" s="1"/>
  <c r="L861" i="66"/>
  <c r="S861" i="66" s="1"/>
  <c r="M861" i="66"/>
  <c r="L862" i="66"/>
  <c r="S862" i="66" s="1"/>
  <c r="M862" i="66"/>
  <c r="Z862" i="66" s="1"/>
  <c r="L863" i="66"/>
  <c r="S863" i="66" s="1"/>
  <c r="M863" i="66"/>
  <c r="Z863" i="66" s="1"/>
  <c r="L864" i="66"/>
  <c r="S864" i="66" s="1"/>
  <c r="M864" i="66"/>
  <c r="Z864" i="66" s="1"/>
  <c r="L865" i="66"/>
  <c r="S865" i="66" s="1"/>
  <c r="M865" i="66"/>
  <c r="Z865" i="66" s="1"/>
  <c r="L866" i="66"/>
  <c r="S866" i="66" s="1"/>
  <c r="M866" i="66"/>
  <c r="Z866" i="66" s="1"/>
  <c r="L867" i="66"/>
  <c r="S867" i="66" s="1"/>
  <c r="M867" i="66"/>
  <c r="Z867" i="66" s="1"/>
  <c r="L868" i="66"/>
  <c r="S868" i="66" s="1"/>
  <c r="M868" i="66"/>
  <c r="Z868" i="66" s="1"/>
  <c r="L869" i="66"/>
  <c r="S869" i="66" s="1"/>
  <c r="M869" i="66"/>
  <c r="Z869" i="66" s="1"/>
  <c r="L870" i="66"/>
  <c r="M870" i="66"/>
  <c r="Z870" i="66" s="1"/>
  <c r="L871" i="66"/>
  <c r="S871" i="66" s="1"/>
  <c r="M871" i="66"/>
  <c r="Z871" i="66" s="1"/>
  <c r="L872" i="66"/>
  <c r="S872" i="66" s="1"/>
  <c r="M872" i="66"/>
  <c r="Z872" i="66" s="1"/>
  <c r="L873" i="66"/>
  <c r="S873" i="66" s="1"/>
  <c r="M873" i="66"/>
  <c r="Z873" i="66" s="1"/>
  <c r="L874" i="66"/>
  <c r="S874" i="66" s="1"/>
  <c r="M874" i="66"/>
  <c r="Z874" i="66" s="1"/>
  <c r="L875" i="66"/>
  <c r="S875" i="66" s="1"/>
  <c r="T875" i="66" s="1"/>
  <c r="Y875" i="66" s="1"/>
  <c r="M875" i="66"/>
  <c r="P875" i="66" s="1"/>
  <c r="L876" i="66"/>
  <c r="S876" i="66" s="1"/>
  <c r="M876" i="66"/>
  <c r="Z876" i="66" s="1"/>
  <c r="L877" i="66"/>
  <c r="S877" i="66" s="1"/>
  <c r="M877" i="66"/>
  <c r="Z877" i="66" s="1"/>
  <c r="L878" i="66"/>
  <c r="S878" i="66" s="1"/>
  <c r="M878" i="66"/>
  <c r="Z878" i="66" s="1"/>
  <c r="L879" i="66"/>
  <c r="S879" i="66" s="1"/>
  <c r="M879" i="66"/>
  <c r="Z879" i="66" s="1"/>
  <c r="L880" i="66"/>
  <c r="S880" i="66" s="1"/>
  <c r="M880" i="66"/>
  <c r="Z880" i="66" s="1"/>
  <c r="L881" i="66"/>
  <c r="S881" i="66" s="1"/>
  <c r="M881" i="66"/>
  <c r="Z881" i="66" s="1"/>
  <c r="L882" i="66"/>
  <c r="S882" i="66" s="1"/>
  <c r="M882" i="66"/>
  <c r="Z882" i="66" s="1"/>
  <c r="L883" i="66"/>
  <c r="S883" i="66" s="1"/>
  <c r="M883" i="66"/>
  <c r="Z883" i="66" s="1"/>
  <c r="L884" i="66"/>
  <c r="S884" i="66" s="1"/>
  <c r="M884" i="66"/>
  <c r="P884" i="66" s="1"/>
  <c r="L885" i="66"/>
  <c r="S885" i="66" s="1"/>
  <c r="M885" i="66"/>
  <c r="Z885" i="66" s="1"/>
  <c r="L886" i="66"/>
  <c r="S886" i="66" s="1"/>
  <c r="M886" i="66"/>
  <c r="Z886" i="66" s="1"/>
  <c r="L887" i="66"/>
  <c r="S887" i="66" s="1"/>
  <c r="M887" i="66"/>
  <c r="P887" i="66" s="1"/>
  <c r="L888" i="66"/>
  <c r="S888" i="66" s="1"/>
  <c r="M888" i="66"/>
  <c r="Z888" i="66" s="1"/>
  <c r="L889" i="66"/>
  <c r="S889" i="66" s="1"/>
  <c r="M889" i="66"/>
  <c r="Z889" i="66" s="1"/>
  <c r="L890" i="66"/>
  <c r="S890" i="66" s="1"/>
  <c r="M890" i="66"/>
  <c r="Z890" i="66" s="1"/>
  <c r="L891" i="66"/>
  <c r="S891" i="66" s="1"/>
  <c r="M891" i="66"/>
  <c r="Z891" i="66" s="1"/>
  <c r="L892" i="66"/>
  <c r="S892" i="66" s="1"/>
  <c r="M892" i="66"/>
  <c r="Z892" i="66" s="1"/>
  <c r="L893" i="66"/>
  <c r="S893" i="66" s="1"/>
  <c r="M893" i="66"/>
  <c r="Z893" i="66" s="1"/>
  <c r="L894" i="66"/>
  <c r="S894" i="66" s="1"/>
  <c r="M894" i="66"/>
  <c r="Z894" i="66" s="1"/>
  <c r="L895" i="66"/>
  <c r="S895" i="66" s="1"/>
  <c r="M895" i="66"/>
  <c r="Z895" i="66" s="1"/>
  <c r="L896" i="66"/>
  <c r="S896" i="66" s="1"/>
  <c r="M896" i="66"/>
  <c r="Z896" i="66" s="1"/>
  <c r="L897" i="66"/>
  <c r="S897" i="66" s="1"/>
  <c r="M897" i="66"/>
  <c r="Z897" i="66" s="1"/>
  <c r="L898" i="66"/>
  <c r="S898" i="66" s="1"/>
  <c r="M898" i="66"/>
  <c r="Z898" i="66" s="1"/>
  <c r="L899" i="66"/>
  <c r="S899" i="66" s="1"/>
  <c r="M899" i="66"/>
  <c r="T899" i="66" s="1"/>
  <c r="Y899" i="66" s="1"/>
  <c r="L900" i="66"/>
  <c r="S900" i="66" s="1"/>
  <c r="M900" i="66"/>
  <c r="Z900" i="66" s="1"/>
  <c r="L901" i="66"/>
  <c r="S901" i="66" s="1"/>
  <c r="M901" i="66"/>
  <c r="Z901" i="66" s="1"/>
  <c r="L902" i="66"/>
  <c r="S902" i="66" s="1"/>
  <c r="M902" i="66"/>
  <c r="Z902" i="66" s="1"/>
  <c r="L903" i="66"/>
  <c r="S903" i="66" s="1"/>
  <c r="M903" i="66"/>
  <c r="Z903" i="66" s="1"/>
  <c r="L904" i="66"/>
  <c r="S904" i="66" s="1"/>
  <c r="M904" i="66"/>
  <c r="L905" i="66"/>
  <c r="S905" i="66" s="1"/>
  <c r="M905" i="66"/>
  <c r="Z905" i="66" s="1"/>
  <c r="L906" i="66"/>
  <c r="S906" i="66" s="1"/>
  <c r="M906" i="66"/>
  <c r="Z906" i="66" s="1"/>
  <c r="L907" i="66"/>
  <c r="S907" i="66" s="1"/>
  <c r="M907" i="66"/>
  <c r="Z907" i="66" s="1"/>
  <c r="L908" i="66"/>
  <c r="S908" i="66" s="1"/>
  <c r="M908" i="66"/>
  <c r="Z908" i="66" s="1"/>
  <c r="L909" i="66"/>
  <c r="S909" i="66" s="1"/>
  <c r="M909" i="66"/>
  <c r="Z909" i="66" s="1"/>
  <c r="L910" i="66"/>
  <c r="S910" i="66" s="1"/>
  <c r="M910" i="66"/>
  <c r="Z910" i="66" s="1"/>
  <c r="L911" i="66"/>
  <c r="S911" i="66" s="1"/>
  <c r="M911" i="66"/>
  <c r="Z911" i="66" s="1"/>
  <c r="L912" i="66"/>
  <c r="S912" i="66" s="1"/>
  <c r="M912" i="66"/>
  <c r="Z912" i="66" s="1"/>
  <c r="L913" i="66"/>
  <c r="S913" i="66" s="1"/>
  <c r="M913" i="66"/>
  <c r="Z913" i="66" s="1"/>
  <c r="L914" i="66"/>
  <c r="S914" i="66" s="1"/>
  <c r="M914" i="66"/>
  <c r="Z914" i="66" s="1"/>
  <c r="L915" i="66"/>
  <c r="S915" i="66" s="1"/>
  <c r="M915" i="66"/>
  <c r="Z915" i="66" s="1"/>
  <c r="L916" i="66"/>
  <c r="S916" i="66" s="1"/>
  <c r="M916" i="66"/>
  <c r="Z916" i="66" s="1"/>
  <c r="L917" i="66"/>
  <c r="S917" i="66" s="1"/>
  <c r="M917" i="66"/>
  <c r="Z917" i="66" s="1"/>
  <c r="L918" i="66"/>
  <c r="S918" i="66" s="1"/>
  <c r="M918" i="66"/>
  <c r="L919" i="66"/>
  <c r="S919" i="66" s="1"/>
  <c r="M919" i="66"/>
  <c r="Z919" i="66" s="1"/>
  <c r="L920" i="66"/>
  <c r="S920" i="66" s="1"/>
  <c r="M920" i="66"/>
  <c r="Z920" i="66" s="1"/>
  <c r="L921" i="66"/>
  <c r="S921" i="66" s="1"/>
  <c r="M921" i="66"/>
  <c r="Z921" i="66" s="1"/>
  <c r="L922" i="66"/>
  <c r="S922" i="66" s="1"/>
  <c r="M922" i="66"/>
  <c r="Z922" i="66" s="1"/>
  <c r="L923" i="66"/>
  <c r="S923" i="66" s="1"/>
  <c r="M923" i="66"/>
  <c r="Z923" i="66" s="1"/>
  <c r="L924" i="66"/>
  <c r="S924" i="66" s="1"/>
  <c r="M924" i="66"/>
  <c r="Z924" i="66" s="1"/>
  <c r="L925" i="66"/>
  <c r="S925" i="66" s="1"/>
  <c r="M925" i="66"/>
  <c r="Z925" i="66" s="1"/>
  <c r="L926" i="66"/>
  <c r="S926" i="66" s="1"/>
  <c r="M926" i="66"/>
  <c r="Z926" i="66" s="1"/>
  <c r="L927" i="66"/>
  <c r="S927" i="66" s="1"/>
  <c r="M927" i="66"/>
  <c r="Z927" i="66" s="1"/>
  <c r="L928" i="66"/>
  <c r="S928" i="66" s="1"/>
  <c r="M928" i="66"/>
  <c r="Z928" i="66" s="1"/>
  <c r="L929" i="66"/>
  <c r="S929" i="66" s="1"/>
  <c r="M929" i="66"/>
  <c r="Z929" i="66" s="1"/>
  <c r="L930" i="66"/>
  <c r="S930" i="66" s="1"/>
  <c r="M930" i="66"/>
  <c r="Z930" i="66" s="1"/>
  <c r="L931" i="66"/>
  <c r="S931" i="66" s="1"/>
  <c r="M931" i="66"/>
  <c r="Z931" i="66" s="1"/>
  <c r="L932" i="66"/>
  <c r="S932" i="66" s="1"/>
  <c r="M932" i="66"/>
  <c r="Z932" i="66" s="1"/>
  <c r="L933" i="66"/>
  <c r="S933" i="66" s="1"/>
  <c r="M933" i="66"/>
  <c r="Z933" i="66" s="1"/>
  <c r="L934" i="66"/>
  <c r="S934" i="66" s="1"/>
  <c r="M934" i="66"/>
  <c r="Z934" i="66" s="1"/>
  <c r="L935" i="66"/>
  <c r="S935" i="66" s="1"/>
  <c r="M935" i="66"/>
  <c r="Z935" i="66" s="1"/>
  <c r="L936" i="66"/>
  <c r="S936" i="66" s="1"/>
  <c r="M936" i="66"/>
  <c r="Z936" i="66" s="1"/>
  <c r="L937" i="66"/>
  <c r="S937" i="66" s="1"/>
  <c r="M937" i="66"/>
  <c r="Z937" i="66" s="1"/>
  <c r="L938" i="66"/>
  <c r="S938" i="66" s="1"/>
  <c r="M938" i="66"/>
  <c r="Z938" i="66" s="1"/>
  <c r="L939" i="66"/>
  <c r="S939" i="66" s="1"/>
  <c r="M939" i="66"/>
  <c r="Z939" i="66" s="1"/>
  <c r="L940" i="66"/>
  <c r="S940" i="66" s="1"/>
  <c r="M940" i="66"/>
  <c r="Z940" i="66" s="1"/>
  <c r="L941" i="66"/>
  <c r="S941" i="66" s="1"/>
  <c r="M941" i="66"/>
  <c r="Z941" i="66" s="1"/>
  <c r="L942" i="66"/>
  <c r="S942" i="66" s="1"/>
  <c r="M942" i="66"/>
  <c r="Z942" i="66" s="1"/>
  <c r="L943" i="66"/>
  <c r="S943" i="66" s="1"/>
  <c r="M943" i="66"/>
  <c r="Z943" i="66" s="1"/>
  <c r="L944" i="66"/>
  <c r="S944" i="66" s="1"/>
  <c r="M944" i="66"/>
  <c r="Z944" i="66" s="1"/>
  <c r="L945" i="66"/>
  <c r="S945" i="66" s="1"/>
  <c r="M945" i="66"/>
  <c r="Z945" i="66" s="1"/>
  <c r="L946" i="66"/>
  <c r="S946" i="66" s="1"/>
  <c r="M946" i="66"/>
  <c r="Z946" i="66" s="1"/>
  <c r="L947" i="66"/>
  <c r="S947" i="66" s="1"/>
  <c r="M947" i="66"/>
  <c r="Z947" i="66" s="1"/>
  <c r="L948" i="66"/>
  <c r="S948" i="66" s="1"/>
  <c r="M948" i="66"/>
  <c r="Z948" i="66" s="1"/>
  <c r="L949" i="66"/>
  <c r="S949" i="66" s="1"/>
  <c r="M949" i="66"/>
  <c r="Z949" i="66" s="1"/>
  <c r="L950" i="66"/>
  <c r="S950" i="66" s="1"/>
  <c r="M950" i="66"/>
  <c r="Z950" i="66" s="1"/>
  <c r="L951" i="66"/>
  <c r="S951" i="66" s="1"/>
  <c r="M951" i="66"/>
  <c r="Z951" i="66" s="1"/>
  <c r="L952" i="66"/>
  <c r="S952" i="66" s="1"/>
  <c r="M952" i="66"/>
  <c r="Z952" i="66" s="1"/>
  <c r="L953" i="66"/>
  <c r="S953" i="66" s="1"/>
  <c r="M953" i="66"/>
  <c r="Z953" i="66" s="1"/>
  <c r="L954" i="66"/>
  <c r="S954" i="66" s="1"/>
  <c r="M954" i="66"/>
  <c r="Z954" i="66" s="1"/>
  <c r="L955" i="66"/>
  <c r="S955" i="66" s="1"/>
  <c r="M955" i="66"/>
  <c r="Z955" i="66" s="1"/>
  <c r="L956" i="66"/>
  <c r="S956" i="66" s="1"/>
  <c r="M956" i="66"/>
  <c r="Z956" i="66" s="1"/>
  <c r="L957" i="66"/>
  <c r="S957" i="66" s="1"/>
  <c r="M957" i="66"/>
  <c r="Z957" i="66" s="1"/>
  <c r="L958" i="66"/>
  <c r="S958" i="66" s="1"/>
  <c r="M958" i="66"/>
  <c r="Z958" i="66" s="1"/>
  <c r="L959" i="66"/>
  <c r="S959" i="66" s="1"/>
  <c r="M959" i="66"/>
  <c r="Z959" i="66" s="1"/>
  <c r="L960" i="66"/>
  <c r="S960" i="66" s="1"/>
  <c r="M960" i="66"/>
  <c r="Z960" i="66" s="1"/>
  <c r="L961" i="66"/>
  <c r="S961" i="66" s="1"/>
  <c r="M961" i="66"/>
  <c r="Z961" i="66" s="1"/>
  <c r="L962" i="66"/>
  <c r="S962" i="66" s="1"/>
  <c r="M962" i="66"/>
  <c r="Z962" i="66" s="1"/>
  <c r="L963" i="66"/>
  <c r="S963" i="66" s="1"/>
  <c r="M963" i="66"/>
  <c r="Z963" i="66" s="1"/>
  <c r="L964" i="66"/>
  <c r="S964" i="66" s="1"/>
  <c r="M964" i="66"/>
  <c r="Z964" i="66" s="1"/>
  <c r="L965" i="66"/>
  <c r="S965" i="66" s="1"/>
  <c r="M965" i="66"/>
  <c r="Z965" i="66" s="1"/>
  <c r="L966" i="66"/>
  <c r="S966" i="66" s="1"/>
  <c r="M966" i="66"/>
  <c r="Z966" i="66" s="1"/>
  <c r="L967" i="66"/>
  <c r="S967" i="66" s="1"/>
  <c r="M967" i="66"/>
  <c r="Z967" i="66" s="1"/>
  <c r="L968" i="66"/>
  <c r="S968" i="66" s="1"/>
  <c r="M968" i="66"/>
  <c r="Z968" i="66" s="1"/>
  <c r="L969" i="66"/>
  <c r="S969" i="66" s="1"/>
  <c r="M969" i="66"/>
  <c r="Z969" i="66" s="1"/>
  <c r="L970" i="66"/>
  <c r="S970" i="66" s="1"/>
  <c r="M970" i="66"/>
  <c r="Z970" i="66" s="1"/>
  <c r="L971" i="66"/>
  <c r="S971" i="66" s="1"/>
  <c r="M971" i="66"/>
  <c r="Z971" i="66" s="1"/>
  <c r="L972" i="66"/>
  <c r="S972" i="66" s="1"/>
  <c r="M972" i="66"/>
  <c r="Z972" i="66" s="1"/>
  <c r="L973" i="66"/>
  <c r="M973" i="66"/>
  <c r="Z973" i="66" s="1"/>
  <c r="S973" i="66"/>
  <c r="L974" i="66"/>
  <c r="S974" i="66" s="1"/>
  <c r="M974" i="66"/>
  <c r="Z974" i="66" s="1"/>
  <c r="L975" i="66"/>
  <c r="S975" i="66" s="1"/>
  <c r="M975" i="66"/>
  <c r="Z975" i="66" s="1"/>
  <c r="L976" i="66"/>
  <c r="S976" i="66" s="1"/>
  <c r="M976" i="66"/>
  <c r="Z976" i="66" s="1"/>
  <c r="L977" i="66"/>
  <c r="S977" i="66" s="1"/>
  <c r="M977" i="66"/>
  <c r="Z977" i="66" s="1"/>
  <c r="L978" i="66"/>
  <c r="S978" i="66" s="1"/>
  <c r="M978" i="66"/>
  <c r="Z978" i="66" s="1"/>
  <c r="L979" i="66"/>
  <c r="S979" i="66" s="1"/>
  <c r="M979" i="66"/>
  <c r="Z979" i="66" s="1"/>
  <c r="L980" i="66"/>
  <c r="S980" i="66" s="1"/>
  <c r="M980" i="66"/>
  <c r="Z980" i="66" s="1"/>
  <c r="L981" i="66"/>
  <c r="S981" i="66" s="1"/>
  <c r="M981" i="66"/>
  <c r="Z981" i="66" s="1"/>
  <c r="L982" i="66"/>
  <c r="S982" i="66" s="1"/>
  <c r="M982" i="66"/>
  <c r="Z982" i="66" s="1"/>
  <c r="L983" i="66"/>
  <c r="S983" i="66" s="1"/>
  <c r="M983" i="66"/>
  <c r="Z983" i="66" s="1"/>
  <c r="L984" i="66"/>
  <c r="S984" i="66" s="1"/>
  <c r="M984" i="66"/>
  <c r="Z984" i="66" s="1"/>
  <c r="L985" i="66"/>
  <c r="S985" i="66" s="1"/>
  <c r="M985" i="66"/>
  <c r="Z985" i="66" s="1"/>
  <c r="L986" i="66"/>
  <c r="S986" i="66" s="1"/>
  <c r="M986" i="66"/>
  <c r="Z986" i="66" s="1"/>
  <c r="L987" i="66"/>
  <c r="S987" i="66" s="1"/>
  <c r="M987" i="66"/>
  <c r="Z987" i="66" s="1"/>
  <c r="L988" i="66"/>
  <c r="S988" i="66" s="1"/>
  <c r="M988" i="66"/>
  <c r="Z988" i="66" s="1"/>
  <c r="L989" i="66"/>
  <c r="S989" i="66" s="1"/>
  <c r="M989" i="66"/>
  <c r="Z989" i="66" s="1"/>
  <c r="L990" i="66"/>
  <c r="S990" i="66" s="1"/>
  <c r="M990" i="66"/>
  <c r="Z990" i="66" s="1"/>
  <c r="L991" i="66"/>
  <c r="S991" i="66" s="1"/>
  <c r="M991" i="66"/>
  <c r="Z991" i="66" s="1"/>
  <c r="L992" i="66"/>
  <c r="S992" i="66" s="1"/>
  <c r="M992" i="66"/>
  <c r="Z992" i="66" s="1"/>
  <c r="L993" i="66"/>
  <c r="S993" i="66" s="1"/>
  <c r="M993" i="66"/>
  <c r="Z993" i="66" s="1"/>
  <c r="L994" i="66"/>
  <c r="S994" i="66" s="1"/>
  <c r="M994" i="66"/>
  <c r="Z994" i="66" s="1"/>
  <c r="L995" i="66"/>
  <c r="S995" i="66" s="1"/>
  <c r="M995" i="66"/>
  <c r="Z995" i="66" s="1"/>
  <c r="L996" i="66"/>
  <c r="S996" i="66" s="1"/>
  <c r="M996" i="66"/>
  <c r="Z996" i="66" s="1"/>
  <c r="L997" i="66"/>
  <c r="S997" i="66" s="1"/>
  <c r="M997" i="66"/>
  <c r="Z997" i="66" s="1"/>
  <c r="L998" i="66"/>
  <c r="S998" i="66" s="1"/>
  <c r="M998" i="66"/>
  <c r="Z998" i="66" s="1"/>
  <c r="L999" i="66"/>
  <c r="S999" i="66" s="1"/>
  <c r="M999" i="66"/>
  <c r="Z999" i="66" s="1"/>
  <c r="L1000" i="66"/>
  <c r="S1000" i="66" s="1"/>
  <c r="M1000" i="66"/>
  <c r="L1001" i="66"/>
  <c r="S1001" i="66" s="1"/>
  <c r="M1001" i="66"/>
  <c r="Z1001" i="66" s="1"/>
  <c r="L1002" i="66"/>
  <c r="S1002" i="66" s="1"/>
  <c r="M1002" i="66"/>
  <c r="Z1002" i="66" s="1"/>
  <c r="L1003" i="66"/>
  <c r="S1003" i="66" s="1"/>
  <c r="M1003" i="66"/>
  <c r="Z1003" i="66" s="1"/>
  <c r="L1004" i="66"/>
  <c r="S1004" i="66" s="1"/>
  <c r="M1004" i="66"/>
  <c r="Z1004" i="66" s="1"/>
  <c r="L1005" i="66"/>
  <c r="S1005" i="66" s="1"/>
  <c r="M1005" i="66"/>
  <c r="L1006" i="66"/>
  <c r="S1006" i="66" s="1"/>
  <c r="M1006" i="66"/>
  <c r="P1006" i="66" s="1"/>
  <c r="L1007" i="66"/>
  <c r="S1007" i="66" s="1"/>
  <c r="M1007" i="66"/>
  <c r="Z1007" i="66" s="1"/>
  <c r="L1008" i="66"/>
  <c r="S1008" i="66" s="1"/>
  <c r="M1008" i="66"/>
  <c r="Z1008" i="66" s="1"/>
  <c r="L1009" i="66"/>
  <c r="S1009" i="66" s="1"/>
  <c r="M1009" i="66"/>
  <c r="Z1009" i="66" s="1"/>
  <c r="L1010" i="66"/>
  <c r="S1010" i="66" s="1"/>
  <c r="M1010" i="66"/>
  <c r="Z1010" i="66" s="1"/>
  <c r="L1011" i="66"/>
  <c r="S1011" i="66" s="1"/>
  <c r="M1011" i="66"/>
  <c r="Z1011" i="66" s="1"/>
  <c r="L1012" i="66"/>
  <c r="S1012" i="66" s="1"/>
  <c r="M1012" i="66"/>
  <c r="Z1012" i="66" s="1"/>
  <c r="L1013" i="66"/>
  <c r="S1013" i="66" s="1"/>
  <c r="M1013" i="66"/>
  <c r="Z1013" i="66" s="1"/>
  <c r="Y1014" i="66"/>
  <c r="Z1014" i="66"/>
  <c r="Y1015" i="66"/>
  <c r="Z1015" i="66"/>
  <c r="Y1016" i="66"/>
  <c r="Z1016" i="66"/>
  <c r="U1017" i="66"/>
  <c r="Y1017" i="66"/>
  <c r="Z1017" i="66"/>
  <c r="Y1018" i="66"/>
  <c r="Z1018" i="66"/>
  <c r="Y1019" i="66"/>
  <c r="Z1019" i="66"/>
  <c r="Y1020" i="66"/>
  <c r="Z1020" i="66"/>
  <c r="Y1021" i="66"/>
  <c r="Z1021" i="66"/>
  <c r="Y1022" i="66"/>
  <c r="Z1022" i="66"/>
  <c r="Y1023" i="66"/>
  <c r="Z1023" i="66"/>
  <c r="Y1024" i="66"/>
  <c r="Z1024" i="66"/>
  <c r="Y1025" i="66"/>
  <c r="Z1025" i="66"/>
  <c r="Y1026" i="66"/>
  <c r="Z1026" i="66"/>
  <c r="Y1027" i="66"/>
  <c r="Z1027" i="66"/>
  <c r="Y1028" i="66"/>
  <c r="Z1028" i="66"/>
  <c r="Y1029" i="66"/>
  <c r="Y1030" i="66"/>
  <c r="Z1030" i="66"/>
  <c r="Y1031" i="66"/>
  <c r="Z1031" i="66"/>
  <c r="C10" i="42"/>
  <c r="B413" i="42" s="1"/>
  <c r="B11" i="42"/>
  <c r="B8" i="98" s="1"/>
  <c r="B12" i="42"/>
  <c r="B9" i="98" s="1"/>
  <c r="O12" i="42"/>
  <c r="B13" i="42"/>
  <c r="B10" i="98" s="1"/>
  <c r="B14" i="42"/>
  <c r="B11" i="98" s="1"/>
  <c r="B15" i="42"/>
  <c r="B16" i="42"/>
  <c r="B13" i="98" s="1"/>
  <c r="O16" i="42"/>
  <c r="B17" i="42"/>
  <c r="O17" i="42"/>
  <c r="B18" i="42"/>
  <c r="B15" i="98" s="1"/>
  <c r="O18" i="42"/>
  <c r="B19" i="42"/>
  <c r="B16" i="98" s="1"/>
  <c r="C20" i="42"/>
  <c r="C26" i="98" s="1"/>
  <c r="D22" i="42"/>
  <c r="D28" i="98" s="1"/>
  <c r="E22" i="42"/>
  <c r="O22" i="42"/>
  <c r="O26" i="42"/>
  <c r="O27" i="42"/>
  <c r="O28" i="42"/>
  <c r="O33" i="42"/>
  <c r="O34" i="42"/>
  <c r="O35" i="42"/>
  <c r="C48" i="42"/>
  <c r="H50" i="42"/>
  <c r="C51" i="42"/>
  <c r="C61" i="42"/>
  <c r="C71" i="42"/>
  <c r="C100" i="98" s="1"/>
  <c r="C78" i="42"/>
  <c r="C7" i="103" s="1"/>
  <c r="C84" i="42"/>
  <c r="C101" i="42"/>
  <c r="C116" i="98" s="1"/>
  <c r="O103" i="42"/>
  <c r="O104" i="42"/>
  <c r="O105" i="42"/>
  <c r="O106" i="42"/>
  <c r="O107" i="42"/>
  <c r="O111" i="42"/>
  <c r="O112" i="42"/>
  <c r="O113" i="42"/>
  <c r="C119" i="42"/>
  <c r="C152" i="98" s="1"/>
  <c r="C137" i="42"/>
  <c r="C142" i="42"/>
  <c r="C180" i="98" s="1"/>
  <c r="D144" i="42"/>
  <c r="D182" i="98" s="1"/>
  <c r="E144" i="42"/>
  <c r="E182" i="98" s="1"/>
  <c r="H144" i="42"/>
  <c r="H145" i="42"/>
  <c r="G183" i="98" s="1"/>
  <c r="H147" i="42"/>
  <c r="C148" i="42"/>
  <c r="C195" i="98" s="1"/>
  <c r="O150" i="42"/>
  <c r="O151" i="42"/>
  <c r="O152" i="42"/>
  <c r="O153" i="42"/>
  <c r="O154" i="42"/>
  <c r="O155" i="42"/>
  <c r="O159" i="42"/>
  <c r="O160" i="42"/>
  <c r="O161" i="42"/>
  <c r="C178" i="42"/>
  <c r="H180" i="42"/>
  <c r="O180" i="42"/>
  <c r="O181" i="42"/>
  <c r="O183" i="42"/>
  <c r="O184" i="42"/>
  <c r="O188" i="42"/>
  <c r="O189" i="42"/>
  <c r="O190" i="42"/>
  <c r="C204" i="42"/>
  <c r="C76" i="103" s="1"/>
  <c r="O206" i="42"/>
  <c r="O207" i="42"/>
  <c r="O208" i="42"/>
  <c r="O212" i="42"/>
  <c r="C214" i="42"/>
  <c r="C234" i="98" s="1"/>
  <c r="H216" i="42"/>
  <c r="O216" i="42"/>
  <c r="O217" i="42"/>
  <c r="O218" i="42"/>
  <c r="O219" i="42"/>
  <c r="O220" i="42"/>
  <c r="O224" i="42"/>
  <c r="O225" i="42"/>
  <c r="O226" i="42"/>
  <c r="C228" i="42"/>
  <c r="C257" i="98" s="1"/>
  <c r="C240" i="42"/>
  <c r="O242" i="42"/>
  <c r="O243" i="42"/>
  <c r="O244" i="42"/>
  <c r="H246" i="42"/>
  <c r="H248" i="42"/>
  <c r="G295" i="98" s="1"/>
  <c r="O248" i="42"/>
  <c r="C270" i="42"/>
  <c r="C325" i="98" s="1"/>
  <c r="O272" i="42"/>
  <c r="O273" i="42"/>
  <c r="O274" i="42"/>
  <c r="H276" i="42"/>
  <c r="H278" i="42"/>
  <c r="G333" i="98" s="1"/>
  <c r="O278" i="42"/>
  <c r="C300" i="42"/>
  <c r="H302" i="42"/>
  <c r="G365" i="98" s="1"/>
  <c r="O302" i="42"/>
  <c r="H303" i="42"/>
  <c r="G366" i="98" s="1"/>
  <c r="O303" i="42"/>
  <c r="H304" i="42"/>
  <c r="G367" i="98" s="1"/>
  <c r="O304" i="42"/>
  <c r="O308" i="42"/>
  <c r="O309" i="42"/>
  <c r="O310" i="42"/>
  <c r="C312" i="42"/>
  <c r="C382" i="98" s="1"/>
  <c r="H314" i="42"/>
  <c r="G384" i="98" s="1"/>
  <c r="O314" i="42"/>
  <c r="H315" i="42"/>
  <c r="G385" i="98" s="1"/>
  <c r="O315" i="42"/>
  <c r="H317" i="42"/>
  <c r="H319" i="42"/>
  <c r="O319" i="42"/>
  <c r="H320" i="42"/>
  <c r="G389" i="98" s="1"/>
  <c r="O320" i="42"/>
  <c r="C332" i="42"/>
  <c r="H333" i="42"/>
  <c r="H335" i="42"/>
  <c r="O335" i="42"/>
  <c r="H336" i="42"/>
  <c r="O336" i="42"/>
  <c r="C344" i="42"/>
  <c r="D346" i="42"/>
  <c r="E346" i="42"/>
  <c r="C354" i="42"/>
  <c r="D356" i="42"/>
  <c r="D418" i="98" s="1"/>
  <c r="E356" i="42"/>
  <c r="E418" i="98" s="1"/>
  <c r="O356" i="42"/>
  <c r="O357" i="42"/>
  <c r="O361" i="42"/>
  <c r="O362" i="42"/>
  <c r="C364" i="42"/>
  <c r="C435" i="98" s="1"/>
  <c r="O366" i="42"/>
  <c r="O367" i="42"/>
  <c r="O368" i="42"/>
  <c r="C375" i="42"/>
  <c r="O377" i="42"/>
  <c r="O378" i="42"/>
  <c r="O379" i="42"/>
  <c r="C395" i="42"/>
  <c r="C493" i="98" s="1"/>
  <c r="H397" i="42"/>
  <c r="O397" i="42"/>
  <c r="O398" i="42"/>
  <c r="C404" i="42"/>
  <c r="H406" i="42"/>
  <c r="O406" i="42"/>
  <c r="O407" i="42"/>
  <c r="C413" i="42"/>
  <c r="D415" i="42"/>
  <c r="E415" i="42"/>
  <c r="C423" i="42"/>
  <c r="C525" i="98" s="1"/>
  <c r="C432" i="42"/>
  <c r="C440" i="42"/>
  <c r="C543" i="98" s="1"/>
  <c r="D442" i="42"/>
  <c r="D545" i="98" s="1"/>
  <c r="E442" i="42"/>
  <c r="E545" i="98" s="1"/>
  <c r="O442" i="42"/>
  <c r="C448" i="42"/>
  <c r="D450" i="42"/>
  <c r="E450" i="42"/>
  <c r="E97" i="103" s="1"/>
  <c r="O450" i="42"/>
  <c r="C456" i="42"/>
  <c r="C465" i="42"/>
  <c r="C578" i="98" s="1"/>
  <c r="C474" i="42"/>
  <c r="C596" i="98" s="1"/>
  <c r="C483" i="42"/>
  <c r="O485" i="42"/>
  <c r="C488" i="42"/>
  <c r="D490" i="42"/>
  <c r="D630" i="98" s="1"/>
  <c r="E490" i="42"/>
  <c r="O490" i="42"/>
  <c r="C496" i="42"/>
  <c r="C645" i="98" s="1"/>
  <c r="C503" i="42"/>
  <c r="D505" i="42"/>
  <c r="E505" i="42"/>
  <c r="F505" i="42" s="1"/>
  <c r="O505" i="42"/>
  <c r="O509" i="42"/>
  <c r="O510" i="42"/>
  <c r="O511" i="42"/>
  <c r="C513" i="42"/>
  <c r="D515" i="42"/>
  <c r="D663" i="98" s="1"/>
  <c r="E515" i="42"/>
  <c r="O515" i="42"/>
  <c r="O519" i="42"/>
  <c r="O520" i="42"/>
  <c r="O521" i="42"/>
  <c r="C523" i="42"/>
  <c r="C680" i="98" s="1"/>
  <c r="D525" i="42"/>
  <c r="D682" i="98" s="1"/>
  <c r="E525" i="42"/>
  <c r="E682" i="98" s="1"/>
  <c r="O525" i="42"/>
  <c r="O526" i="42"/>
  <c r="O530" i="42"/>
  <c r="O531" i="42"/>
  <c r="O532" i="42"/>
  <c r="C534" i="42"/>
  <c r="C700" i="98" s="1"/>
  <c r="D536" i="42"/>
  <c r="D702" i="98" s="1"/>
  <c r="E536" i="42"/>
  <c r="E702" i="98" s="1"/>
  <c r="O536" i="42"/>
  <c r="O537" i="42"/>
  <c r="O541" i="42"/>
  <c r="O542" i="42"/>
  <c r="O543" i="42"/>
  <c r="O544" i="42"/>
  <c r="O545" i="42"/>
  <c r="D549" i="42"/>
  <c r="E549" i="42"/>
  <c r="O549" i="42"/>
  <c r="O550" i="42"/>
  <c r="D560" i="42"/>
  <c r="D744" i="98" s="1"/>
  <c r="E560" i="42"/>
  <c r="O560" i="42"/>
  <c r="O561" i="42"/>
  <c r="O565" i="42"/>
  <c r="O566" i="42"/>
  <c r="O567" i="42"/>
  <c r="C569" i="42"/>
  <c r="O636" i="42"/>
  <c r="O637" i="42"/>
  <c r="O638" i="42"/>
  <c r="C640" i="42"/>
  <c r="C865" i="98" s="1"/>
  <c r="O641" i="42"/>
  <c r="O642" i="42"/>
  <c r="O643" i="42"/>
  <c r="O644" i="42"/>
  <c r="O645" i="42"/>
  <c r="O646" i="42"/>
  <c r="O650" i="42"/>
  <c r="O651" i="42"/>
  <c r="O652" i="42"/>
  <c r="O653" i="42"/>
  <c r="O654" i="42"/>
  <c r="C656" i="42"/>
  <c r="C936" i="98" s="1"/>
  <c r="O658" i="42"/>
  <c r="O659" i="42"/>
  <c r="O660" i="42"/>
  <c r="O661" i="42"/>
  <c r="O665" i="42"/>
  <c r="O666" i="42"/>
  <c r="O667" i="42"/>
  <c r="O668" i="42"/>
  <c r="O669" i="42"/>
  <c r="C671" i="42"/>
  <c r="C960" i="98" s="1"/>
  <c r="O673" i="42"/>
  <c r="O674" i="42"/>
  <c r="O675" i="42"/>
  <c r="O676" i="42"/>
  <c r="O677" i="42"/>
  <c r="O678" i="42"/>
  <c r="O682" i="42"/>
  <c r="O683" i="42"/>
  <c r="O684" i="42"/>
  <c r="O685" i="42"/>
  <c r="O686" i="42"/>
  <c r="Q686" i="42"/>
  <c r="C688" i="42"/>
  <c r="O690" i="42"/>
  <c r="O691" i="42"/>
  <c r="O695" i="42"/>
  <c r="O696" i="42"/>
  <c r="O697" i="42"/>
  <c r="O698" i="42"/>
  <c r="O699" i="42"/>
  <c r="O700" i="42"/>
  <c r="O701" i="42"/>
  <c r="O702" i="42"/>
  <c r="O703" i="42"/>
  <c r="C705" i="42"/>
  <c r="C1012" i="98" s="1"/>
  <c r="O707" i="42"/>
  <c r="O708" i="42"/>
  <c r="O712" i="42"/>
  <c r="O713" i="42"/>
  <c r="O714" i="42"/>
  <c r="O715" i="42"/>
  <c r="O716" i="42"/>
  <c r="O717" i="42"/>
  <c r="O718" i="42"/>
  <c r="O719" i="42"/>
  <c r="O720" i="42"/>
  <c r="O721" i="42"/>
  <c r="O722" i="42"/>
  <c r="O726" i="42"/>
  <c r="O727" i="42"/>
  <c r="O731" i="42"/>
  <c r="O732" i="42"/>
  <c r="O733" i="42"/>
  <c r="O734" i="42"/>
  <c r="O735" i="42"/>
  <c r="O736" i="42"/>
  <c r="O737" i="42"/>
  <c r="O738" i="42"/>
  <c r="O739" i="42"/>
  <c r="C741" i="42"/>
  <c r="O743" i="42"/>
  <c r="O744" i="42"/>
  <c r="O745" i="42"/>
  <c r="O746" i="42"/>
  <c r="D747" i="42"/>
  <c r="O747" i="42"/>
  <c r="C750" i="42"/>
  <c r="C1084" i="98" s="1"/>
  <c r="O752" i="42"/>
  <c r="O753" i="42"/>
  <c r="O754" i="42"/>
  <c r="O755" i="42"/>
  <c r="D756" i="42"/>
  <c r="D1090" i="98" s="1"/>
  <c r="O756" i="42"/>
  <c r="C759" i="42"/>
  <c r="C1102" i="98" s="1"/>
  <c r="O761" i="42"/>
  <c r="O762" i="42"/>
  <c r="O763" i="42"/>
  <c r="O764" i="42"/>
  <c r="D765" i="42"/>
  <c r="O765" i="42"/>
  <c r="C768" i="42"/>
  <c r="O770" i="42"/>
  <c r="O771" i="42"/>
  <c r="O772" i="42"/>
  <c r="O773" i="42"/>
  <c r="D774" i="42"/>
  <c r="O774" i="42"/>
  <c r="C777" i="42"/>
  <c r="C1120" i="98" s="1"/>
  <c r="O779" i="42"/>
  <c r="O780" i="42"/>
  <c r="O781" i="42"/>
  <c r="O782" i="42"/>
  <c r="O783" i="42"/>
  <c r="O787" i="42"/>
  <c r="C789" i="42"/>
  <c r="C1141" i="98" s="1"/>
  <c r="O791" i="42"/>
  <c r="O792" i="42"/>
  <c r="O793" i="42"/>
  <c r="O794" i="42"/>
  <c r="O795" i="42"/>
  <c r="O799" i="42"/>
  <c r="C801" i="42"/>
  <c r="C1162" i="98" s="1"/>
  <c r="O803" i="42"/>
  <c r="O804" i="42"/>
  <c r="O808" i="42"/>
  <c r="O809" i="42"/>
  <c r="O810" i="42"/>
  <c r="O811" i="42"/>
  <c r="C813" i="42"/>
  <c r="C1183" i="98" s="1"/>
  <c r="O815" i="42"/>
  <c r="C818" i="42"/>
  <c r="O820" i="42"/>
  <c r="C828" i="42"/>
  <c r="C1211" i="98" s="1"/>
  <c r="O830" i="42"/>
  <c r="C833" i="42"/>
  <c r="O835" i="42"/>
  <c r="C843" i="42"/>
  <c r="C1239" i="98" s="1"/>
  <c r="O845" i="42"/>
  <c r="C853" i="42"/>
  <c r="C1253" i="98" s="1"/>
  <c r="C857" i="42"/>
  <c r="C1266" i="98" s="1"/>
  <c r="C870" i="42"/>
  <c r="C1288" i="98" s="1"/>
  <c r="O872" i="42"/>
  <c r="O873" i="42"/>
  <c r="O874" i="42"/>
  <c r="O875" i="42"/>
  <c r="O876" i="42"/>
  <c r="O880" i="42"/>
  <c r="C882" i="42"/>
  <c r="C1309" i="98" s="1"/>
  <c r="O884" i="42"/>
  <c r="O885" i="42"/>
  <c r="O886" i="42"/>
  <c r="O887" i="42"/>
  <c r="O888" i="42"/>
  <c r="O892" i="42"/>
  <c r="C894" i="42"/>
  <c r="O896" i="42"/>
  <c r="O897" i="42"/>
  <c r="O898" i="42"/>
  <c r="O899" i="42"/>
  <c r="O900" i="42"/>
  <c r="O904" i="42"/>
  <c r="C906" i="42"/>
  <c r="C1351" i="98" s="1"/>
  <c r="D915" i="42"/>
  <c r="E915" i="42"/>
  <c r="O915" i="42"/>
  <c r="O916" i="42"/>
  <c r="O917" i="42"/>
  <c r="O918" i="42"/>
  <c r="O922" i="42"/>
  <c r="O923" i="42"/>
  <c r="O924" i="42"/>
  <c r="O925" i="42"/>
  <c r="O926" i="42"/>
  <c r="O927" i="42"/>
  <c r="O936" i="42"/>
  <c r="O937" i="42"/>
  <c r="O938" i="42"/>
  <c r="O947" i="42"/>
  <c r="O948" i="42"/>
  <c r="O949" i="42"/>
  <c r="O953" i="42"/>
  <c r="O954" i="42"/>
  <c r="O955" i="42"/>
  <c r="O956" i="42"/>
  <c r="O957" i="42"/>
  <c r="O961" i="42"/>
  <c r="O962" i="42"/>
  <c r="O963" i="42"/>
  <c r="O964" i="42"/>
  <c r="O997" i="42"/>
  <c r="O998" i="42"/>
  <c r="O999" i="42"/>
  <c r="O1004" i="42"/>
  <c r="O1005" i="42"/>
  <c r="O1006" i="42"/>
  <c r="C1009" i="42"/>
  <c r="O1011" i="42"/>
  <c r="O1012" i="42"/>
  <c r="O1013" i="42"/>
  <c r="O1014" i="42"/>
  <c r="O1015" i="42"/>
  <c r="O1016" i="42"/>
  <c r="O1020" i="42"/>
  <c r="O1021" i="42"/>
  <c r="O1022" i="42"/>
  <c r="C1024" i="42"/>
  <c r="O1026" i="42"/>
  <c r="O1027" i="42"/>
  <c r="O1028" i="42"/>
  <c r="O1032" i="42"/>
  <c r="C1034" i="42"/>
  <c r="H1039" i="42"/>
  <c r="H1041" i="42"/>
  <c r="C1042" i="42"/>
  <c r="C1047" i="42"/>
  <c r="O1056" i="42"/>
  <c r="O1060" i="42"/>
  <c r="O1061" i="42"/>
  <c r="H1063" i="42"/>
  <c r="G1367" i="98" s="1"/>
  <c r="O1069" i="42"/>
  <c r="O1073" i="42"/>
  <c r="O1074" i="42"/>
  <c r="C1076" i="42"/>
  <c r="C1398" i="98" s="1"/>
  <c r="O1078" i="42"/>
  <c r="C1081" i="42"/>
  <c r="C1412" i="98" s="1"/>
  <c r="O1083" i="42"/>
  <c r="O1087" i="42"/>
  <c r="O1088" i="42"/>
  <c r="C1090" i="42"/>
  <c r="C1430" i="98" s="1"/>
  <c r="C1099" i="42"/>
  <c r="C1448" i="98" s="1"/>
  <c r="C1106" i="42"/>
  <c r="C1464" i="98" s="1"/>
  <c r="C1115" i="42"/>
  <c r="C112" i="103" s="1"/>
  <c r="O1117" i="42"/>
  <c r="O1118" i="42"/>
  <c r="O1119" i="42"/>
  <c r="O1120" i="42"/>
  <c r="O1124" i="42"/>
  <c r="O1125" i="42"/>
  <c r="C1127" i="42"/>
  <c r="O1133" i="42"/>
  <c r="C1135" i="42"/>
  <c r="C1520" i="98" s="1"/>
  <c r="O1142" i="42"/>
  <c r="O1143" i="42"/>
  <c r="O1144" i="42"/>
  <c r="C1146" i="42"/>
  <c r="O1153" i="42"/>
  <c r="O1154" i="42"/>
  <c r="O1155" i="42"/>
  <c r="C1157" i="42"/>
  <c r="C1560" i="98" s="1"/>
  <c r="O1159" i="42"/>
  <c r="O1160" i="42"/>
  <c r="O1161" i="42"/>
  <c r="O1162" i="42"/>
  <c r="O1166" i="42"/>
  <c r="O1167" i="42"/>
  <c r="C1169" i="42"/>
  <c r="C1581" i="98" s="1"/>
  <c r="D1171" i="42"/>
  <c r="D1583" i="98" s="1"/>
  <c r="E1171" i="42"/>
  <c r="O1171" i="42"/>
  <c r="C1176" i="42"/>
  <c r="C133" i="103" s="1"/>
  <c r="C1183" i="42"/>
  <c r="O1185" i="42"/>
  <c r="O1186" i="42"/>
  <c r="O1187" i="42"/>
  <c r="O1191" i="42"/>
  <c r="C1193" i="42"/>
  <c r="C1632" i="98" s="1"/>
  <c r="C1195" i="42"/>
  <c r="C168" i="103" s="1"/>
  <c r="C1197" i="42"/>
  <c r="C1202" i="42"/>
  <c r="C1205" i="42"/>
  <c r="O1207" i="42"/>
  <c r="O1212" i="42"/>
  <c r="H1246" i="42"/>
  <c r="G1727" i="98" s="1"/>
  <c r="C1247" i="42"/>
  <c r="C1737" i="98" s="1"/>
  <c r="H1248" i="42"/>
  <c r="G1738" i="98" s="1"/>
  <c r="C1249" i="42"/>
  <c r="C1748" i="98" s="1"/>
  <c r="D1251" i="42"/>
  <c r="D1750" i="98" s="1"/>
  <c r="E1251" i="42"/>
  <c r="O1251" i="42"/>
  <c r="O1255" i="42"/>
  <c r="O1256" i="42"/>
  <c r="C1258" i="42"/>
  <c r="C1267" i="42"/>
  <c r="C1784" i="98" s="1"/>
  <c r="C1274" i="42"/>
  <c r="O1276" i="42"/>
  <c r="O1277" i="42"/>
  <c r="O1278" i="42"/>
  <c r="O1279" i="42"/>
  <c r="O1280" i="42"/>
  <c r="O1281" i="42"/>
  <c r="O1282" i="42"/>
  <c r="O1286" i="42"/>
  <c r="O1287" i="42"/>
  <c r="O1288" i="42"/>
  <c r="C1290" i="42"/>
  <c r="D1292" i="42"/>
  <c r="E1292" i="42"/>
  <c r="O1292" i="42"/>
  <c r="O1293" i="42"/>
  <c r="C1298" i="42"/>
  <c r="C1304" i="42"/>
  <c r="O1306" i="42"/>
  <c r="O1307" i="42"/>
  <c r="O1318" i="42"/>
  <c r="O1325" i="42"/>
  <c r="O1326" i="42"/>
  <c r="O1327" i="42"/>
  <c r="C1330" i="42"/>
  <c r="C1901" i="98" s="1"/>
  <c r="C1332" i="42"/>
  <c r="O1334" i="42"/>
  <c r="D1335" i="42"/>
  <c r="D1915" i="98" s="1"/>
  <c r="E1335" i="42"/>
  <c r="O1335" i="42"/>
  <c r="C1338" i="42"/>
  <c r="C1927" i="98" s="1"/>
  <c r="O1340" i="42"/>
  <c r="C1345" i="42"/>
  <c r="C1943" i="98" s="1"/>
  <c r="O1347" i="42"/>
  <c r="O1351" i="42"/>
  <c r="O1352" i="42"/>
  <c r="C1354" i="42"/>
  <c r="D1357" i="42"/>
  <c r="E1357" i="42"/>
  <c r="C1362" i="42"/>
  <c r="H1377" i="42"/>
  <c r="H1379" i="42"/>
  <c r="O1379" i="42"/>
  <c r="O1380" i="42"/>
  <c r="H1381" i="42"/>
  <c r="G261" i="103" s="1"/>
  <c r="O1381" i="42"/>
  <c r="C1383" i="42"/>
  <c r="C1386" i="42"/>
  <c r="O1389" i="42"/>
  <c r="O1390" i="42"/>
  <c r="O1391" i="42"/>
  <c r="C1393" i="42"/>
  <c r="C2015" i="98" s="1"/>
  <c r="C1402" i="42"/>
  <c r="C2033" i="98" s="1"/>
  <c r="O1404" i="42"/>
  <c r="O1405" i="42"/>
  <c r="O1406" i="42"/>
  <c r="O1407" i="42"/>
  <c r="O1408" i="42"/>
  <c r="O1409" i="42"/>
  <c r="O1410" i="42"/>
  <c r="O1414" i="42"/>
  <c r="O1415" i="42"/>
  <c r="C1417" i="42"/>
  <c r="C2057" i="98" s="1"/>
  <c r="C1422" i="42"/>
  <c r="C2090" i="98" s="1"/>
  <c r="C1432" i="42"/>
  <c r="D1434" i="42"/>
  <c r="E1434" i="42"/>
  <c r="E2092" i="98" s="1"/>
  <c r="O1434" i="42"/>
  <c r="C1440" i="42"/>
  <c r="O1445" i="42"/>
  <c r="O1446" i="42"/>
  <c r="C1448" i="42"/>
  <c r="O1453" i="42"/>
  <c r="O1454" i="42"/>
  <c r="O1455" i="42"/>
  <c r="O1456" i="42"/>
  <c r="O1457" i="42"/>
  <c r="C1459" i="42"/>
  <c r="O1461" i="42"/>
  <c r="O1462" i="42"/>
  <c r="O1463" i="42"/>
  <c r="H1465" i="42"/>
  <c r="G344" i="103" s="1"/>
  <c r="H1467" i="42"/>
  <c r="G346" i="103" s="1"/>
  <c r="O1467" i="42"/>
  <c r="C1484" i="42"/>
  <c r="H1485" i="42"/>
  <c r="H1487" i="42"/>
  <c r="C1489" i="42"/>
  <c r="C2144" i="98" s="1"/>
  <c r="H1492" i="42"/>
  <c r="O1492" i="42"/>
  <c r="H1493" i="42"/>
  <c r="O1493" i="42"/>
  <c r="H1494" i="42"/>
  <c r="G2148" i="98" s="1"/>
  <c r="O1494" i="42"/>
  <c r="H1495" i="42"/>
  <c r="O1495" i="42"/>
  <c r="H1496" i="42"/>
  <c r="O1496" i="42"/>
  <c r="H1498" i="42"/>
  <c r="H1500" i="42"/>
  <c r="G2153" i="98" s="1"/>
  <c r="H1503" i="42"/>
  <c r="C1504" i="42"/>
  <c r="O1506" i="42"/>
  <c r="O1507" i="42"/>
  <c r="O1508" i="42"/>
  <c r="O1509" i="42"/>
  <c r="O1510" i="42"/>
  <c r="O1511" i="42"/>
  <c r="O1515" i="42"/>
  <c r="O1516" i="42"/>
  <c r="O1517" i="42"/>
  <c r="O1518" i="42"/>
  <c r="C1520" i="42"/>
  <c r="D1522" i="42"/>
  <c r="E1522" i="42"/>
  <c r="E392" i="103" s="1"/>
  <c r="O1522" i="42"/>
  <c r="C1528" i="42"/>
  <c r="C2192" i="98" s="1"/>
  <c r="O1530" i="42"/>
  <c r="C1532" i="42"/>
  <c r="O1534" i="42"/>
  <c r="C1540" i="42"/>
  <c r="H1542" i="42"/>
  <c r="C1544" i="42"/>
  <c r="H1548" i="42"/>
  <c r="C1552" i="42"/>
  <c r="C1560" i="42"/>
  <c r="H1563" i="42"/>
  <c r="G2234" i="98" s="1"/>
  <c r="O1562" i="42"/>
  <c r="O1563" i="42"/>
  <c r="O1564" i="42"/>
  <c r="O1565" i="42"/>
  <c r="O1566" i="42"/>
  <c r="H1568" i="42"/>
  <c r="H1570" i="42"/>
  <c r="G2241" i="98" s="1"/>
  <c r="H1571" i="42"/>
  <c r="H1572" i="42"/>
  <c r="G2243" i="98" s="1"/>
  <c r="C1573" i="42"/>
  <c r="C2253" i="98" s="1"/>
  <c r="H1575" i="42"/>
  <c r="G2255" i="98" s="1"/>
  <c r="O1575" i="42"/>
  <c r="H1576" i="42"/>
  <c r="G2256" i="98" s="1"/>
  <c r="O1576" i="42"/>
  <c r="H1577" i="42"/>
  <c r="G2257" i="98" s="1"/>
  <c r="O1577" i="42"/>
  <c r="H1579" i="42"/>
  <c r="G2259" i="98" s="1"/>
  <c r="H1581" i="42"/>
  <c r="G2261" i="98" s="1"/>
  <c r="H1582" i="42"/>
  <c r="G2262" i="98" s="1"/>
  <c r="H1583" i="42"/>
  <c r="G2263" i="98" s="1"/>
  <c r="H1584" i="42"/>
  <c r="G2264" i="98" s="1"/>
  <c r="H1585" i="42"/>
  <c r="G2265" i="98" s="1"/>
  <c r="H1586" i="42"/>
  <c r="G2266" i="98" s="1"/>
  <c r="C1587" i="42"/>
  <c r="C2276" i="98" s="1"/>
  <c r="D1589" i="42"/>
  <c r="D2278" i="98" s="1"/>
  <c r="E1589" i="42"/>
  <c r="E2278" i="98" s="1"/>
  <c r="O1589" i="42"/>
  <c r="C1595" i="42"/>
  <c r="C2293" i="98" s="1"/>
  <c r="O1597" i="42"/>
  <c r="O1598" i="42"/>
  <c r="O1599" i="42"/>
  <c r="O1600" i="42"/>
  <c r="O1604" i="42"/>
  <c r="O1605" i="42"/>
  <c r="O1606" i="42"/>
  <c r="C1647" i="42"/>
  <c r="C2337" i="98" s="1"/>
  <c r="H1648" i="42"/>
  <c r="H1650" i="42"/>
  <c r="O1650" i="42"/>
  <c r="C1652" i="42"/>
  <c r="H1653" i="42"/>
  <c r="H1655" i="42"/>
  <c r="O1655" i="42"/>
  <c r="C1657" i="42"/>
  <c r="C2365" i="98" s="1"/>
  <c r="O1660" i="42"/>
  <c r="O1661" i="42"/>
  <c r="C1663" i="42"/>
  <c r="C1697" i="42"/>
  <c r="C2441" i="98" s="1"/>
  <c r="H1699" i="42"/>
  <c r="G2443" i="98" s="1"/>
  <c r="O1699" i="42"/>
  <c r="H1700" i="42"/>
  <c r="G2444" i="98" s="1"/>
  <c r="O1700" i="42"/>
  <c r="H1701" i="42"/>
  <c r="G2445" i="98" s="1"/>
  <c r="O1701" i="42"/>
  <c r="H1703" i="42"/>
  <c r="G2447" i="98" s="1"/>
  <c r="H1705" i="42"/>
  <c r="C1717" i="42"/>
  <c r="C2460" i="98" s="1"/>
  <c r="O1719" i="42"/>
  <c r="C1725" i="42"/>
  <c r="C1733" i="42"/>
  <c r="C1740" i="42"/>
  <c r="C2486" i="98" s="1"/>
  <c r="O1742" i="42"/>
  <c r="O1743" i="42"/>
  <c r="O1747" i="42"/>
  <c r="O1748" i="42"/>
  <c r="C1750" i="42"/>
  <c r="C2505" i="98" s="1"/>
  <c r="O1752" i="42"/>
  <c r="O1753" i="42"/>
  <c r="H1754" i="42"/>
  <c r="G2509" i="98" s="1"/>
  <c r="O1754" i="42"/>
  <c r="H1755" i="42"/>
  <c r="G2510" i="98" s="1"/>
  <c r="O1755" i="42"/>
  <c r="H1756" i="42"/>
  <c r="G2511" i="98" s="1"/>
  <c r="O1756" i="42"/>
  <c r="H1758" i="42"/>
  <c r="G2513" i="98" s="1"/>
  <c r="H1760" i="42"/>
  <c r="H1761" i="42"/>
  <c r="G2516" i="98" s="1"/>
  <c r="H1762" i="42"/>
  <c r="C1763" i="42"/>
  <c r="C2527" i="98" s="1"/>
  <c r="H1766" i="42"/>
  <c r="G2530" i="98" s="1"/>
  <c r="O1765" i="42"/>
  <c r="O1766" i="42"/>
  <c r="H1767" i="42"/>
  <c r="G2531" i="98" s="1"/>
  <c r="O1767" i="42"/>
  <c r="H1768" i="42"/>
  <c r="G2532" i="98" s="1"/>
  <c r="O1768" i="42"/>
  <c r="H1769" i="42"/>
  <c r="G2533" i="98" s="1"/>
  <c r="O1769" i="42"/>
  <c r="H1771" i="42"/>
  <c r="G2535" i="98" s="1"/>
  <c r="H1773" i="42"/>
  <c r="G2537" i="98" s="1"/>
  <c r="H1774" i="42"/>
  <c r="G2538" i="98" s="1"/>
  <c r="H1775" i="42"/>
  <c r="C1776" i="42"/>
  <c r="O1778" i="42"/>
  <c r="O1782" i="42"/>
  <c r="O1783" i="42"/>
  <c r="C1785" i="42"/>
  <c r="C1795" i="42"/>
  <c r="H1797" i="42"/>
  <c r="H1798" i="42"/>
  <c r="H1799" i="42"/>
  <c r="H1801" i="42"/>
  <c r="H1803" i="42"/>
  <c r="C1805" i="42"/>
  <c r="H1807" i="42"/>
  <c r="H1808" i="42"/>
  <c r="H1810" i="42"/>
  <c r="H1812" i="42"/>
  <c r="H1813" i="42"/>
  <c r="C1815" i="42"/>
  <c r="H1817" i="42"/>
  <c r="O1817" i="42"/>
  <c r="H1818" i="42"/>
  <c r="O1818" i="42"/>
  <c r="O1819" i="42"/>
  <c r="O1820" i="42"/>
  <c r="O1821" i="42"/>
  <c r="C1828" i="42"/>
  <c r="H1828" i="42"/>
  <c r="H1830" i="42" s="1"/>
  <c r="O1830" i="42"/>
  <c r="O1831" i="42"/>
  <c r="O1832" i="42"/>
  <c r="O1833" i="42"/>
  <c r="O1834" i="42"/>
  <c r="C1841" i="42"/>
  <c r="H1843" i="42"/>
  <c r="O1843" i="42"/>
  <c r="H1844" i="42"/>
  <c r="O1844" i="42"/>
  <c r="H1845" i="42"/>
  <c r="O1845" i="42"/>
  <c r="H1847" i="42"/>
  <c r="H1849" i="42"/>
  <c r="O1849" i="42"/>
  <c r="H1850" i="42"/>
  <c r="O1850" i="42"/>
  <c r="H1851" i="42"/>
  <c r="O1851" i="42"/>
  <c r="H1852" i="42"/>
  <c r="O1852" i="42"/>
  <c r="H1853" i="42"/>
  <c r="O1853" i="42"/>
  <c r="C1855" i="42"/>
  <c r="D1857" i="42"/>
  <c r="E1857" i="42"/>
  <c r="F1857" i="42" s="1"/>
  <c r="O1857" i="42"/>
  <c r="O1858" i="42"/>
  <c r="O1862" i="42"/>
  <c r="O1863" i="42"/>
  <c r="O1864" i="42"/>
  <c r="C1866" i="42"/>
  <c r="H1866" i="42"/>
  <c r="O1868" i="42"/>
  <c r="O1869" i="42"/>
  <c r="O1870" i="42"/>
  <c r="O1871" i="42"/>
  <c r="O1872" i="42"/>
  <c r="C1877" i="42"/>
  <c r="H1877" i="42"/>
  <c r="H1879" i="42" s="1"/>
  <c r="C1888" i="42"/>
  <c r="H1888" i="42"/>
  <c r="C1899" i="42"/>
  <c r="C1909" i="42"/>
  <c r="D1911" i="42"/>
  <c r="E1911" i="42"/>
  <c r="F1911" i="42" s="1"/>
  <c r="C1918" i="42"/>
  <c r="D1920" i="42"/>
  <c r="E1920" i="42"/>
  <c r="C1927" i="42"/>
  <c r="C1945" i="42"/>
  <c r="H1947" i="42"/>
  <c r="H1948" i="42"/>
  <c r="H1950" i="42"/>
  <c r="H1952" i="42"/>
  <c r="C1954" i="42"/>
  <c r="H1957" i="42"/>
  <c r="H1963" i="42"/>
  <c r="J1963" i="42" s="1"/>
  <c r="C1965" i="42"/>
  <c r="C1970" i="42"/>
  <c r="C1975" i="42"/>
  <c r="C1986" i="42"/>
  <c r="H1988" i="42"/>
  <c r="C1995" i="42"/>
  <c r="C2003" i="42"/>
  <c r="C2005" i="42"/>
  <c r="C438" i="103" s="1"/>
  <c r="H2008" i="42"/>
  <c r="G441" i="103" s="1"/>
  <c r="O2010" i="42"/>
  <c r="O2011" i="42"/>
  <c r="C2021" i="42"/>
  <c r="H2024" i="42"/>
  <c r="C2029" i="42"/>
  <c r="O2031" i="42"/>
  <c r="O2032" i="42"/>
  <c r="O2033" i="42"/>
  <c r="C2036" i="42"/>
  <c r="H2039" i="42"/>
  <c r="H2040" i="42"/>
  <c r="H2042" i="42"/>
  <c r="C2043" i="42"/>
  <c r="C2048" i="42"/>
  <c r="C2052" i="42"/>
  <c r="C2060" i="42"/>
  <c r="C505" i="103" s="1"/>
  <c r="C2066" i="42"/>
  <c r="C2068" i="42"/>
  <c r="C2072" i="42"/>
  <c r="C2084" i="42"/>
  <c r="H2087" i="42"/>
  <c r="G523" i="103" s="1"/>
  <c r="O2089" i="42"/>
  <c r="O2090" i="42"/>
  <c r="C2100" i="42"/>
  <c r="O2102" i="42"/>
  <c r="C2105" i="42"/>
  <c r="C2604" i="98" s="1"/>
  <c r="C2110" i="42"/>
  <c r="O2115" i="42"/>
  <c r="O2116" i="42"/>
  <c r="C2118" i="42"/>
  <c r="C585" i="103" s="1"/>
  <c r="O2123" i="42"/>
  <c r="O2124" i="42"/>
  <c r="O2125" i="42"/>
  <c r="O2126" i="42"/>
  <c r="O2127" i="42"/>
  <c r="O2128" i="42"/>
  <c r="C2130" i="42"/>
  <c r="H2133" i="42"/>
  <c r="H2135" i="42"/>
  <c r="H2136" i="42"/>
  <c r="C2138" i="42"/>
  <c r="C2143" i="42"/>
  <c r="C2152" i="42"/>
  <c r="O2155" i="42"/>
  <c r="O2156" i="42"/>
  <c r="O2157" i="42"/>
  <c r="C2159" i="42"/>
  <c r="H2173" i="42"/>
  <c r="G668" i="103" s="1"/>
  <c r="H2174" i="42"/>
  <c r="G669" i="103" s="1"/>
  <c r="H2175" i="42"/>
  <c r="G670" i="103" s="1"/>
  <c r="H2176" i="42"/>
  <c r="G671" i="103" s="1"/>
  <c r="H2178" i="42"/>
  <c r="G673" i="103" s="1"/>
  <c r="O2178" i="42"/>
  <c r="O2179" i="42"/>
  <c r="H2180" i="42"/>
  <c r="G675" i="103" s="1"/>
  <c r="O2180" i="42"/>
  <c r="C2182" i="42"/>
  <c r="O2185" i="42"/>
  <c r="O2186" i="42"/>
  <c r="C2195" i="42"/>
  <c r="C686" i="103" s="1"/>
  <c r="O2197" i="42"/>
  <c r="O2198" i="42"/>
  <c r="H2199" i="42"/>
  <c r="G690" i="103" s="1"/>
  <c r="O2199" i="42"/>
  <c r="D2200" i="42"/>
  <c r="D691" i="103" s="1"/>
  <c r="E2200" i="42"/>
  <c r="E691" i="103" s="1"/>
  <c r="O2200" i="42"/>
  <c r="H2202" i="42"/>
  <c r="G693" i="103" s="1"/>
  <c r="C2203" i="42"/>
  <c r="C2208" i="42"/>
  <c r="C703" i="103" s="1"/>
  <c r="O2210" i="42"/>
  <c r="O2211" i="42"/>
  <c r="O2212" i="42"/>
  <c r="O2216" i="42"/>
  <c r="O2217" i="42"/>
  <c r="O2218" i="42"/>
  <c r="C2220" i="42"/>
  <c r="C2232" i="42"/>
  <c r="D2239" i="42"/>
  <c r="E2239" i="42"/>
  <c r="F2239" i="42" s="1"/>
  <c r="H2239" i="42"/>
  <c r="H2241" i="42"/>
  <c r="H2243" i="42"/>
  <c r="H2244" i="42"/>
  <c r="H2245" i="42"/>
  <c r="C2246" i="42"/>
  <c r="C2254" i="42"/>
  <c r="O2259" i="42"/>
  <c r="C2261" i="42"/>
  <c r="O2263" i="42"/>
  <c r="C2266" i="42"/>
  <c r="C2270" i="42"/>
  <c r="D2274" i="42"/>
  <c r="D2643" i="98" s="1"/>
  <c r="E2274" i="42"/>
  <c r="E2643" i="98" s="1"/>
  <c r="C2276" i="42"/>
  <c r="C2281" i="42"/>
  <c r="C767" i="103" s="1"/>
  <c r="O2283" i="42"/>
  <c r="O2284" i="42"/>
  <c r="O2285" i="42"/>
  <c r="O2286" i="42"/>
  <c r="O2290" i="42"/>
  <c r="O2291" i="42"/>
  <c r="C2293" i="42"/>
  <c r="C2302" i="42"/>
  <c r="C2311" i="42"/>
  <c r="C806" i="103" s="1"/>
  <c r="D2313" i="42"/>
  <c r="D808" i="103" s="1"/>
  <c r="E2313" i="42"/>
  <c r="E808" i="103" s="1"/>
  <c r="C2330" i="42"/>
  <c r="C2684" i="98" s="1"/>
  <c r="H2333" i="42"/>
  <c r="H2342" i="42"/>
  <c r="G2723" i="98" s="1"/>
  <c r="H2345" i="42"/>
  <c r="D2394" i="42"/>
  <c r="E2394" i="42"/>
  <c r="H2418" i="42"/>
  <c r="H2420" i="42"/>
  <c r="H2421" i="42"/>
  <c r="O2427" i="42"/>
  <c r="O2428" i="42"/>
  <c r="O2429" i="42"/>
  <c r="O2430" i="42"/>
  <c r="O2432" i="42"/>
  <c r="O2433" i="42"/>
  <c r="O2434" i="42"/>
  <c r="O2435" i="42"/>
  <c r="C2437" i="42"/>
  <c r="C2805" i="98" s="1"/>
  <c r="C2447" i="42"/>
  <c r="C2824" i="98" s="1"/>
  <c r="H2449" i="42"/>
  <c r="C2457" i="42"/>
  <c r="H2459" i="42"/>
  <c r="C2467" i="42"/>
  <c r="C2843" i="98" s="1"/>
  <c r="C2477" i="42"/>
  <c r="C2862" i="98" s="1"/>
  <c r="H2479" i="42"/>
  <c r="G2864" i="98" s="1"/>
  <c r="C2487" i="42"/>
  <c r="H2489" i="42"/>
  <c r="C2497" i="42"/>
  <c r="O2499" i="42"/>
  <c r="O2500" i="42"/>
  <c r="O2501" i="42"/>
  <c r="O2502" i="42"/>
  <c r="O2506" i="42"/>
  <c r="O2507" i="42"/>
  <c r="O2508" i="42"/>
  <c r="C2510" i="42"/>
  <c r="C912" i="98" s="1"/>
  <c r="O2512" i="42"/>
  <c r="O2513" i="42"/>
  <c r="O2514" i="42"/>
  <c r="O2515" i="42"/>
  <c r="O2516" i="42"/>
  <c r="O2517" i="42"/>
  <c r="O2521" i="42"/>
  <c r="O2522" i="42"/>
  <c r="O2523" i="42"/>
  <c r="C2525" i="42"/>
  <c r="C2881" i="98" s="1"/>
  <c r="O2528" i="42"/>
  <c r="C2530" i="42"/>
  <c r="C2895" i="98" s="1"/>
  <c r="O2533" i="42"/>
  <c r="C2540" i="42"/>
  <c r="O2543" i="42"/>
  <c r="C2545" i="42"/>
  <c r="D2547" i="42"/>
  <c r="C2557" i="42"/>
  <c r="H2559" i="42"/>
  <c r="C2565" i="42"/>
  <c r="H2567" i="42"/>
  <c r="C2573" i="42"/>
  <c r="C846" i="103" s="1"/>
  <c r="D2575" i="42"/>
  <c r="D848" i="103" s="1"/>
  <c r="E2575" i="42"/>
  <c r="E848" i="103" s="1"/>
  <c r="O2575" i="42"/>
  <c r="C2580" i="42"/>
  <c r="C862" i="103" s="1"/>
  <c r="D2582" i="42"/>
  <c r="D864" i="103" s="1"/>
  <c r="E2582" i="42"/>
  <c r="H2582" i="42"/>
  <c r="G864" i="103" s="1"/>
  <c r="H2583" i="42"/>
  <c r="G865" i="103" s="1"/>
  <c r="H2585" i="42"/>
  <c r="G867" i="103" s="1"/>
  <c r="H2590" i="42"/>
  <c r="H2598" i="42"/>
  <c r="H2599" i="42"/>
  <c r="H2607" i="42"/>
  <c r="H2610" i="42"/>
  <c r="C2611" i="42"/>
  <c r="H2631" i="42"/>
  <c r="O2631" i="42"/>
  <c r="H2632" i="42"/>
  <c r="O2632" i="42"/>
  <c r="H2634" i="42"/>
  <c r="H2636" i="42"/>
  <c r="O2636" i="42"/>
  <c r="H2637" i="42"/>
  <c r="O2637" i="42"/>
  <c r="H2638" i="42"/>
  <c r="O2638" i="42"/>
  <c r="O2642" i="42"/>
  <c r="O2643" i="42"/>
  <c r="O2644" i="42"/>
  <c r="O2648" i="42"/>
  <c r="O2649" i="42"/>
  <c r="O2650" i="42"/>
  <c r="C2652" i="42"/>
  <c r="C2657" i="42"/>
  <c r="C877" i="103" s="1"/>
  <c r="C2662" i="42"/>
  <c r="C2970" i="98" s="1"/>
  <c r="C2666" i="42"/>
  <c r="D2670" i="42"/>
  <c r="E2670" i="42"/>
  <c r="E2987" i="98" s="1"/>
  <c r="C2672" i="42"/>
  <c r="O2674" i="42"/>
  <c r="O2675" i="42"/>
  <c r="O2676" i="42"/>
  <c r="C2679" i="42"/>
  <c r="C3012" i="98" s="1"/>
  <c r="O2681" i="42"/>
  <c r="O2682" i="42"/>
  <c r="O2683" i="42"/>
  <c r="O2684" i="42"/>
  <c r="O2685" i="42"/>
  <c r="O2689" i="42"/>
  <c r="C2697" i="42"/>
  <c r="C3057" i="98" s="1"/>
  <c r="O2699" i="42"/>
  <c r="O2700" i="42"/>
  <c r="O2701" i="42"/>
  <c r="O2702" i="42"/>
  <c r="O2703" i="42"/>
  <c r="H2705" i="42"/>
  <c r="G3065" i="98" s="1"/>
  <c r="H2707" i="42"/>
  <c r="H2708" i="42"/>
  <c r="G3068" i="98" s="1"/>
  <c r="H2709" i="42"/>
  <c r="G3069" i="98" s="1"/>
  <c r="C2710" i="42"/>
  <c r="C3079" i="98" s="1"/>
  <c r="O2712" i="42"/>
  <c r="O2713" i="42"/>
  <c r="O2714" i="42"/>
  <c r="O2715" i="42"/>
  <c r="O2716" i="42"/>
  <c r="H2718" i="42"/>
  <c r="H2720" i="42"/>
  <c r="H2721" i="42"/>
  <c r="G3090" i="98" s="1"/>
  <c r="H2722" i="42"/>
  <c r="C2731" i="42"/>
  <c r="H2733" i="42"/>
  <c r="O2733" i="42"/>
  <c r="H2734" i="42"/>
  <c r="O2734" i="42"/>
  <c r="O2735" i="42"/>
  <c r="O2736" i="42"/>
  <c r="O2737" i="42"/>
  <c r="H2739" i="42"/>
  <c r="H2741" i="42"/>
  <c r="H2742" i="42"/>
  <c r="H2743" i="42"/>
  <c r="C2744" i="42"/>
  <c r="O2746" i="42"/>
  <c r="O2750" i="42"/>
  <c r="O2751" i="42"/>
  <c r="C2756" i="42"/>
  <c r="O2762" i="42"/>
  <c r="C2767" i="42"/>
  <c r="H2767" i="42"/>
  <c r="H2770" i="42" s="1"/>
  <c r="O2769" i="42"/>
  <c r="O2770" i="42"/>
  <c r="O2771" i="42"/>
  <c r="O2772" i="42"/>
  <c r="O2776" i="42"/>
  <c r="O2777" i="42"/>
  <c r="O2778" i="42"/>
  <c r="C2780" i="42"/>
  <c r="O2782" i="42"/>
  <c r="C2788" i="42"/>
  <c r="O2790" i="42"/>
  <c r="O2791" i="42"/>
  <c r="O2792" i="42"/>
  <c r="O2793" i="42"/>
  <c r="O2794" i="42"/>
  <c r="H2796" i="42"/>
  <c r="H2798" i="42"/>
  <c r="H2799" i="42"/>
  <c r="H2800" i="42"/>
  <c r="C2801" i="42"/>
  <c r="H2803" i="42"/>
  <c r="O2803" i="42"/>
  <c r="H2804" i="42"/>
  <c r="O2804" i="42"/>
  <c r="O2805" i="42"/>
  <c r="O2806" i="42"/>
  <c r="O2807" i="42"/>
  <c r="H2809" i="42"/>
  <c r="H2811" i="42"/>
  <c r="H2812" i="42"/>
  <c r="H2813" i="42"/>
  <c r="C2814" i="42"/>
  <c r="C2829" i="42"/>
  <c r="C2833" i="42"/>
  <c r="C3127" i="98" s="1"/>
  <c r="C2837" i="42"/>
  <c r="C2845" i="42"/>
  <c r="O2850" i="42"/>
  <c r="C2852" i="42"/>
  <c r="C935" i="103" s="1"/>
  <c r="H2854" i="42"/>
  <c r="G937" i="103" s="1"/>
  <c r="O2854" i="42"/>
  <c r="O2856" i="42"/>
  <c r="H2857" i="42"/>
  <c r="G940" i="103" s="1"/>
  <c r="O2857" i="42"/>
  <c r="H2860" i="42"/>
  <c r="O2863" i="42"/>
  <c r="O2864" i="42"/>
  <c r="O2865" i="42"/>
  <c r="C2867" i="42"/>
  <c r="H2870" i="42"/>
  <c r="H2872" i="42"/>
  <c r="C2873" i="42"/>
  <c r="H2876" i="42"/>
  <c r="H2878" i="42"/>
  <c r="C2879" i="42"/>
  <c r="C959" i="103" s="1"/>
  <c r="H2882" i="42"/>
  <c r="G962" i="103" s="1"/>
  <c r="H2884" i="42"/>
  <c r="G964" i="103" s="1"/>
  <c r="C2885" i="42"/>
  <c r="C974" i="103" s="1"/>
  <c r="H2888" i="42"/>
  <c r="G977" i="103" s="1"/>
  <c r="H2890" i="42"/>
  <c r="G979" i="103" s="1"/>
  <c r="C2891" i="42"/>
  <c r="H2894" i="42"/>
  <c r="G992" i="103" s="1"/>
  <c r="H2896" i="42"/>
  <c r="G994" i="103" s="1"/>
  <c r="C2915" i="42"/>
  <c r="C1034" i="103" s="1"/>
  <c r="H2918" i="42"/>
  <c r="G1037" i="103" s="1"/>
  <c r="H2920" i="42"/>
  <c r="G1039" i="103" s="1"/>
  <c r="C2921" i="42"/>
  <c r="C1049" i="103" s="1"/>
  <c r="H2924" i="42"/>
  <c r="G1052" i="103" s="1"/>
  <c r="H2926" i="42"/>
  <c r="G1054" i="103" s="1"/>
  <c r="C2933" i="42"/>
  <c r="C1079" i="103" s="1"/>
  <c r="O2935" i="42"/>
  <c r="O2936" i="42"/>
  <c r="O2937" i="42"/>
  <c r="O2938" i="42"/>
  <c r="D2939" i="42"/>
  <c r="D1085" i="103" s="1"/>
  <c r="E2939" i="42"/>
  <c r="O2939" i="42"/>
  <c r="H2941" i="42"/>
  <c r="G1087" i="103" s="1"/>
  <c r="H2943" i="42"/>
  <c r="G1089" i="103" s="1"/>
  <c r="H2944" i="42"/>
  <c r="G1090" i="103" s="1"/>
  <c r="H2945" i="42"/>
  <c r="C2946" i="42"/>
  <c r="C1100" i="103" s="1"/>
  <c r="O2948" i="42"/>
  <c r="O2949" i="42"/>
  <c r="O2950" i="42"/>
  <c r="O2951" i="42"/>
  <c r="D2952" i="42"/>
  <c r="D1106" i="103" s="1"/>
  <c r="E2952" i="42"/>
  <c r="O2952" i="42"/>
  <c r="H2954" i="42"/>
  <c r="G1108" i="103" s="1"/>
  <c r="H2956" i="42"/>
  <c r="G1110" i="103" s="1"/>
  <c r="H2957" i="42"/>
  <c r="G1111" i="103" s="1"/>
  <c r="H2958" i="42"/>
  <c r="G1112" i="103" s="1"/>
  <c r="C2968" i="42"/>
  <c r="C1134" i="103" s="1"/>
  <c r="C2970" i="42"/>
  <c r="C1145" i="103" s="1"/>
  <c r="D2972" i="42"/>
  <c r="E2972" i="42"/>
  <c r="E1147" i="103" s="1"/>
  <c r="C2977" i="42"/>
  <c r="C1161" i="103" s="1"/>
  <c r="D2979" i="42"/>
  <c r="D1163" i="103" s="1"/>
  <c r="E2979" i="42"/>
  <c r="E1163" i="103" s="1"/>
  <c r="O2979" i="42"/>
  <c r="J2980" i="42"/>
  <c r="O2980" i="42"/>
  <c r="O2981" i="42"/>
  <c r="O2982" i="42"/>
  <c r="O2983" i="42"/>
  <c r="C2989" i="42"/>
  <c r="C2994" i="42"/>
  <c r="D2996" i="42"/>
  <c r="E2996" i="42"/>
  <c r="F2996" i="42" s="1"/>
  <c r="J2997" i="42"/>
  <c r="C3006" i="42"/>
  <c r="C3180" i="98" s="1"/>
  <c r="D3008" i="42"/>
  <c r="D3182" i="98" s="1"/>
  <c r="E3008" i="42"/>
  <c r="C3017" i="42"/>
  <c r="C1182" i="103" s="1"/>
  <c r="C3029" i="42"/>
  <c r="C1212" i="103" s="1"/>
  <c r="C3041" i="42"/>
  <c r="C1242" i="103" s="1"/>
  <c r="D3043" i="42"/>
  <c r="D1244" i="103" s="1"/>
  <c r="E3043" i="42"/>
  <c r="E1244" i="103" s="1"/>
  <c r="O3043" i="42"/>
  <c r="C3049" i="42"/>
  <c r="C3056" i="42"/>
  <c r="C1259" i="103" s="1"/>
  <c r="M3056" i="42"/>
  <c r="O3058" i="42"/>
  <c r="C3070" i="42"/>
  <c r="C1309" i="103" s="1"/>
  <c r="H3070" i="42"/>
  <c r="G1309" i="103" s="1"/>
  <c r="O3072" i="42"/>
  <c r="O3073" i="42"/>
  <c r="O3074" i="42"/>
  <c r="O3075" i="42"/>
  <c r="O3076" i="42"/>
  <c r="O3077" i="42"/>
  <c r="O3081" i="42"/>
  <c r="O3082" i="42"/>
  <c r="O3083" i="42"/>
  <c r="C3085" i="42"/>
  <c r="C1333" i="103" s="1"/>
  <c r="O3087" i="42"/>
  <c r="O3088" i="42"/>
  <c r="O3089" i="42"/>
  <c r="O3093" i="42"/>
  <c r="C3098" i="42"/>
  <c r="C1364" i="103" s="1"/>
  <c r="M3098" i="42"/>
  <c r="O3100" i="42"/>
  <c r="O3101" i="42"/>
  <c r="C3104" i="42"/>
  <c r="C1379" i="103" s="1"/>
  <c r="O3106" i="42"/>
  <c r="O3107" i="42"/>
  <c r="O3108" i="42"/>
  <c r="C3111" i="42"/>
  <c r="C3216" i="98" s="1"/>
  <c r="H3112" i="42"/>
  <c r="H3114" i="42"/>
  <c r="O3114" i="42"/>
  <c r="C3116" i="42"/>
  <c r="C3230" i="98" s="1"/>
  <c r="H3117" i="42"/>
  <c r="H3119" i="42"/>
  <c r="O3119" i="42"/>
  <c r="C3126" i="42"/>
  <c r="H3127" i="42"/>
  <c r="H3129" i="42"/>
  <c r="O3129" i="42"/>
  <c r="C3131" i="42"/>
  <c r="O3133" i="42"/>
  <c r="O3134" i="42"/>
  <c r="O3135" i="42"/>
  <c r="O3136" i="42"/>
  <c r="O3137" i="42"/>
  <c r="H3139" i="42"/>
  <c r="H3141" i="42"/>
  <c r="H3142" i="42"/>
  <c r="H3143" i="42"/>
  <c r="C3144" i="42"/>
  <c r="O3146" i="42"/>
  <c r="O3150" i="42"/>
  <c r="O3151" i="42"/>
  <c r="O3152" i="42"/>
  <c r="C3154" i="42"/>
  <c r="O3156" i="42"/>
  <c r="O3157" i="42"/>
  <c r="O3158" i="42"/>
  <c r="O3159" i="42"/>
  <c r="O3163" i="42"/>
  <c r="O3164" i="42"/>
  <c r="C3166" i="42"/>
  <c r="C1395" i="103" s="1"/>
  <c r="D3168" i="42"/>
  <c r="D1397" i="103" s="1"/>
  <c r="E3168" i="42"/>
  <c r="E1397" i="103" s="1"/>
  <c r="O3172" i="42"/>
  <c r="O3173" i="42"/>
  <c r="C3184" i="42"/>
  <c r="C3188" i="42"/>
  <c r="C1431" i="103" s="1"/>
  <c r="H3189" i="42"/>
  <c r="G1432" i="103" s="1"/>
  <c r="H3191" i="42"/>
  <c r="G1434" i="103" s="1"/>
  <c r="O3191" i="42"/>
  <c r="H3192" i="42"/>
  <c r="G1435" i="103" s="1"/>
  <c r="O3192" i="42"/>
  <c r="H3193" i="42"/>
  <c r="G1436" i="103" s="1"/>
  <c r="O3193" i="42"/>
  <c r="C3195" i="42"/>
  <c r="C1447" i="103" s="1"/>
  <c r="C3199" i="42"/>
  <c r="C3203" i="42"/>
  <c r="H3206" i="42"/>
  <c r="H3208" i="42"/>
  <c r="C3209" i="42"/>
  <c r="O3212" i="42"/>
  <c r="O3213" i="42"/>
  <c r="O3214" i="42"/>
  <c r="S321" i="66"/>
  <c r="S675" i="66"/>
  <c r="H181" i="42"/>
  <c r="H1597" i="42"/>
  <c r="G2295" i="98" s="1"/>
  <c r="H1602" i="42"/>
  <c r="G2300" i="98" s="1"/>
  <c r="H1598" i="42"/>
  <c r="G2296" i="98" s="1"/>
  <c r="H1604" i="42"/>
  <c r="G2302" i="98" s="1"/>
  <c r="H1611" i="42"/>
  <c r="H1617" i="42"/>
  <c r="G2324" i="98" s="1"/>
  <c r="I30" i="12"/>
  <c r="I2079" i="42" s="1"/>
  <c r="J2079" i="42" s="1"/>
  <c r="J2078" i="42" s="1"/>
  <c r="K2077" i="42" s="1"/>
  <c r="I16" i="49" s="1"/>
  <c r="F68" i="12"/>
  <c r="I68" i="12" s="1"/>
  <c r="I770" i="42" s="1"/>
  <c r="J770" i="42" s="1"/>
  <c r="A256" i="12"/>
  <c r="C16" i="12"/>
  <c r="I677" i="42"/>
  <c r="J677" i="42" s="1"/>
  <c r="I273" i="42"/>
  <c r="J273" i="42" s="1"/>
  <c r="E150" i="7"/>
  <c r="E138" i="7"/>
  <c r="E128" i="7"/>
  <c r="E122" i="7"/>
  <c r="E114" i="7"/>
  <c r="E108" i="7"/>
  <c r="E104" i="7"/>
  <c r="E86" i="7"/>
  <c r="E80" i="7"/>
  <c r="E74" i="7"/>
  <c r="E68" i="7"/>
  <c r="E62" i="7"/>
  <c r="E50" i="7"/>
  <c r="E44" i="7"/>
  <c r="E30" i="7"/>
  <c r="E24" i="7"/>
  <c r="E20" i="7"/>
  <c r="E14" i="7"/>
  <c r="E10" i="7"/>
  <c r="E157" i="7"/>
  <c r="E155" i="7"/>
  <c r="E151" i="7"/>
  <c r="E149" i="7"/>
  <c r="E145" i="7"/>
  <c r="E143" i="7"/>
  <c r="E139" i="7"/>
  <c r="E137" i="7"/>
  <c r="E133" i="7"/>
  <c r="E131" i="7"/>
  <c r="E127" i="7"/>
  <c r="E121" i="7"/>
  <c r="E109" i="7"/>
  <c r="E103" i="7"/>
  <c r="E97" i="7"/>
  <c r="E91" i="7"/>
  <c r="E85" i="7"/>
  <c r="E75" i="7"/>
  <c r="E69" i="7"/>
  <c r="E63" i="7"/>
  <c r="E57" i="7"/>
  <c r="E55" i="7"/>
  <c r="E51" i="7"/>
  <c r="E49" i="7"/>
  <c r="E45" i="7"/>
  <c r="E39" i="7"/>
  <c r="E35" i="7"/>
  <c r="E29" i="7"/>
  <c r="E25" i="7"/>
  <c r="E19" i="7"/>
  <c r="S870" i="66"/>
  <c r="H1753" i="42"/>
  <c r="G2508" i="98" s="1"/>
  <c r="H1752" i="42"/>
  <c r="G2507" i="98" s="1"/>
  <c r="H1623" i="42"/>
  <c r="F46" i="42"/>
  <c r="F39" i="42"/>
  <c r="B2" i="66"/>
  <c r="C33" i="12"/>
  <c r="C153" i="12"/>
  <c r="H1613" i="42"/>
  <c r="G2320" i="98" s="1"/>
  <c r="H1615" i="42"/>
  <c r="G2322" i="98" s="1"/>
  <c r="H1610" i="42"/>
  <c r="G2317" i="98" s="1"/>
  <c r="H1630" i="42"/>
  <c r="H1618" i="42"/>
  <c r="G2325" i="98" s="1"/>
  <c r="H1612" i="42"/>
  <c r="G2319" i="98" s="1"/>
  <c r="H1765" i="42"/>
  <c r="H166" i="42"/>
  <c r="F2092" i="42"/>
  <c r="C34" i="12"/>
  <c r="E61" i="7" s="1"/>
  <c r="F2433" i="42"/>
  <c r="F2625" i="42"/>
  <c r="F2427" i="42"/>
  <c r="E130" i="12"/>
  <c r="I130" i="12" s="1"/>
  <c r="I129" i="12"/>
  <c r="I1069" i="42" s="1"/>
  <c r="J1069" i="42" s="1"/>
  <c r="I1070" i="42" s="1"/>
  <c r="J1070" i="42" s="1"/>
  <c r="J1068" i="42" s="1"/>
  <c r="K1067" i="42" s="1"/>
  <c r="S773" i="66"/>
  <c r="D51" i="93"/>
  <c r="D31" i="93"/>
  <c r="D32" i="93" s="1"/>
  <c r="G27" i="93"/>
  <c r="J27" i="93" s="1"/>
  <c r="M27" i="93" s="1"/>
  <c r="G28" i="93"/>
  <c r="J28" i="93" s="1"/>
  <c r="M28" i="93" s="1"/>
  <c r="F29" i="93"/>
  <c r="I29" i="93" s="1"/>
  <c r="L29" i="93" s="1"/>
  <c r="H29" i="93"/>
  <c r="K29" i="93" s="1"/>
  <c r="N29" i="93" s="1"/>
  <c r="C30" i="93"/>
  <c r="E30" i="93"/>
  <c r="G30" i="93"/>
  <c r="J30" i="93" s="1"/>
  <c r="M30" i="93" s="1"/>
  <c r="F38" i="93"/>
  <c r="I38" i="93" s="1"/>
  <c r="L38" i="93" s="1"/>
  <c r="F13" i="85" s="1"/>
  <c r="G121" i="105" s="1"/>
  <c r="H121" i="105" s="1"/>
  <c r="J117" i="105" s="1"/>
  <c r="H38" i="93"/>
  <c r="K38" i="93" s="1"/>
  <c r="N38" i="93" s="1"/>
  <c r="G39" i="93"/>
  <c r="J39" i="93"/>
  <c r="M39" i="93" s="1"/>
  <c r="D40" i="93"/>
  <c r="F40" i="93"/>
  <c r="I40" i="93" s="1"/>
  <c r="L40" i="93" s="1"/>
  <c r="F14" i="85" s="1"/>
  <c r="G48" i="93"/>
  <c r="J48" i="93" s="1"/>
  <c r="M48" i="93" s="1"/>
  <c r="G18" i="85" s="1"/>
  <c r="G49" i="93"/>
  <c r="J49" i="93" s="1"/>
  <c r="M49" i="93" s="1"/>
  <c r="G114" i="93"/>
  <c r="J114" i="93" s="1"/>
  <c r="M114" i="93" s="1"/>
  <c r="G22" i="85" s="1"/>
  <c r="F113" i="93"/>
  <c r="I113" i="93" s="1"/>
  <c r="L113" i="93" s="1"/>
  <c r="F111" i="93"/>
  <c r="I111" i="93" s="1"/>
  <c r="L111" i="93" s="1"/>
  <c r="F109" i="93"/>
  <c r="I109" i="93" s="1"/>
  <c r="L109" i="93" s="1"/>
  <c r="F107" i="93"/>
  <c r="I107" i="93" s="1"/>
  <c r="L107" i="93" s="1"/>
  <c r="F105" i="93"/>
  <c r="I105" i="93" s="1"/>
  <c r="L105" i="93" s="1"/>
  <c r="F102" i="93"/>
  <c r="I102" i="93" s="1"/>
  <c r="L102" i="93" s="1"/>
  <c r="F100" i="93"/>
  <c r="I100" i="93" s="1"/>
  <c r="L100" i="93" s="1"/>
  <c r="F98" i="93"/>
  <c r="I98" i="93" s="1"/>
  <c r="L98" i="93" s="1"/>
  <c r="F96" i="93"/>
  <c r="I96" i="93" s="1"/>
  <c r="L96" i="93" s="1"/>
  <c r="F94" i="93"/>
  <c r="I94" i="93" s="1"/>
  <c r="L94" i="93" s="1"/>
  <c r="F85" i="93"/>
  <c r="I85" i="93" s="1"/>
  <c r="L85" i="93" s="1"/>
  <c r="H78" i="93"/>
  <c r="K78" i="93" s="1"/>
  <c r="N78" i="93" s="1"/>
  <c r="F78" i="93"/>
  <c r="I78" i="93" s="1"/>
  <c r="L78" i="93" s="1"/>
  <c r="H69" i="93"/>
  <c r="K69" i="93" s="1"/>
  <c r="N69" i="93" s="1"/>
  <c r="F69" i="93"/>
  <c r="I69" i="93" s="1"/>
  <c r="L69" i="93" s="1"/>
  <c r="G68" i="93"/>
  <c r="J68" i="93" s="1"/>
  <c r="M68" i="93" s="1"/>
  <c r="G59" i="93"/>
  <c r="J59" i="93" s="1"/>
  <c r="M59" i="93" s="1"/>
  <c r="T59" i="93" s="1"/>
  <c r="H58" i="93"/>
  <c r="K58" i="93" s="1"/>
  <c r="N58" i="93" s="1"/>
  <c r="H21" i="85" s="1"/>
  <c r="F58" i="93"/>
  <c r="I58" i="93" s="1"/>
  <c r="L58" i="93" s="1"/>
  <c r="H114" i="93"/>
  <c r="K114" i="93" s="1"/>
  <c r="N114" i="93" s="1"/>
  <c r="F114" i="93"/>
  <c r="I114" i="93" s="1"/>
  <c r="L114" i="93" s="1"/>
  <c r="F22" i="85" s="1"/>
  <c r="F112" i="93"/>
  <c r="I112" i="93" s="1"/>
  <c r="L112" i="93" s="1"/>
  <c r="F110" i="93"/>
  <c r="I110" i="93" s="1"/>
  <c r="L110" i="93" s="1"/>
  <c r="F108" i="93"/>
  <c r="I108" i="93" s="1"/>
  <c r="L108" i="93" s="1"/>
  <c r="F106" i="93"/>
  <c r="I106" i="93" s="1"/>
  <c r="L106" i="93" s="1"/>
  <c r="F104" i="93"/>
  <c r="I104" i="93" s="1"/>
  <c r="L104" i="93" s="1"/>
  <c r="F103" i="93"/>
  <c r="I103" i="93" s="1"/>
  <c r="L103" i="93" s="1"/>
  <c r="F101" i="93"/>
  <c r="I101" i="93" s="1"/>
  <c r="L101" i="93" s="1"/>
  <c r="F99" i="93"/>
  <c r="I99" i="93" s="1"/>
  <c r="L99" i="93" s="1"/>
  <c r="F97" i="93"/>
  <c r="I97" i="93" s="1"/>
  <c r="L97" i="93" s="1"/>
  <c r="F95" i="93"/>
  <c r="I95" i="93" s="1"/>
  <c r="L95" i="93" s="1"/>
  <c r="F84" i="93"/>
  <c r="I84" i="93" s="1"/>
  <c r="L84" i="93" s="1"/>
  <c r="F83" i="93"/>
  <c r="I83" i="93" s="1"/>
  <c r="L83" i="93" s="1"/>
  <c r="G78" i="93"/>
  <c r="J78" i="93" s="1"/>
  <c r="M78" i="93" s="1"/>
  <c r="G69" i="93"/>
  <c r="J69" i="93" s="1"/>
  <c r="M69" i="93" s="1"/>
  <c r="H68" i="93"/>
  <c r="K68" i="93" s="1"/>
  <c r="N68" i="93" s="1"/>
  <c r="F68" i="93"/>
  <c r="I68" i="93" s="1"/>
  <c r="L68" i="93" s="1"/>
  <c r="G60" i="93"/>
  <c r="J60" i="93" s="1"/>
  <c r="M60" i="93" s="1"/>
  <c r="H59" i="93"/>
  <c r="K59" i="93" s="1"/>
  <c r="N59" i="93" s="1"/>
  <c r="F59" i="93"/>
  <c r="I59" i="93" s="1"/>
  <c r="L59" i="93" s="1"/>
  <c r="G58" i="93"/>
  <c r="J58" i="93" s="1"/>
  <c r="M58" i="93" s="1"/>
  <c r="G21" i="85" s="1"/>
  <c r="D61" i="93"/>
  <c r="F71" i="93"/>
  <c r="I71" i="93" s="1"/>
  <c r="L71" i="93" s="1"/>
  <c r="F27" i="93"/>
  <c r="I27" i="93" s="1"/>
  <c r="L27" i="93" s="1"/>
  <c r="H27" i="93"/>
  <c r="K27" i="93" s="1"/>
  <c r="N27" i="93" s="1"/>
  <c r="F28" i="93"/>
  <c r="I28" i="93" s="1"/>
  <c r="L28" i="93" s="1"/>
  <c r="H28" i="93"/>
  <c r="K28" i="93" s="1"/>
  <c r="N28" i="93" s="1"/>
  <c r="G29" i="93"/>
  <c r="J29" i="93" s="1"/>
  <c r="M29" i="93" s="1"/>
  <c r="G38" i="93"/>
  <c r="J38" i="93" s="1"/>
  <c r="M38" i="93" s="1"/>
  <c r="T38" i="93" s="1"/>
  <c r="F39" i="93"/>
  <c r="I39" i="93" s="1"/>
  <c r="L39" i="93" s="1"/>
  <c r="H39" i="93"/>
  <c r="K39" i="93" s="1"/>
  <c r="N39" i="93" s="1"/>
  <c r="F48" i="93"/>
  <c r="I48" i="93" s="1"/>
  <c r="L48" i="93" s="1"/>
  <c r="H48" i="93"/>
  <c r="K48" i="93" s="1"/>
  <c r="N48" i="93" s="1"/>
  <c r="H18" i="85" s="1"/>
  <c r="H403" i="98" s="1"/>
  <c r="I403" i="98" s="1"/>
  <c r="K399" i="98" s="1"/>
  <c r="F49" i="93"/>
  <c r="I49" i="93" s="1"/>
  <c r="L49" i="93" s="1"/>
  <c r="H49" i="93"/>
  <c r="K49" i="93" s="1"/>
  <c r="N49" i="93" s="1"/>
  <c r="C60" i="93"/>
  <c r="F60" i="93" s="1"/>
  <c r="E60" i="93"/>
  <c r="H60" i="93" s="1"/>
  <c r="K60" i="93" s="1"/>
  <c r="N60" i="93" s="1"/>
  <c r="D70" i="93"/>
  <c r="D71" i="93" s="1"/>
  <c r="C72" i="93"/>
  <c r="F72" i="93" s="1"/>
  <c r="I72" i="93" s="1"/>
  <c r="L72" i="93" s="1"/>
  <c r="G50" i="93"/>
  <c r="J50" i="93" s="1"/>
  <c r="M50" i="93" s="1"/>
  <c r="I3277" i="42"/>
  <c r="J3277" i="42" s="1"/>
  <c r="F1715" i="42"/>
  <c r="F70" i="93"/>
  <c r="I70" i="93" s="1"/>
  <c r="L70" i="93" s="1"/>
  <c r="AE61" i="58"/>
  <c r="AI60" i="58" s="1"/>
  <c r="L16" i="96"/>
  <c r="E11" i="7"/>
  <c r="E118" i="7"/>
  <c r="E110" i="7"/>
  <c r="E82" i="7"/>
  <c r="E76" i="7"/>
  <c r="E70" i="7"/>
  <c r="E64" i="7"/>
  <c r="E46" i="7"/>
  <c r="E9" i="7"/>
  <c r="E126" i="7"/>
  <c r="E102" i="7"/>
  <c r="E96" i="7"/>
  <c r="E90" i="7"/>
  <c r="E34" i="7"/>
  <c r="E15" i="7"/>
  <c r="E156" i="7"/>
  <c r="E144" i="7"/>
  <c r="E132" i="7"/>
  <c r="E56" i="7"/>
  <c r="E40" i="7"/>
  <c r="H193" i="42"/>
  <c r="S713" i="66"/>
  <c r="H1631" i="42"/>
  <c r="H1632" i="42"/>
  <c r="H1626" i="42"/>
  <c r="H1624" i="42"/>
  <c r="H70" i="93"/>
  <c r="K70" i="93" s="1"/>
  <c r="N70" i="93" s="1"/>
  <c r="E71" i="93"/>
  <c r="H40" i="93"/>
  <c r="K40" i="93" s="1"/>
  <c r="N40" i="93" s="1"/>
  <c r="H14" i="85" s="1"/>
  <c r="E41" i="93"/>
  <c r="E42" i="93" s="1"/>
  <c r="C41" i="93"/>
  <c r="C42" i="93" s="1"/>
  <c r="F42" i="93" s="1"/>
  <c r="F50" i="93"/>
  <c r="I50" i="93" s="1"/>
  <c r="L50" i="93" s="1"/>
  <c r="T50" i="93" s="1"/>
  <c r="C51" i="93"/>
  <c r="F51" i="93" s="1"/>
  <c r="E51" i="93"/>
  <c r="H50" i="93"/>
  <c r="K50" i="93" s="1"/>
  <c r="N50" i="93" s="1"/>
  <c r="H1625" i="42"/>
  <c r="H1600" i="42"/>
  <c r="H1605" i="42"/>
  <c r="G2303" i="98" s="1"/>
  <c r="H1599" i="42"/>
  <c r="H11" i="87"/>
  <c r="W41" i="58"/>
  <c r="K30" i="84"/>
  <c r="F54" i="12" s="1"/>
  <c r="I3339" i="42"/>
  <c r="J3339" i="42" s="1"/>
  <c r="J3337" i="42" s="1"/>
  <c r="K3336" i="42" s="1"/>
  <c r="AI72" i="58"/>
  <c r="AI81" i="58"/>
  <c r="G31" i="93"/>
  <c r="J31" i="93" s="1"/>
  <c r="M31" i="93" s="1"/>
  <c r="AI69" i="58"/>
  <c r="C273" i="12"/>
  <c r="C241" i="12"/>
  <c r="G3130" i="98"/>
  <c r="H1104" i="103"/>
  <c r="P39" i="66"/>
  <c r="F53" i="12"/>
  <c r="I2227" i="42"/>
  <c r="J2227" i="42" s="1"/>
  <c r="I1301" i="42"/>
  <c r="J1301" i="42" s="1"/>
  <c r="I3058" i="42"/>
  <c r="J3058" i="42" s="1"/>
  <c r="I3059" i="42" s="1"/>
  <c r="J3059" i="42" s="1"/>
  <c r="J3057" i="42" s="1"/>
  <c r="K3056" i="42" s="1"/>
  <c r="C206" i="102"/>
  <c r="C207" i="102"/>
  <c r="C204" i="102"/>
  <c r="C208" i="102"/>
  <c r="C203" i="102"/>
  <c r="C205" i="102"/>
  <c r="E38" i="12"/>
  <c r="E39" i="12" s="1"/>
  <c r="E40" i="12" s="1"/>
  <c r="E170" i="102"/>
  <c r="F750" i="81"/>
  <c r="E159" i="102"/>
  <c r="A2" i="12"/>
  <c r="A2" i="58" s="1"/>
  <c r="A3" i="102"/>
  <c r="F78" i="81"/>
  <c r="I1473" i="42"/>
  <c r="J1473" i="42" s="1"/>
  <c r="I884" i="42"/>
  <c r="J884" i="42" s="1"/>
  <c r="I2212" i="42"/>
  <c r="J2212" i="42" s="1"/>
  <c r="I2856" i="42"/>
  <c r="J2856" i="42" s="1"/>
  <c r="I1306" i="42"/>
  <c r="J1306" i="42" s="1"/>
  <c r="I2938" i="42"/>
  <c r="J2938" i="42" s="1"/>
  <c r="I2211" i="42"/>
  <c r="J2211" i="42" s="1"/>
  <c r="I2675" i="42"/>
  <c r="I1743" i="42"/>
  <c r="J1743" i="42" s="1"/>
  <c r="I1598" i="42"/>
  <c r="I41" i="7"/>
  <c r="I2619" i="42"/>
  <c r="J2619" i="42" s="1"/>
  <c r="I2420" i="42"/>
  <c r="I3239" i="42"/>
  <c r="J3239" i="42" s="1"/>
  <c r="I3231" i="42"/>
  <c r="J3231" i="42" s="1"/>
  <c r="I2854" i="42"/>
  <c r="J2854" i="42" s="1"/>
  <c r="I872" i="42"/>
  <c r="J872" i="42" s="1"/>
  <c r="I2948" i="42"/>
  <c r="J2948" i="42" s="1"/>
  <c r="I3331" i="42"/>
  <c r="J3331" i="42" s="1"/>
  <c r="I56" i="12"/>
  <c r="I1701" i="42"/>
  <c r="J1701" i="42" s="1"/>
  <c r="E31" i="7"/>
  <c r="E26" i="7"/>
  <c r="E36" i="7"/>
  <c r="E92" i="7"/>
  <c r="I243" i="42"/>
  <c r="I2210" i="42"/>
  <c r="J2210" i="42" s="1"/>
  <c r="J11" i="66"/>
  <c r="J12" i="66" s="1"/>
  <c r="I1901" i="42"/>
  <c r="J1901" i="42" s="1"/>
  <c r="H111" i="7"/>
  <c r="I2170" i="42"/>
  <c r="J2170" i="42" s="1"/>
  <c r="I500" i="42"/>
  <c r="J500" i="42" s="1"/>
  <c r="I253" i="42"/>
  <c r="J253" i="42" s="1"/>
  <c r="I262" i="42"/>
  <c r="I1221" i="42"/>
  <c r="J1221" i="42" s="1"/>
  <c r="I1843" i="42"/>
  <c r="I1463" i="42"/>
  <c r="J1463" i="42" s="1"/>
  <c r="I755" i="42"/>
  <c r="J755" i="42" s="1"/>
  <c r="I1280" i="42"/>
  <c r="J1280" i="42" s="1"/>
  <c r="I1094" i="42"/>
  <c r="J1094" i="42" s="1"/>
  <c r="I1754" i="42"/>
  <c r="J1754" i="42" s="1"/>
  <c r="I2950" i="42"/>
  <c r="J2950" i="42" s="1"/>
  <c r="I1312" i="42"/>
  <c r="J1312" i="42" s="1"/>
  <c r="I54" i="42"/>
  <c r="J54" i="42" s="1"/>
  <c r="I2937" i="42"/>
  <c r="J2937" i="42" s="1"/>
  <c r="I1883" i="42"/>
  <c r="J1883" i="42" s="1"/>
  <c r="I764" i="42"/>
  <c r="J764" i="42" s="1"/>
  <c r="I746" i="42"/>
  <c r="J746" i="42" s="1"/>
  <c r="I292" i="42"/>
  <c r="I1327" i="42"/>
  <c r="J1327" i="42" s="1"/>
  <c r="I2516" i="42"/>
  <c r="J2516" i="42" s="1"/>
  <c r="I1788" i="42"/>
  <c r="J1788" i="42" s="1"/>
  <c r="E21" i="7"/>
  <c r="E41" i="7"/>
  <c r="E87" i="7"/>
  <c r="E123" i="7"/>
  <c r="E16" i="7"/>
  <c r="E124" i="7"/>
  <c r="C154" i="12"/>
  <c r="C99" i="12"/>
  <c r="I2631" i="42"/>
  <c r="H134" i="7"/>
  <c r="I134" i="7" s="1"/>
  <c r="I2174" i="42"/>
  <c r="F79" i="12"/>
  <c r="I79" i="12" s="1"/>
  <c r="I1207" i="42" s="1"/>
  <c r="J1207" i="42" s="1"/>
  <c r="I1208" i="42" s="1"/>
  <c r="J1208" i="42" s="1"/>
  <c r="G2297" i="98"/>
  <c r="G2318" i="98"/>
  <c r="C3164" i="98"/>
  <c r="G3089" i="98"/>
  <c r="G3067" i="98"/>
  <c r="D2987" i="98"/>
  <c r="H2179" i="42"/>
  <c r="G674" i="103" s="1"/>
  <c r="H1868" i="42"/>
  <c r="E2177" i="98"/>
  <c r="F1522" i="42"/>
  <c r="G2165" i="98"/>
  <c r="G2150" i="98"/>
  <c r="G2149" i="98"/>
  <c r="G2147" i="98"/>
  <c r="G2146" i="98"/>
  <c r="C2107" i="98"/>
  <c r="C1800" i="98"/>
  <c r="C1669" i="98"/>
  <c r="C1482" i="98"/>
  <c r="C1066" i="98"/>
  <c r="C661" i="98"/>
  <c r="C455" i="98"/>
  <c r="G388" i="98"/>
  <c r="C363" i="98"/>
  <c r="G293" i="98"/>
  <c r="C287" i="98"/>
  <c r="G236" i="98"/>
  <c r="C217" i="98"/>
  <c r="G185" i="98"/>
  <c r="G182" i="98"/>
  <c r="Z720" i="66"/>
  <c r="I744" i="42"/>
  <c r="J744" i="42" s="1"/>
  <c r="I753" i="42"/>
  <c r="J753" i="42" s="1"/>
  <c r="I2923" i="42"/>
  <c r="J2923" i="42" s="1"/>
  <c r="J2922" i="42" s="1"/>
  <c r="K2921" i="42" s="1"/>
  <c r="I2357" i="42"/>
  <c r="J2357" i="42" s="1"/>
  <c r="J2356" i="42" s="1"/>
  <c r="K2355" i="42" s="1"/>
  <c r="I499" i="42"/>
  <c r="J499" i="42" s="1"/>
  <c r="I128" i="7"/>
  <c r="I87" i="7"/>
  <c r="I104" i="7"/>
  <c r="I2500" i="42"/>
  <c r="J2500" i="42" s="1"/>
  <c r="I2514" i="42"/>
  <c r="J2514" i="42" s="1"/>
  <c r="G311" i="98"/>
  <c r="G346" i="98"/>
  <c r="G352" i="98"/>
  <c r="D2488" i="98"/>
  <c r="H1869" i="42"/>
  <c r="H2776" i="42"/>
  <c r="F203" i="12"/>
  <c r="I203" i="12" s="1"/>
  <c r="I1638" i="42"/>
  <c r="J1638" i="42" s="1"/>
  <c r="I2567" i="42"/>
  <c r="J2567" i="42" s="1"/>
  <c r="G2529" i="98"/>
  <c r="I762" i="42"/>
  <c r="J762" i="42" s="1"/>
  <c r="I57" i="7"/>
  <c r="C2923" i="98"/>
  <c r="C890" i="98"/>
  <c r="G2826" i="98"/>
  <c r="G2687" i="98"/>
  <c r="P630" i="66"/>
  <c r="P477" i="66"/>
  <c r="P127" i="66"/>
  <c r="I3235" i="42"/>
  <c r="J3235" i="42" s="1"/>
  <c r="F52" i="12"/>
  <c r="I52" i="12"/>
  <c r="J47" i="58"/>
  <c r="G289" i="98"/>
  <c r="G291" i="98"/>
  <c r="G328" i="98"/>
  <c r="I2881" i="42"/>
  <c r="J2881" i="42" s="1"/>
  <c r="J2880" i="42" s="1"/>
  <c r="K2879" i="42" s="1"/>
  <c r="C2402" i="98"/>
  <c r="G2404" i="98"/>
  <c r="G2406" i="98"/>
  <c r="C2424" i="98"/>
  <c r="C2473" i="98"/>
  <c r="C3244" i="98"/>
  <c r="G1963" i="98"/>
  <c r="G1965" i="98"/>
  <c r="B3310" i="98"/>
  <c r="B3308" i="98"/>
  <c r="B3306" i="98"/>
  <c r="B3304" i="98"/>
  <c r="B3291" i="98"/>
  <c r="B3279" i="98"/>
  <c r="B3267" i="98"/>
  <c r="B3265" i="98"/>
  <c r="B3263" i="98"/>
  <c r="B3261" i="98"/>
  <c r="B3259" i="98"/>
  <c r="B3247" i="98"/>
  <c r="B3245" i="98"/>
  <c r="B3233" i="98"/>
  <c r="B3231" i="98"/>
  <c r="B3219" i="98"/>
  <c r="B3217" i="98"/>
  <c r="B3205" i="98"/>
  <c r="B3203" i="98"/>
  <c r="B3201" i="98"/>
  <c r="B3190" i="98"/>
  <c r="B3188" i="98"/>
  <c r="B3186" i="98"/>
  <c r="B3184" i="98"/>
  <c r="B3182" i="98"/>
  <c r="B3170" i="98"/>
  <c r="B3168" i="98"/>
  <c r="B3166" i="98"/>
  <c r="B3153" i="98"/>
  <c r="B3141" i="98"/>
  <c r="B3130" i="98"/>
  <c r="B3128" i="98"/>
  <c r="B3068" i="98"/>
  <c r="B3066" i="98"/>
  <c r="B3064" i="98"/>
  <c r="B3062" i="98"/>
  <c r="B3060" i="98"/>
  <c r="B3058" i="98"/>
  <c r="B3046" i="98"/>
  <c r="B3034" i="98"/>
  <c r="B3022" i="98"/>
  <c r="B3020" i="98"/>
  <c r="B3018" i="98"/>
  <c r="B3016" i="98"/>
  <c r="B3014" i="98"/>
  <c r="B2988" i="98"/>
  <c r="B2986" i="98"/>
  <c r="B2984" i="98"/>
  <c r="B2972" i="98"/>
  <c r="B2960" i="98"/>
  <c r="B2958" i="98"/>
  <c r="B2945" i="98"/>
  <c r="B2943" i="98"/>
  <c r="B2940" i="98"/>
  <c r="B2938" i="98"/>
  <c r="B2927" i="98"/>
  <c r="B2925" i="98"/>
  <c r="B2913" i="98"/>
  <c r="B2911" i="98"/>
  <c r="B2899" i="98"/>
  <c r="B2897" i="98"/>
  <c r="B2885" i="98"/>
  <c r="B2883" i="98"/>
  <c r="B926" i="98"/>
  <c r="B924" i="98"/>
  <c r="B922" i="98"/>
  <c r="B920" i="98"/>
  <c r="B918" i="98"/>
  <c r="B916" i="98"/>
  <c r="B914" i="98"/>
  <c r="B902" i="98"/>
  <c r="B900" i="98"/>
  <c r="B898" i="98"/>
  <c r="B896" i="98"/>
  <c r="B894" i="98"/>
  <c r="B892" i="98"/>
  <c r="B2870" i="98"/>
  <c r="B2868" i="98"/>
  <c r="B2866" i="98"/>
  <c r="B2864" i="98"/>
  <c r="B2852" i="98"/>
  <c r="B2850" i="98"/>
  <c r="B2848" i="98"/>
  <c r="B2846" i="98"/>
  <c r="B2844" i="98"/>
  <c r="B2833" i="98"/>
  <c r="B2831" i="98"/>
  <c r="B2829" i="98"/>
  <c r="B2827" i="98"/>
  <c r="B2825" i="98"/>
  <c r="B2813" i="98"/>
  <c r="B2811" i="98"/>
  <c r="B2809" i="98"/>
  <c r="B2807" i="98"/>
  <c r="B2794" i="98"/>
  <c r="B2782" i="98"/>
  <c r="B2770" i="98"/>
  <c r="B2758" i="98"/>
  <c r="B2746" i="98"/>
  <c r="B2734" i="98"/>
  <c r="B2722" i="98"/>
  <c r="B2710" i="98"/>
  <c r="B2698" i="98"/>
  <c r="B2686" i="98"/>
  <c r="B2674" i="98"/>
  <c r="B2672" i="98"/>
  <c r="B2670" i="98"/>
  <c r="B2668" i="98"/>
  <c r="B2656" i="98"/>
  <c r="B2643" i="98"/>
  <c r="B2641" i="98"/>
  <c r="B2628" i="98"/>
  <c r="B2626" i="98"/>
  <c r="B2624" i="98"/>
  <c r="B2622" i="98"/>
  <c r="B2620" i="98"/>
  <c r="B2552" i="98"/>
  <c r="B2550" i="98"/>
  <c r="B2539" i="98"/>
  <c r="B2537" i="98"/>
  <c r="B2535" i="98"/>
  <c r="B2533" i="98"/>
  <c r="B2531" i="98"/>
  <c r="B2529" i="98"/>
  <c r="B2517" i="98"/>
  <c r="B2515" i="98"/>
  <c r="B2513" i="98"/>
  <c r="B2511" i="98"/>
  <c r="B2509" i="98"/>
  <c r="B2507" i="98"/>
  <c r="B2495" i="98"/>
  <c r="B2493" i="98"/>
  <c r="B2491" i="98"/>
  <c r="B2489" i="98"/>
  <c r="B2487" i="98"/>
  <c r="B2476" i="98"/>
  <c r="B2474" i="98"/>
  <c r="B2462" i="98"/>
  <c r="B2450" i="98"/>
  <c r="B2448" i="98"/>
  <c r="B2446" i="98"/>
  <c r="B2444" i="98"/>
  <c r="B2442" i="98"/>
  <c r="B2430" i="98"/>
  <c r="B2428" i="98"/>
  <c r="B2426" i="98"/>
  <c r="B2414" i="98"/>
  <c r="B2412" i="98"/>
  <c r="B2410" i="98"/>
  <c r="B2408" i="98"/>
  <c r="B2406" i="98"/>
  <c r="B2404" i="98"/>
  <c r="B2392" i="98"/>
  <c r="B2390" i="98"/>
  <c r="B2388" i="98"/>
  <c r="B2386" i="98"/>
  <c r="B2384" i="98"/>
  <c r="B2382" i="98"/>
  <c r="B2370" i="98"/>
  <c r="B2368" i="98"/>
  <c r="B2366" i="98"/>
  <c r="B2354" i="98"/>
  <c r="B2352" i="98"/>
  <c r="B2340" i="98"/>
  <c r="B2338" i="98"/>
  <c r="B2326" i="98"/>
  <c r="B2324" i="98"/>
  <c r="B2322" i="98"/>
  <c r="B2320" i="98"/>
  <c r="B2318" i="98"/>
  <c r="B2316" i="98"/>
  <c r="B2304" i="98"/>
  <c r="B2302" i="98"/>
  <c r="B2300" i="98"/>
  <c r="B2298" i="98"/>
  <c r="B2296" i="98"/>
  <c r="B2294" i="98"/>
  <c r="B2282" i="98"/>
  <c r="B2280" i="98"/>
  <c r="B2278" i="98"/>
  <c r="B2266" i="98"/>
  <c r="B2264" i="98"/>
  <c r="B2262" i="98"/>
  <c r="B2260" i="98"/>
  <c r="B2258" i="98"/>
  <c r="B2256" i="98"/>
  <c r="B2254" i="98"/>
  <c r="B2242" i="98"/>
  <c r="B2240" i="98"/>
  <c r="B2238" i="98"/>
  <c r="B2236" i="98"/>
  <c r="B2234" i="98"/>
  <c r="B2232" i="98"/>
  <c r="B2208" i="98"/>
  <c r="B2206" i="98"/>
  <c r="B2194" i="98"/>
  <c r="B2182" i="98"/>
  <c r="B2180" i="98"/>
  <c r="B2178" i="98"/>
  <c r="B2176" i="98"/>
  <c r="B2165" i="98"/>
  <c r="B2153" i="98"/>
  <c r="B2151" i="98"/>
  <c r="B2150" i="98"/>
  <c r="B2148" i="98"/>
  <c r="B2146" i="98"/>
  <c r="B2145" i="98"/>
  <c r="B2133" i="98"/>
  <c r="B2131" i="98"/>
  <c r="B2129" i="98"/>
  <c r="B2127" i="98"/>
  <c r="B2125" i="98"/>
  <c r="B2113" i="98"/>
  <c r="B2111" i="98"/>
  <c r="B2109" i="98"/>
  <c r="B2079" i="98"/>
  <c r="B2077" i="98"/>
  <c r="B2075" i="98"/>
  <c r="B2073" i="98"/>
  <c r="B2061" i="98"/>
  <c r="B2059" i="98"/>
  <c r="B2047" i="98"/>
  <c r="B2045" i="98"/>
  <c r="B2043" i="98"/>
  <c r="B2041" i="98"/>
  <c r="B2039" i="98"/>
  <c r="B2037" i="98"/>
  <c r="B2035" i="98"/>
  <c r="B2023" i="98"/>
  <c r="B2021" i="98"/>
  <c r="B2019" i="98"/>
  <c r="B2017" i="98"/>
  <c r="B2005" i="98"/>
  <c r="B2003" i="98"/>
  <c r="B2001" i="98"/>
  <c r="B1977" i="98"/>
  <c r="B1975" i="98"/>
  <c r="B1973" i="98"/>
  <c r="B1971" i="98"/>
  <c r="B1969" i="98"/>
  <c r="B1966" i="98"/>
  <c r="B1965" i="98"/>
  <c r="B1964" i="98"/>
  <c r="B1963" i="98"/>
  <c r="B1950" i="98"/>
  <c r="B1948" i="98"/>
  <c r="B1946" i="98"/>
  <c r="B1944" i="98"/>
  <c r="B1932" i="98"/>
  <c r="B1930" i="98"/>
  <c r="B1928" i="98"/>
  <c r="B1916" i="98"/>
  <c r="B1914" i="98"/>
  <c r="B1890" i="98"/>
  <c r="B1888" i="98"/>
  <c r="B1886" i="98"/>
  <c r="B1874" i="98"/>
  <c r="B1872" i="98"/>
  <c r="B1870" i="98"/>
  <c r="B1858" i="98"/>
  <c r="B1856" i="98"/>
  <c r="B1844" i="98"/>
  <c r="B1842" i="98"/>
  <c r="B1840" i="98"/>
  <c r="B1829" i="98"/>
  <c r="B1827" i="98"/>
  <c r="B1825" i="98"/>
  <c r="B1823" i="98"/>
  <c r="B1812" i="98"/>
  <c r="B1810" i="98"/>
  <c r="B1808" i="98"/>
  <c r="B1807" i="98"/>
  <c r="B1805" i="98"/>
  <c r="B1802" i="98"/>
  <c r="B1790" i="98"/>
  <c r="B1788" i="98"/>
  <c r="B1786" i="98"/>
  <c r="B1774" i="98"/>
  <c r="B1772" i="98"/>
  <c r="B1770" i="98"/>
  <c r="B1768" i="98"/>
  <c r="B1756" i="98"/>
  <c r="B1754" i="98"/>
  <c r="B1752" i="98"/>
  <c r="B1750" i="98"/>
  <c r="B1738" i="98"/>
  <c r="B1726" i="98"/>
  <c r="B1724" i="98"/>
  <c r="B1722" i="98"/>
  <c r="B1710" i="98"/>
  <c r="B1708" i="98"/>
  <c r="B1706" i="98"/>
  <c r="B1704" i="98"/>
  <c r="B1702" i="98"/>
  <c r="B1700" i="98"/>
  <c r="B1698" i="98"/>
  <c r="B1696" i="98"/>
  <c r="B1694" i="98"/>
  <c r="B1692" i="98"/>
  <c r="B1690" i="98"/>
  <c r="B1688" i="98"/>
  <c r="B1686" i="98"/>
  <c r="B1685" i="98"/>
  <c r="B1673" i="98"/>
  <c r="B1671" i="98"/>
  <c r="B1659" i="98"/>
  <c r="B1647" i="98"/>
  <c r="B1645" i="98"/>
  <c r="B1622" i="98"/>
  <c r="B1620" i="98"/>
  <c r="B1618" i="98"/>
  <c r="B1616" i="98"/>
  <c r="B1614" i="98"/>
  <c r="B1602" i="98"/>
  <c r="B1600" i="98"/>
  <c r="B1598" i="98"/>
  <c r="B1586" i="98"/>
  <c r="B1584" i="98"/>
  <c r="B1582" i="98"/>
  <c r="B1570" i="98"/>
  <c r="B1568" i="98"/>
  <c r="B1566" i="98"/>
  <c r="B1564" i="98"/>
  <c r="B1562" i="98"/>
  <c r="B1550" i="98"/>
  <c r="B1548" i="98"/>
  <c r="B1546" i="98"/>
  <c r="B1544" i="98"/>
  <c r="B1542" i="98"/>
  <c r="B1530" i="98"/>
  <c r="B1528" i="98"/>
  <c r="B1526" i="98"/>
  <c r="B1524" i="98"/>
  <c r="B1522" i="98"/>
  <c r="B1510" i="98"/>
  <c r="B1508" i="98"/>
  <c r="B1506" i="98"/>
  <c r="B1504" i="98"/>
  <c r="B1492" i="98"/>
  <c r="B1490" i="98"/>
  <c r="B1488" i="98"/>
  <c r="B1486" i="98"/>
  <c r="B1484" i="98"/>
  <c r="B1472" i="98"/>
  <c r="B1470" i="98"/>
  <c r="B1468" i="98"/>
  <c r="B1466" i="98"/>
  <c r="B1454" i="98"/>
  <c r="B1452" i="98"/>
  <c r="B1450" i="98"/>
  <c r="B1438" i="98"/>
  <c r="B1436" i="98"/>
  <c r="B1434" i="98"/>
  <c r="B1432" i="98"/>
  <c r="B1420" i="98"/>
  <c r="B1418" i="98"/>
  <c r="B1416" i="98"/>
  <c r="B1414" i="98"/>
  <c r="B1402" i="98"/>
  <c r="B1400" i="98"/>
  <c r="B1386" i="98"/>
  <c r="B1384" i="98"/>
  <c r="B1382" i="98"/>
  <c r="B1370" i="98"/>
  <c r="B1368" i="98"/>
  <c r="B1357" i="98"/>
  <c r="B1355" i="98"/>
  <c r="B1353" i="98"/>
  <c r="B1341" i="98"/>
  <c r="B1339" i="98"/>
  <c r="B1337" i="98"/>
  <c r="B1335" i="98"/>
  <c r="B1333" i="98"/>
  <c r="B1331" i="98"/>
  <c r="B1319" i="98"/>
  <c r="B1317" i="98"/>
  <c r="B1315" i="98"/>
  <c r="B1313" i="98"/>
  <c r="B1311" i="98"/>
  <c r="B1299" i="98"/>
  <c r="B1297" i="98"/>
  <c r="B1295" i="98"/>
  <c r="B1293" i="98"/>
  <c r="B1291" i="98"/>
  <c r="B1289" i="98"/>
  <c r="B1277" i="98"/>
  <c r="B1275" i="98"/>
  <c r="B1273" i="98"/>
  <c r="B1228" i="98"/>
  <c r="B1187" i="98"/>
  <c r="B1185" i="98"/>
  <c r="B1173" i="98"/>
  <c r="B1171" i="98"/>
  <c r="B1169" i="98"/>
  <c r="B1167" i="98"/>
  <c r="B1165" i="98"/>
  <c r="B1163" i="98"/>
  <c r="B1131" i="98"/>
  <c r="B1129" i="98"/>
  <c r="B1127" i="98"/>
  <c r="B1125" i="98"/>
  <c r="B1123" i="98"/>
  <c r="B1121" i="98"/>
  <c r="B1109" i="98"/>
  <c r="B1107" i="98"/>
  <c r="B1105" i="98"/>
  <c r="B1103" i="98"/>
  <c r="B1091" i="98"/>
  <c r="B1089" i="98"/>
  <c r="B1087" i="98"/>
  <c r="B1085" i="98"/>
  <c r="B1073" i="98"/>
  <c r="B1071" i="98"/>
  <c r="B1069" i="98"/>
  <c r="B1067" i="98"/>
  <c r="B1029" i="98"/>
  <c r="B1027" i="98"/>
  <c r="B1025" i="98"/>
  <c r="B1023" i="98"/>
  <c r="B1021" i="98"/>
  <c r="B1019" i="98"/>
  <c r="B1017" i="98"/>
  <c r="B1015" i="98"/>
  <c r="B1013" i="98"/>
  <c r="B975" i="98"/>
  <c r="B973" i="98"/>
  <c r="B971" i="98"/>
  <c r="B969" i="98"/>
  <c r="B967" i="98"/>
  <c r="B965" i="98"/>
  <c r="B963" i="98"/>
  <c r="B961" i="98"/>
  <c r="B949" i="98"/>
  <c r="B947" i="98"/>
  <c r="B945" i="98"/>
  <c r="B943" i="98"/>
  <c r="B941" i="98"/>
  <c r="B939" i="98"/>
  <c r="B937" i="98"/>
  <c r="B879" i="98"/>
  <c r="B877" i="98"/>
  <c r="B875" i="98"/>
  <c r="B873" i="98"/>
  <c r="B871" i="98"/>
  <c r="B869" i="98"/>
  <c r="B867" i="98"/>
  <c r="B833" i="98"/>
  <c r="B831" i="98"/>
  <c r="B829" i="98"/>
  <c r="B827" i="98"/>
  <c r="B825" i="98"/>
  <c r="B823" i="98"/>
  <c r="B789" i="98"/>
  <c r="B787" i="98"/>
  <c r="B785" i="98"/>
  <c r="B783" i="98"/>
  <c r="B751" i="98"/>
  <c r="B749" i="98"/>
  <c r="B747" i="98"/>
  <c r="B745" i="98"/>
  <c r="B743" i="98"/>
  <c r="B731" i="98"/>
  <c r="B729" i="98"/>
  <c r="B727" i="98"/>
  <c r="B725" i="98"/>
  <c r="B723" i="98"/>
  <c r="B669" i="98"/>
  <c r="B667" i="98"/>
  <c r="B665" i="98"/>
  <c r="B663" i="98"/>
  <c r="B650" i="98"/>
  <c r="B648" i="98"/>
  <c r="B646" i="98"/>
  <c r="B634" i="98"/>
  <c r="B632" i="98"/>
  <c r="B630" i="98"/>
  <c r="B618" i="98"/>
  <c r="B616" i="98"/>
  <c r="B604" i="98"/>
  <c r="B602" i="98"/>
  <c r="B600" i="98"/>
  <c r="B598" i="98"/>
  <c r="B586" i="98"/>
  <c r="B584" i="98"/>
  <c r="B582" i="98"/>
  <c r="B580" i="98"/>
  <c r="B568" i="98"/>
  <c r="B566" i="98"/>
  <c r="B564" i="98"/>
  <c r="B562" i="98"/>
  <c r="B549" i="98"/>
  <c r="B547" i="98"/>
  <c r="B545" i="98"/>
  <c r="B532" i="98"/>
  <c r="B530" i="98"/>
  <c r="B528" i="98"/>
  <c r="B526" i="98"/>
  <c r="B514" i="98"/>
  <c r="B511" i="98"/>
  <c r="B498" i="98"/>
  <c r="B495" i="98"/>
  <c r="B483" i="98"/>
  <c r="B481" i="98"/>
  <c r="B479" i="98"/>
  <c r="B477" i="98"/>
  <c r="B465" i="98"/>
  <c r="B463" i="98"/>
  <c r="B461" i="98"/>
  <c r="B459" i="98"/>
  <c r="B457" i="98"/>
  <c r="B445" i="98"/>
  <c r="B443" i="98"/>
  <c r="B441" i="98"/>
  <c r="B439" i="98"/>
  <c r="B437" i="98"/>
  <c r="B425" i="98"/>
  <c r="B423" i="98"/>
  <c r="B421" i="98"/>
  <c r="B419" i="98"/>
  <c r="B417" i="98"/>
  <c r="B389" i="98"/>
  <c r="B387" i="98"/>
  <c r="B384" i="98"/>
  <c r="B371" i="98"/>
  <c r="B369" i="98"/>
  <c r="B366" i="98"/>
  <c r="B364" i="98"/>
  <c r="B352" i="98"/>
  <c r="B350" i="98"/>
  <c r="B348" i="98"/>
  <c r="B346" i="98"/>
  <c r="B333" i="98"/>
  <c r="B331" i="98"/>
  <c r="B329" i="98"/>
  <c r="B327" i="98"/>
  <c r="B315" i="98"/>
  <c r="B313" i="98"/>
  <c r="B311" i="98"/>
  <c r="B309" i="98"/>
  <c r="B307" i="98"/>
  <c r="B296" i="98"/>
  <c r="B294" i="98"/>
  <c r="B292" i="98"/>
  <c r="B290" i="98"/>
  <c r="B288" i="98"/>
  <c r="B262" i="98"/>
  <c r="B260" i="98"/>
  <c r="B258" i="98"/>
  <c r="B246" i="98"/>
  <c r="B244" i="98"/>
  <c r="B242" i="98"/>
  <c r="B240" i="98"/>
  <c r="B238" i="98"/>
  <c r="B236" i="98"/>
  <c r="B223" i="98"/>
  <c r="B220" i="98"/>
  <c r="B218" i="98"/>
  <c r="B207" i="98"/>
  <c r="B205" i="98"/>
  <c r="B203" i="98"/>
  <c r="B202" i="98"/>
  <c r="B200" i="98"/>
  <c r="B198" i="98"/>
  <c r="B196" i="98"/>
  <c r="B184" i="98"/>
  <c r="B182" i="98"/>
  <c r="B169" i="98"/>
  <c r="B167" i="98"/>
  <c r="B155" i="98"/>
  <c r="B153" i="98"/>
  <c r="B141" i="98"/>
  <c r="B129" i="98"/>
  <c r="B127" i="98"/>
  <c r="B125" i="98"/>
  <c r="B123" i="98"/>
  <c r="B121" i="98"/>
  <c r="B119" i="98"/>
  <c r="B117" i="98"/>
  <c r="B106" i="98"/>
  <c r="B104" i="98"/>
  <c r="B102" i="98"/>
  <c r="B90" i="98"/>
  <c r="B88" i="98"/>
  <c r="B86" i="98"/>
  <c r="B84" i="98"/>
  <c r="B82" i="98"/>
  <c r="B70" i="98"/>
  <c r="B68" i="98"/>
  <c r="B66" i="98"/>
  <c r="B64" i="98"/>
  <c r="B52" i="98"/>
  <c r="B51" i="98"/>
  <c r="B49" i="98"/>
  <c r="B47" i="98"/>
  <c r="B1215" i="98"/>
  <c r="B1213" i="98"/>
  <c r="B1201" i="98"/>
  <c r="B1199" i="98"/>
  <c r="B1272" i="98"/>
  <c r="B1270" i="98"/>
  <c r="B1268" i="98"/>
  <c r="B1256" i="98"/>
  <c r="B1254" i="98"/>
  <c r="B1242" i="98"/>
  <c r="B1240" i="98"/>
  <c r="B2563" i="98"/>
  <c r="B2579" i="98"/>
  <c r="B2577" i="98"/>
  <c r="B2575" i="98"/>
  <c r="B3322" i="98"/>
  <c r="B3334" i="98"/>
  <c r="B3336" i="98"/>
  <c r="B3338" i="98"/>
  <c r="B3340" i="98"/>
  <c r="B3342" i="98"/>
  <c r="B3344" i="98"/>
  <c r="B3346" i="98"/>
  <c r="B3358" i="98"/>
  <c r="B3360" i="98"/>
  <c r="B3362" i="98"/>
  <c r="B3364" i="98"/>
  <c r="D3358" i="98"/>
  <c r="G3377" i="98"/>
  <c r="B3376" i="98"/>
  <c r="G2383" i="98"/>
  <c r="G3060" i="98"/>
  <c r="G3081" i="98"/>
  <c r="C2218" i="98"/>
  <c r="B2221" i="98"/>
  <c r="G2505" i="98"/>
  <c r="G2527" i="98"/>
  <c r="G2233" i="98"/>
  <c r="G3103" i="98"/>
  <c r="G3104" i="98"/>
  <c r="G3116" i="98"/>
  <c r="G3117" i="98"/>
  <c r="B3117" i="98"/>
  <c r="B3115" i="98"/>
  <c r="B3103" i="98"/>
  <c r="B3091" i="98"/>
  <c r="B3089" i="98"/>
  <c r="B3087" i="98"/>
  <c r="B3085" i="98"/>
  <c r="B3083" i="98"/>
  <c r="B3081" i="98"/>
  <c r="G2315" i="98"/>
  <c r="G459" i="98"/>
  <c r="T477" i="66"/>
  <c r="Y477" i="66" s="1"/>
  <c r="G3087" i="98"/>
  <c r="G2539" i="98"/>
  <c r="G2517" i="98"/>
  <c r="G2515" i="98"/>
  <c r="G2449" i="98"/>
  <c r="G2242" i="98"/>
  <c r="G2239" i="98"/>
  <c r="C1839" i="98"/>
  <c r="C560" i="98"/>
  <c r="G331" i="98"/>
  <c r="B12" i="98"/>
  <c r="T792" i="66"/>
  <c r="Y792" i="66" s="1"/>
  <c r="T545" i="66"/>
  <c r="Y545" i="66" s="1"/>
  <c r="T173" i="66"/>
  <c r="Y173" i="66" s="1"/>
  <c r="G290" i="98"/>
  <c r="G329" i="98"/>
  <c r="K12" i="84"/>
  <c r="H1227" i="98" s="1"/>
  <c r="K26" i="84"/>
  <c r="F149" i="102" s="1"/>
  <c r="I149" i="102" s="1"/>
  <c r="K8" i="84"/>
  <c r="K14" i="84"/>
  <c r="G309" i="98"/>
  <c r="G313" i="98"/>
  <c r="G2304" i="98"/>
  <c r="F3254" i="42"/>
  <c r="C239" i="12"/>
  <c r="C199" i="12"/>
  <c r="C143" i="12"/>
  <c r="G2391" i="98"/>
  <c r="G2405" i="98"/>
  <c r="G2413" i="98"/>
  <c r="G2427" i="98"/>
  <c r="G2428" i="98"/>
  <c r="C2909" i="98"/>
  <c r="G1964" i="98"/>
  <c r="G1967" i="98"/>
  <c r="B3309" i="98"/>
  <c r="B3307" i="98"/>
  <c r="B3305" i="98"/>
  <c r="B3303" i="98"/>
  <c r="B3292" i="98"/>
  <c r="B3280" i="98"/>
  <c r="B3278" i="98"/>
  <c r="B3266" i="98"/>
  <c r="B3264" i="98"/>
  <c r="B3262" i="98"/>
  <c r="B3260" i="98"/>
  <c r="B3248" i="98"/>
  <c r="B3246" i="98"/>
  <c r="B3234" i="98"/>
  <c r="B3232" i="98"/>
  <c r="B3220" i="98"/>
  <c r="B3218" i="98"/>
  <c r="B3206" i="98"/>
  <c r="B3204" i="98"/>
  <c r="B3202" i="98"/>
  <c r="B3189" i="98"/>
  <c r="B3187" i="98"/>
  <c r="B3185" i="98"/>
  <c r="B3183" i="98"/>
  <c r="B3181" i="98"/>
  <c r="B3169" i="98"/>
  <c r="B3167" i="98"/>
  <c r="B3165" i="98"/>
  <c r="B3154" i="98"/>
  <c r="B3142" i="98"/>
  <c r="B3129" i="98"/>
  <c r="B3069" i="98"/>
  <c r="B3067" i="98"/>
  <c r="B3065" i="98"/>
  <c r="B3063" i="98"/>
  <c r="B3061" i="98"/>
  <c r="B3059" i="98"/>
  <c r="B3047" i="98"/>
  <c r="B3035" i="98"/>
  <c r="B3023" i="98"/>
  <c r="B3021" i="98"/>
  <c r="B3019" i="98"/>
  <c r="B3017" i="98"/>
  <c r="B3015" i="98"/>
  <c r="B3013" i="98"/>
  <c r="B2987" i="98"/>
  <c r="B2985" i="98"/>
  <c r="B2973" i="98"/>
  <c r="B2971" i="98"/>
  <c r="B2959" i="98"/>
  <c r="B2957" i="98"/>
  <c r="B2946" i="98"/>
  <c r="B2944" i="98"/>
  <c r="B2942" i="98"/>
  <c r="B2941" i="98"/>
  <c r="B2939" i="98"/>
  <c r="B2926" i="98"/>
  <c r="B2924" i="98"/>
  <c r="B2912" i="98"/>
  <c r="B2910" i="98"/>
  <c r="B2898" i="98"/>
  <c r="B2896" i="98"/>
  <c r="B2884" i="98"/>
  <c r="B2882" i="98"/>
  <c r="B925" i="98"/>
  <c r="B923" i="98"/>
  <c r="B921" i="98"/>
  <c r="B919" i="98"/>
  <c r="B917" i="98"/>
  <c r="B915" i="98"/>
  <c r="B913" i="98"/>
  <c r="B901" i="98"/>
  <c r="B899" i="98"/>
  <c r="B897" i="98"/>
  <c r="B895" i="98"/>
  <c r="B893" i="98"/>
  <c r="B891" i="98"/>
  <c r="B2871" i="98"/>
  <c r="B2869" i="98"/>
  <c r="B2867" i="98"/>
  <c r="B2865" i="98"/>
  <c r="B2863" i="98"/>
  <c r="B2851" i="98"/>
  <c r="B2849" i="98"/>
  <c r="B2847" i="98"/>
  <c r="B2845" i="98"/>
  <c r="B2832" i="98"/>
  <c r="B2830" i="98"/>
  <c r="B2828" i="98"/>
  <c r="B2826" i="98"/>
  <c r="B2814" i="98"/>
  <c r="B2812" i="98"/>
  <c r="B2810" i="98"/>
  <c r="B2808" i="98"/>
  <c r="B2806" i="98"/>
  <c r="B2795" i="98"/>
  <c r="B2783" i="98"/>
  <c r="B2771" i="98"/>
  <c r="B2759" i="98"/>
  <c r="B2747" i="98"/>
  <c r="B2735" i="98"/>
  <c r="B2723" i="98"/>
  <c r="B2711" i="98"/>
  <c r="B2699" i="98"/>
  <c r="B2687" i="98"/>
  <c r="B2685" i="98"/>
  <c r="B2673" i="98"/>
  <c r="B2671" i="98"/>
  <c r="B2669" i="98"/>
  <c r="B2667" i="98"/>
  <c r="B2655" i="98"/>
  <c r="B2644" i="98"/>
  <c r="B2642" i="98"/>
  <c r="B2640" i="98"/>
  <c r="B2629" i="98"/>
  <c r="B2627" i="98"/>
  <c r="B2625" i="98"/>
  <c r="B2623" i="98"/>
  <c r="B2621" i="98"/>
  <c r="B2619" i="98"/>
  <c r="B2551" i="98"/>
  <c r="B2538" i="98"/>
  <c r="B2536" i="98"/>
  <c r="B2534" i="98"/>
  <c r="B2532" i="98"/>
  <c r="B2530" i="98"/>
  <c r="B2528" i="98"/>
  <c r="B2516" i="98"/>
  <c r="B2514" i="98"/>
  <c r="B2512" i="98"/>
  <c r="B2510" i="98"/>
  <c r="B2508" i="98"/>
  <c r="B2506" i="98"/>
  <c r="B2494" i="98"/>
  <c r="B2492" i="98"/>
  <c r="B2490" i="98"/>
  <c r="B2488" i="98"/>
  <c r="B2475" i="98"/>
  <c r="B2463" i="98"/>
  <c r="B2461" i="98"/>
  <c r="B2449" i="98"/>
  <c r="B2447" i="98"/>
  <c r="B2445" i="98"/>
  <c r="B2443" i="98"/>
  <c r="B2431" i="98"/>
  <c r="B2429" i="98"/>
  <c r="B2427" i="98"/>
  <c r="B2425" i="98"/>
  <c r="B2413" i="98"/>
  <c r="B2411" i="98"/>
  <c r="B2409" i="98"/>
  <c r="B2407" i="98"/>
  <c r="B2405" i="98"/>
  <c r="B2403" i="98"/>
  <c r="B2391" i="98"/>
  <c r="B2389" i="98"/>
  <c r="B2387" i="98"/>
  <c r="B2385" i="98"/>
  <c r="B2383" i="98"/>
  <c r="B2381" i="98"/>
  <c r="B2369" i="98"/>
  <c r="B2367" i="98"/>
  <c r="B2355" i="98"/>
  <c r="B2353" i="98"/>
  <c r="B2341" i="98"/>
  <c r="B2339" i="98"/>
  <c r="B2327" i="98"/>
  <c r="B2325" i="98"/>
  <c r="B2323" i="98"/>
  <c r="B2321" i="98"/>
  <c r="B2319" i="98"/>
  <c r="B2317" i="98"/>
  <c r="B2305" i="98"/>
  <c r="B2303" i="98"/>
  <c r="B2301" i="98"/>
  <c r="B2299" i="98"/>
  <c r="B2297" i="98"/>
  <c r="B2295" i="98"/>
  <c r="B2283" i="98"/>
  <c r="B2281" i="98"/>
  <c r="B2279" i="98"/>
  <c r="B2277" i="98"/>
  <c r="B2265" i="98"/>
  <c r="B2263" i="98"/>
  <c r="B2261" i="98"/>
  <c r="B2259" i="98"/>
  <c r="B2257" i="98"/>
  <c r="B2255" i="98"/>
  <c r="B2243" i="98"/>
  <c r="B2241" i="98"/>
  <c r="B2239" i="98"/>
  <c r="B2237" i="98"/>
  <c r="B2235" i="98"/>
  <c r="B2233" i="98"/>
  <c r="B2207" i="98"/>
  <c r="B2195" i="98"/>
  <c r="B2193" i="98"/>
  <c r="B2181" i="98"/>
  <c r="B2179" i="98"/>
  <c r="B2177" i="98"/>
  <c r="B2164" i="98"/>
  <c r="B2152" i="98"/>
  <c r="B2149" i="98"/>
  <c r="B2147" i="98"/>
  <c r="B2134" i="98"/>
  <c r="B2132" i="98"/>
  <c r="B2130" i="98"/>
  <c r="B2128" i="98"/>
  <c r="B2126" i="98"/>
  <c r="B2114" i="98"/>
  <c r="B2112" i="98"/>
  <c r="B2110" i="98"/>
  <c r="B2108" i="98"/>
  <c r="B2080" i="98"/>
  <c r="B2078" i="98"/>
  <c r="B2076" i="98"/>
  <c r="B2074" i="98"/>
  <c r="B2072" i="98"/>
  <c r="B2060" i="98"/>
  <c r="B2058" i="98"/>
  <c r="B2046" i="98"/>
  <c r="B2044" i="98"/>
  <c r="B2042" i="98"/>
  <c r="B2040" i="98"/>
  <c r="B2038" i="98"/>
  <c r="B2036" i="98"/>
  <c r="B2034" i="98"/>
  <c r="B2022" i="98"/>
  <c r="B2020" i="98"/>
  <c r="B2018" i="98"/>
  <c r="B2016" i="98"/>
  <c r="B2004" i="98"/>
  <c r="B2002" i="98"/>
  <c r="B2000" i="98"/>
  <c r="B1976" i="98"/>
  <c r="B1974" i="98"/>
  <c r="B1972" i="98"/>
  <c r="B1970" i="98"/>
  <c r="B1968" i="98"/>
  <c r="B1967" i="98"/>
  <c r="B1962" i="98"/>
  <c r="B1951" i="98"/>
  <c r="B1949" i="98"/>
  <c r="B1947" i="98"/>
  <c r="B1945" i="98"/>
  <c r="B1933" i="98"/>
  <c r="B1931" i="98"/>
  <c r="B1929" i="98"/>
  <c r="B1917" i="98"/>
  <c r="B1915" i="98"/>
  <c r="B1913" i="98"/>
  <c r="B1891" i="98"/>
  <c r="B1889" i="98"/>
  <c r="B1887" i="98"/>
  <c r="B1875" i="98"/>
  <c r="B1873" i="98"/>
  <c r="B1871" i="98"/>
  <c r="B1859" i="98"/>
  <c r="B1857" i="98"/>
  <c r="B1855" i="98"/>
  <c r="B1843" i="98"/>
  <c r="B1841" i="98"/>
  <c r="B1828" i="98"/>
  <c r="B1826" i="98"/>
  <c r="B1824" i="98"/>
  <c r="B1811" i="98"/>
  <c r="B1809" i="98"/>
  <c r="B1806" i="98"/>
  <c r="B1804" i="98"/>
  <c r="B1803" i="98"/>
  <c r="B1801" i="98"/>
  <c r="B1789" i="98"/>
  <c r="B1787" i="98"/>
  <c r="B1785" i="98"/>
  <c r="B1773" i="98"/>
  <c r="B1771" i="98"/>
  <c r="B1769" i="98"/>
  <c r="B1767" i="98"/>
  <c r="B1755" i="98"/>
  <c r="B1753" i="98"/>
  <c r="B1751" i="98"/>
  <c r="B1749" i="98"/>
  <c r="B1727" i="98"/>
  <c r="B1725" i="98"/>
  <c r="B1723" i="98"/>
  <c r="B1711" i="98"/>
  <c r="B1709" i="98"/>
  <c r="B1707" i="98"/>
  <c r="B1705" i="98"/>
  <c r="B1703" i="98"/>
  <c r="B1701" i="98"/>
  <c r="B1699" i="98"/>
  <c r="B1697" i="98"/>
  <c r="B1695" i="98"/>
  <c r="B1693" i="98"/>
  <c r="B1691" i="98"/>
  <c r="B1689" i="98"/>
  <c r="B1687" i="98"/>
  <c r="B1684" i="98"/>
  <c r="B1672" i="98"/>
  <c r="B1670" i="98"/>
  <c r="B1658" i="98"/>
  <c r="B1646" i="98"/>
  <c r="B1644" i="98"/>
  <c r="B1621" i="98"/>
  <c r="B1619" i="98"/>
  <c r="B1617" i="98"/>
  <c r="B1615" i="98"/>
  <c r="B1603" i="98"/>
  <c r="B1601" i="98"/>
  <c r="B1599" i="98"/>
  <c r="B1587" i="98"/>
  <c r="B1585" i="98"/>
  <c r="B1583" i="98"/>
  <c r="B1571" i="98"/>
  <c r="B1569" i="98"/>
  <c r="B1567" i="98"/>
  <c r="B1565" i="98"/>
  <c r="B1563" i="98"/>
  <c r="B1561" i="98"/>
  <c r="B1549" i="98"/>
  <c r="B1547" i="98"/>
  <c r="B1545" i="98"/>
  <c r="B1543" i="98"/>
  <c r="B1541" i="98"/>
  <c r="B1529" i="98"/>
  <c r="B1527" i="98"/>
  <c r="B1525" i="98"/>
  <c r="B1523" i="98"/>
  <c r="B1521" i="98"/>
  <c r="B1509" i="98"/>
  <c r="B1507" i="98"/>
  <c r="B1505" i="98"/>
  <c r="B1493" i="98"/>
  <c r="B1491" i="98"/>
  <c r="B1489" i="98"/>
  <c r="B1487" i="98"/>
  <c r="B1485" i="98"/>
  <c r="B1483" i="98"/>
  <c r="B1471" i="98"/>
  <c r="B1469" i="98"/>
  <c r="B1467" i="98"/>
  <c r="B1465" i="98"/>
  <c r="B1453" i="98"/>
  <c r="B1451" i="98"/>
  <c r="B1449" i="98"/>
  <c r="B1437" i="98"/>
  <c r="B1435" i="98"/>
  <c r="B1433" i="98"/>
  <c r="B1431" i="98"/>
  <c r="B1419" i="98"/>
  <c r="B1417" i="98"/>
  <c r="B1415" i="98"/>
  <c r="B1413" i="98"/>
  <c r="B1401" i="98"/>
  <c r="B1399" i="98"/>
  <c r="B1387" i="98"/>
  <c r="B1385" i="98"/>
  <c r="B1383" i="98"/>
  <c r="B1381" i="98"/>
  <c r="B1369" i="98"/>
  <c r="B1356" i="98"/>
  <c r="B1354" i="98"/>
  <c r="B1352" i="98"/>
  <c r="B1340" i="98"/>
  <c r="B1338" i="98"/>
  <c r="B1336" i="98"/>
  <c r="B1334" i="98"/>
  <c r="B1332" i="98"/>
  <c r="B1320" i="98"/>
  <c r="B1318" i="98"/>
  <c r="B1316" i="98"/>
  <c r="B1314" i="98"/>
  <c r="B1312" i="98"/>
  <c r="B1310" i="98"/>
  <c r="B1298" i="98"/>
  <c r="B1296" i="98"/>
  <c r="B1294" i="98"/>
  <c r="B1292" i="98"/>
  <c r="B1290" i="98"/>
  <c r="B1278" i="98"/>
  <c r="B1276" i="98"/>
  <c r="B1274" i="98"/>
  <c r="B1229" i="98"/>
  <c r="B1227" i="98"/>
  <c r="B1186" i="98"/>
  <c r="B1184" i="98"/>
  <c r="B1172" i="98"/>
  <c r="B1170" i="98"/>
  <c r="B1168" i="98"/>
  <c r="B1166" i="98"/>
  <c r="B1164" i="98"/>
  <c r="B1130" i="98"/>
  <c r="B1128" i="98"/>
  <c r="B1126" i="98"/>
  <c r="B1124" i="98"/>
  <c r="B1122" i="98"/>
  <c r="B1110" i="98"/>
  <c r="B1108" i="98"/>
  <c r="B1106" i="98"/>
  <c r="B1104" i="98"/>
  <c r="B1092" i="98"/>
  <c r="B1090" i="98"/>
  <c r="B1088" i="98"/>
  <c r="B1086" i="98"/>
  <c r="B1074" i="98"/>
  <c r="B1072" i="98"/>
  <c r="B1070" i="98"/>
  <c r="B1068" i="98"/>
  <c r="B1030" i="98"/>
  <c r="B1028" i="98"/>
  <c r="B1026" i="98"/>
  <c r="B1024" i="98"/>
  <c r="B1022" i="98"/>
  <c r="B1020" i="98"/>
  <c r="B1018" i="98"/>
  <c r="B1016" i="98"/>
  <c r="B1014" i="98"/>
  <c r="B976" i="98"/>
  <c r="B974" i="98"/>
  <c r="B972" i="98"/>
  <c r="B970" i="98"/>
  <c r="B968" i="98"/>
  <c r="B966" i="98"/>
  <c r="B964" i="98"/>
  <c r="B962" i="98"/>
  <c r="B950" i="98"/>
  <c r="B948" i="98"/>
  <c r="B946" i="98"/>
  <c r="B944" i="98"/>
  <c r="B942" i="98"/>
  <c r="B940" i="98"/>
  <c r="B938" i="98"/>
  <c r="B880" i="98"/>
  <c r="B878" i="98"/>
  <c r="B876" i="98"/>
  <c r="B874" i="98"/>
  <c r="B872" i="98"/>
  <c r="B870" i="98"/>
  <c r="B868" i="98"/>
  <c r="B866" i="98"/>
  <c r="B834" i="98"/>
  <c r="B832" i="98"/>
  <c r="B830" i="98"/>
  <c r="B828" i="98"/>
  <c r="B826" i="98"/>
  <c r="B824" i="98"/>
  <c r="B790" i="98"/>
  <c r="B788" i="98"/>
  <c r="B786" i="98"/>
  <c r="B784" i="98"/>
  <c r="B782" i="98"/>
  <c r="B752" i="98"/>
  <c r="B750" i="98"/>
  <c r="B748" i="98"/>
  <c r="B746" i="98"/>
  <c r="B744" i="98"/>
  <c r="B732" i="98"/>
  <c r="B730" i="98"/>
  <c r="B728" i="98"/>
  <c r="B726" i="98"/>
  <c r="B724" i="98"/>
  <c r="B670" i="98"/>
  <c r="B668" i="98"/>
  <c r="B666" i="98"/>
  <c r="B664" i="98"/>
  <c r="B662" i="98"/>
  <c r="B651" i="98"/>
  <c r="B649" i="98"/>
  <c r="B647" i="98"/>
  <c r="B635" i="98"/>
  <c r="B633" i="98"/>
  <c r="B631" i="98"/>
  <c r="B629" i="98"/>
  <c r="B617" i="98"/>
  <c r="B615" i="98"/>
  <c r="B603" i="98"/>
  <c r="B601" i="98"/>
  <c r="B599" i="98"/>
  <c r="B597" i="98"/>
  <c r="B585" i="98"/>
  <c r="B583" i="98"/>
  <c r="B581" i="98"/>
  <c r="B579" i="98"/>
  <c r="B567" i="98"/>
  <c r="B565" i="98"/>
  <c r="B563" i="98"/>
  <c r="B561" i="98"/>
  <c r="B550" i="98"/>
  <c r="B548" i="98"/>
  <c r="B546" i="98"/>
  <c r="B544" i="98"/>
  <c r="B533" i="98"/>
  <c r="B531" i="98"/>
  <c r="B529" i="98"/>
  <c r="B527" i="98"/>
  <c r="B515" i="98"/>
  <c r="B513" i="98"/>
  <c r="B512" i="98"/>
  <c r="B510" i="98"/>
  <c r="B499" i="98"/>
  <c r="B497" i="98"/>
  <c r="B496" i="98"/>
  <c r="B494" i="98"/>
  <c r="B482" i="98"/>
  <c r="B480" i="98"/>
  <c r="B478" i="98"/>
  <c r="B476" i="98"/>
  <c r="B464" i="98"/>
  <c r="B462" i="98"/>
  <c r="B460" i="98"/>
  <c r="B458" i="98"/>
  <c r="B456" i="98"/>
  <c r="B444" i="98"/>
  <c r="B442" i="98"/>
  <c r="B440" i="98"/>
  <c r="B438" i="98"/>
  <c r="B436" i="98"/>
  <c r="B424" i="98"/>
  <c r="B422" i="98"/>
  <c r="B420" i="98"/>
  <c r="B418" i="98"/>
  <c r="B388" i="98"/>
  <c r="B386" i="98"/>
  <c r="B385" i="98"/>
  <c r="B383" i="98"/>
  <c r="B372" i="98"/>
  <c r="B370" i="98"/>
  <c r="B368" i="98"/>
  <c r="B367" i="98"/>
  <c r="B365" i="98"/>
  <c r="B353" i="98"/>
  <c r="B351" i="98"/>
  <c r="B349" i="98"/>
  <c r="B347" i="98"/>
  <c r="B345" i="98"/>
  <c r="B334" i="98"/>
  <c r="B332" i="98"/>
  <c r="B330" i="98"/>
  <c r="B328" i="98"/>
  <c r="B326" i="98"/>
  <c r="B314" i="98"/>
  <c r="B312" i="98"/>
  <c r="B310" i="98"/>
  <c r="B308" i="98"/>
  <c r="B295" i="98"/>
  <c r="B293" i="98"/>
  <c r="B291" i="98"/>
  <c r="B289" i="98"/>
  <c r="B263" i="98"/>
  <c r="B261" i="98"/>
  <c r="B259" i="98"/>
  <c r="B247" i="98"/>
  <c r="B245" i="98"/>
  <c r="B243" i="98"/>
  <c r="B241" i="98"/>
  <c r="B239" i="98"/>
  <c r="B237" i="98"/>
  <c r="B235" i="98"/>
  <c r="B224" i="98"/>
  <c r="B222" i="98"/>
  <c r="B221" i="98"/>
  <c r="B219" i="98"/>
  <c r="B206" i="98"/>
  <c r="B204" i="98"/>
  <c r="B201" i="98"/>
  <c r="B199" i="98"/>
  <c r="B197" i="98"/>
  <c r="B185" i="98"/>
  <c r="B183" i="98"/>
  <c r="B181" i="98"/>
  <c r="B170" i="98"/>
  <c r="B168" i="98"/>
  <c r="B166" i="98"/>
  <c r="B154" i="98"/>
  <c r="B142" i="98"/>
  <c r="B140" i="98"/>
  <c r="B128" i="98"/>
  <c r="B126" i="98"/>
  <c r="B124" i="98"/>
  <c r="B122" i="98"/>
  <c r="B120" i="98"/>
  <c r="B118" i="98"/>
  <c r="B105" i="98"/>
  <c r="B103" i="98"/>
  <c r="B101" i="98"/>
  <c r="B89" i="98"/>
  <c r="B87" i="98"/>
  <c r="B85" i="98"/>
  <c r="B83" i="98"/>
  <c r="B71" i="98"/>
  <c r="B69" i="98"/>
  <c r="B67" i="98"/>
  <c r="B65" i="98"/>
  <c r="B63" i="98"/>
  <c r="B50" i="98"/>
  <c r="B48" i="98"/>
  <c r="B46" i="98"/>
  <c r="B1226" i="98"/>
  <c r="B1214" i="98"/>
  <c r="B1212" i="98"/>
  <c r="B1200" i="98"/>
  <c r="B1198" i="98"/>
  <c r="B1271" i="98"/>
  <c r="B1269" i="98"/>
  <c r="B1267" i="98"/>
  <c r="B1255" i="98"/>
  <c r="B1243" i="98"/>
  <c r="B1241" i="98"/>
  <c r="B2580" i="98"/>
  <c r="B2578" i="98"/>
  <c r="B2576" i="98"/>
  <c r="B2574" i="98"/>
  <c r="C139" i="98"/>
  <c r="C45" i="98"/>
  <c r="B3321" i="98"/>
  <c r="B3323" i="98"/>
  <c r="B3335" i="98"/>
  <c r="B3337" i="98"/>
  <c r="B3339" i="98"/>
  <c r="B3341" i="98"/>
  <c r="B3343" i="98"/>
  <c r="B3345" i="98"/>
  <c r="B3357" i="98"/>
  <c r="B3359" i="98"/>
  <c r="B3361" i="98"/>
  <c r="B3363" i="98"/>
  <c r="E3358" i="98"/>
  <c r="G3375" i="98"/>
  <c r="B3375" i="98"/>
  <c r="B3377" i="98"/>
  <c r="G2382" i="98"/>
  <c r="G2384" i="98"/>
  <c r="G3059" i="98"/>
  <c r="G3082" i="98"/>
  <c r="B2219" i="98"/>
  <c r="B2220" i="98"/>
  <c r="C3101" i="98"/>
  <c r="C3114" i="98"/>
  <c r="B3116" i="98"/>
  <c r="B3104" i="98"/>
  <c r="B3102" i="98"/>
  <c r="B3090" i="98"/>
  <c r="B3088" i="98"/>
  <c r="B3086" i="98"/>
  <c r="B3084" i="98"/>
  <c r="B3082" i="98"/>
  <c r="B3080" i="98"/>
  <c r="G2293" i="98"/>
  <c r="G463" i="98"/>
  <c r="G70" i="93"/>
  <c r="J70" i="93" s="1"/>
  <c r="M70" i="93" s="1"/>
  <c r="C61" i="93"/>
  <c r="F69" i="12"/>
  <c r="I69" i="12" s="1"/>
  <c r="C2983" i="98"/>
  <c r="H2435" i="42"/>
  <c r="H2428" i="42"/>
  <c r="H2429" i="42"/>
  <c r="C2639" i="98"/>
  <c r="F2200" i="42"/>
  <c r="C2351" i="98"/>
  <c r="F1589" i="42"/>
  <c r="C2205" i="98"/>
  <c r="B1106" i="42"/>
  <c r="C1330" i="98"/>
  <c r="C1225" i="98"/>
  <c r="C1197" i="98"/>
  <c r="F525" i="42"/>
  <c r="C416" i="98"/>
  <c r="F144" i="42"/>
  <c r="C7" i="98"/>
  <c r="B628" i="42"/>
  <c r="B724" i="42"/>
  <c r="B882" i="42"/>
  <c r="B30" i="42"/>
  <c r="B2373" i="42"/>
  <c r="P1000" i="66"/>
  <c r="Z1000" i="66"/>
  <c r="P880" i="66"/>
  <c r="P861" i="66"/>
  <c r="Z861" i="66"/>
  <c r="P856" i="66"/>
  <c r="Z800" i="66"/>
  <c r="Z688" i="66"/>
  <c r="E120" i="7"/>
  <c r="E79" i="7"/>
  <c r="Z385" i="66"/>
  <c r="Z320" i="66"/>
  <c r="Z214" i="66"/>
  <c r="P91" i="66"/>
  <c r="Z91" i="66"/>
  <c r="Y47" i="58"/>
  <c r="I406" i="42"/>
  <c r="J406" i="42" s="1"/>
  <c r="I2935" i="42"/>
  <c r="J2935" i="42" s="1"/>
  <c r="I2336" i="42"/>
  <c r="J2336" i="42" s="1"/>
  <c r="J2335" i="42" s="1"/>
  <c r="K2334" i="42" s="1"/>
  <c r="I2197" i="42"/>
  <c r="J2197" i="42" s="1"/>
  <c r="I2875" i="42"/>
  <c r="J2875" i="42" s="1"/>
  <c r="J2874" i="42" s="1"/>
  <c r="K2873" i="42" s="1"/>
  <c r="I2917" i="42"/>
  <c r="J2917" i="42" s="1"/>
  <c r="J2916" i="42" s="1"/>
  <c r="K2915" i="42" s="1"/>
  <c r="I2387" i="42"/>
  <c r="J2387" i="42" s="1"/>
  <c r="J2386" i="42" s="1"/>
  <c r="K2385" i="42" s="1"/>
  <c r="C344" i="98"/>
  <c r="I3220" i="42"/>
  <c r="J3220" i="42" s="1"/>
  <c r="J3219" i="42" s="1"/>
  <c r="K3218" i="42" s="1"/>
  <c r="Q860" i="66"/>
  <c r="Q1003" i="66"/>
  <c r="Q910" i="66"/>
  <c r="R910" i="66" s="1"/>
  <c r="Q541" i="66"/>
  <c r="Q515" i="66"/>
  <c r="Q919" i="66"/>
  <c r="Q561" i="66"/>
  <c r="Q455" i="66"/>
  <c r="Q504" i="66"/>
  <c r="Q948" i="66"/>
  <c r="J139" i="12"/>
  <c r="K139" i="12" s="1"/>
  <c r="Q815" i="66"/>
  <c r="Q314" i="66"/>
  <c r="Q84" i="66"/>
  <c r="Q750" i="66"/>
  <c r="Q226" i="66"/>
  <c r="Q698" i="66"/>
  <c r="Q265" i="66"/>
  <c r="Q267" i="66"/>
  <c r="Q644" i="66"/>
  <c r="Q47" i="66"/>
  <c r="Q289" i="66"/>
  <c r="Q458" i="66"/>
  <c r="Q839" i="66"/>
  <c r="Q716" i="66"/>
  <c r="Q353" i="66"/>
  <c r="Q46" i="66"/>
  <c r="Q129" i="66"/>
  <c r="Q736" i="66"/>
  <c r="AC736" i="66" s="1"/>
  <c r="Q530" i="66"/>
  <c r="R530" i="66" s="1"/>
  <c r="Q776" i="66"/>
  <c r="Q1010" i="66"/>
  <c r="Q586" i="66"/>
  <c r="Q1039" i="66"/>
  <c r="Q575" i="66"/>
  <c r="Q645" i="66"/>
  <c r="Q562" i="66"/>
  <c r="R562" i="66" s="1"/>
  <c r="Q968" i="66"/>
  <c r="Q189" i="66"/>
  <c r="Q286" i="66"/>
  <c r="Q809" i="66"/>
  <c r="Q359" i="66"/>
  <c r="Q86" i="66"/>
  <c r="R86" i="66" s="1"/>
  <c r="Q682" i="66"/>
  <c r="Q125" i="66"/>
  <c r="Q257" i="66"/>
  <c r="R257" i="66" s="1"/>
  <c r="Q836" i="66"/>
  <c r="Q834" i="66"/>
  <c r="Q962" i="66"/>
  <c r="Q88" i="66"/>
  <c r="Q1014" i="66"/>
  <c r="Q608" i="66"/>
  <c r="R608" i="66" s="1"/>
  <c r="Q401" i="66"/>
  <c r="Q126" i="66"/>
  <c r="Q1036" i="66"/>
  <c r="AC1036" i="66" s="1"/>
  <c r="Q188" i="66"/>
  <c r="Q213" i="66"/>
  <c r="Q602" i="66"/>
  <c r="Q409" i="66"/>
  <c r="J239" i="12"/>
  <c r="K239" i="12" s="1"/>
  <c r="Q977" i="66"/>
  <c r="Q887" i="66"/>
  <c r="AC887" i="66" s="1"/>
  <c r="Q431" i="66"/>
  <c r="Q1028" i="66"/>
  <c r="Q570" i="66"/>
  <c r="J83" i="12"/>
  <c r="K83" i="12" s="1"/>
  <c r="Q229" i="66"/>
  <c r="Q870" i="66"/>
  <c r="Q883" i="66"/>
  <c r="Q167" i="66"/>
  <c r="Q386" i="66"/>
  <c r="Q929" i="66"/>
  <c r="Q306" i="66"/>
  <c r="Q785" i="66"/>
  <c r="Q603" i="66"/>
  <c r="R603" i="66" s="1"/>
  <c r="Q797" i="66"/>
  <c r="AC797" i="66" s="1"/>
  <c r="Q928" i="66"/>
  <c r="Q379" i="66"/>
  <c r="Q331" i="66"/>
  <c r="Q137" i="66"/>
  <c r="Q656" i="66"/>
  <c r="Q983" i="66"/>
  <c r="Q984" i="66"/>
  <c r="Q944" i="66"/>
  <c r="Q424" i="66"/>
  <c r="Q1019" i="66"/>
  <c r="Q361" i="66"/>
  <c r="R361" i="66" s="1"/>
  <c r="Q816" i="66"/>
  <c r="Q712" i="66"/>
  <c r="R712" i="66" s="1"/>
  <c r="Q365" i="66"/>
  <c r="Q622" i="66"/>
  <c r="R622" i="66" s="1"/>
  <c r="Q613" i="66"/>
  <c r="Q784" i="66"/>
  <c r="Q882" i="66"/>
  <c r="Q364" i="66"/>
  <c r="R364" i="66" s="1"/>
  <c r="Q230" i="66"/>
  <c r="Q224" i="66"/>
  <c r="Q528" i="66"/>
  <c r="Q65" i="66"/>
  <c r="R65" i="66" s="1"/>
  <c r="Q606" i="66"/>
  <c r="Q538" i="66"/>
  <c r="Q349" i="66"/>
  <c r="Q536" i="66"/>
  <c r="Q740" i="66"/>
  <c r="R740" i="66" s="1"/>
  <c r="Q548" i="66"/>
  <c r="R548" i="66" s="1"/>
  <c r="Q957" i="66"/>
  <c r="Q884" i="66"/>
  <c r="AC884" i="66" s="1"/>
  <c r="Q796" i="66"/>
  <c r="Q612" i="66"/>
  <c r="Q210" i="66"/>
  <c r="Q214" i="66"/>
  <c r="R214" i="66" s="1"/>
  <c r="Q476" i="66"/>
  <c r="Q633" i="66"/>
  <c r="Q692" i="66"/>
  <c r="AC692" i="66" s="1"/>
  <c r="Q704" i="66"/>
  <c r="Q81" i="66"/>
  <c r="Q659" i="66"/>
  <c r="R659" i="66" s="1"/>
  <c r="Q202" i="66"/>
  <c r="Q588" i="66"/>
  <c r="J230" i="12"/>
  <c r="K230" i="12" s="1"/>
  <c r="Q329" i="66"/>
  <c r="Q521" i="66"/>
  <c r="R521" i="66" s="1"/>
  <c r="Q938" i="66"/>
  <c r="J103" i="12"/>
  <c r="J172" i="12"/>
  <c r="A172" i="12" s="1"/>
  <c r="J95" i="12"/>
  <c r="Q64" i="66"/>
  <c r="Q297" i="66"/>
  <c r="R297" i="66" s="1"/>
  <c r="Q190" i="66"/>
  <c r="Q954" i="66"/>
  <c r="Q216" i="66"/>
  <c r="Q620" i="66"/>
  <c r="Q373" i="66"/>
  <c r="Q54" i="66"/>
  <c r="Q578" i="66"/>
  <c r="Q825" i="66"/>
  <c r="Q991" i="66"/>
  <c r="Q626" i="66"/>
  <c r="Q395" i="66"/>
  <c r="Q854" i="66"/>
  <c r="Q959" i="66"/>
  <c r="F3146" i="42"/>
  <c r="F1347" i="42"/>
  <c r="I2887" i="42"/>
  <c r="J2887" i="42" s="1"/>
  <c r="J2886" i="42" s="1"/>
  <c r="K2885" i="42" s="1"/>
  <c r="I2893" i="42"/>
  <c r="J2893" i="42" s="1"/>
  <c r="J2892" i="42" s="1"/>
  <c r="K2891" i="42" s="1"/>
  <c r="I2905" i="42"/>
  <c r="J2905" i="42" s="1"/>
  <c r="J2904" i="42" s="1"/>
  <c r="K2903" i="42" s="1"/>
  <c r="I1220" i="42"/>
  <c r="J1220" i="42" s="1"/>
  <c r="F2304" i="42"/>
  <c r="F2283" i="42"/>
  <c r="B1469" i="42"/>
  <c r="I873" i="42"/>
  <c r="J873" i="42" s="1"/>
  <c r="P632" i="66"/>
  <c r="Z632" i="66"/>
  <c r="P532" i="66"/>
  <c r="Z532" i="66"/>
  <c r="P397" i="66"/>
  <c r="Z397" i="66"/>
  <c r="I2967" i="42"/>
  <c r="J2967" i="42" s="1"/>
  <c r="J2966" i="42" s="1"/>
  <c r="K2965" i="42" s="1"/>
  <c r="I2421" i="42"/>
  <c r="J2421" i="42" s="1"/>
  <c r="I2560" i="42"/>
  <c r="J2560" i="42" s="1"/>
  <c r="I3251" i="42"/>
  <c r="J3251" i="42" s="1"/>
  <c r="I3238" i="42"/>
  <c r="J3238" i="42" s="1"/>
  <c r="I3233" i="42"/>
  <c r="J3233" i="42" s="1"/>
  <c r="I3230" i="42"/>
  <c r="J3230" i="42" s="1"/>
  <c r="I3069" i="42"/>
  <c r="J3069" i="42" s="1"/>
  <c r="J3068" i="42" s="1"/>
  <c r="K3067" i="42" s="1"/>
  <c r="I3066" i="42"/>
  <c r="J3066" i="42" s="1"/>
  <c r="J3065" i="42" s="1"/>
  <c r="K3064" i="42" s="1"/>
  <c r="I1424" i="42"/>
  <c r="J1424" i="42" s="1"/>
  <c r="I1426" i="42" s="1"/>
  <c r="J1426" i="42" s="1"/>
  <c r="J1423" i="42" s="1"/>
  <c r="K1422" i="42" s="1"/>
  <c r="I1334" i="42"/>
  <c r="J1334" i="42" s="1"/>
  <c r="I1242" i="42"/>
  <c r="J1242" i="42" s="1"/>
  <c r="I1243" i="42" s="1"/>
  <c r="J1243" i="42" s="1"/>
  <c r="J1241" i="42" s="1"/>
  <c r="K1240" i="42" s="1"/>
  <c r="I917" i="42"/>
  <c r="J917" i="42" s="1"/>
  <c r="I957" i="42"/>
  <c r="I2632" i="42"/>
  <c r="J2632" i="42" s="1"/>
  <c r="I169" i="42"/>
  <c r="J169" i="42" s="1"/>
  <c r="I1844" i="42"/>
  <c r="J1844" i="42" s="1"/>
  <c r="I272" i="42"/>
  <c r="J272" i="42" s="1"/>
  <c r="I237" i="42"/>
  <c r="J237" i="42" s="1"/>
  <c r="I238" i="42" s="1"/>
  <c r="J238" i="42" s="1"/>
  <c r="J236" i="42" s="1"/>
  <c r="K235" i="42" s="1"/>
  <c r="I157" i="7"/>
  <c r="I133" i="7"/>
  <c r="I123" i="7"/>
  <c r="I46" i="7"/>
  <c r="I151" i="7"/>
  <c r="I92" i="7"/>
  <c r="I11" i="7"/>
  <c r="I31" i="7"/>
  <c r="I70" i="7"/>
  <c r="I82" i="7"/>
  <c r="I110" i="7"/>
  <c r="I26" i="7"/>
  <c r="I64" i="7"/>
  <c r="I98" i="7"/>
  <c r="I114" i="7"/>
  <c r="I145" i="7"/>
  <c r="I51" i="7"/>
  <c r="I139" i="7"/>
  <c r="I21" i="7"/>
  <c r="I76" i="7"/>
  <c r="I118" i="7"/>
  <c r="I36" i="7"/>
  <c r="I1374" i="42"/>
  <c r="J1374" i="42" s="1"/>
  <c r="I82" i="42"/>
  <c r="J82" i="42" s="1"/>
  <c r="I2513" i="42"/>
  <c r="J2513" i="42" s="1"/>
  <c r="I795" i="42"/>
  <c r="J795" i="42" s="1"/>
  <c r="I2685" i="42"/>
  <c r="J2685" i="42" s="1"/>
  <c r="I876" i="42"/>
  <c r="J876" i="42" s="1"/>
  <c r="I888" i="42"/>
  <c r="J888" i="42" s="1"/>
  <c r="I783" i="42"/>
  <c r="J783" i="42" s="1"/>
  <c r="I2324" i="42"/>
  <c r="J2324" i="42" s="1"/>
  <c r="I1052" i="42"/>
  <c r="J1052" i="42" s="1"/>
  <c r="I3158" i="42"/>
  <c r="J3158" i="42" s="1"/>
  <c r="I2549" i="42"/>
  <c r="J2549" i="42" s="1"/>
  <c r="I2251" i="42"/>
  <c r="J2251" i="42" s="1"/>
  <c r="I2285" i="42"/>
  <c r="J2285" i="42" s="1"/>
  <c r="I2402" i="42"/>
  <c r="J2402" i="42" s="1"/>
  <c r="I2038" i="42"/>
  <c r="J2038" i="42" s="1"/>
  <c r="I997" i="42"/>
  <c r="J997" i="42" s="1"/>
  <c r="I2403" i="42"/>
  <c r="J2403" i="42" s="1"/>
  <c r="I975" i="42"/>
  <c r="J975" i="42" s="1"/>
  <c r="T320" i="66"/>
  <c r="Y320" i="66" s="1"/>
  <c r="T45" i="66"/>
  <c r="Y45" i="66" s="1"/>
  <c r="F3168" i="42"/>
  <c r="C3258" i="98"/>
  <c r="C3200" i="98"/>
  <c r="F3043" i="42"/>
  <c r="E744" i="98"/>
  <c r="F560" i="42"/>
  <c r="F549" i="42"/>
  <c r="E724" i="98"/>
  <c r="E663" i="98"/>
  <c r="F515" i="42"/>
  <c r="E630" i="98"/>
  <c r="F490" i="42"/>
  <c r="C614" i="98"/>
  <c r="B483" i="42"/>
  <c r="T1000" i="66"/>
  <c r="Y1000" i="66" s="1"/>
  <c r="T861" i="66"/>
  <c r="Y861" i="66" s="1"/>
  <c r="P824" i="66"/>
  <c r="Z824" i="66"/>
  <c r="P821" i="66"/>
  <c r="Z821" i="66"/>
  <c r="P802" i="66"/>
  <c r="Z802" i="66"/>
  <c r="P733" i="66"/>
  <c r="Z733" i="66"/>
  <c r="P731" i="66"/>
  <c r="Z731" i="66"/>
  <c r="P696" i="66"/>
  <c r="Z696" i="66"/>
  <c r="T688" i="66"/>
  <c r="Y688" i="66" s="1"/>
  <c r="P648" i="66"/>
  <c r="Z648" i="66"/>
  <c r="P560" i="66"/>
  <c r="Z560" i="66"/>
  <c r="P491" i="66"/>
  <c r="Z491" i="66"/>
  <c r="P404" i="66"/>
  <c r="Z404" i="66"/>
  <c r="T385" i="66"/>
  <c r="Y385" i="66" s="1"/>
  <c r="Z277" i="66"/>
  <c r="T277" i="66"/>
  <c r="Y277" i="66" s="1"/>
  <c r="P166" i="66"/>
  <c r="Z166" i="66"/>
  <c r="E22" i="7"/>
  <c r="I763" i="42"/>
  <c r="J763" i="42" s="1"/>
  <c r="I772" i="42"/>
  <c r="J772" i="42" s="1"/>
  <c r="I3263" i="42"/>
  <c r="J3263" i="42" s="1"/>
  <c r="I3252" i="42"/>
  <c r="J3252" i="42" s="1"/>
  <c r="I3237" i="42"/>
  <c r="J3237" i="42" s="1"/>
  <c r="I3234" i="42"/>
  <c r="J3234" i="42" s="1"/>
  <c r="I3229" i="42"/>
  <c r="J3229" i="42" s="1"/>
  <c r="I2369" i="42"/>
  <c r="J2369" i="42" s="1"/>
  <c r="J2368" i="42" s="1"/>
  <c r="K2367" i="42" s="1"/>
  <c r="I2390" i="42"/>
  <c r="J2390" i="42" s="1"/>
  <c r="J2389" i="42" s="1"/>
  <c r="K2388" i="42" s="1"/>
  <c r="I2351" i="42"/>
  <c r="J2351" i="42" s="1"/>
  <c r="J2350" i="42" s="1"/>
  <c r="K2349" i="42" s="1"/>
  <c r="I2107" i="42"/>
  <c r="J2107" i="42" s="1"/>
  <c r="I81" i="42"/>
  <c r="J81" i="42" s="1"/>
  <c r="I1371" i="42"/>
  <c r="J1371" i="42" s="1"/>
  <c r="I232" i="42"/>
  <c r="J232" i="42" s="1"/>
  <c r="I1282" i="42"/>
  <c r="J1282" i="42" s="1"/>
  <c r="I196" i="42"/>
  <c r="J196" i="42" s="1"/>
  <c r="I2770" i="42"/>
  <c r="J2770" i="42" s="1"/>
  <c r="I1881" i="42"/>
  <c r="J1881" i="42" s="1"/>
  <c r="I1755" i="42"/>
  <c r="J1755" i="42" s="1"/>
  <c r="I1637" i="42"/>
  <c r="J1637" i="42" s="1"/>
  <c r="I1611" i="42"/>
  <c r="J1611" i="42" s="1"/>
  <c r="I1565" i="42"/>
  <c r="J1565" i="42" s="1"/>
  <c r="I3074" i="42"/>
  <c r="J3074" i="42" s="1"/>
  <c r="I2736" i="42"/>
  <c r="J2736" i="42" s="1"/>
  <c r="I2616" i="42"/>
  <c r="J2616" i="42" s="1"/>
  <c r="I1870" i="42"/>
  <c r="J1870" i="42" s="1"/>
  <c r="I1768" i="42"/>
  <c r="J1768" i="42" s="1"/>
  <c r="I1406" i="42"/>
  <c r="J1406" i="42" s="1"/>
  <c r="I1214" i="42"/>
  <c r="J1214" i="42" s="1"/>
  <c r="I390" i="42"/>
  <c r="J390" i="42" s="1"/>
  <c r="I971" i="42"/>
  <c r="J971" i="42" s="1"/>
  <c r="I106" i="42"/>
  <c r="J106" i="42" s="1"/>
  <c r="I183" i="42"/>
  <c r="J183" i="42" s="1"/>
  <c r="I1695" i="42"/>
  <c r="J1695" i="42" s="1"/>
  <c r="I127" i="12"/>
  <c r="I2998" i="42" s="1"/>
  <c r="J2998" i="42" s="1"/>
  <c r="E128" i="12"/>
  <c r="I128" i="12" s="1"/>
  <c r="I3028" i="42" s="1"/>
  <c r="J3028" i="42" s="1"/>
  <c r="J3027" i="42" s="1"/>
  <c r="K3026" i="42" s="1"/>
  <c r="I2696" i="42"/>
  <c r="J2696" i="42" s="1"/>
  <c r="J2695" i="42" s="1"/>
  <c r="K2694" i="42" s="1"/>
  <c r="I2363" i="42"/>
  <c r="J2363" i="42" s="1"/>
  <c r="J2362" i="42" s="1"/>
  <c r="K2361" i="42" s="1"/>
  <c r="I1493" i="42"/>
  <c r="J1493" i="42" s="1"/>
  <c r="I2983" i="42"/>
  <c r="J2983" i="42" s="1"/>
  <c r="I2643" i="42"/>
  <c r="J2643" i="42" s="1"/>
  <c r="J27" i="58"/>
  <c r="W27" i="58" s="1"/>
  <c r="Y24" i="58"/>
  <c r="B1" i="42"/>
  <c r="B1" i="66" s="1"/>
  <c r="F3177" i="42"/>
  <c r="I2562" i="42"/>
  <c r="J2562" i="42" s="1"/>
  <c r="I302" i="42"/>
  <c r="J302" i="42" s="1"/>
  <c r="I2961" i="42"/>
  <c r="J2961" i="42" s="1"/>
  <c r="J2960" i="42" s="1"/>
  <c r="K2959" i="42" s="1"/>
  <c r="I3302" i="42"/>
  <c r="J3302" i="42" s="1"/>
  <c r="T797" i="66"/>
  <c r="Y797" i="66" s="1"/>
  <c r="T548" i="66"/>
  <c r="Y548" i="66" s="1"/>
  <c r="T740" i="66"/>
  <c r="Y740" i="66" s="1"/>
  <c r="T794" i="66"/>
  <c r="Y794" i="66" s="1"/>
  <c r="T404" i="66"/>
  <c r="Y404" i="66" s="1"/>
  <c r="T614" i="66"/>
  <c r="Y614" i="66" s="1"/>
  <c r="T166" i="66"/>
  <c r="Y166" i="66" s="1"/>
  <c r="T371" i="66"/>
  <c r="Y371" i="66" s="1"/>
  <c r="T848" i="66"/>
  <c r="Y848" i="66" s="1"/>
  <c r="T880" i="66"/>
  <c r="Y880" i="66" s="1"/>
  <c r="F3008" i="42"/>
  <c r="E3182" i="98"/>
  <c r="F2972" i="42"/>
  <c r="E3166" i="98"/>
  <c r="H2777" i="42"/>
  <c r="F2575" i="42"/>
  <c r="F2394" i="42"/>
  <c r="F2313" i="42"/>
  <c r="F1920" i="42"/>
  <c r="F1434" i="42"/>
  <c r="F1357" i="42"/>
  <c r="F1335" i="42"/>
  <c r="E1915" i="98"/>
  <c r="F1251" i="42"/>
  <c r="E1750" i="98"/>
  <c r="F1171" i="42"/>
  <c r="E1583" i="98"/>
  <c r="F915" i="42"/>
  <c r="F536" i="42"/>
  <c r="F415" i="42"/>
  <c r="F346" i="42"/>
  <c r="T910" i="66"/>
  <c r="Y910" i="66" s="1"/>
  <c r="T824" i="66"/>
  <c r="Y824" i="66" s="1"/>
  <c r="T802" i="66"/>
  <c r="Y802" i="66" s="1"/>
  <c r="T800" i="66"/>
  <c r="Y800" i="66" s="1"/>
  <c r="T765" i="66"/>
  <c r="Y765" i="66" s="1"/>
  <c r="T733" i="66"/>
  <c r="Y733" i="66" s="1"/>
  <c r="T696" i="66"/>
  <c r="Y696" i="66" s="1"/>
  <c r="T674" i="66"/>
  <c r="Y674" i="66" s="1"/>
  <c r="T590" i="66"/>
  <c r="Y590" i="66" s="1"/>
  <c r="T581" i="66"/>
  <c r="Y581" i="66" s="1"/>
  <c r="T579" i="66"/>
  <c r="Y579" i="66" s="1"/>
  <c r="T552" i="66"/>
  <c r="Y552" i="66" s="1"/>
  <c r="T447" i="66"/>
  <c r="Y447" i="66" s="1"/>
  <c r="T397" i="66"/>
  <c r="Y397" i="66" s="1"/>
  <c r="T299" i="66"/>
  <c r="Y299" i="66" s="1"/>
  <c r="I2964" i="42"/>
  <c r="J2964" i="42" s="1"/>
  <c r="J2963" i="42" s="1"/>
  <c r="K2962" i="42" s="1"/>
  <c r="I771" i="42"/>
  <c r="J771" i="42" s="1"/>
  <c r="I3240" i="42"/>
  <c r="J3240" i="42" s="1"/>
  <c r="I3236" i="42"/>
  <c r="J3236" i="42" s="1"/>
  <c r="I3232" i="42"/>
  <c r="J3232" i="42" s="1"/>
  <c r="I2929" i="42"/>
  <c r="J2929" i="42" s="1"/>
  <c r="J2928" i="42" s="1"/>
  <c r="K2927" i="42" s="1"/>
  <c r="I2372" i="42"/>
  <c r="J2372" i="42" s="1"/>
  <c r="J2371" i="42" s="1"/>
  <c r="K2370" i="42" s="1"/>
  <c r="I2360" i="42"/>
  <c r="J2360" i="42" s="1"/>
  <c r="J2359" i="42" s="1"/>
  <c r="K2358" i="42" s="1"/>
  <c r="I2354" i="42"/>
  <c r="J2354" i="42" s="1"/>
  <c r="J2353" i="42" s="1"/>
  <c r="K2352" i="42" s="1"/>
  <c r="I2323" i="42"/>
  <c r="J2323" i="42" s="1"/>
  <c r="I1326" i="42"/>
  <c r="J1326" i="42" s="1"/>
  <c r="I2234" i="42"/>
  <c r="J2234" i="42" s="1"/>
  <c r="I2102" i="42"/>
  <c r="J2102" i="42" s="1"/>
  <c r="I2103" i="42" s="1"/>
  <c r="J2103" i="42" s="1"/>
  <c r="J2101" i="42" s="1"/>
  <c r="K2100" i="42" s="1"/>
  <c r="I283" i="42"/>
  <c r="J283" i="42" s="1"/>
  <c r="I2070" i="42"/>
  <c r="J2070" i="42" s="1"/>
  <c r="J2069" i="42" s="1"/>
  <c r="K2068" i="42" s="1"/>
  <c r="I773" i="42"/>
  <c r="J773" i="42" s="1"/>
  <c r="I11" i="66"/>
  <c r="I12" i="66" s="1"/>
  <c r="I2766" i="42"/>
  <c r="J2766" i="42" s="1"/>
  <c r="J2765" i="42" s="1"/>
  <c r="K2764" i="42" s="1"/>
  <c r="I1410" i="42"/>
  <c r="J1410" i="42" s="1"/>
  <c r="I1507" i="42"/>
  <c r="J1507" i="42" s="1"/>
  <c r="I357" i="42"/>
  <c r="J357" i="42" s="1"/>
  <c r="I303" i="42"/>
  <c r="J303" i="42" s="1"/>
  <c r="B3" i="42"/>
  <c r="B3" i="66" s="1"/>
  <c r="I1409" i="42"/>
  <c r="J1409" i="42" s="1"/>
  <c r="I397" i="42"/>
  <c r="J397" i="42" s="1"/>
  <c r="I2899" i="42"/>
  <c r="J2899" i="42" s="1"/>
  <c r="J2898" i="42" s="1"/>
  <c r="K2897" i="42" s="1"/>
  <c r="I2911" i="42"/>
  <c r="J2911" i="42" s="1"/>
  <c r="J2910" i="42" s="1"/>
  <c r="K2909" i="42" s="1"/>
  <c r="I3063" i="42"/>
  <c r="J3063" i="42" s="1"/>
  <c r="J3062" i="42" s="1"/>
  <c r="K3061" i="42" s="1"/>
  <c r="I3226" i="42"/>
  <c r="J3226" i="42" s="1"/>
  <c r="J3225" i="42" s="1"/>
  <c r="K3224" i="42" s="1"/>
  <c r="F2547" i="42"/>
  <c r="B4" i="42"/>
  <c r="B4" i="66" s="1"/>
  <c r="H165" i="42"/>
  <c r="I3306" i="42"/>
  <c r="J3306" i="42" s="1"/>
  <c r="I3305" i="42"/>
  <c r="J3305" i="42" s="1"/>
  <c r="H194" i="42"/>
  <c r="G2298" i="98"/>
  <c r="B10" i="42"/>
  <c r="A10" i="42" s="1"/>
  <c r="B2731" i="42"/>
  <c r="B51" i="42"/>
  <c r="C62" i="98"/>
  <c r="B48" i="42"/>
  <c r="B20" i="42"/>
  <c r="F17" i="49"/>
  <c r="C43" i="93"/>
  <c r="F43" i="93" s="1"/>
  <c r="P787" i="66"/>
  <c r="Z787" i="66"/>
  <c r="P777" i="66"/>
  <c r="Z777" i="66"/>
  <c r="Z767" i="66"/>
  <c r="P767" i="66"/>
  <c r="P756" i="66"/>
  <c r="Z756" i="66"/>
  <c r="P601" i="66"/>
  <c r="Z601" i="66"/>
  <c r="P594" i="66"/>
  <c r="Z594" i="66"/>
  <c r="P684" i="66"/>
  <c r="Z684" i="66"/>
  <c r="T684" i="66"/>
  <c r="Y684" i="66" s="1"/>
  <c r="P394" i="66"/>
  <c r="Z394" i="66"/>
  <c r="Z381" i="66"/>
  <c r="M1029" i="66"/>
  <c r="Z1029" i="66" s="1"/>
  <c r="P371" i="66"/>
  <c r="Z371" i="66"/>
  <c r="P200" i="66"/>
  <c r="Z200" i="66"/>
  <c r="P117" i="66"/>
  <c r="Z117" i="66"/>
  <c r="P97" i="66"/>
  <c r="Z97" i="66"/>
  <c r="I2949" i="42"/>
  <c r="J2949" i="42" s="1"/>
  <c r="I2936" i="42"/>
  <c r="J2936" i="42" s="1"/>
  <c r="I219" i="42"/>
  <c r="J219" i="42" s="1"/>
  <c r="I1215" i="42"/>
  <c r="J1215" i="42" s="1"/>
  <c r="I987" i="42"/>
  <c r="J987" i="42" s="1"/>
  <c r="I3076" i="42"/>
  <c r="J3076" i="42" s="1"/>
  <c r="I1015" i="42"/>
  <c r="J1015" i="42" s="1"/>
  <c r="I970" i="42"/>
  <c r="J970" i="42" s="1"/>
  <c r="I154" i="42"/>
  <c r="J154" i="42" s="1"/>
  <c r="I1710" i="42"/>
  <c r="J1710" i="42" s="1"/>
  <c r="I2199" i="42"/>
  <c r="I1576" i="42"/>
  <c r="O10" i="86"/>
  <c r="O14" i="86"/>
  <c r="T117" i="66"/>
  <c r="Y117" i="66" s="1"/>
  <c r="T273" i="66"/>
  <c r="Y273" i="66" s="1"/>
  <c r="T632" i="66"/>
  <c r="Y632" i="66" s="1"/>
  <c r="T790" i="66"/>
  <c r="Y790" i="66" s="1"/>
  <c r="T787" i="66"/>
  <c r="Y787" i="66" s="1"/>
  <c r="T782" i="66"/>
  <c r="Y782" i="66" s="1"/>
  <c r="T769" i="66"/>
  <c r="Y769" i="66" s="1"/>
  <c r="Z694" i="66"/>
  <c r="P694" i="66"/>
  <c r="T601" i="66"/>
  <c r="Y601" i="66" s="1"/>
  <c r="T887" i="66"/>
  <c r="Y887" i="66" s="1"/>
  <c r="T703" i="66"/>
  <c r="Y703" i="66" s="1"/>
  <c r="T97" i="66"/>
  <c r="Y97" i="66" s="1"/>
  <c r="T91" i="66"/>
  <c r="Y91" i="66" s="1"/>
  <c r="T86" i="66"/>
  <c r="Y86" i="66" s="1"/>
  <c r="K11" i="84"/>
  <c r="K13" i="84"/>
  <c r="T61" i="66"/>
  <c r="Y61" i="66" s="1"/>
  <c r="K27" i="84"/>
  <c r="F150" i="102" s="1"/>
  <c r="I150" i="102" s="1"/>
  <c r="K10" i="84"/>
  <c r="K15" i="84"/>
  <c r="C86" i="93"/>
  <c r="C87" i="93" s="1"/>
  <c r="P828" i="66"/>
  <c r="Z828" i="66"/>
  <c r="P765" i="66"/>
  <c r="Z765" i="66"/>
  <c r="P740" i="66"/>
  <c r="Z740" i="66"/>
  <c r="P650" i="66"/>
  <c r="Z650" i="66"/>
  <c r="P614" i="66"/>
  <c r="Z614" i="66"/>
  <c r="P548" i="66"/>
  <c r="Z548" i="66"/>
  <c r="P505" i="66"/>
  <c r="Z505" i="66"/>
  <c r="B12" i="49"/>
  <c r="E7" i="84"/>
  <c r="K7" i="84" s="1"/>
  <c r="Q374" i="66"/>
  <c r="Q769" i="66"/>
  <c r="R769" i="66" s="1"/>
  <c r="Q332" i="66"/>
  <c r="Q552" i="66"/>
  <c r="R552" i="66" s="1"/>
  <c r="Q569" i="66"/>
  <c r="Q177" i="66"/>
  <c r="Q765" i="66"/>
  <c r="H1831" i="42"/>
  <c r="T762" i="66"/>
  <c r="Y762" i="66" s="1"/>
  <c r="T833" i="66"/>
  <c r="Y833" i="66" s="1"/>
  <c r="T376" i="66"/>
  <c r="Y376" i="66" s="1"/>
  <c r="T514" i="66"/>
  <c r="Y514" i="66" s="1"/>
  <c r="Z887" i="66"/>
  <c r="Z843" i="66"/>
  <c r="Z833" i="66"/>
  <c r="P826" i="66"/>
  <c r="Z826" i="66"/>
  <c r="P812" i="66"/>
  <c r="Z812" i="66"/>
  <c r="Z758" i="66"/>
  <c r="T639" i="66"/>
  <c r="Y639" i="66" s="1"/>
  <c r="P624" i="66"/>
  <c r="Z624" i="66"/>
  <c r="P608" i="66"/>
  <c r="AC608" i="66" s="1"/>
  <c r="Z608" i="66"/>
  <c r="T562" i="66"/>
  <c r="Y562" i="66" s="1"/>
  <c r="T550" i="66"/>
  <c r="Y550" i="66" s="1"/>
  <c r="T540" i="66"/>
  <c r="Y540" i="66" s="1"/>
  <c r="P339" i="66"/>
  <c r="Z339" i="66"/>
  <c r="P282" i="66"/>
  <c r="Z282" i="66"/>
  <c r="P257" i="66"/>
  <c r="Z257" i="66"/>
  <c r="I1217" i="42"/>
  <c r="J1217" i="42" s="1"/>
  <c r="I974" i="42"/>
  <c r="J974" i="42" s="1"/>
  <c r="P219" i="66"/>
  <c r="Z219" i="66"/>
  <c r="AE17" i="58"/>
  <c r="K16" i="84"/>
  <c r="F70" i="12"/>
  <c r="I70" i="12" s="1"/>
  <c r="I815" i="42" s="1"/>
  <c r="J815" i="42" s="1"/>
  <c r="I816" i="42" s="1"/>
  <c r="J816" i="42" s="1"/>
  <c r="J814" i="42" s="1"/>
  <c r="K813" i="42" s="1"/>
  <c r="F76" i="12"/>
  <c r="I76" i="12" s="1"/>
  <c r="I845" i="42" s="1"/>
  <c r="J845" i="42" s="1"/>
  <c r="F74" i="12"/>
  <c r="I74" i="12" s="1"/>
  <c r="I835" i="42" s="1"/>
  <c r="J835" i="42" s="1"/>
  <c r="I2681" i="42"/>
  <c r="J2681" i="42" s="1"/>
  <c r="I55" i="12"/>
  <c r="I2682" i="42" s="1"/>
  <c r="J2682" i="42" s="1"/>
  <c r="F204" i="12"/>
  <c r="I204" i="12" s="1"/>
  <c r="I2348" i="42" s="1"/>
  <c r="J2348" i="42" s="1"/>
  <c r="J2347" i="42" s="1"/>
  <c r="K2346" i="42" s="1"/>
  <c r="I2250" i="42"/>
  <c r="J2250" i="42" s="1"/>
  <c r="I2502" i="42"/>
  <c r="J2502" i="42" s="1"/>
  <c r="K172" i="12"/>
  <c r="R797" i="66"/>
  <c r="R129" i="66"/>
  <c r="E43" i="93"/>
  <c r="H42" i="93"/>
  <c r="K42" i="93" s="1"/>
  <c r="N42" i="93" s="1"/>
  <c r="I855" i="42"/>
  <c r="J855" i="42" s="1"/>
  <c r="J854" i="42" s="1"/>
  <c r="K853" i="42" s="1"/>
  <c r="F61" i="93"/>
  <c r="I61" i="93" s="1"/>
  <c r="L61" i="93" s="1"/>
  <c r="C62" i="93"/>
  <c r="C63" i="93" s="1"/>
  <c r="C64" i="93" s="1"/>
  <c r="A3" i="12"/>
  <c r="A3" i="58" s="1"/>
  <c r="R329" i="66"/>
  <c r="R692" i="66"/>
  <c r="R884" i="66"/>
  <c r="R528" i="66"/>
  <c r="R784" i="66"/>
  <c r="R887" i="66"/>
  <c r="R645" i="66"/>
  <c r="F18" i="85"/>
  <c r="I1545" i="42" s="1"/>
  <c r="J1545" i="42" s="1"/>
  <c r="L1544" i="42" s="1"/>
  <c r="F80" i="12"/>
  <c r="I80" i="12" s="1"/>
  <c r="I1212" i="42" s="1"/>
  <c r="J1212" i="42" s="1"/>
  <c r="F50" i="12"/>
  <c r="I50" i="12" s="1"/>
  <c r="F65" i="12"/>
  <c r="I65" i="12" s="1"/>
  <c r="I752" i="42" s="1"/>
  <c r="J752" i="42" s="1"/>
  <c r="C44" i="93"/>
  <c r="F44" i="93" s="1"/>
  <c r="I44" i="93" s="1"/>
  <c r="L44" i="93" s="1"/>
  <c r="A4" i="102"/>
  <c r="I339" i="42"/>
  <c r="J339" i="42" s="1"/>
  <c r="L338" i="42" s="1"/>
  <c r="F62" i="93"/>
  <c r="I62" i="93" s="1"/>
  <c r="L62" i="93" s="1"/>
  <c r="H43" i="93"/>
  <c r="C18" i="86"/>
  <c r="E18" i="86" s="1"/>
  <c r="F63" i="93"/>
  <c r="I63" i="93" s="1"/>
  <c r="L63" i="93" s="1"/>
  <c r="G21" i="67"/>
  <c r="AC1042" i="66"/>
  <c r="K290" i="12"/>
  <c r="F78" i="12"/>
  <c r="I78" i="12" s="1"/>
  <c r="I1078" i="42" s="1"/>
  <c r="J1078" i="42" s="1"/>
  <c r="H2867" i="98"/>
  <c r="H2127" i="98"/>
  <c r="I2127" i="98" s="1"/>
  <c r="K2124" i="98" s="1"/>
  <c r="H331" i="98"/>
  <c r="H3217" i="98"/>
  <c r="H2366" i="98"/>
  <c r="I2366" i="98" s="1"/>
  <c r="K2365" i="98" s="1"/>
  <c r="H528" i="98"/>
  <c r="H3245" i="98"/>
  <c r="H2621" i="98"/>
  <c r="I2621" i="98" s="1"/>
  <c r="K2618" i="98" s="1"/>
  <c r="H1827" i="98"/>
  <c r="I2133" i="42"/>
  <c r="J2133" i="42" s="1"/>
  <c r="L2130" i="42" s="1"/>
  <c r="I3170" i="42"/>
  <c r="J3170" i="42" s="1"/>
  <c r="L3166" i="42" s="1"/>
  <c r="I2016" i="42"/>
  <c r="J2016" i="42" s="1"/>
  <c r="L2013" i="42" s="1"/>
  <c r="I2067" i="42"/>
  <c r="J2067" i="42" s="1"/>
  <c r="L2066" i="42" s="1"/>
  <c r="I3291" i="42"/>
  <c r="J3291" i="42" s="1"/>
  <c r="L3287" i="42" s="1"/>
  <c r="I1436" i="42"/>
  <c r="J1436" i="42" s="1"/>
  <c r="L1432" i="42" s="1"/>
  <c r="I2748" i="42"/>
  <c r="J2748" i="42" s="1"/>
  <c r="L2744" i="42" s="1"/>
  <c r="I2087" i="42"/>
  <c r="J2087" i="42" s="1"/>
  <c r="L2084" i="42" s="1"/>
  <c r="I132" i="42"/>
  <c r="J132" i="42" s="1"/>
  <c r="L129" i="42" s="1"/>
  <c r="I1780" i="42"/>
  <c r="J1780" i="42" s="1"/>
  <c r="L1776" i="42" s="1"/>
  <c r="I452" i="42"/>
  <c r="J452" i="42" s="1"/>
  <c r="L448" i="42" s="1"/>
  <c r="I1037" i="42"/>
  <c r="J1037" i="42" s="1"/>
  <c r="L1034" i="42" s="1"/>
  <c r="I124" i="42"/>
  <c r="J124" i="42" s="1"/>
  <c r="L123" i="42" s="1"/>
  <c r="I3045" i="42"/>
  <c r="J3045" i="42" s="1"/>
  <c r="L3041" i="42" s="1"/>
  <c r="I2004" i="42"/>
  <c r="J2004" i="42" s="1"/>
  <c r="L2003" i="42" s="1"/>
  <c r="I2257" i="42"/>
  <c r="J2257" i="42" s="1"/>
  <c r="L2254" i="42" s="1"/>
  <c r="I444" i="42"/>
  <c r="J444" i="42" s="1"/>
  <c r="L440" i="42" s="1"/>
  <c r="I138" i="42"/>
  <c r="J138" i="42" s="1"/>
  <c r="L137" i="42" s="1"/>
  <c r="I3179" i="42"/>
  <c r="J3179" i="42" s="1"/>
  <c r="L3175" i="42" s="1"/>
  <c r="I2825" i="42"/>
  <c r="J2825" i="42" s="1"/>
  <c r="L2824" i="42" s="1"/>
  <c r="I3187" i="42"/>
  <c r="J3187" i="42" s="1"/>
  <c r="L3184" i="42" s="1"/>
  <c r="I74" i="42"/>
  <c r="J74" i="42" s="1"/>
  <c r="L71" i="42" s="1"/>
  <c r="I2820" i="42"/>
  <c r="J2820" i="42" s="1"/>
  <c r="L2819" i="42" s="1"/>
  <c r="I492" i="42"/>
  <c r="J492" i="42" s="1"/>
  <c r="L488" i="42" s="1"/>
  <c r="I1443" i="42"/>
  <c r="J1443" i="42" s="1"/>
  <c r="L1440" i="42" s="1"/>
  <c r="I2577" i="42"/>
  <c r="J2577" i="42" s="1"/>
  <c r="L2573" i="42" s="1"/>
  <c r="I2113" i="42"/>
  <c r="J2113" i="42" s="1"/>
  <c r="L2110" i="42" s="1"/>
  <c r="I1591" i="42"/>
  <c r="J1591" i="42" s="1"/>
  <c r="L1587" i="42" s="1"/>
  <c r="I2815" i="42"/>
  <c r="J2815" i="42" s="1"/>
  <c r="L2814" i="42" s="1"/>
  <c r="I1913" i="42"/>
  <c r="J1913" i="42" s="1"/>
  <c r="L1909" i="42" s="1"/>
  <c r="I2265" i="42"/>
  <c r="J2265" i="42" s="1"/>
  <c r="L2261" i="42" s="1"/>
  <c r="I31" i="42"/>
  <c r="J31" i="42" s="1"/>
  <c r="L30" i="42" s="1"/>
  <c r="I2073" i="42"/>
  <c r="J2073" i="42" s="1"/>
  <c r="L2072" i="42" s="1"/>
  <c r="I2139" i="42"/>
  <c r="J2139" i="42" s="1"/>
  <c r="L2138" i="42" s="1"/>
  <c r="I2000" i="42"/>
  <c r="J2000" i="42" s="1"/>
  <c r="L1999" i="42" s="1"/>
  <c r="I2080" i="42"/>
  <c r="J2080" i="42" s="1"/>
  <c r="L2077" i="42" s="1"/>
  <c r="J16" i="49" s="1"/>
  <c r="I2008" i="42"/>
  <c r="J2008" i="42" s="1"/>
  <c r="L2005" i="42" s="1"/>
  <c r="F110" i="102"/>
  <c r="H2433" i="42"/>
  <c r="H2432" i="42"/>
  <c r="H2427" i="42"/>
  <c r="P521" i="66"/>
  <c r="T521" i="66"/>
  <c r="Y521" i="66" s="1"/>
  <c r="Z521" i="66"/>
  <c r="P329" i="66"/>
  <c r="AC329" i="66" s="1"/>
  <c r="Z329" i="66"/>
  <c r="H3072" i="42"/>
  <c r="G1311" i="103" s="1"/>
  <c r="B2573" i="42"/>
  <c r="B615" i="42"/>
  <c r="P597" i="66"/>
  <c r="Z597" i="66"/>
  <c r="P574" i="66"/>
  <c r="Z574" i="66"/>
  <c r="Z413" i="66"/>
  <c r="P413" i="66"/>
  <c r="F175" i="42"/>
  <c r="F2538" i="42"/>
  <c r="F1686" i="42"/>
  <c r="F47" i="42"/>
  <c r="F3258" i="42"/>
  <c r="F3245" i="42"/>
  <c r="F3213" i="42"/>
  <c r="F3193" i="42"/>
  <c r="F3181" i="42"/>
  <c r="F3163" i="42"/>
  <c r="F3143" i="42"/>
  <c r="F3119" i="42"/>
  <c r="F3082" i="42"/>
  <c r="F3047" i="42"/>
  <c r="F3024" i="42"/>
  <c r="F3004" i="42"/>
  <c r="F2975" i="42"/>
  <c r="F2945" i="42"/>
  <c r="F2926" i="42"/>
  <c r="F2902" i="42"/>
  <c r="F2878" i="42"/>
  <c r="F2863" i="42"/>
  <c r="F2839" i="42"/>
  <c r="F2831" i="42"/>
  <c r="F2822" i="42"/>
  <c r="F2812" i="42"/>
  <c r="F2798" i="42"/>
  <c r="F2762" i="42"/>
  <c r="F2742" i="42"/>
  <c r="F2720" i="42"/>
  <c r="F2689" i="42"/>
  <c r="F2649" i="42"/>
  <c r="F2636" i="42"/>
  <c r="F2609" i="42"/>
  <c r="F2599" i="42"/>
  <c r="F2590" i="42"/>
  <c r="F2554" i="42"/>
  <c r="F2523" i="42"/>
  <c r="F2507" i="42"/>
  <c r="F2494" i="42"/>
  <c r="F2476" i="42"/>
  <c r="F2465" i="42"/>
  <c r="F2454" i="42"/>
  <c r="F2435" i="42"/>
  <c r="F2411" i="42"/>
  <c r="F2327" i="42"/>
  <c r="F2308" i="42"/>
  <c r="F2290" i="42"/>
  <c r="F2244" i="42"/>
  <c r="F2216" i="42"/>
  <c r="F2179" i="42"/>
  <c r="F2155" i="42"/>
  <c r="F2142" i="42"/>
  <c r="F2128" i="42"/>
  <c r="F2124" i="42"/>
  <c r="F2090" i="42"/>
  <c r="F2076" i="42"/>
  <c r="F2058" i="42"/>
  <c r="F2011" i="42"/>
  <c r="F1993" i="42"/>
  <c r="F1983" i="42"/>
  <c r="F1952" i="42"/>
  <c r="F1934" i="42"/>
  <c r="F1915" i="42"/>
  <c r="F2098" i="42"/>
  <c r="F2019" i="42"/>
  <c r="F3124" i="42"/>
  <c r="F134" i="42"/>
  <c r="F43" i="42"/>
  <c r="F3272" i="42"/>
  <c r="F3248" i="42"/>
  <c r="F3244" i="42"/>
  <c r="F3212" i="42"/>
  <c r="F3192" i="42"/>
  <c r="F3173" i="42"/>
  <c r="F3152" i="42"/>
  <c r="F3142" i="42"/>
  <c r="F3114" i="42"/>
  <c r="F3081" i="42"/>
  <c r="F3037" i="42"/>
  <c r="F3016" i="42"/>
  <c r="F2988" i="42"/>
  <c r="F2958" i="42"/>
  <c r="F2944" i="42"/>
  <c r="F2920" i="42"/>
  <c r="F2896" i="42"/>
  <c r="F2872" i="42"/>
  <c r="F2850" i="42"/>
  <c r="F2836" i="42"/>
  <c r="F2828" i="42"/>
  <c r="F2818" i="42"/>
  <c r="F2811" i="42"/>
  <c r="F2778" i="42"/>
  <c r="F2751" i="42"/>
  <c r="F2741" i="42"/>
  <c r="F2709" i="42"/>
  <c r="F2656" i="42"/>
  <c r="F2648" i="42"/>
  <c r="F2627" i="42"/>
  <c r="F2607" i="42"/>
  <c r="F2598" i="42"/>
  <c r="F2585" i="42"/>
  <c r="F2543" i="42"/>
  <c r="F2522" i="42"/>
  <c r="F2506" i="42"/>
  <c r="F2486" i="42"/>
  <c r="F2475" i="42"/>
  <c r="F2464" i="42"/>
  <c r="F2446" i="42"/>
  <c r="F2434" i="42"/>
  <c r="F2410" i="42"/>
  <c r="F2317" i="42"/>
  <c r="F2301" i="42"/>
  <c r="F2269" i="42"/>
  <c r="F2243" i="42"/>
  <c r="F2186" i="42"/>
  <c r="F2178" i="42"/>
  <c r="F2151" i="42"/>
  <c r="F2141" i="42"/>
  <c r="F2127" i="42"/>
  <c r="F2089" i="42"/>
  <c r="F2057" i="42"/>
  <c r="F1992" i="42"/>
  <c r="F1944" i="42"/>
  <c r="F1908" i="42"/>
  <c r="F1864" i="42"/>
  <c r="F1852" i="42"/>
  <c r="F1840" i="42"/>
  <c r="F1826" i="42"/>
  <c r="F1803" i="42"/>
  <c r="F1775" i="42"/>
  <c r="F1761" i="42"/>
  <c r="F1738" i="42"/>
  <c r="F1730" i="42"/>
  <c r="F1705" i="42"/>
  <c r="F1661" i="42"/>
  <c r="F1645" i="42"/>
  <c r="F1631" i="42"/>
  <c r="F1617" i="42"/>
  <c r="F1594" i="42"/>
  <c r="F1584" i="42"/>
  <c r="F1572" i="42"/>
  <c r="F1557" i="42"/>
  <c r="F1549" i="42"/>
  <c r="F1526" i="42"/>
  <c r="F1515" i="42"/>
  <c r="F1477" i="42"/>
  <c r="F1455" i="42"/>
  <c r="F1445" i="42"/>
  <c r="F1430" i="42"/>
  <c r="F1401" i="42"/>
  <c r="F1390" i="42"/>
  <c r="F1380" i="42"/>
  <c r="F1351" i="42"/>
  <c r="F1288" i="42"/>
  <c r="F1266" i="42"/>
  <c r="F1246" i="42"/>
  <c r="F1235" i="42"/>
  <c r="F1231" i="42"/>
  <c r="F1204" i="42"/>
  <c r="F1182" i="42"/>
  <c r="F1155" i="42"/>
  <c r="F1143" i="42"/>
  <c r="F1124" i="42"/>
  <c r="F1098" i="42"/>
  <c r="F1074" i="42"/>
  <c r="F1060" i="42"/>
  <c r="F1021" i="42"/>
  <c r="F991" i="42"/>
  <c r="F979" i="42"/>
  <c r="F961" i="42"/>
  <c r="F938" i="42"/>
  <c r="F926" i="42"/>
  <c r="F922" i="42"/>
  <c r="F892" i="42"/>
  <c r="F867" i="42"/>
  <c r="F811" i="42"/>
  <c r="F799" i="42"/>
  <c r="F737" i="42"/>
  <c r="F733" i="42"/>
  <c r="F721" i="42"/>
  <c r="F717" i="42"/>
  <c r="F713" i="42"/>
  <c r="F701" i="42"/>
  <c r="F697" i="42"/>
  <c r="F685" i="42"/>
  <c r="F669" i="42"/>
  <c r="F665" i="42"/>
  <c r="F651" i="42"/>
  <c r="F636" i="42"/>
  <c r="F624" i="42"/>
  <c r="F613" i="42"/>
  <c r="F609" i="42"/>
  <c r="F591" i="42"/>
  <c r="F580" i="42"/>
  <c r="F576" i="42"/>
  <c r="F556" i="42"/>
  <c r="F544" i="42"/>
  <c r="F532" i="42"/>
  <c r="F520" i="42"/>
  <c r="F509" i="42"/>
  <c r="F481" i="42"/>
  <c r="F463" i="42"/>
  <c r="F446" i="42"/>
  <c r="F431" i="42"/>
  <c r="F421" i="42"/>
  <c r="F402" i="42"/>
  <c r="F383" i="42"/>
  <c r="F362" i="42"/>
  <c r="F342" i="42"/>
  <c r="F330" i="42"/>
  <c r="F310" i="42"/>
  <c r="F297" i="42"/>
  <c r="F267" i="42"/>
  <c r="F225" i="42"/>
  <c r="F189" i="42"/>
  <c r="F159" i="42"/>
  <c r="F127" i="42"/>
  <c r="F113" i="42"/>
  <c r="F98" i="42"/>
  <c r="F94" i="42"/>
  <c r="F69" i="42"/>
  <c r="F58" i="42"/>
  <c r="F34" i="42"/>
  <c r="F26" i="42"/>
  <c r="F2125" i="42"/>
  <c r="F2082" i="42"/>
  <c r="F2026" i="42"/>
  <c r="F1984" i="42"/>
  <c r="F1935" i="42"/>
  <c r="F1898" i="42"/>
  <c r="F1863" i="42"/>
  <c r="F1851" i="42"/>
  <c r="F1839" i="42"/>
  <c r="F1825" i="42"/>
  <c r="F1793" i="42"/>
  <c r="F1774" i="42"/>
  <c r="F1760" i="42"/>
  <c r="F1737" i="42"/>
  <c r="F1729" i="42"/>
  <c r="F1675" i="42"/>
  <c r="F1660" i="42"/>
  <c r="F1644" i="42"/>
  <c r="F1630" i="42"/>
  <c r="F1606" i="42"/>
  <c r="F1593" i="42"/>
  <c r="F1583" i="42"/>
  <c r="F1571" i="42"/>
  <c r="F1556" i="42"/>
  <c r="F1548" i="42"/>
  <c r="F1518" i="42"/>
  <c r="F1500" i="42"/>
  <c r="F1467" i="42"/>
  <c r="F1454" i="42"/>
  <c r="F1439" i="42"/>
  <c r="F1429" i="42"/>
  <c r="F1400" i="42"/>
  <c r="F1389" i="42"/>
  <c r="F1379" i="42"/>
  <c r="F1344" i="42"/>
  <c r="F1287" i="42"/>
  <c r="F1265" i="42"/>
  <c r="F1238" i="42"/>
  <c r="F1234" i="42"/>
  <c r="F1230" i="42"/>
  <c r="F1201" i="42"/>
  <c r="F1175" i="42"/>
  <c r="F1154" i="42"/>
  <c r="F1142" i="42"/>
  <c r="F1114" i="42"/>
  <c r="F1097" i="42"/>
  <c r="F1073" i="42"/>
  <c r="F1041" i="42"/>
  <c r="F1020" i="42"/>
  <c r="F982" i="42"/>
  <c r="F964" i="42"/>
  <c r="F949" i="42"/>
  <c r="F937" i="42"/>
  <c r="F925" i="42"/>
  <c r="F912" i="42"/>
  <c r="F880" i="42"/>
  <c r="F866" i="42"/>
  <c r="F810" i="42"/>
  <c r="F787" i="42"/>
  <c r="F736" i="42"/>
  <c r="F732" i="42"/>
  <c r="F720" i="42"/>
  <c r="F716" i="42"/>
  <c r="F712" i="42"/>
  <c r="F700" i="42"/>
  <c r="F696" i="42"/>
  <c r="F684" i="42"/>
  <c r="F668" i="42"/>
  <c r="F654" i="42"/>
  <c r="F650" i="42"/>
  <c r="F627" i="42"/>
  <c r="F623" i="42"/>
  <c r="F612" i="42"/>
  <c r="F601" i="42"/>
  <c r="F590" i="42"/>
  <c r="F579" i="42"/>
  <c r="F567" i="42"/>
  <c r="F555" i="42"/>
  <c r="F543" i="42"/>
  <c r="F531" i="42"/>
  <c r="F519" i="42"/>
  <c r="F495" i="42"/>
  <c r="F473" i="42"/>
  <c r="F455" i="42"/>
  <c r="F439" i="42"/>
  <c r="F430" i="42"/>
  <c r="F420" i="42"/>
  <c r="F394" i="42"/>
  <c r="F374" i="42"/>
  <c r="F361" i="42"/>
  <c r="F341" i="42"/>
  <c r="F329" i="42"/>
  <c r="F309" i="42"/>
  <c r="F288" i="42"/>
  <c r="F258" i="42"/>
  <c r="F224" i="42"/>
  <c r="F188" i="42"/>
  <c r="F147" i="42"/>
  <c r="F126" i="42"/>
  <c r="F112" i="42"/>
  <c r="F97" i="42"/>
  <c r="F77" i="42"/>
  <c r="F68" i="42"/>
  <c r="F50" i="42"/>
  <c r="F33" i="42"/>
  <c r="F18" i="42"/>
  <c r="G18" i="66"/>
  <c r="H18" i="66" s="1"/>
  <c r="I18" i="66" s="1"/>
  <c r="J18" i="66" s="1"/>
  <c r="F3316" i="42"/>
  <c r="F3347" i="42"/>
  <c r="F202" i="42"/>
  <c r="F3313" i="42"/>
  <c r="F3317" i="42"/>
  <c r="F176" i="42"/>
  <c r="F174" i="42"/>
  <c r="F1688" i="42"/>
  <c r="F135" i="42"/>
  <c r="F3267" i="42"/>
  <c r="F3247" i="42"/>
  <c r="F3217" i="42"/>
  <c r="F3208" i="42"/>
  <c r="F3191" i="42"/>
  <c r="F3172" i="42"/>
  <c r="F3151" i="42"/>
  <c r="F3141" i="42"/>
  <c r="F3093" i="42"/>
  <c r="F3055" i="42"/>
  <c r="F3036" i="42"/>
  <c r="F3015" i="42"/>
  <c r="F2987" i="42"/>
  <c r="F2957" i="42"/>
  <c r="F2943" i="42"/>
  <c r="F2914" i="42"/>
  <c r="F2890" i="42"/>
  <c r="F2865" i="42"/>
  <c r="F2841" i="42"/>
  <c r="F2835" i="42"/>
  <c r="F2827" i="42"/>
  <c r="F2817" i="42"/>
  <c r="F2800" i="42"/>
  <c r="F2777" i="42"/>
  <c r="F2750" i="42"/>
  <c r="F2722" i="42"/>
  <c r="F2708" i="42"/>
  <c r="F2655" i="42"/>
  <c r="F2638" i="42"/>
  <c r="F2626" i="42"/>
  <c r="F2602" i="42"/>
  <c r="F2593" i="42"/>
  <c r="F2579" i="42"/>
  <c r="F2533" i="42"/>
  <c r="F2521" i="42"/>
  <c r="F2496" i="42"/>
  <c r="F2485" i="42"/>
  <c r="F2474" i="42"/>
  <c r="F2456" i="42"/>
  <c r="F2445" i="42"/>
  <c r="F2430" i="42"/>
  <c r="F2329" i="42"/>
  <c r="F2316" i="42"/>
  <c r="F2300" i="42"/>
  <c r="F2259" i="42"/>
  <c r="F2218" i="42"/>
  <c r="F2185" i="42"/>
  <c r="F2157" i="42"/>
  <c r="F2150" i="42"/>
  <c r="F2136" i="42"/>
  <c r="F2126" i="42"/>
  <c r="F2116" i="42"/>
  <c r="F2083" i="42"/>
  <c r="F2064" i="42"/>
  <c r="F2027" i="42"/>
  <c r="F2002" i="42"/>
  <c r="F1985" i="42"/>
  <c r="F1963" i="42"/>
  <c r="F1943" i="42"/>
  <c r="F1924" i="42"/>
  <c r="F1907" i="42"/>
  <c r="F2097" i="42"/>
  <c r="F2018" i="42"/>
  <c r="F1687" i="42"/>
  <c r="F44" i="42"/>
  <c r="F42" i="42"/>
  <c r="F3266" i="42"/>
  <c r="F3246" i="42"/>
  <c r="F3214" i="42"/>
  <c r="F3206" i="42"/>
  <c r="F3182" i="42"/>
  <c r="F3164" i="42"/>
  <c r="F3150" i="42"/>
  <c r="F3129" i="42"/>
  <c r="F3083" i="42"/>
  <c r="F3048" i="42"/>
  <c r="F3025" i="42"/>
  <c r="F3005" i="42"/>
  <c r="F2976" i="42"/>
  <c r="F2956" i="42"/>
  <c r="F2932" i="42"/>
  <c r="F2908" i="42"/>
  <c r="F2884" i="42"/>
  <c r="F2864" i="42"/>
  <c r="F2840" i="42"/>
  <c r="F2832" i="42"/>
  <c r="F2823" i="42"/>
  <c r="F2813" i="42"/>
  <c r="F2799" i="42"/>
  <c r="F2776" i="42"/>
  <c r="F2743" i="42"/>
  <c r="F2721" i="42"/>
  <c r="F2707" i="42"/>
  <c r="F2650" i="42"/>
  <c r="F2637" i="42"/>
  <c r="F2610" i="42"/>
  <c r="F2601" i="42"/>
  <c r="F2592" i="42"/>
  <c r="F2555" i="42"/>
  <c r="F2528" i="42"/>
  <c r="F2508" i="42"/>
  <c r="F2495" i="42"/>
  <c r="F2484" i="42"/>
  <c r="F2466" i="42"/>
  <c r="F2455" i="42"/>
  <c r="F2444" i="42"/>
  <c r="F2429" i="42"/>
  <c r="F2328" i="42"/>
  <c r="F2309" i="42"/>
  <c r="F2291" i="42"/>
  <c r="F2245" i="42"/>
  <c r="F2217" i="42"/>
  <c r="F2180" i="42"/>
  <c r="F2156" i="42"/>
  <c r="F2149" i="42"/>
  <c r="F2135" i="42"/>
  <c r="F2123" i="42"/>
  <c r="F2075" i="42"/>
  <c r="F2010" i="42"/>
  <c r="F1968" i="42"/>
  <c r="F1925" i="42"/>
  <c r="F1887" i="42"/>
  <c r="F1862" i="42"/>
  <c r="F1850" i="42"/>
  <c r="F1838" i="42"/>
  <c r="F1813" i="42"/>
  <c r="F1783" i="42"/>
  <c r="F1773" i="42"/>
  <c r="F1748" i="42"/>
  <c r="F1736" i="42"/>
  <c r="F1728" i="42"/>
  <c r="F1674" i="42"/>
  <c r="F1655" i="42"/>
  <c r="F1643" i="42"/>
  <c r="F1619" i="42"/>
  <c r="F1605" i="42"/>
  <c r="F1586" i="42"/>
  <c r="F1582" i="42"/>
  <c r="F1570" i="42"/>
  <c r="F1555" i="42"/>
  <c r="F1547" i="42"/>
  <c r="F1517" i="42"/>
  <c r="F1487" i="42"/>
  <c r="F1457" i="42"/>
  <c r="F1453" i="42"/>
  <c r="F1438" i="42"/>
  <c r="F1415" i="42"/>
  <c r="F1399" i="42"/>
  <c r="F1385" i="42"/>
  <c r="F1361" i="42"/>
  <c r="F1322" i="42"/>
  <c r="F1286" i="42"/>
  <c r="F1256" i="42"/>
  <c r="F1237" i="42"/>
  <c r="F1233" i="42"/>
  <c r="F1229" i="42"/>
  <c r="F1200" i="42"/>
  <c r="F1167" i="42"/>
  <c r="F1153" i="42"/>
  <c r="F1133" i="42"/>
  <c r="F1113" i="42"/>
  <c r="F1088" i="42"/>
  <c r="F1066" i="42"/>
  <c r="F1032" i="42"/>
  <c r="F993" i="42"/>
  <c r="F981" i="42"/>
  <c r="F963" i="42"/>
  <c r="F948" i="42"/>
  <c r="F936" i="42"/>
  <c r="F924" i="42"/>
  <c r="F911" i="42"/>
  <c r="F869" i="42"/>
  <c r="F865" i="42"/>
  <c r="F809" i="42"/>
  <c r="F739" i="42"/>
  <c r="F735" i="42"/>
  <c r="F731" i="42"/>
  <c r="F719" i="42"/>
  <c r="F715" i="42"/>
  <c r="F703" i="42"/>
  <c r="F699" i="42"/>
  <c r="F695" i="42"/>
  <c r="F683" i="42"/>
  <c r="F667" i="42"/>
  <c r="F653" i="42"/>
  <c r="F638" i="42"/>
  <c r="F626" i="42"/>
  <c r="F622" i="42"/>
  <c r="F611" i="42"/>
  <c r="F600" i="42"/>
  <c r="F589" i="42"/>
  <c r="F578" i="42"/>
  <c r="F566" i="42"/>
  <c r="F554" i="42"/>
  <c r="F542" i="42"/>
  <c r="F530" i="42"/>
  <c r="F511" i="42"/>
  <c r="F494" i="42"/>
  <c r="F472" i="42"/>
  <c r="F454" i="42"/>
  <c r="F438" i="42"/>
  <c r="F429" i="42"/>
  <c r="F419" i="42"/>
  <c r="F385" i="42"/>
  <c r="F373" i="42"/>
  <c r="F352" i="42"/>
  <c r="F336" i="42"/>
  <c r="F320" i="42"/>
  <c r="F308" i="42"/>
  <c r="F278" i="42"/>
  <c r="F248" i="42"/>
  <c r="F212" i="42"/>
  <c r="F161" i="42"/>
  <c r="F141" i="42"/>
  <c r="F122" i="42"/>
  <c r="F111" i="42"/>
  <c r="F96" i="42"/>
  <c r="F76" i="42"/>
  <c r="F60" i="42"/>
  <c r="F38" i="42"/>
  <c r="F28" i="42"/>
  <c r="F17" i="42"/>
  <c r="F2115" i="42"/>
  <c r="F2063" i="42"/>
  <c r="F1998" i="42"/>
  <c r="F1960" i="42"/>
  <c r="F1916" i="42"/>
  <c r="F1876" i="42"/>
  <c r="F1853" i="42"/>
  <c r="F1849" i="42"/>
  <c r="F1827" i="42"/>
  <c r="F1812" i="42"/>
  <c r="F1782" i="42"/>
  <c r="F1762" i="42"/>
  <c r="F1747" i="42"/>
  <c r="F1731" i="42"/>
  <c r="F1706" i="42"/>
  <c r="F1673" i="42"/>
  <c r="F1650" i="42"/>
  <c r="F1632" i="42"/>
  <c r="F1618" i="42"/>
  <c r="F1604" i="42"/>
  <c r="F1585" i="42"/>
  <c r="F1581" i="42"/>
  <c r="F1558" i="42"/>
  <c r="F1550" i="42"/>
  <c r="F1527" i="42"/>
  <c r="F1516" i="42"/>
  <c r="F1482" i="42"/>
  <c r="F1456" i="42"/>
  <c r="F1446" i="42"/>
  <c r="F1431" i="42"/>
  <c r="F1414" i="42"/>
  <c r="F1391" i="42"/>
  <c r="F1381" i="42"/>
  <c r="F1352" i="42"/>
  <c r="F1297" i="42"/>
  <c r="F1273" i="42"/>
  <c r="F1255" i="42"/>
  <c r="F1236" i="42"/>
  <c r="F1232" i="42"/>
  <c r="F1228" i="42"/>
  <c r="F1191" i="42"/>
  <c r="F1166" i="42"/>
  <c r="F1144" i="42"/>
  <c r="F1125" i="42"/>
  <c r="F1105" i="42"/>
  <c r="F1087" i="42"/>
  <c r="F1061" i="42"/>
  <c r="F1022" i="42"/>
  <c r="F992" i="42"/>
  <c r="F980" i="42"/>
  <c r="F962" i="42"/>
  <c r="F947" i="42"/>
  <c r="F927" i="42"/>
  <c r="F923" i="42"/>
  <c r="F904" i="42"/>
  <c r="F868" i="42"/>
  <c r="F864" i="42"/>
  <c r="F808" i="42"/>
  <c r="F738" i="42"/>
  <c r="F734" i="42"/>
  <c r="F722" i="42"/>
  <c r="F718" i="42"/>
  <c r="F714" i="42"/>
  <c r="F702" i="42"/>
  <c r="F698" i="42"/>
  <c r="F686" i="42"/>
  <c r="F682" i="42"/>
  <c r="F666" i="42"/>
  <c r="F652" i="42"/>
  <c r="F637" i="42"/>
  <c r="F625" i="42"/>
  <c r="F614" i="42"/>
  <c r="F610" i="42"/>
  <c r="F599" i="42"/>
  <c r="F581" i="42"/>
  <c r="F577" i="42"/>
  <c r="F565" i="42"/>
  <c r="F545" i="42"/>
  <c r="F541" i="42"/>
  <c r="F521" i="42"/>
  <c r="F510" i="42"/>
  <c r="F482" i="42"/>
  <c r="F464" i="42"/>
  <c r="F447" i="42"/>
  <c r="F437" i="42"/>
  <c r="F428" i="42"/>
  <c r="F411" i="42"/>
  <c r="F384" i="42"/>
  <c r="F372" i="42"/>
  <c r="F351" i="42"/>
  <c r="F335" i="42"/>
  <c r="F319" i="42"/>
  <c r="F298" i="42"/>
  <c r="F268" i="42"/>
  <c r="F226" i="42"/>
  <c r="F190" i="42"/>
  <c r="F160" i="42"/>
  <c r="F140" i="42"/>
  <c r="F118" i="42"/>
  <c r="F99" i="42"/>
  <c r="F95" i="42"/>
  <c r="F70" i="42"/>
  <c r="F59" i="42"/>
  <c r="F35" i="42"/>
  <c r="F27" i="42"/>
  <c r="F16" i="42"/>
  <c r="F3314" i="42"/>
  <c r="F3312" i="42"/>
  <c r="F203" i="42"/>
  <c r="F201" i="42"/>
  <c r="F3315" i="42"/>
  <c r="I1319" i="42"/>
  <c r="J1319" i="42" s="1"/>
  <c r="J1317" i="42" s="1"/>
  <c r="K1316" i="42" s="1"/>
  <c r="I60" i="93"/>
  <c r="L60" i="93" s="1"/>
  <c r="T60" i="93" s="1"/>
  <c r="T556" i="66"/>
  <c r="Y556" i="66" s="1"/>
  <c r="E61" i="93"/>
  <c r="H1827" i="42"/>
  <c r="P599" i="66"/>
  <c r="Z599" i="66"/>
  <c r="P565" i="66"/>
  <c r="Z565" i="66"/>
  <c r="Z406" i="66"/>
  <c r="P406" i="66"/>
  <c r="P50" i="66"/>
  <c r="Z50" i="66"/>
  <c r="I2515" i="42"/>
  <c r="J2515" i="42" s="1"/>
  <c r="T605" i="66"/>
  <c r="Y605" i="66" s="1"/>
  <c r="B1247" i="42"/>
  <c r="G40" i="93"/>
  <c r="J40" i="93" s="1"/>
  <c r="M40" i="93" s="1"/>
  <c r="D41" i="93"/>
  <c r="G41" i="93" s="1"/>
  <c r="J41" i="93" s="1"/>
  <c r="M41" i="93" s="1"/>
  <c r="G15" i="85" s="1"/>
  <c r="G32" i="93"/>
  <c r="J32" i="93" s="1"/>
  <c r="M32" i="93" s="1"/>
  <c r="D33" i="93"/>
  <c r="G33" i="93" s="1"/>
  <c r="J33" i="93" s="1"/>
  <c r="M33" i="93" s="1"/>
  <c r="G11" i="85" s="1"/>
  <c r="G2576" i="98"/>
  <c r="Q635" i="66"/>
  <c r="Q773" i="66"/>
  <c r="R773" i="66" s="1"/>
  <c r="Q580" i="66"/>
  <c r="Q128" i="66"/>
  <c r="Q479" i="66"/>
  <c r="Q21" i="66"/>
  <c r="P514" i="66"/>
  <c r="Z514" i="66"/>
  <c r="I51" i="93"/>
  <c r="L51" i="93" s="1"/>
  <c r="F19" i="85" s="1"/>
  <c r="I1284" i="42" s="1"/>
  <c r="J1284" i="42" s="1"/>
  <c r="L1274" i="42" s="1"/>
  <c r="I42" i="93"/>
  <c r="L42" i="93" s="1"/>
  <c r="Z517" i="66"/>
  <c r="T554" i="66"/>
  <c r="Y554" i="66" s="1"/>
  <c r="A41" i="58"/>
  <c r="F73" i="42"/>
  <c r="G511" i="98"/>
  <c r="G495" i="98"/>
  <c r="H366" i="98"/>
  <c r="H1337" i="103"/>
  <c r="H410" i="103"/>
  <c r="H214" i="103"/>
  <c r="H1769" i="98"/>
  <c r="H1125" i="98"/>
  <c r="H563" i="98"/>
  <c r="H3203" i="98"/>
  <c r="H1467" i="98"/>
  <c r="H1293" i="98"/>
  <c r="H65" i="98"/>
  <c r="H2827" i="98"/>
  <c r="H1451" i="98"/>
  <c r="H1269" i="98"/>
  <c r="H599" i="98"/>
  <c r="H2865" i="98"/>
  <c r="H1523" i="98"/>
  <c r="H1335" i="98"/>
  <c r="H784" i="98"/>
  <c r="H221" i="98"/>
  <c r="H1215" i="103"/>
  <c r="H1185" i="103"/>
  <c r="H791" i="103"/>
  <c r="H136" i="103"/>
  <c r="H2846" i="98"/>
  <c r="H1506" i="98"/>
  <c r="H1314" i="98"/>
  <c r="H84" i="98"/>
  <c r="H3017" i="98"/>
  <c r="H1600" i="98"/>
  <c r="H825" i="98"/>
  <c r="H458" i="98"/>
  <c r="H1787" i="98"/>
  <c r="H2808" i="98"/>
  <c r="H581" i="98"/>
  <c r="H1543" i="98"/>
  <c r="H1167" i="103"/>
  <c r="H772" i="103"/>
  <c r="H3185" i="98"/>
  <c r="H2771" i="98"/>
  <c r="H1367" i="103"/>
  <c r="H3184" i="98"/>
  <c r="H771" i="103"/>
  <c r="H474" i="103"/>
  <c r="I474" i="103" s="1"/>
  <c r="H1381" i="103"/>
  <c r="I1381" i="103" s="1"/>
  <c r="H965" i="98"/>
  <c r="H917" i="98"/>
  <c r="H495" i="98"/>
  <c r="H438" i="98"/>
  <c r="H940" i="98"/>
  <c r="H964" i="98"/>
  <c r="H916" i="98"/>
  <c r="H3035" i="98"/>
  <c r="H2759" i="98"/>
  <c r="H1690" i="98"/>
  <c r="H1124" i="103"/>
  <c r="H725" i="98"/>
  <c r="H745" i="98"/>
  <c r="H475" i="103"/>
  <c r="I475" i="103" s="1"/>
  <c r="H1382" i="103"/>
  <c r="I1382" i="103" s="1"/>
  <c r="H650" i="98"/>
  <c r="H262" i="98"/>
  <c r="H254" i="103"/>
  <c r="H937" i="103"/>
  <c r="H705" i="103"/>
  <c r="H3337" i="98"/>
  <c r="H1051" i="103"/>
  <c r="H1929" i="98"/>
  <c r="F2498" i="98"/>
  <c r="F2308" i="98"/>
  <c r="F1847" i="98"/>
  <c r="F1606" i="98"/>
  <c r="F1302" i="98"/>
  <c r="F1190" i="98"/>
  <c r="F1033" i="98"/>
  <c r="F793" i="98"/>
  <c r="F571" i="98"/>
  <c r="F486" i="98"/>
  <c r="F356" i="98"/>
  <c r="F158" i="98"/>
  <c r="F19" i="98"/>
  <c r="F3349" i="98"/>
  <c r="F3209" i="98"/>
  <c r="F2874" i="98"/>
  <c r="F2774" i="98"/>
  <c r="F2659" i="98"/>
  <c r="F2555" i="98"/>
  <c r="H365" i="98"/>
  <c r="H2669" i="98"/>
  <c r="H623" i="103"/>
  <c r="I623" i="103" s="1"/>
  <c r="H303" i="103"/>
  <c r="I303" i="103" s="1"/>
  <c r="H2018" i="98"/>
  <c r="I2018" i="98" s="1"/>
  <c r="H255" i="103"/>
  <c r="H260" i="98"/>
  <c r="H289" i="98"/>
  <c r="H327" i="98"/>
  <c r="H2073" i="98"/>
  <c r="H3142" i="98"/>
  <c r="H894" i="98"/>
  <c r="H1354" i="103"/>
  <c r="H894" i="103"/>
  <c r="H2256" i="98"/>
  <c r="H2444" i="98"/>
  <c r="H419" i="98"/>
  <c r="H2940" i="98"/>
  <c r="H2041" i="98"/>
  <c r="H3047" i="98"/>
  <c r="H367" i="98"/>
  <c r="H3305" i="98"/>
  <c r="H3154" i="98"/>
  <c r="H1692" i="98"/>
  <c r="H1887" i="98"/>
  <c r="I1887" i="98" s="1"/>
  <c r="G3280" i="98"/>
  <c r="H1081" i="103"/>
  <c r="H1102" i="103"/>
  <c r="H342" i="103"/>
  <c r="I342" i="103" s="1"/>
  <c r="H361" i="103"/>
  <c r="I361" i="103" s="1"/>
  <c r="H1082" i="103"/>
  <c r="H1103" i="103"/>
  <c r="H1088" i="98"/>
  <c r="H2489" i="98"/>
  <c r="H1015" i="98"/>
  <c r="D34" i="93"/>
  <c r="G34" i="93" s="1"/>
  <c r="J34" i="93" s="1"/>
  <c r="M34" i="93" s="1"/>
  <c r="D35" i="93"/>
  <c r="D72" i="93" l="1"/>
  <c r="G71" i="93"/>
  <c r="J71" i="93" s="1"/>
  <c r="M71" i="93" s="1"/>
  <c r="Y27" i="58"/>
  <c r="B322" i="42"/>
  <c r="P214" i="66"/>
  <c r="B115" i="42"/>
  <c r="B344" i="42"/>
  <c r="B1717" i="42"/>
  <c r="B569" i="42"/>
  <c r="B2903" i="42"/>
  <c r="B71" i="42"/>
  <c r="F356" i="42"/>
  <c r="B750" i="42"/>
  <c r="B913" i="42"/>
  <c r="T630" i="66"/>
  <c r="Y630" i="66" s="1"/>
  <c r="C2956" i="98"/>
  <c r="N16" i="86"/>
  <c r="Y44" i="58"/>
  <c r="AE44" i="58" s="1"/>
  <c r="P666" i="66"/>
  <c r="Z389" i="66"/>
  <c r="I1005" i="42"/>
  <c r="J1005" i="42" s="1"/>
  <c r="I3101" i="42"/>
  <c r="J3101" i="42" s="1"/>
  <c r="I675" i="42"/>
  <c r="J675" i="42" s="1"/>
  <c r="I2039" i="42"/>
  <c r="J2039" i="42" s="1"/>
  <c r="P910" i="66"/>
  <c r="AC910" i="66" s="1"/>
  <c r="J2631" i="42"/>
  <c r="J292" i="42"/>
  <c r="J262" i="42"/>
  <c r="I1313" i="42"/>
  <c r="J1313" i="42" s="1"/>
  <c r="J243" i="42"/>
  <c r="I107" i="42"/>
  <c r="J107" i="42" s="1"/>
  <c r="I3107" i="42"/>
  <c r="J3107" i="42" s="1"/>
  <c r="I1407" i="42"/>
  <c r="J1407" i="42" s="1"/>
  <c r="Z830" i="66"/>
  <c r="H1880" i="42"/>
  <c r="B513" i="42"/>
  <c r="I1074" i="42"/>
  <c r="B280" i="42"/>
  <c r="C45" i="93"/>
  <c r="I1051" i="42"/>
  <c r="J1051" i="42" s="1"/>
  <c r="Z794" i="66"/>
  <c r="B1024" i="42"/>
  <c r="B386" i="42"/>
  <c r="B1536" i="42"/>
  <c r="B656" i="42"/>
  <c r="B1205" i="42"/>
  <c r="F442" i="42"/>
  <c r="T297" i="66"/>
  <c r="Y297" i="66" s="1"/>
  <c r="T736" i="66"/>
  <c r="Y736" i="66" s="1"/>
  <c r="I660" i="42"/>
  <c r="J660" i="42" s="1"/>
  <c r="I2229" i="42"/>
  <c r="J2229" i="42" s="1"/>
  <c r="B123" i="42"/>
  <c r="I2569" i="42"/>
  <c r="J2569" i="42" s="1"/>
  <c r="P914" i="66"/>
  <c r="I998" i="42"/>
  <c r="J998" i="42" s="1"/>
  <c r="H229" i="103"/>
  <c r="I229" i="103" s="1"/>
  <c r="I159" i="102"/>
  <c r="I1506" i="42"/>
  <c r="J1506" i="42" s="1"/>
  <c r="F62" i="12"/>
  <c r="I62" i="12" s="1"/>
  <c r="K19" i="84"/>
  <c r="H3000" i="98"/>
  <c r="I3000" i="98" s="1"/>
  <c r="H3001" i="98" s="1"/>
  <c r="I3001" i="98" s="1"/>
  <c r="I2999" i="98" s="1"/>
  <c r="I134" i="102"/>
  <c r="H893" i="103" s="1"/>
  <c r="I893" i="103" s="1"/>
  <c r="B250" i="42"/>
  <c r="H41" i="93"/>
  <c r="K41" i="93" s="1"/>
  <c r="N41" i="93" s="1"/>
  <c r="H15" i="85" s="1"/>
  <c r="Z797" i="66"/>
  <c r="B848" i="42"/>
  <c r="B2352" i="42"/>
  <c r="B101" i="42"/>
  <c r="B838" i="42"/>
  <c r="F450" i="42"/>
  <c r="P297" i="66"/>
  <c r="G1976" i="98"/>
  <c r="I1278" i="42"/>
  <c r="J1278" i="42" s="1"/>
  <c r="J1843" i="42"/>
  <c r="J2420" i="42"/>
  <c r="I2857" i="42"/>
  <c r="F1716" i="42"/>
  <c r="T48" i="93"/>
  <c r="H3073" i="42"/>
  <c r="G1312" i="103" s="1"/>
  <c r="B1042" i="42"/>
  <c r="B432" i="42"/>
  <c r="B375" i="42"/>
  <c r="B332" i="42"/>
  <c r="B290" i="42"/>
  <c r="E171" i="102"/>
  <c r="E181" i="102"/>
  <c r="C520" i="103"/>
  <c r="C2573" i="98"/>
  <c r="C390" i="103"/>
  <c r="C2175" i="98"/>
  <c r="C193" i="103"/>
  <c r="C1766" i="98"/>
  <c r="C179" i="103"/>
  <c r="C1643" i="98"/>
  <c r="B523" i="42"/>
  <c r="B768" i="42"/>
  <c r="B813" i="42"/>
  <c r="B270" i="42"/>
  <c r="B853" i="42"/>
  <c r="B503" i="42"/>
  <c r="B1954" i="42"/>
  <c r="B1195" i="42"/>
  <c r="B1090" i="42"/>
  <c r="B1076" i="42"/>
  <c r="B1047" i="42"/>
  <c r="B789" i="42"/>
  <c r="B705" i="42"/>
  <c r="B84" i="42"/>
  <c r="B3296" i="42"/>
  <c r="B995" i="42"/>
  <c r="B582" i="42"/>
  <c r="B940" i="42"/>
  <c r="B929" i="42"/>
  <c r="B534" i="42"/>
  <c r="B456" i="42"/>
  <c r="B777" i="42"/>
  <c r="B1002" i="42"/>
  <c r="B129" i="42"/>
  <c r="B204" i="42"/>
  <c r="B801" i="42"/>
  <c r="B1054" i="42"/>
  <c r="B1689" i="42"/>
  <c r="B474" i="42"/>
  <c r="B1081" i="42"/>
  <c r="B1067" i="42"/>
  <c r="B440" i="42"/>
  <c r="B1099" i="42"/>
  <c r="C81" i="98"/>
  <c r="C1597" i="98"/>
  <c r="J1598" i="42"/>
  <c r="B2220" i="42"/>
  <c r="B2203" i="42"/>
  <c r="B2182" i="42"/>
  <c r="B2130" i="42"/>
  <c r="B2072" i="42"/>
  <c r="B2066" i="42"/>
  <c r="B2043" i="42"/>
  <c r="B2036" i="42"/>
  <c r="B2021" i="42"/>
  <c r="B1986" i="42"/>
  <c r="B1927" i="42"/>
  <c r="B1909" i="42"/>
  <c r="B1855" i="42"/>
  <c r="B1841" i="42"/>
  <c r="B1785" i="42"/>
  <c r="B1776" i="42"/>
  <c r="B1725" i="42"/>
  <c r="B1504" i="42"/>
  <c r="B1362" i="42"/>
  <c r="B1290" i="42"/>
  <c r="B1034" i="42"/>
  <c r="B894" i="42"/>
  <c r="B870" i="42"/>
  <c r="B843" i="42"/>
  <c r="B833" i="42"/>
  <c r="B828" i="42"/>
  <c r="B818" i="42"/>
  <c r="B423" i="42"/>
  <c r="B354" i="42"/>
  <c r="B228" i="42"/>
  <c r="B214" i="42"/>
  <c r="B142" i="42"/>
  <c r="I1888" i="98"/>
  <c r="F51" i="12"/>
  <c r="I51" i="12" s="1"/>
  <c r="I110" i="102"/>
  <c r="H1671" i="98" s="1"/>
  <c r="I1671" i="98" s="1"/>
  <c r="H1672" i="98" s="1"/>
  <c r="I1672" i="98" s="1"/>
  <c r="I1670" i="98" s="1"/>
  <c r="J1669" i="98" s="1"/>
  <c r="T525" i="66"/>
  <c r="Y525" i="66" s="1"/>
  <c r="T804" i="66"/>
  <c r="Y804" i="66" s="1"/>
  <c r="T777" i="66"/>
  <c r="Y777" i="66" s="1"/>
  <c r="T753" i="66"/>
  <c r="Y753" i="66" s="1"/>
  <c r="T650" i="66"/>
  <c r="Y650" i="66" s="1"/>
  <c r="T560" i="66"/>
  <c r="Y560" i="66" s="1"/>
  <c r="I2665" i="42"/>
  <c r="J2665" i="42" s="1"/>
  <c r="L2662" i="42" s="1"/>
  <c r="I1451" i="42"/>
  <c r="J1451" i="42" s="1"/>
  <c r="L1448" i="42" s="1"/>
  <c r="J123" i="104"/>
  <c r="K2133" i="42"/>
  <c r="D42" i="93"/>
  <c r="G42" i="93" s="1"/>
  <c r="J42" i="93" s="1"/>
  <c r="M42" i="93" s="1"/>
  <c r="T42" i="93" s="1"/>
  <c r="I574" i="42"/>
  <c r="J574" i="42" s="1"/>
  <c r="L569" i="42" s="1"/>
  <c r="I3117" i="42"/>
  <c r="J3117" i="42" s="1"/>
  <c r="L3116" i="42" s="1"/>
  <c r="I1836" i="42"/>
  <c r="I822" i="42"/>
  <c r="J822" i="42" s="1"/>
  <c r="L818" i="42" s="1"/>
  <c r="F75" i="12"/>
  <c r="I75" i="12" s="1"/>
  <c r="I840" i="42" s="1"/>
  <c r="J840" i="42" s="1"/>
  <c r="I841" i="42" s="1"/>
  <c r="J841" i="42" s="1"/>
  <c r="J839" i="42" s="1"/>
  <c r="K838" i="42" s="1"/>
  <c r="F71" i="12"/>
  <c r="I71" i="12" s="1"/>
  <c r="I820" i="42" s="1"/>
  <c r="J820" i="42" s="1"/>
  <c r="I821" i="42" s="1"/>
  <c r="J821" i="42" s="1"/>
  <c r="J819" i="42" s="1"/>
  <c r="K818" i="42" s="1"/>
  <c r="H1891" i="42"/>
  <c r="H1890" i="42"/>
  <c r="B2629" i="42"/>
  <c r="B1127" i="42"/>
  <c r="H1066" i="42"/>
  <c r="G1370" i="98" s="1"/>
  <c r="H1064" i="42"/>
  <c r="G1368" i="98" s="1"/>
  <c r="C986" i="98"/>
  <c r="B688" i="42"/>
  <c r="C95" i="103"/>
  <c r="B448" i="42"/>
  <c r="C52" i="103"/>
  <c r="B148" i="42"/>
  <c r="C22" i="103"/>
  <c r="B119" i="42"/>
  <c r="E28" i="98"/>
  <c r="Q654" i="66"/>
  <c r="F22" i="42"/>
  <c r="B1038" i="42"/>
  <c r="B260" i="42"/>
  <c r="B906" i="42"/>
  <c r="B823" i="42"/>
  <c r="B759" i="42"/>
  <c r="B2946" i="42"/>
  <c r="B1733" i="42"/>
  <c r="B1697" i="42"/>
  <c r="B1657" i="42"/>
  <c r="B1652" i="42"/>
  <c r="B1647" i="42"/>
  <c r="B1595" i="42"/>
  <c r="B1573" i="42"/>
  <c r="B1115" i="42"/>
  <c r="B312" i="42"/>
  <c r="B2437" i="42"/>
  <c r="B1009" i="42"/>
  <c r="B235" i="42"/>
  <c r="B39" i="42"/>
  <c r="B951" i="42"/>
  <c r="B558" i="42"/>
  <c r="B547" i="42"/>
  <c r="B857" i="42"/>
  <c r="B78" i="42"/>
  <c r="B240" i="42"/>
  <c r="B1383" i="42"/>
  <c r="B137" i="42"/>
  <c r="B2962" i="42"/>
  <c r="B2391" i="42"/>
  <c r="B3273" i="42"/>
  <c r="B488" i="42"/>
  <c r="B404" i="42"/>
  <c r="B300" i="42"/>
  <c r="B640" i="42"/>
  <c r="B1965" i="42"/>
  <c r="B741" i="42"/>
  <c r="B163" i="42"/>
  <c r="B1063" i="42"/>
  <c r="C13" i="49" s="1"/>
  <c r="B602" i="42"/>
  <c r="B984" i="42"/>
  <c r="B191" i="42"/>
  <c r="B1975" i="42"/>
  <c r="B465" i="42"/>
  <c r="B3121" i="42"/>
  <c r="B2013" i="42"/>
  <c r="B3287" i="42"/>
  <c r="B2545" i="42"/>
  <c r="B395" i="42"/>
  <c r="B671" i="42"/>
  <c r="B338" i="42"/>
  <c r="B592" i="42"/>
  <c r="B966" i="42"/>
  <c r="P899" i="66"/>
  <c r="Z899" i="66"/>
  <c r="Z784" i="66"/>
  <c r="P784" i="66"/>
  <c r="P739" i="66"/>
  <c r="Z739" i="66"/>
  <c r="T739" i="66"/>
  <c r="Y739" i="66" s="1"/>
  <c r="Z725" i="66"/>
  <c r="P725" i="66"/>
  <c r="P680" i="66"/>
  <c r="T680" i="66"/>
  <c r="Y680" i="66" s="1"/>
  <c r="P569" i="66"/>
  <c r="T569" i="66"/>
  <c r="Y569" i="66" s="1"/>
  <c r="Z545" i="66"/>
  <c r="P545" i="66"/>
  <c r="P540" i="66"/>
  <c r="Z540" i="66"/>
  <c r="P453" i="66"/>
  <c r="Z453" i="66"/>
  <c r="Z434" i="66"/>
  <c r="P434" i="66"/>
  <c r="P378" i="66"/>
  <c r="Z378" i="66"/>
  <c r="P355" i="66"/>
  <c r="Z355" i="66"/>
  <c r="P292" i="66"/>
  <c r="Z292" i="66"/>
  <c r="T292" i="66"/>
  <c r="Y292" i="66" s="1"/>
  <c r="P243" i="66"/>
  <c r="Z243" i="66"/>
  <c r="Z208" i="66"/>
  <c r="T208" i="66"/>
  <c r="Y208" i="66" s="1"/>
  <c r="AC784" i="66"/>
  <c r="E72" i="93"/>
  <c r="H71" i="93"/>
  <c r="K71" i="93" s="1"/>
  <c r="N71" i="93" s="1"/>
  <c r="C989" i="103"/>
  <c r="B2891" i="42"/>
  <c r="H2434" i="42"/>
  <c r="H2430" i="42"/>
  <c r="J2857" i="42"/>
  <c r="W18" i="58"/>
  <c r="T760" i="66"/>
  <c r="Y760" i="66" s="1"/>
  <c r="I972" i="42"/>
  <c r="J972" i="42" s="1"/>
  <c r="H459" i="98"/>
  <c r="H402" i="98"/>
  <c r="I402" i="98" s="1"/>
  <c r="J6" i="98"/>
  <c r="F3405" i="98"/>
  <c r="F2100" i="98"/>
  <c r="F409" i="98"/>
  <c r="J176" i="104"/>
  <c r="J177" i="104" s="1"/>
  <c r="J181" i="104"/>
  <c r="J189" i="104"/>
  <c r="J183" i="104"/>
  <c r="J184" i="104" s="1"/>
  <c r="J8" i="104"/>
  <c r="H10" i="104" s="1"/>
  <c r="J38" i="104"/>
  <c r="I1314" i="42"/>
  <c r="J1314" i="42" s="1"/>
  <c r="J1311" i="42" s="1"/>
  <c r="K1310" i="42" s="1"/>
  <c r="J3341" i="42"/>
  <c r="M3336" i="42" s="1"/>
  <c r="H1228" i="98"/>
  <c r="I1228" i="98" s="1"/>
  <c r="I1227" i="98"/>
  <c r="J58" i="104"/>
  <c r="I1302" i="42"/>
  <c r="J1302" i="42" s="1"/>
  <c r="J1299" i="42" s="1"/>
  <c r="K1298" i="42" s="1"/>
  <c r="H61" i="93"/>
  <c r="K61" i="93" s="1"/>
  <c r="N61" i="93" s="1"/>
  <c r="E62" i="93"/>
  <c r="H3397" i="98"/>
  <c r="I3397" i="98" s="1"/>
  <c r="H1902" i="98"/>
  <c r="I1902" i="98" s="1"/>
  <c r="H1633" i="98"/>
  <c r="I1633" i="98" s="1"/>
  <c r="H805" i="98"/>
  <c r="I805" i="98" s="1"/>
  <c r="K800" i="98" s="1"/>
  <c r="H767" i="98"/>
  <c r="I767" i="98" s="1"/>
  <c r="K762" i="98" s="1"/>
  <c r="H685" i="98"/>
  <c r="I685" i="98" s="1"/>
  <c r="K680" i="98" s="1"/>
  <c r="H705" i="98"/>
  <c r="I705" i="98" s="1"/>
  <c r="K700" i="98" s="1"/>
  <c r="F21" i="85"/>
  <c r="T58" i="93"/>
  <c r="H13" i="85"/>
  <c r="H2094" i="98" s="1"/>
  <c r="I2094" i="98" s="1"/>
  <c r="L2090" i="98" s="1"/>
  <c r="H140" i="98"/>
  <c r="C31" i="93"/>
  <c r="F30" i="93"/>
  <c r="I30" i="93" s="1"/>
  <c r="L30" i="93" s="1"/>
  <c r="T30" i="93" s="1"/>
  <c r="G51" i="93"/>
  <c r="D52" i="93"/>
  <c r="E48" i="7"/>
  <c r="E125" i="7"/>
  <c r="E116" i="7"/>
  <c r="E136" i="7"/>
  <c r="C1473" i="103"/>
  <c r="B3209" i="42"/>
  <c r="C1460" i="103"/>
  <c r="B3199" i="42"/>
  <c r="C788" i="103"/>
  <c r="B2293" i="42"/>
  <c r="C754" i="103"/>
  <c r="B2266" i="42"/>
  <c r="C724" i="103"/>
  <c r="B2254" i="42"/>
  <c r="H1823" i="42"/>
  <c r="H1826" i="42"/>
  <c r="C2380" i="98"/>
  <c r="B1663" i="42"/>
  <c r="C2231" i="98"/>
  <c r="B1560" i="42"/>
  <c r="C338" i="103"/>
  <c r="B1459" i="42"/>
  <c r="C12" i="96" s="1"/>
  <c r="C318" i="103"/>
  <c r="B1448" i="42"/>
  <c r="C2124" i="98"/>
  <c r="C2071" i="98"/>
  <c r="B1422" i="42"/>
  <c r="C300" i="103"/>
  <c r="B1393" i="42"/>
  <c r="C284" i="103"/>
  <c r="B1386" i="42"/>
  <c r="C1999" i="98"/>
  <c r="G259" i="103"/>
  <c r="G1974" i="98"/>
  <c r="C242" i="103"/>
  <c r="C1961" i="98"/>
  <c r="C1912" i="98"/>
  <c r="B1332" i="42"/>
  <c r="C227" i="103"/>
  <c r="B1304" i="42"/>
  <c r="F1292" i="42"/>
  <c r="E1824" i="98"/>
  <c r="B1202" i="42"/>
  <c r="C1657" i="98"/>
  <c r="C149" i="103"/>
  <c r="C1613" i="98"/>
  <c r="B1183" i="42"/>
  <c r="I2366" i="42"/>
  <c r="J2366" i="42" s="1"/>
  <c r="J2365" i="42" s="1"/>
  <c r="K2364" i="42" s="1"/>
  <c r="I1036" i="42"/>
  <c r="J1036" i="42" s="1"/>
  <c r="J1035" i="42" s="1"/>
  <c r="K1034" i="42" s="1"/>
  <c r="I691" i="42"/>
  <c r="J691" i="42" s="1"/>
  <c r="I727" i="42"/>
  <c r="J727" i="42" s="1"/>
  <c r="I282" i="42"/>
  <c r="J282" i="42" s="1"/>
  <c r="I1787" i="42"/>
  <c r="J1787" i="42" s="1"/>
  <c r="I242" i="42"/>
  <c r="J242" i="42" s="1"/>
  <c r="I16" i="7"/>
  <c r="I304" i="42"/>
  <c r="J304" i="42" s="1"/>
  <c r="I2175" i="42"/>
  <c r="J2175" i="42" s="1"/>
  <c r="I1376" i="42"/>
  <c r="J1376" i="42" s="1"/>
  <c r="I2173" i="42"/>
  <c r="J2173" i="42" s="1"/>
  <c r="G12" i="66"/>
  <c r="I1756" i="42"/>
  <c r="J1756" i="42" s="1"/>
  <c r="I1670" i="42"/>
  <c r="J1670" i="42" s="1"/>
  <c r="I1599" i="42"/>
  <c r="J1599" i="42" s="1"/>
  <c r="I168" i="42"/>
  <c r="J168" i="42" s="1"/>
  <c r="I1216" i="42"/>
  <c r="J1216" i="42" s="1"/>
  <c r="I1696" i="42"/>
  <c r="J1696" i="42" s="1"/>
  <c r="I184" i="42"/>
  <c r="J184" i="42" s="1"/>
  <c r="I1683" i="42"/>
  <c r="J1683" i="42" s="1"/>
  <c r="I3075" i="42"/>
  <c r="J3075" i="42" s="1"/>
  <c r="I218" i="42"/>
  <c r="J218" i="42" s="1"/>
  <c r="I956" i="42"/>
  <c r="J956" i="42" s="1"/>
  <c r="I391" i="42"/>
  <c r="J391" i="42" s="1"/>
  <c r="I2794" i="42"/>
  <c r="J2794" i="42" s="1"/>
  <c r="I1496" i="42"/>
  <c r="J1496" i="42" s="1"/>
  <c r="I1566" i="42"/>
  <c r="J1566" i="42" s="1"/>
  <c r="I3137" i="42"/>
  <c r="J3137" i="42" s="1"/>
  <c r="I197" i="42"/>
  <c r="J197" i="42" s="1"/>
  <c r="I233" i="42"/>
  <c r="J233" i="42" s="1"/>
  <c r="I501" i="42"/>
  <c r="J501" i="42" s="1"/>
  <c r="I674" i="42"/>
  <c r="J674" i="42" s="1"/>
  <c r="I659" i="42"/>
  <c r="J659" i="42" s="1"/>
  <c r="I244" i="42"/>
  <c r="J244" i="42" s="1"/>
  <c r="I2615" i="42"/>
  <c r="J2615" i="42" s="1"/>
  <c r="I3033" i="42"/>
  <c r="J3033" i="42" s="1"/>
  <c r="I632" i="42"/>
  <c r="J632" i="42" s="1"/>
  <c r="I1016" i="42"/>
  <c r="J1016" i="42" s="1"/>
  <c r="I1120" i="42"/>
  <c r="J1120" i="42" s="1"/>
  <c r="I325" i="42"/>
  <c r="J325" i="42" s="1"/>
  <c r="I2701" i="42"/>
  <c r="J2701" i="42" s="1"/>
  <c r="I206" i="42"/>
  <c r="J206" i="42" s="1"/>
  <c r="I1577" i="42"/>
  <c r="J1577" i="42" s="1"/>
  <c r="I460" i="42"/>
  <c r="J460" i="42" s="1"/>
  <c r="I1110" i="42"/>
  <c r="J1110" i="42" s="1"/>
  <c r="I2451" i="42"/>
  <c r="J2451" i="42" s="1"/>
  <c r="I368" i="42"/>
  <c r="J368" i="42" s="1"/>
  <c r="I2441" i="42"/>
  <c r="J2441" i="42" s="1"/>
  <c r="I1948" i="42"/>
  <c r="J1948" i="42" s="1"/>
  <c r="I606" i="42"/>
  <c r="J606" i="42" s="1"/>
  <c r="I1819" i="42"/>
  <c r="J1819" i="42" s="1"/>
  <c r="I1694" i="42"/>
  <c r="J1694" i="42" s="1"/>
  <c r="I944" i="42"/>
  <c r="J944" i="42" s="1"/>
  <c r="I1139" i="42"/>
  <c r="J1139" i="42" s="1"/>
  <c r="I646" i="42"/>
  <c r="J646" i="42" s="1"/>
  <c r="I155" i="42"/>
  <c r="J155" i="42" s="1"/>
  <c r="I3021" i="42"/>
  <c r="J3021" i="42" s="1"/>
  <c r="I3135" i="42"/>
  <c r="J3135" i="42" s="1"/>
  <c r="I1668" i="42"/>
  <c r="J1668" i="42" s="1"/>
  <c r="I1799" i="42"/>
  <c r="J1799" i="42" s="1"/>
  <c r="I182" i="42"/>
  <c r="J182" i="42" s="1"/>
  <c r="I1408" i="42"/>
  <c r="J1408" i="42" s="1"/>
  <c r="I1600" i="42"/>
  <c r="J1600" i="42" s="1"/>
  <c r="I425" i="42"/>
  <c r="J425" i="42" s="1"/>
  <c r="J424" i="42" s="1"/>
  <c r="K423" i="42" s="1"/>
  <c r="I3304" i="42"/>
  <c r="J3304" i="42" s="1"/>
  <c r="I2481" i="42"/>
  <c r="J2481" i="42" s="1"/>
  <c r="I2772" i="42"/>
  <c r="I55" i="42"/>
  <c r="J55" i="42" s="1"/>
  <c r="I1564" i="42"/>
  <c r="J1564" i="42" s="1"/>
  <c r="I1808" i="42"/>
  <c r="J1808" i="42" s="1"/>
  <c r="I469" i="42"/>
  <c r="J469" i="42" s="1"/>
  <c r="I88" i="42"/>
  <c r="J88" i="42" s="1"/>
  <c r="I1187" i="42"/>
  <c r="J1187" i="42" s="1"/>
  <c r="I379" i="42"/>
  <c r="J379" i="42" s="1"/>
  <c r="I586" i="42"/>
  <c r="J586" i="42" s="1"/>
  <c r="I2461" i="42"/>
  <c r="J2461" i="42" s="1"/>
  <c r="I1711" i="42"/>
  <c r="J1711" i="42" s="1"/>
  <c r="I2491" i="42"/>
  <c r="J2491" i="42" s="1"/>
  <c r="I2714" i="42"/>
  <c r="J2714" i="42" s="1"/>
  <c r="I263" i="42"/>
  <c r="J263" i="42" s="1"/>
  <c r="I254" i="42"/>
  <c r="J254" i="42" s="1"/>
  <c r="I1845" i="42"/>
  <c r="J1845" i="42" s="1"/>
  <c r="I1902" i="42"/>
  <c r="J1902" i="42" s="1"/>
  <c r="I1613" i="42"/>
  <c r="J1613" i="42" s="1"/>
  <c r="I1162" i="42"/>
  <c r="J1162" i="42" s="1"/>
  <c r="I596" i="42"/>
  <c r="J596" i="42" s="1"/>
  <c r="I2471" i="42"/>
  <c r="J2471" i="42" s="1"/>
  <c r="I1894" i="42"/>
  <c r="J1894" i="42" s="1"/>
  <c r="I65" i="42"/>
  <c r="J65" i="42" s="1"/>
  <c r="I573" i="42"/>
  <c r="J573" i="42" s="1"/>
  <c r="I973" i="42"/>
  <c r="J973" i="42" s="1"/>
  <c r="I284" i="42"/>
  <c r="J284" i="42" s="1"/>
  <c r="I861" i="42"/>
  <c r="J861" i="42" s="1"/>
  <c r="I1639" i="42"/>
  <c r="J1639" i="42" s="1"/>
  <c r="I1222" i="42"/>
  <c r="J1222" i="42" s="1"/>
  <c r="I293" i="42"/>
  <c r="J293" i="42" s="1"/>
  <c r="I3077" i="42"/>
  <c r="J3077" i="42" s="1"/>
  <c r="I1872" i="42"/>
  <c r="J1872" i="42" s="1"/>
  <c r="I619" i="42"/>
  <c r="J619" i="42" s="1"/>
  <c r="I1494" i="42"/>
  <c r="J1494" i="42" s="1"/>
  <c r="I1626" i="42"/>
  <c r="J1626" i="42" s="1"/>
  <c r="I2735" i="42"/>
  <c r="J2735" i="42" s="1"/>
  <c r="I478" i="42"/>
  <c r="J478" i="42" s="1"/>
  <c r="I1293" i="42"/>
  <c r="J1293" i="42" s="1"/>
  <c r="I1931" i="42"/>
  <c r="J1931" i="42" s="1"/>
  <c r="I1832" i="42"/>
  <c r="J1832" i="42" s="1"/>
  <c r="I986" i="42"/>
  <c r="J986" i="42" s="1"/>
  <c r="I988" i="42" s="1"/>
  <c r="J988" i="42" s="1"/>
  <c r="J985" i="42" s="1"/>
  <c r="K984" i="42" s="1"/>
  <c r="I1767" i="42"/>
  <c r="J1767" i="42" s="1"/>
  <c r="I274" i="42"/>
  <c r="J274" i="42" s="1"/>
  <c r="I275" i="42" s="1"/>
  <c r="J275" i="42" s="1"/>
  <c r="J271" i="42" s="1"/>
  <c r="K270" i="42" s="1"/>
  <c r="I933" i="42"/>
  <c r="J933" i="42" s="1"/>
  <c r="I105" i="42"/>
  <c r="J105" i="42" s="1"/>
  <c r="I1150" i="42"/>
  <c r="J1150" i="42" s="1"/>
  <c r="I315" i="42"/>
  <c r="J315" i="42" s="1"/>
  <c r="I195" i="42"/>
  <c r="J195" i="42" s="1"/>
  <c r="I2550" i="42"/>
  <c r="J2550" i="42" s="1"/>
  <c r="I1045" i="42"/>
  <c r="J1045" i="42" s="1"/>
  <c r="I3000" i="42"/>
  <c r="J3000" i="42" s="1"/>
  <c r="I3011" i="42"/>
  <c r="J3011" i="42" s="1"/>
  <c r="I2286" i="42"/>
  <c r="J2286" i="42" s="1"/>
  <c r="I3097" i="42"/>
  <c r="J3097" i="42" s="1"/>
  <c r="J3096" i="42" s="1"/>
  <c r="K3095" i="42" s="1"/>
  <c r="I2415" i="42"/>
  <c r="J2415" i="42" s="1"/>
  <c r="I2490" i="42"/>
  <c r="J2490" i="42" s="1"/>
  <c r="I378" i="42"/>
  <c r="J378" i="42" s="1"/>
  <c r="I782" i="42"/>
  <c r="J782" i="42" s="1"/>
  <c r="I2470" i="42"/>
  <c r="J2470" i="42" s="1"/>
  <c r="I3020" i="42"/>
  <c r="J3020" i="42" s="1"/>
  <c r="I477" i="42"/>
  <c r="J477" i="42" s="1"/>
  <c r="I932" i="42"/>
  <c r="J932" i="42" s="1"/>
  <c r="I3089" i="42"/>
  <c r="J3089" i="42" s="1"/>
  <c r="I2397" i="42"/>
  <c r="J2397" i="42" s="1"/>
  <c r="I1179" i="42"/>
  <c r="J1179" i="42" s="1"/>
  <c r="I468" i="42"/>
  <c r="J468" i="42" s="1"/>
  <c r="I1930" i="42"/>
  <c r="J1930" i="42" s="1"/>
  <c r="I1130" i="42"/>
  <c r="J1130" i="42" s="1"/>
  <c r="I572" i="42"/>
  <c r="J572" i="42" s="1"/>
  <c r="I2296" i="42"/>
  <c r="J2296" i="42" s="1"/>
  <c r="I208" i="42"/>
  <c r="J208" i="42" s="1"/>
  <c r="I2480" i="42"/>
  <c r="J2480" i="42" s="1"/>
  <c r="I1939" i="42"/>
  <c r="J1939" i="42" s="1"/>
  <c r="I943" i="42"/>
  <c r="J943" i="42" s="1"/>
  <c r="I2440" i="42"/>
  <c r="J2440" i="42" s="1"/>
  <c r="I875" i="42"/>
  <c r="J875" i="42" s="1"/>
  <c r="I3052" i="42"/>
  <c r="J3052" i="42" s="1"/>
  <c r="I1093" i="42"/>
  <c r="J1093" i="42" s="1"/>
  <c r="I585" i="42"/>
  <c r="J585" i="42" s="1"/>
  <c r="I367" i="42"/>
  <c r="J367" i="42" s="1"/>
  <c r="I1138" i="42"/>
  <c r="J1138" i="42" s="1"/>
  <c r="I1261" i="42"/>
  <c r="J1261" i="42" s="1"/>
  <c r="I2684" i="42"/>
  <c r="J2684" i="42" s="1"/>
  <c r="I64" i="42"/>
  <c r="J64" i="42" s="1"/>
  <c r="I1509" i="42"/>
  <c r="J1509" i="42" s="1"/>
  <c r="I899" i="42"/>
  <c r="J899" i="42" s="1"/>
  <c r="I1270" i="42"/>
  <c r="J1270" i="42" s="1"/>
  <c r="I459" i="42"/>
  <c r="J459" i="42" s="1"/>
  <c r="I1972" i="42"/>
  <c r="J1972" i="42" s="1"/>
  <c r="I3330" i="42"/>
  <c r="J3330" i="42" s="1"/>
  <c r="I537" i="42"/>
  <c r="J537" i="42" s="1"/>
  <c r="I1858" i="42"/>
  <c r="J1858" i="42" s="1"/>
  <c r="I561" i="42"/>
  <c r="J561" i="42" s="1"/>
  <c r="I550" i="42"/>
  <c r="J550" i="42" s="1"/>
  <c r="I2559" i="42"/>
  <c r="J2559" i="42" s="1"/>
  <c r="I2563" i="42" s="1"/>
  <c r="J2563" i="42" s="1"/>
  <c r="J2558" i="42" s="1"/>
  <c r="K2557" i="42" s="1"/>
  <c r="I1340" i="42"/>
  <c r="J1340" i="42" s="1"/>
  <c r="I1341" i="42" s="1"/>
  <c r="J1341" i="42" s="1"/>
  <c r="J1339" i="42" s="1"/>
  <c r="K1338" i="42" s="1"/>
  <c r="I2644" i="42"/>
  <c r="J2644" i="42" s="1"/>
  <c r="I804" i="42"/>
  <c r="J804" i="42" s="1"/>
  <c r="I2422" i="42"/>
  <c r="J2422" i="42" s="1"/>
  <c r="I2381" i="42"/>
  <c r="J2381" i="42" s="1"/>
  <c r="J2380" i="42" s="1"/>
  <c r="K2379" i="42" s="1"/>
  <c r="E100" i="7"/>
  <c r="Q413" i="66"/>
  <c r="R413" i="66" s="1"/>
  <c r="Q861" i="66"/>
  <c r="R861" i="66" s="1"/>
  <c r="Q1008" i="66"/>
  <c r="Q144" i="66"/>
  <c r="Q916" i="66"/>
  <c r="Q614" i="66"/>
  <c r="R614" i="66" s="1"/>
  <c r="Q508" i="66"/>
  <c r="Q925" i="66"/>
  <c r="Q414" i="66"/>
  <c r="Q993" i="66"/>
  <c r="Q444" i="66"/>
  <c r="Q619" i="66"/>
  <c r="Q971" i="66"/>
  <c r="Q345" i="66"/>
  <c r="Q220" i="66"/>
  <c r="Q731" i="66"/>
  <c r="R731" i="66" s="1"/>
  <c r="Q201" i="66"/>
  <c r="J257" i="12"/>
  <c r="Q950" i="66"/>
  <c r="Q833" i="66"/>
  <c r="Q737" i="66"/>
  <c r="Q643" i="66"/>
  <c r="Q939" i="66"/>
  <c r="Q241" i="66"/>
  <c r="Q151" i="66"/>
  <c r="Q377" i="66"/>
  <c r="J81" i="12"/>
  <c r="Q449" i="66"/>
  <c r="Q913" i="66"/>
  <c r="Q320" i="66"/>
  <c r="R320" i="66" s="1"/>
  <c r="Q312" i="66"/>
  <c r="Q762" i="66"/>
  <c r="Q85" i="66"/>
  <c r="Q511" i="66"/>
  <c r="Q699" i="66"/>
  <c r="Q820" i="66"/>
  <c r="Q67" i="66"/>
  <c r="Q219" i="66"/>
  <c r="R219" i="66" s="1"/>
  <c r="Q27" i="66"/>
  <c r="Q301" i="66"/>
  <c r="J241" i="12"/>
  <c r="K241" i="12" s="1"/>
  <c r="Q935" i="66"/>
  <c r="Q691" i="66"/>
  <c r="Q430" i="66"/>
  <c r="Q651" i="66"/>
  <c r="Q204" i="66"/>
  <c r="Q821" i="66"/>
  <c r="R821" i="66" s="1"/>
  <c r="Q689" i="66"/>
  <c r="Q324" i="66"/>
  <c r="Q193" i="66"/>
  <c r="Q48" i="66"/>
  <c r="Q604" i="66"/>
  <c r="Q846" i="66"/>
  <c r="Q579" i="66"/>
  <c r="Q717" i="66"/>
  <c r="Q874" i="66"/>
  <c r="Q496" i="66"/>
  <c r="Q343" i="66"/>
  <c r="Q52" i="66"/>
  <c r="Q35" i="66"/>
  <c r="Q55" i="66"/>
  <c r="Q781" i="66"/>
  <c r="Q385" i="66"/>
  <c r="Q223" i="66"/>
  <c r="Q162" i="66"/>
  <c r="Q697" i="66"/>
  <c r="Q598" i="66"/>
  <c r="Q894" i="66"/>
  <c r="Q352" i="66"/>
  <c r="Q68" i="66"/>
  <c r="Q420" i="66"/>
  <c r="J200" i="12"/>
  <c r="Q813" i="66"/>
  <c r="Q303" i="66"/>
  <c r="Q595" i="66"/>
  <c r="Q918" i="66"/>
  <c r="R918" i="66" s="1"/>
  <c r="Q451" i="66"/>
  <c r="Q917" i="66"/>
  <c r="Q865" i="66"/>
  <c r="Q1002" i="66"/>
  <c r="Q743" i="66"/>
  <c r="F8" i="67"/>
  <c r="G8" i="67" s="1"/>
  <c r="Q778" i="66"/>
  <c r="Q464" i="66"/>
  <c r="J48" i="12"/>
  <c r="Q831" i="66"/>
  <c r="Q899" i="66"/>
  <c r="Q185" i="66"/>
  <c r="Q198" i="66"/>
  <c r="Q481" i="66"/>
  <c r="Q192" i="66"/>
  <c r="Q877" i="66"/>
  <c r="Q212" i="66"/>
  <c r="Q886" i="66"/>
  <c r="Q637" i="66"/>
  <c r="Q862" i="66"/>
  <c r="Q782" i="66"/>
  <c r="Q161" i="66"/>
  <c r="Q452" i="66"/>
  <c r="Q375" i="66"/>
  <c r="Q475" i="66"/>
  <c r="Q943" i="66"/>
  <c r="Q378" i="66"/>
  <c r="Q339" i="66"/>
  <c r="R339" i="66" s="1"/>
  <c r="Q222" i="66"/>
  <c r="Q814" i="66"/>
  <c r="Q892" i="66"/>
  <c r="Q304" i="66"/>
  <c r="Q191" i="66"/>
  <c r="Q966" i="66"/>
  <c r="Q531" i="66"/>
  <c r="Q79" i="66"/>
  <c r="Q1024" i="66"/>
  <c r="Q817" i="66"/>
  <c r="J236" i="12"/>
  <c r="K236" i="12" s="1"/>
  <c r="Q896" i="66"/>
  <c r="Q719" i="66"/>
  <c r="Q799" i="66"/>
  <c r="Q1025" i="66"/>
  <c r="Q497" i="66"/>
  <c r="Q263" i="66"/>
  <c r="Q749" i="66"/>
  <c r="Q178" i="66"/>
  <c r="Q850" i="66"/>
  <c r="Q319" i="66"/>
  <c r="Q992" i="66"/>
  <c r="Q934" i="66"/>
  <c r="Q628" i="66"/>
  <c r="R628" i="66" s="1"/>
  <c r="Q522" i="66"/>
  <c r="Q696" i="66"/>
  <c r="R696" i="66" s="1"/>
  <c r="Q438" i="66"/>
  <c r="Q104" i="66"/>
  <c r="Q574" i="66"/>
  <c r="R574" i="66" s="1"/>
  <c r="Q509" i="66"/>
  <c r="Q245" i="66"/>
  <c r="Q648" i="66"/>
  <c r="R648" i="66" s="1"/>
  <c r="Q203" i="66"/>
  <c r="Q518" i="66"/>
  <c r="J264" i="12"/>
  <c r="A264" i="12" s="1"/>
  <c r="Q117" i="66"/>
  <c r="R117" i="66" s="1"/>
  <c r="Q250" i="66"/>
  <c r="Q259" i="66"/>
  <c r="Q390" i="66"/>
  <c r="Q955" i="66"/>
  <c r="Q370" i="66"/>
  <c r="Q495" i="66"/>
  <c r="Q288" i="66"/>
  <c r="J242" i="12"/>
  <c r="Q710" i="66"/>
  <c r="Q980" i="66"/>
  <c r="Q134" i="66"/>
  <c r="Q517" i="66"/>
  <c r="Q512" i="66"/>
  <c r="Q299" i="66"/>
  <c r="R299" i="66" s="1"/>
  <c r="Q905" i="66"/>
  <c r="Q872" i="66"/>
  <c r="J18" i="12"/>
  <c r="A18" i="12" s="1"/>
  <c r="Q855" i="66"/>
  <c r="Q667" i="66"/>
  <c r="Q114" i="66"/>
  <c r="Q344" i="66"/>
  <c r="J82" i="12"/>
  <c r="Q632" i="66"/>
  <c r="R632" i="66" s="1"/>
  <c r="Q50" i="66"/>
  <c r="R50" i="66" s="1"/>
  <c r="Q387" i="66"/>
  <c r="Q789" i="66"/>
  <c r="J227" i="12"/>
  <c r="K227" i="12" s="1"/>
  <c r="Q180" i="66"/>
  <c r="E9" i="98"/>
  <c r="C10" i="104" s="1"/>
  <c r="Q1007" i="66"/>
  <c r="Q810" i="66"/>
  <c r="Q677" i="66"/>
  <c r="Q840" i="66"/>
  <c r="Q989" i="66"/>
  <c r="Q780" i="66"/>
  <c r="Q1005" i="66"/>
  <c r="R1005" i="66" s="1"/>
  <c r="Q43" i="66"/>
  <c r="Q20" i="66"/>
  <c r="Q800" i="66"/>
  <c r="Q194" i="66"/>
  <c r="Q101" i="66"/>
  <c r="Q866" i="66"/>
  <c r="Q590" i="66"/>
  <c r="R590" i="66" s="1"/>
  <c r="Q110" i="66"/>
  <c r="Q165" i="66"/>
  <c r="Q565" i="66"/>
  <c r="R565" i="66" s="1"/>
  <c r="Q36" i="66"/>
  <c r="Q847" i="66"/>
  <c r="Q327" i="66"/>
  <c r="Q118" i="66"/>
  <c r="Q724" i="66"/>
  <c r="Q636" i="66"/>
  <c r="Q1006" i="66"/>
  <c r="Q195" i="66"/>
  <c r="Q911" i="66"/>
  <c r="Q99" i="66"/>
  <c r="Q290" i="66"/>
  <c r="Q949" i="66"/>
  <c r="Q472" i="66"/>
  <c r="Q42" i="66"/>
  <c r="Q903" i="66"/>
  <c r="Q253" i="66"/>
  <c r="Q463" i="66"/>
  <c r="Q527" i="66"/>
  <c r="Q360" i="66"/>
  <c r="Q500" i="66"/>
  <c r="Q556" i="66"/>
  <c r="Q657" i="66"/>
  <c r="Q294" i="66"/>
  <c r="Q325" i="66"/>
  <c r="Q650" i="66"/>
  <c r="R650" i="66" s="1"/>
  <c r="Q832" i="66"/>
  <c r="Q240" i="66"/>
  <c r="Q629" i="66"/>
  <c r="Q970" i="66"/>
  <c r="Q441" i="66"/>
  <c r="Q932" i="66"/>
  <c r="Q103" i="66"/>
  <c r="Q418" i="66"/>
  <c r="Q487" i="66"/>
  <c r="J199" i="12"/>
  <c r="Q946" i="66"/>
  <c r="Q181" i="66"/>
  <c r="Q545" i="66"/>
  <c r="Q830" i="66"/>
  <c r="R830" i="66" s="1"/>
  <c r="Q456" i="66"/>
  <c r="Q489" i="66"/>
  <c r="Q729" i="66"/>
  <c r="R729" i="66" s="1"/>
  <c r="Q805" i="66"/>
  <c r="Q914" i="66"/>
  <c r="Q140" i="66"/>
  <c r="R140" i="66" s="1"/>
  <c r="Q66" i="66"/>
  <c r="Q744" i="66"/>
  <c r="Q683" i="66"/>
  <c r="Q93" i="66"/>
  <c r="Q260" i="66"/>
  <c r="Q922" i="66"/>
  <c r="Q473" i="66"/>
  <c r="Q347" i="66"/>
  <c r="Q419" i="66"/>
  <c r="Q937" i="66"/>
  <c r="Q936" i="66"/>
  <c r="Q551" i="66"/>
  <c r="Q745" i="66"/>
  <c r="Q92" i="66"/>
  <c r="Q281" i="66"/>
  <c r="Q675" i="66"/>
  <c r="Q941" i="66"/>
  <c r="Q80" i="66"/>
  <c r="Q77" i="66"/>
  <c r="Q617" i="66"/>
  <c r="Q802" i="66"/>
  <c r="R802" i="66" s="1"/>
  <c r="J228" i="12"/>
  <c r="K228" i="12" s="1"/>
  <c r="Q234" i="66"/>
  <c r="R234" i="66" s="1"/>
  <c r="Q567" i="66"/>
  <c r="Q532" i="66"/>
  <c r="R532" i="66" s="1"/>
  <c r="Q856" i="66"/>
  <c r="Q376" i="66"/>
  <c r="Q186" i="66"/>
  <c r="Q1030" i="66"/>
  <c r="Q152" i="66"/>
  <c r="Q74" i="66"/>
  <c r="Q663" i="66"/>
  <c r="Q211" i="66"/>
  <c r="Q313" i="66"/>
  <c r="Q498" i="66"/>
  <c r="Q609" i="66"/>
  <c r="Q310" i="66"/>
  <c r="Q164" i="66"/>
  <c r="Q124" i="66"/>
  <c r="Q589" i="66"/>
  <c r="Q56" i="66"/>
  <c r="Q867" i="66"/>
  <c r="Q718" i="66"/>
  <c r="Q330" i="66"/>
  <c r="Q761" i="66"/>
  <c r="Q468" i="66"/>
  <c r="R468" i="66" s="1"/>
  <c r="Q558" i="66"/>
  <c r="R558" i="66" s="1"/>
  <c r="Q818" i="66"/>
  <c r="Q499" i="66"/>
  <c r="Q309" i="66"/>
  <c r="Q199" i="66"/>
  <c r="Q978" i="66"/>
  <c r="Q985" i="66"/>
  <c r="Q931" i="66"/>
  <c r="Q811" i="66"/>
  <c r="Q40" i="66"/>
  <c r="Q51" i="66"/>
  <c r="Q277" i="66"/>
  <c r="Q660" i="66"/>
  <c r="Q520" i="66"/>
  <c r="Q398" i="66"/>
  <c r="Q429" i="66"/>
  <c r="Q280" i="66"/>
  <c r="Q823" i="66"/>
  <c r="Q554" i="66"/>
  <c r="Q751" i="66"/>
  <c r="R751" i="66" s="1"/>
  <c r="Q890" i="66"/>
  <c r="Q49" i="66"/>
  <c r="Q540" i="66"/>
  <c r="R540" i="66" s="1"/>
  <c r="Q153" i="66"/>
  <c r="J124" i="12"/>
  <c r="Q607" i="66"/>
  <c r="Q149" i="66"/>
  <c r="Q771" i="66"/>
  <c r="R771" i="66" s="1"/>
  <c r="Q596" i="66"/>
  <c r="Q159" i="66"/>
  <c r="R159" i="66" s="1"/>
  <c r="Q953" i="66"/>
  <c r="Q851" i="66"/>
  <c r="Q328" i="66"/>
  <c r="Q804" i="66"/>
  <c r="R804" i="66" s="1"/>
  <c r="Q368" i="66"/>
  <c r="Q403" i="66"/>
  <c r="Q583" i="66"/>
  <c r="Q255" i="66"/>
  <c r="Q1031" i="66"/>
  <c r="Q1032" i="66"/>
  <c r="Q163" i="66"/>
  <c r="Q864" i="66"/>
  <c r="Q446" i="66"/>
  <c r="Q996" i="66"/>
  <c r="Q1038" i="66"/>
  <c r="AC1038" i="66" s="1"/>
  <c r="Q584" i="66"/>
  <c r="J226" i="12"/>
  <c r="K226" i="12" s="1"/>
  <c r="Q550" i="66"/>
  <c r="Q120" i="66"/>
  <c r="R120" i="66" s="1"/>
  <c r="Q22" i="66"/>
  <c r="Q209" i="66"/>
  <c r="Q394" i="66"/>
  <c r="R394" i="66" s="1"/>
  <c r="Q1017" i="66"/>
  <c r="Q880" i="66"/>
  <c r="Q400" i="66"/>
  <c r="Q869" i="66"/>
  <c r="Q342" i="66"/>
  <c r="Q543" i="66"/>
  <c r="Q686" i="66"/>
  <c r="Q506" i="66"/>
  <c r="Q274" i="66"/>
  <c r="Q661" i="66"/>
  <c r="Q30" i="66"/>
  <c r="Q792" i="66"/>
  <c r="R792" i="66" s="1"/>
  <c r="Q78" i="66"/>
  <c r="Q766" i="66"/>
  <c r="Q337" i="66"/>
  <c r="Q119" i="66"/>
  <c r="Q1021" i="66"/>
  <c r="Q956" i="66"/>
  <c r="Q639" i="66"/>
  <c r="R639" i="66" s="1"/>
  <c r="Q393" i="66"/>
  <c r="Q447" i="66"/>
  <c r="Q705" i="66"/>
  <c r="Q302" i="66"/>
  <c r="Q893" i="66"/>
  <c r="Q112" i="66"/>
  <c r="Q338" i="66"/>
  <c r="Q819" i="66"/>
  <c r="J240" i="12"/>
  <c r="K240" i="12" s="1"/>
  <c r="Q399" i="66"/>
  <c r="Q930" i="66"/>
  <c r="Q790" i="66"/>
  <c r="R790" i="66" s="1"/>
  <c r="Q582" i="66"/>
  <c r="Q33" i="66"/>
  <c r="Q625" i="66"/>
  <c r="Q254" i="66"/>
  <c r="Q568" i="66"/>
  <c r="Q437" i="66"/>
  <c r="Q275" i="66"/>
  <c r="R275" i="66" s="1"/>
  <c r="Q679" i="66"/>
  <c r="Q898" i="66"/>
  <c r="Q642" i="66"/>
  <c r="Q315" i="66"/>
  <c r="R315" i="66" s="1"/>
  <c r="Q848" i="66"/>
  <c r="Q96" i="66"/>
  <c r="Q795" i="66"/>
  <c r="Q775" i="66"/>
  <c r="R775" i="66" s="1"/>
  <c r="Q184" i="66"/>
  <c r="Q311" i="66"/>
  <c r="Q407" i="66"/>
  <c r="Q852" i="66"/>
  <c r="Q258" i="66"/>
  <c r="Q478" i="66"/>
  <c r="Q323" i="66"/>
  <c r="Q354" i="66"/>
  <c r="Q906" i="66"/>
  <c r="Q547" i="66"/>
  <c r="Q127" i="66"/>
  <c r="Q244" i="66"/>
  <c r="Q439" i="66"/>
  <c r="Q269" i="66"/>
  <c r="Q380" i="66"/>
  <c r="Q763" i="66"/>
  <c r="Q690" i="66"/>
  <c r="Q136" i="66"/>
  <c r="Q585" i="66"/>
  <c r="Q287" i="66"/>
  <c r="Q858" i="66"/>
  <c r="Q470" i="66"/>
  <c r="Q1013" i="66"/>
  <c r="Q494" i="66"/>
  <c r="Q138" i="66"/>
  <c r="Q262" i="66"/>
  <c r="Q453" i="66"/>
  <c r="Q703" i="66"/>
  <c r="R703" i="66" s="1"/>
  <c r="Q208" i="66"/>
  <c r="Q605" i="66"/>
  <c r="R605" i="66" s="1"/>
  <c r="Q239" i="66"/>
  <c r="Q279" i="66"/>
  <c r="Q1000" i="66"/>
  <c r="R1000" i="66" s="1"/>
  <c r="Q748" i="66"/>
  <c r="R748" i="66" s="1"/>
  <c r="J17" i="12"/>
  <c r="Q756" i="66"/>
  <c r="R756" i="66" s="1"/>
  <c r="Q503" i="66"/>
  <c r="Q176" i="66"/>
  <c r="Q384" i="66"/>
  <c r="Q842" i="66"/>
  <c r="Q827" i="66"/>
  <c r="Q388" i="66"/>
  <c r="J170" i="12"/>
  <c r="Q383" i="66"/>
  <c r="J130" i="12"/>
  <c r="Q720" i="66"/>
  <c r="Q727" i="66"/>
  <c r="Q206" i="66"/>
  <c r="Q493" i="66"/>
  <c r="Q75" i="66"/>
  <c r="Q845" i="66"/>
  <c r="R845" i="66" s="1"/>
  <c r="Q878" i="66"/>
  <c r="Q786" i="66"/>
  <c r="Q723" i="66"/>
  <c r="Q881" i="66"/>
  <c r="Q492" i="66"/>
  <c r="Q770" i="66"/>
  <c r="Q450" i="66"/>
  <c r="Q523" i="66"/>
  <c r="Q634" i="66"/>
  <c r="Q693" i="66"/>
  <c r="Q291" i="66"/>
  <c r="Q283" i="66"/>
  <c r="Q576" i="66"/>
  <c r="Q505" i="66"/>
  <c r="R505" i="66" s="1"/>
  <c r="Q788" i="66"/>
  <c r="Q404" i="66"/>
  <c r="Q976" i="66"/>
  <c r="Q965" i="66"/>
  <c r="Q631" i="66"/>
  <c r="Q187" i="66"/>
  <c r="Q600" i="66"/>
  <c r="Q688" i="66"/>
  <c r="Q610" i="66"/>
  <c r="Q524" i="66"/>
  <c r="Q434" i="66"/>
  <c r="AC434" i="66" s="1"/>
  <c r="Q350" i="66"/>
  <c r="Q964" i="66"/>
  <c r="Q997" i="66"/>
  <c r="Q341" i="66"/>
  <c r="J89" i="12"/>
  <c r="K89" i="12" s="1"/>
  <c r="Q183" i="66"/>
  <c r="Q791" i="66"/>
  <c r="Q695" i="66"/>
  <c r="Q62" i="66"/>
  <c r="Q741" i="66"/>
  <c r="Q857" i="66"/>
  <c r="Q200" i="66"/>
  <c r="R200" i="66" s="1"/>
  <c r="Q284" i="66"/>
  <c r="Q197" i="66"/>
  <c r="Q687" i="66"/>
  <c r="Q318" i="66"/>
  <c r="C1064" i="103"/>
  <c r="B2927" i="42"/>
  <c r="I999" i="42"/>
  <c r="J999" i="42" s="1"/>
  <c r="I1000" i="42" s="1"/>
  <c r="J1000" i="42" s="1"/>
  <c r="J996" i="42" s="1"/>
  <c r="K995" i="42" s="1"/>
  <c r="I2570" i="42"/>
  <c r="J2570" i="42" s="1"/>
  <c r="I2676" i="42"/>
  <c r="B1608" i="42"/>
  <c r="B1634" i="42"/>
  <c r="K6" i="84"/>
  <c r="F123" i="102"/>
  <c r="I123" i="102" s="1"/>
  <c r="F67" i="12"/>
  <c r="I67" i="12" s="1"/>
  <c r="I761" i="42" s="1"/>
  <c r="J761" i="42" s="1"/>
  <c r="F125" i="102"/>
  <c r="I125" i="102" s="1"/>
  <c r="B2077" i="42"/>
  <c r="C16" i="49" s="1"/>
  <c r="Q901" i="66"/>
  <c r="Q624" i="66"/>
  <c r="R624" i="66" s="1"/>
  <c r="Q653" i="66"/>
  <c r="Q321" i="66"/>
  <c r="Q844" i="66"/>
  <c r="Q837" i="66"/>
  <c r="AC50" i="66"/>
  <c r="AC565" i="66"/>
  <c r="H1825" i="42"/>
  <c r="J51" i="93"/>
  <c r="M51" i="93" s="1"/>
  <c r="AC521" i="66"/>
  <c r="H293" i="98"/>
  <c r="H2410" i="98"/>
  <c r="I2410" i="98" s="1"/>
  <c r="K2402" i="98" s="1"/>
  <c r="H2924" i="98"/>
  <c r="I2924" i="98" s="1"/>
  <c r="K2923" i="98" s="1"/>
  <c r="H153" i="98"/>
  <c r="I153" i="98" s="1"/>
  <c r="K152" i="98" s="1"/>
  <c r="H1698" i="98"/>
  <c r="H2896" i="98"/>
  <c r="I2896" i="98" s="1"/>
  <c r="K2895" i="98" s="1"/>
  <c r="H86" i="98"/>
  <c r="H441" i="98"/>
  <c r="I441" i="98" s="1"/>
  <c r="K435" i="98" s="1"/>
  <c r="H2259" i="98"/>
  <c r="H2960" i="98"/>
  <c r="I2960" i="98" s="1"/>
  <c r="K2956" i="98" s="1"/>
  <c r="C16" i="96"/>
  <c r="I2583" i="42"/>
  <c r="I1648" i="42"/>
  <c r="J1648" i="42" s="1"/>
  <c r="L1647" i="42" s="1"/>
  <c r="I563" i="42"/>
  <c r="J563" i="42" s="1"/>
  <c r="L558" i="42" s="1"/>
  <c r="I1198" i="42"/>
  <c r="J1198" i="42" s="1"/>
  <c r="L1197" i="42" s="1"/>
  <c r="I276" i="42"/>
  <c r="J276" i="42" s="1"/>
  <c r="L270" i="42" s="1"/>
  <c r="I2531" i="42"/>
  <c r="J2531" i="42" s="1"/>
  <c r="L2530" i="42" s="1"/>
  <c r="F86" i="93"/>
  <c r="I86" i="93" s="1"/>
  <c r="L86" i="93" s="1"/>
  <c r="AC214" i="66"/>
  <c r="A139" i="12"/>
  <c r="A83" i="12"/>
  <c r="AC712" i="66"/>
  <c r="AC622" i="66"/>
  <c r="T71" i="93"/>
  <c r="R736" i="66"/>
  <c r="AC297" i="66"/>
  <c r="I2033" i="42"/>
  <c r="J2033" i="42" s="1"/>
  <c r="I2034" i="42" s="1"/>
  <c r="J2034" i="42" s="1"/>
  <c r="J2030" i="42" s="1"/>
  <c r="K2029" i="42" s="1"/>
  <c r="I2414" i="42"/>
  <c r="J2414" i="42" s="1"/>
  <c r="Q975" i="66"/>
  <c r="Q680" i="66"/>
  <c r="AC680" i="66" s="1"/>
  <c r="Q863" i="66"/>
  <c r="Q334" i="66"/>
  <c r="Q179" i="66"/>
  <c r="Q777" i="66"/>
  <c r="R777" i="66" s="1"/>
  <c r="Q1012" i="66"/>
  <c r="Q298" i="66"/>
  <c r="J1576" i="42"/>
  <c r="E153" i="7"/>
  <c r="AC117" i="66"/>
  <c r="AC394" i="66"/>
  <c r="I43" i="93"/>
  <c r="L43" i="93" s="1"/>
  <c r="F16" i="85" s="1"/>
  <c r="C2315" i="98"/>
  <c r="I1056" i="42"/>
  <c r="J1056" i="42" s="1"/>
  <c r="I1057" i="42" s="1"/>
  <c r="J1057" i="42" s="1"/>
  <c r="J1055" i="42" s="1"/>
  <c r="K1054" i="42" s="1"/>
  <c r="I3159" i="42"/>
  <c r="J3159" i="42" s="1"/>
  <c r="AC648" i="66"/>
  <c r="B3144" i="42"/>
  <c r="G13" i="85"/>
  <c r="H38" i="103" s="1"/>
  <c r="I38" i="103" s="1"/>
  <c r="K35" i="103" s="1"/>
  <c r="I2320" i="42"/>
  <c r="J2320" i="42" s="1"/>
  <c r="J2319" i="42" s="1"/>
  <c r="K2318" i="42" s="1"/>
  <c r="I1396" i="42"/>
  <c r="J1396" i="42" s="1"/>
  <c r="I1797" i="42"/>
  <c r="J1797" i="42" s="1"/>
  <c r="I1800" i="42" s="1"/>
  <c r="J1800" i="42" s="1"/>
  <c r="J1796" i="42" s="1"/>
  <c r="K1795" i="42" s="1"/>
  <c r="I252" i="42"/>
  <c r="J252" i="42" s="1"/>
  <c r="I255" i="42" s="1"/>
  <c r="J255" i="42" s="1"/>
  <c r="J251" i="42" s="1"/>
  <c r="K250" i="42" s="1"/>
  <c r="F1742" i="42"/>
  <c r="F1083" i="42"/>
  <c r="Q725" i="66"/>
  <c r="AC725" i="66" s="1"/>
  <c r="Q242" i="66"/>
  <c r="Q63" i="66"/>
  <c r="Q907" i="66"/>
  <c r="J155" i="12"/>
  <c r="Q471" i="66"/>
  <c r="Q23" i="66"/>
  <c r="Q154" i="66"/>
  <c r="Q115" i="66"/>
  <c r="Q238" i="66"/>
  <c r="J234" i="12"/>
  <c r="K234" i="12" s="1"/>
  <c r="Q753" i="66"/>
  <c r="R753" i="66" s="1"/>
  <c r="Q760" i="66"/>
  <c r="R760" i="66" s="1"/>
  <c r="Q534" i="66"/>
  <c r="R534" i="66" s="1"/>
  <c r="Q336" i="66"/>
  <c r="Q271" i="66"/>
  <c r="AC271" i="66" s="1"/>
  <c r="Q422" i="66"/>
  <c r="J269" i="12"/>
  <c r="A269" i="12" s="1"/>
  <c r="Q170" i="66"/>
  <c r="Q469" i="66"/>
  <c r="Q981" i="66"/>
  <c r="Q828" i="66"/>
  <c r="R828" i="66" s="1"/>
  <c r="J237" i="12"/>
  <c r="K237" i="12" s="1"/>
  <c r="Q256" i="66"/>
  <c r="Q702" i="66"/>
  <c r="Q908" i="66"/>
  <c r="Q841" i="66"/>
  <c r="Q662" i="66"/>
  <c r="Q83" i="66"/>
  <c r="Q807" i="66"/>
  <c r="Q728" i="66"/>
  <c r="Q537" i="66"/>
  <c r="Q591" i="66"/>
  <c r="Q666" i="66"/>
  <c r="Q759" i="66"/>
  <c r="Q701" i="66"/>
  <c r="Q58" i="66"/>
  <c r="Q533" i="66"/>
  <c r="Q142" i="66"/>
  <c r="Q39" i="66"/>
  <c r="Q577" i="66"/>
  <c r="Q268" i="66"/>
  <c r="Q169" i="66"/>
  <c r="Q783" i="66"/>
  <c r="Q147" i="66"/>
  <c r="Q621" i="66"/>
  <c r="Q713" i="66"/>
  <c r="R713" i="66" s="1"/>
  <c r="J232" i="12"/>
  <c r="K232" i="12" s="1"/>
  <c r="Q461" i="66"/>
  <c r="Q392" i="66"/>
  <c r="Q69" i="66"/>
  <c r="J214" i="12"/>
  <c r="A214" i="12" s="1"/>
  <c r="Q824" i="66"/>
  <c r="Q806" i="66"/>
  <c r="Q668" i="66"/>
  <c r="Q221" i="66"/>
  <c r="Q322" i="66"/>
  <c r="Q843" i="66"/>
  <c r="Q218" i="66"/>
  <c r="Q502" i="66"/>
  <c r="R502" i="66" s="1"/>
  <c r="J215" i="12"/>
  <c r="A215" i="12" s="1"/>
  <c r="Q73" i="66"/>
  <c r="Q681" i="66"/>
  <c r="Q891" i="66"/>
  <c r="Q278" i="66"/>
  <c r="Q486" i="66"/>
  <c r="J231" i="12"/>
  <c r="K231" i="12" s="1"/>
  <c r="Q733" i="66"/>
  <c r="R733" i="66" s="1"/>
  <c r="Q979" i="66"/>
  <c r="Q940" i="66"/>
  <c r="Q994" i="66"/>
  <c r="Q396" i="66"/>
  <c r="Q139" i="66"/>
  <c r="Q838" i="66"/>
  <c r="Q156" i="66"/>
  <c r="J137" i="12"/>
  <c r="F15" i="67"/>
  <c r="G15" i="67" s="1"/>
  <c r="Q231" i="66"/>
  <c r="Q59" i="66"/>
  <c r="Q442" i="66"/>
  <c r="Q853" i="66"/>
  <c r="Q107" i="66"/>
  <c r="Q391" i="66"/>
  <c r="Q952" i="66"/>
  <c r="Q758" i="66"/>
  <c r="Q829" i="66"/>
  <c r="Q889" i="66"/>
  <c r="Q89" i="66"/>
  <c r="Q477" i="66"/>
  <c r="J266" i="12"/>
  <c r="A266" i="12" s="1"/>
  <c r="Q34" i="66"/>
  <c r="Q706" i="66"/>
  <c r="Q973" i="66"/>
  <c r="Q640" i="66"/>
  <c r="Q1035" i="66"/>
  <c r="AC1035" i="66" s="1"/>
  <c r="Q355" i="66"/>
  <c r="Q694" i="66"/>
  <c r="R694" i="66" s="1"/>
  <c r="Q526" i="66"/>
  <c r="Q794" i="66"/>
  <c r="Q366" i="66"/>
  <c r="Q999" i="66"/>
  <c r="Q371" i="66"/>
  <c r="R371" i="66" s="1"/>
  <c r="Q435" i="66"/>
  <c r="Q658" i="66"/>
  <c r="Q1016" i="66"/>
  <c r="Q573" i="66"/>
  <c r="Q490" i="66"/>
  <c r="Q233" i="66"/>
  <c r="Q974" i="66"/>
  <c r="Q90" i="66"/>
  <c r="Q812" i="66"/>
  <c r="R812" i="66" s="1"/>
  <c r="Q885" i="66"/>
  <c r="Q285" i="66"/>
  <c r="Q871" i="66"/>
  <c r="Q53" i="66"/>
  <c r="Q708" i="66"/>
  <c r="Q572" i="66"/>
  <c r="Q519" i="66"/>
  <c r="Q421" i="66"/>
  <c r="Q158" i="66"/>
  <c r="Q292" i="66"/>
  <c r="R292" i="66" s="1"/>
  <c r="Q130" i="66"/>
  <c r="Q397" i="66"/>
  <c r="R397" i="66" s="1"/>
  <c r="Q998" i="66"/>
  <c r="Q951" i="66"/>
  <c r="Q232" i="66"/>
  <c r="Q71" i="66"/>
  <c r="J235" i="12"/>
  <c r="K235" i="12" s="1"/>
  <c r="Q601" i="66"/>
  <c r="R601" i="66" s="1"/>
  <c r="Q408" i="66"/>
  <c r="Q1026" i="66"/>
  <c r="Q264" i="66"/>
  <c r="Q457" i="66"/>
  <c r="Q685" i="66"/>
  <c r="Q207" i="66"/>
  <c r="Q358" i="66"/>
  <c r="Q38" i="66"/>
  <c r="Q270" i="66"/>
  <c r="Q684" i="66"/>
  <c r="R684" i="66" s="1"/>
  <c r="Q480" i="66"/>
  <c r="Q215" i="66"/>
  <c r="Q406" i="66"/>
  <c r="R406" i="66" s="1"/>
  <c r="AC320" i="66"/>
  <c r="B2594" i="42"/>
  <c r="B2662" i="42"/>
  <c r="B1176" i="42"/>
  <c r="B2361" i="42"/>
  <c r="B2842" i="42"/>
  <c r="B3029" i="42"/>
  <c r="B2497" i="42"/>
  <c r="B3085" i="42"/>
  <c r="B2092" i="42"/>
  <c r="B2603" i="42"/>
  <c r="B2412" i="42"/>
  <c r="B1763" i="42"/>
  <c r="B2845" i="42"/>
  <c r="B1157" i="42"/>
  <c r="C1822" i="98"/>
  <c r="H1380" i="42"/>
  <c r="B1489" i="42"/>
  <c r="B1877" i="42"/>
  <c r="B2005" i="42"/>
  <c r="B2756" i="42"/>
  <c r="B2364" i="42"/>
  <c r="I153" i="42"/>
  <c r="J153" i="42" s="1"/>
  <c r="I2297" i="42"/>
  <c r="J2297" i="42" s="1"/>
  <c r="I3087" i="42"/>
  <c r="J3087" i="42" s="1"/>
  <c r="I2460" i="42"/>
  <c r="J2460" i="42" s="1"/>
  <c r="I2224" i="42"/>
  <c r="J2224" i="42" s="1"/>
  <c r="I526" i="42"/>
  <c r="J526" i="42" s="1"/>
  <c r="I2792" i="42"/>
  <c r="J2792" i="42" s="1"/>
  <c r="I434" i="42"/>
  <c r="J434" i="42" s="1"/>
  <c r="J433" i="42" s="1"/>
  <c r="K432" i="42" s="1"/>
  <c r="I2771" i="42"/>
  <c r="I708" i="42"/>
  <c r="J708" i="42" s="1"/>
  <c r="I1109" i="42"/>
  <c r="J1109" i="42" s="1"/>
  <c r="I3106" i="42"/>
  <c r="J3106" i="42" s="1"/>
  <c r="I105" i="7"/>
  <c r="I954" i="42"/>
  <c r="J954" i="42" s="1"/>
  <c r="F45" i="93"/>
  <c r="I45" i="93" s="1"/>
  <c r="L45" i="93" s="1"/>
  <c r="F17" i="85" s="1"/>
  <c r="C46" i="93"/>
  <c r="I1387" i="42"/>
  <c r="J1387" i="42" s="1"/>
  <c r="L1386" i="42" s="1"/>
  <c r="G172" i="105"/>
  <c r="H172" i="105" s="1"/>
  <c r="G155" i="105"/>
  <c r="H155" i="105" s="1"/>
  <c r="G104" i="105"/>
  <c r="H104" i="105" s="1"/>
  <c r="J100" i="105" s="1"/>
  <c r="G10" i="105"/>
  <c r="H10" i="105" s="1"/>
  <c r="J7" i="105" s="1"/>
  <c r="G40" i="105"/>
  <c r="H40" i="105" s="1"/>
  <c r="J37" i="105" s="1"/>
  <c r="G25" i="105"/>
  <c r="H25" i="105" s="1"/>
  <c r="J22" i="105" s="1"/>
  <c r="I417" i="42"/>
  <c r="J417" i="42" s="1"/>
  <c r="L413" i="42" s="1"/>
  <c r="I381" i="42"/>
  <c r="J381" i="42" s="1"/>
  <c r="L375" i="42" s="1"/>
  <c r="I327" i="42"/>
  <c r="J327" i="42" s="1"/>
  <c r="L322" i="42" s="1"/>
  <c r="I1475" i="42"/>
  <c r="J1475" i="42" s="1"/>
  <c r="L1469" i="42" s="1"/>
  <c r="I295" i="42"/>
  <c r="J295" i="42" s="1"/>
  <c r="L290" i="42" s="1"/>
  <c r="I1080" i="42"/>
  <c r="J1080" i="42" s="1"/>
  <c r="L1076" i="42" s="1"/>
  <c r="I306" i="42"/>
  <c r="J306" i="42" s="1"/>
  <c r="L300" i="42" s="1"/>
  <c r="I1950" i="42"/>
  <c r="J1950" i="42" s="1"/>
  <c r="L1945" i="42" s="1"/>
  <c r="I3310" i="42"/>
  <c r="J3310" i="42" s="1"/>
  <c r="I2526" i="42"/>
  <c r="J2526" i="42" s="1"/>
  <c r="L2525" i="42" s="1"/>
  <c r="I3270" i="42"/>
  <c r="J3270" i="42" s="1"/>
  <c r="L3269" i="42" s="1"/>
  <c r="I3060" i="42"/>
  <c r="J3060" i="42" s="1"/>
  <c r="L3056" i="42" s="1"/>
  <c r="I3127" i="42"/>
  <c r="J3127" i="42" s="1"/>
  <c r="L3126" i="42" s="1"/>
  <c r="I2969" i="42"/>
  <c r="J2969" i="42" s="1"/>
  <c r="L2968" i="42" s="1"/>
  <c r="AC812" i="66"/>
  <c r="F72" i="12"/>
  <c r="I72" i="12" s="1"/>
  <c r="I825" i="42" s="1"/>
  <c r="J825" i="42" s="1"/>
  <c r="I826" i="42" s="1"/>
  <c r="J826" i="42" s="1"/>
  <c r="J824" i="42" s="1"/>
  <c r="K823" i="42" s="1"/>
  <c r="I2517" i="42"/>
  <c r="J2517" i="42" s="1"/>
  <c r="I3108" i="42"/>
  <c r="J3108" i="42" s="1"/>
  <c r="I1161" i="42"/>
  <c r="J1161" i="42" s="1"/>
  <c r="I2248" i="42"/>
  <c r="J2248" i="42" s="1"/>
  <c r="I2981" i="42"/>
  <c r="J2981" i="42" s="1"/>
  <c r="I3157" i="42"/>
  <c r="J3157" i="42" s="1"/>
  <c r="I2249" i="42"/>
  <c r="J2249" i="42" s="1"/>
  <c r="AC397" i="66"/>
  <c r="AC532" i="66"/>
  <c r="AC632" i="66"/>
  <c r="K95" i="12"/>
  <c r="A95" i="12"/>
  <c r="K103" i="12"/>
  <c r="A103" i="12"/>
  <c r="C654" i="103"/>
  <c r="B2159" i="42"/>
  <c r="C638" i="103"/>
  <c r="B2152" i="42"/>
  <c r="C606" i="103"/>
  <c r="B2138" i="42"/>
  <c r="C12" i="49" s="1"/>
  <c r="C568" i="103"/>
  <c r="B2110" i="42"/>
  <c r="C488" i="103"/>
  <c r="B2052" i="42"/>
  <c r="C472" i="103"/>
  <c r="B2029" i="42"/>
  <c r="C425" i="103"/>
  <c r="C2549" i="98"/>
  <c r="B1995" i="42"/>
  <c r="C1540" i="98"/>
  <c r="B1146" i="42"/>
  <c r="B3260" i="42"/>
  <c r="B1899" i="42"/>
  <c r="B1552" i="42"/>
  <c r="C1503" i="98"/>
  <c r="B2447" i="42"/>
  <c r="B3336" i="42"/>
  <c r="C14" i="49" s="1"/>
  <c r="B2694" i="42"/>
  <c r="B1750" i="42"/>
  <c r="B2657" i="42"/>
  <c r="B3041" i="42"/>
  <c r="C11" i="86" s="1"/>
  <c r="B2118" i="42"/>
  <c r="B1587" i="42"/>
  <c r="B3126" i="42"/>
  <c r="B3111" i="42"/>
  <c r="B3203" i="42"/>
  <c r="B3184" i="42"/>
  <c r="B2968" i="42"/>
  <c r="B2933" i="42"/>
  <c r="B2885" i="42"/>
  <c r="B2837" i="42"/>
  <c r="B2767" i="42"/>
  <c r="B2744" i="42"/>
  <c r="B2710" i="42"/>
  <c r="B2697" i="42"/>
  <c r="B2666" i="42"/>
  <c r="B2467" i="42"/>
  <c r="B2330" i="42"/>
  <c r="B2349" i="42"/>
  <c r="B2852" i="42"/>
  <c r="B2723" i="42"/>
  <c r="B3070" i="42"/>
  <c r="B2525" i="42"/>
  <c r="B2977" i="42"/>
  <c r="B2915" i="42"/>
  <c r="B2829" i="42"/>
  <c r="B2457" i="42"/>
  <c r="B2281" i="42"/>
  <c r="B2270" i="42"/>
  <c r="B2208" i="42"/>
  <c r="B2195" i="42"/>
  <c r="B1888" i="42"/>
  <c r="B1828" i="42"/>
  <c r="B1795" i="42"/>
  <c r="B1544" i="42"/>
  <c r="B2143" i="42"/>
  <c r="B2788" i="42"/>
  <c r="B2557" i="42"/>
  <c r="B1432" i="42"/>
  <c r="B3188" i="42"/>
  <c r="B2679" i="42"/>
  <c r="B2487" i="42"/>
  <c r="B1945" i="42"/>
  <c r="B1402" i="42"/>
  <c r="B2819" i="42"/>
  <c r="B1999" i="42"/>
  <c r="B3224" i="42"/>
  <c r="B2764" i="42"/>
  <c r="B2358" i="42"/>
  <c r="B1323" i="42"/>
  <c r="B3227" i="42"/>
  <c r="B2753" i="42"/>
  <c r="B2379" i="42"/>
  <c r="B2321" i="42"/>
  <c r="B2989" i="42"/>
  <c r="B2833" i="42"/>
  <c r="B2970" i="42"/>
  <c r="B1707" i="42"/>
  <c r="B3017" i="42"/>
  <c r="B2611" i="42"/>
  <c r="B1520" i="42"/>
  <c r="B1193" i="42"/>
  <c r="B1676" i="42"/>
  <c r="B2370" i="42"/>
  <c r="B2965" i="42"/>
  <c r="B2343" i="42"/>
  <c r="B3166" i="42"/>
  <c r="B2780" i="42"/>
  <c r="B2814" i="42"/>
  <c r="C19" i="86" s="1"/>
  <c r="B3104" i="42"/>
  <c r="B3116" i="42"/>
  <c r="B2672" i="42"/>
  <c r="B2530" i="42"/>
  <c r="B1197" i="42"/>
  <c r="B2784" i="42"/>
  <c r="B2652" i="42"/>
  <c r="C11" i="49" s="1"/>
  <c r="B1338" i="42"/>
  <c r="B3154" i="42"/>
  <c r="B2580" i="42"/>
  <c r="B2068" i="42"/>
  <c r="B3218" i="42"/>
  <c r="B2586" i="42"/>
  <c r="B2376" i="42"/>
  <c r="B3221" i="42"/>
  <c r="B2385" i="42"/>
  <c r="B2337" i="42"/>
  <c r="B3319" i="42"/>
  <c r="C14" i="96" s="1"/>
  <c r="B2540" i="42"/>
  <c r="B2311" i="42"/>
  <c r="B1249" i="42"/>
  <c r="B1936" i="42"/>
  <c r="B3064" i="42"/>
  <c r="B1210" i="42"/>
  <c r="B2921" i="42"/>
  <c r="B2100" i="42"/>
  <c r="B2477" i="42"/>
  <c r="B1330" i="42"/>
  <c r="B1258" i="42"/>
  <c r="B3195" i="42"/>
  <c r="B3038" i="42"/>
  <c r="B2382" i="42"/>
  <c r="B3067" i="42"/>
  <c r="B1316" i="42"/>
  <c r="B1918" i="42"/>
  <c r="B2727" i="42"/>
  <c r="B1310" i="42"/>
  <c r="B1479" i="42"/>
  <c r="B2367" i="42"/>
  <c r="B2873" i="42"/>
  <c r="C9" i="86" s="1"/>
  <c r="B2302" i="42"/>
  <c r="B2246" i="42"/>
  <c r="B2232" i="42"/>
  <c r="B1815" i="42"/>
  <c r="B1540" i="42"/>
  <c r="B1532" i="42"/>
  <c r="B1528" i="42"/>
  <c r="B3056" i="42"/>
  <c r="C13" i="86" s="1"/>
  <c r="B2510" i="42"/>
  <c r="B2003" i="42"/>
  <c r="B1484" i="42"/>
  <c r="B3026" i="42"/>
  <c r="B2334" i="42"/>
  <c r="B3061" i="42"/>
  <c r="B2355" i="42"/>
  <c r="B2879" i="42"/>
  <c r="B2867" i="42"/>
  <c r="C8" i="86" s="1"/>
  <c r="B2084" i="42"/>
  <c r="B2060" i="42"/>
  <c r="B1501" i="42"/>
  <c r="B3269" i="42"/>
  <c r="B3098" i="42"/>
  <c r="B2105" i="42"/>
  <c r="B2565" i="42"/>
  <c r="B1298" i="42"/>
  <c r="B1169" i="42"/>
  <c r="B3006" i="42"/>
  <c r="B1274" i="42"/>
  <c r="B1440" i="42"/>
  <c r="B3175" i="42"/>
  <c r="B2388" i="42"/>
  <c r="C15" i="86" s="1"/>
  <c r="B2959" i="42"/>
  <c r="C17" i="96" s="1"/>
  <c r="B1240" i="42"/>
  <c r="B3327" i="42"/>
  <c r="C15" i="96" s="1"/>
  <c r="B1345" i="42"/>
  <c r="B2346" i="42"/>
  <c r="B2691" i="42"/>
  <c r="B1417" i="42"/>
  <c r="B2801" i="42"/>
  <c r="B1354" i="42"/>
  <c r="B2048" i="42"/>
  <c r="B2535" i="42"/>
  <c r="B1721" i="42"/>
  <c r="B2340" i="42"/>
  <c r="B3345" i="42"/>
  <c r="B2824" i="42"/>
  <c r="B3131" i="42"/>
  <c r="B3049" i="42"/>
  <c r="AE27" i="58"/>
  <c r="AC219" i="66"/>
  <c r="AC257" i="66"/>
  <c r="AC339" i="66"/>
  <c r="AC548" i="66"/>
  <c r="AC614" i="66"/>
  <c r="AC650" i="66"/>
  <c r="AC740" i="66"/>
  <c r="AC828" i="66"/>
  <c r="J2199" i="42"/>
  <c r="AC696" i="66"/>
  <c r="AC731" i="66"/>
  <c r="AC733" i="66"/>
  <c r="AC802" i="66"/>
  <c r="AC821" i="66"/>
  <c r="J50" i="58"/>
  <c r="W47" i="58"/>
  <c r="AE47" i="58" s="1"/>
  <c r="F142" i="102"/>
  <c r="I142" i="102" s="1"/>
  <c r="E52" i="93"/>
  <c r="H52" i="93" s="1"/>
  <c r="K52" i="93" s="1"/>
  <c r="N52" i="93" s="1"/>
  <c r="H51" i="93"/>
  <c r="K51" i="93" s="1"/>
  <c r="N51" i="93" s="1"/>
  <c r="H19" i="85" s="1"/>
  <c r="G61" i="93"/>
  <c r="J61" i="93" s="1"/>
  <c r="M61" i="93" s="1"/>
  <c r="T61" i="93" s="1"/>
  <c r="D62" i="93"/>
  <c r="J2174" i="42"/>
  <c r="J1700" i="42"/>
  <c r="T49" i="93"/>
  <c r="T29" i="93"/>
  <c r="H22" i="85"/>
  <c r="H3398" i="98"/>
  <c r="I3398" i="98" s="1"/>
  <c r="H693" i="103"/>
  <c r="I693" i="103" s="1"/>
  <c r="K686" i="103" s="1"/>
  <c r="H82" i="103"/>
  <c r="I82" i="103" s="1"/>
  <c r="K76" i="103" s="1"/>
  <c r="Q1033" i="66"/>
  <c r="AC1033" i="66" s="1"/>
  <c r="F2624" i="42"/>
  <c r="F2428" i="42"/>
  <c r="F2432" i="42"/>
  <c r="AE48" i="58"/>
  <c r="B897" i="103"/>
  <c r="B3002" i="98"/>
  <c r="B893" i="103"/>
  <c r="B3000" i="98"/>
  <c r="B273" i="103"/>
  <c r="B1988" i="98"/>
  <c r="B558" i="103"/>
  <c r="B2594" i="98"/>
  <c r="B556" i="103"/>
  <c r="B2592" i="98"/>
  <c r="I690" i="103"/>
  <c r="I668" i="103"/>
  <c r="I670" i="103"/>
  <c r="C891" i="103"/>
  <c r="C2998" i="98"/>
  <c r="C554" i="103"/>
  <c r="C2590" i="98"/>
  <c r="C272" i="103"/>
  <c r="C1987" i="98"/>
  <c r="B896" i="103"/>
  <c r="B3001" i="98"/>
  <c r="B892" i="103"/>
  <c r="B2999" i="98"/>
  <c r="B557" i="103"/>
  <c r="B2593" i="98"/>
  <c r="B555" i="103"/>
  <c r="B2591" i="98"/>
  <c r="AC861" i="66"/>
  <c r="G274" i="103"/>
  <c r="G1989" i="98"/>
  <c r="H65" i="7"/>
  <c r="I65" i="7" s="1"/>
  <c r="H71" i="7"/>
  <c r="I71" i="7" s="1"/>
  <c r="J2998" i="98"/>
  <c r="AC413" i="66"/>
  <c r="Q822" i="66"/>
  <c r="Q369" i="66"/>
  <c r="Q560" i="66"/>
  <c r="R560" i="66" s="1"/>
  <c r="E147" i="7"/>
  <c r="F2274" i="42"/>
  <c r="Q876" i="66"/>
  <c r="Q346" i="66"/>
  <c r="Q415" i="66"/>
  <c r="Q933" i="66"/>
  <c r="Q638" i="66"/>
  <c r="Q947" i="66"/>
  <c r="J169" i="12"/>
  <c r="E18" i="7"/>
  <c r="Q482" i="66"/>
  <c r="E43" i="7"/>
  <c r="E38" i="7"/>
  <c r="AC560" i="66"/>
  <c r="Q1011" i="66"/>
  <c r="I2378" i="42"/>
  <c r="J2378" i="42" s="1"/>
  <c r="J2377" i="42" s="1"/>
  <c r="K2376" i="42" s="1"/>
  <c r="Q963" i="66"/>
  <c r="Q363" i="66"/>
  <c r="Q348" i="66"/>
  <c r="Q45" i="66"/>
  <c r="Q266" i="66"/>
  <c r="Q106" i="66"/>
  <c r="Q26" i="66"/>
  <c r="J182" i="12"/>
  <c r="E135" i="7"/>
  <c r="E106" i="7"/>
  <c r="F2670" i="42"/>
  <c r="F2979" i="42"/>
  <c r="Q474" i="66"/>
  <c r="J275" i="12"/>
  <c r="A275" i="12" s="1"/>
  <c r="Q296" i="66"/>
  <c r="Q755" i="66"/>
  <c r="Q921" i="66"/>
  <c r="Q317" i="66"/>
  <c r="R317" i="66" s="1"/>
  <c r="Q436" i="66"/>
  <c r="Q448" i="66"/>
  <c r="Q990" i="66"/>
  <c r="Q516" i="66"/>
  <c r="Q1037" i="66"/>
  <c r="AC1037" i="66" s="1"/>
  <c r="Q721" i="66"/>
  <c r="J225" i="12"/>
  <c r="K225" i="12" s="1"/>
  <c r="Q145" i="66"/>
  <c r="E33" i="7"/>
  <c r="E101" i="7"/>
  <c r="E54" i="7"/>
  <c r="E89" i="7"/>
  <c r="Q467" i="66"/>
  <c r="E37" i="7"/>
  <c r="E28" i="7"/>
  <c r="E23" i="7"/>
  <c r="E148" i="7"/>
  <c r="E67" i="7"/>
  <c r="E154" i="7"/>
  <c r="E13" i="7"/>
  <c r="E84" i="7"/>
  <c r="E107" i="7"/>
  <c r="E95" i="7"/>
  <c r="E8" i="7"/>
  <c r="E142" i="7"/>
  <c r="E73" i="7"/>
  <c r="E130" i="7"/>
  <c r="D1147" i="103"/>
  <c r="D3166" i="98"/>
  <c r="E1106" i="103"/>
  <c r="F2952" i="42"/>
  <c r="E1085" i="103"/>
  <c r="F2939" i="42"/>
  <c r="E59" i="7"/>
  <c r="E32" i="7"/>
  <c r="E129" i="7"/>
  <c r="I2620" i="42"/>
  <c r="J2620" i="42" s="1"/>
  <c r="E119" i="7"/>
  <c r="J277" i="12"/>
  <c r="A277" i="12" s="1"/>
  <c r="C277" i="12"/>
  <c r="E88" i="7" s="1"/>
  <c r="Q182" i="66"/>
  <c r="J68" i="12"/>
  <c r="Q491" i="66"/>
  <c r="AC491" i="66" s="1"/>
  <c r="Q41" i="66"/>
  <c r="Q987" i="66"/>
  <c r="J183" i="12"/>
  <c r="F16" i="67"/>
  <c r="Q868" i="66"/>
  <c r="Q594" i="66"/>
  <c r="R594" i="66" s="1"/>
  <c r="Q423" i="66"/>
  <c r="Q205" i="66"/>
  <c r="J229" i="12"/>
  <c r="K229" i="12" s="1"/>
  <c r="Q1022" i="66"/>
  <c r="J238" i="12"/>
  <c r="K238" i="12" s="1"/>
  <c r="Q196" i="66"/>
  <c r="Q76" i="66"/>
  <c r="Q100" i="66"/>
  <c r="Q920" i="66"/>
  <c r="Q417" i="66"/>
  <c r="Q714" i="66"/>
  <c r="J153" i="12"/>
  <c r="Q160" i="66"/>
  <c r="Q57" i="66"/>
  <c r="Q150" i="66"/>
  <c r="Q252" i="66"/>
  <c r="Q123" i="66"/>
  <c r="Q988" i="66"/>
  <c r="Q566" i="66"/>
  <c r="Q217" i="66"/>
  <c r="Q443" i="66"/>
  <c r="Q300" i="66"/>
  <c r="Q227" i="66"/>
  <c r="Q915" i="66"/>
  <c r="Q859" i="66"/>
  <c r="Q969" i="66"/>
  <c r="Q357" i="66"/>
  <c r="J198" i="12"/>
  <c r="F12" i="42"/>
  <c r="Q91" i="66"/>
  <c r="Q849" i="66"/>
  <c r="Q108" i="66"/>
  <c r="R108" i="66" s="1"/>
  <c r="Q593" i="66"/>
  <c r="Q454" i="66"/>
  <c r="Q433" i="66"/>
  <c r="Q616" i="66"/>
  <c r="Q909" i="66"/>
  <c r="Q669" i="66"/>
  <c r="Q739" i="66"/>
  <c r="R739" i="66" s="1"/>
  <c r="Q982" i="66"/>
  <c r="Q102" i="66"/>
  <c r="R102" i="66" s="1"/>
  <c r="Q826" i="66"/>
  <c r="R826" i="66" s="1"/>
  <c r="Q924" i="66"/>
  <c r="Q1009" i="66"/>
  <c r="Q155" i="66"/>
  <c r="Q581" i="66"/>
  <c r="C67" i="102"/>
  <c r="C23" i="102"/>
  <c r="C186" i="102"/>
  <c r="C85" i="102"/>
  <c r="C81" i="102"/>
  <c r="C82" i="102"/>
  <c r="C84" i="102"/>
  <c r="C83" i="102"/>
  <c r="C80" i="102"/>
  <c r="C79" i="102"/>
  <c r="C95" i="102"/>
  <c r="I111" i="7"/>
  <c r="E83" i="7"/>
  <c r="F2597" i="98"/>
  <c r="F3005" i="98"/>
  <c r="AC505" i="66"/>
  <c r="I47" i="102"/>
  <c r="H1255" i="98" s="1"/>
  <c r="I1255" i="98" s="1"/>
  <c r="I1254" i="98" s="1"/>
  <c r="J1253" i="98" s="1"/>
  <c r="E176" i="102"/>
  <c r="H688" i="103"/>
  <c r="I688" i="103" s="1"/>
  <c r="H1332" i="98"/>
  <c r="I1332" i="98" s="1"/>
  <c r="H1143" i="98"/>
  <c r="I1143" i="98" s="1"/>
  <c r="H230" i="103"/>
  <c r="I230" i="103" s="1"/>
  <c r="H231" i="103" s="1"/>
  <c r="I231" i="103" s="1"/>
  <c r="I228" i="103" s="1"/>
  <c r="H1084" i="103"/>
  <c r="F65" i="102"/>
  <c r="H1126" i="98"/>
  <c r="I1126" i="98" s="1"/>
  <c r="H1889" i="98"/>
  <c r="I1889" i="98" s="1"/>
  <c r="H1890" i="98" s="1"/>
  <c r="I1890" i="98" s="1"/>
  <c r="I1886" i="98" s="1"/>
  <c r="H1693" i="98"/>
  <c r="I1693" i="98" s="1"/>
  <c r="H1315" i="98"/>
  <c r="I1315" i="98" s="1"/>
  <c r="H1089" i="98"/>
  <c r="I1089" i="98" s="1"/>
  <c r="H918" i="98"/>
  <c r="I918" i="98" s="1"/>
  <c r="H122" i="98"/>
  <c r="I122" i="98" s="1"/>
  <c r="H2038" i="98"/>
  <c r="I2038" i="98" s="1"/>
  <c r="H707" i="103"/>
  <c r="I707" i="103" s="1"/>
  <c r="H940" i="103"/>
  <c r="I940" i="103" s="1"/>
  <c r="H1316" i="103"/>
  <c r="I1316" i="103" s="1"/>
  <c r="H197" i="103"/>
  <c r="I197" i="103" s="1"/>
  <c r="H59" i="103"/>
  <c r="I59" i="103" s="1"/>
  <c r="H78" i="103"/>
  <c r="I78" i="103" s="1"/>
  <c r="H848" i="98"/>
  <c r="I848" i="98" s="1"/>
  <c r="H804" i="98"/>
  <c r="I804" i="98" s="1"/>
  <c r="H766" i="98"/>
  <c r="I766" i="98" s="1"/>
  <c r="H1294" i="98"/>
  <c r="I1294" i="98" s="1"/>
  <c r="H1147" i="98"/>
  <c r="I1147" i="98" s="1"/>
  <c r="J822" i="103"/>
  <c r="I825" i="103"/>
  <c r="I826" i="103" s="1"/>
  <c r="H1970" i="98"/>
  <c r="I1970" i="98" s="1"/>
  <c r="H669" i="103"/>
  <c r="I669" i="103" s="1"/>
  <c r="I1276" i="103"/>
  <c r="I1277" i="103" s="1"/>
  <c r="J1273" i="103"/>
  <c r="I1288" i="103"/>
  <c r="I1289" i="103" s="1"/>
  <c r="J1285" i="103"/>
  <c r="J1297" i="103"/>
  <c r="I1300" i="103"/>
  <c r="I1301" i="103" s="1"/>
  <c r="H1314" i="103"/>
  <c r="I1314" i="103" s="1"/>
  <c r="H57" i="103"/>
  <c r="I57" i="103" s="1"/>
  <c r="H703" i="98"/>
  <c r="I703" i="98" s="1"/>
  <c r="H683" i="98"/>
  <c r="I683" i="98" s="1"/>
  <c r="H196" i="103"/>
  <c r="I196" i="103" s="1"/>
  <c r="H80" i="103"/>
  <c r="I80" i="103" s="1"/>
  <c r="H1146" i="98"/>
  <c r="I1146" i="98" s="1"/>
  <c r="H803" i="98"/>
  <c r="I803" i="98" s="1"/>
  <c r="H765" i="98"/>
  <c r="I765" i="98" s="1"/>
  <c r="H1313" i="103"/>
  <c r="I1313" i="103" s="1"/>
  <c r="H56" i="103"/>
  <c r="I56" i="103" s="1"/>
  <c r="J273" i="98"/>
  <c r="H10" i="103"/>
  <c r="I10" i="103" s="1"/>
  <c r="H665" i="103"/>
  <c r="I665" i="103" s="1"/>
  <c r="H556" i="103"/>
  <c r="I556" i="103" s="1"/>
  <c r="H557" i="103" s="1"/>
  <c r="I557" i="103" s="1"/>
  <c r="I555" i="103" s="1"/>
  <c r="H2592" i="98"/>
  <c r="I2592" i="98" s="1"/>
  <c r="H2593" i="98" s="1"/>
  <c r="I2593" i="98" s="1"/>
  <c r="I2591" i="98" s="1"/>
  <c r="H2607" i="98"/>
  <c r="I2607" i="98" s="1"/>
  <c r="I2605" i="98" s="1"/>
  <c r="H1043" i="98"/>
  <c r="I1043" i="98" s="1"/>
  <c r="H989" i="98"/>
  <c r="I989" i="98" s="1"/>
  <c r="H1315" i="103"/>
  <c r="I1315" i="103" s="1"/>
  <c r="H58" i="103"/>
  <c r="I58" i="103" s="1"/>
  <c r="Z45" i="66"/>
  <c r="I2953" i="42"/>
  <c r="J2953" i="42" s="1"/>
  <c r="J2947" i="42" s="1"/>
  <c r="K2946" i="42" s="1"/>
  <c r="I2213" i="42"/>
  <c r="J2213" i="42" s="1"/>
  <c r="J2209" i="42" s="1"/>
  <c r="K2208" i="42" s="1"/>
  <c r="F1302" i="103"/>
  <c r="F1326" i="103"/>
  <c r="F1278" i="103"/>
  <c r="F1290" i="103"/>
  <c r="I1084" i="103"/>
  <c r="I1102" i="103"/>
  <c r="F696" i="103"/>
  <c r="F827" i="103"/>
  <c r="I1215" i="103"/>
  <c r="F679" i="103"/>
  <c r="F235" i="103"/>
  <c r="F561" i="103"/>
  <c r="I1081" i="103"/>
  <c r="I1367" i="103"/>
  <c r="I1124" i="103"/>
  <c r="I1123" i="103" s="1"/>
  <c r="J1122" i="103" s="1"/>
  <c r="I1337" i="103"/>
  <c r="F69" i="103"/>
  <c r="F204" i="103"/>
  <c r="I1185" i="103"/>
  <c r="F400" i="103"/>
  <c r="F88" i="103"/>
  <c r="I1103" i="103"/>
  <c r="I1051" i="103"/>
  <c r="I1050" i="103" s="1"/>
  <c r="J1049" i="103" s="1"/>
  <c r="F45" i="103"/>
  <c r="I254" i="103"/>
  <c r="I791" i="103"/>
  <c r="I214" i="103"/>
  <c r="I410" i="103"/>
  <c r="F265" i="103"/>
  <c r="F481" i="103"/>
  <c r="J6" i="103"/>
  <c r="F383" i="103"/>
  <c r="I136" i="103"/>
  <c r="F1042" i="103"/>
  <c r="F293" i="103"/>
  <c r="I255" i="103"/>
  <c r="I705" i="103"/>
  <c r="I772" i="103"/>
  <c r="F15" i="103"/>
  <c r="F733" i="103"/>
  <c r="F1252" i="103"/>
  <c r="I1082" i="103"/>
  <c r="I1354" i="103"/>
  <c r="I1353" i="103" s="1"/>
  <c r="I1355" i="103" s="1"/>
  <c r="I1356" i="103" s="1"/>
  <c r="I937" i="103"/>
  <c r="F1094" i="103"/>
  <c r="F781" i="103"/>
  <c r="F1138" i="103"/>
  <c r="F1484" i="103"/>
  <c r="F2583" i="98"/>
  <c r="F2714" i="98"/>
  <c r="F2888" i="98"/>
  <c r="F3157" i="98"/>
  <c r="F3251" i="98"/>
  <c r="F93" i="98"/>
  <c r="F250" i="98"/>
  <c r="F536" i="98"/>
  <c r="F638" i="98"/>
  <c r="F883" i="98"/>
  <c r="F1113" i="98"/>
  <c r="F1246" i="98"/>
  <c r="F1457" i="98"/>
  <c r="F1730" i="98"/>
  <c r="F2168" i="98"/>
  <c r="F2417" i="98"/>
  <c r="F3038" i="98"/>
  <c r="F2566" i="98"/>
  <c r="F2647" i="98"/>
  <c r="F2690" i="98"/>
  <c r="F2750" i="98"/>
  <c r="F2798" i="98"/>
  <c r="F2817" i="98"/>
  <c r="F905" i="98"/>
  <c r="F2916" i="98"/>
  <c r="F3173" i="98"/>
  <c r="F3193" i="98"/>
  <c r="F3223" i="98"/>
  <c r="F3313" i="98"/>
  <c r="F3380" i="98"/>
  <c r="F132" i="98"/>
  <c r="F188" i="98"/>
  <c r="F337" i="98"/>
  <c r="F392" i="98"/>
  <c r="F448" i="98"/>
  <c r="F518" i="98"/>
  <c r="F553" i="98"/>
  <c r="F607" i="98"/>
  <c r="F735" i="98"/>
  <c r="F837" i="98"/>
  <c r="F979" i="98"/>
  <c r="F1077" i="98"/>
  <c r="F1134" i="98"/>
  <c r="F1232" i="98"/>
  <c r="F1259" i="98"/>
  <c r="F1391" i="98"/>
  <c r="F1533" i="98"/>
  <c r="F1650" i="98"/>
  <c r="F1793" i="98"/>
  <c r="F2026" i="98"/>
  <c r="F2211" i="98"/>
  <c r="F2344" i="98"/>
  <c r="F2466" i="98"/>
  <c r="F2976" i="98"/>
  <c r="F3107" i="98"/>
  <c r="F3133" i="98"/>
  <c r="F2611" i="98"/>
  <c r="F1905" i="98"/>
  <c r="F1992" i="98"/>
  <c r="I3142" i="98"/>
  <c r="I3141" i="98" s="1"/>
  <c r="J3140" i="98" s="1"/>
  <c r="F1155" i="98"/>
  <c r="F1636" i="98"/>
  <c r="F1005" i="98"/>
  <c r="F1059" i="98"/>
  <c r="F815" i="98"/>
  <c r="F858" i="98"/>
  <c r="I1107" i="98"/>
  <c r="I121" i="98"/>
  <c r="F715" i="98"/>
  <c r="F774" i="98"/>
  <c r="I290" i="98"/>
  <c r="I346" i="98"/>
  <c r="I2147" i="98"/>
  <c r="I2149" i="98"/>
  <c r="I237" i="98"/>
  <c r="I261" i="98"/>
  <c r="I1723" i="98"/>
  <c r="H1724" i="98" s="1"/>
  <c r="I1724" i="98" s="1"/>
  <c r="I1722" i="98" s="1"/>
  <c r="J1721" i="98" s="1"/>
  <c r="F173" i="98"/>
  <c r="F693" i="98"/>
  <c r="I3184" i="98"/>
  <c r="I3203" i="98"/>
  <c r="I308" i="98"/>
  <c r="I2489" i="98"/>
  <c r="I1692" i="98"/>
  <c r="I894" i="98"/>
  <c r="I3245" i="98"/>
  <c r="K3244" i="98" s="1"/>
  <c r="I1069" i="98"/>
  <c r="F280" i="98"/>
  <c r="F1980" i="98"/>
  <c r="I1088" i="98"/>
  <c r="I419" i="98"/>
  <c r="I2795" i="98"/>
  <c r="I2794" i="98" s="1"/>
  <c r="J2793" i="98" s="1"/>
  <c r="F1095" i="98"/>
  <c r="F1218" i="98"/>
  <c r="F2762" i="98"/>
  <c r="F2358" i="98"/>
  <c r="F1475" i="98"/>
  <c r="F502" i="98"/>
  <c r="F74" i="98"/>
  <c r="F3072" i="98"/>
  <c r="F2542" i="98"/>
  <c r="F2453" i="98"/>
  <c r="F2373" i="98"/>
  <c r="F2269" i="98"/>
  <c r="F2185" i="98"/>
  <c r="F2137" i="98"/>
  <c r="F2064" i="98"/>
  <c r="F1936" i="98"/>
  <c r="F1878" i="98"/>
  <c r="F1832" i="98"/>
  <c r="F1759" i="98"/>
  <c r="F1676" i="98"/>
  <c r="F1574" i="98"/>
  <c r="F1496" i="98"/>
  <c r="F1423" i="98"/>
  <c r="F1344" i="98"/>
  <c r="I3337" i="98"/>
  <c r="I1690" i="98"/>
  <c r="I3035" i="98"/>
  <c r="I3034" i="98" s="1"/>
  <c r="I3036" i="98" s="1"/>
  <c r="I3037" i="98" s="1"/>
  <c r="I916" i="98"/>
  <c r="I940" i="98"/>
  <c r="I84" i="98"/>
  <c r="I1335" i="98"/>
  <c r="I1269" i="98"/>
  <c r="I1467" i="98"/>
  <c r="I528" i="98"/>
  <c r="K525" i="98" s="1"/>
  <c r="I1698" i="98"/>
  <c r="K1683" i="98" s="1"/>
  <c r="I2510" i="98"/>
  <c r="I2296" i="98"/>
  <c r="I2297" i="98"/>
  <c r="I2236" i="98"/>
  <c r="I2041" i="98"/>
  <c r="I2073" i="98"/>
  <c r="H2075" i="98" s="1"/>
  <c r="I2075" i="98" s="1"/>
  <c r="I2072" i="98" s="1"/>
  <c r="F299" i="98"/>
  <c r="F1741" i="98"/>
  <c r="F2991" i="98"/>
  <c r="F3367" i="98"/>
  <c r="F38" i="98"/>
  <c r="I366" i="98"/>
  <c r="I331" i="98"/>
  <c r="K325" i="98" s="1"/>
  <c r="F210" i="98"/>
  <c r="F589" i="98"/>
  <c r="F1323" i="98"/>
  <c r="F1625" i="98"/>
  <c r="F1862" i="98"/>
  <c r="F2117" i="98"/>
  <c r="F2246" i="98"/>
  <c r="F2479" i="98"/>
  <c r="F929" i="98"/>
  <c r="F3295" i="98"/>
  <c r="I650" i="98"/>
  <c r="I745" i="98"/>
  <c r="I964" i="98"/>
  <c r="I2771" i="98"/>
  <c r="I2770" i="98" s="1"/>
  <c r="I2772" i="98" s="1"/>
  <c r="I2773" i="98" s="1"/>
  <c r="I1543" i="98"/>
  <c r="I1787" i="98"/>
  <c r="I825" i="98"/>
  <c r="I2846" i="98"/>
  <c r="I1523" i="98"/>
  <c r="I2865" i="98"/>
  <c r="I1451" i="98"/>
  <c r="I1293" i="98"/>
  <c r="I1125" i="98"/>
  <c r="I1769" i="98"/>
  <c r="I86" i="98"/>
  <c r="K81" i="98" s="1"/>
  <c r="I2867" i="98"/>
  <c r="K2862" i="98" s="1"/>
  <c r="I1689" i="98"/>
  <c r="F109" i="98"/>
  <c r="F145" i="98"/>
  <c r="F227" i="98"/>
  <c r="F428" i="98"/>
  <c r="F654" i="98"/>
  <c r="F1176" i="98"/>
  <c r="F1405" i="98"/>
  <c r="F1553" i="98"/>
  <c r="F1662" i="98"/>
  <c r="F1815" i="98"/>
  <c r="F1920" i="98"/>
  <c r="F2050" i="98"/>
  <c r="F2224" i="98"/>
  <c r="F2330" i="98"/>
  <c r="F2434" i="98"/>
  <c r="F2520" i="98"/>
  <c r="F2702" i="98"/>
  <c r="F3120" i="98"/>
  <c r="I459" i="98"/>
  <c r="I2237" i="98"/>
  <c r="I966" i="98"/>
  <c r="I1071" i="98"/>
  <c r="I648" i="98"/>
  <c r="I1105" i="98"/>
  <c r="I1806" i="98"/>
  <c r="I2386" i="98"/>
  <c r="I1686" i="98"/>
  <c r="I3084" i="98"/>
  <c r="H1524" i="98"/>
  <c r="I1524" i="98" s="1"/>
  <c r="H2809" i="98"/>
  <c r="I2809" i="98" s="1"/>
  <c r="H120" i="98"/>
  <c r="I120" i="98" s="1"/>
  <c r="H2531" i="98"/>
  <c r="I2531" i="98" s="1"/>
  <c r="H1105" i="103"/>
  <c r="I1105" i="103" s="1"/>
  <c r="H137" i="105"/>
  <c r="H136" i="105"/>
  <c r="G120" i="105"/>
  <c r="H120" i="105" s="1"/>
  <c r="G119" i="105"/>
  <c r="H119" i="105" s="1"/>
  <c r="H1805" i="98"/>
  <c r="I1805" i="98" s="1"/>
  <c r="H329" i="98"/>
  <c r="I329" i="98" s="1"/>
  <c r="H496" i="98"/>
  <c r="I496" i="98" s="1"/>
  <c r="H1825" i="98"/>
  <c r="I1825" i="98" s="1"/>
  <c r="H2828" i="98"/>
  <c r="I2828" i="98" s="1"/>
  <c r="A2" i="49"/>
  <c r="H1353" i="98"/>
  <c r="I1353" i="98" s="1"/>
  <c r="I1352" i="98" s="1"/>
  <c r="J1351" i="98" s="1"/>
  <c r="H2509" i="98"/>
  <c r="I2509" i="98" s="1"/>
  <c r="H785" i="98"/>
  <c r="I785" i="98" s="1"/>
  <c r="H309" i="98"/>
  <c r="I309" i="98" s="1"/>
  <c r="H1487" i="98"/>
  <c r="I1487" i="98" s="1"/>
  <c r="AC540" i="66"/>
  <c r="AC292" i="66"/>
  <c r="T184" i="66"/>
  <c r="Y184" i="66" s="1"/>
  <c r="H836" i="103"/>
  <c r="I836" i="103" s="1"/>
  <c r="I835" i="103" s="1"/>
  <c r="I3292" i="98"/>
  <c r="I3291" i="98" s="1"/>
  <c r="J3290" i="98" s="1"/>
  <c r="H1311" i="98"/>
  <c r="I1311" i="98" s="1"/>
  <c r="H1290" i="98"/>
  <c r="I1290" i="98" s="1"/>
  <c r="E97" i="102"/>
  <c r="H1261" i="103"/>
  <c r="I1261" i="103" s="1"/>
  <c r="H1262" i="103" s="1"/>
  <c r="I1262" i="103" s="1"/>
  <c r="H1468" i="98"/>
  <c r="I1468" i="98" s="1"/>
  <c r="H2320" i="98"/>
  <c r="I2320" i="98" s="1"/>
  <c r="H3083" i="98"/>
  <c r="I3083" i="98" s="1"/>
  <c r="H202" i="98"/>
  <c r="I202" i="98" s="1"/>
  <c r="H512" i="98"/>
  <c r="I512" i="98" s="1"/>
  <c r="H2039" i="98"/>
  <c r="I2039" i="98" s="1"/>
  <c r="H385" i="98"/>
  <c r="I385" i="98" s="1"/>
  <c r="H564" i="98"/>
  <c r="I564" i="98" s="1"/>
  <c r="H1617" i="98"/>
  <c r="I1617" i="98" s="1"/>
  <c r="H2235" i="98"/>
  <c r="I2235" i="98" s="1"/>
  <c r="H2429" i="98"/>
  <c r="I2429" i="98" s="1"/>
  <c r="H1914" i="98"/>
  <c r="I1914" i="98" s="1"/>
  <c r="H3018" i="98"/>
  <c r="I3018" i="98" s="1"/>
  <c r="H201" i="98"/>
  <c r="I201" i="98" s="1"/>
  <c r="H1804" i="98"/>
  <c r="I1804" i="98" s="1"/>
  <c r="H1232" i="103"/>
  <c r="I1232" i="103" s="1"/>
  <c r="I1231" i="103" s="1"/>
  <c r="H1006" i="103"/>
  <c r="I1006" i="103" s="1"/>
  <c r="I1005" i="103" s="1"/>
  <c r="J1004" i="103" s="1"/>
  <c r="H1021" i="103"/>
  <c r="I1021" i="103" s="1"/>
  <c r="I1020" i="103" s="1"/>
  <c r="J1019" i="103" s="1"/>
  <c r="H1066" i="103"/>
  <c r="I1066" i="103" s="1"/>
  <c r="I1065" i="103" s="1"/>
  <c r="J1064" i="103" s="1"/>
  <c r="H2656" i="98"/>
  <c r="I2656" i="98" s="1"/>
  <c r="I2655" i="98" s="1"/>
  <c r="H963" i="98"/>
  <c r="I963" i="98" s="1"/>
  <c r="H1969" i="98"/>
  <c r="I1969" i="98" s="1"/>
  <c r="H976" i="103"/>
  <c r="I976" i="103" s="1"/>
  <c r="I975" i="103" s="1"/>
  <c r="J974" i="103" s="1"/>
  <c r="H770" i="103"/>
  <c r="I770" i="103" s="1"/>
  <c r="H967" i="98"/>
  <c r="I967" i="98" s="1"/>
  <c r="H116" i="103"/>
  <c r="I116" i="103" s="1"/>
  <c r="H2711" i="98"/>
  <c r="I2711" i="98" s="1"/>
  <c r="I2710" i="98" s="1"/>
  <c r="I2712" i="98" s="1"/>
  <c r="I2713" i="98" s="1"/>
  <c r="H340" i="103"/>
  <c r="I340" i="103" s="1"/>
  <c r="H343" i="103" s="1"/>
  <c r="I343" i="103" s="1"/>
  <c r="I339" i="103" s="1"/>
  <c r="H359" i="103"/>
  <c r="I359" i="103" s="1"/>
  <c r="H362" i="103" s="1"/>
  <c r="I362" i="103" s="1"/>
  <c r="I358" i="103" s="1"/>
  <c r="H1841" i="98"/>
  <c r="I1841" i="98" s="1"/>
  <c r="H706" i="103"/>
  <c r="I706" i="103" s="1"/>
  <c r="H939" i="103"/>
  <c r="I939" i="103" s="1"/>
  <c r="H1086" i="98"/>
  <c r="I1086" i="98" s="1"/>
  <c r="H1241" i="98"/>
  <c r="H1185" i="98"/>
  <c r="H1199" i="98"/>
  <c r="H347" i="98"/>
  <c r="I347" i="98" s="1"/>
  <c r="H826" i="98"/>
  <c r="I826" i="98" s="1"/>
  <c r="H1565" i="98"/>
  <c r="I1565" i="98" s="1"/>
  <c r="H2407" i="98"/>
  <c r="I2407" i="98" s="1"/>
  <c r="H2866" i="98"/>
  <c r="I2866" i="98" s="1"/>
  <c r="H66" i="98"/>
  <c r="I66" i="98" s="1"/>
  <c r="H219" i="98"/>
  <c r="I219" i="98" s="1"/>
  <c r="H582" i="98"/>
  <c r="I582" i="98" s="1"/>
  <c r="H871" i="98"/>
  <c r="I871" i="98" s="1"/>
  <c r="H1694" i="98"/>
  <c r="I1694" i="98" s="1"/>
  <c r="H2257" i="98"/>
  <c r="I2257" i="98" s="1"/>
  <c r="H2445" i="98"/>
  <c r="I2445" i="98" s="1"/>
  <c r="H85" i="98"/>
  <c r="I85" i="98" s="1"/>
  <c r="H291" i="98"/>
  <c r="I291" i="98" s="1"/>
  <c r="H439" i="98"/>
  <c r="I439" i="98" s="1"/>
  <c r="H527" i="98"/>
  <c r="I527" i="98" s="1"/>
  <c r="I526" i="98" s="1"/>
  <c r="J525" i="98" s="1"/>
  <c r="H600" i="98"/>
  <c r="I600" i="98" s="1"/>
  <c r="H1270" i="98"/>
  <c r="I1270" i="98" s="1"/>
  <c r="H1434" i="98"/>
  <c r="I1434" i="98" s="1"/>
  <c r="H1544" i="98"/>
  <c r="I1544" i="98" s="1"/>
  <c r="H1770" i="98"/>
  <c r="I1770" i="98" s="1"/>
  <c r="H2148" i="98"/>
  <c r="I2148" i="98" s="1"/>
  <c r="H2298" i="98"/>
  <c r="I2298" i="98" s="1"/>
  <c r="H2385" i="98"/>
  <c r="I2385" i="98" s="1"/>
  <c r="H2847" i="98"/>
  <c r="I2847" i="98" s="1"/>
  <c r="H3061" i="98"/>
  <c r="I3061" i="98" s="1"/>
  <c r="H117" i="103"/>
  <c r="I117" i="103" s="1"/>
  <c r="H1335" i="103"/>
  <c r="I1335" i="103" s="1"/>
  <c r="H1433" i="98"/>
  <c r="I1433" i="98" s="1"/>
  <c r="I285" i="42"/>
  <c r="J285" i="42" s="1"/>
  <c r="J281" i="42" s="1"/>
  <c r="K280" i="42" s="1"/>
  <c r="I245" i="42"/>
  <c r="J245" i="42" s="1"/>
  <c r="J241" i="42" s="1"/>
  <c r="K240" i="42" s="1"/>
  <c r="I1687" i="98"/>
  <c r="I1106" i="98"/>
  <c r="I2783" i="98"/>
  <c r="I2782" i="98" s="1"/>
  <c r="I2784" i="98" s="1"/>
  <c r="I2785" i="98" s="1"/>
  <c r="I2532" i="98"/>
  <c r="I1015" i="98"/>
  <c r="I3154" i="98"/>
  <c r="I3153" i="98" s="1"/>
  <c r="I3155" i="98" s="1"/>
  <c r="I3156" i="98" s="1"/>
  <c r="I367" i="98"/>
  <c r="I3047" i="98"/>
  <c r="I3046" i="98" s="1"/>
  <c r="J3045" i="98" s="1"/>
  <c r="I327" i="98"/>
  <c r="I289" i="98"/>
  <c r="I365" i="98"/>
  <c r="I1929" i="98"/>
  <c r="H1930" i="98" s="1"/>
  <c r="I1930" i="98" s="1"/>
  <c r="I1928" i="98" s="1"/>
  <c r="J1927" i="98" s="1"/>
  <c r="I262" i="98"/>
  <c r="I2759" i="98"/>
  <c r="I2758" i="98" s="1"/>
  <c r="I2760" i="98" s="1"/>
  <c r="I2761" i="98" s="1"/>
  <c r="I917" i="98"/>
  <c r="I2808" i="98"/>
  <c r="I1600" i="98"/>
  <c r="I3017" i="98"/>
  <c r="I479" i="98"/>
  <c r="I3305" i="98"/>
  <c r="I2940" i="98"/>
  <c r="I2444" i="98"/>
  <c r="I260" i="98"/>
  <c r="I2669" i="98"/>
  <c r="I725" i="98"/>
  <c r="I438" i="98"/>
  <c r="I965" i="98"/>
  <c r="I3185" i="98"/>
  <c r="I581" i="98"/>
  <c r="I458" i="98"/>
  <c r="I1314" i="98"/>
  <c r="I221" i="98"/>
  <c r="I563" i="98"/>
  <c r="I1827" i="98"/>
  <c r="K1822" i="98" s="1"/>
  <c r="I1506" i="98"/>
  <c r="I784" i="98"/>
  <c r="I599" i="98"/>
  <c r="I2827" i="98"/>
  <c r="I65" i="98"/>
  <c r="I293" i="98"/>
  <c r="K287" i="98" s="1"/>
  <c r="I2533" i="98"/>
  <c r="I2256" i="98"/>
  <c r="I2259" i="98"/>
  <c r="K2253" i="98" s="1"/>
  <c r="I649" i="98"/>
  <c r="I939" i="98"/>
  <c r="I1070" i="98"/>
  <c r="I771" i="103"/>
  <c r="I1167" i="103"/>
  <c r="I1104" i="103"/>
  <c r="F613" i="103"/>
  <c r="F126" i="103"/>
  <c r="F448" i="103"/>
  <c r="I495" i="98"/>
  <c r="F3283" i="98"/>
  <c r="F3050" i="98"/>
  <c r="F2930" i="98"/>
  <c r="F2855" i="98"/>
  <c r="F2738" i="98"/>
  <c r="F2395" i="98"/>
  <c r="F2286" i="98"/>
  <c r="F2198" i="98"/>
  <c r="F2156" i="98"/>
  <c r="F2083" i="98"/>
  <c r="F2008" i="98"/>
  <c r="F1954" i="98"/>
  <c r="F1894" i="98"/>
  <c r="F1777" i="98"/>
  <c r="F1714" i="98"/>
  <c r="F1590" i="98"/>
  <c r="F1513" i="98"/>
  <c r="F1441" i="98"/>
  <c r="F1373" i="98"/>
  <c r="F1360" i="98"/>
  <c r="F1281" i="98"/>
  <c r="F1204" i="98"/>
  <c r="F953" i="98"/>
  <c r="F755" i="98"/>
  <c r="F673" i="98"/>
  <c r="F621" i="98"/>
  <c r="F468" i="98"/>
  <c r="F375" i="98"/>
  <c r="F318" i="98"/>
  <c r="F266" i="98"/>
  <c r="I1087" i="98"/>
  <c r="I2387" i="98"/>
  <c r="I2409" i="98"/>
  <c r="I199" i="98"/>
  <c r="I2430" i="98"/>
  <c r="I3062" i="98"/>
  <c r="I2037" i="98"/>
  <c r="I2318" i="98"/>
  <c r="I2408" i="98"/>
  <c r="I1967" i="98"/>
  <c r="I1336" i="98"/>
  <c r="I2941" i="98"/>
  <c r="I328" i="98"/>
  <c r="I236" i="98"/>
  <c r="I264" i="42"/>
  <c r="J264" i="42" s="1"/>
  <c r="J261" i="42" s="1"/>
  <c r="K260" i="42" s="1"/>
  <c r="Z550" i="66"/>
  <c r="Z534" i="66"/>
  <c r="Z273" i="66"/>
  <c r="T608" i="66"/>
  <c r="Y608" i="66" s="1"/>
  <c r="T603" i="66"/>
  <c r="Y603" i="66" s="1"/>
  <c r="P558" i="66"/>
  <c r="AC558" i="66" s="1"/>
  <c r="T329" i="66"/>
  <c r="Y329" i="66" s="1"/>
  <c r="AC200" i="66"/>
  <c r="Z659" i="66"/>
  <c r="P605" i="66"/>
  <c r="AC605" i="66" s="1"/>
  <c r="Z579" i="66"/>
  <c r="T884" i="66"/>
  <c r="Y884" i="66" s="1"/>
  <c r="G3091" i="98"/>
  <c r="T1006" i="66"/>
  <c r="Y1006" i="66" s="1"/>
  <c r="Z712" i="66"/>
  <c r="Z569" i="66"/>
  <c r="P790" i="66"/>
  <c r="AC790" i="66" s="1"/>
  <c r="P61" i="66"/>
  <c r="P703" i="66"/>
  <c r="AC703" i="66" s="1"/>
  <c r="P86" i="66"/>
  <c r="AC86" i="66" s="1"/>
  <c r="Z762" i="66"/>
  <c r="Z661" i="66"/>
  <c r="Z78" i="66"/>
  <c r="T773" i="66"/>
  <c r="Y773" i="66" s="1"/>
  <c r="T661" i="66"/>
  <c r="Y661" i="66" s="1"/>
  <c r="T659" i="66"/>
  <c r="Y659" i="66" s="1"/>
  <c r="T628" i="66"/>
  <c r="Y628" i="66" s="1"/>
  <c r="T599" i="66"/>
  <c r="Y599" i="66" s="1"/>
  <c r="T127" i="66"/>
  <c r="Y127" i="66" s="1"/>
  <c r="AC659" i="66"/>
  <c r="Z577" i="66"/>
  <c r="Z567" i="66"/>
  <c r="Z581" i="66"/>
  <c r="P65" i="66"/>
  <c r="AC65" i="66" s="1"/>
  <c r="P275" i="66"/>
  <c r="AC275" i="66" s="1"/>
  <c r="P468" i="66"/>
  <c r="AC468" i="66" s="1"/>
  <c r="P120" i="66"/>
  <c r="AC120" i="66" s="1"/>
  <c r="Z542" i="66"/>
  <c r="Z884" i="66"/>
  <c r="Z317" i="66"/>
  <c r="Z57" i="66"/>
  <c r="Z112" i="66"/>
  <c r="Z583" i="66"/>
  <c r="Z556" i="66"/>
  <c r="Z194" i="66"/>
  <c r="T828" i="66"/>
  <c r="Y828" i="66" s="1"/>
  <c r="T812" i="66"/>
  <c r="Y812" i="66" s="1"/>
  <c r="T597" i="66"/>
  <c r="Y597" i="66" s="1"/>
  <c r="T583" i="66"/>
  <c r="Y583" i="66" s="1"/>
  <c r="T577" i="66"/>
  <c r="Y577" i="66" s="1"/>
  <c r="T567" i="66"/>
  <c r="Y567" i="66" s="1"/>
  <c r="T565" i="66"/>
  <c r="Y565" i="66" s="1"/>
  <c r="T558" i="66"/>
  <c r="Y558" i="66" s="1"/>
  <c r="T542" i="66"/>
  <c r="Y542" i="66" s="1"/>
  <c r="T502" i="66"/>
  <c r="Y502" i="66" s="1"/>
  <c r="T394" i="66"/>
  <c r="Y394" i="66" s="1"/>
  <c r="T389" i="66"/>
  <c r="Y389" i="66" s="1"/>
  <c r="T327" i="66"/>
  <c r="Y327" i="66" s="1"/>
  <c r="T317" i="66"/>
  <c r="Y317" i="66" s="1"/>
  <c r="T129" i="66"/>
  <c r="Y129" i="66" s="1"/>
  <c r="T108" i="66"/>
  <c r="Y108" i="66" s="1"/>
  <c r="T65" i="66"/>
  <c r="Y65" i="66" s="1"/>
  <c r="AC552" i="66"/>
  <c r="Z184" i="66"/>
  <c r="Z708" i="66"/>
  <c r="Z748" i="66"/>
  <c r="Z736" i="66"/>
  <c r="Z875" i="66"/>
  <c r="P769" i="66"/>
  <c r="P713" i="66"/>
  <c r="AC713" i="66" s="1"/>
  <c r="Z179" i="66"/>
  <c r="Z727" i="66"/>
  <c r="Z760" i="66"/>
  <c r="AC317" i="66"/>
  <c r="T713" i="66"/>
  <c r="Y713" i="66" s="1"/>
  <c r="AC830" i="66"/>
  <c r="T406" i="66"/>
  <c r="Y406" i="66" s="1"/>
  <c r="T194" i="66"/>
  <c r="Y194" i="66" s="1"/>
  <c r="T859" i="66"/>
  <c r="Y859" i="66" s="1"/>
  <c r="T856" i="66"/>
  <c r="Y856" i="66" s="1"/>
  <c r="T852" i="66"/>
  <c r="Y852" i="66" s="1"/>
  <c r="T830" i="66"/>
  <c r="Y830" i="66" s="1"/>
  <c r="T784" i="66"/>
  <c r="Y784" i="66" s="1"/>
  <c r="T780" i="66"/>
  <c r="Y780" i="66" s="1"/>
  <c r="T775" i="66"/>
  <c r="Y775" i="66" s="1"/>
  <c r="T771" i="66"/>
  <c r="Y771" i="66" s="1"/>
  <c r="T756" i="66"/>
  <c r="Y756" i="66" s="1"/>
  <c r="T731" i="66"/>
  <c r="Y731" i="66" s="1"/>
  <c r="T727" i="66"/>
  <c r="Y727" i="66" s="1"/>
  <c r="T720" i="66"/>
  <c r="Y720" i="66" s="1"/>
  <c r="T712" i="66"/>
  <c r="Y712" i="66" s="1"/>
  <c r="T692" i="66"/>
  <c r="Y692" i="66" s="1"/>
  <c r="T491" i="66"/>
  <c r="Y491" i="66" s="1"/>
  <c r="T468" i="66"/>
  <c r="Y468" i="66" s="1"/>
  <c r="T453" i="66"/>
  <c r="Y453" i="66" s="1"/>
  <c r="I1846" i="42"/>
  <c r="J1846" i="42" s="1"/>
  <c r="J1842" i="42" s="1"/>
  <c r="K1841" i="42" s="1"/>
  <c r="H1216" i="103"/>
  <c r="I1216" i="103" s="1"/>
  <c r="H1186" i="103"/>
  <c r="I1186" i="103" s="1"/>
  <c r="H411" i="103"/>
  <c r="I411" i="103" s="1"/>
  <c r="H792" i="103"/>
  <c r="I792" i="103" s="1"/>
  <c r="H153" i="103"/>
  <c r="I153" i="103" s="1"/>
  <c r="H1165" i="98"/>
  <c r="I1165" i="98" s="1"/>
  <c r="H2060" i="98"/>
  <c r="I2060" i="98" s="1"/>
  <c r="H893" i="98"/>
  <c r="I893" i="98" s="1"/>
  <c r="H915" i="98"/>
  <c r="I915" i="98" s="1"/>
  <c r="H1971" i="98"/>
  <c r="I1971" i="98" s="1"/>
  <c r="H476" i="103"/>
  <c r="I476" i="103" s="1"/>
  <c r="H477" i="103" s="1"/>
  <c r="I477" i="103" s="1"/>
  <c r="I473" i="103" s="1"/>
  <c r="H1691" i="98"/>
  <c r="I1691" i="98" s="1"/>
  <c r="H919" i="98"/>
  <c r="I919" i="98" s="1"/>
  <c r="H1083" i="103"/>
  <c r="I1083" i="103" s="1"/>
  <c r="H1856" i="98"/>
  <c r="I1856" i="98" s="1"/>
  <c r="H2040" i="98"/>
  <c r="I2040" i="98" s="1"/>
  <c r="R491" i="66"/>
  <c r="D392" i="103"/>
  <c r="D2177" i="98"/>
  <c r="D1824" i="98"/>
  <c r="D1072" i="98"/>
  <c r="D724" i="98"/>
  <c r="J233" i="12"/>
  <c r="K233" i="12" s="1"/>
  <c r="Q372" i="66"/>
  <c r="Q272" i="66"/>
  <c r="Q44" i="66"/>
  <c r="Q484" i="66"/>
  <c r="Q926" i="66"/>
  <c r="Q793" i="66"/>
  <c r="Q82" i="66"/>
  <c r="Q335" i="66"/>
  <c r="Q132" i="66"/>
  <c r="Q465" i="66"/>
  <c r="Q647" i="66"/>
  <c r="Q774" i="66"/>
  <c r="Q308" i="66"/>
  <c r="Q599" i="66"/>
  <c r="AC599" i="66" s="1"/>
  <c r="Q972" i="66"/>
  <c r="Q873" i="66"/>
  <c r="Q671" i="66"/>
  <c r="Q105" i="66"/>
  <c r="J96" i="12"/>
  <c r="Q1029" i="66"/>
  <c r="Q157" i="66"/>
  <c r="Q95" i="66"/>
  <c r="Q143" i="66"/>
  <c r="Q97" i="66"/>
  <c r="AC97" i="66" s="1"/>
  <c r="Q440" i="66"/>
  <c r="Q670" i="66"/>
  <c r="J84" i="12"/>
  <c r="Q24" i="66"/>
  <c r="Q389" i="66"/>
  <c r="Q835" i="66"/>
  <c r="Q1023" i="66"/>
  <c r="Q367" i="66"/>
  <c r="Q133" i="66"/>
  <c r="Q237" i="66"/>
  <c r="D102" i="98"/>
  <c r="I2571" i="42"/>
  <c r="J2571" i="42" s="1"/>
  <c r="I2375" i="42"/>
  <c r="J2375" i="42" s="1"/>
  <c r="J2374" i="42" s="1"/>
  <c r="K2373" i="42" s="1"/>
  <c r="D1414" i="98"/>
  <c r="I1308" i="42"/>
  <c r="J1308" i="42" s="1"/>
  <c r="J1305" i="42" s="1"/>
  <c r="K1304" i="42" s="1"/>
  <c r="I2940" i="42"/>
  <c r="J2940" i="42" s="1"/>
  <c r="J2934" i="42" s="1"/>
  <c r="K2933" i="42" s="1"/>
  <c r="I1703" i="42"/>
  <c r="J1703" i="42" s="1"/>
  <c r="L1697" i="42" s="1"/>
  <c r="I806" i="42"/>
  <c r="J806" i="42" s="1"/>
  <c r="L801" i="42" s="1"/>
  <c r="I1713" i="42"/>
  <c r="J1713" i="42" s="1"/>
  <c r="L1707" i="42" s="1"/>
  <c r="I817" i="42"/>
  <c r="J817" i="42" s="1"/>
  <c r="L813" i="42" s="1"/>
  <c r="I1758" i="42"/>
  <c r="J1758" i="42" s="1"/>
  <c r="L1750" i="42" s="1"/>
  <c r="I587" i="42"/>
  <c r="J587" i="42" s="1"/>
  <c r="L582" i="42" s="1"/>
  <c r="I210" i="42"/>
  <c r="J210" i="42" s="1"/>
  <c r="L204" i="42" s="1"/>
  <c r="I3281" i="42"/>
  <c r="J3281" i="42" s="1"/>
  <c r="I934" i="42"/>
  <c r="J934" i="42" s="1"/>
  <c r="L929" i="42" s="1"/>
  <c r="I597" i="42"/>
  <c r="J597" i="42" s="1"/>
  <c r="L592" i="42" s="1"/>
  <c r="I3091" i="42"/>
  <c r="J3091" i="42" s="1"/>
  <c r="L3085" i="42" s="1"/>
  <c r="I1194" i="42"/>
  <c r="J1194" i="42" s="1"/>
  <c r="L1193" i="42" s="1"/>
  <c r="I3112" i="42"/>
  <c r="J3112" i="42" s="1"/>
  <c r="L3111" i="42" s="1"/>
  <c r="I3122" i="42"/>
  <c r="J3122" i="42" s="1"/>
  <c r="L3121" i="42" s="1"/>
  <c r="I847" i="42"/>
  <c r="J847" i="42" s="1"/>
  <c r="L843" i="42" s="1"/>
  <c r="I2047" i="42"/>
  <c r="J2047" i="42" s="1"/>
  <c r="L2043" i="42" s="1"/>
  <c r="I1726" i="42"/>
  <c r="J1726" i="42" s="1"/>
  <c r="L1725" i="42" s="1"/>
  <c r="I528" i="42"/>
  <c r="J528" i="42" s="1"/>
  <c r="L523" i="42" s="1"/>
  <c r="I1209" i="42"/>
  <c r="J1209" i="42" s="1"/>
  <c r="L1205" i="42" s="1"/>
  <c r="I539" i="42"/>
  <c r="J539" i="42" s="1"/>
  <c r="L534" i="42" s="1"/>
  <c r="I3022" i="42"/>
  <c r="J3022" i="42" s="1"/>
  <c r="L3017" i="42" s="1"/>
  <c r="I2809" i="42"/>
  <c r="J2809" i="42" s="1"/>
  <c r="L2801" i="42" s="1"/>
  <c r="I852" i="42"/>
  <c r="J852" i="42" s="1"/>
  <c r="L848" i="42" s="1"/>
  <c r="I2492" i="42"/>
  <c r="J2492" i="42" s="1"/>
  <c r="L2487" i="42" s="1"/>
  <c r="I2442" i="42"/>
  <c r="J2442" i="42" s="1"/>
  <c r="L2437" i="42" s="1"/>
  <c r="I2202" i="42"/>
  <c r="J2202" i="42" s="1"/>
  <c r="L2195" i="42" s="1"/>
  <c r="I3297" i="42"/>
  <c r="J3297" i="42" s="1"/>
  <c r="L3296" i="42" s="1"/>
  <c r="I112" i="7"/>
  <c r="J1206" i="42"/>
  <c r="K1205" i="42" s="1"/>
  <c r="I2633" i="42"/>
  <c r="J2633" i="42" s="1"/>
  <c r="J2630" i="42" s="1"/>
  <c r="K2629" i="42" s="1"/>
  <c r="D36" i="93"/>
  <c r="G35" i="93"/>
  <c r="J35" i="93" s="1"/>
  <c r="M35" i="93" s="1"/>
  <c r="G12" i="85" s="1"/>
  <c r="H1087" i="103"/>
  <c r="I1087" i="103" s="1"/>
  <c r="K1079" i="103" s="1"/>
  <c r="H1108" i="103"/>
  <c r="I1108" i="103" s="1"/>
  <c r="K1100" i="103" s="1"/>
  <c r="H1165" i="103"/>
  <c r="I1165" i="103" s="1"/>
  <c r="H1486" i="98"/>
  <c r="I1486" i="98" s="1"/>
  <c r="H3183" i="98"/>
  <c r="I3183" i="98" s="1"/>
  <c r="H1564" i="98"/>
  <c r="I1564" i="98" s="1"/>
  <c r="F169" i="102"/>
  <c r="I169" i="102" s="1"/>
  <c r="F49" i="12"/>
  <c r="I49" i="12" s="1"/>
  <c r="I726" i="42" s="1"/>
  <c r="J726" i="42" s="1"/>
  <c r="B13" i="49"/>
  <c r="B14" i="49" s="1"/>
  <c r="I3255" i="42"/>
  <c r="J3255" i="42" s="1"/>
  <c r="I3280" i="42"/>
  <c r="J3280" i="42" s="1"/>
  <c r="J3279" i="42" s="1"/>
  <c r="L3273" i="42" s="1"/>
  <c r="I3309" i="42"/>
  <c r="J3309" i="42" s="1"/>
  <c r="J3308" i="42" s="1"/>
  <c r="L3300" i="42" s="1"/>
  <c r="D43" i="93"/>
  <c r="F46" i="93"/>
  <c r="I46" i="93" s="1"/>
  <c r="L46" i="93" s="1"/>
  <c r="C47" i="93"/>
  <c r="F47" i="93" s="1"/>
  <c r="I47" i="93" s="1"/>
  <c r="L47" i="93" s="1"/>
  <c r="H941" i="98"/>
  <c r="I941" i="98" s="1"/>
  <c r="H895" i="98"/>
  <c r="I895" i="98" s="1"/>
  <c r="H2723" i="98"/>
  <c r="I2723" i="98" s="1"/>
  <c r="I2722" i="98" s="1"/>
  <c r="I2724" i="98" s="1"/>
  <c r="I2725" i="98" s="1"/>
  <c r="H1383" i="103"/>
  <c r="I1383" i="103" s="1"/>
  <c r="H1384" i="103" s="1"/>
  <c r="I1384" i="103" s="1"/>
  <c r="I1380" i="103" s="1"/>
  <c r="H1366" i="103"/>
  <c r="I1366" i="103" s="1"/>
  <c r="F77" i="12"/>
  <c r="I77" i="12" s="1"/>
  <c r="I850" i="42" s="1"/>
  <c r="J850" i="42" s="1"/>
  <c r="I851" i="42" s="1"/>
  <c r="J851" i="42" s="1"/>
  <c r="J849" i="42" s="1"/>
  <c r="K848" i="42" s="1"/>
  <c r="I256" i="42"/>
  <c r="J256" i="42" s="1"/>
  <c r="L250" i="42" s="1"/>
  <c r="I2482" i="42"/>
  <c r="J2482" i="42" s="1"/>
  <c r="L2477" i="42" s="1"/>
  <c r="I1196" i="42"/>
  <c r="J1196" i="42" s="1"/>
  <c r="L1195" i="42" s="1"/>
  <c r="I1485" i="42"/>
  <c r="J1485" i="42" s="1"/>
  <c r="L1484" i="42" s="1"/>
  <c r="I3189" i="42"/>
  <c r="J3189" i="42" s="1"/>
  <c r="L3188" i="42" s="1"/>
  <c r="I827" i="42"/>
  <c r="J827" i="42" s="1"/>
  <c r="L823" i="42" s="1"/>
  <c r="I1331" i="42"/>
  <c r="J1331" i="42" s="1"/>
  <c r="L1330" i="42" s="1"/>
  <c r="I2253" i="42"/>
  <c r="J2253" i="42" s="1"/>
  <c r="L2246" i="42" s="1"/>
  <c r="I2472" i="42"/>
  <c r="J2472" i="42" s="1"/>
  <c r="L2467" i="42" s="1"/>
  <c r="I1801" i="42"/>
  <c r="J1801" i="42" s="1"/>
  <c r="L1795" i="42" s="1"/>
  <c r="I2408" i="42"/>
  <c r="J2408" i="42" s="1"/>
  <c r="I1860" i="42"/>
  <c r="J1860" i="42" s="1"/>
  <c r="L1855" i="42" s="1"/>
  <c r="I837" i="42"/>
  <c r="J837" i="42" s="1"/>
  <c r="L833" i="42" s="1"/>
  <c r="I1684" i="42"/>
  <c r="J1684" i="42" s="1"/>
  <c r="L1676" i="42" s="1"/>
  <c r="I620" i="42"/>
  <c r="J620" i="42" s="1"/>
  <c r="L615" i="42" s="1"/>
  <c r="I2705" i="42"/>
  <c r="J2705" i="42" s="1"/>
  <c r="L2697" i="42" s="1"/>
  <c r="I1579" i="42"/>
  <c r="J1579" i="42" s="1"/>
  <c r="L1573" i="42" s="1"/>
  <c r="I246" i="42"/>
  <c r="J246" i="42" s="1"/>
  <c r="L240" i="42" s="1"/>
  <c r="I1553" i="42"/>
  <c r="J1553" i="42" s="1"/>
  <c r="L1552" i="42" s="1"/>
  <c r="I56" i="42"/>
  <c r="J56" i="42" s="1"/>
  <c r="L51" i="42" s="1"/>
  <c r="I2661" i="42"/>
  <c r="J2661" i="42" s="1"/>
  <c r="L2657" i="42" s="1"/>
  <c r="I1823" i="42"/>
  <c r="J1823" i="42" s="1"/>
  <c r="L1815" i="42" s="1"/>
  <c r="I1771" i="42"/>
  <c r="J1771" i="42" s="1"/>
  <c r="L1763" i="42" s="1"/>
  <c r="I2325" i="42"/>
  <c r="J2325" i="42" s="1"/>
  <c r="L2321" i="42" s="1"/>
  <c r="I607" i="42"/>
  <c r="J607" i="42" s="1"/>
  <c r="L602" i="42" s="1"/>
  <c r="I3264" i="42"/>
  <c r="J3264" i="42" s="1"/>
  <c r="L3260" i="42" s="1"/>
  <c r="I842" i="42"/>
  <c r="J842" i="42" s="1"/>
  <c r="L838" i="42" s="1"/>
  <c r="I92" i="42"/>
  <c r="J92" i="42" s="1"/>
  <c r="L84" i="42" s="1"/>
  <c r="I2541" i="42"/>
  <c r="J2541" i="42" s="1"/>
  <c r="L2540" i="42" s="1"/>
  <c r="I1465" i="42"/>
  <c r="J1465" i="42" s="1"/>
  <c r="L1459" i="42" s="1"/>
  <c r="I1810" i="42"/>
  <c r="J1810" i="42" s="1"/>
  <c r="L1805" i="42" s="1"/>
  <c r="I370" i="42"/>
  <c r="J370" i="42" s="1"/>
  <c r="L364" i="42" s="1"/>
  <c r="I1244" i="42"/>
  <c r="J1244" i="42" s="1"/>
  <c r="L1240" i="42" s="1"/>
  <c r="I1122" i="42"/>
  <c r="J1122" i="42" s="1"/>
  <c r="L1115" i="42" s="1"/>
  <c r="I1189" i="42"/>
  <c r="J1189" i="42" s="1"/>
  <c r="L1183" i="42" s="1"/>
  <c r="I3256" i="42"/>
  <c r="J3256" i="42" s="1"/>
  <c r="I1791" i="42"/>
  <c r="J1791" i="42" s="1"/>
  <c r="L1785" i="42" s="1"/>
  <c r="I3139" i="42"/>
  <c r="J3139" i="42" s="1"/>
  <c r="L3131" i="42" s="1"/>
  <c r="I3332" i="42"/>
  <c r="J3332" i="42" s="1"/>
  <c r="L3327" i="42" s="1"/>
  <c r="I1734" i="42"/>
  <c r="J1734" i="42" s="1"/>
  <c r="L1733" i="42" s="1"/>
  <c r="I2051" i="42"/>
  <c r="J2051" i="42" s="1"/>
  <c r="L2048" i="42" s="1"/>
  <c r="I1653" i="42"/>
  <c r="J1653" i="42" s="1"/>
  <c r="L1652" i="42" s="1"/>
  <c r="I2462" i="42"/>
  <c r="J2462" i="42" s="1"/>
  <c r="L2457" i="42" s="1"/>
  <c r="I1226" i="42"/>
  <c r="J1226" i="42" s="1"/>
  <c r="L1210" i="42" s="1"/>
  <c r="I920" i="42"/>
  <c r="J920" i="42" s="1"/>
  <c r="L913" i="42" s="1"/>
  <c r="I333" i="42"/>
  <c r="J333" i="42" s="1"/>
  <c r="L332" i="42" s="1"/>
  <c r="I2121" i="42"/>
  <c r="J2121" i="42" s="1"/>
  <c r="L2118" i="42" s="1"/>
  <c r="I2207" i="42"/>
  <c r="J2207" i="42" s="1"/>
  <c r="L2203" i="42" s="1"/>
  <c r="I945" i="42"/>
  <c r="J945" i="42" s="1"/>
  <c r="L940" i="42" s="1"/>
  <c r="I1568" i="42"/>
  <c r="J1568" i="42" s="1"/>
  <c r="L1560" i="42" s="1"/>
  <c r="I1164" i="42"/>
  <c r="J1164" i="42" s="1"/>
  <c r="L1157" i="42" s="1"/>
  <c r="I3242" i="42"/>
  <c r="J3242" i="42" s="1"/>
  <c r="L3227" i="42" s="1"/>
  <c r="I1295" i="42"/>
  <c r="J1295" i="42" s="1"/>
  <c r="L1290" i="42" s="1"/>
  <c r="I265" i="42"/>
  <c r="J265" i="42" s="1"/>
  <c r="L260" i="42" s="1"/>
  <c r="I426" i="42"/>
  <c r="J426" i="42" s="1"/>
  <c r="L423" i="42" s="1"/>
  <c r="I832" i="42"/>
  <c r="J832" i="42" s="1"/>
  <c r="L828" i="42" s="1"/>
  <c r="I1480" i="42"/>
  <c r="J1480" i="42" s="1"/>
  <c r="L1479" i="42" s="1"/>
  <c r="I109" i="42"/>
  <c r="J109" i="42" s="1"/>
  <c r="L101" i="42" s="1"/>
  <c r="I2796" i="42"/>
  <c r="J2796" i="42" s="1"/>
  <c r="L2788" i="42" s="1"/>
  <c r="I1030" i="42"/>
  <c r="J1030" i="42" s="1"/>
  <c r="L1024" i="42" s="1"/>
  <c r="I1658" i="42"/>
  <c r="J1658" i="42" s="1"/>
  <c r="L1657" i="42" s="1"/>
  <c r="I2646" i="42"/>
  <c r="J2646" i="42" s="1"/>
  <c r="I317" i="42"/>
  <c r="J317" i="42" s="1"/>
  <c r="L312" i="42" s="1"/>
  <c r="I1671" i="42"/>
  <c r="J1671" i="42" s="1"/>
  <c r="L1663" i="42" s="1"/>
  <c r="I2424" i="42"/>
  <c r="J2424" i="42" s="1"/>
  <c r="I2739" i="42"/>
  <c r="J2739" i="42" s="1"/>
  <c r="L2731" i="42" s="1"/>
  <c r="I286" i="42"/>
  <c r="J286" i="42" s="1"/>
  <c r="L280" i="42" s="1"/>
  <c r="I2153" i="42"/>
  <c r="J2153" i="42" s="1"/>
  <c r="L2152" i="42" s="1"/>
  <c r="I862" i="42"/>
  <c r="J862" i="42" s="1"/>
  <c r="L857" i="42" s="1"/>
  <c r="I2718" i="42"/>
  <c r="J2718" i="42" s="1"/>
  <c r="L2710" i="42" s="1"/>
  <c r="I120" i="42"/>
  <c r="J120" i="42" s="1"/>
  <c r="L119" i="42" s="1"/>
  <c r="I66" i="42"/>
  <c r="J66" i="42" s="1"/>
  <c r="L61" i="42" s="1"/>
  <c r="I2536" i="42"/>
  <c r="J2536" i="42" s="1"/>
  <c r="L2535" i="42" s="1"/>
  <c r="I552" i="42"/>
  <c r="J552" i="42" s="1"/>
  <c r="L547" i="42" s="1"/>
  <c r="I2452" i="42"/>
  <c r="J2452" i="42" s="1"/>
  <c r="L2447" i="42" s="1"/>
  <c r="F64" i="93"/>
  <c r="I64" i="93" s="1"/>
  <c r="L64" i="93" s="1"/>
  <c r="C65" i="93"/>
  <c r="C66" i="93" s="1"/>
  <c r="C67" i="93" s="1"/>
  <c r="F67" i="93" s="1"/>
  <c r="I67" i="93" s="1"/>
  <c r="L67" i="93" s="1"/>
  <c r="F111" i="102"/>
  <c r="I111" i="102" s="1"/>
  <c r="H1213" i="98"/>
  <c r="I1213" i="98" s="1"/>
  <c r="F73" i="12"/>
  <c r="I73" i="12" s="1"/>
  <c r="I830" i="42" s="1"/>
  <c r="J830" i="42" s="1"/>
  <c r="I831" i="42" s="1"/>
  <c r="J831" i="42" s="1"/>
  <c r="J829" i="42" s="1"/>
  <c r="K828" i="42" s="1"/>
  <c r="F124" i="102"/>
  <c r="I124" i="102" s="1"/>
  <c r="I2284" i="42"/>
  <c r="J2284" i="42" s="1"/>
  <c r="I3009" i="42"/>
  <c r="J3009" i="42" s="1"/>
  <c r="I3100" i="42"/>
  <c r="J3100" i="42" s="1"/>
  <c r="I3102" i="42" s="1"/>
  <c r="J3102" i="42" s="1"/>
  <c r="J3099" i="42" s="1"/>
  <c r="K3098" i="42" s="1"/>
  <c r="I1219" i="42"/>
  <c r="J1219" i="42" s="1"/>
  <c r="I1044" i="42"/>
  <c r="J1044" i="42" s="1"/>
  <c r="J1043" i="42" s="1"/>
  <c r="K1042" i="42" s="1"/>
  <c r="I2401" i="42"/>
  <c r="J2401" i="42" s="1"/>
  <c r="I678" i="42"/>
  <c r="J678" i="42" s="1"/>
  <c r="I1119" i="42"/>
  <c r="J1119" i="42" s="1"/>
  <c r="I2228" i="42"/>
  <c r="J2228" i="42" s="1"/>
  <c r="I2548" i="42"/>
  <c r="J2548" i="42" s="1"/>
  <c r="I1511" i="42"/>
  <c r="J1511" i="42" s="1"/>
  <c r="I661" i="42"/>
  <c r="J661" i="42" s="1"/>
  <c r="I2108" i="42"/>
  <c r="J2108" i="42" s="1"/>
  <c r="J2106" i="42" s="1"/>
  <c r="K2105" i="42" s="1"/>
  <c r="N499" i="66"/>
  <c r="N646" i="66"/>
  <c r="P646" i="66" s="1"/>
  <c r="N405" i="66"/>
  <c r="P405" i="66" s="1"/>
  <c r="N572" i="66"/>
  <c r="T572" i="66" s="1"/>
  <c r="Y572" i="66" s="1"/>
  <c r="N823" i="66"/>
  <c r="P823" i="66" s="1"/>
  <c r="AC823" i="66" s="1"/>
  <c r="N332" i="66"/>
  <c r="R332" i="66" s="1"/>
  <c r="N306" i="66"/>
  <c r="T306" i="66" s="1"/>
  <c r="Y306" i="66" s="1"/>
  <c r="N266" i="66"/>
  <c r="T266" i="66" s="1"/>
  <c r="Y266" i="66" s="1"/>
  <c r="N177" i="66"/>
  <c r="R177" i="66" s="1"/>
  <c r="N568" i="66"/>
  <c r="T568" i="66" s="1"/>
  <c r="Y568" i="66" s="1"/>
  <c r="N571" i="66"/>
  <c r="N943" i="66"/>
  <c r="N896" i="66"/>
  <c r="T896" i="66" s="1"/>
  <c r="Y896" i="66" s="1"/>
  <c r="N855" i="66"/>
  <c r="N485" i="66"/>
  <c r="N1001" i="66"/>
  <c r="N626" i="66"/>
  <c r="T626" i="66" s="1"/>
  <c r="Y626" i="66" s="1"/>
  <c r="N110" i="66"/>
  <c r="P110" i="66" s="1"/>
  <c r="AC110" i="66" s="1"/>
  <c r="N89" i="66"/>
  <c r="T89" i="66" s="1"/>
  <c r="Y89" i="66" s="1"/>
  <c r="N289" i="66"/>
  <c r="R289" i="66" s="1"/>
  <c r="N995" i="66"/>
  <c r="N679" i="66"/>
  <c r="P679" i="66" s="1"/>
  <c r="AC679" i="66" s="1"/>
  <c r="N923" i="66"/>
  <c r="N967" i="66"/>
  <c r="N531" i="66"/>
  <c r="N431" i="66"/>
  <c r="T431" i="66" s="1"/>
  <c r="Y431" i="66" s="1"/>
  <c r="N201" i="66"/>
  <c r="N101" i="66"/>
  <c r="N906" i="66"/>
  <c r="T906" i="66" s="1"/>
  <c r="Y906" i="66" s="1"/>
  <c r="N741" i="66"/>
  <c r="N675" i="66"/>
  <c r="N947" i="66"/>
  <c r="N796" i="66"/>
  <c r="P796" i="66" s="1"/>
  <c r="AC796" i="66" s="1"/>
  <c r="N225" i="66"/>
  <c r="N905" i="66"/>
  <c r="P905" i="66" s="1"/>
  <c r="AC905" i="66" s="1"/>
  <c r="N912" i="66"/>
  <c r="N781" i="66"/>
  <c r="P781" i="66" s="1"/>
  <c r="AC781" i="66" s="1"/>
  <c r="N218" i="66"/>
  <c r="N428" i="66"/>
  <c r="N869" i="66"/>
  <c r="N308" i="66"/>
  <c r="T308" i="66" s="1"/>
  <c r="Y308" i="66" s="1"/>
  <c r="N344" i="66"/>
  <c r="T344" i="66" s="1"/>
  <c r="Y344" i="66" s="1"/>
  <c r="N966" i="66"/>
  <c r="R966" i="66" s="1"/>
  <c r="N734" i="66"/>
  <c r="N459" i="66"/>
  <c r="N721" i="66"/>
  <c r="N263" i="66"/>
  <c r="T263" i="66" s="1"/>
  <c r="Y263" i="66" s="1"/>
  <c r="N776" i="66"/>
  <c r="N629" i="66"/>
  <c r="N437" i="66"/>
  <c r="N818" i="66"/>
  <c r="N470" i="66"/>
  <c r="T470" i="66" s="1"/>
  <c r="Y470" i="66" s="1"/>
  <c r="N761" i="66"/>
  <c r="P761" i="66" s="1"/>
  <c r="AC761" i="66" s="1"/>
  <c r="N369" i="66"/>
  <c r="N998" i="66"/>
  <c r="T998" i="66" s="1"/>
  <c r="Y998" i="66" s="1"/>
  <c r="N354" i="66"/>
  <c r="N75" i="66"/>
  <c r="T75" i="66" s="1"/>
  <c r="Y75" i="66" s="1"/>
  <c r="N987" i="66"/>
  <c r="T987" i="66" s="1"/>
  <c r="Y987" i="66" s="1"/>
  <c r="N35" i="66"/>
  <c r="P35" i="66" s="1"/>
  <c r="AC35" i="66" s="1"/>
  <c r="N737" i="66"/>
  <c r="R737" i="66" s="1"/>
  <c r="N255" i="66"/>
  <c r="N752" i="66"/>
  <c r="P752" i="66" s="1"/>
  <c r="N832" i="66"/>
  <c r="T832" i="66" s="1"/>
  <c r="Y832" i="66" s="1"/>
  <c r="N324" i="66"/>
  <c r="T324" i="66" s="1"/>
  <c r="Y324" i="66" s="1"/>
  <c r="N216" i="66"/>
  <c r="N233" i="66"/>
  <c r="N746" i="66"/>
  <c r="N575" i="66"/>
  <c r="P575" i="66" s="1"/>
  <c r="N209" i="66"/>
  <c r="R209" i="66" s="1"/>
  <c r="N304" i="66"/>
  <c r="T304" i="66" s="1"/>
  <c r="Y304" i="66" s="1"/>
  <c r="N786" i="66"/>
  <c r="R786" i="66" s="1"/>
  <c r="N133" i="66"/>
  <c r="P133" i="66" s="1"/>
  <c r="N541" i="66"/>
  <c r="P541" i="66" s="1"/>
  <c r="AC541" i="66" s="1"/>
  <c r="N321" i="66"/>
  <c r="R321" i="66" s="1"/>
  <c r="N683" i="66"/>
  <c r="P683" i="66" s="1"/>
  <c r="AC683" i="66" s="1"/>
  <c r="N303" i="66"/>
  <c r="P303" i="66" s="1"/>
  <c r="AC303" i="66" s="1"/>
  <c r="N384" i="66"/>
  <c r="R384" i="66" s="1"/>
  <c r="N779" i="66"/>
  <c r="N871" i="66"/>
  <c r="R871" i="66" s="1"/>
  <c r="N587" i="66"/>
  <c r="N325" i="66"/>
  <c r="R325" i="66" s="1"/>
  <c r="N766" i="66"/>
  <c r="P766" i="66" s="1"/>
  <c r="AC766" i="66" s="1"/>
  <c r="N155" i="66"/>
  <c r="R155" i="66" s="1"/>
  <c r="N994" i="66"/>
  <c r="T994" i="66" s="1"/>
  <c r="Y994" i="66" s="1"/>
  <c r="N176" i="66"/>
  <c r="T176" i="66" s="1"/>
  <c r="Y176" i="66" s="1"/>
  <c r="N600" i="66"/>
  <c r="P600" i="66" s="1"/>
  <c r="AC600" i="66" s="1"/>
  <c r="N936" i="66"/>
  <c r="P936" i="66" s="1"/>
  <c r="AC936" i="66" s="1"/>
  <c r="N114" i="66"/>
  <c r="R114" i="66" s="1"/>
  <c r="N682" i="66"/>
  <c r="T682" i="66" s="1"/>
  <c r="Y682" i="66" s="1"/>
  <c r="N1017" i="66"/>
  <c r="P1017" i="66" s="1"/>
  <c r="AC1017" i="66" s="1"/>
  <c r="N889" i="66"/>
  <c r="R889" i="66" s="1"/>
  <c r="N128" i="66"/>
  <c r="T128" i="66" s="1"/>
  <c r="Y128" i="66" s="1"/>
  <c r="N811" i="66"/>
  <c r="T811" i="66" s="1"/>
  <c r="Y811" i="66" s="1"/>
  <c r="N436" i="66"/>
  <c r="P436" i="66" s="1"/>
  <c r="N504" i="66"/>
  <c r="N51" i="66"/>
  <c r="N77" i="66"/>
  <c r="N298" i="66"/>
  <c r="N342" i="66"/>
  <c r="N930" i="66"/>
  <c r="N738" i="66"/>
  <c r="N348" i="66"/>
  <c r="N922" i="66"/>
  <c r="N1029" i="66"/>
  <c r="P1029" i="66" s="1"/>
  <c r="N662" i="66"/>
  <c r="N582" i="66"/>
  <c r="N730" i="66"/>
  <c r="N665" i="66"/>
  <c r="N728" i="66"/>
  <c r="N1015" i="66"/>
  <c r="P1015" i="66" s="1"/>
  <c r="N937" i="66"/>
  <c r="N494" i="66"/>
  <c r="N742" i="66"/>
  <c r="N445" i="66"/>
  <c r="N857" i="66"/>
  <c r="N435" i="66"/>
  <c r="N1019" i="66"/>
  <c r="P1019" i="66" s="1"/>
  <c r="AC1019" i="66" s="1"/>
  <c r="N217" i="66"/>
  <c r="N80" i="66"/>
  <c r="N1008" i="66"/>
  <c r="N879" i="66"/>
  <c r="N900" i="66"/>
  <c r="N678" i="66"/>
  <c r="N944" i="66"/>
  <c r="N169" i="66"/>
  <c r="N969" i="66"/>
  <c r="N952" i="66"/>
  <c r="N714" i="66"/>
  <c r="N330" i="66"/>
  <c r="N928" i="66"/>
  <c r="N647" i="66"/>
  <c r="N232" i="66"/>
  <c r="N26" i="66"/>
  <c r="N38" i="66"/>
  <c r="N30" i="66"/>
  <c r="N90" i="66"/>
  <c r="N302" i="66"/>
  <c r="N481" i="66"/>
  <c r="N205" i="66"/>
  <c r="N375" i="66"/>
  <c r="N337" i="66"/>
  <c r="N423" i="66"/>
  <c r="N636" i="66"/>
  <c r="N92" i="66"/>
  <c r="N213" i="66"/>
  <c r="N158" i="66"/>
  <c r="N503" i="66"/>
  <c r="N73" i="66"/>
  <c r="N543" i="66"/>
  <c r="N88" i="66"/>
  <c r="N420" i="66"/>
  <c r="N49" i="66"/>
  <c r="N681" i="66"/>
  <c r="N949" i="66"/>
  <c r="N118" i="66"/>
  <c r="N501" i="66"/>
  <c r="N968" i="66"/>
  <c r="N449" i="66"/>
  <c r="N598" i="66"/>
  <c r="N513" i="66"/>
  <c r="N393" i="66"/>
  <c r="N441" i="66"/>
  <c r="N1027" i="66"/>
  <c r="P1027" i="66" s="1"/>
  <c r="N105" i="66"/>
  <c r="N883" i="66"/>
  <c r="N850" i="66"/>
  <c r="N972" i="66"/>
  <c r="N43" i="66"/>
  <c r="N72" i="66"/>
  <c r="N615" i="66"/>
  <c r="N774" i="66"/>
  <c r="N471" i="66"/>
  <c r="N507" i="66"/>
  <c r="N181" i="66"/>
  <c r="N84" i="66"/>
  <c r="N933" i="66"/>
  <c r="N215" i="66"/>
  <c r="N245" i="66"/>
  <c r="N422" i="66"/>
  <c r="R422" i="66" s="1"/>
  <c r="N448" i="66"/>
  <c r="N585" i="66"/>
  <c r="N192" i="66"/>
  <c r="N483" i="66"/>
  <c r="N527" i="66"/>
  <c r="N676" i="66"/>
  <c r="N55" i="66"/>
  <c r="N888" i="66"/>
  <c r="N788" i="66"/>
  <c r="N107" i="66"/>
  <c r="N450" i="66"/>
  <c r="T450" i="66" s="1"/>
  <c r="Y450" i="66" s="1"/>
  <c r="N640" i="66"/>
  <c r="P640" i="66" s="1"/>
  <c r="AC640" i="66" s="1"/>
  <c r="N387" i="66"/>
  <c r="R387" i="66" s="1"/>
  <c r="N874" i="66"/>
  <c r="N965" i="66"/>
  <c r="R965" i="66" s="1"/>
  <c r="N457" i="66"/>
  <c r="T457" i="66" s="1"/>
  <c r="Y457" i="66" s="1"/>
  <c r="N772" i="66"/>
  <c r="N959" i="66"/>
  <c r="R959" i="66" s="1"/>
  <c r="N426" i="66"/>
  <c r="N487" i="66"/>
  <c r="N711" i="66"/>
  <c r="N649" i="66"/>
  <c r="N750" i="66"/>
  <c r="P750" i="66" s="1"/>
  <c r="AC750" i="66" s="1"/>
  <c r="N842" i="66"/>
  <c r="T842" i="66" s="1"/>
  <c r="Y842" i="66" s="1"/>
  <c r="N686" i="66"/>
  <c r="R686" i="66" s="1"/>
  <c r="N835" i="66"/>
  <c r="N171" i="66"/>
  <c r="N87" i="66"/>
  <c r="N620" i="66"/>
  <c r="T620" i="66" s="1"/>
  <c r="Y620" i="66" s="1"/>
  <c r="N357" i="66"/>
  <c r="N496" i="66"/>
  <c r="P496" i="66" s="1"/>
  <c r="AC496" i="66" s="1"/>
  <c r="N1018" i="66"/>
  <c r="P1018" i="66" s="1"/>
  <c r="N490" i="66"/>
  <c r="R490" i="66" s="1"/>
  <c r="N139" i="66"/>
  <c r="P139" i="66" s="1"/>
  <c r="N925" i="66"/>
  <c r="N768" i="66"/>
  <c r="N929" i="66"/>
  <c r="T929" i="66" s="1"/>
  <c r="Y929" i="66" s="1"/>
  <c r="N21" i="66"/>
  <c r="R21" i="66" s="1"/>
  <c r="N520" i="66"/>
  <c r="N331" i="66"/>
  <c r="N580" i="66"/>
  <c r="R580" i="66" s="1"/>
  <c r="N162" i="66"/>
  <c r="N372" i="66"/>
  <c r="P372" i="66" s="1"/>
  <c r="N196" i="66"/>
  <c r="N564" i="66"/>
  <c r="N412" i="66"/>
  <c r="N492" i="66"/>
  <c r="R492" i="66" s="1"/>
  <c r="N228" i="66"/>
  <c r="N801" i="66"/>
  <c r="N498" i="66"/>
  <c r="T498" i="66" s="1"/>
  <c r="Y498" i="66" s="1"/>
  <c r="N157" i="66"/>
  <c r="P157" i="66" s="1"/>
  <c r="N119" i="66"/>
  <c r="R119" i="66" s="1"/>
  <c r="N326" i="66"/>
  <c r="N246" i="66"/>
  <c r="N621" i="66"/>
  <c r="N939" i="66"/>
  <c r="N616" i="66"/>
  <c r="N537" i="66"/>
  <c r="N300" i="66"/>
  <c r="T300" i="66" s="1"/>
  <c r="Y300" i="66" s="1"/>
  <c r="N526" i="66"/>
  <c r="N464" i="66"/>
  <c r="N56" i="66"/>
  <c r="N495" i="66"/>
  <c r="T495" i="66" s="1"/>
  <c r="Y495" i="66" s="1"/>
  <c r="N323" i="66"/>
  <c r="T323" i="66" s="1"/>
  <c r="Y323" i="66" s="1"/>
  <c r="N623" i="66"/>
  <c r="N836" i="66"/>
  <c r="N529" i="66"/>
  <c r="N873" i="66"/>
  <c r="N47" i="66"/>
  <c r="T47" i="66" s="1"/>
  <c r="Y47" i="66" s="1"/>
  <c r="N235" i="66"/>
  <c r="P235" i="66" s="1"/>
  <c r="H854" i="98" s="1"/>
  <c r="I854" i="98" s="1"/>
  <c r="N783" i="66"/>
  <c r="N764" i="66"/>
  <c r="N591" i="66"/>
  <c r="N663" i="66"/>
  <c r="N946" i="66"/>
  <c r="T946" i="66" s="1"/>
  <c r="Y946" i="66" s="1"/>
  <c r="N414" i="66"/>
  <c r="N668" i="66"/>
  <c r="R668" i="66" s="1"/>
  <c r="N511" i="66"/>
  <c r="N350" i="66"/>
  <c r="N508" i="66"/>
  <c r="N227" i="66"/>
  <c r="N229" i="66"/>
  <c r="N123" i="66"/>
  <c r="N295" i="66"/>
  <c r="N241" i="66"/>
  <c r="N189" i="66"/>
  <c r="P189" i="66" s="1"/>
  <c r="AC189" i="66" s="1"/>
  <c r="N691" i="66"/>
  <c r="P691" i="66" s="1"/>
  <c r="AC691" i="66" s="1"/>
  <c r="N312" i="66"/>
  <c r="N813" i="66"/>
  <c r="R813" i="66" s="1"/>
  <c r="N862" i="66"/>
  <c r="N897" i="66"/>
  <c r="N586" i="66"/>
  <c r="P586" i="66" s="1"/>
  <c r="AC586" i="66" s="1"/>
  <c r="N510" i="66"/>
  <c r="N267" i="66"/>
  <c r="T267" i="66" s="1"/>
  <c r="Y267" i="66" s="1"/>
  <c r="N982" i="66"/>
  <c r="T982" i="66" s="1"/>
  <c r="Y982" i="66" s="1"/>
  <c r="N981" i="66"/>
  <c r="N643" i="66"/>
  <c r="R643" i="66" s="1"/>
  <c r="N841" i="66"/>
  <c r="P841" i="66" s="1"/>
  <c r="AC841" i="66" s="1"/>
  <c r="N687" i="66"/>
  <c r="N695" i="66"/>
  <c r="T695" i="66" s="1"/>
  <c r="Y695" i="66" s="1"/>
  <c r="N938" i="66"/>
  <c r="N226" i="66"/>
  <c r="P226" i="66" s="1"/>
  <c r="AC226" i="66" s="1"/>
  <c r="N747" i="66"/>
  <c r="P747" i="66" s="1"/>
  <c r="H3401" i="98" s="1"/>
  <c r="I3401" i="98" s="1"/>
  <c r="T78" i="93"/>
  <c r="T70" i="93"/>
  <c r="Z271" i="66"/>
  <c r="G3219" i="98"/>
  <c r="P361" i="66"/>
  <c r="AC361" i="66" s="1"/>
  <c r="Z361" i="66"/>
  <c r="T271" i="66"/>
  <c r="Y271" i="66" s="1"/>
  <c r="T243" i="66"/>
  <c r="Y243" i="66" s="1"/>
  <c r="T179" i="66"/>
  <c r="Y179" i="66" s="1"/>
  <c r="T112" i="66"/>
  <c r="Y112" i="66" s="1"/>
  <c r="AE32" i="58"/>
  <c r="Y18" i="58"/>
  <c r="AE18" i="58" s="1"/>
  <c r="AE51" i="58"/>
  <c r="Q172" i="66"/>
  <c r="N1002" i="66"/>
  <c r="H1474" i="103"/>
  <c r="I1474" i="103" s="1"/>
  <c r="K1473" i="103" s="1"/>
  <c r="H1399" i="103"/>
  <c r="I1399" i="103" s="1"/>
  <c r="K1395" i="103" s="1"/>
  <c r="H1246" i="103"/>
  <c r="I1246" i="103" s="1"/>
  <c r="K1242" i="103" s="1"/>
  <c r="H922" i="103"/>
  <c r="I922" i="103" s="1"/>
  <c r="H744" i="103"/>
  <c r="I744" i="103" s="1"/>
  <c r="K740" i="103" s="1"/>
  <c r="H571" i="103"/>
  <c r="I571" i="103" s="1"/>
  <c r="K568" i="103" s="1"/>
  <c r="H523" i="103"/>
  <c r="I523" i="103" s="1"/>
  <c r="K520" i="103" s="1"/>
  <c r="H491" i="103"/>
  <c r="I491" i="103" s="1"/>
  <c r="K488" i="103" s="1"/>
  <c r="H458" i="103"/>
  <c r="I458" i="103" s="1"/>
  <c r="K455" i="103" s="1"/>
  <c r="H426" i="103"/>
  <c r="I426" i="103" s="1"/>
  <c r="H394" i="103"/>
  <c r="I394" i="103" s="1"/>
  <c r="K390" i="103" s="1"/>
  <c r="H1417" i="103"/>
  <c r="I1417" i="103" s="1"/>
  <c r="K1413" i="103" s="1"/>
  <c r="H908" i="103"/>
  <c r="I908" i="103" s="1"/>
  <c r="H809" i="103"/>
  <c r="I809" i="103" s="1"/>
  <c r="K806" i="103" s="1"/>
  <c r="H727" i="103"/>
  <c r="I727" i="103" s="1"/>
  <c r="K724" i="103" s="1"/>
  <c r="H607" i="103"/>
  <c r="I607" i="103" s="1"/>
  <c r="H506" i="103"/>
  <c r="I506" i="103" s="1"/>
  <c r="H441" i="103"/>
  <c r="I441" i="103" s="1"/>
  <c r="K438" i="103" s="1"/>
  <c r="H99" i="103"/>
  <c r="I99" i="103" s="1"/>
  <c r="K95" i="103" s="1"/>
  <c r="H1369" i="103"/>
  <c r="I1369" i="103" s="1"/>
  <c r="K1364" i="103" s="1"/>
  <c r="H1148" i="103"/>
  <c r="I1148" i="103" s="1"/>
  <c r="K1145" i="103" s="1"/>
  <c r="H850" i="103"/>
  <c r="I850" i="103" s="1"/>
  <c r="K846" i="103" s="1"/>
  <c r="H755" i="103"/>
  <c r="I755" i="103" s="1"/>
  <c r="H540" i="103"/>
  <c r="I540" i="103" s="1"/>
  <c r="K537" i="103" s="1"/>
  <c r="C73" i="93"/>
  <c r="C74" i="93" s="1"/>
  <c r="G3231" i="98"/>
  <c r="G3217" i="98"/>
  <c r="I3217" i="98" s="1"/>
  <c r="K3216" i="98" s="1"/>
  <c r="G2354" i="98"/>
  <c r="G2340" i="98"/>
  <c r="P845" i="66"/>
  <c r="AC845" i="66" s="1"/>
  <c r="Z845" i="66"/>
  <c r="H1339" i="103"/>
  <c r="I1339" i="103" s="1"/>
  <c r="K1333" i="103" s="1"/>
  <c r="H1263" i="103"/>
  <c r="I1263" i="103" s="1"/>
  <c r="K1259" i="103" s="1"/>
  <c r="H1187" i="103"/>
  <c r="I1187" i="103" s="1"/>
  <c r="K1182" i="103" s="1"/>
  <c r="H1135" i="103"/>
  <c r="I1135" i="103" s="1"/>
  <c r="I1136" i="103" s="1"/>
  <c r="I1137" i="103" s="1"/>
  <c r="H865" i="103"/>
  <c r="I865" i="103" s="1"/>
  <c r="K862" i="103" s="1"/>
  <c r="H377" i="103"/>
  <c r="I377" i="103" s="1"/>
  <c r="K376" i="103" s="1"/>
  <c r="H344" i="103"/>
  <c r="I344" i="103" s="1"/>
  <c r="K338" i="103" s="1"/>
  <c r="H285" i="103"/>
  <c r="I285" i="103" s="1"/>
  <c r="K284" i="103" s="1"/>
  <c r="H169" i="103"/>
  <c r="I169" i="103" s="1"/>
  <c r="H155" i="103"/>
  <c r="I155" i="103" s="1"/>
  <c r="K149" i="103" s="1"/>
  <c r="H363" i="103"/>
  <c r="I363" i="103" s="1"/>
  <c r="K357" i="103" s="1"/>
  <c r="H119" i="103"/>
  <c r="I119" i="103" s="1"/>
  <c r="K112" i="103" s="1"/>
  <c r="H1432" i="103"/>
  <c r="I1432" i="103" s="1"/>
  <c r="K1431" i="103" s="1"/>
  <c r="H881" i="103"/>
  <c r="I881" i="103" s="1"/>
  <c r="K877" i="103" s="1"/>
  <c r="H639" i="103"/>
  <c r="I639" i="103" s="1"/>
  <c r="K638" i="103" s="1"/>
  <c r="H588" i="103"/>
  <c r="I588" i="103" s="1"/>
  <c r="K585" i="103" s="1"/>
  <c r="H321" i="103"/>
  <c r="I321" i="103" s="1"/>
  <c r="K318" i="103" s="1"/>
  <c r="H180" i="103"/>
  <c r="I180" i="103" s="1"/>
  <c r="K179" i="103" s="1"/>
  <c r="H23" i="103"/>
  <c r="I23" i="103" s="1"/>
  <c r="K22" i="103" s="1"/>
  <c r="G3233" i="98"/>
  <c r="G2352" i="98"/>
  <c r="G2338" i="98"/>
  <c r="B61" i="42"/>
  <c r="T914" i="66"/>
  <c r="Y914" i="66" s="1"/>
  <c r="T904" i="66"/>
  <c r="Y904" i="66" s="1"/>
  <c r="T845" i="66"/>
  <c r="Y845" i="66" s="1"/>
  <c r="T843" i="66"/>
  <c r="Y843" i="66" s="1"/>
  <c r="T826" i="66"/>
  <c r="Y826" i="66" s="1"/>
  <c r="T821" i="66"/>
  <c r="Y821" i="66" s="1"/>
  <c r="T748" i="66"/>
  <c r="Y748" i="66" s="1"/>
  <c r="T666" i="66"/>
  <c r="Y666" i="66" s="1"/>
  <c r="T624" i="66"/>
  <c r="Y624" i="66" s="1"/>
  <c r="T622" i="66"/>
  <c r="Y622" i="66" s="1"/>
  <c r="T594" i="66"/>
  <c r="Y594" i="66" s="1"/>
  <c r="T528" i="66"/>
  <c r="Y528" i="66" s="1"/>
  <c r="T517" i="66"/>
  <c r="Y517" i="66" s="1"/>
  <c r="T505" i="66"/>
  <c r="Y505" i="66" s="1"/>
  <c r="T434" i="66"/>
  <c r="Y434" i="66" s="1"/>
  <c r="T378" i="66"/>
  <c r="Y378" i="66" s="1"/>
  <c r="T364" i="66"/>
  <c r="Y364" i="66" s="1"/>
  <c r="T275" i="66"/>
  <c r="Y275" i="66" s="1"/>
  <c r="T140" i="66"/>
  <c r="Y140" i="66" s="1"/>
  <c r="T57" i="66"/>
  <c r="Y57" i="66" s="1"/>
  <c r="H1166" i="103"/>
  <c r="I1166" i="103" s="1"/>
  <c r="G2207" i="98"/>
  <c r="G2194" i="98"/>
  <c r="G2462" i="98"/>
  <c r="G2220" i="98"/>
  <c r="F2632" i="98"/>
  <c r="F2677" i="98"/>
  <c r="F2726" i="98"/>
  <c r="F2786" i="98"/>
  <c r="F2836" i="98"/>
  <c r="F2902" i="98"/>
  <c r="F2949" i="98"/>
  <c r="F2963" i="98"/>
  <c r="F3026" i="98"/>
  <c r="F3094" i="98"/>
  <c r="F3145" i="98"/>
  <c r="F3237" i="98"/>
  <c r="F3270" i="98"/>
  <c r="F3326" i="98"/>
  <c r="H2747" i="98"/>
  <c r="I2747" i="98" s="1"/>
  <c r="I2746" i="98" s="1"/>
  <c r="I2748" i="98" s="1"/>
  <c r="I2749" i="98" s="1"/>
  <c r="H1036" i="103"/>
  <c r="I1036" i="103" s="1"/>
  <c r="I1035" i="103" s="1"/>
  <c r="J1034" i="103" s="1"/>
  <c r="AC769" i="66"/>
  <c r="R179" i="66"/>
  <c r="AC569" i="66"/>
  <c r="I3241" i="42"/>
  <c r="J3241" i="42" s="1"/>
  <c r="J3228" i="42" s="1"/>
  <c r="K3227" i="42" s="1"/>
  <c r="I2859" i="42"/>
  <c r="J2859" i="42" s="1"/>
  <c r="J2853" i="42" s="1"/>
  <c r="K2852" i="42" s="1"/>
  <c r="A89" i="12"/>
  <c r="AC1000" i="66"/>
  <c r="AC748" i="66"/>
  <c r="R271" i="66"/>
  <c r="AC534" i="66"/>
  <c r="AC760" i="66"/>
  <c r="R434" i="66"/>
  <c r="AC756" i="66"/>
  <c r="I1474" i="42"/>
  <c r="J1474" i="42" s="1"/>
  <c r="J1470" i="42" s="1"/>
  <c r="K1469" i="42" s="1"/>
  <c r="I305" i="42"/>
  <c r="J305" i="42" s="1"/>
  <c r="J301" i="42" s="1"/>
  <c r="K300" i="42" s="1"/>
  <c r="AC777" i="66"/>
  <c r="AC179" i="66"/>
  <c r="I2882" i="42"/>
  <c r="J2882" i="42" s="1"/>
  <c r="L2879" i="42" s="1"/>
  <c r="I2876" i="42"/>
  <c r="J2876" i="42" s="1"/>
  <c r="L2873" i="42" s="1"/>
  <c r="I392" i="42"/>
  <c r="J392" i="42" s="1"/>
  <c r="L386" i="42" s="1"/>
  <c r="I2894" i="42"/>
  <c r="J2894" i="42" s="1"/>
  <c r="L2891" i="42" s="1"/>
  <c r="I2888" i="42"/>
  <c r="J2888" i="42" s="1"/>
  <c r="L2885" i="42" s="1"/>
  <c r="T747" i="66"/>
  <c r="Y747" i="66" s="1"/>
  <c r="H1400" i="98"/>
  <c r="F65" i="93"/>
  <c r="I65" i="93" s="1"/>
  <c r="L65" i="93" s="1"/>
  <c r="I54" i="12"/>
  <c r="I792" i="42" s="1"/>
  <c r="J792" i="42" s="1"/>
  <c r="I791" i="42"/>
  <c r="J791" i="42" s="1"/>
  <c r="F87" i="93"/>
  <c r="I87" i="93" s="1"/>
  <c r="L87" i="93" s="1"/>
  <c r="G43" i="93"/>
  <c r="J43" i="93" s="1"/>
  <c r="M43" i="93" s="1"/>
  <c r="D44" i="93"/>
  <c r="G36" i="93"/>
  <c r="J36" i="93" s="1"/>
  <c r="M36" i="93" s="1"/>
  <c r="D37" i="93"/>
  <c r="C88" i="93"/>
  <c r="I18" i="86"/>
  <c r="L18" i="86" s="1"/>
  <c r="J18" i="86"/>
  <c r="M18" i="86" s="1"/>
  <c r="R682" i="66"/>
  <c r="P155" i="66"/>
  <c r="AC155" i="66" s="1"/>
  <c r="P871" i="66"/>
  <c r="AC871" i="66" s="1"/>
  <c r="R683" i="66"/>
  <c r="AC765" i="66"/>
  <c r="R765" i="66"/>
  <c r="P209" i="66"/>
  <c r="AC209" i="66" s="1"/>
  <c r="T35" i="66"/>
  <c r="Y35" i="66" s="1"/>
  <c r="R761" i="66"/>
  <c r="P263" i="66"/>
  <c r="AC263" i="66" s="1"/>
  <c r="R308" i="66"/>
  <c r="T781" i="66"/>
  <c r="Y781" i="66" s="1"/>
  <c r="R906" i="66"/>
  <c r="R89" i="66"/>
  <c r="P306" i="66"/>
  <c r="AC306" i="66" s="1"/>
  <c r="T405" i="66"/>
  <c r="Y405" i="66" s="1"/>
  <c r="A4" i="12"/>
  <c r="H1104" i="98"/>
  <c r="I1104" i="98" s="1"/>
  <c r="I1328" i="42"/>
  <c r="J1328" i="42" s="1"/>
  <c r="J1324" i="42" s="1"/>
  <c r="K1323" i="42" s="1"/>
  <c r="H72" i="93"/>
  <c r="K72" i="93" s="1"/>
  <c r="N72" i="93" s="1"/>
  <c r="E73" i="93"/>
  <c r="H2670" i="98"/>
  <c r="I2670" i="98" s="1"/>
  <c r="K2666" i="98" s="1"/>
  <c r="H2388" i="98"/>
  <c r="I2388" i="98" s="1"/>
  <c r="K2380" i="98" s="1"/>
  <c r="H1619" i="98"/>
  <c r="I1619" i="98" s="1"/>
  <c r="K1613" i="98" s="1"/>
  <c r="H786" i="98"/>
  <c r="I786" i="98" s="1"/>
  <c r="K781" i="98" s="1"/>
  <c r="H222" i="98"/>
  <c r="I222" i="98" s="1"/>
  <c r="K217" i="98" s="1"/>
  <c r="H2848" i="98"/>
  <c r="I2848" i="98" s="1"/>
  <c r="K2843" i="98" s="1"/>
  <c r="H2000" i="98"/>
  <c r="I2000" i="98" s="1"/>
  <c r="K1999" i="98" s="1"/>
  <c r="H368" i="98"/>
  <c r="I368" i="98" s="1"/>
  <c r="K363" i="98" s="1"/>
  <c r="H2910" i="98"/>
  <c r="I2910" i="98" s="1"/>
  <c r="K2909" i="98" s="1"/>
  <c r="H1243" i="98"/>
  <c r="I1243" i="98" s="1"/>
  <c r="H2535" i="98"/>
  <c r="I2535" i="98" s="1"/>
  <c r="K2527" i="98" s="1"/>
  <c r="H1201" i="98"/>
  <c r="I1201" i="98" s="1"/>
  <c r="H1215" i="98"/>
  <c r="I1215" i="98" s="1"/>
  <c r="K1211" i="98" s="1"/>
  <c r="I2596" i="42"/>
  <c r="J2596" i="42" s="1"/>
  <c r="L2594" i="42" s="1"/>
  <c r="I2095" i="42"/>
  <c r="J2095" i="42" s="1"/>
  <c r="L2092" i="42" s="1"/>
  <c r="I2653" i="42"/>
  <c r="J2653" i="42" s="1"/>
  <c r="L2652" i="42" s="1"/>
  <c r="I40" i="42"/>
  <c r="J40" i="42" s="1"/>
  <c r="L39" i="42" s="1"/>
  <c r="I2055" i="42"/>
  <c r="J2055" i="42" s="1"/>
  <c r="L2052" i="42" s="1"/>
  <c r="I2588" i="42"/>
  <c r="J2588" i="42" s="1"/>
  <c r="L2586" i="42" s="1"/>
  <c r="I2306" i="42"/>
  <c r="J2306" i="42" s="1"/>
  <c r="L2302" i="42" s="1"/>
  <c r="I1922" i="42"/>
  <c r="J1922" i="42" s="1"/>
  <c r="L1918" i="42" s="1"/>
  <c r="I2061" i="42"/>
  <c r="J2061" i="42" s="1"/>
  <c r="L2060" i="42" s="1"/>
  <c r="I1996" i="42"/>
  <c r="J1996" i="42" s="1"/>
  <c r="L1995" i="42" s="1"/>
  <c r="I2973" i="42"/>
  <c r="J2973" i="42" s="1"/>
  <c r="L2970" i="42" s="1"/>
  <c r="N809" i="66"/>
  <c r="N838" i="66"/>
  <c r="N717" i="66"/>
  <c r="N983" i="66"/>
  <c r="N148" i="66"/>
  <c r="N150" i="66"/>
  <c r="N131" i="66"/>
  <c r="N971" i="66"/>
  <c r="N652" i="66"/>
  <c r="N290" i="66"/>
  <c r="T290" i="66" s="1"/>
  <c r="Y290" i="66" s="1"/>
  <c r="N52" i="66"/>
  <c r="N488" i="66"/>
  <c r="N419" i="66"/>
  <c r="T419" i="66" s="1"/>
  <c r="Y419" i="66" s="1"/>
  <c r="N927" i="66"/>
  <c r="N902" i="66"/>
  <c r="P902" i="66" s="1"/>
  <c r="N274" i="66"/>
  <c r="T274" i="66" s="1"/>
  <c r="Y274" i="66" s="1"/>
  <c r="N231" i="66"/>
  <c r="T231" i="66" s="1"/>
  <c r="Y231" i="66" s="1"/>
  <c r="N452" i="66"/>
  <c r="N70" i="66"/>
  <c r="N83" i="66"/>
  <c r="N656" i="66"/>
  <c r="N454" i="66"/>
  <c r="T454" i="66" s="1"/>
  <c r="Y454" i="66" s="1"/>
  <c r="N380" i="66"/>
  <c r="N951" i="66"/>
  <c r="T951" i="66" s="1"/>
  <c r="Y951" i="66" s="1"/>
  <c r="N970" i="66"/>
  <c r="T970" i="66" s="1"/>
  <c r="Y970" i="66" s="1"/>
  <c r="N931" i="66"/>
  <c r="T931" i="66" s="1"/>
  <c r="Y931" i="66" s="1"/>
  <c r="N256" i="66"/>
  <c r="N398" i="66"/>
  <c r="T398" i="66" s="1"/>
  <c r="Y398" i="66" s="1"/>
  <c r="N519" i="66"/>
  <c r="T519" i="66" s="1"/>
  <c r="Y519" i="66" s="1"/>
  <c r="N207" i="66"/>
  <c r="T207" i="66" s="1"/>
  <c r="Y207" i="66" s="1"/>
  <c r="N293" i="66"/>
  <c r="N382" i="66"/>
  <c r="N444" i="66"/>
  <c r="T444" i="66" s="1"/>
  <c r="Y444" i="66" s="1"/>
  <c r="N262" i="66"/>
  <c r="N236" i="66"/>
  <c r="N482" i="66"/>
  <c r="N156" i="66"/>
  <c r="N935" i="66"/>
  <c r="N642" i="66"/>
  <c r="N377" i="66"/>
  <c r="N121" i="66"/>
  <c r="N940" i="66"/>
  <c r="N825" i="66"/>
  <c r="N328" i="66"/>
  <c r="N992" i="66"/>
  <c r="N588" i="66"/>
  <c r="N368" i="66"/>
  <c r="N611" i="66"/>
  <c r="N1021" i="66"/>
  <c r="P1021" i="66" s="1"/>
  <c r="AC1021" i="66" s="1"/>
  <c r="N819" i="66"/>
  <c r="P819" i="66" s="1"/>
  <c r="AC819" i="66" s="1"/>
  <c r="N440" i="66"/>
  <c r="T440" i="66" s="1"/>
  <c r="Y440" i="66" s="1"/>
  <c r="N743" i="66"/>
  <c r="T743" i="66" s="1"/>
  <c r="Y743" i="66" s="1"/>
  <c r="N314" i="66"/>
  <c r="N313" i="66"/>
  <c r="N920" i="66"/>
  <c r="N641" i="66"/>
  <c r="N132" i="66"/>
  <c r="T132" i="66" s="1"/>
  <c r="Y132" i="66" s="1"/>
  <c r="N149" i="66"/>
  <c r="R149" i="66" s="1"/>
  <c r="N863" i="66"/>
  <c r="R863" i="66" s="1"/>
  <c r="N941" i="66"/>
  <c r="N25" i="66"/>
  <c r="N500" i="66"/>
  <c r="N894" i="66"/>
  <c r="N366" i="66"/>
  <c r="N978" i="66"/>
  <c r="N143" i="66"/>
  <c r="N296" i="66"/>
  <c r="N32" i="66"/>
  <c r="N135" i="66"/>
  <c r="N631" i="66"/>
  <c r="N137" i="66"/>
  <c r="N699" i="66"/>
  <c r="N472" i="66"/>
  <c r="N1010" i="66"/>
  <c r="N182" i="66"/>
  <c r="N868" i="66"/>
  <c r="T868" i="66" s="1"/>
  <c r="Y868" i="66" s="1"/>
  <c r="N950" i="66"/>
  <c r="N63" i="66"/>
  <c r="N770" i="66"/>
  <c r="T770" i="66" s="1"/>
  <c r="Y770" i="66" s="1"/>
  <c r="N810" i="66"/>
  <c r="R810" i="66" s="1"/>
  <c r="N141" i="66"/>
  <c r="N915" i="66"/>
  <c r="P915" i="66" s="1"/>
  <c r="N432" i="66"/>
  <c r="P432" i="66" s="1"/>
  <c r="N732" i="66"/>
  <c r="T732" i="66" s="1"/>
  <c r="Y732" i="66" s="1"/>
  <c r="N509" i="66"/>
  <c r="R509" i="66" s="1"/>
  <c r="N42" i="66"/>
  <c r="P42" i="66" s="1"/>
  <c r="AC42" i="66" s="1"/>
  <c r="N749" i="66"/>
  <c r="P749" i="66" s="1"/>
  <c r="AC749" i="66" s="1"/>
  <c r="N563" i="66"/>
  <c r="P563" i="66" s="1"/>
  <c r="N671" i="66"/>
  <c r="T671" i="66" s="1"/>
  <c r="Y671" i="66" s="1"/>
  <c r="N754" i="66"/>
  <c r="P754" i="66" s="1"/>
  <c r="N798" i="66"/>
  <c r="T798" i="66" s="1"/>
  <c r="Y798" i="66" s="1"/>
  <c r="N908" i="66"/>
  <c r="P908" i="66" s="1"/>
  <c r="AC908" i="66" s="1"/>
  <c r="N1011" i="66"/>
  <c r="R1011" i="66" s="1"/>
  <c r="N76" i="66"/>
  <c r="R76" i="66" s="1"/>
  <c r="N709" i="66"/>
  <c r="T709" i="66" s="1"/>
  <c r="Y709" i="66" s="1"/>
  <c r="N963" i="66"/>
  <c r="T963" i="66" s="1"/>
  <c r="Y963" i="66" s="1"/>
  <c r="N443" i="66"/>
  <c r="T443" i="66" s="1"/>
  <c r="Y443" i="66" s="1"/>
  <c r="N593" i="66"/>
  <c r="T593" i="66" s="1"/>
  <c r="Y593" i="66" s="1"/>
  <c r="N402" i="66"/>
  <c r="P402" i="66" s="1"/>
  <c r="H673" i="103" s="1"/>
  <c r="I673" i="103" s="1"/>
  <c r="N285" i="66"/>
  <c r="N837" i="66"/>
  <c r="R837" i="66" s="1"/>
  <c r="N409" i="66"/>
  <c r="T409" i="66" s="1"/>
  <c r="Y409" i="66" s="1"/>
  <c r="N167" i="66"/>
  <c r="R167" i="66" s="1"/>
  <c r="N973" i="66"/>
  <c r="T973" i="66" s="1"/>
  <c r="Y973" i="66" s="1"/>
  <c r="N606" i="66"/>
  <c r="R606" i="66" s="1"/>
  <c r="N961" i="66"/>
  <c r="N126" i="66"/>
  <c r="T126" i="66" s="1"/>
  <c r="Y126" i="66" s="1"/>
  <c r="N94" i="66"/>
  <c r="P94" i="66" s="1"/>
  <c r="N239" i="66"/>
  <c r="R239" i="66" s="1"/>
  <c r="N984" i="66"/>
  <c r="P984" i="66" s="1"/>
  <c r="AC984" i="66" s="1"/>
  <c r="N358" i="66"/>
  <c r="R358" i="66" s="1"/>
  <c r="N924" i="66"/>
  <c r="R924" i="66" s="1"/>
  <c r="N310" i="66"/>
  <c r="T310" i="66" s="1"/>
  <c r="Y310" i="66" s="1"/>
  <c r="N493" i="66"/>
  <c r="R493" i="66" s="1"/>
  <c r="N655" i="66"/>
  <c r="P655" i="66" s="1"/>
  <c r="N115" i="66"/>
  <c r="T115" i="66" s="1"/>
  <c r="Y115" i="66" s="1"/>
  <c r="N877" i="66"/>
  <c r="T877" i="66" s="1"/>
  <c r="Y877" i="66" s="1"/>
  <c r="N66" i="66"/>
  <c r="R66" i="66" s="1"/>
  <c r="N803" i="66"/>
  <c r="N864" i="66"/>
  <c r="R864" i="66" s="1"/>
  <c r="N44" i="66"/>
  <c r="N638" i="66"/>
  <c r="N913" i="66"/>
  <c r="R913" i="66" s="1"/>
  <c r="N191" i="66"/>
  <c r="T191" i="66" s="1"/>
  <c r="Y191" i="66" s="1"/>
  <c r="N335" i="66"/>
  <c r="P335" i="66" s="1"/>
  <c r="AC335" i="66" s="1"/>
  <c r="N793" i="66"/>
  <c r="T793" i="66" s="1"/>
  <c r="Y793" i="66" s="1"/>
  <c r="N719" i="66"/>
  <c r="T719" i="66" s="1"/>
  <c r="Y719" i="66" s="1"/>
  <c r="N609" i="66"/>
  <c r="T609" i="66" s="1"/>
  <c r="Y609" i="66" s="1"/>
  <c r="N418" i="66"/>
  <c r="P418" i="66" s="1"/>
  <c r="AC418" i="66" s="1"/>
  <c r="N976" i="66"/>
  <c r="T976" i="66" s="1"/>
  <c r="Y976" i="66" s="1"/>
  <c r="N881" i="66"/>
  <c r="R881" i="66" s="1"/>
  <c r="N860" i="66"/>
  <c r="P860" i="66" s="1"/>
  <c r="AC860" i="66" s="1"/>
  <c r="N705" i="66"/>
  <c r="R705" i="66" s="1"/>
  <c r="N903" i="66"/>
  <c r="R903" i="66" s="1"/>
  <c r="N130" i="66"/>
  <c r="T130" i="66" s="1"/>
  <c r="Y130" i="66" s="1"/>
  <c r="N46" i="66"/>
  <c r="N807" i="66"/>
  <c r="T807" i="66" s="1"/>
  <c r="Y807" i="66" s="1"/>
  <c r="N921" i="66"/>
  <c r="R921" i="66" s="1"/>
  <c r="N106" i="66"/>
  <c r="T106" i="66" s="1"/>
  <c r="Y106" i="66" s="1"/>
  <c r="N172" i="66"/>
  <c r="N479" i="66"/>
  <c r="T479" i="66" s="1"/>
  <c r="Y479" i="66" s="1"/>
  <c r="N867" i="66"/>
  <c r="N475" i="66"/>
  <c r="R475" i="66" s="1"/>
  <c r="N421" i="66"/>
  <c r="T421" i="66" s="1"/>
  <c r="Y421" i="66" s="1"/>
  <c r="N322" i="66"/>
  <c r="R322" i="66" s="1"/>
  <c r="N68" i="66"/>
  <c r="T68" i="66" s="1"/>
  <c r="Y68" i="66" s="1"/>
  <c r="N164" i="66"/>
  <c r="P164" i="66" s="1"/>
  <c r="AC164" i="66" s="1"/>
  <c r="N816" i="66"/>
  <c r="P816" i="66" s="1"/>
  <c r="AC816" i="66" s="1"/>
  <c r="N853" i="66"/>
  <c r="N96" i="66"/>
  <c r="T96" i="66" s="1"/>
  <c r="Y96" i="66" s="1"/>
  <c r="N555" i="66"/>
  <c r="T555" i="66" s="1"/>
  <c r="Y555" i="66" s="1"/>
  <c r="N625" i="66"/>
  <c r="P625" i="66" s="1"/>
  <c r="AC625" i="66" s="1"/>
  <c r="N536" i="66"/>
  <c r="T536" i="66" s="1"/>
  <c r="Y536" i="66" s="1"/>
  <c r="N58" i="66"/>
  <c r="R58" i="66" s="1"/>
  <c r="N822" i="66"/>
  <c r="T822" i="66" s="1"/>
  <c r="Y822" i="66" s="1"/>
  <c r="N23" i="66"/>
  <c r="P23" i="66" s="1"/>
  <c r="AC23" i="66" s="1"/>
  <c r="N223" i="66"/>
  <c r="T223" i="66" s="1"/>
  <c r="Y223" i="66" s="1"/>
  <c r="N685" i="66"/>
  <c r="T685" i="66" s="1"/>
  <c r="Y685" i="66" s="1"/>
  <c r="N820" i="66"/>
  <c r="P820" i="66" s="1"/>
  <c r="AC820" i="66" s="1"/>
  <c r="N425" i="66"/>
  <c r="N340" i="66"/>
  <c r="N212" i="66"/>
  <c r="T212" i="66" s="1"/>
  <c r="Y212" i="66" s="1"/>
  <c r="N977" i="66"/>
  <c r="N388" i="66"/>
  <c r="N722" i="66"/>
  <c r="N20" i="66"/>
  <c r="N551" i="66"/>
  <c r="N103" i="66"/>
  <c r="N518" i="66"/>
  <c r="N67" i="66"/>
  <c r="N1014" i="66"/>
  <c r="P1014" i="66" s="1"/>
  <c r="AC1014" i="66" s="1"/>
  <c r="N210" i="66"/>
  <c r="N1024" i="66"/>
  <c r="P1024" i="66" s="1"/>
  <c r="AC1024" i="66" s="1"/>
  <c r="N613" i="66"/>
  <c r="N808" i="66"/>
  <c r="N82" i="66"/>
  <c r="N287" i="66"/>
  <c r="N347" i="66"/>
  <c r="N975" i="66"/>
  <c r="N401" i="66"/>
  <c r="N203" i="66"/>
  <c r="N834" i="66"/>
  <c r="N407" i="66"/>
  <c r="N789" i="66"/>
  <c r="N619" i="66"/>
  <c r="T619" i="66" s="1"/>
  <c r="Y619" i="66" s="1"/>
  <c r="N473" i="66"/>
  <c r="T473" i="66" s="1"/>
  <c r="Y473" i="66" s="1"/>
  <c r="N953" i="66"/>
  <c r="I3253" i="42"/>
  <c r="J3253" i="42" s="1"/>
  <c r="J3250" i="42" s="1"/>
  <c r="K3249" i="42" s="1"/>
  <c r="E53" i="93"/>
  <c r="H2280" i="98"/>
  <c r="I2280" i="98" s="1"/>
  <c r="K2276" i="98" s="1"/>
  <c r="H632" i="98"/>
  <c r="I632" i="98" s="1"/>
  <c r="K628" i="98" s="1"/>
  <c r="T68" i="93"/>
  <c r="T69" i="93"/>
  <c r="T39" i="93"/>
  <c r="A12" i="7"/>
  <c r="E112" i="7"/>
  <c r="Z780" i="66"/>
  <c r="T708" i="66"/>
  <c r="Y708" i="66" s="1"/>
  <c r="Z1006" i="66"/>
  <c r="F41" i="93"/>
  <c r="I41" i="93" s="1"/>
  <c r="L41" i="93" s="1"/>
  <c r="F73" i="93"/>
  <c r="I73" i="93" s="1"/>
  <c r="L73" i="93" s="1"/>
  <c r="Q707" i="66"/>
  <c r="E12" i="7"/>
  <c r="Z859" i="66"/>
  <c r="Z692" i="66"/>
  <c r="Z447" i="66"/>
  <c r="Z782" i="66"/>
  <c r="C258" i="12"/>
  <c r="E7" i="7" s="1"/>
  <c r="Z706" i="66"/>
  <c r="Z592" i="66"/>
  <c r="Z554" i="66"/>
  <c r="Z852" i="66"/>
  <c r="Z817" i="66"/>
  <c r="Z327" i="66"/>
  <c r="Z552" i="66"/>
  <c r="Z376" i="66"/>
  <c r="C52" i="93"/>
  <c r="Z848" i="66"/>
  <c r="T767" i="66"/>
  <c r="Y767" i="66" s="1"/>
  <c r="T534" i="66"/>
  <c r="Y534" i="66" s="1"/>
  <c r="Z622" i="66"/>
  <c r="T645" i="66"/>
  <c r="Y645" i="66" s="1"/>
  <c r="Z346" i="66"/>
  <c r="Y34" i="58"/>
  <c r="AE34" i="58" s="1"/>
  <c r="T592" i="66"/>
  <c r="Y592" i="66" s="1"/>
  <c r="T413" i="66"/>
  <c r="Y413" i="66" s="1"/>
  <c r="T355" i="66"/>
  <c r="Y355" i="66" s="1"/>
  <c r="T346" i="66"/>
  <c r="Y346" i="66" s="1"/>
  <c r="T234" i="66"/>
  <c r="Y234" i="66" s="1"/>
  <c r="T219" i="66"/>
  <c r="Y219" i="66" s="1"/>
  <c r="T120" i="66"/>
  <c r="Y120" i="66" s="1"/>
  <c r="AE20" i="58"/>
  <c r="C240" i="12"/>
  <c r="C198" i="12"/>
  <c r="F3345" i="42"/>
  <c r="H3085" i="98"/>
  <c r="I3085" i="98" s="1"/>
  <c r="H2511" i="98"/>
  <c r="I2511" i="98" s="1"/>
  <c r="H480" i="98"/>
  <c r="I480" i="98" s="1"/>
  <c r="H2150" i="98"/>
  <c r="I2150" i="98" s="1"/>
  <c r="H2431" i="98"/>
  <c r="I2431" i="98" s="1"/>
  <c r="H3063" i="98"/>
  <c r="I3063" i="98" s="1"/>
  <c r="H200" i="98"/>
  <c r="I200" i="98" s="1"/>
  <c r="H238" i="98"/>
  <c r="I238" i="98" s="1"/>
  <c r="H1688" i="98"/>
  <c r="I1688" i="98" s="1"/>
  <c r="H2319" i="98"/>
  <c r="I2319" i="98" s="1"/>
  <c r="I2699" i="98"/>
  <c r="I2698" i="98" s="1"/>
  <c r="H511" i="98"/>
  <c r="I511" i="98" s="1"/>
  <c r="F530" i="103"/>
  <c r="F369" i="103"/>
  <c r="F186" i="103"/>
  <c r="F647" i="103"/>
  <c r="F914" i="103"/>
  <c r="F1372" i="103"/>
  <c r="F884" i="103"/>
  <c r="F982" i="103"/>
  <c r="F1127" i="103"/>
  <c r="F1357" i="103"/>
  <c r="F1406" i="103"/>
  <c r="H1871" i="98"/>
  <c r="I1871" i="98" s="1"/>
  <c r="H1872" i="98" s="1"/>
  <c r="I1872" i="98" s="1"/>
  <c r="F1453" i="103"/>
  <c r="F1466" i="103"/>
  <c r="F1345" i="103"/>
  <c r="F1205" i="103"/>
  <c r="F1027" i="103"/>
  <c r="F1175" i="103"/>
  <c r="F1072" i="103"/>
  <c r="F952" i="103"/>
  <c r="F1266" i="103"/>
  <c r="F900" i="103"/>
  <c r="F599" i="103"/>
  <c r="F839" i="103"/>
  <c r="F578" i="103"/>
  <c r="F161" i="103"/>
  <c r="F142" i="103"/>
  <c r="D45" i="93"/>
  <c r="G44" i="93"/>
  <c r="J44" i="93" s="1"/>
  <c r="M44" i="93" s="1"/>
  <c r="T44" i="93" s="1"/>
  <c r="G14" i="85"/>
  <c r="T40" i="93"/>
  <c r="I1079" i="42"/>
  <c r="J1079" i="42" s="1"/>
  <c r="J1077" i="42" s="1"/>
  <c r="K1076" i="42" s="1"/>
  <c r="H896" i="103"/>
  <c r="I896" i="103" s="1"/>
  <c r="I892" i="103" s="1"/>
  <c r="T51" i="93"/>
  <c r="G19" i="85"/>
  <c r="L18" i="66"/>
  <c r="M18" i="66" s="1"/>
  <c r="K18" i="66"/>
  <c r="I2183" i="42"/>
  <c r="J2183" i="42" s="1"/>
  <c r="L2182" i="42" s="1"/>
  <c r="I2298" i="42"/>
  <c r="J2298" i="42" s="1"/>
  <c r="L2293" i="42" s="1"/>
  <c r="I1103" i="42"/>
  <c r="J1103" i="42" s="1"/>
  <c r="L1099" i="42" s="1"/>
  <c r="I1397" i="42"/>
  <c r="J1397" i="42" s="1"/>
  <c r="L1393" i="42" s="1"/>
  <c r="I1990" i="42"/>
  <c r="J1990" i="42" s="1"/>
  <c r="L1986" i="42" s="1"/>
  <c r="I234" i="42"/>
  <c r="J234" i="42" s="1"/>
  <c r="L228" i="42" s="1"/>
  <c r="I2280" i="42"/>
  <c r="J2280" i="42" s="1"/>
  <c r="L2276" i="42" s="1"/>
  <c r="I1111" i="42"/>
  <c r="J1111" i="42" s="1"/>
  <c r="L1106" i="42" s="1"/>
  <c r="I1180" i="42"/>
  <c r="J1180" i="42" s="1"/>
  <c r="L1176" i="42" s="1"/>
  <c r="I909" i="42"/>
  <c r="J909" i="42" s="1"/>
  <c r="L906" i="42" s="1"/>
  <c r="I409" i="42"/>
  <c r="J409" i="42" s="1"/>
  <c r="L404" i="42" s="1"/>
  <c r="I2993" i="42"/>
  <c r="J2993" i="42" s="1"/>
  <c r="L2989" i="42" s="1"/>
  <c r="I1896" i="42"/>
  <c r="J1896" i="42" s="1"/>
  <c r="L1888" i="42" s="1"/>
  <c r="I3053" i="42"/>
  <c r="J3053" i="42" s="1"/>
  <c r="L3049" i="42" s="1"/>
  <c r="I2275" i="42"/>
  <c r="J2275" i="42" s="1"/>
  <c r="L2270" i="42" s="1"/>
  <c r="I461" i="42"/>
  <c r="J461" i="42" s="1"/>
  <c r="L456" i="42" s="1"/>
  <c r="I1263" i="42"/>
  <c r="J1263" i="42" s="1"/>
  <c r="L1258" i="42" s="1"/>
  <c r="G98" i="58"/>
  <c r="K98" i="58" s="1"/>
  <c r="I1337" i="42"/>
  <c r="J1337" i="42" s="1"/>
  <c r="L1332" i="42" s="1"/>
  <c r="I3013" i="42"/>
  <c r="J3013" i="42" s="1"/>
  <c r="L3006" i="42" s="1"/>
  <c r="I116" i="42"/>
  <c r="J116" i="42" s="1"/>
  <c r="L115" i="42" s="1"/>
  <c r="I3002" i="42"/>
  <c r="J3002" i="42" s="1"/>
  <c r="L2994" i="42" s="1"/>
  <c r="I479" i="42"/>
  <c r="J479" i="42" s="1"/>
  <c r="L474" i="42" s="1"/>
  <c r="I3323" i="42"/>
  <c r="J3323" i="42" s="1"/>
  <c r="L3319" i="42" s="1"/>
  <c r="I1745" i="42"/>
  <c r="J1745" i="42" s="1"/>
  <c r="L1740" i="42" s="1"/>
  <c r="I2109" i="42"/>
  <c r="J2109" i="42" s="1"/>
  <c r="L2105" i="42" s="1"/>
  <c r="I1513" i="42"/>
  <c r="J1513" i="42" s="1"/>
  <c r="L1504" i="42" s="1"/>
  <c r="I2406" i="42"/>
  <c r="J2406" i="42" s="1"/>
  <c r="I14" i="42"/>
  <c r="J14" i="42" s="1"/>
  <c r="L10" i="42" s="1"/>
  <c r="I1966" i="42"/>
  <c r="J1966" i="42" s="1"/>
  <c r="L1965" i="42" s="1"/>
  <c r="I83" i="42"/>
  <c r="J83" i="42" s="1"/>
  <c r="L78" i="42" s="1"/>
  <c r="I3161" i="42"/>
  <c r="J3161" i="42" s="1"/>
  <c r="L3154" i="42" s="1"/>
  <c r="I1140" i="42"/>
  <c r="J1140" i="42" s="1"/>
  <c r="L1135" i="42" s="1"/>
  <c r="I1001" i="42"/>
  <c r="J1001" i="42" s="1"/>
  <c r="L995" i="42" s="1"/>
  <c r="I1248" i="42"/>
  <c r="J1248" i="42" s="1"/>
  <c r="L1247" i="42" s="1"/>
  <c r="I1131" i="42"/>
  <c r="J1131" i="42" s="1"/>
  <c r="L1127" i="42" s="1"/>
  <c r="I1359" i="42"/>
  <c r="J1359" i="42" s="1"/>
  <c r="L1354" i="42" s="1"/>
  <c r="I517" i="42"/>
  <c r="J517" i="42" s="1"/>
  <c r="L513" i="42" s="1"/>
  <c r="I1349" i="42"/>
  <c r="J1349" i="42" s="1"/>
  <c r="L1345" i="42" s="1"/>
  <c r="I239" i="42"/>
  <c r="J239" i="42" s="1"/>
  <c r="L235" i="42" s="1"/>
  <c r="I1956" i="42"/>
  <c r="J1956" i="42" s="1"/>
  <c r="I2147" i="42"/>
  <c r="J2147" i="42" s="1"/>
  <c r="L2143" i="42" s="1"/>
  <c r="I3034" i="42"/>
  <c r="J3034" i="42" s="1"/>
  <c r="L3029" i="42" s="1"/>
  <c r="G100" i="58"/>
  <c r="K100" i="58" s="1"/>
  <c r="I502" i="42"/>
  <c r="J502" i="42" s="1"/>
  <c r="L496" i="42" s="1"/>
  <c r="I2678" i="42"/>
  <c r="J2678" i="42" s="1"/>
  <c r="L2672" i="42" s="1"/>
  <c r="I1941" i="42"/>
  <c r="J1941" i="42" s="1"/>
  <c r="L1936" i="42" s="1"/>
  <c r="I400" i="42"/>
  <c r="J400" i="42" s="1"/>
  <c r="L395" i="42" s="1"/>
  <c r="I3148" i="42"/>
  <c r="J3148" i="42" s="1"/>
  <c r="L3144" i="42" s="1"/>
  <c r="I349" i="42"/>
  <c r="J349" i="42" s="1"/>
  <c r="L344" i="42" s="1"/>
  <c r="I24" i="42"/>
  <c r="J24" i="42" s="1"/>
  <c r="L20" i="42" s="1"/>
  <c r="I1303" i="42"/>
  <c r="J1303" i="42" s="1"/>
  <c r="L1298" i="42" s="1"/>
  <c r="I2572" i="42"/>
  <c r="J2572" i="42" s="1"/>
  <c r="L2565" i="42" s="1"/>
  <c r="G99" i="58"/>
  <c r="K99" i="58" s="1"/>
  <c r="I2288" i="42"/>
  <c r="J2288" i="42" s="1"/>
  <c r="L2281" i="42" s="1"/>
  <c r="I1085" i="42"/>
  <c r="J1085" i="42" s="1"/>
  <c r="L1081" i="42" s="1"/>
  <c r="I2671" i="42"/>
  <c r="J2671" i="42" s="1"/>
  <c r="L2666" i="42" s="1"/>
  <c r="I1315" i="42"/>
  <c r="J1315" i="42" s="1"/>
  <c r="L1310" i="42" s="1"/>
  <c r="I2104" i="42"/>
  <c r="J2104" i="42" s="1"/>
  <c r="L2100" i="42" s="1"/>
  <c r="I1932" i="42"/>
  <c r="J1932" i="42" s="1"/>
  <c r="L1927" i="42" s="1"/>
  <c r="I507" i="42"/>
  <c r="J507" i="42" s="1"/>
  <c r="L503" i="42" s="1"/>
  <c r="I1498" i="42"/>
  <c r="J1498" i="42" s="1"/>
  <c r="L1489" i="42" s="1"/>
  <c r="I2425" i="42"/>
  <c r="J2425" i="42" s="1"/>
  <c r="J2423" i="42" s="1"/>
  <c r="L2416" i="42" s="1"/>
  <c r="I1151" i="42"/>
  <c r="J1151" i="42" s="1"/>
  <c r="L1146" i="42" s="1"/>
  <c r="I1271" i="42"/>
  <c r="J1271" i="42" s="1"/>
  <c r="L1267" i="42" s="1"/>
  <c r="G97" i="58"/>
  <c r="K97" i="58" s="1"/>
  <c r="I1885" i="42"/>
  <c r="J1885" i="42" s="1"/>
  <c r="L1877" i="42" s="1"/>
  <c r="I1309" i="42"/>
  <c r="J1309" i="42" s="1"/>
  <c r="L1304" i="42" s="1"/>
  <c r="I1008" i="42"/>
  <c r="J1008" i="42" s="1"/>
  <c r="L1002" i="42" s="1"/>
  <c r="I1342" i="42"/>
  <c r="J1342" i="42" s="1"/>
  <c r="L1338" i="42" s="1"/>
  <c r="I2985" i="42"/>
  <c r="J2985" i="42" s="1"/>
  <c r="L2977" i="42" s="1"/>
  <c r="I2035" i="42"/>
  <c r="J2035" i="42" s="1"/>
  <c r="L2029" i="42" s="1"/>
  <c r="I470" i="42"/>
  <c r="J470" i="42" s="1"/>
  <c r="L465" i="42" s="1"/>
  <c r="I359" i="42"/>
  <c r="J359" i="42" s="1"/>
  <c r="L354" i="42" s="1"/>
  <c r="I1329" i="42"/>
  <c r="J1329" i="42" s="1"/>
  <c r="L1323" i="42" s="1"/>
  <c r="I1974" i="42"/>
  <c r="J1974" i="42" s="1"/>
  <c r="L1970" i="42" s="1"/>
  <c r="I2333" i="42"/>
  <c r="J2333" i="42" s="1"/>
  <c r="L2330" i="42" s="1"/>
  <c r="I1981" i="42"/>
  <c r="J1981" i="42" s="1"/>
  <c r="L1975" i="42" s="1"/>
  <c r="I2760" i="42"/>
  <c r="J2760" i="42" s="1"/>
  <c r="L2756" i="42" s="1"/>
  <c r="I1095" i="42"/>
  <c r="J1095" i="42" s="1"/>
  <c r="L1090" i="42" s="1"/>
  <c r="I1874" i="42"/>
  <c r="J1874" i="42" s="1"/>
  <c r="L1866" i="42" s="1"/>
  <c r="I435" i="42"/>
  <c r="J435" i="42" s="1"/>
  <c r="L432" i="42" s="1"/>
  <c r="I1253" i="42"/>
  <c r="J1253" i="42" s="1"/>
  <c r="L1249" i="42" s="1"/>
  <c r="I2042" i="42"/>
  <c r="J2042" i="42" s="1"/>
  <c r="L2036" i="42" s="1"/>
  <c r="I1905" i="42"/>
  <c r="J1905" i="42" s="1"/>
  <c r="L1899" i="42" s="1"/>
  <c r="I3110" i="42"/>
  <c r="J3110" i="42" s="1"/>
  <c r="L3104" i="42" s="1"/>
  <c r="I2564" i="42"/>
  <c r="J2564" i="42" s="1"/>
  <c r="L2557" i="42" s="1"/>
  <c r="H1312" i="98"/>
  <c r="I1312" i="98" s="1"/>
  <c r="AC624" i="66"/>
  <c r="I2906" i="42"/>
  <c r="J2906" i="42" s="1"/>
  <c r="L2903" i="42" s="1"/>
  <c r="I145" i="42"/>
  <c r="J145" i="42" s="1"/>
  <c r="L142" i="42" s="1"/>
  <c r="I2870" i="42"/>
  <c r="J2870" i="42" s="1"/>
  <c r="L2867" i="42" s="1"/>
  <c r="G18" i="86"/>
  <c r="K18" i="86"/>
  <c r="D18" i="86"/>
  <c r="A3" i="49"/>
  <c r="I836" i="42"/>
  <c r="J836" i="42" s="1"/>
  <c r="J834" i="42" s="1"/>
  <c r="K833" i="42" s="1"/>
  <c r="I846" i="42"/>
  <c r="J846" i="42" s="1"/>
  <c r="J844" i="42" s="1"/>
  <c r="K843" i="42" s="1"/>
  <c r="R569" i="66"/>
  <c r="E44" i="93"/>
  <c r="K43" i="93"/>
  <c r="N43" i="93" s="1"/>
  <c r="H16" i="85" s="1"/>
  <c r="R832" i="66"/>
  <c r="I2342" i="42"/>
  <c r="J2342" i="42" s="1"/>
  <c r="J2341" i="42" s="1"/>
  <c r="K2340" i="42" s="1"/>
  <c r="I2339" i="42"/>
  <c r="J2339" i="42" s="1"/>
  <c r="J2338" i="42" s="1"/>
  <c r="K2337" i="42" s="1"/>
  <c r="I2345" i="42"/>
  <c r="J2345" i="42" s="1"/>
  <c r="J2344" i="42" s="1"/>
  <c r="K2343" i="42" s="1"/>
  <c r="I2900" i="42"/>
  <c r="J2900" i="42" s="1"/>
  <c r="L2897" i="42" s="1"/>
  <c r="I2930" i="42"/>
  <c r="J2930" i="42" s="1"/>
  <c r="L2927" i="42" s="1"/>
  <c r="I2231" i="42"/>
  <c r="J2231" i="42" s="1"/>
  <c r="L2220" i="42" s="1"/>
  <c r="I2912" i="42"/>
  <c r="J2912" i="42" s="1"/>
  <c r="L2909" i="42" s="1"/>
  <c r="I2924" i="42"/>
  <c r="J2924" i="42" s="1"/>
  <c r="L2921" i="42" s="1"/>
  <c r="I2918" i="42"/>
  <c r="J2918" i="42" s="1"/>
  <c r="L2915" i="42" s="1"/>
  <c r="I1320" i="42"/>
  <c r="J1320" i="42" s="1"/>
  <c r="L1316" i="42" s="1"/>
  <c r="J2583" i="42"/>
  <c r="L2580" i="42" s="1"/>
  <c r="K2583" i="42"/>
  <c r="I707" i="42"/>
  <c r="J707" i="42" s="1"/>
  <c r="A11" i="42"/>
  <c r="T889" i="66"/>
  <c r="Y889" i="66" s="1"/>
  <c r="T541" i="66"/>
  <c r="Y541" i="66" s="1"/>
  <c r="T786" i="66"/>
  <c r="Y786" i="66" s="1"/>
  <c r="T177" i="66"/>
  <c r="Y177" i="66" s="1"/>
  <c r="T823" i="66"/>
  <c r="Y823" i="66" s="1"/>
  <c r="R680" i="66"/>
  <c r="H1144" i="98"/>
  <c r="I1144" i="98" s="1"/>
  <c r="N247" i="66"/>
  <c r="N279" i="66"/>
  <c r="N559" i="66"/>
  <c r="N408" i="66"/>
  <c r="N763" i="66"/>
  <c r="N379" i="66"/>
  <c r="N805" i="66"/>
  <c r="N693" i="66"/>
  <c r="N353" i="66"/>
  <c r="N533" i="66"/>
  <c r="N280" i="66"/>
  <c r="N36" i="66"/>
  <c r="N607" i="66"/>
  <c r="N948" i="66"/>
  <c r="N989" i="66"/>
  <c r="N29" i="66"/>
  <c r="N259" i="66"/>
  <c r="N759" i="66"/>
  <c r="N122" i="66"/>
  <c r="N791" i="66"/>
  <c r="N669" i="66"/>
  <c r="N415" i="66"/>
  <c r="N334" i="66"/>
  <c r="N244" i="66"/>
  <c r="N898" i="66"/>
  <c r="N116" i="66"/>
  <c r="N220" i="66"/>
  <c r="N381" i="66"/>
  <c r="N269" i="66"/>
  <c r="N318" i="66"/>
  <c r="N806" i="66"/>
  <c r="N34" i="66"/>
  <c r="N417" i="66"/>
  <c r="N634" i="66"/>
  <c r="N847" i="66"/>
  <c r="N895" i="66"/>
  <c r="N829" i="66"/>
  <c r="N535" i="66"/>
  <c r="N467" i="66"/>
  <c r="N570" i="66"/>
  <c r="N81" i="66"/>
  <c r="N993" i="66"/>
  <c r="N839" i="66"/>
  <c r="N578" i="66"/>
  <c r="N1025" i="66"/>
  <c r="P1025" i="66" s="1"/>
  <c r="AC1025" i="66" s="1"/>
  <c r="N831" i="66"/>
  <c r="N403" i="66"/>
  <c r="N689" i="66"/>
  <c r="N249" i="66"/>
  <c r="N461" i="66"/>
  <c r="N438" i="66"/>
  <c r="N1022" i="66"/>
  <c r="P1022" i="66" s="1"/>
  <c r="N651" i="66"/>
  <c r="N178" i="66"/>
  <c r="N386" i="66"/>
  <c r="N211" i="66"/>
  <c r="N917" i="66"/>
  <c r="N991" i="66"/>
  <c r="R404" i="66"/>
  <c r="AC404" i="66"/>
  <c r="H2076" i="98"/>
  <c r="I2076" i="98" s="1"/>
  <c r="K2071" i="98" s="1"/>
  <c r="H1122" i="98"/>
  <c r="I1122" i="98" s="1"/>
  <c r="J2322" i="42"/>
  <c r="K2321" i="42" s="1"/>
  <c r="H1840" i="42"/>
  <c r="H1838" i="42"/>
  <c r="H1839" i="42"/>
  <c r="H1836" i="42"/>
  <c r="J3261" i="42"/>
  <c r="K3260" i="42" s="1"/>
  <c r="R725" i="66"/>
  <c r="H1808" i="98"/>
  <c r="I1808" i="98" s="1"/>
  <c r="K1800" i="98" s="1"/>
  <c r="H3340" i="98"/>
  <c r="I3340" i="98" s="1"/>
  <c r="H3360" i="98"/>
  <c r="I3360" i="98" s="1"/>
  <c r="K3356" i="98" s="1"/>
  <c r="H166" i="98"/>
  <c r="I166" i="98" s="1"/>
  <c r="H2550" i="98"/>
  <c r="I2550" i="98" s="1"/>
  <c r="H1585" i="98"/>
  <c r="I1585" i="98" s="1"/>
  <c r="K1581" i="98" s="1"/>
  <c r="H103" i="98"/>
  <c r="I103" i="98" s="1"/>
  <c r="K100" i="98" s="1"/>
  <c r="H3167" i="98"/>
  <c r="I3167" i="98" s="1"/>
  <c r="K3164" i="98" s="1"/>
  <c r="H2563" i="98"/>
  <c r="I2563" i="98" s="1"/>
  <c r="H2110" i="98"/>
  <c r="I2110" i="98" s="1"/>
  <c r="K2107" i="98" s="1"/>
  <c r="H2576" i="98"/>
  <c r="I2576" i="98" s="1"/>
  <c r="K2573" i="98" s="1"/>
  <c r="H2179" i="98"/>
  <c r="I2179" i="98" s="1"/>
  <c r="K2175" i="98" s="1"/>
  <c r="H547" i="98"/>
  <c r="I547" i="98" s="1"/>
  <c r="K543" i="98" s="1"/>
  <c r="H46" i="98"/>
  <c r="G1091" i="103"/>
  <c r="G943" i="103"/>
  <c r="H2771" i="42"/>
  <c r="H2769" i="42"/>
  <c r="H2772" i="42"/>
  <c r="E864" i="103"/>
  <c r="F2582" i="42"/>
  <c r="C740" i="103"/>
  <c r="B2261" i="42"/>
  <c r="C620" i="103"/>
  <c r="C2562" i="98"/>
  <c r="P367" i="66"/>
  <c r="Z367" i="66"/>
  <c r="I2807" i="42"/>
  <c r="J2807" i="42" s="1"/>
  <c r="I2703" i="42"/>
  <c r="J2703" i="42" s="1"/>
  <c r="I1834" i="42"/>
  <c r="J1834" i="42" s="1"/>
  <c r="I1821" i="42"/>
  <c r="J1821" i="42" s="1"/>
  <c r="I1871" i="42"/>
  <c r="J1871" i="42" s="1"/>
  <c r="I1769" i="42"/>
  <c r="J1769" i="42" s="1"/>
  <c r="I2737" i="42"/>
  <c r="J2737" i="42" s="1"/>
  <c r="I2617" i="42"/>
  <c r="J2617" i="42" s="1"/>
  <c r="I1612" i="42"/>
  <c r="J1612" i="42" s="1"/>
  <c r="I1625" i="42"/>
  <c r="J1625" i="42" s="1"/>
  <c r="I2715" i="42"/>
  <c r="J2715" i="42" s="1"/>
  <c r="I2793" i="42"/>
  <c r="J2793" i="42" s="1"/>
  <c r="I152" i="42"/>
  <c r="J152" i="42" s="1"/>
  <c r="I1495" i="42"/>
  <c r="J1495" i="42" s="1"/>
  <c r="I217" i="42"/>
  <c r="J217" i="42" s="1"/>
  <c r="I1669" i="42"/>
  <c r="J1669" i="42" s="1"/>
  <c r="I1682" i="42"/>
  <c r="J1682" i="42" s="1"/>
  <c r="I2806" i="42"/>
  <c r="J2806" i="42" s="1"/>
  <c r="I167" i="42"/>
  <c r="J167" i="42" s="1"/>
  <c r="I89" i="42"/>
  <c r="J89" i="42" s="1"/>
  <c r="I955" i="42"/>
  <c r="J955" i="42" s="1"/>
  <c r="I1281" i="42"/>
  <c r="J1281" i="42" s="1"/>
  <c r="I1833" i="42"/>
  <c r="J1833" i="42" s="1"/>
  <c r="I2702" i="42"/>
  <c r="J2702" i="42" s="1"/>
  <c r="I3136" i="42"/>
  <c r="J3136" i="42" s="1"/>
  <c r="I1624" i="42"/>
  <c r="J1624" i="42" s="1"/>
  <c r="I1820" i="42"/>
  <c r="J1820" i="42" s="1"/>
  <c r="I158" i="7"/>
  <c r="I99" i="7"/>
  <c r="I140" i="7"/>
  <c r="D58" i="58"/>
  <c r="W58" i="58" s="1"/>
  <c r="AE58" i="58" s="1"/>
  <c r="Y57" i="58"/>
  <c r="AE57" i="58" s="1"/>
  <c r="AE53" i="58"/>
  <c r="AE21" i="58"/>
  <c r="I58" i="12"/>
  <c r="I897" i="42" s="1"/>
  <c r="J897" i="42" s="1"/>
  <c r="I896" i="42"/>
  <c r="J896" i="42" s="1"/>
  <c r="K28" i="84"/>
  <c r="F133" i="102"/>
  <c r="I133" i="102" s="1"/>
  <c r="H892" i="98"/>
  <c r="I892" i="98" s="1"/>
  <c r="H2807" i="98"/>
  <c r="I2807" i="98" s="1"/>
  <c r="H914" i="98"/>
  <c r="I914" i="98" s="1"/>
  <c r="H2826" i="98"/>
  <c r="I2826" i="98" s="1"/>
  <c r="H962" i="98"/>
  <c r="I962" i="98" s="1"/>
  <c r="G349" i="98"/>
  <c r="D3260" i="98"/>
  <c r="D1945" i="98"/>
  <c r="I2040" i="42"/>
  <c r="J2040" i="42" s="1"/>
  <c r="I1006" i="42"/>
  <c r="J1006" i="42" s="1"/>
  <c r="I294" i="42"/>
  <c r="J294" i="42" s="1"/>
  <c r="J291" i="42" s="1"/>
  <c r="K290" i="42" s="1"/>
  <c r="C2618" i="98"/>
  <c r="C3277" i="98"/>
  <c r="I2716" i="42"/>
  <c r="J2716" i="42" s="1"/>
  <c r="I1893" i="42"/>
  <c r="J1893" i="42" s="1"/>
  <c r="I93" i="7"/>
  <c r="I1014" i="42"/>
  <c r="J1014" i="42" s="1"/>
  <c r="I1882" i="42"/>
  <c r="J1882" i="42" s="1"/>
  <c r="I1461" i="42"/>
  <c r="J1461" i="42" s="1"/>
  <c r="I52" i="7"/>
  <c r="I58" i="7"/>
  <c r="I1892" i="42"/>
  <c r="J1892" i="42" s="1"/>
  <c r="H938" i="98"/>
  <c r="I938" i="98" s="1"/>
  <c r="B1866" i="42"/>
  <c r="Q958" i="66"/>
  <c r="Q927" i="66"/>
  <c r="Q902" i="66"/>
  <c r="B1135" i="42"/>
  <c r="Q897" i="66"/>
  <c r="Q742" i="66"/>
  <c r="B1621" i="42"/>
  <c r="H3321" i="98"/>
  <c r="I3321" i="98" s="1"/>
  <c r="H2882" i="98"/>
  <c r="I2882" i="98" s="1"/>
  <c r="H2810" i="98"/>
  <c r="I2810" i="98" s="1"/>
  <c r="K2805" i="98" s="1"/>
  <c r="H2447" i="98"/>
  <c r="I2447" i="98" s="1"/>
  <c r="K2441" i="98" s="1"/>
  <c r="H2352" i="98"/>
  <c r="H1673" i="98"/>
  <c r="I1673" i="98" s="1"/>
  <c r="K1669" i="98" s="1"/>
  <c r="H1489" i="98"/>
  <c r="I1489" i="98" s="1"/>
  <c r="K1482" i="98" s="1"/>
  <c r="H1271" i="98"/>
  <c r="I1271" i="98" s="1"/>
  <c r="K1266" i="98" s="1"/>
  <c r="H1229" i="98"/>
  <c r="I1229" i="98" s="1"/>
  <c r="H827" i="98"/>
  <c r="I827" i="98" s="1"/>
  <c r="K822" i="98" s="1"/>
  <c r="H727" i="98"/>
  <c r="I727" i="98" s="1"/>
  <c r="K722" i="98" s="1"/>
  <c r="H386" i="98"/>
  <c r="I386" i="98" s="1"/>
  <c r="K382" i="98" s="1"/>
  <c r="H124" i="98"/>
  <c r="I124" i="98" s="1"/>
  <c r="K116" i="98" s="1"/>
  <c r="H3306" i="98"/>
  <c r="H2942" i="98"/>
  <c r="I2942" i="98" s="1"/>
  <c r="K2937" i="98" s="1"/>
  <c r="H311" i="98"/>
  <c r="I311" i="98" s="1"/>
  <c r="H3341" i="98"/>
  <c r="I3341" i="98" s="1"/>
  <c r="H2973" i="98"/>
  <c r="I2973" i="98" s="1"/>
  <c r="K2970" i="98" s="1"/>
  <c r="H2829" i="98"/>
  <c r="I2829" i="98" s="1"/>
  <c r="K2824" i="98" s="1"/>
  <c r="H1644" i="98"/>
  <c r="I1644" i="98" s="1"/>
  <c r="H1167" i="98"/>
  <c r="I1167" i="98" s="1"/>
  <c r="K1162" i="98" s="1"/>
  <c r="H461" i="98"/>
  <c r="I461" i="98" s="1"/>
  <c r="K455" i="98" s="1"/>
  <c r="H3375" i="98"/>
  <c r="I3375" i="98" s="1"/>
  <c r="H3231" i="98"/>
  <c r="H3065" i="98"/>
  <c r="I3065" i="98" s="1"/>
  <c r="K3057" i="98" s="1"/>
  <c r="H2513" i="98"/>
  <c r="I2513" i="98" s="1"/>
  <c r="K2505" i="98" s="1"/>
  <c r="H1725" i="98"/>
  <c r="I1725" i="98" s="1"/>
  <c r="H1187" i="98"/>
  <c r="I1187" i="98" s="1"/>
  <c r="H349" i="98"/>
  <c r="H3087" i="98"/>
  <c r="I3087" i="98" s="1"/>
  <c r="K3079" i="98" s="1"/>
  <c r="H2239" i="98"/>
  <c r="I2239" i="98" s="1"/>
  <c r="K2231" i="98" s="1"/>
  <c r="H1402" i="98"/>
  <c r="I1402" i="98" s="1"/>
  <c r="K1398" i="98" s="1"/>
  <c r="H747" i="98"/>
  <c r="I747" i="98" s="1"/>
  <c r="K742" i="98" s="1"/>
  <c r="H67" i="98"/>
  <c r="I67" i="98" s="1"/>
  <c r="K62" i="98" s="1"/>
  <c r="H2338" i="98"/>
  <c r="H1567" i="98"/>
  <c r="I1567" i="98" s="1"/>
  <c r="K1560" i="98" s="1"/>
  <c r="I1524" i="42"/>
  <c r="J1524" i="42" s="1"/>
  <c r="L1520" i="42" s="1"/>
  <c r="I2407" i="42"/>
  <c r="J2407" i="42" s="1"/>
  <c r="I3103" i="42"/>
  <c r="J3103" i="42" s="1"/>
  <c r="L3098" i="42" s="1"/>
  <c r="I2405" i="42"/>
  <c r="J2405" i="42" s="1"/>
  <c r="I3210" i="42"/>
  <c r="J3210" i="42" s="1"/>
  <c r="L3209" i="42" s="1"/>
  <c r="I2024" i="42"/>
  <c r="J2024" i="42" s="1"/>
  <c r="L2021" i="42" s="1"/>
  <c r="I2848" i="42"/>
  <c r="J2848" i="42" s="1"/>
  <c r="L2845" i="42" s="1"/>
  <c r="I2314" i="42"/>
  <c r="J2314" i="42" s="1"/>
  <c r="L2311" i="42" s="1"/>
  <c r="I2605" i="42"/>
  <c r="J2605" i="42" s="1"/>
  <c r="L2603" i="42" s="1"/>
  <c r="I1173" i="42"/>
  <c r="J1173" i="42" s="1"/>
  <c r="L1169" i="42" s="1"/>
  <c r="I2552" i="42"/>
  <c r="J2552" i="42" s="1"/>
  <c r="L2545" i="42" s="1"/>
  <c r="I2267" i="42"/>
  <c r="J2267" i="42" s="1"/>
  <c r="L2266" i="42" s="1"/>
  <c r="E31" i="93"/>
  <c r="H30" i="93"/>
  <c r="K30" i="93" s="1"/>
  <c r="N30" i="93" s="1"/>
  <c r="T28" i="93"/>
  <c r="T27" i="93"/>
  <c r="J1957" i="42"/>
  <c r="G257" i="103"/>
  <c r="G1972" i="98"/>
  <c r="C211" i="103"/>
  <c r="B1267" i="42"/>
  <c r="C628" i="98"/>
  <c r="D97" i="103"/>
  <c r="C509" i="98"/>
  <c r="Q61" i="66"/>
  <c r="Q60" i="66"/>
  <c r="Q700" i="66"/>
  <c r="Q875" i="66"/>
  <c r="Q459" i="66"/>
  <c r="Q597" i="66"/>
  <c r="Q674" i="66"/>
  <c r="Q542" i="66"/>
  <c r="Q923" i="66"/>
  <c r="Q173" i="66"/>
  <c r="Q1004" i="66"/>
  <c r="Q166" i="66"/>
  <c r="Q630" i="66"/>
  <c r="Q895" i="66"/>
  <c r="Q709" i="66"/>
  <c r="Q514" i="66"/>
  <c r="Q326" i="66"/>
  <c r="Q428" i="66"/>
  <c r="Q525" i="66"/>
  <c r="Q967" i="66"/>
  <c r="Q113" i="66"/>
  <c r="Q767" i="66"/>
  <c r="Q427" i="66"/>
  <c r="Q587" i="66"/>
  <c r="Q507" i="66"/>
  <c r="Q513" i="66"/>
  <c r="B1970" i="42"/>
  <c r="B2276" i="42"/>
  <c r="B1805" i="42"/>
  <c r="B178" i="42"/>
  <c r="B2188" i="42"/>
  <c r="B2318" i="42"/>
  <c r="B496" i="42"/>
  <c r="B364" i="42"/>
  <c r="B3095" i="42"/>
  <c r="B2909" i="42"/>
  <c r="B2994" i="42"/>
  <c r="B14" i="98"/>
  <c r="P1005" i="66"/>
  <c r="AC1005" i="66" s="1"/>
  <c r="Z1005" i="66"/>
  <c r="T1005" i="66"/>
  <c r="Y1005" i="66" s="1"/>
  <c r="P918" i="66"/>
  <c r="AC918" i="66" s="1"/>
  <c r="Z918" i="66"/>
  <c r="P792" i="66"/>
  <c r="AC792" i="66" s="1"/>
  <c r="Z792" i="66"/>
  <c r="P773" i="66"/>
  <c r="AC773" i="66" s="1"/>
  <c r="Z773" i="66"/>
  <c r="Z771" i="66"/>
  <c r="P771" i="66"/>
  <c r="AC771" i="66" s="1"/>
  <c r="P753" i="66"/>
  <c r="AC753" i="66" s="1"/>
  <c r="Z753" i="66"/>
  <c r="P729" i="66"/>
  <c r="AC729" i="66" s="1"/>
  <c r="Z729" i="66"/>
  <c r="P645" i="66"/>
  <c r="AC645" i="66" s="1"/>
  <c r="Z645" i="66"/>
  <c r="P639" i="66"/>
  <c r="AC639" i="66" s="1"/>
  <c r="Z639" i="66"/>
  <c r="P590" i="66"/>
  <c r="AC590" i="66" s="1"/>
  <c r="Z590" i="66"/>
  <c r="P530" i="66"/>
  <c r="AC530" i="66" s="1"/>
  <c r="Z530" i="66"/>
  <c r="P525" i="66"/>
  <c r="Z525" i="66"/>
  <c r="P502" i="66"/>
  <c r="AC502" i="66" s="1"/>
  <c r="Z502" i="66"/>
  <c r="T367" i="66"/>
  <c r="Y367" i="66" s="1"/>
  <c r="Z315" i="66"/>
  <c r="P315" i="66"/>
  <c r="AC315" i="66" s="1"/>
  <c r="T315" i="66"/>
  <c r="Y315" i="66" s="1"/>
  <c r="P299" i="66"/>
  <c r="AC299" i="66" s="1"/>
  <c r="Z299" i="66"/>
  <c r="P234" i="66"/>
  <c r="AC234" i="66" s="1"/>
  <c r="Z234" i="66"/>
  <c r="T200" i="66"/>
  <c r="Y200" i="66" s="1"/>
  <c r="P159" i="66"/>
  <c r="AC159" i="66" s="1"/>
  <c r="Z159" i="66"/>
  <c r="T159" i="66"/>
  <c r="Y159" i="66" s="1"/>
  <c r="Z108" i="66"/>
  <c r="P108" i="66"/>
  <c r="Z102" i="66"/>
  <c r="P102" i="66"/>
  <c r="AC102" i="66" s="1"/>
  <c r="C261" i="12"/>
  <c r="E17" i="7" s="1"/>
  <c r="E66" i="7"/>
  <c r="E47" i="7"/>
  <c r="E53" i="7"/>
  <c r="E60" i="7"/>
  <c r="I2982" i="42"/>
  <c r="J2982" i="42" s="1"/>
  <c r="I3010" i="42"/>
  <c r="J3010" i="42" s="1"/>
  <c r="D42" i="58"/>
  <c r="W42" i="58" s="1"/>
  <c r="AE42" i="58" s="1"/>
  <c r="Y41" i="58"/>
  <c r="AE41" i="58" s="1"/>
  <c r="B9" i="86"/>
  <c r="B11" i="86" s="1"/>
  <c r="H20" i="86"/>
  <c r="AE35" i="58"/>
  <c r="T530" i="66"/>
  <c r="Y530" i="66" s="1"/>
  <c r="B1740" i="42"/>
  <c r="B2416" i="42"/>
  <c r="B2640" i="42"/>
  <c r="B3249" i="42"/>
  <c r="B2897" i="42"/>
  <c r="T918" i="66"/>
  <c r="Y918" i="66" s="1"/>
  <c r="P904" i="66"/>
  <c r="Z904" i="66"/>
  <c r="T817" i="66"/>
  <c r="Y817" i="66" s="1"/>
  <c r="P804" i="66"/>
  <c r="AC804" i="66" s="1"/>
  <c r="Z804" i="66"/>
  <c r="P775" i="66"/>
  <c r="AC775" i="66" s="1"/>
  <c r="Z775" i="66"/>
  <c r="P751" i="66"/>
  <c r="AC751" i="66" s="1"/>
  <c r="Z751" i="66"/>
  <c r="T751" i="66"/>
  <c r="Y751" i="66" s="1"/>
  <c r="T729" i="66"/>
  <c r="Y729" i="66" s="1"/>
  <c r="T706" i="66"/>
  <c r="Y706" i="66" s="1"/>
  <c r="P674" i="66"/>
  <c r="AC674" i="66" s="1"/>
  <c r="Z674" i="66"/>
  <c r="P628" i="66"/>
  <c r="AC628" i="66" s="1"/>
  <c r="Z628" i="66"/>
  <c r="P603" i="66"/>
  <c r="AC603" i="66" s="1"/>
  <c r="Z603" i="66"/>
  <c r="P562" i="66"/>
  <c r="AC562" i="66" s="1"/>
  <c r="Z562" i="66"/>
  <c r="T532" i="66"/>
  <c r="Y532" i="66" s="1"/>
  <c r="P528" i="66"/>
  <c r="AC528" i="66" s="1"/>
  <c r="Z528" i="66"/>
  <c r="Z364" i="66"/>
  <c r="P364" i="66"/>
  <c r="AC364" i="66" s="1"/>
  <c r="T282" i="66"/>
  <c r="Y282" i="66" s="1"/>
  <c r="P173" i="66"/>
  <c r="Z173" i="66"/>
  <c r="P140" i="66"/>
  <c r="AC140" i="66" s="1"/>
  <c r="Z140" i="66"/>
  <c r="P129" i="66"/>
  <c r="AC129" i="66" s="1"/>
  <c r="Z129" i="66"/>
  <c r="T102" i="66"/>
  <c r="Y102" i="66" s="1"/>
  <c r="E141" i="7"/>
  <c r="E42" i="7"/>
  <c r="E78" i="7"/>
  <c r="E115" i="7"/>
  <c r="E72" i="7"/>
  <c r="E27" i="7"/>
  <c r="E94" i="7"/>
  <c r="I754" i="42"/>
  <c r="J754" i="42" s="1"/>
  <c r="I745" i="42"/>
  <c r="J745" i="42" s="1"/>
  <c r="I1262" i="42"/>
  <c r="J1262" i="42" s="1"/>
  <c r="I407" i="42"/>
  <c r="J407" i="42" s="1"/>
  <c r="I170" i="42"/>
  <c r="J170" i="42" s="1"/>
  <c r="I1508" i="42"/>
  <c r="J1508" i="42" s="1"/>
  <c r="I1681" i="42"/>
  <c r="J1681" i="42" s="1"/>
  <c r="I1940" i="42"/>
  <c r="J1940" i="42" s="1"/>
  <c r="I1789" i="42"/>
  <c r="J1789" i="42" s="1"/>
  <c r="I908" i="42"/>
  <c r="J908" i="42" s="1"/>
  <c r="J907" i="42" s="1"/>
  <c r="K906" i="42" s="1"/>
  <c r="I2805" i="42"/>
  <c r="J2805" i="42" s="1"/>
  <c r="I398" i="42"/>
  <c r="J398" i="42" s="1"/>
  <c r="I1026" i="42"/>
  <c r="J1026" i="42" s="1"/>
  <c r="I1102" i="42"/>
  <c r="J1102" i="42" s="1"/>
  <c r="I618" i="42"/>
  <c r="J618" i="42" s="1"/>
  <c r="I887" i="42"/>
  <c r="J887" i="42" s="1"/>
  <c r="I595" i="42"/>
  <c r="J595" i="42" s="1"/>
  <c r="I1028" i="42"/>
  <c r="J1028" i="42" s="1"/>
  <c r="I1149" i="42"/>
  <c r="J1149" i="42" s="1"/>
  <c r="I2450" i="42"/>
  <c r="J2450" i="42" s="1"/>
  <c r="I3032" i="42"/>
  <c r="J3032" i="42" s="1"/>
  <c r="I794" i="42"/>
  <c r="J794" i="42" s="1"/>
  <c r="I605" i="42"/>
  <c r="J605" i="42" s="1"/>
  <c r="I860" i="42"/>
  <c r="J860" i="42" s="1"/>
  <c r="D39" i="58"/>
  <c r="W39" i="58" s="1"/>
  <c r="AE39" i="58" s="1"/>
  <c r="Y38" i="58"/>
  <c r="AE38" i="58" s="1"/>
  <c r="Y31" i="58"/>
  <c r="W31" i="58"/>
  <c r="AE28" i="58"/>
  <c r="Q960" i="66"/>
  <c r="J132" i="12"/>
  <c r="Q730" i="66"/>
  <c r="Q37" i="66"/>
  <c r="Q282" i="66"/>
  <c r="Q904" i="66"/>
  <c r="J90" i="12"/>
  <c r="Q900" i="66"/>
  <c r="Q293" i="66"/>
  <c r="Q32" i="66"/>
  <c r="R32" i="66" s="1"/>
  <c r="Q787" i="66"/>
  <c r="Q942" i="66"/>
  <c r="J154" i="12"/>
  <c r="J280" i="12"/>
  <c r="J99" i="12"/>
  <c r="Q995" i="66"/>
  <c r="Q808" i="66"/>
  <c r="Q1001" i="66"/>
  <c r="Q466" i="66"/>
  <c r="Q462" i="66"/>
  <c r="Q1018" i="66"/>
  <c r="Q1020" i="66"/>
  <c r="Q986" i="66"/>
  <c r="Q879" i="66"/>
  <c r="Q261" i="66"/>
  <c r="Q732" i="66"/>
  <c r="Q888" i="66"/>
  <c r="Q273" i="66"/>
  <c r="Q243" i="66"/>
  <c r="Q426" i="66"/>
  <c r="Q432" i="66"/>
  <c r="Q174" i="66"/>
  <c r="J185" i="12"/>
  <c r="Q678" i="66"/>
  <c r="Q592" i="66"/>
  <c r="Q672" i="66"/>
  <c r="Q961" i="66"/>
  <c r="J171" i="12"/>
  <c r="Q912" i="66"/>
  <c r="Q945" i="66"/>
  <c r="Q87" i="66"/>
  <c r="Q1034" i="66"/>
  <c r="AC1034" i="66" s="1"/>
  <c r="Q711" i="66"/>
  <c r="Q715" i="66"/>
  <c r="H1807" i="98"/>
  <c r="I1807" i="98" s="1"/>
  <c r="H256" i="103"/>
  <c r="I256" i="103" s="1"/>
  <c r="H251" i="103"/>
  <c r="I251" i="103" s="1"/>
  <c r="H3304" i="98"/>
  <c r="I3304" i="98" s="1"/>
  <c r="H961" i="103"/>
  <c r="I961" i="103" s="1"/>
  <c r="I960" i="103" s="1"/>
  <c r="H991" i="103"/>
  <c r="I991" i="103" s="1"/>
  <c r="I990" i="103" s="1"/>
  <c r="H2668" i="98"/>
  <c r="I2668" i="98" s="1"/>
  <c r="F870" i="103"/>
  <c r="F331" i="103"/>
  <c r="F220" i="103"/>
  <c r="F105" i="103"/>
  <c r="F28" i="103"/>
  <c r="F172" i="103"/>
  <c r="F277" i="103"/>
  <c r="F311" i="103"/>
  <c r="F350" i="103"/>
  <c r="F498" i="103"/>
  <c r="F631" i="103"/>
  <c r="F747" i="103"/>
  <c r="F997" i="103"/>
  <c r="F418" i="103"/>
  <c r="F431" i="103"/>
  <c r="F465" i="103"/>
  <c r="F513" i="103"/>
  <c r="F547" i="103"/>
  <c r="F717" i="103"/>
  <c r="F760" i="103"/>
  <c r="F799" i="103"/>
  <c r="F815" i="103"/>
  <c r="F928" i="103"/>
  <c r="F967" i="103"/>
  <c r="F1193" i="103"/>
  <c r="F855" i="103"/>
  <c r="F1115" i="103"/>
  <c r="F1154" i="103"/>
  <c r="F1235" i="103"/>
  <c r="F1388" i="103"/>
  <c r="F1012" i="103"/>
  <c r="F1057" i="103"/>
  <c r="F1223" i="103"/>
  <c r="F1440" i="103"/>
  <c r="F1424" i="103"/>
  <c r="J206" i="104"/>
  <c r="AC108" i="66" l="1"/>
  <c r="AC1022" i="66"/>
  <c r="R285" i="66"/>
  <c r="R896" i="66"/>
  <c r="T796" i="66"/>
  <c r="Y796" i="66" s="1"/>
  <c r="P308" i="66"/>
  <c r="T761" i="66"/>
  <c r="Y761" i="66" s="1"/>
  <c r="AC601" i="66"/>
  <c r="R541" i="66"/>
  <c r="I690" i="42"/>
  <c r="J690" i="42" s="1"/>
  <c r="P75" i="66"/>
  <c r="AC75" i="66" s="1"/>
  <c r="T683" i="66"/>
  <c r="Y683" i="66" s="1"/>
  <c r="P626" i="66"/>
  <c r="AC626" i="66" s="1"/>
  <c r="R905" i="66"/>
  <c r="T966" i="66"/>
  <c r="Y966" i="66" s="1"/>
  <c r="P998" i="66"/>
  <c r="AC998" i="66" s="1"/>
  <c r="P176" i="66"/>
  <c r="AC176" i="66" s="1"/>
  <c r="AC157" i="66"/>
  <c r="AC372" i="66"/>
  <c r="AC436" i="66"/>
  <c r="R369" i="66"/>
  <c r="I65" i="102"/>
  <c r="H2735" i="98" s="1"/>
  <c r="I2735" i="98" s="1"/>
  <c r="I2734" i="98" s="1"/>
  <c r="E172" i="102"/>
  <c r="R638" i="66"/>
  <c r="AC915" i="66"/>
  <c r="AC139" i="66"/>
  <c r="M5" i="104"/>
  <c r="G5" i="99"/>
  <c r="I673" i="42"/>
  <c r="J673" i="42" s="1"/>
  <c r="I679" i="42" s="1"/>
  <c r="J679" i="42" s="1"/>
  <c r="J672" i="42" s="1"/>
  <c r="K671" i="42" s="1"/>
  <c r="I2499" i="42"/>
  <c r="J2499" i="42" s="1"/>
  <c r="I2503" i="42" s="1"/>
  <c r="J2503" i="42" s="1"/>
  <c r="J2498" i="42" s="1"/>
  <c r="K2497" i="42" s="1"/>
  <c r="I2512" i="42"/>
  <c r="J2512" i="42" s="1"/>
  <c r="I2518" i="42" s="1"/>
  <c r="J2518" i="42" s="1"/>
  <c r="J2511" i="42" s="1"/>
  <c r="K2510" i="42" s="1"/>
  <c r="I658" i="42"/>
  <c r="J658" i="42" s="1"/>
  <c r="I662" i="42" s="1"/>
  <c r="J662" i="42" s="1"/>
  <c r="J657" i="42" s="1"/>
  <c r="K656" i="42" s="1"/>
  <c r="I2459" i="42"/>
  <c r="J2459" i="42" s="1"/>
  <c r="J2458" i="42" s="1"/>
  <c r="K2457" i="42" s="1"/>
  <c r="I2439" i="42"/>
  <c r="J2439" i="42" s="1"/>
  <c r="J2438" i="42" s="1"/>
  <c r="K2437" i="42" s="1"/>
  <c r="I2449" i="42"/>
  <c r="J2449" i="42" s="1"/>
  <c r="J2448" i="42" s="1"/>
  <c r="K2447" i="42" s="1"/>
  <c r="G72" i="93"/>
  <c r="J72" i="93" s="1"/>
  <c r="M72" i="93" s="1"/>
  <c r="T72" i="93" s="1"/>
  <c r="D73" i="93"/>
  <c r="I1290" i="103"/>
  <c r="AC308" i="66"/>
  <c r="I53" i="12"/>
  <c r="I780" i="42" s="1"/>
  <c r="J780" i="42" s="1"/>
  <c r="I779" i="42"/>
  <c r="J779" i="42" s="1"/>
  <c r="I97" i="102"/>
  <c r="H1202" i="103" s="1"/>
  <c r="I1202" i="103" s="1"/>
  <c r="I1201" i="103" s="1"/>
  <c r="I204" i="102"/>
  <c r="I203" i="102"/>
  <c r="J2566" i="42"/>
  <c r="K2565" i="42" s="1"/>
  <c r="T490" i="66"/>
  <c r="Y490" i="66" s="1"/>
  <c r="R274" i="66"/>
  <c r="R47" i="66"/>
  <c r="T750" i="66"/>
  <c r="Y750" i="66" s="1"/>
  <c r="T157" i="66"/>
  <c r="Y157" i="66" s="1"/>
  <c r="T691" i="66"/>
  <c r="Y691" i="66" s="1"/>
  <c r="AC739" i="66"/>
  <c r="T387" i="66"/>
  <c r="Y387" i="66" s="1"/>
  <c r="P620" i="66"/>
  <c r="AC620" i="66" s="1"/>
  <c r="T372" i="66"/>
  <c r="Y372" i="66" s="1"/>
  <c r="P300" i="66"/>
  <c r="AC300" i="66" s="1"/>
  <c r="T668" i="66"/>
  <c r="Y668" i="66" s="1"/>
  <c r="P982" i="66"/>
  <c r="AC982" i="66" s="1"/>
  <c r="I46" i="98"/>
  <c r="F19" i="104"/>
  <c r="J18" i="104"/>
  <c r="H12" i="104"/>
  <c r="H14" i="104"/>
  <c r="H16" i="104"/>
  <c r="H11" i="104"/>
  <c r="H13" i="104"/>
  <c r="H15" i="104"/>
  <c r="H17" i="104"/>
  <c r="J2404" i="42"/>
  <c r="L2391" i="42" s="1"/>
  <c r="I953" i="42"/>
  <c r="J953" i="42" s="1"/>
  <c r="F66" i="93"/>
  <c r="I66" i="93" s="1"/>
  <c r="L66" i="93" s="1"/>
  <c r="R450" i="66"/>
  <c r="R750" i="66"/>
  <c r="T686" i="66"/>
  <c r="Y686" i="66" s="1"/>
  <c r="T496" i="66"/>
  <c r="Y496" i="66" s="1"/>
  <c r="R929" i="66"/>
  <c r="P492" i="66"/>
  <c r="AC492" i="66" s="1"/>
  <c r="R300" i="66"/>
  <c r="P495" i="66"/>
  <c r="AC495" i="66" s="1"/>
  <c r="R946" i="66"/>
  <c r="R691" i="66"/>
  <c r="P813" i="66"/>
  <c r="AC813" i="66" s="1"/>
  <c r="P643" i="66"/>
  <c r="AC643" i="66" s="1"/>
  <c r="I2252" i="42"/>
  <c r="J2252" i="42" s="1"/>
  <c r="J2247" i="42" s="1"/>
  <c r="K2246" i="42" s="1"/>
  <c r="AI46" i="58"/>
  <c r="I3396" i="98"/>
  <c r="J3033" i="98"/>
  <c r="I1226" i="98"/>
  <c r="J1225" i="98" s="1"/>
  <c r="I2750" i="98"/>
  <c r="I3109" i="42"/>
  <c r="J3109" i="42" s="1"/>
  <c r="J3105" i="42" s="1"/>
  <c r="K3104" i="42" s="1"/>
  <c r="J2413" i="42"/>
  <c r="K2412" i="42" s="1"/>
  <c r="I3306" i="98"/>
  <c r="K3302" i="98" s="1"/>
  <c r="H1401" i="98"/>
  <c r="I1401" i="98" s="1"/>
  <c r="I1400" i="98"/>
  <c r="H1200" i="98"/>
  <c r="I1200" i="98" s="1"/>
  <c r="I1199" i="98"/>
  <c r="H1242" i="98"/>
  <c r="I1242" i="98" s="1"/>
  <c r="I1241" i="98"/>
  <c r="I1185" i="98"/>
  <c r="H1186" i="98"/>
  <c r="I1186" i="98" s="1"/>
  <c r="H3002" i="98"/>
  <c r="I3002" i="98" s="1"/>
  <c r="H2594" i="98"/>
  <c r="I2594" i="98" s="1"/>
  <c r="K2590" i="98" s="1"/>
  <c r="H2608" i="98"/>
  <c r="I2608" i="98" s="1"/>
  <c r="K2604" i="98" s="1"/>
  <c r="H277" i="98"/>
  <c r="I277" i="98" s="1"/>
  <c r="H30" i="98"/>
  <c r="I30" i="98" s="1"/>
  <c r="K26" i="98" s="1"/>
  <c r="P384" i="66"/>
  <c r="AC384" i="66" s="1"/>
  <c r="P325" i="66"/>
  <c r="AC325" i="66" s="1"/>
  <c r="R176" i="66"/>
  <c r="T936" i="66"/>
  <c r="Y936" i="66" s="1"/>
  <c r="P811" i="66"/>
  <c r="AC811" i="66" s="1"/>
  <c r="D63" i="93"/>
  <c r="G62" i="93"/>
  <c r="J62" i="93" s="1"/>
  <c r="M62" i="93" s="1"/>
  <c r="T62" i="93" s="1"/>
  <c r="AC684" i="66"/>
  <c r="J168" i="105"/>
  <c r="H176" i="105"/>
  <c r="H177" i="105" s="1"/>
  <c r="AC708" i="66"/>
  <c r="R708" i="66"/>
  <c r="R355" i="66"/>
  <c r="AC355" i="66"/>
  <c r="AC706" i="66"/>
  <c r="R706" i="66"/>
  <c r="A137" i="12"/>
  <c r="K137" i="12"/>
  <c r="AC843" i="66"/>
  <c r="R843" i="66"/>
  <c r="AC39" i="66"/>
  <c r="R39" i="66"/>
  <c r="R666" i="66"/>
  <c r="AC666" i="66"/>
  <c r="G138" i="105"/>
  <c r="H138" i="105" s="1"/>
  <c r="J134" i="105" s="1"/>
  <c r="G87" i="105"/>
  <c r="H87" i="105" s="1"/>
  <c r="J83" i="105" s="1"/>
  <c r="G55" i="105"/>
  <c r="H55" i="105" s="1"/>
  <c r="G71" i="105"/>
  <c r="H71" i="105" s="1"/>
  <c r="J67" i="105" s="1"/>
  <c r="AC371" i="66"/>
  <c r="R720" i="66"/>
  <c r="AC720" i="66"/>
  <c r="R852" i="66"/>
  <c r="AC852" i="66"/>
  <c r="AC661" i="66"/>
  <c r="R661" i="66"/>
  <c r="R880" i="66"/>
  <c r="AC880" i="66"/>
  <c r="AC550" i="66"/>
  <c r="R550" i="66"/>
  <c r="B1032" i="66"/>
  <c r="AC1032" i="66"/>
  <c r="R277" i="66"/>
  <c r="AC277" i="66"/>
  <c r="AC856" i="66"/>
  <c r="R856" i="66"/>
  <c r="AC567" i="66"/>
  <c r="R567" i="66"/>
  <c r="A199" i="12"/>
  <c r="K199" i="12"/>
  <c r="R556" i="66"/>
  <c r="AC556" i="66"/>
  <c r="AC1006" i="66"/>
  <c r="R1006" i="66"/>
  <c r="AC327" i="66"/>
  <c r="R327" i="66"/>
  <c r="AC800" i="66"/>
  <c r="R800" i="66"/>
  <c r="R780" i="66"/>
  <c r="AC780" i="66"/>
  <c r="AC378" i="66"/>
  <c r="R378" i="66"/>
  <c r="AC782" i="66"/>
  <c r="R782" i="66"/>
  <c r="AC899" i="66"/>
  <c r="R899" i="66"/>
  <c r="A48" i="12"/>
  <c r="K48" i="12"/>
  <c r="R385" i="66"/>
  <c r="AC385" i="66"/>
  <c r="K81" i="12"/>
  <c r="A81" i="12"/>
  <c r="N22" i="66"/>
  <c r="P22" i="66" s="1"/>
  <c r="N391" i="66"/>
  <c r="N283" i="66"/>
  <c r="N866" i="66"/>
  <c r="N152" i="66"/>
  <c r="N596" i="66"/>
  <c r="N882" i="66"/>
  <c r="N755" i="66"/>
  <c r="N104" i="66"/>
  <c r="N165" i="66"/>
  <c r="N637" i="66"/>
  <c r="N99" i="66"/>
  <c r="N237" i="66"/>
  <c r="N677" i="66"/>
  <c r="N183" i="66"/>
  <c r="N745" i="66"/>
  <c r="N670" i="66"/>
  <c r="N240" i="66"/>
  <c r="N356" i="66"/>
  <c r="N286" i="66"/>
  <c r="N547" i="66"/>
  <c r="N934" i="66"/>
  <c r="N64" i="66"/>
  <c r="N170" i="66"/>
  <c r="N627" i="66"/>
  <c r="N814" i="66"/>
  <c r="N1003" i="66"/>
  <c r="N305" i="66"/>
  <c r="N715" i="66"/>
  <c r="N996" i="66"/>
  <c r="N374" i="66"/>
  <c r="N197" i="66"/>
  <c r="N840" i="66"/>
  <c r="N352" i="66"/>
  <c r="N429" i="66"/>
  <c r="N95" i="66"/>
  <c r="N644" i="66"/>
  <c r="N307" i="66"/>
  <c r="N69" i="66"/>
  <c r="N516" i="66"/>
  <c r="N997" i="66"/>
  <c r="N486" i="66"/>
  <c r="N911" i="66"/>
  <c r="N657" i="66"/>
  <c r="N373" i="66"/>
  <c r="N455" i="66"/>
  <c r="N456" i="66"/>
  <c r="N54" i="66"/>
  <c r="N849" i="66"/>
  <c r="N392" i="66"/>
  <c r="N254" i="66"/>
  <c r="N458" i="66"/>
  <c r="N204" i="66"/>
  <c r="N230" i="66"/>
  <c r="N199" i="66"/>
  <c r="N980" i="66"/>
  <c r="N301" i="66"/>
  <c r="N111" i="66"/>
  <c r="N785" i="66"/>
  <c r="N858" i="66"/>
  <c r="N251" i="66"/>
  <c r="N610" i="66"/>
  <c r="N878" i="66"/>
  <c r="N544" i="66"/>
  <c r="N451" i="66"/>
  <c r="N892" i="66"/>
  <c r="N844" i="66"/>
  <c r="N416" i="66"/>
  <c r="N876" i="66"/>
  <c r="N311" i="66"/>
  <c r="N281" i="66"/>
  <c r="N37" i="66"/>
  <c r="N351" i="66"/>
  <c r="N261" i="66"/>
  <c r="N1009" i="66"/>
  <c r="N724" i="66"/>
  <c r="N726" i="66"/>
  <c r="N359" i="66"/>
  <c r="N343" i="66"/>
  <c r="N890" i="66"/>
  <c r="N31" i="66"/>
  <c r="N175" i="66"/>
  <c r="N144" i="66"/>
  <c r="N124" i="66"/>
  <c r="N424" i="66"/>
  <c r="N846" i="66"/>
  <c r="N465" i="66"/>
  <c r="N573" i="66"/>
  <c r="N446" i="66"/>
  <c r="N497" i="66"/>
  <c r="N690" i="66"/>
  <c r="N338" i="66"/>
  <c r="N704" i="66"/>
  <c r="N723" i="66"/>
  <c r="N264" i="66"/>
  <c r="N294" i="66"/>
  <c r="N673" i="66"/>
  <c r="N618" i="66"/>
  <c r="N664" i="66"/>
  <c r="N549" i="66"/>
  <c r="N288" i="66"/>
  <c r="N595" i="66"/>
  <c r="N469" i="66"/>
  <c r="N345" i="66"/>
  <c r="N988" i="66"/>
  <c r="N974" i="66"/>
  <c r="N265" i="66"/>
  <c r="N633" i="66"/>
  <c r="N383" i="66"/>
  <c r="N59" i="66"/>
  <c r="N476" i="66"/>
  <c r="N193" i="66"/>
  <c r="N395" i="66"/>
  <c r="N672" i="66"/>
  <c r="N333" i="66"/>
  <c r="N145" i="66"/>
  <c r="R145" i="66" s="1"/>
  <c r="N291" i="66"/>
  <c r="N62" i="66"/>
  <c r="N185" i="66"/>
  <c r="N198" i="66"/>
  <c r="N260" i="66"/>
  <c r="N667" i="66"/>
  <c r="N604" i="66"/>
  <c r="N53" i="66"/>
  <c r="N27" i="66"/>
  <c r="N1026" i="66"/>
  <c r="P1026" i="66" s="1"/>
  <c r="AC1026" i="66" s="1"/>
  <c r="N276" i="66"/>
  <c r="N1016" i="66"/>
  <c r="P1016" i="66" s="1"/>
  <c r="AC1016" i="66" s="1"/>
  <c r="N958" i="66"/>
  <c r="N478" i="66"/>
  <c r="N612" i="66"/>
  <c r="N142" i="66"/>
  <c r="N188" i="66"/>
  <c r="N252" i="66"/>
  <c r="N698" i="66"/>
  <c r="N136" i="66"/>
  <c r="N658" i="66"/>
  <c r="N584" i="66"/>
  <c r="N33" i="66"/>
  <c r="N942" i="66"/>
  <c r="N635" i="66"/>
  <c r="N399" i="66"/>
  <c r="N202" i="66"/>
  <c r="N390" i="66"/>
  <c r="N707" i="66"/>
  <c r="N945" i="66"/>
  <c r="N1007" i="66"/>
  <c r="N566" i="66"/>
  <c r="N270" i="66"/>
  <c r="N957" i="66"/>
  <c r="N524" i="66"/>
  <c r="N546" i="66"/>
  <c r="N363" i="66"/>
  <c r="N480" i="66"/>
  <c r="N410" i="66"/>
  <c r="N462" i="66"/>
  <c r="N439" i="66"/>
  <c r="N460" i="66"/>
  <c r="N341" i="66"/>
  <c r="N964" i="66"/>
  <c r="N960" i="66"/>
  <c r="N79" i="66"/>
  <c r="N258" i="66"/>
  <c r="N932" i="66"/>
  <c r="N187" i="66"/>
  <c r="N815" i="66"/>
  <c r="N851" i="66"/>
  <c r="N1028" i="66"/>
  <c r="P1028" i="66" s="1"/>
  <c r="AC1028" i="66" s="1"/>
  <c r="N180" i="66"/>
  <c r="N190" i="66"/>
  <c r="N1004" i="66"/>
  <c r="N512" i="66"/>
  <c r="N710" i="66"/>
  <c r="N71" i="66"/>
  <c r="N926" i="66"/>
  <c r="N41" i="66"/>
  <c r="N463" i="66"/>
  <c r="N146" i="66"/>
  <c r="N466" i="66"/>
  <c r="N865" i="66"/>
  <c r="N28" i="66"/>
  <c r="N284" i="66"/>
  <c r="N955" i="66"/>
  <c r="N430" i="66"/>
  <c r="N891" i="66"/>
  <c r="N886" i="66"/>
  <c r="N990" i="66"/>
  <c r="N242" i="66"/>
  <c r="N1013" i="66"/>
  <c r="N484" i="66"/>
  <c r="N336" i="66"/>
  <c r="N986" i="66"/>
  <c r="N979" i="66"/>
  <c r="N186" i="66"/>
  <c r="N702" i="66"/>
  <c r="N539" i="66"/>
  <c r="N872" i="66"/>
  <c r="N589" i="66"/>
  <c r="N362" i="66"/>
  <c r="N221" i="66"/>
  <c r="N1020" i="66"/>
  <c r="P1020" i="66" s="1"/>
  <c r="N602" i="66"/>
  <c r="N985" i="66"/>
  <c r="N138" i="66"/>
  <c r="N113" i="66"/>
  <c r="N735" i="66"/>
  <c r="N700" i="66"/>
  <c r="N576" i="66"/>
  <c r="N160" i="66"/>
  <c r="N919" i="66"/>
  <c r="N93" i="66"/>
  <c r="N999" i="66"/>
  <c r="N268" i="66"/>
  <c r="N870" i="66"/>
  <c r="N360" i="66"/>
  <c r="N48" i="66"/>
  <c r="N489" i="66"/>
  <c r="N827" i="66"/>
  <c r="N795" i="66"/>
  <c r="N250" i="66"/>
  <c r="N916" i="66"/>
  <c r="N523" i="66"/>
  <c r="N370" i="66"/>
  <c r="N396" i="66"/>
  <c r="N701" i="66"/>
  <c r="N40" i="66"/>
  <c r="N893" i="66"/>
  <c r="N778" i="66"/>
  <c r="N799" i="66"/>
  <c r="N697" i="66"/>
  <c r="N1012" i="66"/>
  <c r="N109" i="66"/>
  <c r="N98" i="66"/>
  <c r="N716" i="66"/>
  <c r="N956" i="66"/>
  <c r="N316" i="66"/>
  <c r="N522" i="66"/>
  <c r="N365" i="66"/>
  <c r="N561" i="66"/>
  <c r="N653" i="66"/>
  <c r="N474" i="66"/>
  <c r="N163" i="66"/>
  <c r="N553" i="66"/>
  <c r="N134" i="66"/>
  <c r="N319" i="66"/>
  <c r="N248" i="66"/>
  <c r="N885" i="66"/>
  <c r="N433" i="66"/>
  <c r="N757" i="66"/>
  <c r="N222" i="66"/>
  <c r="N660" i="66"/>
  <c r="N153" i="66"/>
  <c r="N195" i="66"/>
  <c r="N854" i="66"/>
  <c r="N400" i="66"/>
  <c r="N238" i="66"/>
  <c r="N744" i="66"/>
  <c r="N1023" i="66"/>
  <c r="P1023" i="66" s="1"/>
  <c r="AC1023" i="66" s="1"/>
  <c r="N85" i="66"/>
  <c r="N962" i="66"/>
  <c r="N161" i="66"/>
  <c r="N718" i="66"/>
  <c r="N901" i="66"/>
  <c r="N349" i="66"/>
  <c r="N60" i="66"/>
  <c r="N427" i="66"/>
  <c r="N557" i="66"/>
  <c r="N168" i="66"/>
  <c r="N125" i="66"/>
  <c r="N654" i="66"/>
  <c r="N515" i="66"/>
  <c r="N617" i="66"/>
  <c r="N909" i="66"/>
  <c r="N74" i="66"/>
  <c r="N206" i="66"/>
  <c r="N24" i="66"/>
  <c r="R24" i="66" s="1"/>
  <c r="N151" i="66"/>
  <c r="N442" i="66"/>
  <c r="N100" i="66"/>
  <c r="N174" i="66"/>
  <c r="N224" i="66"/>
  <c r="N154" i="66"/>
  <c r="N411" i="66"/>
  <c r="N538" i="66"/>
  <c r="N506" i="66"/>
  <c r="N278" i="66"/>
  <c r="N272" i="66"/>
  <c r="N954" i="66"/>
  <c r="N907" i="66"/>
  <c r="N253" i="66"/>
  <c r="N147" i="66"/>
  <c r="N309" i="66"/>
  <c r="D53" i="93"/>
  <c r="G52" i="93"/>
  <c r="J52" i="93" s="1"/>
  <c r="M52" i="93" s="1"/>
  <c r="I1634" i="98"/>
  <c r="I1635" i="98" s="1"/>
  <c r="I1636" i="98" s="1"/>
  <c r="I1637" i="98" s="1"/>
  <c r="I1638" i="98" s="1"/>
  <c r="K1632" i="98"/>
  <c r="AC574" i="66"/>
  <c r="E63" i="93"/>
  <c r="H62" i="93"/>
  <c r="K62" i="93" s="1"/>
  <c r="N62" i="93" s="1"/>
  <c r="R433" i="66"/>
  <c r="R160" i="66"/>
  <c r="W50" i="58"/>
  <c r="AE50" i="58" s="1"/>
  <c r="Y50" i="58"/>
  <c r="C12" i="86"/>
  <c r="C17" i="49"/>
  <c r="C20" i="86"/>
  <c r="J151" i="105"/>
  <c r="H159" i="105"/>
  <c r="H160" i="105" s="1"/>
  <c r="G260" i="103"/>
  <c r="G1975" i="98"/>
  <c r="AC794" i="66"/>
  <c r="R794" i="66"/>
  <c r="R477" i="66"/>
  <c r="AC477" i="66"/>
  <c r="AC758" i="66"/>
  <c r="R758" i="66"/>
  <c r="AC824" i="66"/>
  <c r="R824" i="66"/>
  <c r="R577" i="66"/>
  <c r="AC577" i="66"/>
  <c r="A155" i="12"/>
  <c r="K155" i="12"/>
  <c r="R688" i="66"/>
  <c r="AC688" i="66"/>
  <c r="R727" i="66"/>
  <c r="AC727" i="66"/>
  <c r="A130" i="12"/>
  <c r="K130" i="12"/>
  <c r="A170" i="12"/>
  <c r="K170" i="12"/>
  <c r="A17" i="12"/>
  <c r="K17" i="12"/>
  <c r="R208" i="66"/>
  <c r="AC208" i="66"/>
  <c r="AC453" i="66"/>
  <c r="R453" i="66"/>
  <c r="AC127" i="66"/>
  <c r="R127" i="66"/>
  <c r="AC184" i="66"/>
  <c r="R184" i="66"/>
  <c r="AC848" i="66"/>
  <c r="R848" i="66"/>
  <c r="R112" i="66"/>
  <c r="AC112" i="66"/>
  <c r="R447" i="66"/>
  <c r="AC447" i="66"/>
  <c r="R78" i="66"/>
  <c r="AC78" i="66"/>
  <c r="B1031" i="66"/>
  <c r="AC1031" i="66"/>
  <c r="R583" i="66"/>
  <c r="AC583" i="66"/>
  <c r="A124" i="12"/>
  <c r="K124" i="12"/>
  <c r="R554" i="66"/>
  <c r="AC554" i="66"/>
  <c r="AC1030" i="66"/>
  <c r="B1030" i="66"/>
  <c r="AC376" i="66"/>
  <c r="R376" i="66"/>
  <c r="R914" i="66"/>
  <c r="AC914" i="66"/>
  <c r="AC545" i="66"/>
  <c r="R545" i="66"/>
  <c r="R194" i="66"/>
  <c r="AC194" i="66"/>
  <c r="K82" i="12"/>
  <c r="A82" i="12"/>
  <c r="R517" i="66"/>
  <c r="AC517" i="66"/>
  <c r="K242" i="12"/>
  <c r="A242" i="12"/>
  <c r="R817" i="66"/>
  <c r="AC817" i="66"/>
  <c r="A200" i="12"/>
  <c r="K200" i="12"/>
  <c r="R579" i="66"/>
  <c r="AC579" i="66"/>
  <c r="R762" i="66"/>
  <c r="AC762" i="66"/>
  <c r="AC833" i="66"/>
  <c r="R833" i="66"/>
  <c r="A257" i="12"/>
  <c r="K257" i="12"/>
  <c r="C18" i="96"/>
  <c r="F31" i="93"/>
  <c r="I31" i="93" s="1"/>
  <c r="L31" i="93" s="1"/>
  <c r="T31" i="93" s="1"/>
  <c r="C32" i="93"/>
  <c r="I1903" i="98"/>
  <c r="I1904" i="98" s="1"/>
  <c r="I1905" i="98" s="1"/>
  <c r="I1906" i="98" s="1"/>
  <c r="I1907" i="98" s="1"/>
  <c r="I1908" i="98" s="1"/>
  <c r="I1909" i="98" s="1"/>
  <c r="K1901" i="98"/>
  <c r="AC694" i="66"/>
  <c r="AC406" i="66"/>
  <c r="R835" i="66"/>
  <c r="AC346" i="66"/>
  <c r="R346" i="66"/>
  <c r="K169" i="12"/>
  <c r="A169" i="12"/>
  <c r="AC173" i="66"/>
  <c r="A182" i="12"/>
  <c r="K182" i="12"/>
  <c r="R45" i="66"/>
  <c r="AC45" i="66"/>
  <c r="AC367" i="66"/>
  <c r="R859" i="66"/>
  <c r="AC859" i="66"/>
  <c r="A183" i="12"/>
  <c r="K183" i="12"/>
  <c r="K68" i="12"/>
  <c r="A68" i="12"/>
  <c r="AC826" i="66"/>
  <c r="R581" i="66"/>
  <c r="AC581" i="66"/>
  <c r="R91" i="66"/>
  <c r="AC91" i="66"/>
  <c r="K198" i="12"/>
  <c r="A198" i="12"/>
  <c r="AC57" i="66"/>
  <c r="R57" i="66"/>
  <c r="K153" i="12"/>
  <c r="A153" i="12"/>
  <c r="AC594" i="66"/>
  <c r="T984" i="66"/>
  <c r="Y984" i="66" s="1"/>
  <c r="R68" i="66"/>
  <c r="R819" i="66"/>
  <c r="T58" i="66"/>
  <c r="Y58" i="66" s="1"/>
  <c r="T638" i="66"/>
  <c r="Y638" i="66" s="1"/>
  <c r="P76" i="66"/>
  <c r="AC76" i="66" s="1"/>
  <c r="P931" i="66"/>
  <c r="AC931" i="66" s="1"/>
  <c r="H1072" i="98"/>
  <c r="I1072" i="98" s="1"/>
  <c r="H1333" i="98"/>
  <c r="I1333" i="98" s="1"/>
  <c r="H1291" i="98"/>
  <c r="I1291" i="98" s="1"/>
  <c r="E177" i="102"/>
  <c r="I1302" i="103"/>
  <c r="I1303" i="103" s="1"/>
  <c r="I1304" i="103" s="1"/>
  <c r="I1305" i="103" s="1"/>
  <c r="I1306" i="103" s="1"/>
  <c r="I3143" i="98"/>
  <c r="I3144" i="98" s="1"/>
  <c r="I3145" i="98" s="1"/>
  <c r="I3146" i="98" s="1"/>
  <c r="J227" i="103"/>
  <c r="H1857" i="98"/>
  <c r="I1857" i="98" s="1"/>
  <c r="H1858" i="98" s="1"/>
  <c r="I1858" i="98" s="1"/>
  <c r="I1855" i="98" s="1"/>
  <c r="J1854" i="98" s="1"/>
  <c r="H1842" i="98"/>
  <c r="I1842" i="98" s="1"/>
  <c r="H1843" i="98" s="1"/>
  <c r="I1843" i="98" s="1"/>
  <c r="I1840" i="98" s="1"/>
  <c r="J1839" i="98" s="1"/>
  <c r="I827" i="103"/>
  <c r="I828" i="103" s="1"/>
  <c r="I829" i="103" s="1"/>
  <c r="I1278" i="103"/>
  <c r="I1279" i="103" s="1"/>
  <c r="I1280" i="103" s="1"/>
  <c r="I1281" i="103" s="1"/>
  <c r="I1282" i="103" s="1"/>
  <c r="H118" i="105"/>
  <c r="I117" i="105" s="1"/>
  <c r="J2604" i="98"/>
  <c r="J554" i="103"/>
  <c r="H1042" i="98"/>
  <c r="I1042" i="98" s="1"/>
  <c r="H1044" i="98" s="1"/>
  <c r="I1044" i="98" s="1"/>
  <c r="I1041" i="98" s="1"/>
  <c r="J1040" i="98" s="1"/>
  <c r="H988" i="98"/>
  <c r="I988" i="98" s="1"/>
  <c r="H990" i="98" s="1"/>
  <c r="I990" i="98" s="1"/>
  <c r="I987" i="98" s="1"/>
  <c r="J986" i="98" s="1"/>
  <c r="J2590" i="98"/>
  <c r="H811" i="98"/>
  <c r="I811" i="98" s="1"/>
  <c r="H710" i="98"/>
  <c r="I710" i="98" s="1"/>
  <c r="H1054" i="98"/>
  <c r="I1054" i="98" s="1"/>
  <c r="H1000" i="98"/>
  <c r="I1000" i="98" s="1"/>
  <c r="I272" i="12"/>
  <c r="I144" i="42" s="1"/>
  <c r="J144" i="42" s="1"/>
  <c r="J143" i="42" s="1"/>
  <c r="K142" i="42" s="1"/>
  <c r="I1291" i="103"/>
  <c r="I1292" i="103" s="1"/>
  <c r="I1125" i="103"/>
  <c r="I1126" i="103" s="1"/>
  <c r="I1127" i="103" s="1"/>
  <c r="I1128" i="103" s="1"/>
  <c r="I1129" i="103" s="1"/>
  <c r="J1352" i="103"/>
  <c r="H1368" i="103"/>
  <c r="I1368" i="103" s="1"/>
  <c r="I1365" i="103" s="1"/>
  <c r="J1364" i="103" s="1"/>
  <c r="I1260" i="103"/>
  <c r="J1259" i="103" s="1"/>
  <c r="H1086" i="103"/>
  <c r="I1086" i="103" s="1"/>
  <c r="I1080" i="103" s="1"/>
  <c r="J1079" i="103" s="1"/>
  <c r="I1138" i="103"/>
  <c r="I1139" i="103" s="1"/>
  <c r="I1140" i="103" s="1"/>
  <c r="I1141" i="103" s="1"/>
  <c r="I1142" i="103" s="1"/>
  <c r="H1107" i="103"/>
  <c r="I1107" i="103" s="1"/>
  <c r="I1101" i="103" s="1"/>
  <c r="J1100" i="103" s="1"/>
  <c r="H708" i="103"/>
  <c r="I708" i="103" s="1"/>
  <c r="I704" i="103" s="1"/>
  <c r="J703" i="103" s="1"/>
  <c r="K1134" i="103"/>
  <c r="H942" i="103"/>
  <c r="I942" i="103" s="1"/>
  <c r="I936" i="103" s="1"/>
  <c r="J935" i="103" s="1"/>
  <c r="J1230" i="103"/>
  <c r="I1233" i="103"/>
  <c r="I1234" i="103" s="1"/>
  <c r="I1235" i="103" s="1"/>
  <c r="I1236" i="103" s="1"/>
  <c r="I1237" i="103" s="1"/>
  <c r="I494" i="98"/>
  <c r="J493" i="98" s="1"/>
  <c r="I2786" i="98"/>
  <c r="I2787" i="98" s="1"/>
  <c r="I2788" i="98" s="1"/>
  <c r="I2789" i="98" s="1"/>
  <c r="I2790" i="98" s="1"/>
  <c r="H348" i="98"/>
  <c r="I348" i="98" s="1"/>
  <c r="I345" i="98" s="1"/>
  <c r="J344" i="98" s="1"/>
  <c r="I3293" i="98"/>
  <c r="I3294" i="98" s="1"/>
  <c r="I3295" i="98" s="1"/>
  <c r="J2769" i="98"/>
  <c r="I3048" i="98"/>
  <c r="I3049" i="98" s="1"/>
  <c r="I3050" i="98" s="1"/>
  <c r="I3051" i="98" s="1"/>
  <c r="I3052" i="98" s="1"/>
  <c r="H310" i="98"/>
  <c r="I310" i="98" s="1"/>
  <c r="I307" i="98" s="1"/>
  <c r="J306" i="98" s="1"/>
  <c r="J2709" i="98"/>
  <c r="I2825" i="98"/>
  <c r="J2824" i="98" s="1"/>
  <c r="I2806" i="98"/>
  <c r="J2805" i="98" s="1"/>
  <c r="J2781" i="98"/>
  <c r="J2757" i="98"/>
  <c r="I3303" i="98"/>
  <c r="J3302" i="98" s="1"/>
  <c r="J3152" i="98"/>
  <c r="I364" i="98"/>
  <c r="J363" i="98" s="1"/>
  <c r="I2667" i="98"/>
  <c r="J2666" i="98" s="1"/>
  <c r="I510" i="98"/>
  <c r="J509" i="98" s="1"/>
  <c r="I2796" i="98"/>
  <c r="I2797" i="98" s="1"/>
  <c r="I2798" i="98" s="1"/>
  <c r="I2799" i="98" s="1"/>
  <c r="I2800" i="98" s="1"/>
  <c r="I2801" i="98" s="1"/>
  <c r="I2802" i="98" s="1"/>
  <c r="I2657" i="98"/>
  <c r="I2658" i="98" s="1"/>
  <c r="I2659" i="98" s="1"/>
  <c r="I2660" i="98" s="1"/>
  <c r="I2661" i="98" s="1"/>
  <c r="I2662" i="98" s="1"/>
  <c r="I2663" i="98" s="1"/>
  <c r="J2654" i="98"/>
  <c r="H292" i="98"/>
  <c r="I292" i="98" s="1"/>
  <c r="I288" i="98" s="1"/>
  <c r="J287" i="98" s="1"/>
  <c r="J2745" i="98"/>
  <c r="K165" i="98"/>
  <c r="H135" i="105"/>
  <c r="I134" i="105" s="1"/>
  <c r="R823" i="66"/>
  <c r="P177" i="66"/>
  <c r="AC177" i="66" s="1"/>
  <c r="P786" i="66"/>
  <c r="AC786" i="66" s="1"/>
  <c r="P889" i="66"/>
  <c r="R75" i="66"/>
  <c r="P832" i="66"/>
  <c r="AC832" i="66" s="1"/>
  <c r="R811" i="66"/>
  <c r="R306" i="66"/>
  <c r="P896" i="66"/>
  <c r="AC896" i="66" s="1"/>
  <c r="R626" i="66"/>
  <c r="P89" i="66"/>
  <c r="AC89" i="66" s="1"/>
  <c r="P906" i="66"/>
  <c r="AC906" i="66" s="1"/>
  <c r="R796" i="66"/>
  <c r="T905" i="66"/>
  <c r="Y905" i="66" s="1"/>
  <c r="R781" i="66"/>
  <c r="P966" i="66"/>
  <c r="AC966" i="66" s="1"/>
  <c r="R263" i="66"/>
  <c r="R998" i="66"/>
  <c r="R35" i="66"/>
  <c r="T209" i="66"/>
  <c r="Y209" i="66" s="1"/>
  <c r="T384" i="66"/>
  <c r="Y384" i="66" s="1"/>
  <c r="T871" i="66"/>
  <c r="Y871" i="66" s="1"/>
  <c r="T325" i="66"/>
  <c r="Y325" i="66" s="1"/>
  <c r="T155" i="66"/>
  <c r="Y155" i="66" s="1"/>
  <c r="R936" i="66"/>
  <c r="P682" i="66"/>
  <c r="P450" i="66"/>
  <c r="AC450" i="66" s="1"/>
  <c r="P387" i="66"/>
  <c r="AC387" i="66" s="1"/>
  <c r="P686" i="66"/>
  <c r="AC686" i="66" s="1"/>
  <c r="R620" i="66"/>
  <c r="R496" i="66"/>
  <c r="P490" i="66"/>
  <c r="AC490" i="66" s="1"/>
  <c r="P929" i="66"/>
  <c r="AC929" i="66" s="1"/>
  <c r="R372" i="66"/>
  <c r="T492" i="66"/>
  <c r="Y492" i="66" s="1"/>
  <c r="R157" i="66"/>
  <c r="R495" i="66"/>
  <c r="P47" i="66"/>
  <c r="AC47" i="66" s="1"/>
  <c r="P946" i="66"/>
  <c r="AC946" i="66" s="1"/>
  <c r="P668" i="66"/>
  <c r="AC668" i="66" s="1"/>
  <c r="T813" i="66"/>
  <c r="Y813" i="66" s="1"/>
  <c r="R982" i="66"/>
  <c r="T643" i="66"/>
  <c r="Y643" i="66" s="1"/>
  <c r="J1074" i="42"/>
  <c r="AC133" i="66"/>
  <c r="H3308" i="98"/>
  <c r="I3308" i="98" s="1"/>
  <c r="H330" i="98"/>
  <c r="I330" i="98" s="1"/>
  <c r="I326" i="98" s="1"/>
  <c r="J325" i="98" s="1"/>
  <c r="H241" i="98"/>
  <c r="I241" i="98" s="1"/>
  <c r="I235" i="98" s="1"/>
  <c r="J234" i="98" s="1"/>
  <c r="J2721" i="98"/>
  <c r="I1870" i="98"/>
  <c r="J1869" i="98" s="1"/>
  <c r="I2338" i="98"/>
  <c r="K2337" i="98" s="1"/>
  <c r="I349" i="98"/>
  <c r="K344" i="98" s="1"/>
  <c r="I2352" i="98"/>
  <c r="K2351" i="98" s="1"/>
  <c r="I837" i="103"/>
  <c r="I838" i="103" s="1"/>
  <c r="I839" i="103" s="1"/>
  <c r="I840" i="103" s="1"/>
  <c r="I841" i="103" s="1"/>
  <c r="J834" i="103"/>
  <c r="I2726" i="98"/>
  <c r="I2727" i="98" s="1"/>
  <c r="I3231" i="98"/>
  <c r="K3230" i="98" s="1"/>
  <c r="F162" i="99"/>
  <c r="R807" i="66"/>
  <c r="P310" i="66"/>
  <c r="AC310" i="66" s="1"/>
  <c r="R126" i="66"/>
  <c r="P212" i="66"/>
  <c r="AC212" i="66" s="1"/>
  <c r="P96" i="66"/>
  <c r="AC96" i="66" s="1"/>
  <c r="T563" i="66"/>
  <c r="Y563" i="66" s="1"/>
  <c r="P473" i="66"/>
  <c r="AC473" i="66" s="1"/>
  <c r="T149" i="66"/>
  <c r="Y149" i="66" s="1"/>
  <c r="R398" i="66"/>
  <c r="R454" i="66"/>
  <c r="P290" i="66"/>
  <c r="AC290" i="66" s="1"/>
  <c r="H2022" i="98"/>
  <c r="I2022" i="98" s="1"/>
  <c r="T475" i="66"/>
  <c r="Y475" i="66" s="1"/>
  <c r="R335" i="66"/>
  <c r="R877" i="66"/>
  <c r="T303" i="66"/>
  <c r="Y303" i="66" s="1"/>
  <c r="T436" i="66"/>
  <c r="Y436" i="66" s="1"/>
  <c r="R212" i="66"/>
  <c r="P685" i="66"/>
  <c r="AC685" i="66" s="1"/>
  <c r="R96" i="66"/>
  <c r="T816" i="66"/>
  <c r="Y816" i="66" s="1"/>
  <c r="R421" i="66"/>
  <c r="P921" i="66"/>
  <c r="R860" i="66"/>
  <c r="P191" i="66"/>
  <c r="P864" i="66"/>
  <c r="AC864" i="66" s="1"/>
  <c r="P115" i="66"/>
  <c r="AC115" i="66" s="1"/>
  <c r="T924" i="66"/>
  <c r="Y924" i="66" s="1"/>
  <c r="T94" i="66"/>
  <c r="Y94" i="66" s="1"/>
  <c r="P593" i="66"/>
  <c r="AC593" i="66" s="1"/>
  <c r="T754" i="66"/>
  <c r="Y754" i="66" s="1"/>
  <c r="P732" i="66"/>
  <c r="I1984" i="42"/>
  <c r="J1984" i="42" s="1"/>
  <c r="R473" i="66"/>
  <c r="P743" i="66"/>
  <c r="AC743" i="66" s="1"/>
  <c r="P207" i="66"/>
  <c r="AC207" i="66" s="1"/>
  <c r="R931" i="66"/>
  <c r="R951" i="66"/>
  <c r="P454" i="66"/>
  <c r="AC454" i="66" s="1"/>
  <c r="R290" i="66"/>
  <c r="T110" i="66"/>
  <c r="Y110" i="66" s="1"/>
  <c r="T133" i="66"/>
  <c r="Y133" i="66" s="1"/>
  <c r="P959" i="66"/>
  <c r="AC959" i="66" s="1"/>
  <c r="R842" i="66"/>
  <c r="R822" i="66"/>
  <c r="P705" i="66"/>
  <c r="AC705" i="66" s="1"/>
  <c r="T881" i="66"/>
  <c r="Y881" i="66" s="1"/>
  <c r="T837" i="66"/>
  <c r="Y837" i="66" s="1"/>
  <c r="P709" i="66"/>
  <c r="T1011" i="66"/>
  <c r="Y1011" i="66" s="1"/>
  <c r="R770" i="66"/>
  <c r="P619" i="66"/>
  <c r="AC619" i="66" s="1"/>
  <c r="P132" i="66"/>
  <c r="AC132" i="66" s="1"/>
  <c r="P440" i="66"/>
  <c r="AC440" i="66" s="1"/>
  <c r="R444" i="66"/>
  <c r="R519" i="66"/>
  <c r="P970" i="66"/>
  <c r="AC970" i="66" s="1"/>
  <c r="R231" i="66"/>
  <c r="T902" i="66"/>
  <c r="Y902" i="66" s="1"/>
  <c r="P431" i="66"/>
  <c r="AC431" i="66" s="1"/>
  <c r="P344" i="66"/>
  <c r="AC344" i="66" s="1"/>
  <c r="R470" i="66"/>
  <c r="T369" i="66"/>
  <c r="Y369" i="66" s="1"/>
  <c r="P498" i="66"/>
  <c r="AC498" i="66" s="1"/>
  <c r="P119" i="66"/>
  <c r="AC119" i="66" s="1"/>
  <c r="T841" i="66"/>
  <c r="Y841" i="66" s="1"/>
  <c r="P332" i="66"/>
  <c r="AC332" i="66" s="1"/>
  <c r="T164" i="66"/>
  <c r="Y164" i="66" s="1"/>
  <c r="R130" i="66"/>
  <c r="R418" i="66"/>
  <c r="P877" i="66"/>
  <c r="AC877" i="66" s="1"/>
  <c r="T655" i="66"/>
  <c r="Y655" i="66" s="1"/>
  <c r="P126" i="66"/>
  <c r="AC126" i="66" s="1"/>
  <c r="T402" i="66"/>
  <c r="Y402" i="66" s="1"/>
  <c r="P443" i="66"/>
  <c r="AC443" i="66" s="1"/>
  <c r="T509" i="66"/>
  <c r="Y509" i="66" s="1"/>
  <c r="T432" i="66"/>
  <c r="Y432" i="66" s="1"/>
  <c r="P770" i="66"/>
  <c r="AC770" i="66" s="1"/>
  <c r="R324" i="66"/>
  <c r="R419" i="66"/>
  <c r="P128" i="66"/>
  <c r="AC128" i="66" s="1"/>
  <c r="T679" i="66"/>
  <c r="Y679" i="66" s="1"/>
  <c r="R575" i="66"/>
  <c r="R994" i="66"/>
  <c r="T600" i="66"/>
  <c r="Y600" i="66" s="1"/>
  <c r="T114" i="66"/>
  <c r="Y114" i="66" s="1"/>
  <c r="R457" i="66"/>
  <c r="R139" i="66"/>
  <c r="T235" i="66"/>
  <c r="Y235" i="66" s="1"/>
  <c r="R267" i="66"/>
  <c r="T226" i="66"/>
  <c r="Y226" i="66" s="1"/>
  <c r="P572" i="66"/>
  <c r="AC572" i="66" s="1"/>
  <c r="R266" i="66"/>
  <c r="R685" i="66"/>
  <c r="P58" i="66"/>
  <c r="AC58" i="66" s="1"/>
  <c r="R816" i="66"/>
  <c r="P68" i="66"/>
  <c r="AC68" i="66" s="1"/>
  <c r="P421" i="66"/>
  <c r="AC421" i="66" s="1"/>
  <c r="T921" i="66"/>
  <c r="Y921" i="66" s="1"/>
  <c r="T860" i="66"/>
  <c r="Y860" i="66" s="1"/>
  <c r="R191" i="66"/>
  <c r="P638" i="66"/>
  <c r="AC638" i="66" s="1"/>
  <c r="T864" i="66"/>
  <c r="Y864" i="66" s="1"/>
  <c r="R115" i="66"/>
  <c r="P924" i="66"/>
  <c r="R984" i="66"/>
  <c r="R593" i="66"/>
  <c r="T76" i="66"/>
  <c r="Y76" i="66" s="1"/>
  <c r="P987" i="66"/>
  <c r="AC987" i="66" s="1"/>
  <c r="T752" i="66"/>
  <c r="Y752" i="66" s="1"/>
  <c r="P149" i="66"/>
  <c r="AC149" i="66" s="1"/>
  <c r="R743" i="66"/>
  <c r="T819" i="66"/>
  <c r="Y819" i="66" s="1"/>
  <c r="R207" i="66"/>
  <c r="P398" i="66"/>
  <c r="AC398" i="66" s="1"/>
  <c r="P951" i="66"/>
  <c r="AC951" i="66" s="1"/>
  <c r="P274" i="66"/>
  <c r="AC274" i="66" s="1"/>
  <c r="I3266" i="42"/>
  <c r="J3266" i="42" s="1"/>
  <c r="R568" i="66"/>
  <c r="T646" i="66"/>
  <c r="Y646" i="66" s="1"/>
  <c r="P568" i="66"/>
  <c r="AC568" i="66" s="1"/>
  <c r="T289" i="66"/>
  <c r="Y289" i="66" s="1"/>
  <c r="R431" i="66"/>
  <c r="P737" i="66"/>
  <c r="AC737" i="66" s="1"/>
  <c r="P304" i="66"/>
  <c r="AC304" i="66" s="1"/>
  <c r="R766" i="66"/>
  <c r="R640" i="66"/>
  <c r="P457" i="66"/>
  <c r="AC457" i="66" s="1"/>
  <c r="P835" i="66"/>
  <c r="AC835" i="66" s="1"/>
  <c r="T139" i="66"/>
  <c r="Y139" i="66" s="1"/>
  <c r="P323" i="66"/>
  <c r="AC323" i="66" s="1"/>
  <c r="T189" i="66"/>
  <c r="Y189" i="66" s="1"/>
  <c r="R586" i="66"/>
  <c r="R841" i="66"/>
  <c r="P695" i="66"/>
  <c r="AC695" i="66" s="1"/>
  <c r="R695" i="66"/>
  <c r="I308" i="42"/>
  <c r="J308" i="42" s="1"/>
  <c r="H370" i="98"/>
  <c r="I370" i="98" s="1"/>
  <c r="AC525" i="66"/>
  <c r="R572" i="66"/>
  <c r="T332" i="66"/>
  <c r="Y332" i="66" s="1"/>
  <c r="P266" i="66"/>
  <c r="AC266" i="66" s="1"/>
  <c r="P822" i="66"/>
  <c r="AC822" i="66" s="1"/>
  <c r="R164" i="66"/>
  <c r="P475" i="66"/>
  <c r="AC475" i="66" s="1"/>
  <c r="P807" i="66"/>
  <c r="AC807" i="66" s="1"/>
  <c r="P130" i="66"/>
  <c r="AC130" i="66" s="1"/>
  <c r="T705" i="66"/>
  <c r="Y705" i="66" s="1"/>
  <c r="P881" i="66"/>
  <c r="AC881" i="66" s="1"/>
  <c r="T418" i="66"/>
  <c r="Y418" i="66" s="1"/>
  <c r="T335" i="66"/>
  <c r="Y335" i="66" s="1"/>
  <c r="R310" i="66"/>
  <c r="P837" i="66"/>
  <c r="AC837" i="66" s="1"/>
  <c r="R443" i="66"/>
  <c r="P1011" i="66"/>
  <c r="AC1011" i="66" s="1"/>
  <c r="P509" i="66"/>
  <c r="AC509" i="66" s="1"/>
  <c r="R303" i="66"/>
  <c r="R436" i="66"/>
  <c r="I1400" i="42"/>
  <c r="J1400" i="42" s="1"/>
  <c r="R619" i="66"/>
  <c r="R987" i="66"/>
  <c r="P324" i="66"/>
  <c r="AC324" i="66" s="1"/>
  <c r="R132" i="66"/>
  <c r="R440" i="66"/>
  <c r="P444" i="66"/>
  <c r="AC444" i="66" s="1"/>
  <c r="P519" i="66"/>
  <c r="AC519" i="66" s="1"/>
  <c r="R970" i="66"/>
  <c r="P231" i="66"/>
  <c r="AC231" i="66" s="1"/>
  <c r="P419" i="66"/>
  <c r="AC419" i="66" s="1"/>
  <c r="R133" i="66"/>
  <c r="AC575" i="66"/>
  <c r="P798" i="66"/>
  <c r="P555" i="66"/>
  <c r="AC1029" i="66"/>
  <c r="R110" i="66"/>
  <c r="P289" i="66"/>
  <c r="AC289" i="66" s="1"/>
  <c r="R679" i="66"/>
  <c r="R344" i="66"/>
  <c r="P470" i="66"/>
  <c r="AC470" i="66" s="1"/>
  <c r="P369" i="66"/>
  <c r="AC369" i="66" s="1"/>
  <c r="T737" i="66"/>
  <c r="Y737" i="66" s="1"/>
  <c r="T575" i="66"/>
  <c r="Y575" i="66" s="1"/>
  <c r="R304" i="66"/>
  <c r="T766" i="66"/>
  <c r="Y766" i="66" s="1"/>
  <c r="P994" i="66"/>
  <c r="AC994" i="66" s="1"/>
  <c r="R600" i="66"/>
  <c r="P114" i="66"/>
  <c r="AC114" i="66" s="1"/>
  <c r="I1061" i="42"/>
  <c r="J1061" i="42" s="1"/>
  <c r="I1066" i="42"/>
  <c r="J1066" i="42" s="1"/>
  <c r="J1065" i="42" s="1"/>
  <c r="M1063" i="42" s="1"/>
  <c r="T640" i="66"/>
  <c r="Y640" i="66" s="1"/>
  <c r="T959" i="66"/>
  <c r="Y959" i="66" s="1"/>
  <c r="P842" i="66"/>
  <c r="AC842" i="66" s="1"/>
  <c r="T835" i="66"/>
  <c r="Y835" i="66" s="1"/>
  <c r="R498" i="66"/>
  <c r="T119" i="66"/>
  <c r="Y119" i="66" s="1"/>
  <c r="R323" i="66"/>
  <c r="R189" i="66"/>
  <c r="T586" i="66"/>
  <c r="Y586" i="66" s="1"/>
  <c r="P267" i="66"/>
  <c r="AC267" i="66" s="1"/>
  <c r="R226" i="66"/>
  <c r="R128" i="66"/>
  <c r="R367" i="66"/>
  <c r="AC389" i="66"/>
  <c r="R389" i="66"/>
  <c r="K84" i="12"/>
  <c r="A84" i="12"/>
  <c r="R97" i="66"/>
  <c r="A96" i="12"/>
  <c r="K96" i="12"/>
  <c r="R599" i="66"/>
  <c r="R926" i="66"/>
  <c r="R272" i="66"/>
  <c r="J3254" i="42"/>
  <c r="L3249" i="42" s="1"/>
  <c r="I273" i="12"/>
  <c r="K168" i="103"/>
  <c r="I170" i="103"/>
  <c r="I171" i="103" s="1"/>
  <c r="I172" i="103" s="1"/>
  <c r="I173" i="103" s="1"/>
  <c r="I174" i="103" s="1"/>
  <c r="T981" i="66"/>
  <c r="Y981" i="66" s="1"/>
  <c r="R981" i="66"/>
  <c r="P981" i="66"/>
  <c r="AC981" i="66" s="1"/>
  <c r="T862" i="66"/>
  <c r="Y862" i="66" s="1"/>
  <c r="R862" i="66"/>
  <c r="P862" i="66"/>
  <c r="AC862" i="66" s="1"/>
  <c r="T312" i="66"/>
  <c r="Y312" i="66" s="1"/>
  <c r="R312" i="66"/>
  <c r="P312" i="66"/>
  <c r="AC312" i="66" s="1"/>
  <c r="P295" i="66"/>
  <c r="T295" i="66"/>
  <c r="Y295" i="66" s="1"/>
  <c r="P229" i="66"/>
  <c r="AC229" i="66" s="1"/>
  <c r="R229" i="66"/>
  <c r="T229" i="66"/>
  <c r="Y229" i="66" s="1"/>
  <c r="R508" i="66"/>
  <c r="P508" i="66"/>
  <c r="AC508" i="66" s="1"/>
  <c r="T508" i="66"/>
  <c r="Y508" i="66" s="1"/>
  <c r="P511" i="66"/>
  <c r="AC511" i="66" s="1"/>
  <c r="R511" i="66"/>
  <c r="T511" i="66"/>
  <c r="Y511" i="66" s="1"/>
  <c r="R414" i="66"/>
  <c r="P414" i="66"/>
  <c r="AC414" i="66" s="1"/>
  <c r="T414" i="66"/>
  <c r="Y414" i="66" s="1"/>
  <c r="P663" i="66"/>
  <c r="AC663" i="66" s="1"/>
  <c r="T663" i="66"/>
  <c r="Y663" i="66" s="1"/>
  <c r="R663" i="66"/>
  <c r="T764" i="66"/>
  <c r="Y764" i="66" s="1"/>
  <c r="P764" i="66"/>
  <c r="H853" i="98" s="1"/>
  <c r="I853" i="98" s="1"/>
  <c r="R873" i="66"/>
  <c r="P873" i="66"/>
  <c r="AC873" i="66" s="1"/>
  <c r="T873" i="66"/>
  <c r="Y873" i="66" s="1"/>
  <c r="P836" i="66"/>
  <c r="AC836" i="66" s="1"/>
  <c r="R836" i="66"/>
  <c r="T836" i="66"/>
  <c r="Y836" i="66" s="1"/>
  <c r="T56" i="66"/>
  <c r="Y56" i="66" s="1"/>
  <c r="P56" i="66"/>
  <c r="AC56" i="66" s="1"/>
  <c r="R56" i="66"/>
  <c r="R526" i="66"/>
  <c r="P526" i="66"/>
  <c r="AC526" i="66" s="1"/>
  <c r="T526" i="66"/>
  <c r="Y526" i="66" s="1"/>
  <c r="P537" i="66"/>
  <c r="AC537" i="66" s="1"/>
  <c r="T537" i="66"/>
  <c r="Y537" i="66" s="1"/>
  <c r="R537" i="66"/>
  <c r="R939" i="66"/>
  <c r="T939" i="66"/>
  <c r="Y939" i="66" s="1"/>
  <c r="P939" i="66"/>
  <c r="AC939" i="66" s="1"/>
  <c r="T246" i="66"/>
  <c r="Y246" i="66" s="1"/>
  <c r="P246" i="66"/>
  <c r="T228" i="66"/>
  <c r="Y228" i="66" s="1"/>
  <c r="P228" i="66"/>
  <c r="P412" i="66"/>
  <c r="T412" i="66"/>
  <c r="Y412" i="66" s="1"/>
  <c r="R196" i="66"/>
  <c r="T196" i="66"/>
  <c r="Y196" i="66" s="1"/>
  <c r="P196" i="66"/>
  <c r="AC196" i="66" s="1"/>
  <c r="T162" i="66"/>
  <c r="Y162" i="66" s="1"/>
  <c r="R162" i="66"/>
  <c r="P162" i="66"/>
  <c r="AC162" i="66" s="1"/>
  <c r="R331" i="66"/>
  <c r="P331" i="66"/>
  <c r="AC331" i="66" s="1"/>
  <c r="T331" i="66"/>
  <c r="Y331" i="66" s="1"/>
  <c r="P21" i="66"/>
  <c r="AC21" i="66" s="1"/>
  <c r="T21" i="66"/>
  <c r="Y21" i="66" s="1"/>
  <c r="T768" i="66"/>
  <c r="Y768" i="66" s="1"/>
  <c r="P768" i="66"/>
  <c r="R357" i="66"/>
  <c r="P357" i="66"/>
  <c r="AC357" i="66" s="1"/>
  <c r="T357" i="66"/>
  <c r="Y357" i="66" s="1"/>
  <c r="T87" i="66"/>
  <c r="Y87" i="66" s="1"/>
  <c r="P87" i="66"/>
  <c r="P649" i="66"/>
  <c r="T649" i="66"/>
  <c r="Y649" i="66" s="1"/>
  <c r="P487" i="66"/>
  <c r="AC487" i="66" s="1"/>
  <c r="T487" i="66"/>
  <c r="Y487" i="66" s="1"/>
  <c r="R487" i="66"/>
  <c r="R874" i="66"/>
  <c r="T874" i="66"/>
  <c r="Y874" i="66" s="1"/>
  <c r="P874" i="66"/>
  <c r="AC874" i="66" s="1"/>
  <c r="T107" i="66"/>
  <c r="Y107" i="66" s="1"/>
  <c r="R107" i="66"/>
  <c r="P107" i="66"/>
  <c r="AC107" i="66" s="1"/>
  <c r="T888" i="66"/>
  <c r="Y888" i="66" s="1"/>
  <c r="P888" i="66"/>
  <c r="T676" i="66"/>
  <c r="Y676" i="66" s="1"/>
  <c r="P676" i="66"/>
  <c r="P483" i="66"/>
  <c r="T483" i="66"/>
  <c r="Y483" i="66" s="1"/>
  <c r="P585" i="66"/>
  <c r="AC585" i="66" s="1"/>
  <c r="T585" i="66"/>
  <c r="Y585" i="66" s="1"/>
  <c r="R585" i="66"/>
  <c r="T422" i="66"/>
  <c r="Y422" i="66" s="1"/>
  <c r="P422" i="66"/>
  <c r="P215" i="66"/>
  <c r="AC215" i="66" s="1"/>
  <c r="R215" i="66"/>
  <c r="T215" i="66"/>
  <c r="Y215" i="66" s="1"/>
  <c r="P84" i="66"/>
  <c r="AC84" i="66" s="1"/>
  <c r="R84" i="66"/>
  <c r="T84" i="66"/>
  <c r="Y84" i="66" s="1"/>
  <c r="T507" i="66"/>
  <c r="Y507" i="66" s="1"/>
  <c r="P507" i="66"/>
  <c r="P774" i="66"/>
  <c r="AC774" i="66" s="1"/>
  <c r="R774" i="66"/>
  <c r="T774" i="66"/>
  <c r="Y774" i="66" s="1"/>
  <c r="T72" i="66"/>
  <c r="Y72" i="66" s="1"/>
  <c r="P72" i="66"/>
  <c r="R972" i="66"/>
  <c r="P972" i="66"/>
  <c r="AC972" i="66" s="1"/>
  <c r="T972" i="66"/>
  <c r="Y972" i="66" s="1"/>
  <c r="T883" i="66"/>
  <c r="Y883" i="66" s="1"/>
  <c r="P883" i="66"/>
  <c r="AC883" i="66" s="1"/>
  <c r="R883" i="66"/>
  <c r="H1370" i="98"/>
  <c r="I1370" i="98" s="1"/>
  <c r="I1369" i="98" s="1"/>
  <c r="L1367" i="98" s="1"/>
  <c r="I1041" i="42"/>
  <c r="J1041" i="42" s="1"/>
  <c r="J1040" i="42" s="1"/>
  <c r="M1038" i="42" s="1"/>
  <c r="P393" i="66"/>
  <c r="AC393" i="66" s="1"/>
  <c r="R393" i="66"/>
  <c r="T393" i="66"/>
  <c r="Y393" i="66" s="1"/>
  <c r="P598" i="66"/>
  <c r="AC598" i="66" s="1"/>
  <c r="R598" i="66"/>
  <c r="T598" i="66"/>
  <c r="Y598" i="66" s="1"/>
  <c r="T968" i="66"/>
  <c r="Y968" i="66" s="1"/>
  <c r="P968" i="66"/>
  <c r="AC968" i="66" s="1"/>
  <c r="R968" i="66"/>
  <c r="P501" i="66"/>
  <c r="T501" i="66"/>
  <c r="Y501" i="66" s="1"/>
  <c r="T949" i="66"/>
  <c r="Y949" i="66" s="1"/>
  <c r="P949" i="66"/>
  <c r="AC949" i="66" s="1"/>
  <c r="R949" i="66"/>
  <c r="R49" i="66"/>
  <c r="P49" i="66"/>
  <c r="AC49" i="66" s="1"/>
  <c r="T49" i="66"/>
  <c r="Y49" i="66" s="1"/>
  <c r="R88" i="66"/>
  <c r="T88" i="66"/>
  <c r="Y88" i="66" s="1"/>
  <c r="P88" i="66"/>
  <c r="AC88" i="66" s="1"/>
  <c r="R73" i="66"/>
  <c r="P73" i="66"/>
  <c r="AC73" i="66" s="1"/>
  <c r="T73" i="66"/>
  <c r="Y73" i="66" s="1"/>
  <c r="T158" i="66"/>
  <c r="Y158" i="66" s="1"/>
  <c r="P158" i="66"/>
  <c r="AC158" i="66" s="1"/>
  <c r="R158" i="66"/>
  <c r="T92" i="66"/>
  <c r="Y92" i="66" s="1"/>
  <c r="R92" i="66"/>
  <c r="P92" i="66"/>
  <c r="AC92" i="66" s="1"/>
  <c r="P423" i="66"/>
  <c r="AC423" i="66" s="1"/>
  <c r="T423" i="66"/>
  <c r="Y423" i="66" s="1"/>
  <c r="R423" i="66"/>
  <c r="P375" i="66"/>
  <c r="AC375" i="66" s="1"/>
  <c r="T375" i="66"/>
  <c r="Y375" i="66" s="1"/>
  <c r="R375" i="66"/>
  <c r="R481" i="66"/>
  <c r="P481" i="66"/>
  <c r="AC481" i="66" s="1"/>
  <c r="T481" i="66"/>
  <c r="Y481" i="66" s="1"/>
  <c r="T90" i="66"/>
  <c r="Y90" i="66" s="1"/>
  <c r="R90" i="66"/>
  <c r="P90" i="66"/>
  <c r="AC90" i="66" s="1"/>
  <c r="P38" i="66"/>
  <c r="AC38" i="66" s="1"/>
  <c r="R38" i="66"/>
  <c r="T38" i="66"/>
  <c r="Y38" i="66" s="1"/>
  <c r="R232" i="66"/>
  <c r="P232" i="66"/>
  <c r="AC232" i="66" s="1"/>
  <c r="T232" i="66"/>
  <c r="Y232" i="66" s="1"/>
  <c r="T928" i="66"/>
  <c r="Y928" i="66" s="1"/>
  <c r="P928" i="66"/>
  <c r="AC928" i="66" s="1"/>
  <c r="R928" i="66"/>
  <c r="T714" i="66"/>
  <c r="Y714" i="66" s="1"/>
  <c r="R714" i="66"/>
  <c r="P714" i="66"/>
  <c r="AC714" i="66" s="1"/>
  <c r="P969" i="66"/>
  <c r="AC969" i="66" s="1"/>
  <c r="T969" i="66"/>
  <c r="Y969" i="66" s="1"/>
  <c r="R969" i="66"/>
  <c r="R944" i="66"/>
  <c r="T944" i="66"/>
  <c r="Y944" i="66" s="1"/>
  <c r="P944" i="66"/>
  <c r="AC944" i="66" s="1"/>
  <c r="P900" i="66"/>
  <c r="T900" i="66"/>
  <c r="Y900" i="66" s="1"/>
  <c r="T1008" i="66"/>
  <c r="Y1008" i="66" s="1"/>
  <c r="P1008" i="66"/>
  <c r="AC1008" i="66" s="1"/>
  <c r="R1008" i="66"/>
  <c r="R217" i="66"/>
  <c r="P217" i="66"/>
  <c r="AC217" i="66" s="1"/>
  <c r="T217" i="66"/>
  <c r="Y217" i="66" s="1"/>
  <c r="P435" i="66"/>
  <c r="AC435" i="66" s="1"/>
  <c r="T435" i="66"/>
  <c r="Y435" i="66" s="1"/>
  <c r="R435" i="66"/>
  <c r="P445" i="66"/>
  <c r="T445" i="66"/>
  <c r="Y445" i="66" s="1"/>
  <c r="R494" i="66"/>
  <c r="T494" i="66"/>
  <c r="Y494" i="66" s="1"/>
  <c r="P494" i="66"/>
  <c r="AC494" i="66" s="1"/>
  <c r="R665" i="66"/>
  <c r="T665" i="66"/>
  <c r="Y665" i="66" s="1"/>
  <c r="P665" i="66"/>
  <c r="P582" i="66"/>
  <c r="AC582" i="66" s="1"/>
  <c r="T582" i="66"/>
  <c r="Y582" i="66" s="1"/>
  <c r="R582" i="66"/>
  <c r="P348" i="66"/>
  <c r="AC348" i="66" s="1"/>
  <c r="R348" i="66"/>
  <c r="T348" i="66"/>
  <c r="Y348" i="66" s="1"/>
  <c r="P930" i="66"/>
  <c r="T930" i="66"/>
  <c r="Y930" i="66" s="1"/>
  <c r="R930" i="66"/>
  <c r="T298" i="66"/>
  <c r="Y298" i="66" s="1"/>
  <c r="P298" i="66"/>
  <c r="AC298" i="66" s="1"/>
  <c r="R298" i="66"/>
  <c r="P51" i="66"/>
  <c r="AC51" i="66" s="1"/>
  <c r="R51" i="66"/>
  <c r="T51" i="66"/>
  <c r="Y51" i="66" s="1"/>
  <c r="P587" i="66"/>
  <c r="T587" i="66"/>
  <c r="Y587" i="66" s="1"/>
  <c r="T779" i="66"/>
  <c r="Y779" i="66" s="1"/>
  <c r="P779" i="66"/>
  <c r="T321" i="66"/>
  <c r="Y321" i="66" s="1"/>
  <c r="P321" i="66"/>
  <c r="AC321" i="66" s="1"/>
  <c r="R233" i="66"/>
  <c r="T233" i="66"/>
  <c r="Y233" i="66" s="1"/>
  <c r="P233" i="66"/>
  <c r="AC233" i="66" s="1"/>
  <c r="P354" i="66"/>
  <c r="AC354" i="66" s="1"/>
  <c r="R354" i="66"/>
  <c r="T354" i="66"/>
  <c r="Y354" i="66" s="1"/>
  <c r="P437" i="66"/>
  <c r="AC437" i="66" s="1"/>
  <c r="R437" i="66"/>
  <c r="T437" i="66"/>
  <c r="Y437" i="66" s="1"/>
  <c r="T776" i="66"/>
  <c r="Y776" i="66" s="1"/>
  <c r="P776" i="66"/>
  <c r="AC776" i="66" s="1"/>
  <c r="R776" i="66"/>
  <c r="T721" i="66"/>
  <c r="Y721" i="66" s="1"/>
  <c r="R721" i="66"/>
  <c r="P721" i="66"/>
  <c r="AC721" i="66" s="1"/>
  <c r="P734" i="66"/>
  <c r="T734" i="66"/>
  <c r="Y734" i="66" s="1"/>
  <c r="R869" i="66"/>
  <c r="P869" i="66"/>
  <c r="AC869" i="66" s="1"/>
  <c r="T869" i="66"/>
  <c r="Y869" i="66" s="1"/>
  <c r="T218" i="66"/>
  <c r="Y218" i="66" s="1"/>
  <c r="R218" i="66"/>
  <c r="P218" i="66"/>
  <c r="AC218" i="66" s="1"/>
  <c r="T912" i="66"/>
  <c r="Y912" i="66" s="1"/>
  <c r="P912" i="66"/>
  <c r="T225" i="66"/>
  <c r="Y225" i="66" s="1"/>
  <c r="P225" i="66"/>
  <c r="R947" i="66"/>
  <c r="T947" i="66"/>
  <c r="Y947" i="66" s="1"/>
  <c r="P947" i="66"/>
  <c r="AC947" i="66" s="1"/>
  <c r="P741" i="66"/>
  <c r="AC741" i="66" s="1"/>
  <c r="R741" i="66"/>
  <c r="T741" i="66"/>
  <c r="Y741" i="66" s="1"/>
  <c r="T101" i="66"/>
  <c r="Y101" i="66" s="1"/>
  <c r="P101" i="66"/>
  <c r="AC101" i="66" s="1"/>
  <c r="R101" i="66"/>
  <c r="P967" i="66"/>
  <c r="T967" i="66"/>
  <c r="Y967" i="66" s="1"/>
  <c r="P1001" i="66"/>
  <c r="T1001" i="66"/>
  <c r="Y1001" i="66" s="1"/>
  <c r="T855" i="66"/>
  <c r="Y855" i="66" s="1"/>
  <c r="R855" i="66"/>
  <c r="P855" i="66"/>
  <c r="AC855" i="66" s="1"/>
  <c r="T943" i="66"/>
  <c r="Y943" i="66" s="1"/>
  <c r="R943" i="66"/>
  <c r="P943" i="66"/>
  <c r="AC943" i="66" s="1"/>
  <c r="H1014" i="98"/>
  <c r="I1014" i="98" s="1"/>
  <c r="H1016" i="98" s="1"/>
  <c r="I1016" i="98" s="1"/>
  <c r="I1013" i="98" s="1"/>
  <c r="J1012" i="98" s="1"/>
  <c r="AC507" i="66"/>
  <c r="F74" i="93"/>
  <c r="I74" i="93" s="1"/>
  <c r="L74" i="93" s="1"/>
  <c r="C75" i="93"/>
  <c r="T1002" i="66"/>
  <c r="Y1002" i="66" s="1"/>
  <c r="P1002" i="66"/>
  <c r="AC1002" i="66" s="1"/>
  <c r="R1002" i="66"/>
  <c r="R938" i="66"/>
  <c r="T938" i="66"/>
  <c r="Y938" i="66" s="1"/>
  <c r="P938" i="66"/>
  <c r="AC938" i="66" s="1"/>
  <c r="T687" i="66"/>
  <c r="Y687" i="66" s="1"/>
  <c r="R687" i="66"/>
  <c r="P687" i="66"/>
  <c r="AC687" i="66" s="1"/>
  <c r="P510" i="66"/>
  <c r="I224" i="42" s="1"/>
  <c r="J224" i="42" s="1"/>
  <c r="T510" i="66"/>
  <c r="Y510" i="66" s="1"/>
  <c r="P897" i="66"/>
  <c r="T897" i="66"/>
  <c r="Y897" i="66" s="1"/>
  <c r="R241" i="66"/>
  <c r="T241" i="66"/>
  <c r="Y241" i="66" s="1"/>
  <c r="P241" i="66"/>
  <c r="AC241" i="66" s="1"/>
  <c r="P123" i="66"/>
  <c r="AC123" i="66" s="1"/>
  <c r="T123" i="66"/>
  <c r="Y123" i="66" s="1"/>
  <c r="R123" i="66"/>
  <c r="R227" i="66"/>
  <c r="T227" i="66"/>
  <c r="Y227" i="66" s="1"/>
  <c r="P227" i="66"/>
  <c r="AC227" i="66" s="1"/>
  <c r="P350" i="66"/>
  <c r="AC350" i="66" s="1"/>
  <c r="T350" i="66"/>
  <c r="Y350" i="66" s="1"/>
  <c r="R350" i="66"/>
  <c r="R591" i="66"/>
  <c r="P591" i="66"/>
  <c r="AC591" i="66" s="1"/>
  <c r="T591" i="66"/>
  <c r="Y591" i="66" s="1"/>
  <c r="P783" i="66"/>
  <c r="AC783" i="66" s="1"/>
  <c r="R783" i="66"/>
  <c r="T783" i="66"/>
  <c r="Y783" i="66" s="1"/>
  <c r="T529" i="66"/>
  <c r="Y529" i="66" s="1"/>
  <c r="P529" i="66"/>
  <c r="T623" i="66"/>
  <c r="Y623" i="66" s="1"/>
  <c r="P623" i="66"/>
  <c r="P464" i="66"/>
  <c r="AC464" i="66" s="1"/>
  <c r="R464" i="66"/>
  <c r="T464" i="66"/>
  <c r="Y464" i="66" s="1"/>
  <c r="R616" i="66"/>
  <c r="P616" i="66"/>
  <c r="AC616" i="66" s="1"/>
  <c r="T616" i="66"/>
  <c r="Y616" i="66" s="1"/>
  <c r="P621" i="66"/>
  <c r="AC621" i="66" s="1"/>
  <c r="T621" i="66"/>
  <c r="Y621" i="66" s="1"/>
  <c r="R621" i="66"/>
  <c r="T326" i="66"/>
  <c r="Y326" i="66" s="1"/>
  <c r="P326" i="66"/>
  <c r="R801" i="66"/>
  <c r="T801" i="66"/>
  <c r="Y801" i="66" s="1"/>
  <c r="P801" i="66"/>
  <c r="P564" i="66"/>
  <c r="T564" i="66"/>
  <c r="Y564" i="66" s="1"/>
  <c r="P580" i="66"/>
  <c r="AC580" i="66" s="1"/>
  <c r="T580" i="66"/>
  <c r="Y580" i="66" s="1"/>
  <c r="P520" i="66"/>
  <c r="AC520" i="66" s="1"/>
  <c r="T520" i="66"/>
  <c r="Y520" i="66" s="1"/>
  <c r="R520" i="66"/>
  <c r="P925" i="66"/>
  <c r="AC925" i="66" s="1"/>
  <c r="T925" i="66"/>
  <c r="Y925" i="66" s="1"/>
  <c r="R925" i="66"/>
  <c r="T171" i="66"/>
  <c r="Y171" i="66" s="1"/>
  <c r="P171" i="66"/>
  <c r="P711" i="66"/>
  <c r="AC711" i="66" s="1"/>
  <c r="T711" i="66"/>
  <c r="Y711" i="66" s="1"/>
  <c r="T426" i="66"/>
  <c r="Y426" i="66" s="1"/>
  <c r="P426" i="66"/>
  <c r="P772" i="66"/>
  <c r="T772" i="66"/>
  <c r="Y772" i="66" s="1"/>
  <c r="P965" i="66"/>
  <c r="AC965" i="66" s="1"/>
  <c r="T965" i="66"/>
  <c r="Y965" i="66" s="1"/>
  <c r="P788" i="66"/>
  <c r="AC788" i="66" s="1"/>
  <c r="T788" i="66"/>
  <c r="Y788" i="66" s="1"/>
  <c r="R788" i="66"/>
  <c r="R55" i="66"/>
  <c r="P55" i="66"/>
  <c r="AC55" i="66" s="1"/>
  <c r="T55" i="66"/>
  <c r="Y55" i="66" s="1"/>
  <c r="T527" i="66"/>
  <c r="Y527" i="66" s="1"/>
  <c r="P527" i="66"/>
  <c r="AC527" i="66" s="1"/>
  <c r="R527" i="66"/>
  <c r="R192" i="66"/>
  <c r="P192" i="66"/>
  <c r="AC192" i="66" s="1"/>
  <c r="T192" i="66"/>
  <c r="Y192" i="66" s="1"/>
  <c r="R448" i="66"/>
  <c r="T448" i="66"/>
  <c r="Y448" i="66" s="1"/>
  <c r="P448" i="66"/>
  <c r="AC448" i="66" s="1"/>
  <c r="R245" i="66"/>
  <c r="P245" i="66"/>
  <c r="AC245" i="66" s="1"/>
  <c r="T245" i="66"/>
  <c r="Y245" i="66" s="1"/>
  <c r="P933" i="66"/>
  <c r="AC933" i="66" s="1"/>
  <c r="R933" i="66"/>
  <c r="T933" i="66"/>
  <c r="Y933" i="66" s="1"/>
  <c r="P181" i="66"/>
  <c r="AC181" i="66" s="1"/>
  <c r="R181" i="66"/>
  <c r="T181" i="66"/>
  <c r="Y181" i="66" s="1"/>
  <c r="P471" i="66"/>
  <c r="AC471" i="66" s="1"/>
  <c r="T471" i="66"/>
  <c r="Y471" i="66" s="1"/>
  <c r="R471" i="66"/>
  <c r="T615" i="66"/>
  <c r="Y615" i="66" s="1"/>
  <c r="P615" i="66"/>
  <c r="R43" i="66"/>
  <c r="P43" i="66"/>
  <c r="AC43" i="66" s="1"/>
  <c r="T43" i="66"/>
  <c r="Y43" i="66" s="1"/>
  <c r="T850" i="66"/>
  <c r="Y850" i="66" s="1"/>
  <c r="P850" i="66"/>
  <c r="AC850" i="66" s="1"/>
  <c r="R850" i="66"/>
  <c r="R105" i="66"/>
  <c r="P105" i="66"/>
  <c r="AC105" i="66" s="1"/>
  <c r="T105" i="66"/>
  <c r="Y105" i="66" s="1"/>
  <c r="P441" i="66"/>
  <c r="AC441" i="66" s="1"/>
  <c r="R441" i="66"/>
  <c r="T441" i="66"/>
  <c r="Y441" i="66" s="1"/>
  <c r="P513" i="66"/>
  <c r="T513" i="66"/>
  <c r="Y513" i="66" s="1"/>
  <c r="P449" i="66"/>
  <c r="AC449" i="66" s="1"/>
  <c r="T449" i="66"/>
  <c r="Y449" i="66" s="1"/>
  <c r="R449" i="66"/>
  <c r="T22" i="66"/>
  <c r="Y22" i="66" s="1"/>
  <c r="R22" i="66"/>
  <c r="AC22" i="66"/>
  <c r="P118" i="66"/>
  <c r="AC118" i="66" s="1"/>
  <c r="R118" i="66"/>
  <c r="T118" i="66"/>
  <c r="Y118" i="66" s="1"/>
  <c r="T681" i="66"/>
  <c r="Y681" i="66" s="1"/>
  <c r="P681" i="66"/>
  <c r="AC681" i="66" s="1"/>
  <c r="R681" i="66"/>
  <c r="T420" i="66"/>
  <c r="Y420" i="66" s="1"/>
  <c r="P420" i="66"/>
  <c r="AC420" i="66" s="1"/>
  <c r="R420" i="66"/>
  <c r="P543" i="66"/>
  <c r="AC543" i="66" s="1"/>
  <c r="T543" i="66"/>
  <c r="Y543" i="66" s="1"/>
  <c r="R543" i="66"/>
  <c r="T503" i="66"/>
  <c r="Y503" i="66" s="1"/>
  <c r="P503" i="66"/>
  <c r="AC503" i="66" s="1"/>
  <c r="R503" i="66"/>
  <c r="P213" i="66"/>
  <c r="AC213" i="66" s="1"/>
  <c r="T213" i="66"/>
  <c r="Y213" i="66" s="1"/>
  <c r="R213" i="66"/>
  <c r="T636" i="66"/>
  <c r="Y636" i="66" s="1"/>
  <c r="P636" i="66"/>
  <c r="AC636" i="66" s="1"/>
  <c r="R636" i="66"/>
  <c r="R337" i="66"/>
  <c r="T337" i="66"/>
  <c r="Y337" i="66" s="1"/>
  <c r="P337" i="66"/>
  <c r="AC337" i="66" s="1"/>
  <c r="T205" i="66"/>
  <c r="Y205" i="66" s="1"/>
  <c r="R205" i="66"/>
  <c r="P205" i="66"/>
  <c r="AC205" i="66" s="1"/>
  <c r="R302" i="66"/>
  <c r="P302" i="66"/>
  <c r="AC302" i="66" s="1"/>
  <c r="T302" i="66"/>
  <c r="Y302" i="66" s="1"/>
  <c r="T30" i="66"/>
  <c r="Y30" i="66" s="1"/>
  <c r="P30" i="66"/>
  <c r="AC30" i="66" s="1"/>
  <c r="R30" i="66"/>
  <c r="R26" i="66"/>
  <c r="T26" i="66"/>
  <c r="Y26" i="66" s="1"/>
  <c r="P26" i="66"/>
  <c r="AC26" i="66" s="1"/>
  <c r="P647" i="66"/>
  <c r="AC647" i="66" s="1"/>
  <c r="T647" i="66"/>
  <c r="Y647" i="66" s="1"/>
  <c r="R647" i="66"/>
  <c r="T330" i="66"/>
  <c r="Y330" i="66" s="1"/>
  <c r="P330" i="66"/>
  <c r="AC330" i="66" s="1"/>
  <c r="R330" i="66"/>
  <c r="P952" i="66"/>
  <c r="AC952" i="66" s="1"/>
  <c r="R952" i="66"/>
  <c r="T952" i="66"/>
  <c r="Y952" i="66" s="1"/>
  <c r="T169" i="66"/>
  <c r="Y169" i="66" s="1"/>
  <c r="P169" i="66"/>
  <c r="AC169" i="66" s="1"/>
  <c r="R169" i="66"/>
  <c r="P678" i="66"/>
  <c r="T678" i="66"/>
  <c r="Y678" i="66" s="1"/>
  <c r="T879" i="66"/>
  <c r="Y879" i="66" s="1"/>
  <c r="P879" i="66"/>
  <c r="T80" i="66"/>
  <c r="Y80" i="66" s="1"/>
  <c r="P80" i="66"/>
  <c r="AC80" i="66" s="1"/>
  <c r="R80" i="66"/>
  <c r="T857" i="66"/>
  <c r="Y857" i="66" s="1"/>
  <c r="P857" i="66"/>
  <c r="AC857" i="66" s="1"/>
  <c r="R857" i="66"/>
  <c r="P742" i="66"/>
  <c r="T742" i="66"/>
  <c r="Y742" i="66" s="1"/>
  <c r="T937" i="66"/>
  <c r="Y937" i="66" s="1"/>
  <c r="P937" i="66"/>
  <c r="AC937" i="66" s="1"/>
  <c r="R937" i="66"/>
  <c r="P728" i="66"/>
  <c r="AC728" i="66" s="1"/>
  <c r="R728" i="66"/>
  <c r="T728" i="66"/>
  <c r="Y728" i="66" s="1"/>
  <c r="T730" i="66"/>
  <c r="Y730" i="66" s="1"/>
  <c r="P730" i="66"/>
  <c r="T662" i="66"/>
  <c r="Y662" i="66" s="1"/>
  <c r="P662" i="66"/>
  <c r="AC662" i="66" s="1"/>
  <c r="R662" i="66"/>
  <c r="P922" i="66"/>
  <c r="AC922" i="66" s="1"/>
  <c r="R922" i="66"/>
  <c r="T922" i="66"/>
  <c r="Y922" i="66" s="1"/>
  <c r="P738" i="66"/>
  <c r="T738" i="66"/>
  <c r="Y738" i="66" s="1"/>
  <c r="R342" i="66"/>
  <c r="P342" i="66"/>
  <c r="AC342" i="66" s="1"/>
  <c r="T342" i="66"/>
  <c r="Y342" i="66" s="1"/>
  <c r="R77" i="66"/>
  <c r="P77" i="66"/>
  <c r="AC77" i="66" s="1"/>
  <c r="T77" i="66"/>
  <c r="Y77" i="66" s="1"/>
  <c r="P504" i="66"/>
  <c r="AC504" i="66" s="1"/>
  <c r="T504" i="66"/>
  <c r="Y504" i="66" s="1"/>
  <c r="R504" i="66"/>
  <c r="T746" i="66"/>
  <c r="Y746" i="66" s="1"/>
  <c r="P746" i="66"/>
  <c r="T216" i="66"/>
  <c r="Y216" i="66" s="1"/>
  <c r="R216" i="66"/>
  <c r="P216" i="66"/>
  <c r="AC216" i="66" s="1"/>
  <c r="T255" i="66"/>
  <c r="Y255" i="66" s="1"/>
  <c r="P255" i="66"/>
  <c r="AC255" i="66" s="1"/>
  <c r="R255" i="66"/>
  <c r="P818" i="66"/>
  <c r="AC818" i="66" s="1"/>
  <c r="R818" i="66"/>
  <c r="T818" i="66"/>
  <c r="Y818" i="66" s="1"/>
  <c r="T629" i="66"/>
  <c r="Y629" i="66" s="1"/>
  <c r="R629" i="66"/>
  <c r="P629" i="66"/>
  <c r="AC629" i="66" s="1"/>
  <c r="P459" i="66"/>
  <c r="T459" i="66"/>
  <c r="Y459" i="66" s="1"/>
  <c r="T428" i="66"/>
  <c r="Y428" i="66" s="1"/>
  <c r="P428" i="66"/>
  <c r="R675" i="66"/>
  <c r="P675" i="66"/>
  <c r="AC675" i="66" s="1"/>
  <c r="T675" i="66"/>
  <c r="Y675" i="66" s="1"/>
  <c r="P201" i="66"/>
  <c r="AC201" i="66" s="1"/>
  <c r="R201" i="66"/>
  <c r="T201" i="66"/>
  <c r="Y201" i="66" s="1"/>
  <c r="R531" i="66"/>
  <c r="P531" i="66"/>
  <c r="AC531" i="66" s="1"/>
  <c r="T531" i="66"/>
  <c r="Y531" i="66" s="1"/>
  <c r="T923" i="66"/>
  <c r="Y923" i="66" s="1"/>
  <c r="P923" i="66"/>
  <c r="T995" i="66"/>
  <c r="Y995" i="66" s="1"/>
  <c r="P995" i="66"/>
  <c r="T485" i="66"/>
  <c r="Y485" i="66" s="1"/>
  <c r="P485" i="66"/>
  <c r="T571" i="66"/>
  <c r="Y571" i="66" s="1"/>
  <c r="P571" i="66"/>
  <c r="R499" i="66"/>
  <c r="T499" i="66"/>
  <c r="Y499" i="66" s="1"/>
  <c r="P499" i="66"/>
  <c r="AC499" i="66" s="1"/>
  <c r="H1068" i="98"/>
  <c r="I1068" i="98" s="1"/>
  <c r="H1685" i="98"/>
  <c r="I1685" i="98" s="1"/>
  <c r="K2646" i="42"/>
  <c r="L2640" i="42"/>
  <c r="I2751" i="98"/>
  <c r="I2752" i="98" s="1"/>
  <c r="I2753" i="98" s="1"/>
  <c r="I2754" i="98" s="1"/>
  <c r="J2697" i="98"/>
  <c r="I2700" i="98"/>
  <c r="I2701" i="98" s="1"/>
  <c r="R707" i="66"/>
  <c r="F15" i="85"/>
  <c r="T41" i="93"/>
  <c r="A17" i="7"/>
  <c r="A22" i="7" s="1"/>
  <c r="T953" i="66"/>
  <c r="Y953" i="66" s="1"/>
  <c r="R953" i="66"/>
  <c r="P953" i="66"/>
  <c r="AC953" i="66" s="1"/>
  <c r="T407" i="66"/>
  <c r="Y407" i="66" s="1"/>
  <c r="P407" i="66"/>
  <c r="AC407" i="66" s="1"/>
  <c r="R407" i="66"/>
  <c r="T203" i="66"/>
  <c r="Y203" i="66" s="1"/>
  <c r="P203" i="66"/>
  <c r="AC203" i="66" s="1"/>
  <c r="R203" i="66"/>
  <c r="T975" i="66"/>
  <c r="Y975" i="66" s="1"/>
  <c r="R975" i="66"/>
  <c r="P975" i="66"/>
  <c r="AC975" i="66" s="1"/>
  <c r="T287" i="66"/>
  <c r="Y287" i="66" s="1"/>
  <c r="R287" i="66"/>
  <c r="P287" i="66"/>
  <c r="AC287" i="66" s="1"/>
  <c r="P808" i="66"/>
  <c r="T808" i="66"/>
  <c r="Y808" i="66" s="1"/>
  <c r="P518" i="66"/>
  <c r="AC518" i="66" s="1"/>
  <c r="T518" i="66"/>
  <c r="Y518" i="66" s="1"/>
  <c r="R518" i="66"/>
  <c r="T551" i="66"/>
  <c r="Y551" i="66" s="1"/>
  <c r="P551" i="66"/>
  <c r="AC551" i="66" s="1"/>
  <c r="R551" i="66"/>
  <c r="T722" i="66"/>
  <c r="Y722" i="66" s="1"/>
  <c r="P722" i="66"/>
  <c r="P977" i="66"/>
  <c r="AC977" i="66" s="1"/>
  <c r="R977" i="66"/>
  <c r="T977" i="66"/>
  <c r="Y977" i="66" s="1"/>
  <c r="T340" i="66"/>
  <c r="Y340" i="66" s="1"/>
  <c r="P340" i="66"/>
  <c r="R820" i="66"/>
  <c r="T820" i="66"/>
  <c r="Y820" i="66" s="1"/>
  <c r="P223" i="66"/>
  <c r="AC223" i="66" s="1"/>
  <c r="R223" i="66"/>
  <c r="R536" i="66"/>
  <c r="P536" i="66"/>
  <c r="AC536" i="66" s="1"/>
  <c r="T853" i="66"/>
  <c r="Y853" i="66" s="1"/>
  <c r="P853" i="66"/>
  <c r="AC853" i="66" s="1"/>
  <c r="R853" i="66"/>
  <c r="P322" i="66"/>
  <c r="AC322" i="66" s="1"/>
  <c r="T322" i="66"/>
  <c r="Y322" i="66" s="1"/>
  <c r="P479" i="66"/>
  <c r="AC479" i="66" s="1"/>
  <c r="R479" i="66"/>
  <c r="R106" i="66"/>
  <c r="P106" i="66"/>
  <c r="AC106" i="66" s="1"/>
  <c r="P719" i="66"/>
  <c r="AC719" i="66" s="1"/>
  <c r="R719" i="66"/>
  <c r="P913" i="66"/>
  <c r="T913" i="66"/>
  <c r="Y913" i="66" s="1"/>
  <c r="P44" i="66"/>
  <c r="AC44" i="66" s="1"/>
  <c r="T44" i="66"/>
  <c r="Y44" i="66" s="1"/>
  <c r="R44" i="66"/>
  <c r="P803" i="66"/>
  <c r="T803" i="66"/>
  <c r="Y803" i="66" s="1"/>
  <c r="P358" i="66"/>
  <c r="AC358" i="66" s="1"/>
  <c r="T358" i="66"/>
  <c r="Y358" i="66" s="1"/>
  <c r="T239" i="66"/>
  <c r="Y239" i="66" s="1"/>
  <c r="P239" i="66"/>
  <c r="AC239" i="66" s="1"/>
  <c r="T606" i="66"/>
  <c r="Y606" i="66" s="1"/>
  <c r="P606" i="66"/>
  <c r="AC606" i="66" s="1"/>
  <c r="T167" i="66"/>
  <c r="Y167" i="66" s="1"/>
  <c r="P167" i="66"/>
  <c r="AC167" i="66" s="1"/>
  <c r="R671" i="66"/>
  <c r="P671" i="66"/>
  <c r="AC671" i="66" s="1"/>
  <c r="T749" i="66"/>
  <c r="Y749" i="66" s="1"/>
  <c r="R749" i="66"/>
  <c r="P141" i="66"/>
  <c r="T141" i="66"/>
  <c r="Y141" i="66" s="1"/>
  <c r="T950" i="66"/>
  <c r="Y950" i="66" s="1"/>
  <c r="R950" i="66"/>
  <c r="P950" i="66"/>
  <c r="AC950" i="66" s="1"/>
  <c r="P182" i="66"/>
  <c r="AC182" i="66" s="1"/>
  <c r="R182" i="66"/>
  <c r="T182" i="66"/>
  <c r="Y182" i="66" s="1"/>
  <c r="R472" i="66"/>
  <c r="T472" i="66"/>
  <c r="Y472" i="66" s="1"/>
  <c r="P472" i="66"/>
  <c r="AC472" i="66" s="1"/>
  <c r="P137" i="66"/>
  <c r="AC137" i="66" s="1"/>
  <c r="R137" i="66"/>
  <c r="T137" i="66"/>
  <c r="Y137" i="66" s="1"/>
  <c r="P135" i="66"/>
  <c r="T135" i="66"/>
  <c r="Y135" i="66" s="1"/>
  <c r="P296" i="66"/>
  <c r="AC296" i="66" s="1"/>
  <c r="R296" i="66"/>
  <c r="T296" i="66"/>
  <c r="Y296" i="66" s="1"/>
  <c r="R978" i="66"/>
  <c r="T978" i="66"/>
  <c r="Y978" i="66" s="1"/>
  <c r="P978" i="66"/>
  <c r="AC978" i="66" s="1"/>
  <c r="T894" i="66"/>
  <c r="Y894" i="66" s="1"/>
  <c r="R894" i="66"/>
  <c r="P894" i="66"/>
  <c r="AC894" i="66" s="1"/>
  <c r="P25" i="66"/>
  <c r="T25" i="66"/>
  <c r="Y25" i="66" s="1"/>
  <c r="T863" i="66"/>
  <c r="Y863" i="66" s="1"/>
  <c r="P863" i="66"/>
  <c r="AC863" i="66" s="1"/>
  <c r="P920" i="66"/>
  <c r="R920" i="66"/>
  <c r="T920" i="66"/>
  <c r="Y920" i="66" s="1"/>
  <c r="T314" i="66"/>
  <c r="Y314" i="66" s="1"/>
  <c r="R314" i="66"/>
  <c r="P314" i="66"/>
  <c r="AC314" i="66" s="1"/>
  <c r="T368" i="66"/>
  <c r="Y368" i="66" s="1"/>
  <c r="P368" i="66"/>
  <c r="AC368" i="66" s="1"/>
  <c r="R368" i="66"/>
  <c r="R992" i="66"/>
  <c r="T992" i="66"/>
  <c r="Y992" i="66" s="1"/>
  <c r="P992" i="66"/>
  <c r="AC992" i="66" s="1"/>
  <c r="R825" i="66"/>
  <c r="P825" i="66"/>
  <c r="AC825" i="66" s="1"/>
  <c r="T825" i="66"/>
  <c r="Y825" i="66" s="1"/>
  <c r="P121" i="66"/>
  <c r="T121" i="66"/>
  <c r="Y121" i="66" s="1"/>
  <c r="T642" i="66"/>
  <c r="Y642" i="66" s="1"/>
  <c r="R642" i="66"/>
  <c r="P642" i="66"/>
  <c r="AC642" i="66" s="1"/>
  <c r="T156" i="66"/>
  <c r="Y156" i="66" s="1"/>
  <c r="P156" i="66"/>
  <c r="AC156" i="66" s="1"/>
  <c r="R156" i="66"/>
  <c r="P236" i="66"/>
  <c r="H1047" i="98" s="1"/>
  <c r="I1047" i="98" s="1"/>
  <c r="T236" i="66"/>
  <c r="Y236" i="66" s="1"/>
  <c r="T293" i="66"/>
  <c r="Y293" i="66" s="1"/>
  <c r="P293" i="66"/>
  <c r="T256" i="66"/>
  <c r="Y256" i="66" s="1"/>
  <c r="P256" i="66"/>
  <c r="AC256" i="66" s="1"/>
  <c r="R256" i="66"/>
  <c r="T380" i="66"/>
  <c r="Y380" i="66" s="1"/>
  <c r="R380" i="66"/>
  <c r="P380" i="66"/>
  <c r="AC380" i="66" s="1"/>
  <c r="T656" i="66"/>
  <c r="Y656" i="66" s="1"/>
  <c r="P656" i="66"/>
  <c r="AC656" i="66" s="1"/>
  <c r="R656" i="66"/>
  <c r="P70" i="66"/>
  <c r="H2096" i="98" s="1"/>
  <c r="I2096" i="98" s="1"/>
  <c r="T70" i="66"/>
  <c r="Y70" i="66" s="1"/>
  <c r="P52" i="66"/>
  <c r="AC52" i="66" s="1"/>
  <c r="R52" i="66"/>
  <c r="T52" i="66"/>
  <c r="Y52" i="66" s="1"/>
  <c r="P652" i="66"/>
  <c r="H810" i="98" s="1"/>
  <c r="I810" i="98" s="1"/>
  <c r="T652" i="66"/>
  <c r="Y652" i="66" s="1"/>
  <c r="P131" i="66"/>
  <c r="T131" i="66"/>
  <c r="Y131" i="66" s="1"/>
  <c r="T148" i="66"/>
  <c r="Y148" i="66" s="1"/>
  <c r="P148" i="66"/>
  <c r="H1989" i="98" s="1"/>
  <c r="I1989" i="98" s="1"/>
  <c r="I1988" i="98" s="1"/>
  <c r="T717" i="66"/>
  <c r="Y717" i="66" s="1"/>
  <c r="R717" i="66"/>
  <c r="P717" i="66"/>
  <c r="AC717" i="66" s="1"/>
  <c r="P809" i="66"/>
  <c r="AC809" i="66" s="1"/>
  <c r="T809" i="66"/>
  <c r="Y809" i="66" s="1"/>
  <c r="R809" i="66"/>
  <c r="I924" i="42"/>
  <c r="J924" i="42" s="1"/>
  <c r="K1197" i="98"/>
  <c r="K1239" i="98"/>
  <c r="A4" i="58"/>
  <c r="A4" i="49"/>
  <c r="H182" i="98"/>
  <c r="I182" i="98" s="1"/>
  <c r="I181" i="98" s="1"/>
  <c r="J180" i="98" s="1"/>
  <c r="F88" i="93"/>
  <c r="C89" i="93"/>
  <c r="I88" i="93"/>
  <c r="L88" i="93" s="1"/>
  <c r="G37" i="93"/>
  <c r="J37" i="93" s="1"/>
  <c r="M37" i="93" s="1"/>
  <c r="I3246" i="42"/>
  <c r="J3246" i="42" s="1"/>
  <c r="H346" i="103"/>
  <c r="I346" i="103" s="1"/>
  <c r="H347" i="103" s="1"/>
  <c r="I347" i="103" s="1"/>
  <c r="I345" i="103" s="1"/>
  <c r="L338" i="103" s="1"/>
  <c r="I431" i="42"/>
  <c r="J431" i="42" s="1"/>
  <c r="I1467" i="42"/>
  <c r="J1467" i="42" s="1"/>
  <c r="I1468" i="42" s="1"/>
  <c r="J1468" i="42" s="1"/>
  <c r="J1466" i="42" s="1"/>
  <c r="M1459" i="42" s="1"/>
  <c r="H2449" i="98"/>
  <c r="I2449" i="98" s="1"/>
  <c r="I2430" i="42"/>
  <c r="J2430" i="42" s="1"/>
  <c r="I2432" i="42"/>
  <c r="J2432" i="42" s="1"/>
  <c r="I2436" i="42" s="1"/>
  <c r="J2436" i="42" s="1"/>
  <c r="I113" i="42"/>
  <c r="J113" i="42" s="1"/>
  <c r="I1487" i="42"/>
  <c r="J1487" i="42" s="1"/>
  <c r="H379" i="103"/>
  <c r="I379" i="103" s="1"/>
  <c r="I1581" i="42"/>
  <c r="J1581" i="42" s="1"/>
  <c r="H2261" i="98"/>
  <c r="I2261" i="98" s="1"/>
  <c r="I638" i="42"/>
  <c r="J638" i="42" s="1"/>
  <c r="H533" i="98"/>
  <c r="I533" i="98" s="1"/>
  <c r="I1715" i="42"/>
  <c r="J1715" i="42" s="1"/>
  <c r="H365" i="103"/>
  <c r="I365" i="103" s="1"/>
  <c r="H366" i="103" s="1"/>
  <c r="I366" i="103" s="1"/>
  <c r="I364" i="103" s="1"/>
  <c r="L357" i="103" s="1"/>
  <c r="I1705" i="42"/>
  <c r="J1705" i="42" s="1"/>
  <c r="I1482" i="42"/>
  <c r="J1482" i="42" s="1"/>
  <c r="H128" i="98"/>
  <c r="I128" i="98" s="1"/>
  <c r="I2627" i="42"/>
  <c r="J2627" i="42" s="1"/>
  <c r="I1477" i="42"/>
  <c r="J1477" i="42" s="1"/>
  <c r="I1852" i="42"/>
  <c r="J1852" i="42" s="1"/>
  <c r="I721" i="42"/>
  <c r="J721" i="42" s="1"/>
  <c r="I702" i="42"/>
  <c r="J702" i="42" s="1"/>
  <c r="I738" i="42"/>
  <c r="J738" i="42" s="1"/>
  <c r="H3343" i="98"/>
  <c r="I3343" i="98" s="1"/>
  <c r="H1028" i="98"/>
  <c r="I1028" i="98" s="1"/>
  <c r="I3283" i="42"/>
  <c r="J3283" i="42" s="1"/>
  <c r="C53" i="93"/>
  <c r="F52" i="93"/>
  <c r="I52" i="93" s="1"/>
  <c r="L52" i="93" s="1"/>
  <c r="T52" i="93" s="1"/>
  <c r="E54" i="93"/>
  <c r="H53" i="93"/>
  <c r="K53" i="93" s="1"/>
  <c r="N53" i="93" s="1"/>
  <c r="H20" i="85" s="1"/>
  <c r="P789" i="66"/>
  <c r="AC789" i="66" s="1"/>
  <c r="T789" i="66"/>
  <c r="Y789" i="66" s="1"/>
  <c r="R789" i="66"/>
  <c r="P834" i="66"/>
  <c r="AC834" i="66" s="1"/>
  <c r="T834" i="66"/>
  <c r="Y834" i="66" s="1"/>
  <c r="R834" i="66"/>
  <c r="R401" i="66"/>
  <c r="T401" i="66"/>
  <c r="Y401" i="66" s="1"/>
  <c r="P401" i="66"/>
  <c r="AC401" i="66" s="1"/>
  <c r="R347" i="66"/>
  <c r="T347" i="66"/>
  <c r="Y347" i="66" s="1"/>
  <c r="P347" i="66"/>
  <c r="AC347" i="66" s="1"/>
  <c r="R82" i="66"/>
  <c r="T82" i="66"/>
  <c r="Y82" i="66" s="1"/>
  <c r="P82" i="66"/>
  <c r="AC82" i="66" s="1"/>
  <c r="P613" i="66"/>
  <c r="AC613" i="66" s="1"/>
  <c r="R613" i="66"/>
  <c r="T613" i="66"/>
  <c r="Y613" i="66" s="1"/>
  <c r="T210" i="66"/>
  <c r="Y210" i="66" s="1"/>
  <c r="R210" i="66"/>
  <c r="P210" i="66"/>
  <c r="AC210" i="66" s="1"/>
  <c r="T67" i="66"/>
  <c r="Y67" i="66" s="1"/>
  <c r="R67" i="66"/>
  <c r="P67" i="66"/>
  <c r="AC67" i="66" s="1"/>
  <c r="T103" i="66"/>
  <c r="Y103" i="66" s="1"/>
  <c r="R103" i="66"/>
  <c r="P103" i="66"/>
  <c r="AC103" i="66" s="1"/>
  <c r="P20" i="66"/>
  <c r="AC20" i="66" s="1"/>
  <c r="R20" i="66"/>
  <c r="T20" i="66"/>
  <c r="Y20" i="66" s="1"/>
  <c r="P388" i="66"/>
  <c r="AC388" i="66" s="1"/>
  <c r="T388" i="66"/>
  <c r="Y388" i="66" s="1"/>
  <c r="R388" i="66"/>
  <c r="T425" i="66"/>
  <c r="Y425" i="66" s="1"/>
  <c r="P425" i="66"/>
  <c r="R23" i="66"/>
  <c r="T23" i="66"/>
  <c r="Y23" i="66" s="1"/>
  <c r="T625" i="66"/>
  <c r="Y625" i="66" s="1"/>
  <c r="R625" i="66"/>
  <c r="P867" i="66"/>
  <c r="AC867" i="66" s="1"/>
  <c r="T867" i="66"/>
  <c r="Y867" i="66" s="1"/>
  <c r="R867" i="66"/>
  <c r="T172" i="66"/>
  <c r="Y172" i="66" s="1"/>
  <c r="P172" i="66"/>
  <c r="AC172" i="66" s="1"/>
  <c r="R172" i="66"/>
  <c r="T46" i="66"/>
  <c r="Y46" i="66" s="1"/>
  <c r="R46" i="66"/>
  <c r="P46" i="66"/>
  <c r="AC46" i="66" s="1"/>
  <c r="P903" i="66"/>
  <c r="AC903" i="66" s="1"/>
  <c r="T903" i="66"/>
  <c r="Y903" i="66" s="1"/>
  <c r="R976" i="66"/>
  <c r="P976" i="66"/>
  <c r="AC976" i="66" s="1"/>
  <c r="R609" i="66"/>
  <c r="P609" i="66"/>
  <c r="AC609" i="66" s="1"/>
  <c r="R793" i="66"/>
  <c r="P793" i="66"/>
  <c r="AC793" i="66" s="1"/>
  <c r="P66" i="66"/>
  <c r="AC66" i="66" s="1"/>
  <c r="T66" i="66"/>
  <c r="Y66" i="66" s="1"/>
  <c r="T493" i="66"/>
  <c r="Y493" i="66" s="1"/>
  <c r="P493" i="66"/>
  <c r="AC493" i="66" s="1"/>
  <c r="P961" i="66"/>
  <c r="T961" i="66"/>
  <c r="Y961" i="66" s="1"/>
  <c r="R973" i="66"/>
  <c r="P973" i="66"/>
  <c r="AC973" i="66" s="1"/>
  <c r="P409" i="66"/>
  <c r="AC409" i="66" s="1"/>
  <c r="R409" i="66"/>
  <c r="T285" i="66"/>
  <c r="Y285" i="66" s="1"/>
  <c r="P285" i="66"/>
  <c r="AC285" i="66" s="1"/>
  <c r="P963" i="66"/>
  <c r="AC963" i="66" s="1"/>
  <c r="R963" i="66"/>
  <c r="R908" i="66"/>
  <c r="T908" i="66"/>
  <c r="Y908" i="66" s="1"/>
  <c r="R42" i="66"/>
  <c r="T42" i="66"/>
  <c r="Y42" i="66" s="1"/>
  <c r="T915" i="66"/>
  <c r="Y915" i="66" s="1"/>
  <c r="R915" i="66"/>
  <c r="P810" i="66"/>
  <c r="AC810" i="66" s="1"/>
  <c r="T810" i="66"/>
  <c r="Y810" i="66" s="1"/>
  <c r="T63" i="66"/>
  <c r="Y63" i="66" s="1"/>
  <c r="P63" i="66"/>
  <c r="AC63" i="66" s="1"/>
  <c r="R63" i="66"/>
  <c r="R868" i="66"/>
  <c r="P868" i="66"/>
  <c r="AC868" i="66" s="1"/>
  <c r="P1010" i="66"/>
  <c r="AC1010" i="66" s="1"/>
  <c r="R1010" i="66"/>
  <c r="T1010" i="66"/>
  <c r="Y1010" i="66" s="1"/>
  <c r="T699" i="66"/>
  <c r="Y699" i="66" s="1"/>
  <c r="R699" i="66"/>
  <c r="P699" i="66"/>
  <c r="AC699" i="66" s="1"/>
  <c r="T631" i="66"/>
  <c r="Y631" i="66" s="1"/>
  <c r="P631" i="66"/>
  <c r="AC631" i="66" s="1"/>
  <c r="R631" i="66"/>
  <c r="P32" i="66"/>
  <c r="T32" i="66"/>
  <c r="Y32" i="66" s="1"/>
  <c r="T143" i="66"/>
  <c r="Y143" i="66" s="1"/>
  <c r="R143" i="66"/>
  <c r="P143" i="66"/>
  <c r="AC143" i="66" s="1"/>
  <c r="T366" i="66"/>
  <c r="Y366" i="66" s="1"/>
  <c r="R366" i="66"/>
  <c r="P366" i="66"/>
  <c r="AC366" i="66" s="1"/>
  <c r="P500" i="66"/>
  <c r="AC500" i="66" s="1"/>
  <c r="R500" i="66"/>
  <c r="T500" i="66"/>
  <c r="Y500" i="66" s="1"/>
  <c r="P941" i="66"/>
  <c r="AC941" i="66" s="1"/>
  <c r="R941" i="66"/>
  <c r="T941" i="66"/>
  <c r="Y941" i="66" s="1"/>
  <c r="T641" i="66"/>
  <c r="Y641" i="66" s="1"/>
  <c r="P641" i="66"/>
  <c r="R313" i="66"/>
  <c r="T313" i="66"/>
  <c r="Y313" i="66" s="1"/>
  <c r="P313" i="66"/>
  <c r="AC313" i="66" s="1"/>
  <c r="T611" i="66"/>
  <c r="Y611" i="66" s="1"/>
  <c r="P611" i="66"/>
  <c r="T588" i="66"/>
  <c r="Y588" i="66" s="1"/>
  <c r="R588" i="66"/>
  <c r="P588" i="66"/>
  <c r="AC588" i="66" s="1"/>
  <c r="P328" i="66"/>
  <c r="AC328" i="66" s="1"/>
  <c r="R328" i="66"/>
  <c r="T328" i="66"/>
  <c r="Y328" i="66" s="1"/>
  <c r="R940" i="66"/>
  <c r="T940" i="66"/>
  <c r="Y940" i="66" s="1"/>
  <c r="P940" i="66"/>
  <c r="AC940" i="66" s="1"/>
  <c r="T377" i="66"/>
  <c r="Y377" i="66" s="1"/>
  <c r="P377" i="66"/>
  <c r="AC377" i="66" s="1"/>
  <c r="R377" i="66"/>
  <c r="T935" i="66"/>
  <c r="Y935" i="66" s="1"/>
  <c r="R935" i="66"/>
  <c r="P935" i="66"/>
  <c r="AC935" i="66" s="1"/>
  <c r="T482" i="66"/>
  <c r="Y482" i="66" s="1"/>
  <c r="P482" i="66"/>
  <c r="AC482" i="66" s="1"/>
  <c r="R482" i="66"/>
  <c r="T262" i="66"/>
  <c r="Y262" i="66" s="1"/>
  <c r="R262" i="66"/>
  <c r="P262" i="66"/>
  <c r="AC262" i="66" s="1"/>
  <c r="P382" i="66"/>
  <c r="T382" i="66"/>
  <c r="Y382" i="66" s="1"/>
  <c r="T83" i="66"/>
  <c r="Y83" i="66" s="1"/>
  <c r="R83" i="66"/>
  <c r="P83" i="66"/>
  <c r="AC83" i="66" s="1"/>
  <c r="T452" i="66"/>
  <c r="Y452" i="66" s="1"/>
  <c r="P452" i="66"/>
  <c r="AC452" i="66" s="1"/>
  <c r="R452" i="66"/>
  <c r="P927" i="66"/>
  <c r="T927" i="66"/>
  <c r="Y927" i="66" s="1"/>
  <c r="T488" i="66"/>
  <c r="Y488" i="66" s="1"/>
  <c r="P488" i="66"/>
  <c r="P971" i="66"/>
  <c r="AC971" i="66" s="1"/>
  <c r="R971" i="66"/>
  <c r="T971" i="66"/>
  <c r="Y971" i="66" s="1"/>
  <c r="T150" i="66"/>
  <c r="Y150" i="66" s="1"/>
  <c r="P150" i="66"/>
  <c r="AC150" i="66" s="1"/>
  <c r="R150" i="66"/>
  <c r="P983" i="66"/>
  <c r="AC983" i="66" s="1"/>
  <c r="T983" i="66"/>
  <c r="Y983" i="66" s="1"/>
  <c r="R983" i="66"/>
  <c r="T838" i="66"/>
  <c r="Y838" i="66" s="1"/>
  <c r="P838" i="66"/>
  <c r="AC838" i="66" s="1"/>
  <c r="R838" i="66"/>
  <c r="H73" i="93"/>
  <c r="K73" i="93" s="1"/>
  <c r="N73" i="93" s="1"/>
  <c r="E74" i="93"/>
  <c r="H627" i="103"/>
  <c r="I627" i="103" s="1"/>
  <c r="H307" i="103"/>
  <c r="I307" i="103" s="1"/>
  <c r="I2150" i="42"/>
  <c r="J2150" i="42" s="1"/>
  <c r="G16" i="85"/>
  <c r="T43" i="93"/>
  <c r="J1379" i="103"/>
  <c r="J891" i="103"/>
  <c r="J2071" i="98"/>
  <c r="J472" i="103"/>
  <c r="J357" i="103"/>
  <c r="J989" i="103"/>
  <c r="R715" i="66"/>
  <c r="R945" i="66"/>
  <c r="A171" i="12"/>
  <c r="K171" i="12"/>
  <c r="AC592" i="66"/>
  <c r="R592" i="66"/>
  <c r="K185" i="12"/>
  <c r="A185" i="12"/>
  <c r="AC243" i="66"/>
  <c r="R243" i="66"/>
  <c r="R888" i="66"/>
  <c r="R261" i="66"/>
  <c r="R462" i="66"/>
  <c r="R808" i="66"/>
  <c r="K99" i="12"/>
  <c r="A99" i="12"/>
  <c r="A154" i="12"/>
  <c r="K154" i="12"/>
  <c r="R787" i="66"/>
  <c r="R293" i="66"/>
  <c r="K90" i="12"/>
  <c r="A90" i="12"/>
  <c r="R282" i="66"/>
  <c r="R730" i="66"/>
  <c r="R960" i="66"/>
  <c r="B12" i="86"/>
  <c r="R513" i="66"/>
  <c r="R587" i="66"/>
  <c r="R767" i="66"/>
  <c r="R967" i="66"/>
  <c r="R428" i="66"/>
  <c r="AC428" i="66"/>
  <c r="R514" i="66"/>
  <c r="R166" i="66"/>
  <c r="R173" i="66"/>
  <c r="AC542" i="66"/>
  <c r="R542" i="66"/>
  <c r="R597" i="66"/>
  <c r="R875" i="66"/>
  <c r="AC875" i="66"/>
  <c r="R60" i="66"/>
  <c r="K3374" i="98"/>
  <c r="K3320" i="98"/>
  <c r="R742" i="66"/>
  <c r="AC742" i="66"/>
  <c r="R897" i="66"/>
  <c r="AC897" i="66"/>
  <c r="R958" i="66"/>
  <c r="H968" i="98"/>
  <c r="I968" i="98" s="1"/>
  <c r="I961" i="98" s="1"/>
  <c r="H920" i="98"/>
  <c r="I920" i="98" s="1"/>
  <c r="I913" i="98" s="1"/>
  <c r="H896" i="98"/>
  <c r="I896" i="98" s="1"/>
  <c r="I891" i="98" s="1"/>
  <c r="I221" i="42"/>
  <c r="J221" i="42" s="1"/>
  <c r="J215" i="42" s="1"/>
  <c r="K214" i="42" s="1"/>
  <c r="H2778" i="42"/>
  <c r="H2774" i="42"/>
  <c r="K907" i="103"/>
  <c r="K2549" i="98"/>
  <c r="K505" i="103"/>
  <c r="K606" i="103"/>
  <c r="I1790" i="42"/>
  <c r="J1790" i="42" s="1"/>
  <c r="J1786" i="42" s="1"/>
  <c r="K1785" i="42" s="1"/>
  <c r="J1836" i="42"/>
  <c r="L1828" i="42" s="1"/>
  <c r="AC767" i="66"/>
  <c r="H1123" i="98"/>
  <c r="I1123" i="98" s="1"/>
  <c r="P917" i="66"/>
  <c r="AC917" i="66" s="1"/>
  <c r="R917" i="66"/>
  <c r="T917" i="66"/>
  <c r="Y917" i="66" s="1"/>
  <c r="T386" i="66"/>
  <c r="Y386" i="66" s="1"/>
  <c r="R386" i="66"/>
  <c r="P386" i="66"/>
  <c r="AC386" i="66" s="1"/>
  <c r="P651" i="66"/>
  <c r="AC651" i="66" s="1"/>
  <c r="T651" i="66"/>
  <c r="Y651" i="66" s="1"/>
  <c r="R651" i="66"/>
  <c r="P438" i="66"/>
  <c r="AC438" i="66" s="1"/>
  <c r="R438" i="66"/>
  <c r="T438" i="66"/>
  <c r="Y438" i="66" s="1"/>
  <c r="T249" i="66"/>
  <c r="Y249" i="66" s="1"/>
  <c r="P249" i="66"/>
  <c r="T403" i="66"/>
  <c r="Y403" i="66" s="1"/>
  <c r="P403" i="66"/>
  <c r="AC403" i="66" s="1"/>
  <c r="R403" i="66"/>
  <c r="P839" i="66"/>
  <c r="AC839" i="66" s="1"/>
  <c r="R839" i="66"/>
  <c r="T839" i="66"/>
  <c r="Y839" i="66" s="1"/>
  <c r="T81" i="66"/>
  <c r="Y81" i="66" s="1"/>
  <c r="R81" i="66"/>
  <c r="P81" i="66"/>
  <c r="AC81" i="66" s="1"/>
  <c r="P467" i="66"/>
  <c r="AC467" i="66" s="1"/>
  <c r="R467" i="66"/>
  <c r="T467" i="66"/>
  <c r="Y467" i="66" s="1"/>
  <c r="P829" i="66"/>
  <c r="AC829" i="66" s="1"/>
  <c r="T829" i="66"/>
  <c r="Y829" i="66" s="1"/>
  <c r="R829" i="66"/>
  <c r="T847" i="66"/>
  <c r="Y847" i="66" s="1"/>
  <c r="P847" i="66"/>
  <c r="AC847" i="66" s="1"/>
  <c r="R847" i="66"/>
  <c r="P417" i="66"/>
  <c r="AC417" i="66" s="1"/>
  <c r="R417" i="66"/>
  <c r="T417" i="66"/>
  <c r="Y417" i="66" s="1"/>
  <c r="T806" i="66"/>
  <c r="Y806" i="66" s="1"/>
  <c r="P806" i="66"/>
  <c r="AC806" i="66" s="1"/>
  <c r="R806" i="66"/>
  <c r="P269" i="66"/>
  <c r="AC269" i="66" s="1"/>
  <c r="R269" i="66"/>
  <c r="T269" i="66"/>
  <c r="Y269" i="66" s="1"/>
  <c r="T220" i="66"/>
  <c r="Y220" i="66" s="1"/>
  <c r="R220" i="66"/>
  <c r="P220" i="66"/>
  <c r="AC220" i="66" s="1"/>
  <c r="T898" i="66"/>
  <c r="Y898" i="66" s="1"/>
  <c r="P898" i="66"/>
  <c r="AC898" i="66" s="1"/>
  <c r="R898" i="66"/>
  <c r="R334" i="66"/>
  <c r="P334" i="66"/>
  <c r="AC334" i="66" s="1"/>
  <c r="T334" i="66"/>
  <c r="Y334" i="66" s="1"/>
  <c r="T669" i="66"/>
  <c r="Y669" i="66" s="1"/>
  <c r="P669" i="66"/>
  <c r="AC669" i="66" s="1"/>
  <c r="R669" i="66"/>
  <c r="T122" i="66"/>
  <c r="Y122" i="66" s="1"/>
  <c r="P122" i="66"/>
  <c r="T259" i="66"/>
  <c r="Y259" i="66" s="1"/>
  <c r="R259" i="66"/>
  <c r="P259" i="66"/>
  <c r="AC259" i="66" s="1"/>
  <c r="P989" i="66"/>
  <c r="AC989" i="66" s="1"/>
  <c r="R989" i="66"/>
  <c r="T989" i="66"/>
  <c r="Y989" i="66" s="1"/>
  <c r="P607" i="66"/>
  <c r="AC607" i="66" s="1"/>
  <c r="R607" i="66"/>
  <c r="T607" i="66"/>
  <c r="Y607" i="66" s="1"/>
  <c r="P280" i="66"/>
  <c r="AC280" i="66" s="1"/>
  <c r="T280" i="66"/>
  <c r="Y280" i="66" s="1"/>
  <c r="R280" i="66"/>
  <c r="T353" i="66"/>
  <c r="Y353" i="66" s="1"/>
  <c r="R353" i="66"/>
  <c r="P353" i="66"/>
  <c r="AC353" i="66" s="1"/>
  <c r="P805" i="66"/>
  <c r="AC805" i="66" s="1"/>
  <c r="R805" i="66"/>
  <c r="T805" i="66"/>
  <c r="Y805" i="66" s="1"/>
  <c r="P763" i="66"/>
  <c r="AC763" i="66" s="1"/>
  <c r="T763" i="66"/>
  <c r="Y763" i="66" s="1"/>
  <c r="R763" i="66"/>
  <c r="T559" i="66"/>
  <c r="Y559" i="66" s="1"/>
  <c r="P559" i="66"/>
  <c r="H1151" i="98" s="1"/>
  <c r="I1151" i="98" s="1"/>
  <c r="T247" i="66"/>
  <c r="Y247" i="66" s="1"/>
  <c r="P247" i="66"/>
  <c r="H771" i="98" s="1"/>
  <c r="I771" i="98" s="1"/>
  <c r="I1007" i="42"/>
  <c r="J1007" i="42" s="1"/>
  <c r="J1003" i="42" s="1"/>
  <c r="K1002" i="42" s="1"/>
  <c r="AC787" i="66"/>
  <c r="AC282" i="66"/>
  <c r="AC924" i="66"/>
  <c r="I3248" i="42"/>
  <c r="J3248" i="42" s="1"/>
  <c r="H2624" i="98"/>
  <c r="I2624" i="98" s="1"/>
  <c r="I2191" i="42"/>
  <c r="J2191" i="42" s="1"/>
  <c r="I2124" i="42"/>
  <c r="J2124" i="42" s="1"/>
  <c r="H591" i="103"/>
  <c r="I591" i="103" s="1"/>
  <c r="I2185" i="42"/>
  <c r="J2185" i="42" s="1"/>
  <c r="H259" i="103"/>
  <c r="I259" i="103" s="1"/>
  <c r="I1379" i="42"/>
  <c r="J1379" i="42" s="1"/>
  <c r="H1974" i="98"/>
  <c r="I1974" i="98" s="1"/>
  <c r="I2178" i="42"/>
  <c r="J2178" i="42" s="1"/>
  <c r="AC709" i="66"/>
  <c r="I1453" i="42"/>
  <c r="J1453" i="42" s="1"/>
  <c r="H323" i="103"/>
  <c r="I323" i="103" s="1"/>
  <c r="H2129" i="98"/>
  <c r="I2129" i="98" s="1"/>
  <c r="H879" i="98"/>
  <c r="I879" i="98" s="1"/>
  <c r="H2079" i="98"/>
  <c r="I2079" i="98" s="1"/>
  <c r="I1430" i="42"/>
  <c r="J1430" i="42" s="1"/>
  <c r="I2944" i="42"/>
  <c r="J2944" i="42" s="1"/>
  <c r="I2957" i="42"/>
  <c r="J2957" i="42" s="1"/>
  <c r="H1111" i="103"/>
  <c r="I1111" i="103" s="1"/>
  <c r="I2244" i="42"/>
  <c r="J2244" i="42" s="1"/>
  <c r="H1090" i="103"/>
  <c r="I1090" i="103" s="1"/>
  <c r="I654" i="42"/>
  <c r="J654" i="42" s="1"/>
  <c r="R732" i="66"/>
  <c r="R432" i="66"/>
  <c r="AC432" i="66"/>
  <c r="I3314" i="42"/>
  <c r="J3314" i="42" s="1"/>
  <c r="AC889" i="66"/>
  <c r="I958" i="42"/>
  <c r="J958" i="42" s="1"/>
  <c r="J952" i="42" s="1"/>
  <c r="K951" i="42" s="1"/>
  <c r="I728" i="42"/>
  <c r="J728" i="42" s="1"/>
  <c r="J725" i="42" s="1"/>
  <c r="K724" i="42" s="1"/>
  <c r="AC32" i="66"/>
  <c r="AC967" i="66"/>
  <c r="R902" i="66"/>
  <c r="AC902" i="66"/>
  <c r="H44" i="93"/>
  <c r="K44" i="93" s="1"/>
  <c r="N44" i="93" s="1"/>
  <c r="E45" i="93"/>
  <c r="AC587" i="66"/>
  <c r="O18" i="86"/>
  <c r="N18" i="86"/>
  <c r="H1089" i="103"/>
  <c r="I1089" i="103" s="1"/>
  <c r="I2943" i="42"/>
  <c r="J2943" i="42" s="1"/>
  <c r="I2956" i="42"/>
  <c r="J2956" i="42" s="1"/>
  <c r="H1110" i="103"/>
  <c r="I1110" i="103" s="1"/>
  <c r="H2078" i="98"/>
  <c r="I2078" i="98" s="1"/>
  <c r="I2243" i="42"/>
  <c r="J2243" i="42" s="1"/>
  <c r="I1429" i="42"/>
  <c r="J1429" i="42" s="1"/>
  <c r="J338" i="103"/>
  <c r="AF52" i="58"/>
  <c r="AI52" i="58" s="1"/>
  <c r="AF49" i="58"/>
  <c r="AI49" i="58" s="1"/>
  <c r="AF43" i="58"/>
  <c r="AI43" i="58" s="1"/>
  <c r="I2714" i="98"/>
  <c r="I2715" i="98" s="1"/>
  <c r="AC514" i="66"/>
  <c r="I3038" i="98"/>
  <c r="I3039" i="98" s="1"/>
  <c r="AC597" i="66"/>
  <c r="I1357" i="103"/>
  <c r="I1358" i="103" s="1"/>
  <c r="I3157" i="98"/>
  <c r="I3158" i="98" s="1"/>
  <c r="AC888" i="66"/>
  <c r="D46" i="93"/>
  <c r="G45" i="93"/>
  <c r="J45" i="93" s="1"/>
  <c r="M45" i="93" s="1"/>
  <c r="I1674" i="98"/>
  <c r="I1675" i="98" s="1"/>
  <c r="J959" i="103"/>
  <c r="R711" i="66"/>
  <c r="R87" i="66"/>
  <c r="AC87" i="66"/>
  <c r="R912" i="66"/>
  <c r="AC912" i="66"/>
  <c r="R672" i="66"/>
  <c r="R678" i="66"/>
  <c r="AC678" i="66"/>
  <c r="R174" i="66"/>
  <c r="R426" i="66"/>
  <c r="AC426" i="66"/>
  <c r="AC273" i="66"/>
  <c r="R273" i="66"/>
  <c r="R879" i="66"/>
  <c r="R986" i="66"/>
  <c r="R466" i="66"/>
  <c r="R1001" i="66"/>
  <c r="AC1001" i="66"/>
  <c r="R995" i="66"/>
  <c r="A280" i="12"/>
  <c r="R942" i="66"/>
  <c r="R900" i="66"/>
  <c r="R904" i="66"/>
  <c r="R37" i="66"/>
  <c r="K132" i="12"/>
  <c r="A132" i="12"/>
  <c r="AE31" i="58"/>
  <c r="I399" i="42"/>
  <c r="J399" i="42" s="1"/>
  <c r="J396" i="42" s="1"/>
  <c r="K395" i="42" s="1"/>
  <c r="I408" i="42"/>
  <c r="J408" i="42" s="1"/>
  <c r="J405" i="42" s="1"/>
  <c r="K404" i="42" s="1"/>
  <c r="AC904" i="66"/>
  <c r="B13" i="86"/>
  <c r="G12" i="96"/>
  <c r="G15" i="86"/>
  <c r="G15" i="96"/>
  <c r="G19" i="86"/>
  <c r="G9" i="86"/>
  <c r="D8" i="86"/>
  <c r="D15" i="86"/>
  <c r="E19" i="86"/>
  <c r="E8" i="86"/>
  <c r="F15" i="96"/>
  <c r="I8" i="86"/>
  <c r="F12" i="96"/>
  <c r="E17" i="96"/>
  <c r="K19" i="86"/>
  <c r="N19" i="86" s="1"/>
  <c r="D9" i="86"/>
  <c r="E12" i="96"/>
  <c r="J17" i="96"/>
  <c r="M17" i="96" s="1"/>
  <c r="D15" i="96"/>
  <c r="E9" i="86"/>
  <c r="I12" i="49"/>
  <c r="G13" i="86"/>
  <c r="E13" i="86"/>
  <c r="D12" i="96"/>
  <c r="D17" i="96"/>
  <c r="G14" i="96"/>
  <c r="F18" i="96"/>
  <c r="D11" i="86"/>
  <c r="J11" i="49"/>
  <c r="G14" i="49"/>
  <c r="J9" i="86"/>
  <c r="M9" i="86" s="1"/>
  <c r="F14" i="96"/>
  <c r="J8" i="86"/>
  <c r="M8" i="86" s="1"/>
  <c r="G8" i="86"/>
  <c r="F12" i="86"/>
  <c r="K11" i="86"/>
  <c r="N11" i="86" s="1"/>
  <c r="G13" i="49"/>
  <c r="F13" i="86"/>
  <c r="K20" i="86"/>
  <c r="N20" i="86" s="1"/>
  <c r="D18" i="96"/>
  <c r="J12" i="49"/>
  <c r="G11" i="49"/>
  <c r="E11" i="86"/>
  <c r="J14" i="49"/>
  <c r="K17" i="96"/>
  <c r="N17" i="96" s="1"/>
  <c r="E18" i="96"/>
  <c r="G11" i="86"/>
  <c r="I14" i="49"/>
  <c r="I13" i="49"/>
  <c r="K13" i="86"/>
  <c r="N13" i="86" s="1"/>
  <c r="J18" i="96"/>
  <c r="M18" i="96" s="1"/>
  <c r="J12" i="96"/>
  <c r="M12" i="96" s="1"/>
  <c r="J14" i="96"/>
  <c r="M14" i="96" s="1"/>
  <c r="K12" i="86"/>
  <c r="N12" i="86" s="1"/>
  <c r="K9" i="86"/>
  <c r="N9" i="86" s="1"/>
  <c r="E16" i="96"/>
  <c r="F16" i="96"/>
  <c r="J16" i="96"/>
  <c r="F8" i="86"/>
  <c r="F15" i="86"/>
  <c r="D20" i="86"/>
  <c r="E15" i="96"/>
  <c r="J20" i="86"/>
  <c r="M20" i="86" s="1"/>
  <c r="D13" i="86"/>
  <c r="K15" i="86"/>
  <c r="N15" i="86" s="1"/>
  <c r="E20" i="86"/>
  <c r="I12" i="86"/>
  <c r="K14" i="49"/>
  <c r="I15" i="86"/>
  <c r="G18" i="96"/>
  <c r="J15" i="96"/>
  <c r="M15" i="96" s="1"/>
  <c r="D14" i="96"/>
  <c r="D19" i="86"/>
  <c r="I13" i="86"/>
  <c r="F9" i="86"/>
  <c r="G12" i="86"/>
  <c r="I20" i="86"/>
  <c r="D16" i="96"/>
  <c r="J19" i="86"/>
  <c r="M19" i="86" s="1"/>
  <c r="D12" i="86"/>
  <c r="I9" i="86"/>
  <c r="E15" i="86"/>
  <c r="F11" i="86"/>
  <c r="F17" i="96"/>
  <c r="I19" i="86"/>
  <c r="J15" i="86"/>
  <c r="M15" i="86" s="1"/>
  <c r="I17" i="96"/>
  <c r="G20" i="86"/>
  <c r="I11" i="86"/>
  <c r="E12" i="86"/>
  <c r="G12" i="49"/>
  <c r="I11" i="49"/>
  <c r="K8" i="86"/>
  <c r="N8" i="86" s="1"/>
  <c r="G16" i="96"/>
  <c r="F20" i="86"/>
  <c r="E14" i="96"/>
  <c r="G17" i="96"/>
  <c r="J13" i="86"/>
  <c r="M13" i="86" s="1"/>
  <c r="K13" i="49"/>
  <c r="AE78" i="58" s="1"/>
  <c r="AI75" i="58" s="1"/>
  <c r="K12" i="96"/>
  <c r="N12" i="96" s="1"/>
  <c r="R507" i="66"/>
  <c r="R427" i="66"/>
  <c r="R113" i="66"/>
  <c r="R525" i="66"/>
  <c r="R326" i="66"/>
  <c r="AC326" i="66"/>
  <c r="R630" i="66"/>
  <c r="R1004" i="66"/>
  <c r="R923" i="66"/>
  <c r="AC923" i="66"/>
  <c r="R674" i="66"/>
  <c r="R459" i="66"/>
  <c r="AC459" i="66"/>
  <c r="R700" i="66"/>
  <c r="AC61" i="66"/>
  <c r="R61" i="66"/>
  <c r="H31" i="93"/>
  <c r="K31" i="93" s="1"/>
  <c r="N31" i="93" s="1"/>
  <c r="E32" i="93"/>
  <c r="K1183" i="98"/>
  <c r="K1721" i="98"/>
  <c r="K1643" i="98"/>
  <c r="K306" i="98"/>
  <c r="K1225" i="98"/>
  <c r="K2881" i="98"/>
  <c r="K921" i="103"/>
  <c r="K425" i="103"/>
  <c r="R927" i="66"/>
  <c r="H942" i="98"/>
  <c r="I942" i="98" s="1"/>
  <c r="I937" i="98" s="1"/>
  <c r="I1464" i="42"/>
  <c r="J1464" i="42" s="1"/>
  <c r="J1460" i="42" s="1"/>
  <c r="K1459" i="42" s="1"/>
  <c r="I2041" i="42"/>
  <c r="J2041" i="42" s="1"/>
  <c r="J2037" i="42" s="1"/>
  <c r="K2036" i="42" s="1"/>
  <c r="H3014" i="98"/>
  <c r="I3014" i="98" s="1"/>
  <c r="J2771" i="42"/>
  <c r="K45" i="98"/>
  <c r="K754" i="103"/>
  <c r="K2562" i="98"/>
  <c r="I2564" i="98"/>
  <c r="I2565" i="98" s="1"/>
  <c r="I3339" i="98"/>
  <c r="K3333" i="98" s="1"/>
  <c r="J2772" i="42"/>
  <c r="AC630" i="66"/>
  <c r="P991" i="66"/>
  <c r="AC991" i="66" s="1"/>
  <c r="R991" i="66"/>
  <c r="T991" i="66"/>
  <c r="Y991" i="66" s="1"/>
  <c r="P211" i="66"/>
  <c r="AC211" i="66" s="1"/>
  <c r="R211" i="66"/>
  <c r="T211" i="66"/>
  <c r="Y211" i="66" s="1"/>
  <c r="P178" i="66"/>
  <c r="AC178" i="66" s="1"/>
  <c r="T178" i="66"/>
  <c r="Y178" i="66" s="1"/>
  <c r="R178" i="66"/>
  <c r="T461" i="66"/>
  <c r="Y461" i="66" s="1"/>
  <c r="P461" i="66"/>
  <c r="AC461" i="66" s="1"/>
  <c r="R461" i="66"/>
  <c r="P689" i="66"/>
  <c r="AC689" i="66" s="1"/>
  <c r="R689" i="66"/>
  <c r="T689" i="66"/>
  <c r="Y689" i="66" s="1"/>
  <c r="P831" i="66"/>
  <c r="AC831" i="66" s="1"/>
  <c r="T831" i="66"/>
  <c r="Y831" i="66" s="1"/>
  <c r="R831" i="66"/>
  <c r="R578" i="66"/>
  <c r="P578" i="66"/>
  <c r="AC578" i="66" s="1"/>
  <c r="T578" i="66"/>
  <c r="Y578" i="66" s="1"/>
  <c r="P993" i="66"/>
  <c r="AC993" i="66" s="1"/>
  <c r="R993" i="66"/>
  <c r="T993" i="66"/>
  <c r="Y993" i="66" s="1"/>
  <c r="T570" i="66"/>
  <c r="Y570" i="66" s="1"/>
  <c r="P570" i="66"/>
  <c r="AC570" i="66" s="1"/>
  <c r="R570" i="66"/>
  <c r="T535" i="66"/>
  <c r="Y535" i="66" s="1"/>
  <c r="P535" i="66"/>
  <c r="P895" i="66"/>
  <c r="H3402" i="98" s="1"/>
  <c r="I3402" i="98" s="1"/>
  <c r="T895" i="66"/>
  <c r="Y895" i="66" s="1"/>
  <c r="R895" i="66"/>
  <c r="P634" i="66"/>
  <c r="AC634" i="66" s="1"/>
  <c r="R634" i="66"/>
  <c r="T634" i="66"/>
  <c r="Y634" i="66" s="1"/>
  <c r="P34" i="66"/>
  <c r="AC34" i="66" s="1"/>
  <c r="R34" i="66"/>
  <c r="T34" i="66"/>
  <c r="Y34" i="66" s="1"/>
  <c r="R318" i="66"/>
  <c r="P318" i="66"/>
  <c r="AC318" i="66" s="1"/>
  <c r="T318" i="66"/>
  <c r="Y318" i="66" s="1"/>
  <c r="P381" i="66"/>
  <c r="H2097" i="98" s="1"/>
  <c r="T381" i="66"/>
  <c r="Y381" i="66" s="1"/>
  <c r="P116" i="66"/>
  <c r="T116" i="66"/>
  <c r="Y116" i="66" s="1"/>
  <c r="P244" i="66"/>
  <c r="AC244" i="66" s="1"/>
  <c r="R244" i="66"/>
  <c r="T244" i="66"/>
  <c r="Y244" i="66" s="1"/>
  <c r="P415" i="66"/>
  <c r="AC415" i="66" s="1"/>
  <c r="R415" i="66"/>
  <c r="T415" i="66"/>
  <c r="Y415" i="66" s="1"/>
  <c r="T791" i="66"/>
  <c r="Y791" i="66" s="1"/>
  <c r="R791" i="66"/>
  <c r="P791" i="66"/>
  <c r="AC791" i="66" s="1"/>
  <c r="P759" i="66"/>
  <c r="AC759" i="66" s="1"/>
  <c r="R759" i="66"/>
  <c r="T759" i="66"/>
  <c r="Y759" i="66" s="1"/>
  <c r="P29" i="66"/>
  <c r="T29" i="66"/>
  <c r="Y29" i="66" s="1"/>
  <c r="T948" i="66"/>
  <c r="Y948" i="66" s="1"/>
  <c r="P948" i="66"/>
  <c r="AC948" i="66" s="1"/>
  <c r="R948" i="66"/>
  <c r="P36" i="66"/>
  <c r="AC36" i="66" s="1"/>
  <c r="R36" i="66"/>
  <c r="T36" i="66"/>
  <c r="Y36" i="66" s="1"/>
  <c r="P533" i="66"/>
  <c r="AC533" i="66" s="1"/>
  <c r="R533" i="66"/>
  <c r="T533" i="66"/>
  <c r="Y533" i="66" s="1"/>
  <c r="R693" i="66"/>
  <c r="P693" i="66"/>
  <c r="AC693" i="66" s="1"/>
  <c r="T693" i="66"/>
  <c r="Y693" i="66" s="1"/>
  <c r="P379" i="66"/>
  <c r="AC379" i="66" s="1"/>
  <c r="R379" i="66"/>
  <c r="T379" i="66"/>
  <c r="Y379" i="66" s="1"/>
  <c r="P408" i="66"/>
  <c r="AC408" i="66" s="1"/>
  <c r="R408" i="66"/>
  <c r="T408" i="66"/>
  <c r="Y408" i="66" s="1"/>
  <c r="P279" i="66"/>
  <c r="AC279" i="66" s="1"/>
  <c r="T279" i="66"/>
  <c r="Y279" i="66" s="1"/>
  <c r="R279" i="66"/>
  <c r="AC166" i="66"/>
  <c r="A1" i="102"/>
  <c r="A1" i="12"/>
  <c r="H1214" i="98"/>
  <c r="I1214" i="98" s="1"/>
  <c r="I1212" i="98" s="1"/>
  <c r="AC921" i="66"/>
  <c r="I3245" i="42"/>
  <c r="J3245" i="42" s="1"/>
  <c r="H1277" i="98"/>
  <c r="I1277" i="98" s="1"/>
  <c r="H974" i="98"/>
  <c r="I974" i="98" s="1"/>
  <c r="H2265" i="98"/>
  <c r="I2265" i="98" s="1"/>
  <c r="H947" i="98"/>
  <c r="I947" i="98" s="1"/>
  <c r="I613" i="42"/>
  <c r="J613" i="42" s="1"/>
  <c r="I544" i="42"/>
  <c r="J544" i="42" s="1"/>
  <c r="I626" i="42"/>
  <c r="J626" i="42" s="1"/>
  <c r="I98" i="42"/>
  <c r="J98" i="42" s="1"/>
  <c r="I2508" i="42"/>
  <c r="J2508" i="42" s="1"/>
  <c r="H901" i="98"/>
  <c r="I901" i="98" s="1"/>
  <c r="H833" i="98"/>
  <c r="I833" i="98" s="1"/>
  <c r="I1585" i="42"/>
  <c r="J1585" i="42" s="1"/>
  <c r="I868" i="42"/>
  <c r="J868" i="42" s="1"/>
  <c r="I580" i="42"/>
  <c r="J580" i="42" s="1"/>
  <c r="I667" i="42"/>
  <c r="J667" i="42" s="1"/>
  <c r="I685" i="42"/>
  <c r="J685" i="42" s="1"/>
  <c r="R961" i="66"/>
  <c r="R709" i="66"/>
  <c r="AC732" i="66"/>
  <c r="A12" i="42"/>
  <c r="I692" i="42"/>
  <c r="J692" i="42" s="1"/>
  <c r="J689" i="42" s="1"/>
  <c r="K688" i="42" s="1"/>
  <c r="I709" i="42"/>
  <c r="J709" i="42" s="1"/>
  <c r="J706" i="42" s="1"/>
  <c r="K705" i="42" s="1"/>
  <c r="AC730" i="66"/>
  <c r="AC808" i="66"/>
  <c r="AC293" i="66"/>
  <c r="H1434" i="103"/>
  <c r="I1434" i="103" s="1"/>
  <c r="H2002" i="98"/>
  <c r="I2002" i="98" s="1"/>
  <c r="H287" i="103"/>
  <c r="I287" i="103" s="1"/>
  <c r="I1389" i="42"/>
  <c r="J1389" i="42" s="1"/>
  <c r="I3191" i="42"/>
  <c r="J3191" i="42" s="1"/>
  <c r="H641" i="103"/>
  <c r="I641" i="103" s="1"/>
  <c r="I2155" i="42"/>
  <c r="J2155" i="42" s="1"/>
  <c r="H3262" i="98"/>
  <c r="I3262" i="98" s="1"/>
  <c r="K3258" i="98" s="1"/>
  <c r="H3187" i="98"/>
  <c r="I3187" i="98" s="1"/>
  <c r="K3180" i="98" s="1"/>
  <c r="H2491" i="98"/>
  <c r="I2491" i="98" s="1"/>
  <c r="K2486" i="98" s="1"/>
  <c r="H1891" i="98"/>
  <c r="I1891" i="98" s="1"/>
  <c r="K1885" i="98" s="1"/>
  <c r="H1788" i="98"/>
  <c r="I1788" i="98" s="1"/>
  <c r="K1784" i="98" s="1"/>
  <c r="H1601" i="98"/>
  <c r="I1601" i="98" s="1"/>
  <c r="K1597" i="98" s="1"/>
  <c r="H1469" i="98"/>
  <c r="I1469" i="98" s="1"/>
  <c r="K1464" i="98" s="1"/>
  <c r="H565" i="98"/>
  <c r="I565" i="98" s="1"/>
  <c r="K560" i="98" s="1"/>
  <c r="H421" i="98"/>
  <c r="I421" i="98" s="1"/>
  <c r="K416" i="98" s="1"/>
  <c r="I140" i="98"/>
  <c r="H1859" i="98"/>
  <c r="I1859" i="98" s="1"/>
  <c r="K1854" i="98" s="1"/>
  <c r="H1545" i="98"/>
  <c r="I1545" i="98" s="1"/>
  <c r="K1540" i="98" s="1"/>
  <c r="H1917" i="98"/>
  <c r="I1917" i="98" s="1"/>
  <c r="K1912" i="98" s="1"/>
  <c r="H1738" i="98"/>
  <c r="I1738" i="98" s="1"/>
  <c r="H1416" i="98"/>
  <c r="I1416" i="98" s="1"/>
  <c r="K1412" i="98" s="1"/>
  <c r="H583" i="98"/>
  <c r="I583" i="98" s="1"/>
  <c r="K578" i="98" s="1"/>
  <c r="H263" i="98"/>
  <c r="I263" i="98" s="1"/>
  <c r="K257" i="98" s="1"/>
  <c r="H2687" i="98"/>
  <c r="I2687" i="98" s="1"/>
  <c r="K2684" i="98" s="1"/>
  <c r="H2151" i="98"/>
  <c r="I2151" i="98" s="1"/>
  <c r="K2144" i="98" s="1"/>
  <c r="H1844" i="98"/>
  <c r="I1844" i="98" s="1"/>
  <c r="K1839" i="98" s="1"/>
  <c r="H1525" i="98"/>
  <c r="I1525" i="98" s="1"/>
  <c r="K1520" i="98" s="1"/>
  <c r="H1354" i="98"/>
  <c r="I1354" i="98" s="1"/>
  <c r="H513" i="98"/>
  <c r="I513" i="98" s="1"/>
  <c r="K509" i="98" s="1"/>
  <c r="H1947" i="98"/>
  <c r="I1947" i="98" s="1"/>
  <c r="K1943" i="98" s="1"/>
  <c r="H1452" i="98"/>
  <c r="I1452" i="98" s="1"/>
  <c r="K1448" i="98" s="1"/>
  <c r="H2019" i="98"/>
  <c r="I2019" i="98" s="1"/>
  <c r="K2015" i="98" s="1"/>
  <c r="H1507" i="98"/>
  <c r="I1507" i="98" s="1"/>
  <c r="K1503" i="98" s="1"/>
  <c r="H497" i="98"/>
  <c r="I497" i="98" s="1"/>
  <c r="K493" i="98" s="1"/>
  <c r="H3204" i="98"/>
  <c r="I3204" i="98" s="1"/>
  <c r="K3200" i="98" s="1"/>
  <c r="H2988" i="98"/>
  <c r="I2988" i="98" s="1"/>
  <c r="K2983" i="98" s="1"/>
  <c r="H2644" i="98"/>
  <c r="I2644" i="98" s="1"/>
  <c r="K2639" i="98" s="1"/>
  <c r="H1931" i="98"/>
  <c r="I1931" i="98" s="1"/>
  <c r="H1752" i="98"/>
  <c r="I1752" i="98" s="1"/>
  <c r="K1748" i="98" s="1"/>
  <c r="H1435" i="98"/>
  <c r="I1435" i="98" s="1"/>
  <c r="K1430" i="98" s="1"/>
  <c r="H601" i="98"/>
  <c r="I601" i="98" s="1"/>
  <c r="K596" i="98" s="1"/>
  <c r="H1771" i="98"/>
  <c r="I1771" i="98" s="1"/>
  <c r="K1766" i="98" s="1"/>
  <c r="H651" i="98"/>
  <c r="I651" i="98" s="1"/>
  <c r="K645" i="98" s="1"/>
  <c r="H665" i="98"/>
  <c r="I665" i="98" s="1"/>
  <c r="K661" i="98" s="1"/>
  <c r="H11" i="98"/>
  <c r="AC927" i="66"/>
  <c r="AC995" i="66"/>
  <c r="H295" i="98"/>
  <c r="I295" i="98" s="1"/>
  <c r="I278" i="42"/>
  <c r="J278" i="42" s="1"/>
  <c r="I288" i="42"/>
  <c r="J288" i="42" s="1"/>
  <c r="I1793" i="42"/>
  <c r="J1793" i="42" s="1"/>
  <c r="H333" i="98"/>
  <c r="I333" i="98" s="1"/>
  <c r="I1803" i="42"/>
  <c r="J1803" i="42" s="1"/>
  <c r="I258" i="42"/>
  <c r="J258" i="42" s="1"/>
  <c r="I248" i="42"/>
  <c r="J248" i="42" s="1"/>
  <c r="J1885" i="98"/>
  <c r="AC1020" i="66"/>
  <c r="J1955" i="42"/>
  <c r="L1954" i="42" s="1"/>
  <c r="AC513" i="66"/>
  <c r="AC961" i="66"/>
  <c r="AC1018" i="66"/>
  <c r="I2774" i="98"/>
  <c r="I2762" i="98"/>
  <c r="I2763" i="98" s="1"/>
  <c r="I2764" i="98" s="1"/>
  <c r="AC900" i="66"/>
  <c r="AC879" i="66"/>
  <c r="J2733" i="98" l="1"/>
  <c r="I2736" i="98"/>
  <c r="I2737" i="98" s="1"/>
  <c r="I2738" i="98" s="1"/>
  <c r="G73" i="93"/>
  <c r="D74" i="93"/>
  <c r="J73" i="93"/>
  <c r="M73" i="93" s="1"/>
  <c r="T73" i="93" s="1"/>
  <c r="E119" i="99"/>
  <c r="E257" i="99"/>
  <c r="E261" i="99"/>
  <c r="F261" i="99" s="1"/>
  <c r="E258" i="99"/>
  <c r="F258" i="99" s="1"/>
  <c r="E255" i="99"/>
  <c r="F255" i="99" s="1"/>
  <c r="E262" i="99"/>
  <c r="F262" i="99" s="1"/>
  <c r="E254" i="99"/>
  <c r="F254" i="99" s="1"/>
  <c r="E259" i="99"/>
  <c r="F259" i="99" s="1"/>
  <c r="E256" i="99"/>
  <c r="F256" i="99" s="1"/>
  <c r="E253" i="99"/>
  <c r="F253" i="99" s="1"/>
  <c r="E260" i="99"/>
  <c r="F260" i="99" s="1"/>
  <c r="E252" i="99"/>
  <c r="F252" i="99" s="1"/>
  <c r="J1200" i="103"/>
  <c r="I1203" i="103"/>
  <c r="I1204" i="103" s="1"/>
  <c r="I1205" i="103" s="1"/>
  <c r="I1206" i="103" s="1"/>
  <c r="I11" i="98"/>
  <c r="K7" i="98" s="1"/>
  <c r="F12" i="104"/>
  <c r="H19" i="104"/>
  <c r="H22" i="104"/>
  <c r="H20" i="104"/>
  <c r="H24" i="104"/>
  <c r="H21" i="104"/>
  <c r="H25" i="104"/>
  <c r="H23" i="104"/>
  <c r="I2595" i="98"/>
  <c r="I2596" i="98" s="1"/>
  <c r="I2597" i="98" s="1"/>
  <c r="I2598" i="98" s="1"/>
  <c r="I2599" i="98" s="1"/>
  <c r="I2600" i="98" s="1"/>
  <c r="I2601" i="98" s="1"/>
  <c r="H140" i="12"/>
  <c r="I140" i="12" s="1"/>
  <c r="H128" i="102"/>
  <c r="I128" i="102" s="1"/>
  <c r="I1230" i="98"/>
  <c r="I1231" i="98" s="1"/>
  <c r="I1232" i="98" s="1"/>
  <c r="I1233" i="98" s="1"/>
  <c r="I2791" i="98"/>
  <c r="I2792" i="98" s="1"/>
  <c r="I2609" i="98"/>
  <c r="I2610" i="98" s="1"/>
  <c r="I2611" i="98" s="1"/>
  <c r="I2612" i="98" s="1"/>
  <c r="I2613" i="98" s="1"/>
  <c r="I2614" i="98" s="1"/>
  <c r="I2615" i="98" s="1"/>
  <c r="I415" i="42"/>
  <c r="J415" i="42" s="1"/>
  <c r="I416" i="42" s="1"/>
  <c r="J416" i="42" s="1"/>
  <c r="J414" i="42" s="1"/>
  <c r="K413" i="42" s="1"/>
  <c r="I1399" i="98"/>
  <c r="I1198" i="98"/>
  <c r="H1090" i="98"/>
  <c r="I1090" i="98" s="1"/>
  <c r="H1091" i="98" s="1"/>
  <c r="I1091" i="98" s="1"/>
  <c r="I1085" i="98" s="1"/>
  <c r="J1084" i="98" s="1"/>
  <c r="H1108" i="98"/>
  <c r="I1108" i="98" s="1"/>
  <c r="H1109" i="98" s="1"/>
  <c r="I1109" i="98" s="1"/>
  <c r="I1103" i="98" s="1"/>
  <c r="J1102" i="98" s="1"/>
  <c r="I1240" i="98"/>
  <c r="I1184" i="98"/>
  <c r="I1188" i="98" s="1"/>
  <c r="I1189" i="98" s="1"/>
  <c r="I1190" i="98" s="1"/>
  <c r="H558" i="103"/>
  <c r="I558" i="103" s="1"/>
  <c r="H232" i="103"/>
  <c r="I232" i="103" s="1"/>
  <c r="H198" i="103"/>
  <c r="I198" i="103" s="1"/>
  <c r="K193" i="103" s="1"/>
  <c r="H12" i="103"/>
  <c r="I12" i="103" s="1"/>
  <c r="K7" i="103" s="1"/>
  <c r="AC191" i="66"/>
  <c r="H1388" i="98"/>
  <c r="I1388" i="98" s="1"/>
  <c r="H161" i="105"/>
  <c r="H162" i="105" s="1"/>
  <c r="H63" i="93"/>
  <c r="E64" i="93"/>
  <c r="K63" i="93"/>
  <c r="N63" i="93" s="1"/>
  <c r="G53" i="93"/>
  <c r="J53" i="93" s="1"/>
  <c r="M53" i="93" s="1"/>
  <c r="G20" i="85" s="1"/>
  <c r="D54" i="93"/>
  <c r="R147" i="66"/>
  <c r="T147" i="66"/>
  <c r="Y147" i="66" s="1"/>
  <c r="P147" i="66"/>
  <c r="AC147" i="66" s="1"/>
  <c r="R907" i="66"/>
  <c r="P907" i="66"/>
  <c r="AC907" i="66" s="1"/>
  <c r="T907" i="66"/>
  <c r="Y907" i="66" s="1"/>
  <c r="T272" i="66"/>
  <c r="Y272" i="66" s="1"/>
  <c r="P272" i="66"/>
  <c r="AC272" i="66" s="1"/>
  <c r="T506" i="66"/>
  <c r="Y506" i="66" s="1"/>
  <c r="R506" i="66"/>
  <c r="P506" i="66"/>
  <c r="AC506" i="66" s="1"/>
  <c r="P411" i="66"/>
  <c r="T411" i="66"/>
  <c r="Y411" i="66" s="1"/>
  <c r="P224" i="66"/>
  <c r="T224" i="66"/>
  <c r="Y224" i="66" s="1"/>
  <c r="R224" i="66"/>
  <c r="T100" i="66"/>
  <c r="Y100" i="66" s="1"/>
  <c r="P100" i="66"/>
  <c r="AC100" i="66" s="1"/>
  <c r="R100" i="66"/>
  <c r="P151" i="66"/>
  <c r="AC151" i="66" s="1"/>
  <c r="T151" i="66"/>
  <c r="Y151" i="66" s="1"/>
  <c r="R151" i="66"/>
  <c r="P206" i="66"/>
  <c r="AC206" i="66" s="1"/>
  <c r="R206" i="66"/>
  <c r="T206" i="66"/>
  <c r="Y206" i="66" s="1"/>
  <c r="T909" i="66"/>
  <c r="Y909" i="66" s="1"/>
  <c r="R909" i="66"/>
  <c r="P909" i="66"/>
  <c r="AC909" i="66" s="1"/>
  <c r="P515" i="66"/>
  <c r="AC515" i="66" s="1"/>
  <c r="T515" i="66"/>
  <c r="Y515" i="66" s="1"/>
  <c r="R515" i="66"/>
  <c r="T125" i="66"/>
  <c r="Y125" i="66" s="1"/>
  <c r="R125" i="66"/>
  <c r="P125" i="66"/>
  <c r="AC125" i="66" s="1"/>
  <c r="P557" i="66"/>
  <c r="T557" i="66"/>
  <c r="Y557" i="66" s="1"/>
  <c r="T60" i="66"/>
  <c r="Y60" i="66" s="1"/>
  <c r="P60" i="66"/>
  <c r="AC60" i="66" s="1"/>
  <c r="T901" i="66"/>
  <c r="Y901" i="66" s="1"/>
  <c r="P901" i="66"/>
  <c r="AC901" i="66" s="1"/>
  <c r="R901" i="66"/>
  <c r="R161" i="66"/>
  <c r="T161" i="66"/>
  <c r="Y161" i="66" s="1"/>
  <c r="P161" i="66"/>
  <c r="AC161" i="66" s="1"/>
  <c r="R85" i="66"/>
  <c r="T85" i="66"/>
  <c r="Y85" i="66" s="1"/>
  <c r="P85" i="66"/>
  <c r="AC85" i="66" s="1"/>
  <c r="P744" i="66"/>
  <c r="AC744" i="66" s="1"/>
  <c r="R744" i="66"/>
  <c r="T744" i="66"/>
  <c r="Y744" i="66" s="1"/>
  <c r="R400" i="66"/>
  <c r="P400" i="66"/>
  <c r="AC400" i="66" s="1"/>
  <c r="T400" i="66"/>
  <c r="Y400" i="66" s="1"/>
  <c r="P195" i="66"/>
  <c r="AC195" i="66" s="1"/>
  <c r="T195" i="66"/>
  <c r="Y195" i="66" s="1"/>
  <c r="R195" i="66"/>
  <c r="P660" i="66"/>
  <c r="AC660" i="66" s="1"/>
  <c r="R660" i="66"/>
  <c r="T660" i="66"/>
  <c r="Y660" i="66" s="1"/>
  <c r="P757" i="66"/>
  <c r="T757" i="66"/>
  <c r="Y757" i="66" s="1"/>
  <c r="R885" i="66"/>
  <c r="T885" i="66"/>
  <c r="Y885" i="66" s="1"/>
  <c r="P885" i="66"/>
  <c r="AC885" i="66" s="1"/>
  <c r="P319" i="66"/>
  <c r="AC319" i="66" s="1"/>
  <c r="T319" i="66"/>
  <c r="Y319" i="66" s="1"/>
  <c r="R319" i="66"/>
  <c r="T553" i="66"/>
  <c r="Y553" i="66" s="1"/>
  <c r="P553" i="66"/>
  <c r="P474" i="66"/>
  <c r="AC474" i="66" s="1"/>
  <c r="R474" i="66"/>
  <c r="T474" i="66"/>
  <c r="Y474" i="66" s="1"/>
  <c r="T561" i="66"/>
  <c r="Y561" i="66" s="1"/>
  <c r="P561" i="66"/>
  <c r="AC561" i="66" s="1"/>
  <c r="R561" i="66"/>
  <c r="P522" i="66"/>
  <c r="AC522" i="66" s="1"/>
  <c r="T522" i="66"/>
  <c r="Y522" i="66" s="1"/>
  <c r="R522" i="66"/>
  <c r="T956" i="66"/>
  <c r="Y956" i="66" s="1"/>
  <c r="R956" i="66"/>
  <c r="P956" i="66"/>
  <c r="AC956" i="66" s="1"/>
  <c r="P98" i="66"/>
  <c r="T98" i="66"/>
  <c r="Y98" i="66" s="1"/>
  <c r="T1012" i="66"/>
  <c r="Y1012" i="66" s="1"/>
  <c r="R1012" i="66"/>
  <c r="P1012" i="66"/>
  <c r="AC1012" i="66" s="1"/>
  <c r="P799" i="66"/>
  <c r="AC799" i="66" s="1"/>
  <c r="R799" i="66"/>
  <c r="T799" i="66"/>
  <c r="Y799" i="66" s="1"/>
  <c r="P893" i="66"/>
  <c r="AC893" i="66" s="1"/>
  <c r="T893" i="66"/>
  <c r="Y893" i="66" s="1"/>
  <c r="R893" i="66"/>
  <c r="R701" i="66"/>
  <c r="P701" i="66"/>
  <c r="AC701" i="66" s="1"/>
  <c r="T701" i="66"/>
  <c r="Y701" i="66" s="1"/>
  <c r="P370" i="66"/>
  <c r="AC370" i="66" s="1"/>
  <c r="T370" i="66"/>
  <c r="Y370" i="66" s="1"/>
  <c r="R370" i="66"/>
  <c r="R916" i="66"/>
  <c r="P916" i="66"/>
  <c r="AC916" i="66" s="1"/>
  <c r="T916" i="66"/>
  <c r="Y916" i="66" s="1"/>
  <c r="R795" i="66"/>
  <c r="T795" i="66"/>
  <c r="Y795" i="66" s="1"/>
  <c r="P795" i="66"/>
  <c r="AC795" i="66" s="1"/>
  <c r="R489" i="66"/>
  <c r="P489" i="66"/>
  <c r="AC489" i="66" s="1"/>
  <c r="T489" i="66"/>
  <c r="Y489" i="66" s="1"/>
  <c r="R360" i="66"/>
  <c r="T360" i="66"/>
  <c r="Y360" i="66" s="1"/>
  <c r="P360" i="66"/>
  <c r="AC360" i="66" s="1"/>
  <c r="P268" i="66"/>
  <c r="AC268" i="66" s="1"/>
  <c r="T268" i="66"/>
  <c r="Y268" i="66" s="1"/>
  <c r="R268" i="66"/>
  <c r="R93" i="66"/>
  <c r="P93" i="66"/>
  <c r="AC93" i="66" s="1"/>
  <c r="T93" i="66"/>
  <c r="Y93" i="66" s="1"/>
  <c r="P160" i="66"/>
  <c r="AC160" i="66" s="1"/>
  <c r="T160" i="66"/>
  <c r="Y160" i="66" s="1"/>
  <c r="T700" i="66"/>
  <c r="Y700" i="66" s="1"/>
  <c r="P700" i="66"/>
  <c r="AC700" i="66" s="1"/>
  <c r="T113" i="66"/>
  <c r="Y113" i="66" s="1"/>
  <c r="P113" i="66"/>
  <c r="AC113" i="66" s="1"/>
  <c r="P985" i="66"/>
  <c r="AC985" i="66" s="1"/>
  <c r="R985" i="66"/>
  <c r="T985" i="66"/>
  <c r="Y985" i="66" s="1"/>
  <c r="P362" i="66"/>
  <c r="T362" i="66"/>
  <c r="Y362" i="66" s="1"/>
  <c r="T872" i="66"/>
  <c r="Y872" i="66" s="1"/>
  <c r="P872" i="66"/>
  <c r="AC872" i="66" s="1"/>
  <c r="R872" i="66"/>
  <c r="T702" i="66"/>
  <c r="Y702" i="66" s="1"/>
  <c r="R702" i="66"/>
  <c r="P702" i="66"/>
  <c r="AC702" i="66" s="1"/>
  <c r="R979" i="66"/>
  <c r="T979" i="66"/>
  <c r="Y979" i="66" s="1"/>
  <c r="P979" i="66"/>
  <c r="AC979" i="66" s="1"/>
  <c r="P336" i="66"/>
  <c r="AC336" i="66" s="1"/>
  <c r="R336" i="66"/>
  <c r="T336" i="66"/>
  <c r="Y336" i="66" s="1"/>
  <c r="R1013" i="66"/>
  <c r="P1013" i="66"/>
  <c r="AC1013" i="66" s="1"/>
  <c r="T1013" i="66"/>
  <c r="Y1013" i="66" s="1"/>
  <c r="P990" i="66"/>
  <c r="AC990" i="66" s="1"/>
  <c r="R990" i="66"/>
  <c r="T990" i="66"/>
  <c r="Y990" i="66" s="1"/>
  <c r="R891" i="66"/>
  <c r="P891" i="66"/>
  <c r="AC891" i="66" s="1"/>
  <c r="T891" i="66"/>
  <c r="Y891" i="66" s="1"/>
  <c r="T955" i="66"/>
  <c r="Y955" i="66" s="1"/>
  <c r="R955" i="66"/>
  <c r="P955" i="66"/>
  <c r="AC955" i="66" s="1"/>
  <c r="P28" i="66"/>
  <c r="T28" i="66"/>
  <c r="Y28" i="66" s="1"/>
  <c r="T466" i="66"/>
  <c r="Y466" i="66" s="1"/>
  <c r="P466" i="66"/>
  <c r="AC466" i="66" s="1"/>
  <c r="T463" i="66"/>
  <c r="Y463" i="66" s="1"/>
  <c r="P463" i="66"/>
  <c r="AC463" i="66" s="1"/>
  <c r="R463" i="66"/>
  <c r="T926" i="66"/>
  <c r="Y926" i="66" s="1"/>
  <c r="P926" i="66"/>
  <c r="AC926" i="66" s="1"/>
  <c r="R710" i="66"/>
  <c r="T710" i="66"/>
  <c r="Y710" i="66" s="1"/>
  <c r="P710" i="66"/>
  <c r="AC710" i="66" s="1"/>
  <c r="P1004" i="66"/>
  <c r="AC1004" i="66" s="1"/>
  <c r="T1004" i="66"/>
  <c r="Y1004" i="66" s="1"/>
  <c r="P180" i="66"/>
  <c r="AC180" i="66" s="1"/>
  <c r="T180" i="66"/>
  <c r="Y180" i="66" s="1"/>
  <c r="R180" i="66"/>
  <c r="P851" i="66"/>
  <c r="AC851" i="66" s="1"/>
  <c r="T851" i="66"/>
  <c r="Y851" i="66" s="1"/>
  <c r="R851" i="66"/>
  <c r="R187" i="66"/>
  <c r="P187" i="66"/>
  <c r="AC187" i="66" s="1"/>
  <c r="T187" i="66"/>
  <c r="Y187" i="66" s="1"/>
  <c r="R258" i="66"/>
  <c r="P258" i="66"/>
  <c r="AC258" i="66" s="1"/>
  <c r="T258" i="66"/>
  <c r="Y258" i="66" s="1"/>
  <c r="T960" i="66"/>
  <c r="Y960" i="66" s="1"/>
  <c r="P960" i="66"/>
  <c r="AC960" i="66" s="1"/>
  <c r="P341" i="66"/>
  <c r="AC341" i="66" s="1"/>
  <c r="R341" i="66"/>
  <c r="T341" i="66"/>
  <c r="Y341" i="66" s="1"/>
  <c r="T439" i="66"/>
  <c r="Y439" i="66" s="1"/>
  <c r="P439" i="66"/>
  <c r="AC439" i="66" s="1"/>
  <c r="R439" i="66"/>
  <c r="P410" i="66"/>
  <c r="T410" i="66"/>
  <c r="Y410" i="66" s="1"/>
  <c r="T363" i="66"/>
  <c r="Y363" i="66" s="1"/>
  <c r="P363" i="66"/>
  <c r="AC363" i="66" s="1"/>
  <c r="R363" i="66"/>
  <c r="T524" i="66"/>
  <c r="Y524" i="66" s="1"/>
  <c r="P524" i="66"/>
  <c r="AC524" i="66" s="1"/>
  <c r="R524" i="66"/>
  <c r="T270" i="66"/>
  <c r="Y270" i="66" s="1"/>
  <c r="P270" i="66"/>
  <c r="AC270" i="66" s="1"/>
  <c r="R270" i="66"/>
  <c r="P1007" i="66"/>
  <c r="AC1007" i="66" s="1"/>
  <c r="R1007" i="66"/>
  <c r="T1007" i="66"/>
  <c r="Y1007" i="66" s="1"/>
  <c r="T707" i="66"/>
  <c r="Y707" i="66" s="1"/>
  <c r="P707" i="66"/>
  <c r="AC707" i="66" s="1"/>
  <c r="R202" i="66"/>
  <c r="P202" i="66"/>
  <c r="AC202" i="66" s="1"/>
  <c r="T202" i="66"/>
  <c r="Y202" i="66" s="1"/>
  <c r="T635" i="66"/>
  <c r="Y635" i="66" s="1"/>
  <c r="P635" i="66"/>
  <c r="AC635" i="66" s="1"/>
  <c r="R635" i="66"/>
  <c r="T33" i="66"/>
  <c r="Y33" i="66" s="1"/>
  <c r="P33" i="66"/>
  <c r="AC33" i="66" s="1"/>
  <c r="R33" i="66"/>
  <c r="R658" i="66"/>
  <c r="P658" i="66"/>
  <c r="AC658" i="66" s="1"/>
  <c r="T658" i="66"/>
  <c r="Y658" i="66" s="1"/>
  <c r="P698" i="66"/>
  <c r="AC698" i="66" s="1"/>
  <c r="R698" i="66"/>
  <c r="T698" i="66"/>
  <c r="Y698" i="66" s="1"/>
  <c r="T188" i="66"/>
  <c r="Y188" i="66" s="1"/>
  <c r="R188" i="66"/>
  <c r="P188" i="66"/>
  <c r="AC188" i="66" s="1"/>
  <c r="P612" i="66"/>
  <c r="AC612" i="66" s="1"/>
  <c r="R612" i="66"/>
  <c r="T612" i="66"/>
  <c r="Y612" i="66" s="1"/>
  <c r="T958" i="66"/>
  <c r="Y958" i="66" s="1"/>
  <c r="P958" i="66"/>
  <c r="AC958" i="66" s="1"/>
  <c r="T276" i="66"/>
  <c r="Y276" i="66" s="1"/>
  <c r="P276" i="66"/>
  <c r="T27" i="66"/>
  <c r="Y27" i="66" s="1"/>
  <c r="R27" i="66"/>
  <c r="P27" i="66"/>
  <c r="AC27" i="66" s="1"/>
  <c r="P604" i="66"/>
  <c r="AC604" i="66" s="1"/>
  <c r="R604" i="66"/>
  <c r="T604" i="66"/>
  <c r="Y604" i="66" s="1"/>
  <c r="T260" i="66"/>
  <c r="Y260" i="66" s="1"/>
  <c r="R260" i="66"/>
  <c r="P260" i="66"/>
  <c r="AC260" i="66" s="1"/>
  <c r="P185" i="66"/>
  <c r="AC185" i="66" s="1"/>
  <c r="R185" i="66"/>
  <c r="T185" i="66"/>
  <c r="Y185" i="66" s="1"/>
  <c r="T291" i="66"/>
  <c r="Y291" i="66" s="1"/>
  <c r="R291" i="66"/>
  <c r="P291" i="66"/>
  <c r="AC291" i="66" s="1"/>
  <c r="P333" i="66"/>
  <c r="T333" i="66"/>
  <c r="Y333" i="66" s="1"/>
  <c r="R395" i="66"/>
  <c r="P395" i="66"/>
  <c r="AC395" i="66" s="1"/>
  <c r="T395" i="66"/>
  <c r="Y395" i="66" s="1"/>
  <c r="T476" i="66"/>
  <c r="Y476" i="66" s="1"/>
  <c r="P476" i="66"/>
  <c r="AC476" i="66" s="1"/>
  <c r="R476" i="66"/>
  <c r="R383" i="66"/>
  <c r="P383" i="66"/>
  <c r="T383" i="66"/>
  <c r="Y383" i="66" s="1"/>
  <c r="P265" i="66"/>
  <c r="AC265" i="66" s="1"/>
  <c r="T265" i="66"/>
  <c r="Y265" i="66" s="1"/>
  <c r="R265" i="66"/>
  <c r="T988" i="66"/>
  <c r="Y988" i="66" s="1"/>
  <c r="P988" i="66"/>
  <c r="AC988" i="66" s="1"/>
  <c r="R988" i="66"/>
  <c r="P469" i="66"/>
  <c r="AC469" i="66" s="1"/>
  <c r="T469" i="66"/>
  <c r="Y469" i="66" s="1"/>
  <c r="R469" i="66"/>
  <c r="P288" i="66"/>
  <c r="AC288" i="66" s="1"/>
  <c r="R288" i="66"/>
  <c r="T288" i="66"/>
  <c r="Y288" i="66" s="1"/>
  <c r="P664" i="66"/>
  <c r="AC664" i="66" s="1"/>
  <c r="R664" i="66"/>
  <c r="T664" i="66"/>
  <c r="Y664" i="66" s="1"/>
  <c r="P673" i="66"/>
  <c r="T673" i="66"/>
  <c r="Y673" i="66" s="1"/>
  <c r="T264" i="66"/>
  <c r="Y264" i="66" s="1"/>
  <c r="R264" i="66"/>
  <c r="P264" i="66"/>
  <c r="AC264" i="66" s="1"/>
  <c r="P704" i="66"/>
  <c r="AC704" i="66" s="1"/>
  <c r="T704" i="66"/>
  <c r="Y704" i="66" s="1"/>
  <c r="R704" i="66"/>
  <c r="T690" i="66"/>
  <c r="Y690" i="66" s="1"/>
  <c r="R690" i="66"/>
  <c r="P690" i="66"/>
  <c r="AC690" i="66" s="1"/>
  <c r="R446" i="66"/>
  <c r="T446" i="66"/>
  <c r="Y446" i="66" s="1"/>
  <c r="P446" i="66"/>
  <c r="AC446" i="66" s="1"/>
  <c r="T465" i="66"/>
  <c r="Y465" i="66" s="1"/>
  <c r="P465" i="66"/>
  <c r="AC465" i="66" s="1"/>
  <c r="R465" i="66"/>
  <c r="T424" i="66"/>
  <c r="Y424" i="66" s="1"/>
  <c r="R424" i="66"/>
  <c r="P424" i="66"/>
  <c r="AC424" i="66" s="1"/>
  <c r="R144" i="66"/>
  <c r="P144" i="66"/>
  <c r="AC144" i="66" s="1"/>
  <c r="T144" i="66"/>
  <c r="Y144" i="66" s="1"/>
  <c r="T31" i="66"/>
  <c r="Y31" i="66" s="1"/>
  <c r="P31" i="66"/>
  <c r="R343" i="66"/>
  <c r="T343" i="66"/>
  <c r="Y343" i="66" s="1"/>
  <c r="P343" i="66"/>
  <c r="AC343" i="66" s="1"/>
  <c r="P726" i="66"/>
  <c r="T726" i="66"/>
  <c r="Y726" i="66" s="1"/>
  <c r="T1009" i="66"/>
  <c r="Y1009" i="66" s="1"/>
  <c r="P1009" i="66"/>
  <c r="AC1009" i="66" s="1"/>
  <c r="R1009" i="66"/>
  <c r="T351" i="66"/>
  <c r="Y351" i="66" s="1"/>
  <c r="P351" i="66"/>
  <c r="T281" i="66"/>
  <c r="Y281" i="66" s="1"/>
  <c r="R281" i="66"/>
  <c r="P281" i="66"/>
  <c r="AC281" i="66" s="1"/>
  <c r="P876" i="66"/>
  <c r="AC876" i="66" s="1"/>
  <c r="R876" i="66"/>
  <c r="T876" i="66"/>
  <c r="Y876" i="66" s="1"/>
  <c r="T844" i="66"/>
  <c r="Y844" i="66" s="1"/>
  <c r="P844" i="66"/>
  <c r="AC844" i="66" s="1"/>
  <c r="R844" i="66"/>
  <c r="T451" i="66"/>
  <c r="Y451" i="66" s="1"/>
  <c r="P451" i="66"/>
  <c r="AC451" i="66" s="1"/>
  <c r="R451" i="66"/>
  <c r="P878" i="66"/>
  <c r="AC878" i="66" s="1"/>
  <c r="R878" i="66"/>
  <c r="T878" i="66"/>
  <c r="Y878" i="66" s="1"/>
  <c r="P251" i="66"/>
  <c r="T251" i="66"/>
  <c r="Y251" i="66" s="1"/>
  <c r="R785" i="66"/>
  <c r="T785" i="66"/>
  <c r="Y785" i="66" s="1"/>
  <c r="P785" i="66"/>
  <c r="AC785" i="66" s="1"/>
  <c r="T301" i="66"/>
  <c r="Y301" i="66" s="1"/>
  <c r="R301" i="66"/>
  <c r="P301" i="66"/>
  <c r="AC301" i="66" s="1"/>
  <c r="P199" i="66"/>
  <c r="AC199" i="66" s="1"/>
  <c r="T199" i="66"/>
  <c r="Y199" i="66" s="1"/>
  <c r="R199" i="66"/>
  <c r="P204" i="66"/>
  <c r="AC204" i="66" s="1"/>
  <c r="T204" i="66"/>
  <c r="Y204" i="66" s="1"/>
  <c r="R204" i="66"/>
  <c r="R254" i="66"/>
  <c r="T254" i="66"/>
  <c r="Y254" i="66" s="1"/>
  <c r="P254" i="66"/>
  <c r="AC254" i="66" s="1"/>
  <c r="T849" i="66"/>
  <c r="Y849" i="66" s="1"/>
  <c r="P849" i="66"/>
  <c r="AC849" i="66" s="1"/>
  <c r="R849" i="66"/>
  <c r="R456" i="66"/>
  <c r="P456" i="66"/>
  <c r="AC456" i="66" s="1"/>
  <c r="T456" i="66"/>
  <c r="Y456" i="66" s="1"/>
  <c r="T373" i="66"/>
  <c r="Y373" i="66" s="1"/>
  <c r="P373" i="66"/>
  <c r="AC373" i="66" s="1"/>
  <c r="R373" i="66"/>
  <c r="T911" i="66"/>
  <c r="Y911" i="66" s="1"/>
  <c r="P911" i="66"/>
  <c r="AC911" i="66" s="1"/>
  <c r="R911" i="66"/>
  <c r="R997" i="66"/>
  <c r="T997" i="66"/>
  <c r="Y997" i="66" s="1"/>
  <c r="P997" i="66"/>
  <c r="AC997" i="66" s="1"/>
  <c r="T69" i="66"/>
  <c r="Y69" i="66" s="1"/>
  <c r="R69" i="66"/>
  <c r="P69" i="66"/>
  <c r="AC69" i="66" s="1"/>
  <c r="T644" i="66"/>
  <c r="Y644" i="66" s="1"/>
  <c r="P644" i="66"/>
  <c r="AC644" i="66" s="1"/>
  <c r="R644" i="66"/>
  <c r="P429" i="66"/>
  <c r="AC429" i="66" s="1"/>
  <c r="T429" i="66"/>
  <c r="Y429" i="66" s="1"/>
  <c r="R429" i="66"/>
  <c r="T840" i="66"/>
  <c r="Y840" i="66" s="1"/>
  <c r="P840" i="66"/>
  <c r="AC840" i="66" s="1"/>
  <c r="R840" i="66"/>
  <c r="R374" i="66"/>
  <c r="T374" i="66"/>
  <c r="Y374" i="66" s="1"/>
  <c r="P374" i="66"/>
  <c r="AC374" i="66" s="1"/>
  <c r="P715" i="66"/>
  <c r="AC715" i="66" s="1"/>
  <c r="T715" i="66"/>
  <c r="Y715" i="66" s="1"/>
  <c r="T1003" i="66"/>
  <c r="Y1003" i="66" s="1"/>
  <c r="P1003" i="66"/>
  <c r="AC1003" i="66" s="1"/>
  <c r="R1003" i="66"/>
  <c r="T627" i="66"/>
  <c r="Y627" i="66" s="1"/>
  <c r="P627" i="66"/>
  <c r="H406" i="98" s="1"/>
  <c r="I406" i="98" s="1"/>
  <c r="T64" i="66"/>
  <c r="Y64" i="66" s="1"/>
  <c r="R64" i="66"/>
  <c r="P64" i="66"/>
  <c r="AC64" i="66" s="1"/>
  <c r="R547" i="66"/>
  <c r="P547" i="66"/>
  <c r="AC547" i="66" s="1"/>
  <c r="T547" i="66"/>
  <c r="Y547" i="66" s="1"/>
  <c r="P356" i="66"/>
  <c r="T356" i="66"/>
  <c r="Y356" i="66" s="1"/>
  <c r="P670" i="66"/>
  <c r="AC670" i="66" s="1"/>
  <c r="T670" i="66"/>
  <c r="Y670" i="66" s="1"/>
  <c r="R670" i="66"/>
  <c r="P183" i="66"/>
  <c r="AC183" i="66" s="1"/>
  <c r="T183" i="66"/>
  <c r="Y183" i="66" s="1"/>
  <c r="R183" i="66"/>
  <c r="T237" i="66"/>
  <c r="Y237" i="66" s="1"/>
  <c r="P237" i="66"/>
  <c r="R637" i="66"/>
  <c r="P637" i="66"/>
  <c r="AC637" i="66" s="1"/>
  <c r="T637" i="66"/>
  <c r="Y637" i="66" s="1"/>
  <c r="P104" i="66"/>
  <c r="AC104" i="66" s="1"/>
  <c r="T104" i="66"/>
  <c r="Y104" i="66" s="1"/>
  <c r="R104" i="66"/>
  <c r="T882" i="66"/>
  <c r="Y882" i="66" s="1"/>
  <c r="P882" i="66"/>
  <c r="AC882" i="66" s="1"/>
  <c r="R882" i="66"/>
  <c r="T152" i="66"/>
  <c r="Y152" i="66" s="1"/>
  <c r="P152" i="66"/>
  <c r="AC152" i="66" s="1"/>
  <c r="R152" i="66"/>
  <c r="R283" i="66"/>
  <c r="P283" i="66"/>
  <c r="AC283" i="66" s="1"/>
  <c r="T283" i="66"/>
  <c r="Y283" i="66" s="1"/>
  <c r="H178" i="105"/>
  <c r="H179" i="105" s="1"/>
  <c r="H180" i="105" s="1"/>
  <c r="H181" i="105" s="1"/>
  <c r="H182" i="105" s="1"/>
  <c r="D64" i="93"/>
  <c r="G63" i="93"/>
  <c r="J63" i="93" s="1"/>
  <c r="M63" i="93" s="1"/>
  <c r="T63" i="93" s="1"/>
  <c r="K273" i="98"/>
  <c r="I278" i="98"/>
  <c r="I279" i="98" s="1"/>
  <c r="I280" i="98" s="1"/>
  <c r="I281" i="98" s="1"/>
  <c r="I282" i="98" s="1"/>
  <c r="I283" i="98" s="1"/>
  <c r="I284" i="98" s="1"/>
  <c r="H1149" i="98"/>
  <c r="I1149" i="98" s="1"/>
  <c r="K1141" i="98" s="1"/>
  <c r="H991" i="98"/>
  <c r="I991" i="98" s="1"/>
  <c r="K986" i="98" s="1"/>
  <c r="H1045" i="98"/>
  <c r="I1045" i="98" s="1"/>
  <c r="K1040" i="98" s="1"/>
  <c r="H850" i="98"/>
  <c r="I850" i="98" s="1"/>
  <c r="K844" i="98" s="1"/>
  <c r="C33" i="93"/>
  <c r="F32" i="93"/>
  <c r="I32" i="93" s="1"/>
  <c r="L32" i="93" s="1"/>
  <c r="T32" i="93" s="1"/>
  <c r="R309" i="66"/>
  <c r="P309" i="66"/>
  <c r="AC309" i="66" s="1"/>
  <c r="T309" i="66"/>
  <c r="Y309" i="66" s="1"/>
  <c r="T253" i="66"/>
  <c r="Y253" i="66" s="1"/>
  <c r="R253" i="66"/>
  <c r="P253" i="66"/>
  <c r="AC253" i="66" s="1"/>
  <c r="R954" i="66"/>
  <c r="P954" i="66"/>
  <c r="AC954" i="66" s="1"/>
  <c r="T954" i="66"/>
  <c r="Y954" i="66" s="1"/>
  <c r="P278" i="66"/>
  <c r="AC278" i="66" s="1"/>
  <c r="T278" i="66"/>
  <c r="Y278" i="66" s="1"/>
  <c r="R278" i="66"/>
  <c r="R538" i="66"/>
  <c r="P538" i="66"/>
  <c r="AC538" i="66" s="1"/>
  <c r="T538" i="66"/>
  <c r="Y538" i="66" s="1"/>
  <c r="T154" i="66"/>
  <c r="Y154" i="66" s="1"/>
  <c r="R154" i="66"/>
  <c r="P154" i="66"/>
  <c r="AC154" i="66" s="1"/>
  <c r="P174" i="66"/>
  <c r="AC174" i="66" s="1"/>
  <c r="T174" i="66"/>
  <c r="Y174" i="66" s="1"/>
  <c r="P442" i="66"/>
  <c r="AC442" i="66" s="1"/>
  <c r="T442" i="66"/>
  <c r="Y442" i="66" s="1"/>
  <c r="R442" i="66"/>
  <c r="T24" i="66"/>
  <c r="Y24" i="66" s="1"/>
  <c r="P24" i="66"/>
  <c r="AC24" i="66" s="1"/>
  <c r="P74" i="66"/>
  <c r="AC74" i="66" s="1"/>
  <c r="T74" i="66"/>
  <c r="Y74" i="66" s="1"/>
  <c r="R74" i="66"/>
  <c r="P617" i="66"/>
  <c r="AC617" i="66" s="1"/>
  <c r="R617" i="66"/>
  <c r="T617" i="66"/>
  <c r="Y617" i="66" s="1"/>
  <c r="P654" i="66"/>
  <c r="AC654" i="66" s="1"/>
  <c r="T654" i="66"/>
  <c r="Y654" i="66" s="1"/>
  <c r="R654" i="66"/>
  <c r="T168" i="66"/>
  <c r="Y168" i="66" s="1"/>
  <c r="P168" i="66"/>
  <c r="I50" i="42" s="1"/>
  <c r="J50" i="42" s="1"/>
  <c r="J49" i="42" s="1"/>
  <c r="M48" i="42" s="1"/>
  <c r="T427" i="66"/>
  <c r="Y427" i="66" s="1"/>
  <c r="P427" i="66"/>
  <c r="AC427" i="66" s="1"/>
  <c r="P349" i="66"/>
  <c r="AC349" i="66" s="1"/>
  <c r="R349" i="66"/>
  <c r="T349" i="66"/>
  <c r="Y349" i="66" s="1"/>
  <c r="R718" i="66"/>
  <c r="P718" i="66"/>
  <c r="AC718" i="66" s="1"/>
  <c r="T718" i="66"/>
  <c r="Y718" i="66" s="1"/>
  <c r="P962" i="66"/>
  <c r="AC962" i="66" s="1"/>
  <c r="T962" i="66"/>
  <c r="Y962" i="66" s="1"/>
  <c r="R962" i="66"/>
  <c r="T238" i="66"/>
  <c r="Y238" i="66" s="1"/>
  <c r="P238" i="66"/>
  <c r="AC238" i="66" s="1"/>
  <c r="R238" i="66"/>
  <c r="P854" i="66"/>
  <c r="AC854" i="66" s="1"/>
  <c r="R854" i="66"/>
  <c r="T854" i="66"/>
  <c r="Y854" i="66" s="1"/>
  <c r="T153" i="66"/>
  <c r="Y153" i="66" s="1"/>
  <c r="R153" i="66"/>
  <c r="P153" i="66"/>
  <c r="AC153" i="66" s="1"/>
  <c r="P222" i="66"/>
  <c r="AC222" i="66" s="1"/>
  <c r="T222" i="66"/>
  <c r="Y222" i="66" s="1"/>
  <c r="R222" i="66"/>
  <c r="P433" i="66"/>
  <c r="AC433" i="66" s="1"/>
  <c r="T433" i="66"/>
  <c r="Y433" i="66" s="1"/>
  <c r="T248" i="66"/>
  <c r="Y248" i="66" s="1"/>
  <c r="P248" i="66"/>
  <c r="H405" i="98" s="1"/>
  <c r="I405" i="98" s="1"/>
  <c r="I404" i="98" s="1"/>
  <c r="L399" i="98" s="1"/>
  <c r="T134" i="66"/>
  <c r="Y134" i="66" s="1"/>
  <c r="P134" i="66"/>
  <c r="AC134" i="66" s="1"/>
  <c r="R134" i="66"/>
  <c r="R163" i="66"/>
  <c r="P163" i="66"/>
  <c r="AC163" i="66" s="1"/>
  <c r="T163" i="66"/>
  <c r="Y163" i="66" s="1"/>
  <c r="T653" i="66"/>
  <c r="Y653" i="66" s="1"/>
  <c r="P653" i="66"/>
  <c r="AC653" i="66" s="1"/>
  <c r="R653" i="66"/>
  <c r="P365" i="66"/>
  <c r="AC365" i="66" s="1"/>
  <c r="T365" i="66"/>
  <c r="Y365" i="66" s="1"/>
  <c r="R365" i="66"/>
  <c r="T316" i="66"/>
  <c r="Y316" i="66" s="1"/>
  <c r="P316" i="66"/>
  <c r="R716" i="66"/>
  <c r="T716" i="66"/>
  <c r="Y716" i="66" s="1"/>
  <c r="P716" i="66"/>
  <c r="AC716" i="66" s="1"/>
  <c r="T109" i="66"/>
  <c r="Y109" i="66" s="1"/>
  <c r="P109" i="66"/>
  <c r="R697" i="66"/>
  <c r="P697" i="66"/>
  <c r="AC697" i="66" s="1"/>
  <c r="T697" i="66"/>
  <c r="Y697" i="66" s="1"/>
  <c r="R778" i="66"/>
  <c r="T778" i="66"/>
  <c r="Y778" i="66" s="1"/>
  <c r="P778" i="66"/>
  <c r="AC778" i="66" s="1"/>
  <c r="R40" i="66"/>
  <c r="P40" i="66"/>
  <c r="AC40" i="66" s="1"/>
  <c r="T40" i="66"/>
  <c r="Y40" i="66" s="1"/>
  <c r="P396" i="66"/>
  <c r="AC396" i="66" s="1"/>
  <c r="T396" i="66"/>
  <c r="Y396" i="66" s="1"/>
  <c r="R396" i="66"/>
  <c r="P523" i="66"/>
  <c r="AC523" i="66" s="1"/>
  <c r="R523" i="66"/>
  <c r="T523" i="66"/>
  <c r="Y523" i="66" s="1"/>
  <c r="T250" i="66"/>
  <c r="Y250" i="66" s="1"/>
  <c r="R250" i="66"/>
  <c r="P250" i="66"/>
  <c r="AC250" i="66" s="1"/>
  <c r="T827" i="66"/>
  <c r="Y827" i="66" s="1"/>
  <c r="R827" i="66"/>
  <c r="P827" i="66"/>
  <c r="AC827" i="66" s="1"/>
  <c r="T48" i="66"/>
  <c r="Y48" i="66" s="1"/>
  <c r="P48" i="66"/>
  <c r="AC48" i="66" s="1"/>
  <c r="R48" i="66"/>
  <c r="T870" i="66"/>
  <c r="Y870" i="66" s="1"/>
  <c r="R870" i="66"/>
  <c r="P870" i="66"/>
  <c r="AC870" i="66" s="1"/>
  <c r="T999" i="66"/>
  <c r="Y999" i="66" s="1"/>
  <c r="P999" i="66"/>
  <c r="AC999" i="66" s="1"/>
  <c r="R999" i="66"/>
  <c r="P919" i="66"/>
  <c r="AC919" i="66" s="1"/>
  <c r="R919" i="66"/>
  <c r="T919" i="66"/>
  <c r="Y919" i="66" s="1"/>
  <c r="T576" i="66"/>
  <c r="Y576" i="66" s="1"/>
  <c r="R576" i="66"/>
  <c r="P576" i="66"/>
  <c r="AC576" i="66" s="1"/>
  <c r="T735" i="66"/>
  <c r="Y735" i="66" s="1"/>
  <c r="P735" i="66"/>
  <c r="R138" i="66"/>
  <c r="T138" i="66"/>
  <c r="Y138" i="66" s="1"/>
  <c r="P138" i="66"/>
  <c r="AC138" i="66" s="1"/>
  <c r="R602" i="66"/>
  <c r="T602" i="66"/>
  <c r="Y602" i="66" s="1"/>
  <c r="P602" i="66"/>
  <c r="AC602" i="66" s="1"/>
  <c r="P221" i="66"/>
  <c r="AC221" i="66" s="1"/>
  <c r="R221" i="66"/>
  <c r="T221" i="66"/>
  <c r="Y221" i="66" s="1"/>
  <c r="R589" i="66"/>
  <c r="T589" i="66"/>
  <c r="Y589" i="66" s="1"/>
  <c r="P589" i="66"/>
  <c r="AC589" i="66" s="1"/>
  <c r="P539" i="66"/>
  <c r="T539" i="66"/>
  <c r="Y539" i="66" s="1"/>
  <c r="T186" i="66"/>
  <c r="Y186" i="66" s="1"/>
  <c r="P186" i="66"/>
  <c r="AC186" i="66" s="1"/>
  <c r="R186" i="66"/>
  <c r="T986" i="66"/>
  <c r="Y986" i="66" s="1"/>
  <c r="P986" i="66"/>
  <c r="AC986" i="66" s="1"/>
  <c r="P484" i="66"/>
  <c r="R484" i="66"/>
  <c r="T484" i="66"/>
  <c r="Y484" i="66" s="1"/>
  <c r="R242" i="66"/>
  <c r="P242" i="66"/>
  <c r="AC242" i="66" s="1"/>
  <c r="T242" i="66"/>
  <c r="Y242" i="66" s="1"/>
  <c r="R886" i="66"/>
  <c r="P886" i="66"/>
  <c r="AC886" i="66" s="1"/>
  <c r="T886" i="66"/>
  <c r="Y886" i="66" s="1"/>
  <c r="P430" i="66"/>
  <c r="AC430" i="66" s="1"/>
  <c r="R430" i="66"/>
  <c r="T430" i="66"/>
  <c r="Y430" i="66" s="1"/>
  <c r="P284" i="66"/>
  <c r="AC284" i="66" s="1"/>
  <c r="R284" i="66"/>
  <c r="T284" i="66"/>
  <c r="Y284" i="66" s="1"/>
  <c r="T865" i="66"/>
  <c r="Y865" i="66" s="1"/>
  <c r="P865" i="66"/>
  <c r="AC865" i="66" s="1"/>
  <c r="R865" i="66"/>
  <c r="P146" i="66"/>
  <c r="T146" i="66"/>
  <c r="Y146" i="66" s="1"/>
  <c r="T41" i="66"/>
  <c r="Y41" i="66" s="1"/>
  <c r="P41" i="66"/>
  <c r="AC41" i="66" s="1"/>
  <c r="R41" i="66"/>
  <c r="R71" i="66"/>
  <c r="T71" i="66"/>
  <c r="Y71" i="66" s="1"/>
  <c r="P71" i="66"/>
  <c r="AC71" i="66" s="1"/>
  <c r="T512" i="66"/>
  <c r="Y512" i="66" s="1"/>
  <c r="P512" i="66"/>
  <c r="AC512" i="66" s="1"/>
  <c r="R512" i="66"/>
  <c r="R190" i="66"/>
  <c r="P190" i="66"/>
  <c r="AC190" i="66" s="1"/>
  <c r="T190" i="66"/>
  <c r="Y190" i="66" s="1"/>
  <c r="P815" i="66"/>
  <c r="AC815" i="66" s="1"/>
  <c r="R815" i="66"/>
  <c r="T815" i="66"/>
  <c r="Y815" i="66" s="1"/>
  <c r="P932" i="66"/>
  <c r="AC932" i="66" s="1"/>
  <c r="R932" i="66"/>
  <c r="T932" i="66"/>
  <c r="Y932" i="66" s="1"/>
  <c r="R79" i="66"/>
  <c r="T79" i="66"/>
  <c r="Y79" i="66" s="1"/>
  <c r="P79" i="66"/>
  <c r="AC79" i="66" s="1"/>
  <c r="R964" i="66"/>
  <c r="P964" i="66"/>
  <c r="AC964" i="66" s="1"/>
  <c r="T964" i="66"/>
  <c r="Y964" i="66" s="1"/>
  <c r="P460" i="66"/>
  <c r="T460" i="66"/>
  <c r="Y460" i="66" s="1"/>
  <c r="P462" i="66"/>
  <c r="AC462" i="66" s="1"/>
  <c r="T462" i="66"/>
  <c r="Y462" i="66" s="1"/>
  <c r="P480" i="66"/>
  <c r="AC480" i="66" s="1"/>
  <c r="R480" i="66"/>
  <c r="T480" i="66"/>
  <c r="Y480" i="66" s="1"/>
  <c r="T546" i="66"/>
  <c r="Y546" i="66" s="1"/>
  <c r="P546" i="66"/>
  <c r="P957" i="66"/>
  <c r="AC957" i="66" s="1"/>
  <c r="R957" i="66"/>
  <c r="T957" i="66"/>
  <c r="Y957" i="66" s="1"/>
  <c r="T566" i="66"/>
  <c r="Y566" i="66" s="1"/>
  <c r="R566" i="66"/>
  <c r="P566" i="66"/>
  <c r="AC566" i="66" s="1"/>
  <c r="T945" i="66"/>
  <c r="Y945" i="66" s="1"/>
  <c r="P945" i="66"/>
  <c r="AC945" i="66" s="1"/>
  <c r="T390" i="66"/>
  <c r="Y390" i="66" s="1"/>
  <c r="P390" i="66"/>
  <c r="AC390" i="66" s="1"/>
  <c r="R390" i="66"/>
  <c r="T399" i="66"/>
  <c r="Y399" i="66" s="1"/>
  <c r="R399" i="66"/>
  <c r="P399" i="66"/>
  <c r="AC399" i="66" s="1"/>
  <c r="P942" i="66"/>
  <c r="AC942" i="66" s="1"/>
  <c r="T942" i="66"/>
  <c r="Y942" i="66" s="1"/>
  <c r="R584" i="66"/>
  <c r="P584" i="66"/>
  <c r="AC584" i="66" s="1"/>
  <c r="T584" i="66"/>
  <c r="Y584" i="66" s="1"/>
  <c r="R136" i="66"/>
  <c r="P136" i="66"/>
  <c r="T136" i="66"/>
  <c r="Y136" i="66" s="1"/>
  <c r="P252" i="66"/>
  <c r="T252" i="66"/>
  <c r="Y252" i="66" s="1"/>
  <c r="R142" i="66"/>
  <c r="T142" i="66"/>
  <c r="Y142" i="66" s="1"/>
  <c r="P142" i="66"/>
  <c r="AC142" i="66" s="1"/>
  <c r="R478" i="66"/>
  <c r="T478" i="66"/>
  <c r="Y478" i="66" s="1"/>
  <c r="P478" i="66"/>
  <c r="AC478" i="66" s="1"/>
  <c r="R53" i="66"/>
  <c r="T53" i="66"/>
  <c r="Y53" i="66" s="1"/>
  <c r="P53" i="66"/>
  <c r="AC53" i="66" s="1"/>
  <c r="R667" i="66"/>
  <c r="P667" i="66"/>
  <c r="AC667" i="66" s="1"/>
  <c r="T667" i="66"/>
  <c r="Y667" i="66" s="1"/>
  <c r="P198" i="66"/>
  <c r="AC198" i="66" s="1"/>
  <c r="R198" i="66"/>
  <c r="T198" i="66"/>
  <c r="Y198" i="66" s="1"/>
  <c r="P62" i="66"/>
  <c r="AC62" i="66" s="1"/>
  <c r="T62" i="66"/>
  <c r="Y62" i="66" s="1"/>
  <c r="R62" i="66"/>
  <c r="P145" i="66"/>
  <c r="AC145" i="66" s="1"/>
  <c r="T145" i="66"/>
  <c r="Y145" i="66" s="1"/>
  <c r="T672" i="66"/>
  <c r="Y672" i="66" s="1"/>
  <c r="P672" i="66"/>
  <c r="AC672" i="66" s="1"/>
  <c r="P193" i="66"/>
  <c r="AC193" i="66" s="1"/>
  <c r="T193" i="66"/>
  <c r="Y193" i="66" s="1"/>
  <c r="R193" i="66"/>
  <c r="T59" i="66"/>
  <c r="Y59" i="66" s="1"/>
  <c r="P59" i="66"/>
  <c r="AC59" i="66" s="1"/>
  <c r="R59" i="66"/>
  <c r="R633" i="66"/>
  <c r="P633" i="66"/>
  <c r="AC633" i="66" s="1"/>
  <c r="T633" i="66"/>
  <c r="Y633" i="66" s="1"/>
  <c r="T974" i="66"/>
  <c r="Y974" i="66" s="1"/>
  <c r="P974" i="66"/>
  <c r="AC974" i="66" s="1"/>
  <c r="R974" i="66"/>
  <c r="P345" i="66"/>
  <c r="AC345" i="66" s="1"/>
  <c r="T345" i="66"/>
  <c r="Y345" i="66" s="1"/>
  <c r="R345" i="66"/>
  <c r="T595" i="66"/>
  <c r="Y595" i="66" s="1"/>
  <c r="R595" i="66"/>
  <c r="P595" i="66"/>
  <c r="AC595" i="66" s="1"/>
  <c r="P549" i="66"/>
  <c r="T549" i="66"/>
  <c r="Y549" i="66" s="1"/>
  <c r="P618" i="66"/>
  <c r="T618" i="66"/>
  <c r="Y618" i="66" s="1"/>
  <c r="P294" i="66"/>
  <c r="AC294" i="66" s="1"/>
  <c r="T294" i="66"/>
  <c r="Y294" i="66" s="1"/>
  <c r="R294" i="66"/>
  <c r="T723" i="66"/>
  <c r="Y723" i="66" s="1"/>
  <c r="P723" i="66"/>
  <c r="AC723" i="66" s="1"/>
  <c r="R723" i="66"/>
  <c r="R338" i="66"/>
  <c r="P338" i="66"/>
  <c r="AC338" i="66" s="1"/>
  <c r="T338" i="66"/>
  <c r="Y338" i="66" s="1"/>
  <c r="T497" i="66"/>
  <c r="Y497" i="66" s="1"/>
  <c r="P497" i="66"/>
  <c r="AC497" i="66" s="1"/>
  <c r="R497" i="66"/>
  <c r="P573" i="66"/>
  <c r="AC573" i="66" s="1"/>
  <c r="R573" i="66"/>
  <c r="T573" i="66"/>
  <c r="Y573" i="66" s="1"/>
  <c r="P846" i="66"/>
  <c r="AC846" i="66" s="1"/>
  <c r="R846" i="66"/>
  <c r="T846" i="66"/>
  <c r="Y846" i="66" s="1"/>
  <c r="R124" i="66"/>
  <c r="P124" i="66"/>
  <c r="AC124" i="66" s="1"/>
  <c r="T124" i="66"/>
  <c r="Y124" i="66" s="1"/>
  <c r="P175" i="66"/>
  <c r="T175" i="66"/>
  <c r="Y175" i="66" s="1"/>
  <c r="T890" i="66"/>
  <c r="Y890" i="66" s="1"/>
  <c r="R890" i="66"/>
  <c r="P890" i="66"/>
  <c r="AC890" i="66" s="1"/>
  <c r="R359" i="66"/>
  <c r="T359" i="66"/>
  <c r="Y359" i="66" s="1"/>
  <c r="P359" i="66"/>
  <c r="AC359" i="66" s="1"/>
  <c r="T724" i="66"/>
  <c r="Y724" i="66" s="1"/>
  <c r="P724" i="66"/>
  <c r="AC724" i="66" s="1"/>
  <c r="R724" i="66"/>
  <c r="P261" i="66"/>
  <c r="AC261" i="66" s="1"/>
  <c r="T261" i="66"/>
  <c r="Y261" i="66" s="1"/>
  <c r="T37" i="66"/>
  <c r="Y37" i="66" s="1"/>
  <c r="P37" i="66"/>
  <c r="AC37" i="66" s="1"/>
  <c r="R311" i="66"/>
  <c r="P311" i="66"/>
  <c r="AC311" i="66" s="1"/>
  <c r="T311" i="66"/>
  <c r="Y311" i="66" s="1"/>
  <c r="P416" i="66"/>
  <c r="I1993" i="42" s="1"/>
  <c r="J1993" i="42" s="1"/>
  <c r="T416" i="66"/>
  <c r="Y416" i="66" s="1"/>
  <c r="T892" i="66"/>
  <c r="Y892" i="66" s="1"/>
  <c r="R892" i="66"/>
  <c r="P892" i="66"/>
  <c r="AC892" i="66" s="1"/>
  <c r="T544" i="66"/>
  <c r="Y544" i="66" s="1"/>
  <c r="P544" i="66"/>
  <c r="T610" i="66"/>
  <c r="Y610" i="66" s="1"/>
  <c r="R610" i="66"/>
  <c r="P610" i="66"/>
  <c r="AC610" i="66" s="1"/>
  <c r="R858" i="66"/>
  <c r="P858" i="66"/>
  <c r="AC858" i="66" s="1"/>
  <c r="T858" i="66"/>
  <c r="Y858" i="66" s="1"/>
  <c r="T111" i="66"/>
  <c r="Y111" i="66" s="1"/>
  <c r="P111" i="66"/>
  <c r="I2193" i="42" s="1"/>
  <c r="J2193" i="42" s="1"/>
  <c r="P980" i="66"/>
  <c r="AC980" i="66" s="1"/>
  <c r="R980" i="66"/>
  <c r="T980" i="66"/>
  <c r="Y980" i="66" s="1"/>
  <c r="R230" i="66"/>
  <c r="T230" i="66"/>
  <c r="Y230" i="66" s="1"/>
  <c r="P230" i="66"/>
  <c r="AC230" i="66" s="1"/>
  <c r="T458" i="66"/>
  <c r="Y458" i="66" s="1"/>
  <c r="P458" i="66"/>
  <c r="AC458" i="66" s="1"/>
  <c r="R458" i="66"/>
  <c r="T392" i="66"/>
  <c r="Y392" i="66" s="1"/>
  <c r="R392" i="66"/>
  <c r="P392" i="66"/>
  <c r="AC392" i="66" s="1"/>
  <c r="P54" i="66"/>
  <c r="AC54" i="66" s="1"/>
  <c r="R54" i="66"/>
  <c r="T54" i="66"/>
  <c r="Y54" i="66" s="1"/>
  <c r="R455" i="66"/>
  <c r="T455" i="66"/>
  <c r="Y455" i="66" s="1"/>
  <c r="P455" i="66"/>
  <c r="AC455" i="66" s="1"/>
  <c r="P657" i="66"/>
  <c r="AC657" i="66" s="1"/>
  <c r="R657" i="66"/>
  <c r="T657" i="66"/>
  <c r="Y657" i="66" s="1"/>
  <c r="R486" i="66"/>
  <c r="P486" i="66"/>
  <c r="AC486" i="66" s="1"/>
  <c r="T486" i="66"/>
  <c r="Y486" i="66" s="1"/>
  <c r="R516" i="66"/>
  <c r="T516" i="66"/>
  <c r="Y516" i="66" s="1"/>
  <c r="P516" i="66"/>
  <c r="AC516" i="66" s="1"/>
  <c r="P307" i="66"/>
  <c r="T307" i="66"/>
  <c r="Y307" i="66" s="1"/>
  <c r="P95" i="66"/>
  <c r="AC95" i="66" s="1"/>
  <c r="T95" i="66"/>
  <c r="Y95" i="66" s="1"/>
  <c r="R95" i="66"/>
  <c r="R352" i="66"/>
  <c r="T352" i="66"/>
  <c r="Y352" i="66" s="1"/>
  <c r="P352" i="66"/>
  <c r="AC352" i="66" s="1"/>
  <c r="R197" i="66"/>
  <c r="T197" i="66"/>
  <c r="Y197" i="66" s="1"/>
  <c r="P197" i="66"/>
  <c r="AC197" i="66" s="1"/>
  <c r="P996" i="66"/>
  <c r="AC996" i="66" s="1"/>
  <c r="T996" i="66"/>
  <c r="Y996" i="66" s="1"/>
  <c r="R996" i="66"/>
  <c r="P305" i="66"/>
  <c r="T305" i="66"/>
  <c r="Y305" i="66" s="1"/>
  <c r="R814" i="66"/>
  <c r="P814" i="66"/>
  <c r="AC814" i="66" s="1"/>
  <c r="T814" i="66"/>
  <c r="Y814" i="66" s="1"/>
  <c r="R170" i="66"/>
  <c r="P170" i="66"/>
  <c r="AC170" i="66" s="1"/>
  <c r="T170" i="66"/>
  <c r="Y170" i="66" s="1"/>
  <c r="T934" i="66"/>
  <c r="Y934" i="66" s="1"/>
  <c r="R934" i="66"/>
  <c r="P934" i="66"/>
  <c r="AC934" i="66" s="1"/>
  <c r="P286" i="66"/>
  <c r="AC286" i="66" s="1"/>
  <c r="T286" i="66"/>
  <c r="Y286" i="66" s="1"/>
  <c r="R286" i="66"/>
  <c r="R240" i="66"/>
  <c r="T240" i="66"/>
  <c r="Y240" i="66" s="1"/>
  <c r="P240" i="66"/>
  <c r="AC240" i="66" s="1"/>
  <c r="P745" i="66"/>
  <c r="AC745" i="66" s="1"/>
  <c r="R745" i="66"/>
  <c r="T745" i="66"/>
  <c r="Y745" i="66" s="1"/>
  <c r="R677" i="66"/>
  <c r="P677" i="66"/>
  <c r="AC677" i="66" s="1"/>
  <c r="T677" i="66"/>
  <c r="Y677" i="66" s="1"/>
  <c r="R99" i="66"/>
  <c r="P99" i="66"/>
  <c r="AC99" i="66" s="1"/>
  <c r="T99" i="66"/>
  <c r="Y99" i="66" s="1"/>
  <c r="R165" i="66"/>
  <c r="T165" i="66"/>
  <c r="Y165" i="66" s="1"/>
  <c r="P165" i="66"/>
  <c r="T755" i="66"/>
  <c r="Y755" i="66" s="1"/>
  <c r="R755" i="66"/>
  <c r="P755" i="66"/>
  <c r="AC755" i="66" s="1"/>
  <c r="T596" i="66"/>
  <c r="Y596" i="66" s="1"/>
  <c r="P596" i="66"/>
  <c r="AC596" i="66" s="1"/>
  <c r="R596" i="66"/>
  <c r="T866" i="66"/>
  <c r="Y866" i="66" s="1"/>
  <c r="P866" i="66"/>
  <c r="AC866" i="66" s="1"/>
  <c r="R866" i="66"/>
  <c r="T391" i="66"/>
  <c r="Y391" i="66" s="1"/>
  <c r="P391" i="66"/>
  <c r="AC391" i="66" s="1"/>
  <c r="R391" i="66"/>
  <c r="J52" i="105"/>
  <c r="H58" i="105"/>
  <c r="H59" i="105" s="1"/>
  <c r="R252" i="66"/>
  <c r="R237" i="66"/>
  <c r="K2998" i="98"/>
  <c r="I3003" i="98"/>
  <c r="I3004" i="98" s="1"/>
  <c r="I1213" i="42"/>
  <c r="J1213" i="42" s="1"/>
  <c r="H1073" i="98"/>
  <c r="I1073" i="98" s="1"/>
  <c r="I1067" i="98" s="1"/>
  <c r="J1066" i="98" s="1"/>
  <c r="H125" i="105"/>
  <c r="H126" i="105" s="1"/>
  <c r="H127" i="105" s="1"/>
  <c r="H128" i="105" s="1"/>
  <c r="H1152" i="98"/>
  <c r="I1152" i="98" s="1"/>
  <c r="I1150" i="98" s="1"/>
  <c r="H1052" i="98"/>
  <c r="I1052" i="98" s="1"/>
  <c r="H998" i="98"/>
  <c r="I998" i="98" s="1"/>
  <c r="H687" i="98"/>
  <c r="I687" i="98" s="1"/>
  <c r="H707" i="98"/>
  <c r="I707" i="98" s="1"/>
  <c r="H34" i="98"/>
  <c r="I34" i="98" s="1"/>
  <c r="H1051" i="98"/>
  <c r="I1051" i="98" s="1"/>
  <c r="H997" i="98"/>
  <c r="I997" i="98" s="1"/>
  <c r="I1990" i="98"/>
  <c r="I1991" i="98" s="1"/>
  <c r="L1987" i="98"/>
  <c r="H675" i="103"/>
  <c r="I675" i="103" s="1"/>
  <c r="H41" i="103"/>
  <c r="I41" i="103" s="1"/>
  <c r="H1053" i="98"/>
  <c r="I1053" i="98" s="1"/>
  <c r="H999" i="98"/>
  <c r="I999" i="98" s="1"/>
  <c r="H1321" i="103"/>
  <c r="I1321" i="103" s="1"/>
  <c r="H64" i="103"/>
  <c r="I64" i="103" s="1"/>
  <c r="H200" i="103"/>
  <c r="I200" i="103" s="1"/>
  <c r="H852" i="98"/>
  <c r="I852" i="98" s="1"/>
  <c r="H855" i="98" s="1"/>
  <c r="I855" i="98" s="1"/>
  <c r="I851" i="98" s="1"/>
  <c r="H1320" i="103"/>
  <c r="I1320" i="103" s="1"/>
  <c r="H63" i="103"/>
  <c r="I63" i="103" s="1"/>
  <c r="H84" i="103"/>
  <c r="I84" i="103" s="1"/>
  <c r="H807" i="98"/>
  <c r="I807" i="98" s="1"/>
  <c r="H769" i="98"/>
  <c r="I769" i="98" s="1"/>
  <c r="H1055" i="98"/>
  <c r="I1055" i="98" s="1"/>
  <c r="H1001" i="98"/>
  <c r="I1001" i="98" s="1"/>
  <c r="H1049" i="98"/>
  <c r="I1049" i="98" s="1"/>
  <c r="H995" i="98"/>
  <c r="I995" i="98" s="1"/>
  <c r="H812" i="98"/>
  <c r="I812" i="98" s="1"/>
  <c r="H711" i="98"/>
  <c r="I711" i="98" s="1"/>
  <c r="AC682" i="66"/>
  <c r="G106" i="105"/>
  <c r="H106" i="105" s="1"/>
  <c r="H105" i="105" s="1"/>
  <c r="G27" i="105"/>
  <c r="H27" i="105" s="1"/>
  <c r="H26" i="105" s="1"/>
  <c r="G42" i="105"/>
  <c r="H42" i="105" s="1"/>
  <c r="H41" i="105" s="1"/>
  <c r="G12" i="105"/>
  <c r="H12" i="105" s="1"/>
  <c r="H11" i="105" s="1"/>
  <c r="K7" i="105" s="1"/>
  <c r="I1307" i="103"/>
  <c r="I1308" i="103" s="1"/>
  <c r="I1293" i="103"/>
  <c r="I1294" i="103" s="1"/>
  <c r="I1283" i="103"/>
  <c r="I1284" i="103" s="1"/>
  <c r="I830" i="103"/>
  <c r="I831" i="103" s="1"/>
  <c r="I1264" i="103"/>
  <c r="I1265" i="103" s="1"/>
  <c r="I1266" i="103" s="1"/>
  <c r="I1267" i="103" s="1"/>
  <c r="I1268" i="103" s="1"/>
  <c r="I1370" i="103"/>
  <c r="I1371" i="103" s="1"/>
  <c r="I1372" i="103" s="1"/>
  <c r="I1373" i="103" s="1"/>
  <c r="I1207" i="103"/>
  <c r="I1208" i="103" s="1"/>
  <c r="I1209" i="103" s="1"/>
  <c r="E120" i="99"/>
  <c r="F120" i="99" s="1"/>
  <c r="E122" i="99"/>
  <c r="F122" i="99" s="1"/>
  <c r="I1910" i="98"/>
  <c r="I1911" i="98" s="1"/>
  <c r="E121" i="99"/>
  <c r="F121" i="99" s="1"/>
  <c r="F119" i="99"/>
  <c r="I1639" i="98"/>
  <c r="I1640" i="98" s="1"/>
  <c r="I2803" i="98"/>
  <c r="I2804" i="98" s="1"/>
  <c r="I2728" i="98"/>
  <c r="I2729" i="98" s="1"/>
  <c r="I2730" i="98" s="1"/>
  <c r="I2664" i="98"/>
  <c r="I2665" i="98" s="1"/>
  <c r="O20" i="86"/>
  <c r="Q20" i="86" s="1"/>
  <c r="I774" i="42"/>
  <c r="J774" i="42" s="1"/>
  <c r="I775" i="42" s="1"/>
  <c r="J775" i="42" s="1"/>
  <c r="J769" i="42" s="1"/>
  <c r="K768" i="42" s="1"/>
  <c r="I765" i="42"/>
  <c r="J765" i="42" s="1"/>
  <c r="I766" i="42" s="1"/>
  <c r="J766" i="42" s="1"/>
  <c r="J760" i="42" s="1"/>
  <c r="K759" i="42" s="1"/>
  <c r="I756" i="42"/>
  <c r="J756" i="42" s="1"/>
  <c r="I757" i="42" s="1"/>
  <c r="J757" i="42" s="1"/>
  <c r="J751" i="42" s="1"/>
  <c r="K750" i="42" s="1"/>
  <c r="I747" i="42"/>
  <c r="J747" i="42" s="1"/>
  <c r="I748" i="42" s="1"/>
  <c r="J748" i="42" s="1"/>
  <c r="J742" i="42" s="1"/>
  <c r="K741" i="42" s="1"/>
  <c r="H1385" i="103"/>
  <c r="I1385" i="103" s="1"/>
  <c r="K1379" i="103" s="1"/>
  <c r="H1169" i="103"/>
  <c r="I1169" i="103" s="1"/>
  <c r="K1161" i="103" s="1"/>
  <c r="H897" i="103"/>
  <c r="I897" i="103" s="1"/>
  <c r="K891" i="103" s="1"/>
  <c r="H774" i="103"/>
  <c r="I774" i="103" s="1"/>
  <c r="K767" i="103" s="1"/>
  <c r="H624" i="103"/>
  <c r="I624" i="103" s="1"/>
  <c r="K620" i="103" s="1"/>
  <c r="H478" i="103"/>
  <c r="I478" i="103" s="1"/>
  <c r="K472" i="103" s="1"/>
  <c r="H215" i="103"/>
  <c r="I215" i="103" s="1"/>
  <c r="K211" i="103" s="1"/>
  <c r="H1217" i="103"/>
  <c r="I1217" i="103" s="1"/>
  <c r="K1212" i="103" s="1"/>
  <c r="H304" i="103"/>
  <c r="I304" i="103" s="1"/>
  <c r="K300" i="103" s="1"/>
  <c r="H793" i="103"/>
  <c r="I793" i="103" s="1"/>
  <c r="K788" i="103" s="1"/>
  <c r="H412" i="103"/>
  <c r="I412" i="103" s="1"/>
  <c r="K407" i="103" s="1"/>
  <c r="H137" i="103"/>
  <c r="I137" i="103" s="1"/>
  <c r="K133" i="103" s="1"/>
  <c r="I1344" i="42"/>
  <c r="J1344" i="42" s="1"/>
  <c r="J1343" i="42" s="1"/>
  <c r="M1338" i="42" s="1"/>
  <c r="H1933" i="98"/>
  <c r="I1933" i="98" s="1"/>
  <c r="I1932" i="98" s="1"/>
  <c r="L1927" i="98" s="1"/>
  <c r="H531" i="98"/>
  <c r="I531" i="98" s="1"/>
  <c r="I1518" i="42"/>
  <c r="J1518" i="42" s="1"/>
  <c r="I429" i="42"/>
  <c r="J429" i="42" s="1"/>
  <c r="I438" i="42"/>
  <c r="J438" i="42" s="1"/>
  <c r="I2435" i="42"/>
  <c r="J2435" i="42" s="1"/>
  <c r="H2912" i="98"/>
  <c r="I2912" i="98" s="1"/>
  <c r="H2913" i="98" s="1"/>
  <c r="I2913" i="98" s="1"/>
  <c r="I2911" i="98" s="1"/>
  <c r="I2538" i="42"/>
  <c r="J2538" i="42" s="1"/>
  <c r="I2539" i="42" s="1"/>
  <c r="J2539" i="42" s="1"/>
  <c r="J2537" i="42" s="1"/>
  <c r="M2535" i="42" s="1"/>
  <c r="H2898" i="98"/>
  <c r="I2898" i="98" s="1"/>
  <c r="H2899" i="98" s="1"/>
  <c r="I2899" i="98" s="1"/>
  <c r="I2897" i="98" s="1"/>
  <c r="I2533" i="42"/>
  <c r="J2533" i="42" s="1"/>
  <c r="I2534" i="42" s="1"/>
  <c r="J2534" i="42" s="1"/>
  <c r="J2532" i="42" s="1"/>
  <c r="M2530" i="42" s="1"/>
  <c r="I3124" i="42"/>
  <c r="J3124" i="42" s="1"/>
  <c r="I3125" i="42" s="1"/>
  <c r="J3125" i="42" s="1"/>
  <c r="J3123" i="42" s="1"/>
  <c r="M3121" i="42" s="1"/>
  <c r="H3233" i="98"/>
  <c r="I3233" i="98" s="1"/>
  <c r="H3234" i="98" s="1"/>
  <c r="I3234" i="98" s="1"/>
  <c r="I3232" i="98" s="1"/>
  <c r="I1728" i="42"/>
  <c r="J1728" i="42" s="1"/>
  <c r="H3247" i="98"/>
  <c r="I3247" i="98" s="1"/>
  <c r="H3248" i="98" s="1"/>
  <c r="I3248" i="98" s="1"/>
  <c r="I3246" i="98" s="1"/>
  <c r="I3119" i="42"/>
  <c r="J3119" i="42" s="1"/>
  <c r="I3120" i="42" s="1"/>
  <c r="J3120" i="42" s="1"/>
  <c r="J3118" i="42" s="1"/>
  <c r="M3116" i="42" s="1"/>
  <c r="I1235" i="42"/>
  <c r="J1235" i="42" s="1"/>
  <c r="H1707" i="98"/>
  <c r="I1707" i="98" s="1"/>
  <c r="H1705" i="98"/>
  <c r="I1705" i="98" s="1"/>
  <c r="H206" i="98"/>
  <c r="I206" i="98" s="1"/>
  <c r="I992" i="42"/>
  <c r="J992" i="42" s="1"/>
  <c r="I160" i="42"/>
  <c r="J160" i="42" s="1"/>
  <c r="I1233" i="42"/>
  <c r="J1233" i="42" s="1"/>
  <c r="I3082" i="42"/>
  <c r="J3082" i="42" s="1"/>
  <c r="I2637" i="42"/>
  <c r="J2637" i="42" s="1"/>
  <c r="I922" i="42"/>
  <c r="J922" i="42" s="1"/>
  <c r="I175" i="42"/>
  <c r="J175" i="42" s="1"/>
  <c r="H245" i="98"/>
  <c r="I245" i="98" s="1"/>
  <c r="I225" i="42"/>
  <c r="J225" i="42" s="1"/>
  <c r="I1021" i="42"/>
  <c r="J1021" i="42" s="1"/>
  <c r="H1341" i="103"/>
  <c r="I1341" i="103" s="1"/>
  <c r="H1342" i="103" s="1"/>
  <c r="I1342" i="103" s="1"/>
  <c r="I1340" i="103" s="1"/>
  <c r="L1333" i="103" s="1"/>
  <c r="H1437" i="98"/>
  <c r="I1437" i="98" s="1"/>
  <c r="H88" i="98"/>
  <c r="I88" i="98" s="1"/>
  <c r="H2869" i="98"/>
  <c r="I2869" i="98" s="1"/>
  <c r="H1829" i="98"/>
  <c r="I1829" i="98" s="1"/>
  <c r="I1828" i="98" s="1"/>
  <c r="L1822" i="98" s="1"/>
  <c r="H499" i="98"/>
  <c r="I499" i="98" s="1"/>
  <c r="I372" i="42"/>
  <c r="J372" i="42" s="1"/>
  <c r="I1943" i="42"/>
  <c r="J1943" i="42" s="1"/>
  <c r="I430" i="42"/>
  <c r="J430" i="42" s="1"/>
  <c r="I1516" i="42"/>
  <c r="J1516" i="42" s="1"/>
  <c r="I1113" i="42"/>
  <c r="J1113" i="42" s="1"/>
  <c r="I2707" i="42"/>
  <c r="J2707" i="42" s="1"/>
  <c r="I1643" i="42"/>
  <c r="J1643" i="42" s="1"/>
  <c r="I1201" i="42"/>
  <c r="J1201" i="42" s="1"/>
  <c r="I2720" i="42"/>
  <c r="J2720" i="42" s="1"/>
  <c r="I2444" i="42"/>
  <c r="J2444" i="42" s="1"/>
  <c r="I2494" i="42"/>
  <c r="J2494" i="42" s="1"/>
  <c r="I1673" i="42"/>
  <c r="J1673" i="42" s="1"/>
  <c r="H2850" i="98"/>
  <c r="I2850" i="98" s="1"/>
  <c r="H1812" i="98"/>
  <c r="I1812" i="98" s="1"/>
  <c r="H1547" i="98"/>
  <c r="I1547" i="98" s="1"/>
  <c r="H788" i="98"/>
  <c r="I788" i="98" s="1"/>
  <c r="H3089" i="98"/>
  <c r="I3089" i="98" s="1"/>
  <c r="H2241" i="98"/>
  <c r="I2241" i="98" s="1"/>
  <c r="H69" i="98"/>
  <c r="I69" i="98" s="1"/>
  <c r="I1952" i="42"/>
  <c r="J1952" i="42" s="1"/>
  <c r="I2798" i="42"/>
  <c r="J2798" i="42" s="1"/>
  <c r="I599" i="42"/>
  <c r="J599" i="42" s="1"/>
  <c r="I1020" i="42"/>
  <c r="J1020" i="42" s="1"/>
  <c r="I589" i="42"/>
  <c r="J589" i="42" s="1"/>
  <c r="I402" i="42"/>
  <c r="J402" i="42" s="1"/>
  <c r="I403" i="42" s="1"/>
  <c r="J403" i="42" s="1"/>
  <c r="J401" i="42" s="1"/>
  <c r="M395" i="42" s="1"/>
  <c r="I1500" i="42"/>
  <c r="J1500" i="42" s="1"/>
  <c r="J1499" i="42" s="1"/>
  <c r="M1489" i="42" s="1"/>
  <c r="I1887" i="42"/>
  <c r="J1887" i="42" s="1"/>
  <c r="J1886" i="42" s="1"/>
  <c r="M1877" i="42" s="1"/>
  <c r="I1414" i="42"/>
  <c r="J1414" i="42" s="1"/>
  <c r="H1219" i="103"/>
  <c r="I1219" i="103" s="1"/>
  <c r="H3067" i="98"/>
  <c r="I3067" i="98" s="1"/>
  <c r="H1471" i="98"/>
  <c r="I1471" i="98" s="1"/>
  <c r="I188" i="42"/>
  <c r="J188" i="42" s="1"/>
  <c r="H2831" i="98"/>
  <c r="I2831" i="98" s="1"/>
  <c r="H585" i="98"/>
  <c r="I585" i="98" s="1"/>
  <c r="H1527" i="98"/>
  <c r="I1527" i="98" s="1"/>
  <c r="H205" i="98"/>
  <c r="I205" i="98" s="1"/>
  <c r="I1838" i="42"/>
  <c r="J1838" i="42" s="1"/>
  <c r="I2474" i="42"/>
  <c r="J2474" i="42" s="1"/>
  <c r="I3334" i="42"/>
  <c r="J3334" i="42" s="1"/>
  <c r="I1876" i="42"/>
  <c r="J1876" i="42" s="1"/>
  <c r="J1875" i="42" s="1"/>
  <c r="M1866" i="42" s="1"/>
  <c r="H2537" i="98"/>
  <c r="I2537" i="98" s="1"/>
  <c r="H532" i="98"/>
  <c r="I532" i="98" s="1"/>
  <c r="H2450" i="98"/>
  <c r="I2450" i="98" s="1"/>
  <c r="I2448" i="98" s="1"/>
  <c r="L2441" i="98" s="1"/>
  <c r="H567" i="98"/>
  <c r="I567" i="98" s="1"/>
  <c r="I94" i="42"/>
  <c r="J94" i="42" s="1"/>
  <c r="I2300" i="42"/>
  <c r="J2300" i="42" s="1"/>
  <c r="H1189" i="103"/>
  <c r="I1189" i="103" s="1"/>
  <c r="H603" i="98"/>
  <c r="I603" i="98" s="1"/>
  <c r="H414" i="103"/>
  <c r="I414" i="103" s="1"/>
  <c r="H2263" i="98"/>
  <c r="I2263" i="98" s="1"/>
  <c r="I3315" i="42"/>
  <c r="J3315" i="42" s="1"/>
  <c r="I439" i="42"/>
  <c r="J439" i="42" s="1"/>
  <c r="I1825" i="42"/>
  <c r="J1825" i="42" s="1"/>
  <c r="I2741" i="42"/>
  <c r="J2741" i="42" s="1"/>
  <c r="I1898" i="42"/>
  <c r="J1898" i="42" s="1"/>
  <c r="J1897" i="42" s="1"/>
  <c r="M1888" i="42" s="1"/>
  <c r="I938" i="42"/>
  <c r="J938" i="42" s="1"/>
  <c r="H1357" i="98"/>
  <c r="I1357" i="98" s="1"/>
  <c r="H2045" i="98"/>
  <c r="I2045" i="98" s="1"/>
  <c r="H515" i="98"/>
  <c r="I515" i="98" s="1"/>
  <c r="H2812" i="98"/>
  <c r="I2812" i="98" s="1"/>
  <c r="H1647" i="98"/>
  <c r="I1647" i="98" s="1"/>
  <c r="I1630" i="42"/>
  <c r="J1630" i="42" s="1"/>
  <c r="I201" i="42"/>
  <c r="J201" i="42" s="1"/>
  <c r="I1166" i="42"/>
  <c r="J1166" i="42" s="1"/>
  <c r="I2454" i="42"/>
  <c r="J2454" i="42" s="1"/>
  <c r="H2302" i="98"/>
  <c r="I2302" i="98" s="1"/>
  <c r="I576" i="42"/>
  <c r="J576" i="42" s="1"/>
  <c r="I68" i="42"/>
  <c r="J68" i="42" s="1"/>
  <c r="I1124" i="42"/>
  <c r="J1124" i="42" s="1"/>
  <c r="I3081" i="42"/>
  <c r="J3081" i="42" s="1"/>
  <c r="H875" i="98"/>
  <c r="I875" i="98" s="1"/>
  <c r="I3141" i="42"/>
  <c r="J3141" i="42" s="1"/>
  <c r="I1097" i="42"/>
  <c r="J1097" i="42" s="1"/>
  <c r="I1908" i="42"/>
  <c r="J1908" i="42" s="1"/>
  <c r="I1570" i="42"/>
  <c r="J1570" i="42" s="1"/>
  <c r="I383" i="42"/>
  <c r="J383" i="42" s="1"/>
  <c r="I949" i="42"/>
  <c r="J949" i="42" s="1"/>
  <c r="I1760" i="42"/>
  <c r="J1760" i="42" s="1"/>
  <c r="I1617" i="42"/>
  <c r="J1617" i="42" s="1"/>
  <c r="I2776" i="42"/>
  <c r="J2776" i="42" s="1"/>
  <c r="H795" i="103"/>
  <c r="I795" i="103" s="1"/>
  <c r="H1491" i="98"/>
  <c r="I1491" i="98" s="1"/>
  <c r="H463" i="98"/>
  <c r="I463" i="98" s="1"/>
  <c r="H2390" i="98"/>
  <c r="I2390" i="98" s="1"/>
  <c r="H1569" i="98"/>
  <c r="I1569" i="98" s="1"/>
  <c r="I864" i="42"/>
  <c r="J864" i="42" s="1"/>
  <c r="I58" i="42"/>
  <c r="J58" i="42" s="1"/>
  <c r="I212" i="42"/>
  <c r="J212" i="42" s="1"/>
  <c r="I213" i="42" s="1"/>
  <c r="J213" i="42" s="1"/>
  <c r="J211" i="42" s="1"/>
  <c r="M204" i="42" s="1"/>
  <c r="I1032" i="42"/>
  <c r="J1032" i="42" s="1"/>
  <c r="I1033" i="42" s="1"/>
  <c r="J1033" i="42" s="1"/>
  <c r="J1031" i="42" s="1"/>
  <c r="M1024" i="42" s="1"/>
  <c r="I636" i="42"/>
  <c r="J636" i="42" s="1"/>
  <c r="I1191" i="42"/>
  <c r="J1191" i="42" s="1"/>
  <c r="I1192" i="42" s="1"/>
  <c r="J1192" i="42" s="1"/>
  <c r="J1190" i="42" s="1"/>
  <c r="M1183" i="42" s="1"/>
  <c r="I1583" i="42"/>
  <c r="J1583" i="42" s="1"/>
  <c r="I472" i="42"/>
  <c r="J472" i="42" s="1"/>
  <c r="I2327" i="42"/>
  <c r="J2327" i="42" s="1"/>
  <c r="I1934" i="42"/>
  <c r="J1934" i="42" s="1"/>
  <c r="I463" i="42"/>
  <c r="J463" i="42" s="1"/>
  <c r="I3024" i="42"/>
  <c r="J3024" i="42" s="1"/>
  <c r="I1153" i="42"/>
  <c r="J1153" i="42" s="1"/>
  <c r="I159" i="42"/>
  <c r="J159" i="42" s="1"/>
  <c r="I2484" i="42"/>
  <c r="J2484" i="42" s="1"/>
  <c r="I2636" i="42"/>
  <c r="J2636" i="42" s="1"/>
  <c r="H1621" i="98"/>
  <c r="I1621" i="98" s="1"/>
  <c r="H1622" i="98" s="1"/>
  <c r="I1622" i="98" s="1"/>
  <c r="I1620" i="98" s="1"/>
  <c r="L1613" i="98" s="1"/>
  <c r="H2515" i="98"/>
  <c r="I2515" i="98" s="1"/>
  <c r="H1273" i="98"/>
  <c r="I1273" i="98" s="1"/>
  <c r="I2464" i="42"/>
  <c r="J2464" i="42" s="1"/>
  <c r="H121" i="103"/>
  <c r="I121" i="103" s="1"/>
  <c r="H157" i="103"/>
  <c r="I157" i="103" s="1"/>
  <c r="H1703" i="98"/>
  <c r="I1703" i="98" s="1"/>
  <c r="H244" i="98"/>
  <c r="I244" i="98" s="1"/>
  <c r="I111" i="42"/>
  <c r="J111" i="42" s="1"/>
  <c r="I1297" i="42"/>
  <c r="J1297" i="42" s="1"/>
  <c r="J1296" i="42" s="1"/>
  <c r="M1290" i="42" s="1"/>
  <c r="I2624" i="42"/>
  <c r="J2624" i="42" s="1"/>
  <c r="I174" i="42"/>
  <c r="J174" i="42" s="1"/>
  <c r="I1142" i="42"/>
  <c r="J1142" i="42" s="1"/>
  <c r="I1265" i="42"/>
  <c r="J1265" i="42" s="1"/>
  <c r="I650" i="42"/>
  <c r="J650" i="42" s="1"/>
  <c r="I481" i="42"/>
  <c r="J481" i="42" s="1"/>
  <c r="I1851" i="42"/>
  <c r="J1851" i="42" s="1"/>
  <c r="H183" i="103"/>
  <c r="I183" i="103" s="1"/>
  <c r="H2324" i="98"/>
  <c r="I2324" i="98" s="1"/>
  <c r="H126" i="98"/>
  <c r="I126" i="98" s="1"/>
  <c r="H2153" i="98"/>
  <c r="I2153" i="98" s="1"/>
  <c r="I2152" i="98" s="1"/>
  <c r="L2144" i="98" s="1"/>
  <c r="I1288" i="42"/>
  <c r="J1288" i="42" s="1"/>
  <c r="I1686" i="42"/>
  <c r="J1686" i="42" s="1"/>
  <c r="I912" i="42"/>
  <c r="J912" i="42" s="1"/>
  <c r="H224" i="98"/>
  <c r="I224" i="98" s="1"/>
  <c r="I223" i="98" s="1"/>
  <c r="L217" i="98" s="1"/>
  <c r="I3036" i="42"/>
  <c r="J3036" i="42" s="1"/>
  <c r="I609" i="42"/>
  <c r="J609" i="42" s="1"/>
  <c r="I1604" i="42"/>
  <c r="J1604" i="42" s="1"/>
  <c r="I3093" i="42"/>
  <c r="J3093" i="42" s="1"/>
  <c r="I3094" i="42" s="1"/>
  <c r="J3094" i="42" s="1"/>
  <c r="J3092" i="42" s="1"/>
  <c r="M3085" i="42" s="1"/>
  <c r="I1231" i="42"/>
  <c r="J1231" i="42" s="1"/>
  <c r="I991" i="42"/>
  <c r="J991" i="42" s="1"/>
  <c r="I1773" i="42"/>
  <c r="J1773" i="42" s="1"/>
  <c r="I1716" i="42"/>
  <c r="J1716" i="42" s="1"/>
  <c r="I2811" i="42"/>
  <c r="J2811" i="42" s="1"/>
  <c r="I2433" i="42"/>
  <c r="J2433" i="42" s="1"/>
  <c r="I1706" i="42"/>
  <c r="J1706" i="42" s="1"/>
  <c r="J1704" i="42" s="1"/>
  <c r="M1697" i="42" s="1"/>
  <c r="I622" i="42"/>
  <c r="J622" i="42" s="1"/>
  <c r="I411" i="42"/>
  <c r="J411" i="42" s="1"/>
  <c r="I412" i="42" s="1"/>
  <c r="J412" i="42" s="1"/>
  <c r="J410" i="42" s="1"/>
  <c r="M404" i="42" s="1"/>
  <c r="H2672" i="98"/>
  <c r="I2672" i="98" s="1"/>
  <c r="H2412" i="98"/>
  <c r="I2412" i="98" s="1"/>
  <c r="H829" i="98"/>
  <c r="I829" i="98" s="1"/>
  <c r="H1773" i="98"/>
  <c r="I1773" i="98" s="1"/>
  <c r="H443" i="98"/>
  <c r="I443" i="98" s="1"/>
  <c r="I2427" i="42"/>
  <c r="J2427" i="42" s="1"/>
  <c r="I703" i="42"/>
  <c r="J703" i="42" s="1"/>
  <c r="I739" i="42"/>
  <c r="J739" i="42" s="1"/>
  <c r="H1029" i="98"/>
  <c r="I1029" i="98" s="1"/>
  <c r="I722" i="42"/>
  <c r="J722" i="42" s="1"/>
  <c r="I697" i="42"/>
  <c r="J697" i="42" s="1"/>
  <c r="I733" i="42"/>
  <c r="J733" i="42" s="1"/>
  <c r="I981" i="42"/>
  <c r="J981" i="42" s="1"/>
  <c r="I714" i="42"/>
  <c r="J714" i="42" s="1"/>
  <c r="I963" i="42"/>
  <c r="J963" i="42" s="1"/>
  <c r="H1021" i="98"/>
  <c r="I1021" i="98" s="1"/>
  <c r="I3247" i="42"/>
  <c r="J3247" i="42" s="1"/>
  <c r="AC930" i="66"/>
  <c r="I2601" i="42"/>
  <c r="J2601" i="42" s="1"/>
  <c r="I310" i="42"/>
  <c r="J310" i="42" s="1"/>
  <c r="I2592" i="42"/>
  <c r="J2592" i="42" s="1"/>
  <c r="I2609" i="42"/>
  <c r="J2609" i="42" s="1"/>
  <c r="H372" i="98"/>
  <c r="I372" i="98" s="1"/>
  <c r="I3317" i="42"/>
  <c r="J3317" i="42" s="1"/>
  <c r="I927" i="42"/>
  <c r="J927" i="42" s="1"/>
  <c r="AC422" i="66"/>
  <c r="I1287" i="42"/>
  <c r="J1287" i="42" s="1"/>
  <c r="H1811" i="98"/>
  <c r="I1811" i="98" s="1"/>
  <c r="H2262" i="98"/>
  <c r="I2262" i="98" s="1"/>
  <c r="H3323" i="98"/>
  <c r="I3323" i="98" s="1"/>
  <c r="I3322" i="98" s="1"/>
  <c r="I3272" i="42"/>
  <c r="J3272" i="42" s="1"/>
  <c r="J3271" i="42" s="1"/>
  <c r="M3269" i="42" s="1"/>
  <c r="I1582" i="42"/>
  <c r="J1582" i="42" s="1"/>
  <c r="I76" i="42"/>
  <c r="J76" i="42" s="1"/>
  <c r="I1840" i="42"/>
  <c r="J1840" i="42" s="1"/>
  <c r="I2800" i="42"/>
  <c r="J2800" i="42" s="1"/>
  <c r="H3091" i="98"/>
  <c r="I3091" i="98" s="1"/>
  <c r="H105" i="98"/>
  <c r="I105" i="98" s="1"/>
  <c r="I1907" i="42"/>
  <c r="J1907" i="42" s="1"/>
  <c r="H2539" i="98"/>
  <c r="I2539" i="98" s="1"/>
  <c r="I190" i="42"/>
  <c r="J190" i="42" s="1"/>
  <c r="I1762" i="42"/>
  <c r="J1762" i="42" s="1"/>
  <c r="I203" i="42"/>
  <c r="J203" i="42" s="1"/>
  <c r="I3143" i="42"/>
  <c r="J3143" i="42" s="1"/>
  <c r="H2392" i="98"/>
  <c r="I2392" i="98" s="1"/>
  <c r="I2743" i="42"/>
  <c r="J2743" i="42" s="1"/>
  <c r="H2414" i="98"/>
  <c r="I2414" i="98" s="1"/>
  <c r="I1688" i="42"/>
  <c r="J1688" i="42" s="1"/>
  <c r="I1775" i="42"/>
  <c r="J1775" i="42" s="1"/>
  <c r="I2722" i="42"/>
  <c r="J2722" i="42" s="1"/>
  <c r="I1675" i="42"/>
  <c r="J1675" i="42" s="1"/>
  <c r="I2813" i="42"/>
  <c r="J2813" i="42" s="1"/>
  <c r="I1827" i="42"/>
  <c r="J1827" i="42" s="1"/>
  <c r="H2243" i="98"/>
  <c r="I2243" i="98" s="1"/>
  <c r="I2709" i="42"/>
  <c r="J2709" i="42" s="1"/>
  <c r="H2517" i="98"/>
  <c r="I2517" i="98" s="1"/>
  <c r="H3069" i="98"/>
  <c r="I3069" i="98" s="1"/>
  <c r="I1572" i="42"/>
  <c r="J1572" i="42" s="1"/>
  <c r="I2428" i="42"/>
  <c r="J2428" i="42" s="1"/>
  <c r="I637" i="42"/>
  <c r="J637" i="42" s="1"/>
  <c r="H122" i="103"/>
  <c r="I122" i="103" s="1"/>
  <c r="H1549" i="98"/>
  <c r="I1549" i="98" s="1"/>
  <c r="H1529" i="98"/>
  <c r="I1529" i="98" s="1"/>
  <c r="I1167" i="42"/>
  <c r="J1167" i="42" s="1"/>
  <c r="I1125" i="42"/>
  <c r="J1125" i="42" s="1"/>
  <c r="H1570" i="98"/>
  <c r="I1570" i="98" s="1"/>
  <c r="H1492" i="98"/>
  <c r="I1492" i="98" s="1"/>
  <c r="I1155" i="42"/>
  <c r="J1155" i="42" s="1"/>
  <c r="I1144" i="42"/>
  <c r="J1144" i="42" s="1"/>
  <c r="J1714" i="42"/>
  <c r="M1707" i="42" s="1"/>
  <c r="A32" i="7"/>
  <c r="I720" i="42"/>
  <c r="J720" i="42" s="1"/>
  <c r="I701" i="42"/>
  <c r="J701" i="42" s="1"/>
  <c r="I1853" i="42"/>
  <c r="J1853" i="42" s="1"/>
  <c r="H1027" i="98"/>
  <c r="I1027" i="98" s="1"/>
  <c r="I737" i="42"/>
  <c r="J737" i="42" s="1"/>
  <c r="H899" i="98"/>
  <c r="I899" i="98" s="1"/>
  <c r="I665" i="42"/>
  <c r="J665" i="42" s="1"/>
  <c r="H945" i="98"/>
  <c r="I945" i="98" s="1"/>
  <c r="I2506" i="42"/>
  <c r="J2506" i="42" s="1"/>
  <c r="I2521" i="42"/>
  <c r="J2521" i="42" s="1"/>
  <c r="H923" i="98"/>
  <c r="I923" i="98" s="1"/>
  <c r="H971" i="98"/>
  <c r="I971" i="98" s="1"/>
  <c r="I682" i="42"/>
  <c r="J682" i="42" s="1"/>
  <c r="I964" i="42"/>
  <c r="J964" i="42" s="1"/>
  <c r="I982" i="42"/>
  <c r="J982" i="42" s="1"/>
  <c r="H1481" i="103"/>
  <c r="I1481" i="103" s="1"/>
  <c r="I47" i="42"/>
  <c r="J47" i="42" s="1"/>
  <c r="I38" i="42"/>
  <c r="J38" i="42" s="1"/>
  <c r="H52" i="98"/>
  <c r="I3217" i="42"/>
  <c r="J3217" i="42" s="1"/>
  <c r="AC801" i="66"/>
  <c r="I2607" i="42"/>
  <c r="J2607" i="42" s="1"/>
  <c r="I2590" i="42"/>
  <c r="J2590" i="42" s="1"/>
  <c r="I2598" i="42"/>
  <c r="J2598" i="42" s="1"/>
  <c r="I1992" i="42"/>
  <c r="J1992" i="42" s="1"/>
  <c r="I1994" i="42" s="1"/>
  <c r="J1994" i="42" s="1"/>
  <c r="J1991" i="42" s="1"/>
  <c r="M1986" i="42" s="1"/>
  <c r="H483" i="98"/>
  <c r="I483" i="98" s="1"/>
  <c r="I482" i="98" s="1"/>
  <c r="L475" i="98" s="1"/>
  <c r="I1415" i="42"/>
  <c r="J1415" i="42" s="1"/>
  <c r="H1810" i="98"/>
  <c r="I1810" i="98" s="1"/>
  <c r="I1286" i="42"/>
  <c r="J1286" i="42" s="1"/>
  <c r="I1289" i="42" s="1"/>
  <c r="J1289" i="42" s="1"/>
  <c r="J1285" i="42" s="1"/>
  <c r="M1274" i="42" s="1"/>
  <c r="I652" i="42"/>
  <c r="J652" i="42" s="1"/>
  <c r="I1517" i="42"/>
  <c r="J1517" i="42" s="1"/>
  <c r="H877" i="98"/>
  <c r="I877" i="98" s="1"/>
  <c r="H2046" i="98"/>
  <c r="I2046" i="98" s="1"/>
  <c r="I394" i="42"/>
  <c r="J394" i="42" s="1"/>
  <c r="J393" i="42" s="1"/>
  <c r="M386" i="42" s="1"/>
  <c r="I2429" i="42"/>
  <c r="J2429" i="42" s="1"/>
  <c r="I2434" i="42"/>
  <c r="J2434" i="42" s="1"/>
  <c r="H1704" i="98"/>
  <c r="I1704" i="98" s="1"/>
  <c r="I1232" i="42"/>
  <c r="J1232" i="42" s="1"/>
  <c r="F75" i="93"/>
  <c r="C76" i="93"/>
  <c r="I75" i="93"/>
  <c r="L75" i="93" s="1"/>
  <c r="H1646" i="98"/>
  <c r="I1646" i="98" s="1"/>
  <c r="I1200" i="42"/>
  <c r="J1200" i="42" s="1"/>
  <c r="J1199" i="42" s="1"/>
  <c r="M1197" i="42" s="1"/>
  <c r="I1204" i="42"/>
  <c r="J1204" i="42" s="1"/>
  <c r="J1203" i="42" s="1"/>
  <c r="M1202" i="42" s="1"/>
  <c r="H1659" i="98"/>
  <c r="I1659" i="98" s="1"/>
  <c r="I1658" i="98" s="1"/>
  <c r="I1228" i="42"/>
  <c r="J1228" i="42" s="1"/>
  <c r="H182" i="103"/>
  <c r="I182" i="103" s="1"/>
  <c r="H1700" i="98"/>
  <c r="I1700" i="98" s="1"/>
  <c r="I3313" i="42"/>
  <c r="J3313" i="42" s="1"/>
  <c r="AC665" i="66"/>
  <c r="I2599" i="42"/>
  <c r="J2599" i="42" s="1"/>
  <c r="H878" i="98"/>
  <c r="I878" i="98" s="1"/>
  <c r="I653" i="42"/>
  <c r="J653" i="42" s="1"/>
  <c r="I2186" i="42"/>
  <c r="J2186" i="42" s="1"/>
  <c r="I545" i="42"/>
  <c r="J545" i="42" s="1"/>
  <c r="I1737" i="42"/>
  <c r="J1737" i="42" s="1"/>
  <c r="I627" i="42"/>
  <c r="J627" i="42" s="1"/>
  <c r="I869" i="42"/>
  <c r="J869" i="42" s="1"/>
  <c r="I1549" i="42"/>
  <c r="J1549" i="42" s="1"/>
  <c r="H1026" i="98"/>
  <c r="I1026" i="98" s="1"/>
  <c r="I581" i="42"/>
  <c r="J581" i="42" s="1"/>
  <c r="I1730" i="42"/>
  <c r="J1730" i="42" s="1"/>
  <c r="I1557" i="42"/>
  <c r="J1557" i="42" s="1"/>
  <c r="H834" i="98"/>
  <c r="I834" i="98" s="1"/>
  <c r="I719" i="42"/>
  <c r="J719" i="42" s="1"/>
  <c r="H1278" i="98"/>
  <c r="I1278" i="98" s="1"/>
  <c r="I99" i="42"/>
  <c r="J99" i="42" s="1"/>
  <c r="I614" i="42"/>
  <c r="J614" i="42" s="1"/>
  <c r="H371" i="98"/>
  <c r="I371" i="98" s="1"/>
  <c r="I309" i="42"/>
  <c r="J309" i="42" s="1"/>
  <c r="I311" i="42" s="1"/>
  <c r="J311" i="42" s="1"/>
  <c r="J307" i="42" s="1"/>
  <c r="M300" i="42" s="1"/>
  <c r="H1702" i="98"/>
  <c r="I1702" i="98" s="1"/>
  <c r="I1230" i="42"/>
  <c r="J1230" i="42" s="1"/>
  <c r="H306" i="103"/>
  <c r="I306" i="103" s="1"/>
  <c r="I2149" i="42"/>
  <c r="J2149" i="42" s="1"/>
  <c r="H2021" i="98"/>
  <c r="I2021" i="98" s="1"/>
  <c r="H626" i="103"/>
  <c r="I626" i="103" s="1"/>
  <c r="I1985" i="42"/>
  <c r="J1985" i="42" s="1"/>
  <c r="I1399" i="42"/>
  <c r="J1399" i="42" s="1"/>
  <c r="I348" i="103"/>
  <c r="I349" i="103" s="1"/>
  <c r="I350" i="103" s="1"/>
  <c r="I351" i="103" s="1"/>
  <c r="I352" i="103" s="1"/>
  <c r="I1359" i="103"/>
  <c r="I1360" i="103" s="1"/>
  <c r="I1361" i="103" s="1"/>
  <c r="I367" i="103"/>
  <c r="I368" i="103" s="1"/>
  <c r="I369" i="103" s="1"/>
  <c r="I370" i="103" s="1"/>
  <c r="I371" i="103" s="1"/>
  <c r="I842" i="103"/>
  <c r="I843" i="103" s="1"/>
  <c r="I3147" i="98"/>
  <c r="I3148" i="98" s="1"/>
  <c r="I3149" i="98" s="1"/>
  <c r="I2716" i="98"/>
  <c r="I2717" i="98" s="1"/>
  <c r="I2718" i="98" s="1"/>
  <c r="I1143" i="103"/>
  <c r="I1144" i="103" s="1"/>
  <c r="H628" i="103"/>
  <c r="I628" i="103" s="1"/>
  <c r="H308" i="103"/>
  <c r="I308" i="103" s="1"/>
  <c r="H3309" i="98"/>
  <c r="I3309" i="98" s="1"/>
  <c r="H3310" i="98" s="1"/>
  <c r="I3310" i="98" s="1"/>
  <c r="I3307" i="98" s="1"/>
  <c r="I717" i="42"/>
  <c r="J717" i="42" s="1"/>
  <c r="I809" i="42"/>
  <c r="J809" i="42" s="1"/>
  <c r="I1401" i="42"/>
  <c r="J1401" i="42" s="1"/>
  <c r="I700" i="42"/>
  <c r="J700" i="42" s="1"/>
  <c r="H1170" i="98"/>
  <c r="I1170" i="98" s="1"/>
  <c r="I3267" i="42"/>
  <c r="J3267" i="42" s="1"/>
  <c r="I736" i="42"/>
  <c r="J736" i="42" s="1"/>
  <c r="I2151" i="42"/>
  <c r="J2151" i="42" s="1"/>
  <c r="I1234" i="42"/>
  <c r="J1234" i="42" s="1"/>
  <c r="H2023" i="98"/>
  <c r="I2023" i="98" s="1"/>
  <c r="H1706" i="98"/>
  <c r="I1706" i="98" s="1"/>
  <c r="H1024" i="98"/>
  <c r="I1024" i="98" s="1"/>
  <c r="I297" i="42"/>
  <c r="J297" i="42" s="1"/>
  <c r="H313" i="98"/>
  <c r="I313" i="98" s="1"/>
  <c r="H351" i="98"/>
  <c r="I351" i="98" s="1"/>
  <c r="I267" i="42"/>
  <c r="J267" i="42" s="1"/>
  <c r="H1972" i="98"/>
  <c r="I1972" i="98" s="1"/>
  <c r="K1961" i="98" s="1"/>
  <c r="H943" i="98"/>
  <c r="I943" i="98" s="1"/>
  <c r="K936" i="98" s="1"/>
  <c r="H1128" i="98"/>
  <c r="I1128" i="98" s="1"/>
  <c r="K1120" i="98" s="1"/>
  <c r="H897" i="98"/>
  <c r="I897" i="98" s="1"/>
  <c r="K890" i="98" s="1"/>
  <c r="H2061" i="98"/>
  <c r="I2061" i="98" s="1"/>
  <c r="K2057" i="98" s="1"/>
  <c r="H1317" i="98"/>
  <c r="I1317" i="98" s="1"/>
  <c r="K1309" i="98" s="1"/>
  <c r="H618" i="98"/>
  <c r="I618" i="98" s="1"/>
  <c r="K614" i="98" s="1"/>
  <c r="H873" i="98"/>
  <c r="I873" i="98" s="1"/>
  <c r="K865" i="98" s="1"/>
  <c r="H1296" i="98"/>
  <c r="I1296" i="98" s="1"/>
  <c r="K1288" i="98" s="1"/>
  <c r="H969" i="98"/>
  <c r="I969" i="98" s="1"/>
  <c r="K960" i="98" s="1"/>
  <c r="H921" i="98"/>
  <c r="I921" i="98" s="1"/>
  <c r="K912" i="98" s="1"/>
  <c r="H1368" i="98"/>
  <c r="I1368" i="98" s="1"/>
  <c r="H3020" i="98"/>
  <c r="I3020" i="98" s="1"/>
  <c r="K3012" i="98" s="1"/>
  <c r="H1384" i="98"/>
  <c r="H1092" i="98"/>
  <c r="I1092" i="98" s="1"/>
  <c r="H1074" i="98"/>
  <c r="I1074" i="98" s="1"/>
  <c r="H2043" i="98"/>
  <c r="I2043" i="98" s="1"/>
  <c r="K2033" i="98" s="1"/>
  <c r="H2300" i="98"/>
  <c r="I2300" i="98" s="1"/>
  <c r="K2293" i="98" s="1"/>
  <c r="H242" i="98"/>
  <c r="I242" i="98" s="1"/>
  <c r="H1338" i="98"/>
  <c r="I1338" i="98" s="1"/>
  <c r="K1330" i="98" s="1"/>
  <c r="H1110" i="98"/>
  <c r="I1110" i="98" s="1"/>
  <c r="K1102" i="98" s="1"/>
  <c r="H2322" i="98"/>
  <c r="I2322" i="98" s="1"/>
  <c r="K2315" i="98" s="1"/>
  <c r="H203" i="98"/>
  <c r="I203" i="98" s="1"/>
  <c r="K195" i="98" s="1"/>
  <c r="H1256" i="98"/>
  <c r="I1256" i="98" s="1"/>
  <c r="H1017" i="98"/>
  <c r="I1017" i="98" s="1"/>
  <c r="K1012" i="98" s="1"/>
  <c r="C54" i="93"/>
  <c r="F53" i="93"/>
  <c r="I53" i="93" s="1"/>
  <c r="L53" i="93" s="1"/>
  <c r="I1478" i="42"/>
  <c r="J1478" i="42" s="1"/>
  <c r="J1476" i="42" s="1"/>
  <c r="M1469" i="42" s="1"/>
  <c r="I1483" i="42"/>
  <c r="J1483" i="42" s="1"/>
  <c r="J1481" i="42" s="1"/>
  <c r="M1479" i="42" s="1"/>
  <c r="I639" i="42"/>
  <c r="J639" i="42" s="1"/>
  <c r="J635" i="42" s="1"/>
  <c r="M628" i="42" s="1"/>
  <c r="H380" i="103"/>
  <c r="I380" i="103" s="1"/>
  <c r="I378" i="103" s="1"/>
  <c r="H713" i="103"/>
  <c r="I713" i="103" s="1"/>
  <c r="I2218" i="42"/>
  <c r="J2218" i="42" s="1"/>
  <c r="I2865" i="42"/>
  <c r="J2865" i="42" s="1"/>
  <c r="H948" i="103"/>
  <c r="I948" i="103" s="1"/>
  <c r="H948" i="98"/>
  <c r="I948" i="98" s="1"/>
  <c r="I718" i="42"/>
  <c r="J718" i="42" s="1"/>
  <c r="I97" i="42"/>
  <c r="J97" i="42" s="1"/>
  <c r="I867" i="42"/>
  <c r="J867" i="42" s="1"/>
  <c r="I1550" i="42"/>
  <c r="J1550" i="42" s="1"/>
  <c r="I1738" i="42"/>
  <c r="J1738" i="42" s="1"/>
  <c r="H2494" i="98"/>
  <c r="I2494" i="98" s="1"/>
  <c r="I1731" i="42"/>
  <c r="J1731" i="42" s="1"/>
  <c r="I625" i="42"/>
  <c r="J625" i="42" s="1"/>
  <c r="I1584" i="42"/>
  <c r="J1584" i="42" s="1"/>
  <c r="I668" i="42"/>
  <c r="J668" i="42" s="1"/>
  <c r="I1558" i="42"/>
  <c r="J1558" i="42" s="1"/>
  <c r="H2264" i="98"/>
  <c r="I2264" i="98" s="1"/>
  <c r="H832" i="98"/>
  <c r="I832" i="98" s="1"/>
  <c r="I612" i="42"/>
  <c r="J612" i="42" s="1"/>
  <c r="I1748" i="42"/>
  <c r="J1748" i="42" s="1"/>
  <c r="I579" i="42"/>
  <c r="J579" i="42" s="1"/>
  <c r="H1276" i="98"/>
  <c r="I1276" i="98" s="1"/>
  <c r="H1025" i="98"/>
  <c r="I1025" i="98" s="1"/>
  <c r="I731" i="42"/>
  <c r="J731" i="42" s="1"/>
  <c r="I96" i="42"/>
  <c r="J96" i="42" s="1"/>
  <c r="I1849" i="42"/>
  <c r="J1849" i="42" s="1"/>
  <c r="I1983" i="42"/>
  <c r="J1983" i="42" s="1"/>
  <c r="J1982" i="42" s="1"/>
  <c r="M1975" i="42" s="1"/>
  <c r="H1112" i="103"/>
  <c r="I1112" i="103" s="1"/>
  <c r="I1109" i="103" s="1"/>
  <c r="I2958" i="42"/>
  <c r="J2958" i="42" s="1"/>
  <c r="J2955" i="42" s="1"/>
  <c r="M2946" i="42" s="1"/>
  <c r="I2245" i="42"/>
  <c r="J2245" i="42" s="1"/>
  <c r="J2242" i="42" s="1"/>
  <c r="M2232" i="42" s="1"/>
  <c r="H1091" i="103"/>
  <c r="I1091" i="103" s="1"/>
  <c r="I1088" i="103" s="1"/>
  <c r="H2080" i="98"/>
  <c r="I2080" i="98" s="1"/>
  <c r="I2077" i="98" s="1"/>
  <c r="L2071" i="98" s="1"/>
  <c r="I2945" i="42"/>
  <c r="J2945" i="42" s="1"/>
  <c r="J2942" i="42" s="1"/>
  <c r="M2933" i="42" s="1"/>
  <c r="I1431" i="42"/>
  <c r="J1431" i="42" s="1"/>
  <c r="J1428" i="42" s="1"/>
  <c r="M1422" i="42" s="1"/>
  <c r="H1054" i="103"/>
  <c r="I1054" i="103" s="1"/>
  <c r="I1053" i="103" s="1"/>
  <c r="L1049" i="103" s="1"/>
  <c r="H964" i="103"/>
  <c r="I964" i="103" s="1"/>
  <c r="I963" i="103" s="1"/>
  <c r="L959" i="103" s="1"/>
  <c r="H1069" i="103"/>
  <c r="I1069" i="103" s="1"/>
  <c r="I1068" i="103" s="1"/>
  <c r="L1064" i="103" s="1"/>
  <c r="H1039" i="103"/>
  <c r="I1039" i="103" s="1"/>
  <c r="I1038" i="103" s="1"/>
  <c r="L1034" i="103" s="1"/>
  <c r="H979" i="103"/>
  <c r="I979" i="103" s="1"/>
  <c r="I978" i="103" s="1"/>
  <c r="L974" i="103" s="1"/>
  <c r="H1024" i="103"/>
  <c r="I1024" i="103" s="1"/>
  <c r="I1023" i="103" s="1"/>
  <c r="L1019" i="103" s="1"/>
  <c r="I2884" i="42"/>
  <c r="J2884" i="42" s="1"/>
  <c r="J2883" i="42" s="1"/>
  <c r="M2879" i="42" s="1"/>
  <c r="I2932" i="42"/>
  <c r="J2932" i="42" s="1"/>
  <c r="J2931" i="42" s="1"/>
  <c r="M2927" i="42" s="1"/>
  <c r="I2872" i="42"/>
  <c r="J2872" i="42" s="1"/>
  <c r="J2871" i="42" s="1"/>
  <c r="M2867" i="42" s="1"/>
  <c r="I2908" i="42"/>
  <c r="J2908" i="42" s="1"/>
  <c r="J2907" i="42" s="1"/>
  <c r="M2903" i="42" s="1"/>
  <c r="I2896" i="42"/>
  <c r="J2896" i="42" s="1"/>
  <c r="J2895" i="42" s="1"/>
  <c r="M2891" i="42" s="1"/>
  <c r="H994" i="103"/>
  <c r="I994" i="103" s="1"/>
  <c r="I993" i="103" s="1"/>
  <c r="L989" i="103" s="1"/>
  <c r="H1009" i="103"/>
  <c r="I1009" i="103" s="1"/>
  <c r="I1008" i="103" s="1"/>
  <c r="L1004" i="103" s="1"/>
  <c r="I2902" i="42"/>
  <c r="J2902" i="42" s="1"/>
  <c r="J2901" i="42" s="1"/>
  <c r="M2897" i="42" s="1"/>
  <c r="I2914" i="42"/>
  <c r="J2914" i="42" s="1"/>
  <c r="J2913" i="42" s="1"/>
  <c r="M2909" i="42" s="1"/>
  <c r="I2926" i="42"/>
  <c r="J2926" i="42" s="1"/>
  <c r="J2925" i="42" s="1"/>
  <c r="M2921" i="42" s="1"/>
  <c r="I2890" i="42"/>
  <c r="J2890" i="42" s="1"/>
  <c r="J2889" i="42" s="1"/>
  <c r="M2885" i="42" s="1"/>
  <c r="I2920" i="42"/>
  <c r="J2920" i="42" s="1"/>
  <c r="J2919" i="42" s="1"/>
  <c r="M2915" i="42" s="1"/>
  <c r="I2878" i="42"/>
  <c r="J2878" i="42" s="1"/>
  <c r="J2877" i="42" s="1"/>
  <c r="M2873" i="42" s="1"/>
  <c r="H2266" i="98"/>
  <c r="I2266" i="98" s="1"/>
  <c r="I1586" i="42"/>
  <c r="J1586" i="42" s="1"/>
  <c r="H1477" i="103"/>
  <c r="I1477" i="103" s="1"/>
  <c r="H49" i="98"/>
  <c r="I43" i="42"/>
  <c r="J43" i="42" s="1"/>
  <c r="I3213" i="42"/>
  <c r="J3213" i="42" s="1"/>
  <c r="I34" i="42"/>
  <c r="J34" i="42" s="1"/>
  <c r="I2702" i="98"/>
  <c r="I2703" i="98" s="1"/>
  <c r="I2704" i="98" s="1"/>
  <c r="I2705" i="98" s="1"/>
  <c r="I2706" i="98" s="1"/>
  <c r="I3040" i="98"/>
  <c r="I3041" i="98" s="1"/>
  <c r="I3042" i="98" s="1"/>
  <c r="B15" i="86"/>
  <c r="B18" i="86" s="1"/>
  <c r="E75" i="93"/>
  <c r="H74" i="93"/>
  <c r="K74" i="93" s="1"/>
  <c r="N74" i="93" s="1"/>
  <c r="H1420" i="103"/>
  <c r="I1420" i="103" s="1"/>
  <c r="H3266" i="98"/>
  <c r="I3266" i="98" s="1"/>
  <c r="H751" i="98"/>
  <c r="I751" i="98" s="1"/>
  <c r="H730" i="98"/>
  <c r="I730" i="98" s="1"/>
  <c r="H550" i="98"/>
  <c r="I550" i="98" s="1"/>
  <c r="H106" i="98"/>
  <c r="I106" i="98" s="1"/>
  <c r="I2291" i="42"/>
  <c r="J2291" i="42" s="1"/>
  <c r="I3016" i="42"/>
  <c r="J3016" i="42" s="1"/>
  <c r="I447" i="42"/>
  <c r="J447" i="42" s="1"/>
  <c r="I1916" i="42"/>
  <c r="J1916" i="42" s="1"/>
  <c r="I1352" i="42"/>
  <c r="J1352" i="42" s="1"/>
  <c r="I3294" i="42"/>
  <c r="J3294" i="42" s="1"/>
  <c r="I1527" i="42"/>
  <c r="J1527" i="42" s="1"/>
  <c r="I3182" i="42"/>
  <c r="J3182" i="42" s="1"/>
  <c r="I2988" i="42"/>
  <c r="J2988" i="42" s="1"/>
  <c r="I541" i="42"/>
  <c r="J541" i="42" s="1"/>
  <c r="I3048" i="42"/>
  <c r="J3048" i="42" s="1"/>
  <c r="I1925" i="42"/>
  <c r="J1925" i="42" s="1"/>
  <c r="I530" i="42"/>
  <c r="J530" i="42" s="1"/>
  <c r="I3005" i="42"/>
  <c r="J3005" i="42" s="1"/>
  <c r="I77" i="42"/>
  <c r="J77" i="42" s="1"/>
  <c r="J75" i="42" s="1"/>
  <c r="M71" i="42" s="1"/>
  <c r="I1256" i="42"/>
  <c r="J1256" i="42" s="1"/>
  <c r="H1402" i="103"/>
  <c r="I1402" i="103" s="1"/>
  <c r="H3363" i="98"/>
  <c r="I3363" i="98" s="1"/>
  <c r="H2182" i="98"/>
  <c r="I2182" i="98" s="1"/>
  <c r="H669" i="98"/>
  <c r="I669" i="98" s="1"/>
  <c r="I1862" i="42"/>
  <c r="J1862" i="42" s="1"/>
  <c r="I3152" i="42"/>
  <c r="J3152" i="42" s="1"/>
  <c r="I2555" i="42"/>
  <c r="J2555" i="42" s="1"/>
  <c r="I495" i="42"/>
  <c r="J495" i="42" s="1"/>
  <c r="I3173" i="42"/>
  <c r="J3173" i="42" s="1"/>
  <c r="I1088" i="42"/>
  <c r="J1088" i="42" s="1"/>
  <c r="I455" i="42"/>
  <c r="J455" i="42" s="1"/>
  <c r="I1783" i="42"/>
  <c r="J1783" i="42" s="1"/>
  <c r="H397" i="103"/>
  <c r="I397" i="103" s="1"/>
  <c r="H1950" i="98"/>
  <c r="I1950" i="98" s="1"/>
  <c r="I28" i="42"/>
  <c r="J28" i="42" s="1"/>
  <c r="I521" i="42"/>
  <c r="J521" i="42" s="1"/>
  <c r="I511" i="42"/>
  <c r="J511" i="42" s="1"/>
  <c r="I3164" i="42"/>
  <c r="J3164" i="42" s="1"/>
  <c r="I567" i="42"/>
  <c r="J567" i="42" s="1"/>
  <c r="I18" i="42"/>
  <c r="J18" i="42" s="1"/>
  <c r="I555" i="42"/>
  <c r="J555" i="42" s="1"/>
  <c r="I2751" i="42"/>
  <c r="J2751" i="42" s="1"/>
  <c r="H1755" i="98"/>
  <c r="I1755" i="98" s="1"/>
  <c r="H1419" i="98"/>
  <c r="I1419" i="98" s="1"/>
  <c r="H635" i="98"/>
  <c r="I635" i="98" s="1"/>
  <c r="H1249" i="103"/>
  <c r="I1249" i="103" s="1"/>
  <c r="H102" i="103"/>
  <c r="I102" i="103" s="1"/>
  <c r="H3190" i="98"/>
  <c r="I3190" i="98" s="1"/>
  <c r="H15" i="98"/>
  <c r="H1172" i="103"/>
  <c r="I1172" i="103" s="1"/>
  <c r="H777" i="103"/>
  <c r="I777" i="103" s="1"/>
  <c r="H3219" i="98"/>
  <c r="I3219" i="98" s="1"/>
  <c r="H3220" i="98" s="1"/>
  <c r="I3220" i="98" s="1"/>
  <c r="I3218" i="98" s="1"/>
  <c r="I1650" i="42"/>
  <c r="J1650" i="42" s="1"/>
  <c r="I1655" i="42"/>
  <c r="J1655" i="42" s="1"/>
  <c r="I1656" i="42" s="1"/>
  <c r="J1656" i="42" s="1"/>
  <c r="J1654" i="42" s="1"/>
  <c r="M1652" i="42" s="1"/>
  <c r="I3129" i="42"/>
  <c r="J3129" i="42" s="1"/>
  <c r="I3130" i="42" s="1"/>
  <c r="J3130" i="42" s="1"/>
  <c r="J3128" i="42" s="1"/>
  <c r="M3126" i="42" s="1"/>
  <c r="H2884" i="98"/>
  <c r="I2884" i="98" s="1"/>
  <c r="H2885" i="98" s="1"/>
  <c r="I2885" i="98" s="1"/>
  <c r="I2883" i="98" s="1"/>
  <c r="I3114" i="42"/>
  <c r="J3114" i="42" s="1"/>
  <c r="H2340" i="98"/>
  <c r="I2340" i="98" s="1"/>
  <c r="H2341" i="98" s="1"/>
  <c r="I2341" i="98" s="1"/>
  <c r="I2339" i="98" s="1"/>
  <c r="I2342" i="98" s="1"/>
  <c r="I2343" i="98" s="1"/>
  <c r="I1547" i="42"/>
  <c r="J1547" i="42" s="1"/>
  <c r="I2528" i="42"/>
  <c r="J2528" i="42" s="1"/>
  <c r="H2354" i="98"/>
  <c r="I2354" i="98" s="1"/>
  <c r="H2355" i="98" s="1"/>
  <c r="I2355" i="98" s="1"/>
  <c r="I2353" i="98" s="1"/>
  <c r="I2356" i="98" s="1"/>
  <c r="I2357" i="98" s="1"/>
  <c r="I699" i="42"/>
  <c r="J699" i="42" s="1"/>
  <c r="I2650" i="42"/>
  <c r="J2650" i="42" s="1"/>
  <c r="I811" i="42"/>
  <c r="J811" i="42" s="1"/>
  <c r="I716" i="42"/>
  <c r="J716" i="42" s="1"/>
  <c r="I421" i="42"/>
  <c r="J421" i="42" s="1"/>
  <c r="H2946" i="98"/>
  <c r="I2946" i="98" s="1"/>
  <c r="H1172" i="98"/>
  <c r="I1172" i="98" s="1"/>
  <c r="I735" i="42"/>
  <c r="J735" i="42" s="1"/>
  <c r="H1023" i="98"/>
  <c r="I1023" i="98" s="1"/>
  <c r="H54" i="93"/>
  <c r="E55" i="93"/>
  <c r="K54" i="93"/>
  <c r="N54" i="93" s="1"/>
  <c r="I1488" i="42"/>
  <c r="J1488" i="42" s="1"/>
  <c r="J1486" i="42" s="1"/>
  <c r="M1484" i="42" s="1"/>
  <c r="F89" i="93"/>
  <c r="I89" i="93" s="1"/>
  <c r="L89" i="93" s="1"/>
  <c r="C90" i="93"/>
  <c r="H1463" i="103"/>
  <c r="I1463" i="103" s="1"/>
  <c r="H1462" i="103"/>
  <c r="I1462" i="103" s="1"/>
  <c r="H1450" i="103"/>
  <c r="I1450" i="103" s="1"/>
  <c r="H274" i="103"/>
  <c r="I274" i="103" s="1"/>
  <c r="I273" i="103" s="1"/>
  <c r="H3280" i="98"/>
  <c r="I3280" i="98" s="1"/>
  <c r="I1385" i="42"/>
  <c r="J1385" i="42" s="1"/>
  <c r="J1384" i="42" s="1"/>
  <c r="M1383" i="42" s="1"/>
  <c r="I2841" i="42"/>
  <c r="J2841" i="42" s="1"/>
  <c r="I3198" i="42"/>
  <c r="J3198" i="42" s="1"/>
  <c r="I3197" i="42"/>
  <c r="J3197" i="42" s="1"/>
  <c r="I2835" i="42"/>
  <c r="J2835" i="42" s="1"/>
  <c r="I3206" i="42"/>
  <c r="J3206" i="42" s="1"/>
  <c r="I2836" i="42"/>
  <c r="J2836" i="42" s="1"/>
  <c r="I3208" i="42"/>
  <c r="J3208" i="42" s="1"/>
  <c r="I3201" i="42"/>
  <c r="J3201" i="42" s="1"/>
  <c r="I2839" i="42"/>
  <c r="J2839" i="42" s="1"/>
  <c r="I2840" i="42"/>
  <c r="J2840" i="42" s="1"/>
  <c r="I3202" i="42"/>
  <c r="J3202" i="42" s="1"/>
  <c r="H1449" i="103"/>
  <c r="I1449" i="103" s="1"/>
  <c r="H3130" i="98"/>
  <c r="I3130" i="98" s="1"/>
  <c r="H3129" i="98"/>
  <c r="I3129" i="98" s="1"/>
  <c r="H3279" i="98"/>
  <c r="I3279" i="98" s="1"/>
  <c r="I3347" i="42"/>
  <c r="J3347" i="42" s="1"/>
  <c r="J3346" i="42" s="1"/>
  <c r="M3345" i="42" s="1"/>
  <c r="H50" i="98"/>
  <c r="H911" i="103"/>
  <c r="I911" i="103" s="1"/>
  <c r="H526" i="103"/>
  <c r="I526" i="103" s="1"/>
  <c r="H444" i="103"/>
  <c r="I444" i="103" s="1"/>
  <c r="H574" i="103"/>
  <c r="I574" i="103" s="1"/>
  <c r="H509" i="103"/>
  <c r="I509" i="103" s="1"/>
  <c r="H261" i="103"/>
  <c r="I261" i="103" s="1"/>
  <c r="H610" i="103"/>
  <c r="I610" i="103" s="1"/>
  <c r="H494" i="103"/>
  <c r="I494" i="103" s="1"/>
  <c r="H169" i="98"/>
  <c r="I169" i="98" s="1"/>
  <c r="H1976" i="98"/>
  <c r="I1976" i="98" s="1"/>
  <c r="I141" i="42"/>
  <c r="J141" i="42" s="1"/>
  <c r="I2136" i="42"/>
  <c r="J2136" i="42" s="1"/>
  <c r="I2027" i="42"/>
  <c r="J2027" i="42" s="1"/>
  <c r="I2823" i="42"/>
  <c r="J2823" i="42" s="1"/>
  <c r="I135" i="42"/>
  <c r="J135" i="42" s="1"/>
  <c r="I2818" i="42"/>
  <c r="J2818" i="42" s="1"/>
  <c r="I2090" i="42"/>
  <c r="J2090" i="42" s="1"/>
  <c r="I2064" i="42"/>
  <c r="J2064" i="42" s="1"/>
  <c r="I2656" i="42"/>
  <c r="J2656" i="42" s="1"/>
  <c r="I127" i="42"/>
  <c r="J127" i="42" s="1"/>
  <c r="I2076" i="42"/>
  <c r="J2076" i="42" s="1"/>
  <c r="I2098" i="42"/>
  <c r="J2098" i="42" s="1"/>
  <c r="I2058" i="42"/>
  <c r="J2058" i="42" s="1"/>
  <c r="H1478" i="103"/>
  <c r="I1478" i="103" s="1"/>
  <c r="H543" i="103"/>
  <c r="I543" i="103" s="1"/>
  <c r="H925" i="103"/>
  <c r="I925" i="103" s="1"/>
  <c r="H590" i="103"/>
  <c r="I590" i="103" s="1"/>
  <c r="H461" i="103"/>
  <c r="I461" i="103" s="1"/>
  <c r="H2579" i="98"/>
  <c r="I2579" i="98" s="1"/>
  <c r="H2113" i="98"/>
  <c r="I2113" i="98" s="1"/>
  <c r="H2623" i="98"/>
  <c r="I2623" i="98" s="1"/>
  <c r="I1446" i="42"/>
  <c r="J1446" i="42" s="1"/>
  <c r="I2019" i="42"/>
  <c r="J2019" i="42" s="1"/>
  <c r="I35" i="42"/>
  <c r="J35" i="42" s="1"/>
  <c r="I44" i="42"/>
  <c r="J44" i="42" s="1"/>
  <c r="I2123" i="42"/>
  <c r="J2123" i="42" s="1"/>
  <c r="I2116" i="42"/>
  <c r="J2116" i="42" s="1"/>
  <c r="I1381" i="42"/>
  <c r="J1381" i="42" s="1"/>
  <c r="I2083" i="42"/>
  <c r="J2083" i="42" s="1"/>
  <c r="I2828" i="42"/>
  <c r="J2828" i="42" s="1"/>
  <c r="I3214" i="42"/>
  <c r="J3214" i="42" s="1"/>
  <c r="I2142" i="42"/>
  <c r="J2142" i="42" s="1"/>
  <c r="I2180" i="42"/>
  <c r="J2180" i="42" s="1"/>
  <c r="I2011" i="42"/>
  <c r="J2011" i="42" s="1"/>
  <c r="AC920" i="66"/>
  <c r="I3244" i="42"/>
  <c r="J3244" i="42" s="1"/>
  <c r="J3243" i="42" s="1"/>
  <c r="M3227" i="42" s="1"/>
  <c r="H757" i="103"/>
  <c r="I757" i="103" s="1"/>
  <c r="I756" i="103" s="1"/>
  <c r="I2269" i="42"/>
  <c r="J2269" i="42" s="1"/>
  <c r="J2268" i="42" s="1"/>
  <c r="M2266" i="42" s="1"/>
  <c r="I3258" i="42"/>
  <c r="J3258" i="42" s="1"/>
  <c r="AC913" i="66"/>
  <c r="H185" i="98"/>
  <c r="I185" i="98" s="1"/>
  <c r="I184" i="98" s="1"/>
  <c r="L180" i="98" s="1"/>
  <c r="I419" i="42"/>
  <c r="J419" i="42" s="1"/>
  <c r="I2648" i="42"/>
  <c r="J2648" i="42" s="1"/>
  <c r="I147" i="42"/>
  <c r="J147" i="42" s="1"/>
  <c r="J146" i="42" s="1"/>
  <c r="M142" i="42" s="1"/>
  <c r="H867" i="103"/>
  <c r="I867" i="103" s="1"/>
  <c r="I866" i="103" s="1"/>
  <c r="L862" i="103" s="1"/>
  <c r="I2585" i="42"/>
  <c r="J2585" i="42" s="1"/>
  <c r="J2584" i="42" s="1"/>
  <c r="M2580" i="42" s="1"/>
  <c r="I1361" i="42"/>
  <c r="J1361" i="42" s="1"/>
  <c r="J1360" i="42" s="1"/>
  <c r="M1354" i="42" s="1"/>
  <c r="H1169" i="98"/>
  <c r="I1169" i="98" s="1"/>
  <c r="I808" i="42"/>
  <c r="J808" i="42" s="1"/>
  <c r="H2944" i="98"/>
  <c r="I2944" i="98" s="1"/>
  <c r="A27" i="7"/>
  <c r="A37" i="7" s="1"/>
  <c r="A42" i="7" s="1"/>
  <c r="I2241" i="42"/>
  <c r="J2241" i="42" s="1"/>
  <c r="L2232" i="42" s="1"/>
  <c r="I2941" i="42"/>
  <c r="J2941" i="42" s="1"/>
  <c r="L2933" i="42" s="1"/>
  <c r="I2954" i="42"/>
  <c r="J2954" i="42" s="1"/>
  <c r="L2946" i="42" s="1"/>
  <c r="I1427" i="42"/>
  <c r="J1427" i="42" s="1"/>
  <c r="L1422" i="42" s="1"/>
  <c r="I3053" i="98"/>
  <c r="I3054" i="98" s="1"/>
  <c r="J890" i="98"/>
  <c r="J960" i="98"/>
  <c r="I175" i="103"/>
  <c r="I176" i="103" s="1"/>
  <c r="I2765" i="98"/>
  <c r="I2766" i="98" s="1"/>
  <c r="J1211" i="98"/>
  <c r="I1216" i="98"/>
  <c r="I1217" i="98" s="1"/>
  <c r="I1238" i="103"/>
  <c r="I1239" i="103" s="1"/>
  <c r="I1130" i="103"/>
  <c r="I1131" i="103" s="1"/>
  <c r="J912" i="98"/>
  <c r="I2775" i="98"/>
  <c r="I2776" i="98" s="1"/>
  <c r="I3296" i="98"/>
  <c r="I3297" i="98" s="1"/>
  <c r="I289" i="42"/>
  <c r="J289" i="42" s="1"/>
  <c r="J287" i="42" s="1"/>
  <c r="M280" i="42" s="1"/>
  <c r="K1927" i="98"/>
  <c r="K1351" i="98"/>
  <c r="I1739" i="98"/>
  <c r="I1740" i="98" s="1"/>
  <c r="K1737" i="98"/>
  <c r="H2625" i="98"/>
  <c r="I2625" i="98" s="1"/>
  <c r="H324" i="103"/>
  <c r="I324" i="103" s="1"/>
  <c r="I2125" i="42"/>
  <c r="J2125" i="42" s="1"/>
  <c r="I1454" i="42"/>
  <c r="J1454" i="42" s="1"/>
  <c r="H592" i="103"/>
  <c r="I592" i="103" s="1"/>
  <c r="H2130" i="98"/>
  <c r="I2130" i="98" s="1"/>
  <c r="J936" i="98"/>
  <c r="L13" i="86"/>
  <c r="O13" i="86"/>
  <c r="L12" i="86"/>
  <c r="M16" i="96"/>
  <c r="L20" i="86"/>
  <c r="I3159" i="98"/>
  <c r="I2739" i="98"/>
  <c r="I2740" i="98" s="1"/>
  <c r="H177" i="102"/>
  <c r="I177" i="102" s="1"/>
  <c r="H175" i="102"/>
  <c r="H172" i="102"/>
  <c r="I172" i="102" s="1"/>
  <c r="H170" i="102"/>
  <c r="I170" i="102" s="1"/>
  <c r="H176" i="102"/>
  <c r="I176" i="102" s="1"/>
  <c r="H181" i="102"/>
  <c r="I181" i="102" s="1"/>
  <c r="H179" i="102"/>
  <c r="H171" i="102"/>
  <c r="I171" i="102" s="1"/>
  <c r="H180" i="102"/>
  <c r="I180" i="102" s="1"/>
  <c r="H36" i="12"/>
  <c r="I36" i="12" s="1"/>
  <c r="H44" i="12"/>
  <c r="I44" i="12" s="1"/>
  <c r="I645" i="42" s="1"/>
  <c r="J645" i="42" s="1"/>
  <c r="H42" i="12"/>
  <c r="I42" i="12" s="1"/>
  <c r="H39" i="12"/>
  <c r="I39" i="12" s="1"/>
  <c r="I642" i="42" s="1"/>
  <c r="J642" i="42" s="1"/>
  <c r="H40" i="12"/>
  <c r="I40" i="12" s="1"/>
  <c r="I644" i="42" s="1"/>
  <c r="J644" i="42" s="1"/>
  <c r="H38" i="12"/>
  <c r="I38" i="12" s="1"/>
  <c r="H37" i="12"/>
  <c r="I37" i="12" s="1"/>
  <c r="H35" i="12"/>
  <c r="I35" i="12" s="1"/>
  <c r="H43" i="12"/>
  <c r="I43" i="12" s="1"/>
  <c r="I643" i="42" s="1"/>
  <c r="J643" i="42" s="1"/>
  <c r="P18" i="86"/>
  <c r="Q18" i="86"/>
  <c r="H45" i="93"/>
  <c r="E46" i="93"/>
  <c r="K45" i="93"/>
  <c r="N45" i="93" s="1"/>
  <c r="H17" i="85" s="1"/>
  <c r="I2187" i="42"/>
  <c r="J2187" i="42" s="1"/>
  <c r="J2184" i="42" s="1"/>
  <c r="M2182" i="42" s="1"/>
  <c r="H71" i="98"/>
  <c r="I71" i="98" s="1"/>
  <c r="H2852" i="98"/>
  <c r="I2852" i="98" s="1"/>
  <c r="H2674" i="98"/>
  <c r="I2674" i="98" s="1"/>
  <c r="H2304" i="98"/>
  <c r="I2304" i="98" s="1"/>
  <c r="H90" i="98"/>
  <c r="I90" i="98" s="1"/>
  <c r="I2496" i="42"/>
  <c r="J2496" i="42" s="1"/>
  <c r="I1645" i="42"/>
  <c r="J1645" i="42" s="1"/>
  <c r="H2871" i="98"/>
  <c r="I2871" i="98" s="1"/>
  <c r="H2326" i="98"/>
  <c r="I2326" i="98" s="1"/>
  <c r="I1619" i="42"/>
  <c r="J1619" i="42" s="1"/>
  <c r="I2456" i="42"/>
  <c r="J2456" i="42" s="1"/>
  <c r="I2476" i="42"/>
  <c r="J2476" i="42" s="1"/>
  <c r="I60" i="42"/>
  <c r="J60" i="42" s="1"/>
  <c r="I2778" i="42"/>
  <c r="J2778" i="42" s="1"/>
  <c r="I1515" i="42"/>
  <c r="J1515" i="42" s="1"/>
  <c r="I2466" i="42"/>
  <c r="J2466" i="42" s="1"/>
  <c r="H2814" i="98"/>
  <c r="I2814" i="98" s="1"/>
  <c r="H2833" i="98"/>
  <c r="I2833" i="98" s="1"/>
  <c r="H790" i="98"/>
  <c r="I790" i="98" s="1"/>
  <c r="I70" i="42"/>
  <c r="J70" i="42" s="1"/>
  <c r="I601" i="42"/>
  <c r="J601" i="42" s="1"/>
  <c r="I2446" i="42"/>
  <c r="J2446" i="42" s="1"/>
  <c r="I591" i="42"/>
  <c r="J591" i="42" s="1"/>
  <c r="I1632" i="42"/>
  <c r="J1632" i="42" s="1"/>
  <c r="I2486" i="42"/>
  <c r="J2486" i="42" s="1"/>
  <c r="I1606" i="42"/>
  <c r="J1606" i="42" s="1"/>
  <c r="I2329" i="42"/>
  <c r="J2329" i="42" s="1"/>
  <c r="N10" i="42"/>
  <c r="I2755" i="98"/>
  <c r="I2756" i="98" s="1"/>
  <c r="I1860" i="98"/>
  <c r="I1861" i="98" s="1"/>
  <c r="I259" i="42"/>
  <c r="J259" i="42" s="1"/>
  <c r="J257" i="42" s="1"/>
  <c r="M250" i="42" s="1"/>
  <c r="H334" i="98"/>
  <c r="I334" i="98" s="1"/>
  <c r="I332" i="98" s="1"/>
  <c r="H296" i="98"/>
  <c r="I296" i="98" s="1"/>
  <c r="I294" i="98" s="1"/>
  <c r="K139" i="98"/>
  <c r="N12" i="42"/>
  <c r="P12" i="42" s="1"/>
  <c r="A13" i="42"/>
  <c r="A14" i="42" s="1"/>
  <c r="N14" i="42" s="1"/>
  <c r="P14" i="42" s="1"/>
  <c r="F10" i="67" s="1"/>
  <c r="G10" i="67" s="1"/>
  <c r="I1892" i="98"/>
  <c r="I1893" i="98" s="1"/>
  <c r="I249" i="42"/>
  <c r="J249" i="42" s="1"/>
  <c r="J247" i="42" s="1"/>
  <c r="M240" i="42" s="1"/>
  <c r="I1804" i="42"/>
  <c r="J1804" i="42" s="1"/>
  <c r="J1802" i="42" s="1"/>
  <c r="M1795" i="42" s="1"/>
  <c r="I1794" i="42"/>
  <c r="J1794" i="42" s="1"/>
  <c r="J1792" i="42" s="1"/>
  <c r="M1785" i="42" s="1"/>
  <c r="I279" i="42"/>
  <c r="J279" i="42" s="1"/>
  <c r="J277" i="42" s="1"/>
  <c r="M270" i="42" s="1"/>
  <c r="A1" i="49"/>
  <c r="A1" i="58"/>
  <c r="H910" i="103"/>
  <c r="I910" i="103" s="1"/>
  <c r="I2075" i="42"/>
  <c r="J2075" i="42" s="1"/>
  <c r="I2817" i="42"/>
  <c r="J2817" i="42" s="1"/>
  <c r="H924" i="103"/>
  <c r="I924" i="103" s="1"/>
  <c r="I2822" i="42"/>
  <c r="J2822" i="42" s="1"/>
  <c r="I2827" i="42"/>
  <c r="J2827" i="42" s="1"/>
  <c r="I2082" i="42"/>
  <c r="J2082" i="42" s="1"/>
  <c r="J2081" i="42" s="1"/>
  <c r="M2077" i="42" s="1"/>
  <c r="K16" i="49" s="1"/>
  <c r="L16" i="49" s="1"/>
  <c r="M16" i="49" s="1"/>
  <c r="H3170" i="98"/>
  <c r="I3170" i="98" s="1"/>
  <c r="H1151" i="103"/>
  <c r="I1151" i="103" s="1"/>
  <c r="H2283" i="98"/>
  <c r="I2283" i="98" s="1"/>
  <c r="I2317" i="42"/>
  <c r="J2317" i="42" s="1"/>
  <c r="I1439" i="42"/>
  <c r="J1439" i="42" s="1"/>
  <c r="H812" i="103"/>
  <c r="I812" i="103" s="1"/>
  <c r="I2976" i="42"/>
  <c r="J2976" i="42" s="1"/>
  <c r="I1594" i="42"/>
  <c r="J1594" i="42" s="1"/>
  <c r="I2309" i="42"/>
  <c r="J2309" i="42" s="1"/>
  <c r="I3284" i="42"/>
  <c r="J3284" i="42" s="1"/>
  <c r="AC895" i="66"/>
  <c r="H3344" i="98"/>
  <c r="I3344" i="98" s="1"/>
  <c r="H1875" i="98"/>
  <c r="I1875" i="98" s="1"/>
  <c r="I1874" i="98" s="1"/>
  <c r="L1869" i="98" s="1"/>
  <c r="I1322" i="42"/>
  <c r="J1322" i="42" s="1"/>
  <c r="J1321" i="42" s="1"/>
  <c r="M1316" i="42" s="1"/>
  <c r="I3316" i="42"/>
  <c r="J3316" i="42" s="1"/>
  <c r="I2566" i="98"/>
  <c r="H3015" i="98"/>
  <c r="I3015" i="98" s="1"/>
  <c r="E33" i="93"/>
  <c r="H32" i="93"/>
  <c r="K32" i="93" s="1"/>
  <c r="N32" i="93" s="1"/>
  <c r="L11" i="86"/>
  <c r="O17" i="96"/>
  <c r="P17" i="96" s="1"/>
  <c r="L17" i="96"/>
  <c r="O19" i="86"/>
  <c r="L19" i="86"/>
  <c r="O9" i="86"/>
  <c r="L9" i="86"/>
  <c r="L15" i="86"/>
  <c r="O15" i="86"/>
  <c r="I12" i="96"/>
  <c r="L14" i="49"/>
  <c r="M14" i="49" s="1"/>
  <c r="L8" i="86"/>
  <c r="O8" i="86"/>
  <c r="I1676" i="98"/>
  <c r="G17" i="85"/>
  <c r="T45" i="93"/>
  <c r="D47" i="93"/>
  <c r="G46" i="93"/>
  <c r="J46" i="93" s="1"/>
  <c r="M46" i="93" s="1"/>
  <c r="T46" i="93" s="1"/>
  <c r="H207" i="102"/>
  <c r="H208" i="102"/>
  <c r="H33" i="12"/>
  <c r="I33" i="12" s="1"/>
  <c r="H34" i="12"/>
  <c r="I34" i="12" s="1"/>
  <c r="N11" i="42"/>
  <c r="P11" i="42" s="1"/>
  <c r="H1298" i="98"/>
  <c r="I1298" i="98" s="1"/>
  <c r="H3022" i="98"/>
  <c r="I3022" i="98" s="1"/>
  <c r="I892" i="42"/>
  <c r="J892" i="42" s="1"/>
  <c r="I787" i="42"/>
  <c r="J787" i="42" s="1"/>
  <c r="I2689" i="42"/>
  <c r="J2689" i="42" s="1"/>
  <c r="I904" i="42"/>
  <c r="J904" i="42" s="1"/>
  <c r="I880" i="42"/>
  <c r="J880" i="42" s="1"/>
  <c r="H1340" i="98"/>
  <c r="I1340" i="98" s="1"/>
  <c r="H1319" i="98"/>
  <c r="I1319" i="98" s="1"/>
  <c r="H1130" i="98"/>
  <c r="I1130" i="98" s="1"/>
  <c r="I799" i="42"/>
  <c r="J799" i="42" s="1"/>
  <c r="H2627" i="98"/>
  <c r="I2627" i="98" s="1"/>
  <c r="I1456" i="42"/>
  <c r="J1456" i="42" s="1"/>
  <c r="I2156" i="42"/>
  <c r="J2156" i="42" s="1"/>
  <c r="I2127" i="42"/>
  <c r="J2127" i="42" s="1"/>
  <c r="H1435" i="103"/>
  <c r="I1435" i="103" s="1"/>
  <c r="H594" i="103"/>
  <c r="I594" i="103" s="1"/>
  <c r="H288" i="103"/>
  <c r="I288" i="103" s="1"/>
  <c r="H2132" i="98"/>
  <c r="I2132" i="98" s="1"/>
  <c r="I3192" i="42"/>
  <c r="J3192" i="42" s="1"/>
  <c r="H642" i="103"/>
  <c r="I642" i="103" s="1"/>
  <c r="H326" i="103"/>
  <c r="I326" i="103" s="1"/>
  <c r="H2003" i="98"/>
  <c r="I2003" i="98" s="1"/>
  <c r="I1390" i="42"/>
  <c r="J1390" i="42" s="1"/>
  <c r="H352" i="98"/>
  <c r="I352" i="98" s="1"/>
  <c r="I298" i="42"/>
  <c r="J298" i="42" s="1"/>
  <c r="H314" i="98"/>
  <c r="I314" i="98" s="1"/>
  <c r="I268" i="42"/>
  <c r="J268" i="42" s="1"/>
  <c r="I479" i="103"/>
  <c r="I480" i="103" s="1"/>
  <c r="I1845" i="98"/>
  <c r="I1846" i="98" s="1"/>
  <c r="B19" i="86" l="1"/>
  <c r="B20" i="86" s="1"/>
  <c r="I175" i="102"/>
  <c r="H1382" i="98" s="1"/>
  <c r="I1382" i="98" s="1"/>
  <c r="H1383" i="98" s="1"/>
  <c r="I1383" i="98" s="1"/>
  <c r="I1381" i="98" s="1"/>
  <c r="J1380" i="98" s="1"/>
  <c r="I179" i="102"/>
  <c r="H1145" i="98" s="1"/>
  <c r="I1145" i="98" s="1"/>
  <c r="H1148" i="98" s="1"/>
  <c r="I1148" i="98" s="1"/>
  <c r="I1142" i="98" s="1"/>
  <c r="J1141" i="98" s="1"/>
  <c r="G74" i="93"/>
  <c r="J74" i="93" s="1"/>
  <c r="M74" i="93" s="1"/>
  <c r="T74" i="93" s="1"/>
  <c r="D75" i="93"/>
  <c r="F257" i="99"/>
  <c r="I49" i="98"/>
  <c r="F22" i="104"/>
  <c r="I50" i="98"/>
  <c r="F23" i="104"/>
  <c r="I15" i="98"/>
  <c r="F16" i="104"/>
  <c r="I52" i="98"/>
  <c r="F25" i="104"/>
  <c r="H656" i="103"/>
  <c r="I656" i="103" s="1"/>
  <c r="H244" i="103"/>
  <c r="I244" i="103" s="1"/>
  <c r="H2017" i="98"/>
  <c r="I2017" i="98" s="1"/>
  <c r="I2016" i="98" s="1"/>
  <c r="J2015" i="98" s="1"/>
  <c r="H259" i="98"/>
  <c r="I259" i="98" s="1"/>
  <c r="I258" i="98" s="1"/>
  <c r="H302" i="103"/>
  <c r="I302" i="103" s="1"/>
  <c r="I301" i="103" s="1"/>
  <c r="J300" i="103" s="1"/>
  <c r="H1963" i="98"/>
  <c r="I1963" i="98" s="1"/>
  <c r="H2426" i="98"/>
  <c r="I2426" i="98" s="1"/>
  <c r="H401" i="98"/>
  <c r="I401" i="98" s="1"/>
  <c r="I400" i="98" s="1"/>
  <c r="I1977" i="42"/>
  <c r="J1977" i="42" s="1"/>
  <c r="I1364" i="42"/>
  <c r="J1364" i="42" s="1"/>
  <c r="I230" i="42"/>
  <c r="J230" i="42" s="1"/>
  <c r="J229" i="42" s="1"/>
  <c r="K228" i="42" s="1"/>
  <c r="I1395" i="42"/>
  <c r="J1395" i="42" s="1"/>
  <c r="J1394" i="42" s="1"/>
  <c r="K1393" i="42" s="1"/>
  <c r="I2161" i="42"/>
  <c r="J2161" i="42" s="1"/>
  <c r="I141" i="12"/>
  <c r="I1386" i="103"/>
  <c r="I1387" i="103" s="1"/>
  <c r="K250" i="104"/>
  <c r="L250" i="104" s="1"/>
  <c r="K254" i="104"/>
  <c r="L254" i="104" s="1"/>
  <c r="J1398" i="98"/>
  <c r="I1403" i="98"/>
  <c r="I1404" i="98" s="1"/>
  <c r="I1405" i="98" s="1"/>
  <c r="I1406" i="98" s="1"/>
  <c r="J1197" i="98"/>
  <c r="I1202" i="98"/>
  <c r="I1203" i="98" s="1"/>
  <c r="I1204" i="98" s="1"/>
  <c r="I1205" i="98" s="1"/>
  <c r="J1239" i="98"/>
  <c r="I1244" i="98"/>
  <c r="I1245" i="98" s="1"/>
  <c r="I1246" i="98" s="1"/>
  <c r="I1247" i="98" s="1"/>
  <c r="J1183" i="98"/>
  <c r="P20" i="86"/>
  <c r="I3005" i="98"/>
  <c r="I3006" i="98" s="1"/>
  <c r="I3007" i="98" s="1"/>
  <c r="I3008" i="98" s="1"/>
  <c r="I3009" i="98" s="1"/>
  <c r="H60" i="105"/>
  <c r="H61" i="105" s="1"/>
  <c r="H1387" i="98"/>
  <c r="I1387" i="98" s="1"/>
  <c r="AC165" i="66"/>
  <c r="I2522" i="42"/>
  <c r="J2522" i="42" s="1"/>
  <c r="H924" i="98"/>
  <c r="I924" i="98" s="1"/>
  <c r="H972" i="98"/>
  <c r="I972" i="98" s="1"/>
  <c r="I2626" i="42"/>
  <c r="J2626" i="42" s="1"/>
  <c r="I683" i="42"/>
  <c r="J683" i="42" s="1"/>
  <c r="H1048" i="98"/>
  <c r="I1048" i="98" s="1"/>
  <c r="I962" i="42"/>
  <c r="J962" i="42" s="1"/>
  <c r="H1020" i="98"/>
  <c r="I1020" i="98" s="1"/>
  <c r="H994" i="98"/>
  <c r="I994" i="98" s="1"/>
  <c r="I1850" i="42"/>
  <c r="J1850" i="42" s="1"/>
  <c r="I732" i="42"/>
  <c r="J732" i="42" s="1"/>
  <c r="I980" i="42"/>
  <c r="J980" i="42" s="1"/>
  <c r="I1237" i="42"/>
  <c r="J1237" i="42" s="1"/>
  <c r="I713" i="42"/>
  <c r="J713" i="42" s="1"/>
  <c r="I696" i="42"/>
  <c r="J696" i="42" s="1"/>
  <c r="H1709" i="98"/>
  <c r="I1709" i="98" s="1"/>
  <c r="I1246" i="42"/>
  <c r="J1246" i="42" s="1"/>
  <c r="J1245" i="42" s="1"/>
  <c r="M1240" i="42" s="1"/>
  <c r="H1727" i="98"/>
  <c r="I1727" i="98" s="1"/>
  <c r="I1726" i="98" s="1"/>
  <c r="I1229" i="42"/>
  <c r="J1229" i="42" s="1"/>
  <c r="H1701" i="98"/>
  <c r="I1701" i="98" s="1"/>
  <c r="H2628" i="98"/>
  <c r="I2628" i="98" s="1"/>
  <c r="I2192" i="42"/>
  <c r="J2192" i="42" s="1"/>
  <c r="I2194" i="42" s="1"/>
  <c r="J2194" i="42" s="1"/>
  <c r="J2190" i="42" s="1"/>
  <c r="M2188" i="42" s="1"/>
  <c r="H2133" i="98"/>
  <c r="I2133" i="98" s="1"/>
  <c r="H327" i="103"/>
  <c r="I327" i="103" s="1"/>
  <c r="I1457" i="42"/>
  <c r="J1457" i="42" s="1"/>
  <c r="H595" i="103"/>
  <c r="I595" i="103" s="1"/>
  <c r="I2128" i="42"/>
  <c r="J2128" i="42" s="1"/>
  <c r="H530" i="98"/>
  <c r="I530" i="98" s="1"/>
  <c r="I529" i="98" s="1"/>
  <c r="I534" i="98" s="1"/>
  <c r="I535" i="98" s="1"/>
  <c r="I428" i="42"/>
  <c r="J428" i="42" s="1"/>
  <c r="J427" i="42" s="1"/>
  <c r="M423" i="42" s="1"/>
  <c r="I437" i="42"/>
  <c r="J437" i="42" s="1"/>
  <c r="H1710" i="98"/>
  <c r="I1710" i="98" s="1"/>
  <c r="I1238" i="42"/>
  <c r="J1238" i="42" s="1"/>
  <c r="I2831" i="42"/>
  <c r="J2831" i="42" s="1"/>
  <c r="I2832" i="42"/>
  <c r="J2832" i="42" s="1"/>
  <c r="AC484" i="66"/>
  <c r="I926" i="42"/>
  <c r="J926" i="42" s="1"/>
  <c r="I1236" i="42"/>
  <c r="J1236" i="42" s="1"/>
  <c r="H1708" i="98"/>
  <c r="I1708" i="98" s="1"/>
  <c r="H525" i="103"/>
  <c r="I525" i="103" s="1"/>
  <c r="I1391" i="42"/>
  <c r="J1391" i="42" s="1"/>
  <c r="H573" i="103"/>
  <c r="I573" i="103" s="1"/>
  <c r="H575" i="103" s="1"/>
  <c r="I575" i="103" s="1"/>
  <c r="I572" i="103" s="1"/>
  <c r="L568" i="103" s="1"/>
  <c r="I2010" i="42"/>
  <c r="J2010" i="42" s="1"/>
  <c r="I2012" i="42" s="1"/>
  <c r="J2012" i="42" s="1"/>
  <c r="J2009" i="42" s="1"/>
  <c r="M2005" i="42" s="1"/>
  <c r="H2131" i="98"/>
  <c r="I2131" i="98" s="1"/>
  <c r="H2134" i="98" s="1"/>
  <c r="I2134" i="98" s="1"/>
  <c r="I2128" i="98" s="1"/>
  <c r="L2124" i="98" s="1"/>
  <c r="H289" i="103"/>
  <c r="I289" i="103" s="1"/>
  <c r="H1436" i="103"/>
  <c r="I1436" i="103" s="1"/>
  <c r="H1437" i="103" s="1"/>
  <c r="I1437" i="103" s="1"/>
  <c r="I1433" i="103" s="1"/>
  <c r="H325" i="103"/>
  <c r="I325" i="103" s="1"/>
  <c r="I2097" i="42"/>
  <c r="J2097" i="42" s="1"/>
  <c r="I2099" i="42" s="1"/>
  <c r="J2099" i="42" s="1"/>
  <c r="J2096" i="42" s="1"/>
  <c r="M2092" i="42" s="1"/>
  <c r="I1455" i="42"/>
  <c r="J1455" i="42" s="1"/>
  <c r="H460" i="103"/>
  <c r="I460" i="103" s="1"/>
  <c r="I1445" i="42"/>
  <c r="J1445" i="42" s="1"/>
  <c r="I2089" i="42"/>
  <c r="J2089" i="42" s="1"/>
  <c r="H2578" i="98"/>
  <c r="I2578" i="98" s="1"/>
  <c r="H2580" i="98" s="1"/>
  <c r="I2580" i="98" s="1"/>
  <c r="I2577" i="98" s="1"/>
  <c r="L2573" i="98" s="1"/>
  <c r="I3193" i="42"/>
  <c r="J3193" i="42" s="1"/>
  <c r="I2018" i="42"/>
  <c r="J2018" i="42" s="1"/>
  <c r="H643" i="103"/>
  <c r="I643" i="103" s="1"/>
  <c r="H644" i="103" s="1"/>
  <c r="I644" i="103" s="1"/>
  <c r="I640" i="103" s="1"/>
  <c r="I2115" i="42"/>
  <c r="J2115" i="42" s="1"/>
  <c r="I2126" i="42"/>
  <c r="J2126" i="42" s="1"/>
  <c r="H2626" i="98"/>
  <c r="I2626" i="98" s="1"/>
  <c r="I2135" i="42"/>
  <c r="J2135" i="42" s="1"/>
  <c r="I2137" i="42" s="1"/>
  <c r="J2137" i="42" s="1"/>
  <c r="J2134" i="42" s="1"/>
  <c r="H443" i="103"/>
  <c r="I443" i="103" s="1"/>
  <c r="H445" i="103" s="1"/>
  <c r="I445" i="103" s="1"/>
  <c r="I442" i="103" s="1"/>
  <c r="L438" i="103" s="1"/>
  <c r="H2004" i="98"/>
  <c r="I2004" i="98" s="1"/>
  <c r="H2005" i="98" s="1"/>
  <c r="I2005" i="98" s="1"/>
  <c r="I2001" i="98" s="1"/>
  <c r="I2026" i="42"/>
  <c r="J2026" i="42" s="1"/>
  <c r="H542" i="103"/>
  <c r="I542" i="103" s="1"/>
  <c r="H544" i="103" s="1"/>
  <c r="I544" i="103" s="1"/>
  <c r="I541" i="103" s="1"/>
  <c r="L537" i="103" s="1"/>
  <c r="H2112" i="98"/>
  <c r="I2112" i="98" s="1"/>
  <c r="H2114" i="98" s="1"/>
  <c r="I2114" i="98" s="1"/>
  <c r="I2111" i="98" s="1"/>
  <c r="L2107" i="98" s="1"/>
  <c r="I2157" i="42"/>
  <c r="J2157" i="42" s="1"/>
  <c r="H593" i="103"/>
  <c r="I593" i="103" s="1"/>
  <c r="D65" i="93"/>
  <c r="G64" i="93"/>
  <c r="J64" i="93" s="1"/>
  <c r="M64" i="93" s="1"/>
  <c r="T64" i="93" s="1"/>
  <c r="I3312" i="42"/>
  <c r="J3312" i="42" s="1"/>
  <c r="I3318" i="42" s="1"/>
  <c r="J3318" i="42" s="1"/>
  <c r="J3311" i="42" s="1"/>
  <c r="M3300" i="42" s="1"/>
  <c r="AC237" i="66"/>
  <c r="I330" i="42"/>
  <c r="J330" i="42" s="1"/>
  <c r="I320" i="42"/>
  <c r="J320" i="42" s="1"/>
  <c r="H389" i="98"/>
  <c r="I389" i="98" s="1"/>
  <c r="I342" i="42"/>
  <c r="J342" i="42" s="1"/>
  <c r="H2368" i="98"/>
  <c r="I2368" i="98" s="1"/>
  <c r="I1660" i="42"/>
  <c r="J1660" i="42" s="1"/>
  <c r="I1813" i="42"/>
  <c r="J1813" i="42" s="1"/>
  <c r="I1555" i="42"/>
  <c r="J1555" i="42" s="1"/>
  <c r="I336" i="42"/>
  <c r="J336" i="42" s="1"/>
  <c r="I925" i="42"/>
  <c r="J925" i="42" s="1"/>
  <c r="AC383" i="66"/>
  <c r="I1774" i="42"/>
  <c r="J1774" i="42" s="1"/>
  <c r="I1674" i="42"/>
  <c r="J1674" i="42" s="1"/>
  <c r="I2812" i="42"/>
  <c r="J2812" i="42" s="1"/>
  <c r="H2538" i="98"/>
  <c r="I2538" i="98" s="1"/>
  <c r="I2536" i="98" s="1"/>
  <c r="L2527" i="98" s="1"/>
  <c r="I2742" i="42"/>
  <c r="J2742" i="42" s="1"/>
  <c r="J2740" i="42" s="1"/>
  <c r="M2731" i="42" s="1"/>
  <c r="H3090" i="98"/>
  <c r="I3090" i="98" s="1"/>
  <c r="I3088" i="98" s="1"/>
  <c r="L3079" i="98" s="1"/>
  <c r="I1839" i="42"/>
  <c r="J1839" i="42" s="1"/>
  <c r="J1837" i="42" s="1"/>
  <c r="M1828" i="42" s="1"/>
  <c r="I2708" i="42"/>
  <c r="J2708" i="42" s="1"/>
  <c r="I189" i="42"/>
  <c r="J189" i="42" s="1"/>
  <c r="I2721" i="42"/>
  <c r="J2721" i="42" s="1"/>
  <c r="J2719" i="42" s="1"/>
  <c r="M2710" i="42" s="1"/>
  <c r="I1761" i="42"/>
  <c r="J1761" i="42" s="1"/>
  <c r="J1759" i="42" s="1"/>
  <c r="M1750" i="42" s="1"/>
  <c r="H3068" i="98"/>
  <c r="I3068" i="98" s="1"/>
  <c r="I3066" i="98" s="1"/>
  <c r="L3057" i="98" s="1"/>
  <c r="H2391" i="98"/>
  <c r="I2391" i="98" s="1"/>
  <c r="I2389" i="98" s="1"/>
  <c r="L2380" i="98" s="1"/>
  <c r="I1571" i="42"/>
  <c r="J1571" i="42" s="1"/>
  <c r="H2413" i="98"/>
  <c r="I2413" i="98" s="1"/>
  <c r="I2411" i="98" s="1"/>
  <c r="L2402" i="98" s="1"/>
  <c r="I1826" i="42"/>
  <c r="J1826" i="42" s="1"/>
  <c r="I3142" i="42"/>
  <c r="J3142" i="42" s="1"/>
  <c r="J3140" i="42" s="1"/>
  <c r="M3131" i="42" s="1"/>
  <c r="H2516" i="98"/>
  <c r="I2516" i="98" s="1"/>
  <c r="I2514" i="98" s="1"/>
  <c r="L2505" i="98" s="1"/>
  <c r="I2799" i="42"/>
  <c r="J2799" i="42" s="1"/>
  <c r="J2797" i="42" s="1"/>
  <c r="M2788" i="42" s="1"/>
  <c r="H2242" i="98"/>
  <c r="I2242" i="98" s="1"/>
  <c r="I2240" i="98" s="1"/>
  <c r="L2231" i="98" s="1"/>
  <c r="I202" i="42"/>
  <c r="J202" i="42" s="1"/>
  <c r="J200" i="42" s="1"/>
  <c r="M191" i="42" s="1"/>
  <c r="I1687" i="42"/>
  <c r="J1687" i="42" s="1"/>
  <c r="H139" i="103"/>
  <c r="I139" i="103" s="1"/>
  <c r="I138" i="103" s="1"/>
  <c r="L133" i="103" s="1"/>
  <c r="H1274" i="98"/>
  <c r="I1274" i="98" s="1"/>
  <c r="H1528" i="98"/>
  <c r="I1528" i="98" s="1"/>
  <c r="H1530" i="98" s="1"/>
  <c r="I1530" i="98" s="1"/>
  <c r="I1526" i="98" s="1"/>
  <c r="L1520" i="98" s="1"/>
  <c r="H2813" i="98"/>
  <c r="I2813" i="98" s="1"/>
  <c r="I2811" i="98" s="1"/>
  <c r="L2805" i="98" s="1"/>
  <c r="I936" i="42"/>
  <c r="J936" i="42" s="1"/>
  <c r="H1509" i="98"/>
  <c r="I1509" i="98" s="1"/>
  <c r="H1510" i="98" s="1"/>
  <c r="I1510" i="98" s="1"/>
  <c r="I1508" i="98" s="1"/>
  <c r="L1503" i="98" s="1"/>
  <c r="I2455" i="42"/>
  <c r="J2455" i="42" s="1"/>
  <c r="J2453" i="42" s="1"/>
  <c r="M2447" i="42" s="1"/>
  <c r="I473" i="42"/>
  <c r="J473" i="42" s="1"/>
  <c r="J471" i="42" s="1"/>
  <c r="M465" i="42" s="1"/>
  <c r="H464" i="98"/>
  <c r="I464" i="98" s="1"/>
  <c r="I2495" i="42"/>
  <c r="J2495" i="42" s="1"/>
  <c r="J2493" i="42" s="1"/>
  <c r="M2487" i="42" s="1"/>
  <c r="H808" i="98"/>
  <c r="I808" i="98" s="1"/>
  <c r="I384" i="42"/>
  <c r="J384" i="42" s="1"/>
  <c r="I1182" i="42"/>
  <c r="J1182" i="42" s="1"/>
  <c r="J1181" i="42" s="1"/>
  <c r="M1176" i="42" s="1"/>
  <c r="H1603" i="98"/>
  <c r="I1603" i="98" s="1"/>
  <c r="I1602" i="98" s="1"/>
  <c r="L1597" i="98" s="1"/>
  <c r="I1133" i="42"/>
  <c r="J1133" i="42" s="1"/>
  <c r="I1134" i="42" s="1"/>
  <c r="J1134" i="42" s="1"/>
  <c r="J1132" i="42" s="1"/>
  <c r="M1127" i="42" s="1"/>
  <c r="H789" i="98"/>
  <c r="I789" i="98" s="1"/>
  <c r="I787" i="98" s="1"/>
  <c r="L781" i="98" s="1"/>
  <c r="I610" i="42"/>
  <c r="J610" i="42" s="1"/>
  <c r="H1790" i="98"/>
  <c r="I1790" i="98" s="1"/>
  <c r="I1789" i="98" s="1"/>
  <c r="L1784" i="98" s="1"/>
  <c r="H217" i="103"/>
  <c r="I217" i="103" s="1"/>
  <c r="I216" i="103" s="1"/>
  <c r="L211" i="103" s="1"/>
  <c r="I59" i="42"/>
  <c r="J59" i="42" s="1"/>
  <c r="I1114" i="42"/>
  <c r="J1114" i="42" s="1"/>
  <c r="J1112" i="42" s="1"/>
  <c r="M1106" i="42" s="1"/>
  <c r="I2465" i="42"/>
  <c r="J2465" i="42" s="1"/>
  <c r="J2463" i="42" s="1"/>
  <c r="M2457" i="42" s="1"/>
  <c r="I1944" i="42"/>
  <c r="J1944" i="42" s="1"/>
  <c r="J1942" i="42" s="1"/>
  <c r="M1936" i="42" s="1"/>
  <c r="I112" i="42"/>
  <c r="J112" i="42" s="1"/>
  <c r="I865" i="42"/>
  <c r="J865" i="42" s="1"/>
  <c r="I1105" i="42"/>
  <c r="J1105" i="42" s="1"/>
  <c r="J1104" i="42" s="1"/>
  <c r="M1099" i="42" s="1"/>
  <c r="I600" i="42"/>
  <c r="J600" i="42" s="1"/>
  <c r="J598" i="42" s="1"/>
  <c r="M592" i="42" s="1"/>
  <c r="I373" i="42"/>
  <c r="J373" i="42" s="1"/>
  <c r="I590" i="42"/>
  <c r="J590" i="42" s="1"/>
  <c r="H876" i="98"/>
  <c r="I876" i="98" s="1"/>
  <c r="H880" i="98" s="1"/>
  <c r="I880" i="98" s="1"/>
  <c r="I874" i="98" s="1"/>
  <c r="L865" i="98" s="1"/>
  <c r="H127" i="98"/>
  <c r="I127" i="98" s="1"/>
  <c r="H129" i="98" s="1"/>
  <c r="I129" i="98" s="1"/>
  <c r="I125" i="98" s="1"/>
  <c r="L116" i="98" s="1"/>
  <c r="H2851" i="98"/>
  <c r="I2851" i="98" s="1"/>
  <c r="I2849" i="98" s="1"/>
  <c r="L2843" i="98" s="1"/>
  <c r="I3025" i="42"/>
  <c r="J3025" i="42" s="1"/>
  <c r="J3023" i="42" s="1"/>
  <c r="M3017" i="42" s="1"/>
  <c r="I2328" i="42"/>
  <c r="J2328" i="42" s="1"/>
  <c r="I623" i="42"/>
  <c r="J623" i="42" s="1"/>
  <c r="H1472" i="98"/>
  <c r="I1472" i="98" s="1"/>
  <c r="I1470" i="98" s="1"/>
  <c r="L1464" i="98" s="1"/>
  <c r="H89" i="98"/>
  <c r="I89" i="98" s="1"/>
  <c r="I87" i="98" s="1"/>
  <c r="L81" i="98" s="1"/>
  <c r="H2832" i="98"/>
  <c r="I2832" i="98" s="1"/>
  <c r="I2830" i="98" s="1"/>
  <c r="L2824" i="98" s="1"/>
  <c r="H1220" i="103"/>
  <c r="I1220" i="103" s="1"/>
  <c r="I1273" i="42"/>
  <c r="J1273" i="42" s="1"/>
  <c r="J1272" i="42" s="1"/>
  <c r="M1267" i="42" s="1"/>
  <c r="I482" i="42"/>
  <c r="J482" i="42" s="1"/>
  <c r="J480" i="42" s="1"/>
  <c r="M474" i="42" s="1"/>
  <c r="H1438" i="98"/>
  <c r="I1438" i="98" s="1"/>
  <c r="I1436" i="98" s="1"/>
  <c r="L1430" i="98" s="1"/>
  <c r="H1548" i="98"/>
  <c r="I1548" i="98" s="1"/>
  <c r="H1550" i="98" s="1"/>
  <c r="I1550" i="98" s="1"/>
  <c r="I1546" i="98" s="1"/>
  <c r="L1540" i="98" s="1"/>
  <c r="I1266" i="42"/>
  <c r="J1266" i="42" s="1"/>
  <c r="J1264" i="42" s="1"/>
  <c r="M1258" i="42" s="1"/>
  <c r="I3055" i="42"/>
  <c r="J3055" i="42" s="1"/>
  <c r="J3054" i="42" s="1"/>
  <c r="M3049" i="42" s="1"/>
  <c r="I2485" i="42"/>
  <c r="J2485" i="42" s="1"/>
  <c r="H201" i="103"/>
  <c r="I201" i="103" s="1"/>
  <c r="H770" i="98"/>
  <c r="I770" i="98" s="1"/>
  <c r="I768" i="98" s="1"/>
  <c r="L762" i="98" s="1"/>
  <c r="I3037" i="42"/>
  <c r="J3037" i="42" s="1"/>
  <c r="J3035" i="42" s="1"/>
  <c r="M3029" i="42" s="1"/>
  <c r="H70" i="98"/>
  <c r="I70" i="98" s="1"/>
  <c r="I68" i="98" s="1"/>
  <c r="L62" i="98" s="1"/>
  <c r="H830" i="98"/>
  <c r="I830" i="98" s="1"/>
  <c r="I1154" i="42"/>
  <c r="J1154" i="42" s="1"/>
  <c r="I95" i="42"/>
  <c r="J95" i="42" s="1"/>
  <c r="I100" i="42" s="1"/>
  <c r="J100" i="42" s="1"/>
  <c r="J93" i="42" s="1"/>
  <c r="M84" i="42" s="1"/>
  <c r="I464" i="42"/>
  <c r="J464" i="42" s="1"/>
  <c r="H1190" i="103"/>
  <c r="I1190" i="103" s="1"/>
  <c r="I1188" i="103" s="1"/>
  <c r="L1182" i="103" s="1"/>
  <c r="I2762" i="42"/>
  <c r="J2762" i="42" s="1"/>
  <c r="I2301" i="42"/>
  <c r="J2301" i="42" s="1"/>
  <c r="J2299" i="42" s="1"/>
  <c r="M2293" i="42" s="1"/>
  <c r="H568" i="98"/>
  <c r="I568" i="98" s="1"/>
  <c r="I566" i="98" s="1"/>
  <c r="L560" i="98" s="1"/>
  <c r="I1935" i="42"/>
  <c r="J1935" i="42" s="1"/>
  <c r="J1933" i="42" s="1"/>
  <c r="M1927" i="42" s="1"/>
  <c r="I1098" i="42"/>
  <c r="J1098" i="42" s="1"/>
  <c r="J1096" i="42" s="1"/>
  <c r="M1090" i="42" s="1"/>
  <c r="I2475" i="42"/>
  <c r="J2475" i="42" s="1"/>
  <c r="J2473" i="42" s="1"/>
  <c r="M2467" i="42" s="1"/>
  <c r="I577" i="42"/>
  <c r="J577" i="42" s="1"/>
  <c r="H604" i="98"/>
  <c r="I604" i="98" s="1"/>
  <c r="I602" i="98" s="1"/>
  <c r="L596" i="98" s="1"/>
  <c r="I947" i="42"/>
  <c r="J947" i="42" s="1"/>
  <c r="I2411" i="42"/>
  <c r="J2411" i="42" s="1"/>
  <c r="I3335" i="42"/>
  <c r="J3335" i="42" s="1"/>
  <c r="J3333" i="42" s="1"/>
  <c r="M3327" i="42" s="1"/>
  <c r="K15" i="96" s="1"/>
  <c r="N15" i="96" s="1"/>
  <c r="H2673" i="98"/>
  <c r="I2673" i="98" s="1"/>
  <c r="I2671" i="98" s="1"/>
  <c r="L2666" i="98" s="1"/>
  <c r="H1454" i="98"/>
  <c r="I1454" i="98" s="1"/>
  <c r="I1453" i="98" s="1"/>
  <c r="L1448" i="98" s="1"/>
  <c r="H796" i="103"/>
  <c r="I796" i="103" s="1"/>
  <c r="I794" i="103" s="1"/>
  <c r="L788" i="103" s="1"/>
  <c r="I2445" i="42"/>
  <c r="J2445" i="42" s="1"/>
  <c r="J2443" i="42" s="1"/>
  <c r="M2437" i="42" s="1"/>
  <c r="I1143" i="42"/>
  <c r="J1143" i="42" s="1"/>
  <c r="H444" i="98"/>
  <c r="I444" i="98" s="1"/>
  <c r="H2870" i="98"/>
  <c r="I2870" i="98" s="1"/>
  <c r="I2868" i="98" s="1"/>
  <c r="L2862" i="98" s="1"/>
  <c r="H1774" i="98"/>
  <c r="I1774" i="98" s="1"/>
  <c r="I1772" i="98" s="1"/>
  <c r="L1766" i="98" s="1"/>
  <c r="H3206" i="98"/>
  <c r="I3206" i="98" s="1"/>
  <c r="I3205" i="98" s="1"/>
  <c r="L3200" i="98" s="1"/>
  <c r="I651" i="42"/>
  <c r="J651" i="42" s="1"/>
  <c r="I655" i="42" s="1"/>
  <c r="J655" i="42" s="1"/>
  <c r="J649" i="42" s="1"/>
  <c r="M640" i="42" s="1"/>
  <c r="I69" i="42"/>
  <c r="J69" i="42" s="1"/>
  <c r="J67" i="42" s="1"/>
  <c r="M61" i="42" s="1"/>
  <c r="I2625" i="42"/>
  <c r="J2625" i="42" s="1"/>
  <c r="H586" i="98"/>
  <c r="I586" i="98" s="1"/>
  <c r="I584" i="98" s="1"/>
  <c r="L578" i="98" s="1"/>
  <c r="H415" i="103"/>
  <c r="I415" i="103" s="1"/>
  <c r="I413" i="103" s="1"/>
  <c r="L407" i="103" s="1"/>
  <c r="H61" i="103"/>
  <c r="I61" i="103" s="1"/>
  <c r="K52" i="103" s="1"/>
  <c r="H1318" i="103"/>
  <c r="I1318" i="103" s="1"/>
  <c r="K1309" i="103" s="1"/>
  <c r="H671" i="103"/>
  <c r="I671" i="103" s="1"/>
  <c r="K654" i="103" s="1"/>
  <c r="H709" i="103"/>
  <c r="I709" i="103" s="1"/>
  <c r="H943" i="103"/>
  <c r="I943" i="103" s="1"/>
  <c r="K935" i="103" s="1"/>
  <c r="H257" i="103"/>
  <c r="I257" i="103" s="1"/>
  <c r="K242" i="103" s="1"/>
  <c r="E65" i="93"/>
  <c r="H64" i="93"/>
  <c r="K64" i="93" s="1"/>
  <c r="N64" i="93" s="1"/>
  <c r="H163" i="105"/>
  <c r="H164" i="105" s="1"/>
  <c r="H165" i="105" s="1"/>
  <c r="K227" i="103"/>
  <c r="I233" i="103"/>
  <c r="I234" i="103" s="1"/>
  <c r="I235" i="103" s="1"/>
  <c r="I236" i="103" s="1"/>
  <c r="I237" i="103" s="1"/>
  <c r="I238" i="103" s="1"/>
  <c r="I239" i="103" s="1"/>
  <c r="I3194" i="42"/>
  <c r="J3194" i="42" s="1"/>
  <c r="J2326" i="42"/>
  <c r="M2321" i="42" s="1"/>
  <c r="J2483" i="42"/>
  <c r="M2477" i="42" s="1"/>
  <c r="J588" i="42"/>
  <c r="M582" i="42" s="1"/>
  <c r="J57" i="42"/>
  <c r="M51" i="42" s="1"/>
  <c r="H3390" i="98"/>
  <c r="I3390" i="98" s="1"/>
  <c r="I2117" i="42"/>
  <c r="J2117" i="42" s="1"/>
  <c r="J2114" i="42" s="1"/>
  <c r="M2110" i="42" s="1"/>
  <c r="H527" i="103"/>
  <c r="I527" i="103" s="1"/>
  <c r="I524" i="103" s="1"/>
  <c r="L520" i="103" s="1"/>
  <c r="J2706" i="42"/>
  <c r="M2697" i="42" s="1"/>
  <c r="J1824" i="42"/>
  <c r="M1815" i="42" s="1"/>
  <c r="J187" i="42"/>
  <c r="M178" i="42" s="1"/>
  <c r="I114" i="42"/>
  <c r="J114" i="42" s="1"/>
  <c r="J110" i="42" s="1"/>
  <c r="M101" i="42" s="1"/>
  <c r="J462" i="42"/>
  <c r="M456" i="42" s="1"/>
  <c r="I1218" i="103"/>
  <c r="L1212" i="103" s="1"/>
  <c r="I199" i="103"/>
  <c r="I1968" i="42"/>
  <c r="J1968" i="42" s="1"/>
  <c r="I1960" i="42"/>
  <c r="J1960" i="42" s="1"/>
  <c r="I1961" i="42" s="1"/>
  <c r="J1961" i="42" s="1"/>
  <c r="J1959" i="42" s="1"/>
  <c r="M1954" i="42" s="1"/>
  <c r="I1631" i="42"/>
  <c r="J1631" i="42" s="1"/>
  <c r="I1605" i="42"/>
  <c r="J1605" i="42" s="1"/>
  <c r="H2303" i="98"/>
  <c r="I2303" i="98" s="1"/>
  <c r="H2305" i="98" s="1"/>
  <c r="I2305" i="98" s="1"/>
  <c r="I2301" i="98" s="1"/>
  <c r="L2293" i="98" s="1"/>
  <c r="I2777" i="42"/>
  <c r="J2777" i="42" s="1"/>
  <c r="H2325" i="98"/>
  <c r="I2325" i="98" s="1"/>
  <c r="H2327" i="98" s="1"/>
  <c r="I2327" i="98" s="1"/>
  <c r="I2323" i="98" s="1"/>
  <c r="L2315" i="98" s="1"/>
  <c r="I1644" i="42"/>
  <c r="J1644" i="42" s="1"/>
  <c r="I1618" i="42"/>
  <c r="J1618" i="42" s="1"/>
  <c r="AC252" i="66"/>
  <c r="H1386" i="98"/>
  <c r="I1386" i="98" s="1"/>
  <c r="G89" i="105"/>
  <c r="H89" i="105" s="1"/>
  <c r="AC136" i="66"/>
  <c r="H1356" i="98"/>
  <c r="I1356" i="98" s="1"/>
  <c r="I1355" i="98" s="1"/>
  <c r="I911" i="42"/>
  <c r="J911" i="42" s="1"/>
  <c r="J910" i="42" s="1"/>
  <c r="M906" i="42" s="1"/>
  <c r="H996" i="98"/>
  <c r="I996" i="98" s="1"/>
  <c r="I734" i="42"/>
  <c r="J734" i="42" s="1"/>
  <c r="I715" i="42"/>
  <c r="J715" i="42" s="1"/>
  <c r="H1050" i="98"/>
  <c r="I1050" i="98" s="1"/>
  <c r="I698" i="42"/>
  <c r="J698" i="42" s="1"/>
  <c r="H1022" i="98"/>
  <c r="I1022" i="98" s="1"/>
  <c r="H3400" i="98"/>
  <c r="I3400" i="98" s="1"/>
  <c r="I3399" i="98" s="1"/>
  <c r="H465" i="98"/>
  <c r="I465" i="98" s="1"/>
  <c r="H993" i="98"/>
  <c r="I993" i="98" s="1"/>
  <c r="H809" i="98"/>
  <c r="I809" i="98" s="1"/>
  <c r="I806" i="98" s="1"/>
  <c r="L800" i="98" s="1"/>
  <c r="H32" i="98"/>
  <c r="I32" i="98" s="1"/>
  <c r="I374" i="42"/>
  <c r="J374" i="42" s="1"/>
  <c r="I3285" i="42"/>
  <c r="J3285" i="42" s="1"/>
  <c r="H2926" i="98"/>
  <c r="I2926" i="98" s="1"/>
  <c r="H2927" i="98" s="1"/>
  <c r="I2927" i="98" s="1"/>
  <c r="I2925" i="98" s="1"/>
  <c r="I26" i="42"/>
  <c r="J26" i="42" s="1"/>
  <c r="I351" i="42"/>
  <c r="J351" i="42" s="1"/>
  <c r="H3345" i="98"/>
  <c r="I3345" i="98" s="1"/>
  <c r="H3346" i="98" s="1"/>
  <c r="I3346" i="98" s="1"/>
  <c r="H3377" i="98"/>
  <c r="I3377" i="98" s="1"/>
  <c r="I3376" i="98" s="1"/>
  <c r="I2610" i="42"/>
  <c r="J2610" i="42" s="1"/>
  <c r="J2606" i="42" s="1"/>
  <c r="M2603" i="42" s="1"/>
  <c r="I385" i="42"/>
  <c r="J385" i="42" s="1"/>
  <c r="J382" i="42" s="1"/>
  <c r="M375" i="42" s="1"/>
  <c r="H445" i="98"/>
  <c r="I445" i="98" s="1"/>
  <c r="H3264" i="98"/>
  <c r="I3264" i="98" s="1"/>
  <c r="I1661" i="42"/>
  <c r="J1661" i="42" s="1"/>
  <c r="I979" i="42"/>
  <c r="J979" i="42" s="1"/>
  <c r="H1019" i="98"/>
  <c r="I1019" i="98" s="1"/>
  <c r="H388" i="98"/>
  <c r="I388" i="98" s="1"/>
  <c r="I16" i="42"/>
  <c r="J16" i="42" s="1"/>
  <c r="I624" i="42"/>
  <c r="J624" i="42" s="1"/>
  <c r="I961" i="42"/>
  <c r="J961" i="42" s="1"/>
  <c r="I578" i="42"/>
  <c r="J578" i="42" s="1"/>
  <c r="I1556" i="42"/>
  <c r="J1556" i="42" s="1"/>
  <c r="H667" i="98"/>
  <c r="I667" i="98" s="1"/>
  <c r="I712" i="42"/>
  <c r="J712" i="42" s="1"/>
  <c r="I2593" i="42"/>
  <c r="J2593" i="42" s="1"/>
  <c r="J2589" i="42" s="1"/>
  <c r="M2586" i="42" s="1"/>
  <c r="I341" i="42"/>
  <c r="J341" i="42" s="1"/>
  <c r="I565" i="42"/>
  <c r="J565" i="42" s="1"/>
  <c r="I611" i="42"/>
  <c r="J611" i="42" s="1"/>
  <c r="H2369" i="98"/>
  <c r="I2369" i="98" s="1"/>
  <c r="I3299" i="42"/>
  <c r="J3299" i="42" s="1"/>
  <c r="J3298" i="42" s="1"/>
  <c r="M3296" i="42" s="1"/>
  <c r="H688" i="98"/>
  <c r="I688" i="98" s="1"/>
  <c r="H708" i="98"/>
  <c r="I708" i="98" s="1"/>
  <c r="I866" i="42"/>
  <c r="J866" i="42" s="1"/>
  <c r="I556" i="42"/>
  <c r="J556" i="42" s="1"/>
  <c r="I2543" i="42"/>
  <c r="J2543" i="42" s="1"/>
  <c r="I2544" i="42" s="1"/>
  <c r="J2544" i="42" s="1"/>
  <c r="J2542" i="42" s="1"/>
  <c r="M2540" i="42" s="1"/>
  <c r="H731" i="98"/>
  <c r="I731" i="98" s="1"/>
  <c r="I542" i="42"/>
  <c r="J542" i="42" s="1"/>
  <c r="H831" i="98"/>
  <c r="I831" i="98" s="1"/>
  <c r="I361" i="42"/>
  <c r="J361" i="42" s="1"/>
  <c r="I329" i="42"/>
  <c r="J329" i="42" s="1"/>
  <c r="I531" i="42"/>
  <c r="J531" i="42" s="1"/>
  <c r="I1548" i="42"/>
  <c r="J1548" i="42" s="1"/>
  <c r="I1551" i="42" s="1"/>
  <c r="J1551" i="42" s="1"/>
  <c r="J1546" i="42" s="1"/>
  <c r="M1544" i="42" s="1"/>
  <c r="I509" i="42"/>
  <c r="J509" i="42" s="1"/>
  <c r="I519" i="42"/>
  <c r="J519" i="42" s="1"/>
  <c r="H749" i="98"/>
  <c r="I749" i="98" s="1"/>
  <c r="I1729" i="42"/>
  <c r="J1729" i="42" s="1"/>
  <c r="I1736" i="42"/>
  <c r="J1736" i="42" s="1"/>
  <c r="I1739" i="42" s="1"/>
  <c r="J1739" i="42" s="1"/>
  <c r="J1735" i="42" s="1"/>
  <c r="M1733" i="42" s="1"/>
  <c r="I319" i="42"/>
  <c r="J319" i="42" s="1"/>
  <c r="I1812" i="42"/>
  <c r="J1812" i="42" s="1"/>
  <c r="I1814" i="42" s="1"/>
  <c r="J1814" i="42" s="1"/>
  <c r="J1811" i="42" s="1"/>
  <c r="M1805" i="42" s="1"/>
  <c r="H13" i="98"/>
  <c r="I695" i="42"/>
  <c r="J695" i="42" s="1"/>
  <c r="I704" i="42" s="1"/>
  <c r="J704" i="42" s="1"/>
  <c r="J694" i="42" s="1"/>
  <c r="M688" i="42" s="1"/>
  <c r="I1863" i="42"/>
  <c r="J1863" i="42" s="1"/>
  <c r="I2602" i="42"/>
  <c r="J2602" i="42" s="1"/>
  <c r="J2597" i="42" s="1"/>
  <c r="M2594" i="42" s="1"/>
  <c r="I335" i="42"/>
  <c r="J335" i="42" s="1"/>
  <c r="I337" i="42" s="1"/>
  <c r="J337" i="42" s="1"/>
  <c r="J334" i="42" s="1"/>
  <c r="M332" i="42" s="1"/>
  <c r="I3150" i="42"/>
  <c r="J3150" i="42" s="1"/>
  <c r="H423" i="98"/>
  <c r="I423" i="98" s="1"/>
  <c r="H1275" i="98"/>
  <c r="I1275" i="98" s="1"/>
  <c r="C34" i="93"/>
  <c r="F33" i="93"/>
  <c r="I33" i="93" s="1"/>
  <c r="L33" i="93" s="1"/>
  <c r="H183" i="105"/>
  <c r="H184" i="105" s="1"/>
  <c r="I2649" i="42"/>
  <c r="J2649" i="42" s="1"/>
  <c r="I2651" i="42" s="1"/>
  <c r="J2651" i="42" s="1"/>
  <c r="J2647" i="42" s="1"/>
  <c r="M2640" i="42" s="1"/>
  <c r="I420" i="42"/>
  <c r="J420" i="42" s="1"/>
  <c r="I810" i="42"/>
  <c r="J810" i="42" s="1"/>
  <c r="H2945" i="98"/>
  <c r="I2945" i="98" s="1"/>
  <c r="I2943" i="98" s="1"/>
  <c r="L2937" i="98" s="1"/>
  <c r="H1171" i="98"/>
  <c r="I1171" i="98" s="1"/>
  <c r="H1173" i="98" s="1"/>
  <c r="I1173" i="98" s="1"/>
  <c r="I1168" i="98" s="1"/>
  <c r="L1162" i="98" s="1"/>
  <c r="H925" i="98"/>
  <c r="I925" i="98" s="1"/>
  <c r="I666" i="42"/>
  <c r="J666" i="42" s="1"/>
  <c r="H973" i="98"/>
  <c r="I973" i="98" s="1"/>
  <c r="I684" i="42"/>
  <c r="J684" i="42" s="1"/>
  <c r="I2523" i="42"/>
  <c r="J2523" i="42" s="1"/>
  <c r="H900" i="98"/>
  <c r="I900" i="98" s="1"/>
  <c r="H902" i="98" s="1"/>
  <c r="I902" i="98" s="1"/>
  <c r="I898" i="98" s="1"/>
  <c r="I2507" i="42"/>
  <c r="J2507" i="42" s="1"/>
  <c r="I2509" i="42" s="1"/>
  <c r="J2509" i="42" s="1"/>
  <c r="J2505" i="42" s="1"/>
  <c r="M2497" i="42" s="1"/>
  <c r="H946" i="98"/>
  <c r="I946" i="98" s="1"/>
  <c r="I42" i="42"/>
  <c r="J42" i="42" s="1"/>
  <c r="H48" i="98"/>
  <c r="I3212" i="42"/>
  <c r="J3212" i="42" s="1"/>
  <c r="I33" i="42"/>
  <c r="J33" i="42" s="1"/>
  <c r="H1476" i="103"/>
  <c r="I1476" i="103" s="1"/>
  <c r="H1479" i="103" s="1"/>
  <c r="I1479" i="103" s="1"/>
  <c r="I1475" i="103" s="1"/>
  <c r="L1473" i="103" s="1"/>
  <c r="H40" i="103"/>
  <c r="I40" i="103" s="1"/>
  <c r="H42" i="103" s="1"/>
  <c r="I42" i="103" s="1"/>
  <c r="I39" i="103" s="1"/>
  <c r="L35" i="103" s="1"/>
  <c r="H508" i="103"/>
  <c r="I508" i="103" s="1"/>
  <c r="H510" i="103" s="1"/>
  <c r="I510" i="103" s="1"/>
  <c r="I507" i="103" s="1"/>
  <c r="I2057" i="42"/>
  <c r="J2057" i="42" s="1"/>
  <c r="I2059" i="42" s="1"/>
  <c r="J2059" i="42" s="1"/>
  <c r="J2056" i="42" s="1"/>
  <c r="M2052" i="42" s="1"/>
  <c r="H493" i="103"/>
  <c r="I493" i="103" s="1"/>
  <c r="I2063" i="42"/>
  <c r="J2063" i="42" s="1"/>
  <c r="I2065" i="42" s="1"/>
  <c r="J2065" i="42" s="1"/>
  <c r="J2062" i="42" s="1"/>
  <c r="M2060" i="42" s="1"/>
  <c r="I134" i="42"/>
  <c r="J134" i="42" s="1"/>
  <c r="I136" i="42" s="1"/>
  <c r="J136" i="42" s="1"/>
  <c r="J133" i="42" s="1"/>
  <c r="M129" i="42" s="1"/>
  <c r="I126" i="42"/>
  <c r="J126" i="42" s="1"/>
  <c r="I128" i="42" s="1"/>
  <c r="J128" i="42" s="1"/>
  <c r="J125" i="42" s="1"/>
  <c r="M123" i="42" s="1"/>
  <c r="H168" i="98"/>
  <c r="I168" i="98" s="1"/>
  <c r="H170" i="98" s="1"/>
  <c r="I170" i="98" s="1"/>
  <c r="I167" i="98" s="1"/>
  <c r="H674" i="103"/>
  <c r="I674" i="103" s="1"/>
  <c r="H676" i="103" s="1"/>
  <c r="I676" i="103" s="1"/>
  <c r="I672" i="103" s="1"/>
  <c r="L654" i="103" s="1"/>
  <c r="H1975" i="98"/>
  <c r="I1975" i="98" s="1"/>
  <c r="H1977" i="98" s="1"/>
  <c r="I1977" i="98" s="1"/>
  <c r="I1973" i="98" s="1"/>
  <c r="L1961" i="98" s="1"/>
  <c r="I2179" i="42"/>
  <c r="J2179" i="42" s="1"/>
  <c r="I2181" i="42" s="1"/>
  <c r="J2181" i="42" s="1"/>
  <c r="J2177" i="42" s="1"/>
  <c r="M2159" i="42" s="1"/>
  <c r="I1380" i="42"/>
  <c r="J1380" i="42" s="1"/>
  <c r="I1382" i="42" s="1"/>
  <c r="J1382" i="42" s="1"/>
  <c r="J1378" i="42" s="1"/>
  <c r="M1362" i="42" s="1"/>
  <c r="H260" i="103"/>
  <c r="I260" i="103" s="1"/>
  <c r="H262" i="103" s="1"/>
  <c r="I262" i="103" s="1"/>
  <c r="I258" i="103" s="1"/>
  <c r="L242" i="103" s="1"/>
  <c r="I669" i="42"/>
  <c r="J669" i="42" s="1"/>
  <c r="H949" i="98"/>
  <c r="I949" i="98" s="1"/>
  <c r="I686" i="42"/>
  <c r="J686" i="42" s="1"/>
  <c r="H975" i="98"/>
  <c r="I975" i="98" s="1"/>
  <c r="H1248" i="103"/>
  <c r="I1248" i="103" s="1"/>
  <c r="I1247" i="103" s="1"/>
  <c r="L1242" i="103" s="1"/>
  <c r="H634" i="98"/>
  <c r="I634" i="98" s="1"/>
  <c r="I633" i="98" s="1"/>
  <c r="L628" i="98" s="1"/>
  <c r="I3004" i="42"/>
  <c r="J3004" i="42" s="1"/>
  <c r="J3003" i="42" s="1"/>
  <c r="M2994" i="42" s="1"/>
  <c r="I3047" i="42"/>
  <c r="J3047" i="42" s="1"/>
  <c r="J3046" i="42" s="1"/>
  <c r="M3041" i="42" s="1"/>
  <c r="H2282" i="98"/>
  <c r="I2282" i="98" s="1"/>
  <c r="I2281" i="98" s="1"/>
  <c r="L2276" i="98" s="1"/>
  <c r="H1754" i="98"/>
  <c r="I1754" i="98" s="1"/>
  <c r="H1756" i="98" s="1"/>
  <c r="I1756" i="98" s="1"/>
  <c r="I1753" i="98" s="1"/>
  <c r="L1748" i="98" s="1"/>
  <c r="I1915" i="42"/>
  <c r="J1915" i="42" s="1"/>
  <c r="I1917" i="42" s="1"/>
  <c r="J1917" i="42" s="1"/>
  <c r="J1914" i="42" s="1"/>
  <c r="M1909" i="42" s="1"/>
  <c r="I1438" i="42"/>
  <c r="J1438" i="42" s="1"/>
  <c r="J1437" i="42" s="1"/>
  <c r="M1432" i="42" s="1"/>
  <c r="I2987" i="42"/>
  <c r="J2987" i="42" s="1"/>
  <c r="J2986" i="42" s="1"/>
  <c r="M2977" i="42" s="1"/>
  <c r="I1526" i="42"/>
  <c r="J1526" i="42" s="1"/>
  <c r="J1525" i="42" s="1"/>
  <c r="M1520" i="42" s="1"/>
  <c r="H3189" i="98"/>
  <c r="I3189" i="98" s="1"/>
  <c r="I3188" i="98" s="1"/>
  <c r="L3180" i="98" s="1"/>
  <c r="I2975" i="42"/>
  <c r="J2975" i="42" s="1"/>
  <c r="J2974" i="42" s="1"/>
  <c r="M2970" i="42" s="1"/>
  <c r="I1255" i="42"/>
  <c r="J1255" i="42" s="1"/>
  <c r="I1257" i="42" s="1"/>
  <c r="J1257" i="42" s="1"/>
  <c r="J1254" i="42" s="1"/>
  <c r="M1249" i="42" s="1"/>
  <c r="H1419" i="103"/>
  <c r="I1419" i="103" s="1"/>
  <c r="H1421" i="103" s="1"/>
  <c r="I1421" i="103" s="1"/>
  <c r="I1418" i="103" s="1"/>
  <c r="L1413" i="103" s="1"/>
  <c r="H1171" i="103"/>
  <c r="I1171" i="103" s="1"/>
  <c r="I1170" i="103" s="1"/>
  <c r="L1161" i="103" s="1"/>
  <c r="H1150" i="103"/>
  <c r="I1150" i="103" s="1"/>
  <c r="I1149" i="103" s="1"/>
  <c r="L1145" i="103" s="1"/>
  <c r="H101" i="103"/>
  <c r="I101" i="103" s="1"/>
  <c r="I100" i="103" s="1"/>
  <c r="L95" i="103" s="1"/>
  <c r="I3181" i="42"/>
  <c r="J3181" i="42" s="1"/>
  <c r="I3183" i="42" s="1"/>
  <c r="J3183" i="42" s="1"/>
  <c r="J3180" i="42" s="1"/>
  <c r="M3175" i="42" s="1"/>
  <c r="I2316" i="42"/>
  <c r="J2316" i="42" s="1"/>
  <c r="J2315" i="42" s="1"/>
  <c r="M2311" i="42" s="1"/>
  <c r="H3169" i="98"/>
  <c r="I3169" i="98" s="1"/>
  <c r="I3168" i="98" s="1"/>
  <c r="L3164" i="98" s="1"/>
  <c r="H549" i="98"/>
  <c r="I549" i="98" s="1"/>
  <c r="I548" i="98" s="1"/>
  <c r="L543" i="98" s="1"/>
  <c r="I446" i="42"/>
  <c r="J446" i="42" s="1"/>
  <c r="J445" i="42" s="1"/>
  <c r="M440" i="42" s="1"/>
  <c r="I1924" i="42"/>
  <c r="J1924" i="42" s="1"/>
  <c r="I1926" i="42" s="1"/>
  <c r="J1926" i="42" s="1"/>
  <c r="J1923" i="42" s="1"/>
  <c r="M1918" i="42" s="1"/>
  <c r="I3015" i="42"/>
  <c r="J3015" i="42" s="1"/>
  <c r="J3014" i="42" s="1"/>
  <c r="M3006" i="42" s="1"/>
  <c r="I3293" i="42"/>
  <c r="J3293" i="42" s="1"/>
  <c r="I3295" i="42" s="1"/>
  <c r="J3295" i="42" s="1"/>
  <c r="J3292" i="42" s="1"/>
  <c r="M3287" i="42" s="1"/>
  <c r="I3325" i="42"/>
  <c r="J3325" i="42" s="1"/>
  <c r="I3172" i="42"/>
  <c r="J3172" i="42" s="1"/>
  <c r="I3174" i="42" s="1"/>
  <c r="J3174" i="42" s="1"/>
  <c r="J3171" i="42" s="1"/>
  <c r="M3166" i="42" s="1"/>
  <c r="H2181" i="98"/>
  <c r="I2181" i="98" s="1"/>
  <c r="I2180" i="98" s="1"/>
  <c r="L2175" i="98" s="1"/>
  <c r="I1593" i="42"/>
  <c r="J1593" i="42" s="1"/>
  <c r="J1592" i="42" s="1"/>
  <c r="M1587" i="42" s="1"/>
  <c r="H1587" i="98"/>
  <c r="I1587" i="98" s="1"/>
  <c r="I1586" i="98" s="1"/>
  <c r="L1581" i="98" s="1"/>
  <c r="H1401" i="103"/>
  <c r="I1401" i="103" s="1"/>
  <c r="H1403" i="103" s="1"/>
  <c r="I1403" i="103" s="1"/>
  <c r="I1400" i="103" s="1"/>
  <c r="L1395" i="103" s="1"/>
  <c r="H811" i="103"/>
  <c r="I811" i="103" s="1"/>
  <c r="I810" i="103" s="1"/>
  <c r="L806" i="103" s="1"/>
  <c r="H852" i="103"/>
  <c r="I852" i="103" s="1"/>
  <c r="I851" i="103" s="1"/>
  <c r="L846" i="103" s="1"/>
  <c r="H3362" i="98"/>
  <c r="I3362" i="98" s="1"/>
  <c r="H3364" i="98" s="1"/>
  <c r="I3364" i="98" s="1"/>
  <c r="I3361" i="98" s="1"/>
  <c r="L3356" i="98" s="1"/>
  <c r="I2410" i="42"/>
  <c r="J2410" i="42" s="1"/>
  <c r="I454" i="42"/>
  <c r="J454" i="42" s="1"/>
  <c r="J453" i="42" s="1"/>
  <c r="M448" i="42" s="1"/>
  <c r="H396" i="103"/>
  <c r="I396" i="103" s="1"/>
  <c r="I395" i="103" s="1"/>
  <c r="L390" i="103" s="1"/>
  <c r="I1175" i="42"/>
  <c r="J1175" i="42" s="1"/>
  <c r="J1174" i="42" s="1"/>
  <c r="M1169" i="42" s="1"/>
  <c r="I494" i="42"/>
  <c r="J494" i="42" s="1"/>
  <c r="J493" i="42" s="1"/>
  <c r="M488" i="42" s="1"/>
  <c r="I2579" i="42"/>
  <c r="J2579" i="42" s="1"/>
  <c r="J2578" i="42" s="1"/>
  <c r="M2573" i="42" s="1"/>
  <c r="I923" i="42"/>
  <c r="J923" i="42" s="1"/>
  <c r="I948" i="42"/>
  <c r="J948" i="42" s="1"/>
  <c r="I1073" i="42"/>
  <c r="J1073" i="42" s="1"/>
  <c r="I1075" i="42" s="1"/>
  <c r="J1075" i="42" s="1"/>
  <c r="J1072" i="42" s="1"/>
  <c r="M1067" i="42" s="1"/>
  <c r="I2638" i="42"/>
  <c r="J2638" i="42" s="1"/>
  <c r="I2639" i="42" s="1"/>
  <c r="J2639" i="42" s="1"/>
  <c r="J2635" i="42" s="1"/>
  <c r="M2629" i="42" s="1"/>
  <c r="I937" i="42"/>
  <c r="J937" i="42" s="1"/>
  <c r="I993" i="42"/>
  <c r="J993" i="42" s="1"/>
  <c r="I994" i="42" s="1"/>
  <c r="J994" i="42" s="1"/>
  <c r="J990" i="42" s="1"/>
  <c r="M984" i="42" s="1"/>
  <c r="I1060" i="42"/>
  <c r="J1060" i="42" s="1"/>
  <c r="I1062" i="42" s="1"/>
  <c r="J1062" i="42" s="1"/>
  <c r="J1059" i="42" s="1"/>
  <c r="M1054" i="42" s="1"/>
  <c r="I2216" i="42"/>
  <c r="J2216" i="42" s="1"/>
  <c r="H711" i="103"/>
  <c r="I711" i="103" s="1"/>
  <c r="H946" i="103"/>
  <c r="I946" i="103" s="1"/>
  <c r="I2863" i="42"/>
  <c r="J2863" i="42" s="1"/>
  <c r="H2552" i="98"/>
  <c r="I2552" i="98" s="1"/>
  <c r="I2551" i="98" s="1"/>
  <c r="I118" i="42"/>
  <c r="J118" i="42" s="1"/>
  <c r="J117" i="42" s="1"/>
  <c r="M115" i="42" s="1"/>
  <c r="I2002" i="42"/>
  <c r="J2002" i="42" s="1"/>
  <c r="J2001" i="42" s="1"/>
  <c r="M1999" i="42" s="1"/>
  <c r="H142" i="98"/>
  <c r="I142" i="98" s="1"/>
  <c r="I141" i="98" s="1"/>
  <c r="I2655" i="42"/>
  <c r="J2655" i="42" s="1"/>
  <c r="J2654" i="42" s="1"/>
  <c r="M2652" i="42" s="1"/>
  <c r="K11" i="49" s="1"/>
  <c r="L11" i="49" s="1"/>
  <c r="M11" i="49" s="1"/>
  <c r="I2141" i="42"/>
  <c r="J2141" i="42" s="1"/>
  <c r="J2140" i="42" s="1"/>
  <c r="M2138" i="42" s="1"/>
  <c r="K12" i="49" s="1"/>
  <c r="L12" i="49" s="1"/>
  <c r="M12" i="49" s="1"/>
  <c r="H428" i="103"/>
  <c r="I428" i="103" s="1"/>
  <c r="I427" i="103" s="1"/>
  <c r="I1998" i="42"/>
  <c r="J1998" i="42" s="1"/>
  <c r="J1997" i="42" s="1"/>
  <c r="M1995" i="42" s="1"/>
  <c r="I140" i="42"/>
  <c r="J140" i="42" s="1"/>
  <c r="J139" i="42" s="1"/>
  <c r="M137" i="42" s="1"/>
  <c r="H609" i="103"/>
  <c r="I609" i="103" s="1"/>
  <c r="I608" i="103" s="1"/>
  <c r="H2493" i="98"/>
  <c r="I2493" i="98" s="1"/>
  <c r="H2495" i="98" s="1"/>
  <c r="I2495" i="98" s="1"/>
  <c r="I2492" i="98" s="1"/>
  <c r="L2486" i="98" s="1"/>
  <c r="I554" i="42"/>
  <c r="J554" i="42" s="1"/>
  <c r="I17" i="42"/>
  <c r="J17" i="42" s="1"/>
  <c r="I27" i="42"/>
  <c r="J27" i="42" s="1"/>
  <c r="I3163" i="42"/>
  <c r="J3163" i="42" s="1"/>
  <c r="I3165" i="42" s="1"/>
  <c r="J3165" i="42" s="1"/>
  <c r="J3162" i="42" s="1"/>
  <c r="M3154" i="42" s="1"/>
  <c r="I543" i="42"/>
  <c r="J543" i="42" s="1"/>
  <c r="I2290" i="42"/>
  <c r="J2290" i="42" s="1"/>
  <c r="I2292" i="42" s="1"/>
  <c r="J2292" i="42" s="1"/>
  <c r="J2289" i="42" s="1"/>
  <c r="M2281" i="42" s="1"/>
  <c r="H1418" i="98"/>
  <c r="I1418" i="98" s="1"/>
  <c r="H1420" i="98" s="1"/>
  <c r="I1420" i="98" s="1"/>
  <c r="I1417" i="98" s="1"/>
  <c r="L1412" i="98" s="1"/>
  <c r="H689" i="98"/>
  <c r="I689" i="98" s="1"/>
  <c r="H33" i="98"/>
  <c r="I33" i="98" s="1"/>
  <c r="I2750" i="42"/>
  <c r="J2750" i="42" s="1"/>
  <c r="I2752" i="42" s="1"/>
  <c r="J2752" i="42" s="1"/>
  <c r="J2749" i="42" s="1"/>
  <c r="M2744" i="42" s="1"/>
  <c r="I1087" i="42"/>
  <c r="J1087" i="42" s="1"/>
  <c r="I1089" i="42" s="1"/>
  <c r="J1089" i="42" s="1"/>
  <c r="J1086" i="42" s="1"/>
  <c r="M1081" i="42" s="1"/>
  <c r="H1949" i="98"/>
  <c r="I1949" i="98" s="1"/>
  <c r="H1951" i="98" s="1"/>
  <c r="I1951" i="98" s="1"/>
  <c r="I1948" i="98" s="1"/>
  <c r="L1943" i="98" s="1"/>
  <c r="I1782" i="42"/>
  <c r="J1782" i="42" s="1"/>
  <c r="I1784" i="42" s="1"/>
  <c r="J1784" i="42" s="1"/>
  <c r="J1781" i="42" s="1"/>
  <c r="M1776" i="42" s="1"/>
  <c r="I352" i="42"/>
  <c r="J352" i="42" s="1"/>
  <c r="I362" i="42"/>
  <c r="J362" i="42" s="1"/>
  <c r="H668" i="98"/>
  <c r="I668" i="98" s="1"/>
  <c r="H729" i="98"/>
  <c r="I729" i="98" s="1"/>
  <c r="I510" i="42"/>
  <c r="J510" i="42" s="1"/>
  <c r="H424" i="98"/>
  <c r="I424" i="98" s="1"/>
  <c r="H776" i="103"/>
  <c r="I776" i="103" s="1"/>
  <c r="H778" i="103" s="1"/>
  <c r="I778" i="103" s="1"/>
  <c r="I775" i="103" s="1"/>
  <c r="L767" i="103" s="1"/>
  <c r="H750" i="98"/>
  <c r="I750" i="98" s="1"/>
  <c r="I1747" i="42"/>
  <c r="J1747" i="42" s="1"/>
  <c r="I1749" i="42" s="1"/>
  <c r="J1749" i="42" s="1"/>
  <c r="J1746" i="42" s="1"/>
  <c r="M1740" i="42" s="1"/>
  <c r="H3265" i="98"/>
  <c r="I3265" i="98" s="1"/>
  <c r="I2554" i="42"/>
  <c r="J2554" i="42" s="1"/>
  <c r="I2556" i="42" s="1"/>
  <c r="J2556" i="42" s="1"/>
  <c r="J2553" i="42" s="1"/>
  <c r="M2545" i="42" s="1"/>
  <c r="I520" i="42"/>
  <c r="J520" i="42" s="1"/>
  <c r="H709" i="98"/>
  <c r="I709" i="98" s="1"/>
  <c r="I566" i="42"/>
  <c r="J566" i="42" s="1"/>
  <c r="I532" i="42"/>
  <c r="J532" i="42" s="1"/>
  <c r="I1351" i="42"/>
  <c r="J1351" i="42" s="1"/>
  <c r="I1353" i="42" s="1"/>
  <c r="J1353" i="42" s="1"/>
  <c r="J1350" i="42" s="1"/>
  <c r="M1345" i="42" s="1"/>
  <c r="I1864" i="42"/>
  <c r="J1864" i="42" s="1"/>
  <c r="I1865" i="42" s="1"/>
  <c r="J1865" i="42" s="1"/>
  <c r="J1861" i="42" s="1"/>
  <c r="M1855" i="42" s="1"/>
  <c r="I3151" i="42"/>
  <c r="J3151" i="42" s="1"/>
  <c r="I2308" i="42"/>
  <c r="J2308" i="42" s="1"/>
  <c r="I2310" i="42" s="1"/>
  <c r="J2310" i="42" s="1"/>
  <c r="J2307" i="42" s="1"/>
  <c r="M2302" i="42" s="1"/>
  <c r="H14" i="98"/>
  <c r="H729" i="103"/>
  <c r="I729" i="103" s="1"/>
  <c r="H730" i="103" s="1"/>
  <c r="I730" i="103" s="1"/>
  <c r="I728" i="103" s="1"/>
  <c r="L724" i="103" s="1"/>
  <c r="H155" i="98"/>
  <c r="I155" i="98" s="1"/>
  <c r="I154" i="98" s="1"/>
  <c r="I2259" i="42"/>
  <c r="J2259" i="42" s="1"/>
  <c r="I2260" i="42" s="1"/>
  <c r="J2260" i="42" s="1"/>
  <c r="J2258" i="42" s="1"/>
  <c r="M2254" i="42" s="1"/>
  <c r="H25" i="103"/>
  <c r="I25" i="103" s="1"/>
  <c r="I24" i="103" s="1"/>
  <c r="I122" i="42"/>
  <c r="J122" i="42" s="1"/>
  <c r="J121" i="42" s="1"/>
  <c r="M119" i="42" s="1"/>
  <c r="I2850" i="42"/>
  <c r="J2850" i="42" s="1"/>
  <c r="I2851" i="42" s="1"/>
  <c r="J2851" i="42" s="1"/>
  <c r="J2849" i="42" s="1"/>
  <c r="M2845" i="42" s="1"/>
  <c r="I1022" i="42"/>
  <c r="J1022" i="42" s="1"/>
  <c r="I1023" i="42" s="1"/>
  <c r="J1023" i="42" s="1"/>
  <c r="J1019" i="42" s="1"/>
  <c r="M1009" i="42" s="1"/>
  <c r="I176" i="42"/>
  <c r="J176" i="42" s="1"/>
  <c r="I177" i="42" s="1"/>
  <c r="J177" i="42" s="1"/>
  <c r="J173" i="42" s="1"/>
  <c r="M163" i="42" s="1"/>
  <c r="H1322" i="103"/>
  <c r="I1322" i="103" s="1"/>
  <c r="H1323" i="103" s="1"/>
  <c r="I1323" i="103" s="1"/>
  <c r="I1319" i="103" s="1"/>
  <c r="L1309" i="103" s="1"/>
  <c r="I226" i="42"/>
  <c r="J226" i="42" s="1"/>
  <c r="I227" i="42" s="1"/>
  <c r="J227" i="42" s="1"/>
  <c r="J223" i="42" s="1"/>
  <c r="M214" i="42" s="1"/>
  <c r="I3083" i="42"/>
  <c r="J3083" i="42" s="1"/>
  <c r="I3084" i="42" s="1"/>
  <c r="J3084" i="42" s="1"/>
  <c r="J3080" i="42" s="1"/>
  <c r="M3070" i="42" s="1"/>
  <c r="H65" i="103"/>
  <c r="I65" i="103" s="1"/>
  <c r="H66" i="103" s="1"/>
  <c r="I66" i="103" s="1"/>
  <c r="I62" i="103" s="1"/>
  <c r="L52" i="103" s="1"/>
  <c r="H246" i="98"/>
  <c r="I246" i="98" s="1"/>
  <c r="H247" i="98" s="1"/>
  <c r="I247" i="98" s="1"/>
  <c r="I243" i="98" s="1"/>
  <c r="I161" i="42"/>
  <c r="J161" i="42" s="1"/>
  <c r="I162" i="42" s="1"/>
  <c r="J162" i="42" s="1"/>
  <c r="J158" i="42" s="1"/>
  <c r="M148" i="42" s="1"/>
  <c r="H207" i="98"/>
  <c r="I207" i="98" s="1"/>
  <c r="I204" i="98" s="1"/>
  <c r="L195" i="98" s="1"/>
  <c r="G140" i="105"/>
  <c r="H140" i="105" s="1"/>
  <c r="H139" i="105" s="1"/>
  <c r="G73" i="105"/>
  <c r="H73" i="105" s="1"/>
  <c r="H72" i="105" s="1"/>
  <c r="AC224" i="66"/>
  <c r="G90" i="105"/>
  <c r="H90" i="105" s="1"/>
  <c r="I2217" i="42"/>
  <c r="J2217" i="42" s="1"/>
  <c r="H712" i="103"/>
  <c r="I712" i="103" s="1"/>
  <c r="H947" i="103"/>
  <c r="I947" i="103" s="1"/>
  <c r="I2864" i="42"/>
  <c r="J2864" i="42" s="1"/>
  <c r="D55" i="93"/>
  <c r="G54" i="93"/>
  <c r="J54" i="93" s="1"/>
  <c r="M54" i="93" s="1"/>
  <c r="K554" i="103"/>
  <c r="I559" i="103"/>
  <c r="I560" i="103" s="1"/>
  <c r="I561" i="103" s="1"/>
  <c r="I562" i="103" s="1"/>
  <c r="I563" i="103" s="1"/>
  <c r="I564" i="103" s="1"/>
  <c r="I565" i="103" s="1"/>
  <c r="I566" i="103" s="1"/>
  <c r="J2821" i="42"/>
  <c r="M2819" i="42" s="1"/>
  <c r="J2816" i="42"/>
  <c r="M2814" i="42" s="1"/>
  <c r="I1559" i="42"/>
  <c r="J1559" i="42" s="1"/>
  <c r="J1554" i="42" s="1"/>
  <c r="M1552" i="42" s="1"/>
  <c r="I1458" i="42"/>
  <c r="J1458" i="42" s="1"/>
  <c r="J1452" i="42" s="1"/>
  <c r="M1448" i="42" s="1"/>
  <c r="I1384" i="98"/>
  <c r="K1380" i="98" s="1"/>
  <c r="H847" i="98"/>
  <c r="I847" i="98" s="1"/>
  <c r="I9" i="102"/>
  <c r="I2602" i="98"/>
  <c r="I2603" i="98" s="1"/>
  <c r="H1311" i="103"/>
  <c r="I1311" i="103" s="1"/>
  <c r="H54" i="103"/>
  <c r="I54" i="103" s="1"/>
  <c r="H846" i="98"/>
  <c r="I846" i="98" s="1"/>
  <c r="H1312" i="103"/>
  <c r="I1312" i="103" s="1"/>
  <c r="H195" i="103"/>
  <c r="I195" i="103" s="1"/>
  <c r="I194" i="103" s="1"/>
  <c r="J193" i="103" s="1"/>
  <c r="H55" i="103"/>
  <c r="I55" i="103" s="1"/>
  <c r="H79" i="103"/>
  <c r="I79" i="103" s="1"/>
  <c r="H81" i="103" s="1"/>
  <c r="I81" i="103" s="1"/>
  <c r="I77" i="103" s="1"/>
  <c r="J76" i="103" s="1"/>
  <c r="H802" i="98"/>
  <c r="I802" i="98" s="1"/>
  <c r="I801" i="98" s="1"/>
  <c r="J800" i="98" s="1"/>
  <c r="H764" i="98"/>
  <c r="I764" i="98" s="1"/>
  <c r="I763" i="98" s="1"/>
  <c r="J762" i="98" s="1"/>
  <c r="J2826" i="42"/>
  <c r="M2824" i="42" s="1"/>
  <c r="J2148" i="42"/>
  <c r="M2143" i="42" s="1"/>
  <c r="L193" i="103"/>
  <c r="I1992" i="98"/>
  <c r="I1993" i="98" s="1"/>
  <c r="I1994" i="98" s="1"/>
  <c r="I1995" i="98" s="1"/>
  <c r="I1996" i="98" s="1"/>
  <c r="K37" i="105"/>
  <c r="H43" i="105"/>
  <c r="H44" i="105" s="1"/>
  <c r="K22" i="105"/>
  <c r="H28" i="105"/>
  <c r="H29" i="105" s="1"/>
  <c r="K100" i="105"/>
  <c r="H108" i="105"/>
  <c r="H109" i="105" s="1"/>
  <c r="H85" i="103"/>
  <c r="I85" i="103" s="1"/>
  <c r="I83" i="103" s="1"/>
  <c r="L844" i="98"/>
  <c r="L1141" i="98"/>
  <c r="I1295" i="103"/>
  <c r="I1296" i="103" s="1"/>
  <c r="I898" i="103"/>
  <c r="I899" i="103" s="1"/>
  <c r="I900" i="103" s="1"/>
  <c r="I901" i="103" s="1"/>
  <c r="I902" i="103" s="1"/>
  <c r="I832" i="103"/>
  <c r="I833" i="103" s="1"/>
  <c r="I305" i="103"/>
  <c r="L300" i="103" s="1"/>
  <c r="I625" i="103"/>
  <c r="L620" i="103" s="1"/>
  <c r="I181" i="103"/>
  <c r="I184" i="103" s="1"/>
  <c r="I185" i="103" s="1"/>
  <c r="I186" i="103" s="1"/>
  <c r="I187" i="103" s="1"/>
  <c r="I188" i="103" s="1"/>
  <c r="I189" i="103" s="1"/>
  <c r="I190" i="103" s="1"/>
  <c r="I2616" i="98"/>
  <c r="I2617" i="98" s="1"/>
  <c r="I1641" i="98"/>
  <c r="I1642" i="98" s="1"/>
  <c r="I369" i="98"/>
  <c r="L363" i="98" s="1"/>
  <c r="I285" i="98"/>
  <c r="I286" i="98" s="1"/>
  <c r="E170" i="99"/>
  <c r="F170" i="99" s="1"/>
  <c r="H129" i="105"/>
  <c r="H130" i="105" s="1"/>
  <c r="H131" i="105" s="1"/>
  <c r="I1934" i="98"/>
  <c r="I1935" i="98" s="1"/>
  <c r="I1936" i="98" s="1"/>
  <c r="L2337" i="98"/>
  <c r="L1100" i="103"/>
  <c r="I1113" i="103"/>
  <c r="I1114" i="103" s="1"/>
  <c r="I1115" i="103" s="1"/>
  <c r="I1116" i="103" s="1"/>
  <c r="I1117" i="103" s="1"/>
  <c r="I909" i="103"/>
  <c r="I912" i="103" s="1"/>
  <c r="I913" i="103" s="1"/>
  <c r="I104" i="98"/>
  <c r="L100" i="98" s="1"/>
  <c r="I1645" i="98"/>
  <c r="L1643" i="98" s="1"/>
  <c r="I1809" i="98"/>
  <c r="L1800" i="98" s="1"/>
  <c r="I2020" i="98"/>
  <c r="L2015" i="98" s="1"/>
  <c r="I844" i="103"/>
  <c r="I845" i="103" s="1"/>
  <c r="I1732" i="42"/>
  <c r="J1732" i="42" s="1"/>
  <c r="J1727" i="42" s="1"/>
  <c r="M1725" i="42" s="1"/>
  <c r="J1398" i="42"/>
  <c r="M1393" i="42" s="1"/>
  <c r="K325" i="104"/>
  <c r="I1461" i="103"/>
  <c r="L1460" i="103" s="1"/>
  <c r="H1052" i="103"/>
  <c r="I1052" i="103" s="1"/>
  <c r="H1022" i="103"/>
  <c r="I1022" i="103" s="1"/>
  <c r="H1007" i="103"/>
  <c r="I1007" i="103" s="1"/>
  <c r="H977" i="103"/>
  <c r="I977" i="103" s="1"/>
  <c r="H1037" i="103"/>
  <c r="I1037" i="103" s="1"/>
  <c r="H992" i="103"/>
  <c r="I992" i="103" s="1"/>
  <c r="H1067" i="103"/>
  <c r="I1067" i="103" s="1"/>
  <c r="H962" i="103"/>
  <c r="I962" i="103" s="1"/>
  <c r="J2074" i="42"/>
  <c r="M2072" i="42" s="1"/>
  <c r="A47" i="7"/>
  <c r="A53" i="7" s="1"/>
  <c r="I1660" i="98"/>
  <c r="I1661" i="98" s="1"/>
  <c r="L1657" i="98"/>
  <c r="F76" i="93"/>
  <c r="I76" i="93" s="1"/>
  <c r="L76" i="93" s="1"/>
  <c r="C77" i="93"/>
  <c r="F77" i="93" s="1"/>
  <c r="I77" i="93" s="1"/>
  <c r="L77" i="93" s="1"/>
  <c r="H158" i="103"/>
  <c r="I158" i="103" s="1"/>
  <c r="I156" i="103" s="1"/>
  <c r="L149" i="103" s="1"/>
  <c r="H123" i="103"/>
  <c r="I123" i="103" s="1"/>
  <c r="I120" i="103" s="1"/>
  <c r="L112" i="103" s="1"/>
  <c r="K18" i="96"/>
  <c r="N18" i="96" s="1"/>
  <c r="H1493" i="98"/>
  <c r="I1493" i="98" s="1"/>
  <c r="I1490" i="98" s="1"/>
  <c r="L1482" i="98" s="1"/>
  <c r="J1569" i="42"/>
  <c r="M1560" i="42" s="1"/>
  <c r="I1126" i="42"/>
  <c r="J1126" i="42" s="1"/>
  <c r="J1123" i="42" s="1"/>
  <c r="M1115" i="42" s="1"/>
  <c r="H2047" i="98"/>
  <c r="I2047" i="98" s="1"/>
  <c r="I2044" i="98" s="1"/>
  <c r="L2033" i="98" s="1"/>
  <c r="I1416" i="42"/>
  <c r="J1416" i="42" s="1"/>
  <c r="J1413" i="42" s="1"/>
  <c r="M1402" i="42" s="1"/>
  <c r="I1953" i="42"/>
  <c r="J1953" i="42" s="1"/>
  <c r="J1951" i="42" s="1"/>
  <c r="M1945" i="42" s="1"/>
  <c r="J1672" i="42"/>
  <c r="M1663" i="42" s="1"/>
  <c r="I498" i="98"/>
  <c r="I500" i="98" s="1"/>
  <c r="L2895" i="98"/>
  <c r="I2900" i="98"/>
  <c r="I2901" i="98" s="1"/>
  <c r="I2902" i="98" s="1"/>
  <c r="I2903" i="98" s="1"/>
  <c r="J436" i="42"/>
  <c r="M432" i="42" s="1"/>
  <c r="L3320" i="98"/>
  <c r="I3324" i="98"/>
  <c r="I3325" i="98" s="1"/>
  <c r="I3326" i="98" s="1"/>
  <c r="I3327" i="98" s="1"/>
  <c r="I965" i="42"/>
  <c r="J965" i="42" s="1"/>
  <c r="J960" i="42" s="1"/>
  <c r="M951" i="42" s="1"/>
  <c r="I983" i="42"/>
  <c r="J983" i="42" s="1"/>
  <c r="J978" i="42" s="1"/>
  <c r="M966" i="42" s="1"/>
  <c r="I2431" i="42"/>
  <c r="J2431" i="42" s="1"/>
  <c r="J2426" i="42"/>
  <c r="M2416" i="42" s="1"/>
  <c r="J2810" i="42"/>
  <c r="M2801" i="42" s="1"/>
  <c r="J1772" i="42"/>
  <c r="M1763" i="42" s="1"/>
  <c r="J1685" i="42"/>
  <c r="M1676" i="42" s="1"/>
  <c r="I1145" i="42"/>
  <c r="J1145" i="42" s="1"/>
  <c r="J1141" i="42" s="1"/>
  <c r="M1135" i="42" s="1"/>
  <c r="I1156" i="42"/>
  <c r="J1156" i="42" s="1"/>
  <c r="J1152" i="42" s="1"/>
  <c r="M1146" i="42" s="1"/>
  <c r="H1571" i="98"/>
  <c r="I1571" i="98" s="1"/>
  <c r="I1568" i="98" s="1"/>
  <c r="L1560" i="98" s="1"/>
  <c r="J1906" i="42"/>
  <c r="M1899" i="42" s="1"/>
  <c r="I1168" i="42"/>
  <c r="J1168" i="42" s="1"/>
  <c r="J1165" i="42" s="1"/>
  <c r="M1157" i="42" s="1"/>
  <c r="I514" i="98"/>
  <c r="I928" i="42"/>
  <c r="J928" i="42" s="1"/>
  <c r="J921" i="42" s="1"/>
  <c r="M913" i="42" s="1"/>
  <c r="L3244" i="98"/>
  <c r="I3249" i="98"/>
  <c r="I3250" i="98" s="1"/>
  <c r="I3251" i="98" s="1"/>
  <c r="I3252" i="98" s="1"/>
  <c r="I3253" i="98" s="1"/>
  <c r="I3254" i="98" s="1"/>
  <c r="I3255" i="98" s="1"/>
  <c r="L3230" i="98"/>
  <c r="I3235" i="98"/>
  <c r="I3236" i="98" s="1"/>
  <c r="I3237" i="98" s="1"/>
  <c r="L2909" i="98"/>
  <c r="I2914" i="98"/>
  <c r="I2915" i="98" s="1"/>
  <c r="I2916" i="98" s="1"/>
  <c r="I2917" i="98" s="1"/>
  <c r="I723" i="42"/>
  <c r="J723" i="42" s="1"/>
  <c r="J711" i="42" s="1"/>
  <c r="M705" i="42" s="1"/>
  <c r="J1580" i="42"/>
  <c r="K1580" i="42" s="1"/>
  <c r="J3200" i="42"/>
  <c r="M3199" i="42" s="1"/>
  <c r="I923" i="103"/>
  <c r="I926" i="103" s="1"/>
  <c r="I927" i="103" s="1"/>
  <c r="I2081" i="98"/>
  <c r="I2082" i="98" s="1"/>
  <c r="I2083" i="98" s="1"/>
  <c r="I2084" i="98" s="1"/>
  <c r="I2085" i="98" s="1"/>
  <c r="I2260" i="98"/>
  <c r="L2253" i="98" s="1"/>
  <c r="L2351" i="98"/>
  <c r="I1111" i="98"/>
  <c r="I1112" i="98" s="1"/>
  <c r="I1113" i="98" s="1"/>
  <c r="I1114" i="98" s="1"/>
  <c r="I1234" i="98"/>
  <c r="I1235" i="98" s="1"/>
  <c r="I1236" i="98" s="1"/>
  <c r="K16" i="96"/>
  <c r="I2707" i="98"/>
  <c r="I2708" i="98" s="1"/>
  <c r="L1079" i="103"/>
  <c r="I1092" i="103"/>
  <c r="I1093" i="103" s="1"/>
  <c r="I1094" i="103" s="1"/>
  <c r="I1095" i="103" s="1"/>
  <c r="I381" i="103"/>
  <c r="I382" i="103" s="1"/>
  <c r="I383" i="103" s="1"/>
  <c r="I384" i="103" s="1"/>
  <c r="L376" i="103"/>
  <c r="I3259" i="42"/>
  <c r="J3259" i="42" s="1"/>
  <c r="J3257" i="42" s="1"/>
  <c r="M3249" i="42" s="1"/>
  <c r="L754" i="103"/>
  <c r="I758" i="103"/>
  <c r="I759" i="103" s="1"/>
  <c r="I760" i="103" s="1"/>
  <c r="I761" i="103" s="1"/>
  <c r="I762" i="103" s="1"/>
  <c r="I763" i="103" s="1"/>
  <c r="I764" i="103" s="1"/>
  <c r="I2020" i="42"/>
  <c r="J2020" i="42" s="1"/>
  <c r="J2017" i="42" s="1"/>
  <c r="M2013" i="42" s="1"/>
  <c r="H462" i="103"/>
  <c r="I462" i="103" s="1"/>
  <c r="I459" i="103" s="1"/>
  <c r="L455" i="103" s="1"/>
  <c r="I2091" i="42"/>
  <c r="J2091" i="42" s="1"/>
  <c r="J2088" i="42" s="1"/>
  <c r="M2084" i="42" s="1"/>
  <c r="I2028" i="42"/>
  <c r="J2028" i="42" s="1"/>
  <c r="J2025" i="42" s="1"/>
  <c r="M2021" i="42" s="1"/>
  <c r="J2834" i="42"/>
  <c r="M2833" i="42" s="1"/>
  <c r="I3278" i="98"/>
  <c r="I275" i="103"/>
  <c r="I276" i="103" s="1"/>
  <c r="L272" i="103"/>
  <c r="H55" i="93"/>
  <c r="K55" i="93" s="1"/>
  <c r="N55" i="93" s="1"/>
  <c r="E56" i="93"/>
  <c r="I2529" i="42"/>
  <c r="J2529" i="42" s="1"/>
  <c r="J2527" i="42" s="1"/>
  <c r="M2525" i="42" s="1"/>
  <c r="I3115" i="42"/>
  <c r="J3115" i="42" s="1"/>
  <c r="J3113" i="42" s="1"/>
  <c r="M3111" i="42" s="1"/>
  <c r="I1651" i="42"/>
  <c r="J1651" i="42" s="1"/>
  <c r="J1649" i="42" s="1"/>
  <c r="M1647" i="42" s="1"/>
  <c r="I3215" i="42"/>
  <c r="J3215" i="42" s="1"/>
  <c r="J3211" i="42" s="1"/>
  <c r="M3209" i="42" s="1"/>
  <c r="I740" i="42"/>
  <c r="J740" i="42" s="1"/>
  <c r="J730" i="42" s="1"/>
  <c r="M724" i="42" s="1"/>
  <c r="F20" i="85"/>
  <c r="T53" i="93"/>
  <c r="I1257" i="98"/>
  <c r="I1258" i="98" s="1"/>
  <c r="K1253" i="98"/>
  <c r="K1066" i="98"/>
  <c r="I1075" i="98"/>
  <c r="I1076" i="98" s="1"/>
  <c r="I1077" i="98" s="1"/>
  <c r="K703" i="103"/>
  <c r="I1239" i="42"/>
  <c r="J1239" i="42" s="1"/>
  <c r="J1227" i="42" s="1"/>
  <c r="M1210" i="42" s="1"/>
  <c r="I1677" i="98"/>
  <c r="I1678" i="98" s="1"/>
  <c r="K203" i="104"/>
  <c r="L203" i="104" s="1"/>
  <c r="I812" i="42"/>
  <c r="J812" i="42" s="1"/>
  <c r="J807" i="42" s="1"/>
  <c r="M801" i="42" s="1"/>
  <c r="I422" i="42"/>
  <c r="J422" i="42" s="1"/>
  <c r="J418" i="42" s="1"/>
  <c r="M413" i="42" s="1"/>
  <c r="I1447" i="42"/>
  <c r="J1447" i="42" s="1"/>
  <c r="J1444" i="42" s="1"/>
  <c r="M1440" i="42" s="1"/>
  <c r="H495" i="103"/>
  <c r="I495" i="103" s="1"/>
  <c r="I492" i="103" s="1"/>
  <c r="L488" i="103" s="1"/>
  <c r="I3128" i="98"/>
  <c r="J2838" i="42"/>
  <c r="J3204" i="42"/>
  <c r="M3203" i="42" s="1"/>
  <c r="J3196" i="42"/>
  <c r="M3195" i="42" s="1"/>
  <c r="I1448" i="103"/>
  <c r="F90" i="93"/>
  <c r="I90" i="93" s="1"/>
  <c r="L90" i="93" s="1"/>
  <c r="C91" i="93"/>
  <c r="L2881" i="98"/>
  <c r="I2886" i="98"/>
  <c r="I2887" i="98" s="1"/>
  <c r="L3216" i="98"/>
  <c r="I3221" i="98"/>
  <c r="I3222" i="98" s="1"/>
  <c r="I557" i="42"/>
  <c r="J557" i="42" s="1"/>
  <c r="J553" i="42" s="1"/>
  <c r="M547" i="42" s="1"/>
  <c r="I568" i="42"/>
  <c r="J568" i="42" s="1"/>
  <c r="J564" i="42" s="1"/>
  <c r="M558" i="42" s="1"/>
  <c r="E76" i="93"/>
  <c r="H75" i="93"/>
  <c r="K75" i="93" s="1"/>
  <c r="N75" i="93" s="1"/>
  <c r="I36" i="42"/>
  <c r="J36" i="42" s="1"/>
  <c r="J32" i="42" s="1"/>
  <c r="M30" i="42" s="1"/>
  <c r="I45" i="42"/>
  <c r="J45" i="42" s="1"/>
  <c r="J41" i="42" s="1"/>
  <c r="M39" i="42" s="1"/>
  <c r="I1854" i="42"/>
  <c r="J1854" i="42" s="1"/>
  <c r="J1848" i="42" s="1"/>
  <c r="C55" i="93"/>
  <c r="F54" i="93"/>
  <c r="I54" i="93"/>
  <c r="L54" i="93" s="1"/>
  <c r="K234" i="98"/>
  <c r="K1084" i="98"/>
  <c r="I1093" i="98"/>
  <c r="I1094" i="98" s="1"/>
  <c r="I1095" i="98" s="1"/>
  <c r="I1096" i="98" s="1"/>
  <c r="I1097" i="98" s="1"/>
  <c r="I1098" i="98" s="1"/>
  <c r="I1099" i="98" s="1"/>
  <c r="K1367" i="98"/>
  <c r="I1371" i="98"/>
  <c r="I1372" i="98" s="1"/>
  <c r="I3268" i="42"/>
  <c r="J3268" i="42" s="1"/>
  <c r="J3265" i="42" s="1"/>
  <c r="M3260" i="42" s="1"/>
  <c r="L3302" i="98"/>
  <c r="I3311" i="98"/>
  <c r="I3312" i="98" s="1"/>
  <c r="I2731" i="98"/>
  <c r="I2732" i="98" s="1"/>
  <c r="I353" i="103"/>
  <c r="I354" i="103" s="1"/>
  <c r="L287" i="98"/>
  <c r="I297" i="98"/>
  <c r="I298" i="98" s="1"/>
  <c r="L325" i="98"/>
  <c r="I335" i="98"/>
  <c r="I336" i="98" s="1"/>
  <c r="I3298" i="98"/>
  <c r="I3299" i="98" s="1"/>
  <c r="I372" i="103"/>
  <c r="I373" i="103" s="1"/>
  <c r="I1362" i="103"/>
  <c r="I1363" i="103" s="1"/>
  <c r="I1269" i="103"/>
  <c r="I1270" i="103" s="1"/>
  <c r="I2741" i="98"/>
  <c r="I2742" i="98" s="1"/>
  <c r="I1210" i="103"/>
  <c r="I1211" i="103" s="1"/>
  <c r="I2777" i="98"/>
  <c r="I2778" i="98" s="1"/>
  <c r="I2719" i="98"/>
  <c r="I2720" i="98" s="1"/>
  <c r="I3150" i="98"/>
  <c r="I3151" i="98" s="1"/>
  <c r="I3043" i="98"/>
  <c r="I3044" i="98" s="1"/>
  <c r="I3055" i="98"/>
  <c r="I3056" i="98" s="1"/>
  <c r="I269" i="42"/>
  <c r="J269" i="42" s="1"/>
  <c r="J266" i="42" s="1"/>
  <c r="M260" i="42" s="1"/>
  <c r="I299" i="42"/>
  <c r="J299" i="42" s="1"/>
  <c r="J296" i="42" s="1"/>
  <c r="M290" i="42" s="1"/>
  <c r="H1131" i="98"/>
  <c r="I1131" i="98" s="1"/>
  <c r="I1129" i="98" s="1"/>
  <c r="L1120" i="98" s="1"/>
  <c r="H1320" i="98"/>
  <c r="I1320" i="98" s="1"/>
  <c r="I1318" i="98" s="1"/>
  <c r="L1309" i="98" s="1"/>
  <c r="I905" i="42"/>
  <c r="J905" i="42" s="1"/>
  <c r="J903" i="42" s="1"/>
  <c r="M894" i="42" s="1"/>
  <c r="I788" i="42"/>
  <c r="J788" i="42" s="1"/>
  <c r="J786" i="42" s="1"/>
  <c r="M777" i="42" s="1"/>
  <c r="H1299" i="98"/>
  <c r="I1299" i="98" s="1"/>
  <c r="I1297" i="98" s="1"/>
  <c r="L1288" i="98" s="1"/>
  <c r="H328" i="103"/>
  <c r="I328" i="103" s="1"/>
  <c r="I322" i="103" s="1"/>
  <c r="L318" i="103" s="1"/>
  <c r="I120" i="7"/>
  <c r="I2222" i="42"/>
  <c r="J2222" i="42" s="1"/>
  <c r="I79" i="7"/>
  <c r="G47" i="93"/>
  <c r="J47" i="93" s="1"/>
  <c r="M47" i="93" s="1"/>
  <c r="T47" i="93" s="1"/>
  <c r="Q8" i="86"/>
  <c r="P8" i="86"/>
  <c r="L12" i="96"/>
  <c r="O12" i="96"/>
  <c r="P12" i="96" s="1"/>
  <c r="P11" i="96" s="1"/>
  <c r="P15" i="86"/>
  <c r="Q15" i="86"/>
  <c r="I1191" i="98"/>
  <c r="I1192" i="98" s="1"/>
  <c r="I2567" i="98"/>
  <c r="I2568" i="98" s="1"/>
  <c r="I3286" i="42"/>
  <c r="J3286" i="42" s="1"/>
  <c r="J3282" i="42" s="1"/>
  <c r="M3273" i="42" s="1"/>
  <c r="H290" i="103"/>
  <c r="I290" i="103" s="1"/>
  <c r="I286" i="103" s="1"/>
  <c r="I1392" i="42"/>
  <c r="J1392" i="42" s="1"/>
  <c r="J1388" i="42" s="1"/>
  <c r="M1386" i="42" s="1"/>
  <c r="I1894" i="98"/>
  <c r="I1895" i="98" s="1"/>
  <c r="J278" i="12"/>
  <c r="J3190" i="42"/>
  <c r="M3188" i="42" s="1"/>
  <c r="I1862" i="98"/>
  <c r="I1374" i="103"/>
  <c r="I1607" i="42"/>
  <c r="J1607" i="42" s="1"/>
  <c r="J1603" i="42" s="1"/>
  <c r="M1595" i="42" s="1"/>
  <c r="I1633" i="42"/>
  <c r="J1633" i="42" s="1"/>
  <c r="J1629" i="42" s="1"/>
  <c r="M1621" i="42" s="1"/>
  <c r="I1519" i="42"/>
  <c r="J1519" i="42" s="1"/>
  <c r="J1514" i="42" s="1"/>
  <c r="M1504" i="42" s="1"/>
  <c r="H1873" i="98"/>
  <c r="I1873" i="98" s="1"/>
  <c r="H183" i="98"/>
  <c r="I183" i="98" s="1"/>
  <c r="H481" i="98"/>
  <c r="I481" i="98" s="1"/>
  <c r="K475" i="98" s="1"/>
  <c r="I476" i="42"/>
  <c r="J476" i="42" s="1"/>
  <c r="J475" i="42" s="1"/>
  <c r="K474" i="42" s="1"/>
  <c r="I2399" i="42"/>
  <c r="J2399" i="42" s="1"/>
  <c r="I1108" i="42"/>
  <c r="J1108" i="42" s="1"/>
  <c r="J1107" i="42" s="1"/>
  <c r="K1106" i="42" s="1"/>
  <c r="I571" i="42"/>
  <c r="J571" i="42" s="1"/>
  <c r="J570" i="42" s="1"/>
  <c r="K569" i="42" s="1"/>
  <c r="I1148" i="42"/>
  <c r="J1148" i="42" s="1"/>
  <c r="J1147" i="42" s="1"/>
  <c r="K1146" i="42" s="1"/>
  <c r="I594" i="42"/>
  <c r="J594" i="42" s="1"/>
  <c r="J593" i="42" s="1"/>
  <c r="K592" i="42" s="1"/>
  <c r="I617" i="42"/>
  <c r="J617" i="42" s="1"/>
  <c r="J616" i="42" s="1"/>
  <c r="K615" i="42" s="1"/>
  <c r="I942" i="42"/>
  <c r="J942" i="42" s="1"/>
  <c r="J941" i="42" s="1"/>
  <c r="K940" i="42" s="1"/>
  <c r="I377" i="42"/>
  <c r="J377" i="42" s="1"/>
  <c r="I2791" i="42"/>
  <c r="J2791" i="42" s="1"/>
  <c r="I1766" i="42"/>
  <c r="J1766" i="42" s="1"/>
  <c r="I1666" i="42"/>
  <c r="J1666" i="42" s="1"/>
  <c r="I1404" i="42"/>
  <c r="J1404" i="42" s="1"/>
  <c r="I1610" i="42"/>
  <c r="J1610" i="42" s="1"/>
  <c r="I968" i="42"/>
  <c r="J968" i="42" s="1"/>
  <c r="I1597" i="42"/>
  <c r="J1597" i="42" s="1"/>
  <c r="I180" i="42"/>
  <c r="J180" i="42" s="1"/>
  <c r="I2713" i="42"/>
  <c r="J2713" i="42" s="1"/>
  <c r="I2418" i="42"/>
  <c r="J2418" i="42" s="1"/>
  <c r="J2417" i="42" s="1"/>
  <c r="K2416" i="42" s="1"/>
  <c r="I388" i="42"/>
  <c r="J388" i="42" s="1"/>
  <c r="I2734" i="42"/>
  <c r="J2734" i="42" s="1"/>
  <c r="I1891" i="42"/>
  <c r="J1891" i="42" s="1"/>
  <c r="I485" i="42"/>
  <c r="J485" i="42" s="1"/>
  <c r="I2769" i="42"/>
  <c r="J2769" i="42" s="1"/>
  <c r="I1636" i="42"/>
  <c r="J1636" i="42" s="1"/>
  <c r="I193" i="42"/>
  <c r="J193" i="42" s="1"/>
  <c r="I2726" i="42"/>
  <c r="J2726" i="42" s="1"/>
  <c r="I1623" i="42"/>
  <c r="J1623" i="42" s="1"/>
  <c r="I2613" i="42"/>
  <c r="J2613" i="42" s="1"/>
  <c r="I1818" i="42"/>
  <c r="J1818" i="42" s="1"/>
  <c r="I1117" i="42"/>
  <c r="J1117" i="42" s="1"/>
  <c r="I1880" i="42"/>
  <c r="J1880" i="42" s="1"/>
  <c r="I150" i="42"/>
  <c r="J150" i="42" s="1"/>
  <c r="I630" i="42"/>
  <c r="J630" i="42" s="1"/>
  <c r="I3072" i="42"/>
  <c r="J3072" i="42" s="1"/>
  <c r="I103" i="42"/>
  <c r="J103" i="42" s="1"/>
  <c r="I1831" i="42"/>
  <c r="J1831" i="42" s="1"/>
  <c r="I1679" i="42"/>
  <c r="J1679" i="42" s="1"/>
  <c r="I1185" i="42"/>
  <c r="J1185" i="42" s="1"/>
  <c r="I86" i="42"/>
  <c r="J86" i="42" s="1"/>
  <c r="I1563" i="42"/>
  <c r="J1563" i="42" s="1"/>
  <c r="I1224" i="42"/>
  <c r="J1224" i="42" s="1"/>
  <c r="I1692" i="42"/>
  <c r="J1692" i="42" s="1"/>
  <c r="I2730" i="42"/>
  <c r="J2730" i="42" s="1"/>
  <c r="I1011" i="42"/>
  <c r="J1011" i="42" s="1"/>
  <c r="I3134" i="42"/>
  <c r="J3134" i="42" s="1"/>
  <c r="I2700" i="42"/>
  <c r="J2700" i="42" s="1"/>
  <c r="I2804" i="42"/>
  <c r="J2804" i="42" s="1"/>
  <c r="I1869" i="42"/>
  <c r="J1869" i="42" s="1"/>
  <c r="I1159" i="42"/>
  <c r="J1159" i="42" s="1"/>
  <c r="I1753" i="42"/>
  <c r="J1753" i="42" s="1"/>
  <c r="I165" i="42"/>
  <c r="J165" i="42" s="1"/>
  <c r="I3303" i="42"/>
  <c r="J3303" i="42" s="1"/>
  <c r="I366" i="42"/>
  <c r="J366" i="42" s="1"/>
  <c r="I1938" i="42"/>
  <c r="J1938" i="42" s="1"/>
  <c r="J1937" i="42" s="1"/>
  <c r="K1936" i="42" s="1"/>
  <c r="I1260" i="42"/>
  <c r="J1260" i="42" s="1"/>
  <c r="J1259" i="42" s="1"/>
  <c r="K1258" i="42" s="1"/>
  <c r="I1137" i="42"/>
  <c r="J1137" i="42" s="1"/>
  <c r="J1136" i="42" s="1"/>
  <c r="K1135" i="42" s="1"/>
  <c r="I604" i="42"/>
  <c r="J604" i="42" s="1"/>
  <c r="J603" i="42" s="1"/>
  <c r="K602" i="42" s="1"/>
  <c r="I389" i="42"/>
  <c r="J389" i="42" s="1"/>
  <c r="I1092" i="42"/>
  <c r="J1092" i="42" s="1"/>
  <c r="J1091" i="42" s="1"/>
  <c r="K1090" i="42" s="1"/>
  <c r="I3019" i="42"/>
  <c r="J3019" i="42" s="1"/>
  <c r="J3018" i="42" s="1"/>
  <c r="K3017" i="42" s="1"/>
  <c r="I1492" i="42"/>
  <c r="J1492" i="42" s="1"/>
  <c r="I2295" i="42"/>
  <c r="J2295" i="42" s="1"/>
  <c r="J2294" i="42" s="1"/>
  <c r="K2293" i="42" s="1"/>
  <c r="I458" i="42"/>
  <c r="J458" i="42" s="1"/>
  <c r="J457" i="42" s="1"/>
  <c r="K456" i="42" s="1"/>
  <c r="I1012" i="42"/>
  <c r="J1012" i="42" s="1"/>
  <c r="I931" i="42"/>
  <c r="J931" i="42" s="1"/>
  <c r="J930" i="42" s="1"/>
  <c r="K929" i="42" s="1"/>
  <c r="I151" i="42"/>
  <c r="J151" i="42" s="1"/>
  <c r="I53" i="42"/>
  <c r="J53" i="42" s="1"/>
  <c r="J52" i="42" s="1"/>
  <c r="K51" i="42" s="1"/>
  <c r="I1929" i="42"/>
  <c r="J1929" i="42" s="1"/>
  <c r="J1928" i="42" s="1"/>
  <c r="K1927" i="42" s="1"/>
  <c r="I859" i="42"/>
  <c r="J859" i="42" s="1"/>
  <c r="J858" i="42" s="1"/>
  <c r="K857" i="42" s="1"/>
  <c r="I181" i="42"/>
  <c r="J181" i="42" s="1"/>
  <c r="I166" i="42"/>
  <c r="J166" i="42" s="1"/>
  <c r="I207" i="42"/>
  <c r="J207" i="42" s="1"/>
  <c r="I3031" i="42"/>
  <c r="J3031" i="42" s="1"/>
  <c r="J3030" i="42" s="1"/>
  <c r="K3029" i="42" s="1"/>
  <c r="I1027" i="42"/>
  <c r="J1027" i="42" s="1"/>
  <c r="I3088" i="42"/>
  <c r="J3088" i="42" s="1"/>
  <c r="I584" i="42"/>
  <c r="J584" i="42" s="1"/>
  <c r="J583" i="42" s="1"/>
  <c r="K582" i="42" s="1"/>
  <c r="I194" i="42"/>
  <c r="J194" i="42" s="1"/>
  <c r="I63" i="42"/>
  <c r="J63" i="42" s="1"/>
  <c r="J62" i="42" s="1"/>
  <c r="K61" i="42" s="1"/>
  <c r="I3073" i="42"/>
  <c r="J3073" i="42" s="1"/>
  <c r="I2419" i="42"/>
  <c r="J2419" i="42" s="1"/>
  <c r="H867" i="98"/>
  <c r="I867" i="98" s="1"/>
  <c r="H457" i="98"/>
  <c r="I457" i="98" s="1"/>
  <c r="H598" i="98"/>
  <c r="I598" i="98" s="1"/>
  <c r="I597" i="98" s="1"/>
  <c r="H824" i="98"/>
  <c r="I824" i="98" s="1"/>
  <c r="I823" i="98" s="1"/>
  <c r="H783" i="98"/>
  <c r="I783" i="98" s="1"/>
  <c r="I782" i="98" s="1"/>
  <c r="H1466" i="98"/>
  <c r="I1466" i="98" s="1"/>
  <c r="I1465" i="98" s="1"/>
  <c r="H1542" i="98"/>
  <c r="I1542" i="98" s="1"/>
  <c r="I1541" i="98" s="1"/>
  <c r="H1802" i="98"/>
  <c r="I1802" i="98" s="1"/>
  <c r="H384" i="98"/>
  <c r="I384" i="98" s="1"/>
  <c r="H2165" i="98"/>
  <c r="I2165" i="98" s="1"/>
  <c r="I2164" i="98" s="1"/>
  <c r="H2233" i="98"/>
  <c r="I2233" i="98" s="1"/>
  <c r="H3081" i="98"/>
  <c r="I3081" i="98" s="1"/>
  <c r="H2382" i="98"/>
  <c r="I2382" i="98" s="1"/>
  <c r="H119" i="98"/>
  <c r="I119" i="98" s="1"/>
  <c r="H2036" i="98"/>
  <c r="I2036" i="98" s="1"/>
  <c r="H2529" i="98"/>
  <c r="I2529" i="98" s="1"/>
  <c r="H152" i="103"/>
  <c r="I152" i="103" s="1"/>
  <c r="H2507" i="98"/>
  <c r="I2507" i="98" s="1"/>
  <c r="H1485" i="98"/>
  <c r="I1485" i="98" s="1"/>
  <c r="H115" i="103"/>
  <c r="I115" i="103" s="1"/>
  <c r="H3335" i="98"/>
  <c r="I3335" i="98" s="1"/>
  <c r="H3059" i="98"/>
  <c r="I3059" i="98" s="1"/>
  <c r="H2255" i="98"/>
  <c r="I2255" i="98" s="1"/>
  <c r="H1616" i="98"/>
  <c r="I1616" i="98" s="1"/>
  <c r="H1695" i="98"/>
  <c r="I1695" i="98" s="1"/>
  <c r="H1563" i="98"/>
  <c r="I1563" i="98" s="1"/>
  <c r="H3103" i="98"/>
  <c r="I3103" i="98" s="1"/>
  <c r="H2404" i="98"/>
  <c r="I2404" i="98" s="1"/>
  <c r="H3116" i="98"/>
  <c r="I3116" i="98" s="1"/>
  <c r="H2059" i="98"/>
  <c r="I2059" i="98" s="1"/>
  <c r="I2058" i="98" s="1"/>
  <c r="I44" i="102"/>
  <c r="H2443" i="98"/>
  <c r="I2443" i="98" s="1"/>
  <c r="H3060" i="98"/>
  <c r="I3060" i="98" s="1"/>
  <c r="H2427" i="98"/>
  <c r="I2427" i="98" s="1"/>
  <c r="H2035" i="98"/>
  <c r="I2035" i="98" s="1"/>
  <c r="H616" i="98"/>
  <c r="I616" i="98" s="1"/>
  <c r="H114" i="103"/>
  <c r="I114" i="103" s="1"/>
  <c r="H3117" i="98"/>
  <c r="I3117" i="98" s="1"/>
  <c r="H2530" i="98"/>
  <c r="I2530" i="98" s="1"/>
  <c r="H2295" i="98"/>
  <c r="I2295" i="98" s="1"/>
  <c r="H118" i="98"/>
  <c r="I118" i="98" s="1"/>
  <c r="H2508" i="98"/>
  <c r="I2508" i="98" s="1"/>
  <c r="H1696" i="98"/>
  <c r="I1696" i="98" s="1"/>
  <c r="H151" i="103"/>
  <c r="I151" i="103" s="1"/>
  <c r="H3104" i="98"/>
  <c r="I3104" i="98" s="1"/>
  <c r="H2383" i="98"/>
  <c r="I2383" i="98" s="1"/>
  <c r="H1615" i="98"/>
  <c r="I1615" i="98" s="1"/>
  <c r="H3082" i="98"/>
  <c r="I3082" i="98" s="1"/>
  <c r="H2234" i="98"/>
  <c r="I2234" i="98" s="1"/>
  <c r="H2405" i="98"/>
  <c r="I2405" i="98" s="1"/>
  <c r="H477" i="98"/>
  <c r="I477" i="98" s="1"/>
  <c r="H1484" i="98"/>
  <c r="I1484" i="98" s="1"/>
  <c r="H197" i="98"/>
  <c r="I197" i="98" s="1"/>
  <c r="H1562" i="98"/>
  <c r="I1562" i="98" s="1"/>
  <c r="H2317" i="98"/>
  <c r="I2317" i="98" s="1"/>
  <c r="I3160" i="98"/>
  <c r="I3161" i="98" s="1"/>
  <c r="H596" i="103"/>
  <c r="I596" i="103" s="1"/>
  <c r="I589" i="103" s="1"/>
  <c r="L585" i="103" s="1"/>
  <c r="I2129" i="42"/>
  <c r="J2129" i="42" s="1"/>
  <c r="J2122" i="42" s="1"/>
  <c r="M2118" i="42" s="1"/>
  <c r="I2158" i="42"/>
  <c r="J2158" i="42" s="1"/>
  <c r="J2154" i="42" s="1"/>
  <c r="M2152" i="42" s="1"/>
  <c r="I1218" i="98"/>
  <c r="I1219" i="98" s="1"/>
  <c r="I2344" i="98"/>
  <c r="I2345" i="98" s="1"/>
  <c r="I1388" i="103"/>
  <c r="I1389" i="103" s="1"/>
  <c r="I1847" i="98"/>
  <c r="I1848" i="98" s="1"/>
  <c r="I481" i="103"/>
  <c r="I482" i="103" s="1"/>
  <c r="I483" i="103" s="1"/>
  <c r="H315" i="98"/>
  <c r="I315" i="98" s="1"/>
  <c r="I312" i="98" s="1"/>
  <c r="H353" i="98"/>
  <c r="I353" i="98" s="1"/>
  <c r="I350" i="98" s="1"/>
  <c r="I800" i="42"/>
  <c r="J800" i="42" s="1"/>
  <c r="J798" i="42" s="1"/>
  <c r="M789" i="42" s="1"/>
  <c r="H1341" i="98"/>
  <c r="I1341" i="98" s="1"/>
  <c r="I1339" i="98" s="1"/>
  <c r="L1330" i="98" s="1"/>
  <c r="I881" i="42"/>
  <c r="J881" i="42" s="1"/>
  <c r="J879" i="42" s="1"/>
  <c r="M870" i="42" s="1"/>
  <c r="I2690" i="42"/>
  <c r="J2690" i="42" s="1"/>
  <c r="J2688" i="42" s="1"/>
  <c r="M2679" i="42" s="1"/>
  <c r="I893" i="42"/>
  <c r="J893" i="42" s="1"/>
  <c r="J891" i="42" s="1"/>
  <c r="M882" i="42" s="1"/>
  <c r="H3023" i="98"/>
  <c r="I3023" i="98" s="1"/>
  <c r="I3021" i="98" s="1"/>
  <c r="L3012" i="98" s="1"/>
  <c r="I142" i="7"/>
  <c r="I18" i="7"/>
  <c r="I33" i="7"/>
  <c r="I38" i="7"/>
  <c r="I89" i="7"/>
  <c r="I8" i="7"/>
  <c r="I48" i="7"/>
  <c r="I61" i="7"/>
  <c r="I136" i="7"/>
  <c r="I13" i="7"/>
  <c r="I54" i="7"/>
  <c r="I43" i="7"/>
  <c r="I23" i="7"/>
  <c r="I101" i="7"/>
  <c r="I28" i="7"/>
  <c r="I125" i="7"/>
  <c r="I154" i="7"/>
  <c r="I803" i="42"/>
  <c r="J803" i="42" s="1"/>
  <c r="I116" i="7"/>
  <c r="I84" i="7"/>
  <c r="I73" i="7"/>
  <c r="I148" i="7"/>
  <c r="I95" i="7"/>
  <c r="I2642" i="42"/>
  <c r="J2642" i="42" s="1"/>
  <c r="I130" i="7"/>
  <c r="I67" i="7"/>
  <c r="I107" i="7"/>
  <c r="H1164" i="98"/>
  <c r="I1164" i="98" s="1"/>
  <c r="H2939" i="98"/>
  <c r="I2939" i="98" s="1"/>
  <c r="Q9" i="86"/>
  <c r="P9" i="86"/>
  <c r="P19" i="86"/>
  <c r="Q19" i="86"/>
  <c r="H33" i="93"/>
  <c r="K33" i="93" s="1"/>
  <c r="N33" i="93" s="1"/>
  <c r="H11" i="85" s="1"/>
  <c r="E34" i="93"/>
  <c r="A15" i="42"/>
  <c r="N13" i="42"/>
  <c r="P13" i="42" s="1"/>
  <c r="I2779" i="42"/>
  <c r="J2779" i="42" s="1"/>
  <c r="J2775" i="42" s="1"/>
  <c r="M2767" i="42" s="1"/>
  <c r="I1620" i="42"/>
  <c r="J1620" i="42" s="1"/>
  <c r="J1616" i="42" s="1"/>
  <c r="M1608" i="42" s="1"/>
  <c r="I1646" i="42"/>
  <c r="J1646" i="42" s="1"/>
  <c r="J1642" i="42" s="1"/>
  <c r="M1634" i="42" s="1"/>
  <c r="E47" i="93"/>
  <c r="H46" i="93"/>
  <c r="K46" i="93" s="1"/>
  <c r="N46" i="93" s="1"/>
  <c r="I886" i="42"/>
  <c r="J886" i="42" s="1"/>
  <c r="I898" i="42"/>
  <c r="J898" i="42" s="1"/>
  <c r="I1178" i="42"/>
  <c r="J1178" i="42" s="1"/>
  <c r="J1177" i="42" s="1"/>
  <c r="K1176" i="42" s="1"/>
  <c r="I1680" i="42"/>
  <c r="J1680" i="42" s="1"/>
  <c r="I781" i="42"/>
  <c r="J781" i="42" s="1"/>
  <c r="I1667" i="42"/>
  <c r="J1667" i="42" s="1"/>
  <c r="I1101" i="42"/>
  <c r="J1101" i="42" s="1"/>
  <c r="J1100" i="42" s="1"/>
  <c r="K1099" i="42" s="1"/>
  <c r="I2683" i="42"/>
  <c r="J2683" i="42" s="1"/>
  <c r="I874" i="42"/>
  <c r="J874" i="42" s="1"/>
  <c r="I2758" i="42"/>
  <c r="J2758" i="42" s="1"/>
  <c r="J2757" i="42" s="1"/>
  <c r="K2756" i="42" s="1"/>
  <c r="I467" i="42"/>
  <c r="J467" i="42" s="1"/>
  <c r="J466" i="42" s="1"/>
  <c r="K465" i="42" s="1"/>
  <c r="I1693" i="42"/>
  <c r="J1693" i="42" s="1"/>
  <c r="I1269" i="42"/>
  <c r="J1269" i="42" s="1"/>
  <c r="J1268" i="42" s="1"/>
  <c r="K1267" i="42" s="1"/>
  <c r="I3329" i="42"/>
  <c r="J3329" i="42" s="1"/>
  <c r="J3328" i="42" s="1"/>
  <c r="K3327" i="42" s="1"/>
  <c r="I15" i="96" s="1"/>
  <c r="I1129" i="42"/>
  <c r="J1129" i="42" s="1"/>
  <c r="J1128" i="42" s="1"/>
  <c r="K1127" i="42" s="1"/>
  <c r="I793" i="42"/>
  <c r="J793" i="42" s="1"/>
  <c r="I2223" i="42"/>
  <c r="J2223" i="42" s="1"/>
  <c r="I3051" i="42"/>
  <c r="J3051" i="42" s="1"/>
  <c r="J3050" i="42" s="1"/>
  <c r="K3049" i="42" s="1"/>
  <c r="I2396" i="42"/>
  <c r="J2396" i="42" s="1"/>
  <c r="I1160" i="42"/>
  <c r="J1160" i="42" s="1"/>
  <c r="I87" i="42"/>
  <c r="J87" i="42" s="1"/>
  <c r="I1562" i="42"/>
  <c r="J1562" i="42" s="1"/>
  <c r="I3275" i="42"/>
  <c r="J3275" i="42" s="1"/>
  <c r="I1765" i="42"/>
  <c r="J1765" i="42" s="1"/>
  <c r="I1503" i="42"/>
  <c r="J1503" i="42" s="1"/>
  <c r="J1502" i="42" s="1"/>
  <c r="K1501" i="42" s="1"/>
  <c r="I2712" i="42"/>
  <c r="J2712" i="42" s="1"/>
  <c r="I1665" i="42"/>
  <c r="J1665" i="42" s="1"/>
  <c r="I1691" i="42"/>
  <c r="J1691" i="42" s="1"/>
  <c r="I2614" i="42"/>
  <c r="J2614" i="42" s="1"/>
  <c r="I2699" i="42"/>
  <c r="J2699" i="42" s="1"/>
  <c r="I1419" i="42"/>
  <c r="J1419" i="42" s="1"/>
  <c r="J1418" i="42" s="1"/>
  <c r="K1417" i="42" s="1"/>
  <c r="I1276" i="42"/>
  <c r="J1276" i="42" s="1"/>
  <c r="I41" i="12"/>
  <c r="I1277" i="42" s="1"/>
  <c r="J1277" i="42" s="1"/>
  <c r="I3133" i="42"/>
  <c r="J3133" i="42" s="1"/>
  <c r="I1575" i="42"/>
  <c r="J1575" i="42" s="1"/>
  <c r="I2790" i="42"/>
  <c r="J2790" i="42" s="1"/>
  <c r="I1186" i="42"/>
  <c r="J1186" i="42" s="1"/>
  <c r="I631" i="42"/>
  <c r="J631" i="42" s="1"/>
  <c r="I2725" i="42"/>
  <c r="J2725" i="42" s="1"/>
  <c r="I314" i="42"/>
  <c r="J314" i="42" s="1"/>
  <c r="I1118" i="42"/>
  <c r="J1118" i="42" s="1"/>
  <c r="I45" i="12"/>
  <c r="I64" i="12"/>
  <c r="I2729" i="42"/>
  <c r="J2729" i="42" s="1"/>
  <c r="I1223" i="42"/>
  <c r="J1223" i="42" s="1"/>
  <c r="I1947" i="42"/>
  <c r="J1947" i="42" s="1"/>
  <c r="I1830" i="42"/>
  <c r="J1830" i="42" s="1"/>
  <c r="I1817" i="42"/>
  <c r="J1817" i="42" s="1"/>
  <c r="I2803" i="42"/>
  <c r="J2803" i="42" s="1"/>
  <c r="I969" i="42"/>
  <c r="J969" i="42" s="1"/>
  <c r="I174" i="12"/>
  <c r="I1049" i="42" s="1"/>
  <c r="J1049" i="42" s="1"/>
  <c r="J1048" i="42" s="1"/>
  <c r="K1047" i="42" s="1"/>
  <c r="I46" i="12"/>
  <c r="I1890" i="42"/>
  <c r="J1890" i="42" s="1"/>
  <c r="I1678" i="42"/>
  <c r="J1678" i="42" s="1"/>
  <c r="I2733" i="42"/>
  <c r="J2733" i="42" s="1"/>
  <c r="I1709" i="42"/>
  <c r="J1709" i="42" s="1"/>
  <c r="I1868" i="42"/>
  <c r="J1868" i="42" s="1"/>
  <c r="I1879" i="42"/>
  <c r="J1879" i="42" s="1"/>
  <c r="I1405" i="42"/>
  <c r="J1405" i="42" s="1"/>
  <c r="I1752" i="42"/>
  <c r="J1752" i="42" s="1"/>
  <c r="I324" i="42"/>
  <c r="J324" i="42" s="1"/>
  <c r="I1699" i="42"/>
  <c r="J1699" i="42" s="1"/>
  <c r="I1510" i="42"/>
  <c r="J1510" i="42" s="1"/>
  <c r="I1903" i="42"/>
  <c r="J1903" i="42" s="1"/>
  <c r="I1807" i="42"/>
  <c r="J1807" i="42" s="1"/>
  <c r="I104" i="42"/>
  <c r="J104" i="42" s="1"/>
  <c r="I647" i="42"/>
  <c r="J647" i="42" s="1"/>
  <c r="J641" i="42" s="1"/>
  <c r="K640" i="42" s="1"/>
  <c r="H1214" i="103"/>
  <c r="I1214" i="103" s="1"/>
  <c r="I1213" i="103" s="1"/>
  <c r="H409" i="103"/>
  <c r="I409" i="103" s="1"/>
  <c r="I408" i="103" s="1"/>
  <c r="H1432" i="98"/>
  <c r="I1432" i="98" s="1"/>
  <c r="I1431" i="98" s="1"/>
  <c r="H64" i="98"/>
  <c r="I64" i="98" s="1"/>
  <c r="I63" i="98" s="1"/>
  <c r="H2146" i="98"/>
  <c r="I2146" i="98" s="1"/>
  <c r="H83" i="98"/>
  <c r="I83" i="98" s="1"/>
  <c r="I82" i="98" s="1"/>
  <c r="H1184" i="103"/>
  <c r="I1184" i="103" s="1"/>
  <c r="I1183" i="103" s="1"/>
  <c r="H437" i="98"/>
  <c r="I437" i="98" s="1"/>
  <c r="H220" i="98"/>
  <c r="I220" i="98" s="1"/>
  <c r="H478" i="98"/>
  <c r="I478" i="98" s="1"/>
  <c r="H1768" i="98"/>
  <c r="I1768" i="98" s="1"/>
  <c r="I1767" i="98" s="1"/>
  <c r="H198" i="98"/>
  <c r="I198" i="98" s="1"/>
  <c r="H1336" i="103"/>
  <c r="I1336" i="103" s="1"/>
  <c r="H1268" i="98"/>
  <c r="I1268" i="98" s="1"/>
  <c r="I1267" i="98" s="1"/>
  <c r="H562" i="98"/>
  <c r="I562" i="98" s="1"/>
  <c r="I561" i="98" s="1"/>
  <c r="H790" i="103"/>
  <c r="I790" i="103" s="1"/>
  <c r="I789" i="103" s="1"/>
  <c r="H1522" i="98"/>
  <c r="I1522" i="98" s="1"/>
  <c r="I1521" i="98" s="1"/>
  <c r="H1505" i="98"/>
  <c r="I1505" i="98" s="1"/>
  <c r="I1504" i="98" s="1"/>
  <c r="H213" i="103"/>
  <c r="I213" i="103" s="1"/>
  <c r="I212" i="103" s="1"/>
  <c r="H1786" i="98"/>
  <c r="I1786" i="98" s="1"/>
  <c r="I1785" i="98" s="1"/>
  <c r="H1450" i="98"/>
  <c r="I1450" i="98" s="1"/>
  <c r="I1449" i="98" s="1"/>
  <c r="H135" i="103"/>
  <c r="I135" i="103" s="1"/>
  <c r="I134" i="103" s="1"/>
  <c r="H1292" i="98"/>
  <c r="I1292" i="98" s="1"/>
  <c r="H1313" i="98"/>
  <c r="I1313" i="98" s="1"/>
  <c r="H580" i="98"/>
  <c r="I580" i="98" s="1"/>
  <c r="I579" i="98" s="1"/>
  <c r="H3016" i="98"/>
  <c r="I3016" i="98" s="1"/>
  <c r="H1599" i="98"/>
  <c r="I1599" i="98" s="1"/>
  <c r="I1598" i="98" s="1"/>
  <c r="H3202" i="98"/>
  <c r="I3202" i="98" s="1"/>
  <c r="I3201" i="98" s="1"/>
  <c r="H1124" i="98"/>
  <c r="I1124" i="98" s="1"/>
  <c r="H2406" i="98"/>
  <c r="I2406" i="98" s="1"/>
  <c r="H2384" i="98"/>
  <c r="I2384" i="98" s="1"/>
  <c r="H1334" i="98"/>
  <c r="I1334" i="98" s="1"/>
  <c r="H2428" i="98"/>
  <c r="I2428" i="98" s="1"/>
  <c r="H868" i="98"/>
  <c r="I868" i="98" s="1"/>
  <c r="H869" i="98"/>
  <c r="I869" i="98" s="1"/>
  <c r="H870" i="98"/>
  <c r="I870" i="98" s="1"/>
  <c r="P13" i="86"/>
  <c r="Q13" i="86"/>
  <c r="I1741" i="98"/>
  <c r="I1132" i="103"/>
  <c r="I1133" i="103" s="1"/>
  <c r="I1240" i="103"/>
  <c r="I1241" i="103" s="1"/>
  <c r="I2767" i="98"/>
  <c r="I2768" i="98" s="1"/>
  <c r="I177" i="103"/>
  <c r="I178" i="103" s="1"/>
  <c r="I2358" i="98"/>
  <c r="I2866" i="42" l="1"/>
  <c r="J2866" i="42" s="1"/>
  <c r="J2862" i="42" s="1"/>
  <c r="M2852" i="42" s="1"/>
  <c r="G75" i="93"/>
  <c r="D76" i="93"/>
  <c r="J75" i="93"/>
  <c r="M75" i="93" s="1"/>
  <c r="T75" i="93" s="1"/>
  <c r="I48" i="98"/>
  <c r="H51" i="98" s="1"/>
  <c r="F21" i="104"/>
  <c r="I14" i="98"/>
  <c r="F15" i="104"/>
  <c r="I13" i="98"/>
  <c r="F14" i="104"/>
  <c r="J863" i="42"/>
  <c r="M857" i="42" s="1"/>
  <c r="I2628" i="42"/>
  <c r="J2628" i="42" s="1"/>
  <c r="J2623" i="42" s="1"/>
  <c r="M2611" i="42" s="1"/>
  <c r="I363" i="42"/>
  <c r="J363" i="42" s="1"/>
  <c r="J360" i="42" s="1"/>
  <c r="M354" i="42" s="1"/>
  <c r="J2409" i="42"/>
  <c r="M2391" i="42" s="1"/>
  <c r="I321" i="42"/>
  <c r="J321" i="42" s="1"/>
  <c r="J318" i="42" s="1"/>
  <c r="M312" i="42" s="1"/>
  <c r="J2830" i="42"/>
  <c r="M2829" i="42" s="1"/>
  <c r="H9" i="103"/>
  <c r="I9" i="103" s="1"/>
  <c r="I8" i="103" s="1"/>
  <c r="H2686" i="98"/>
  <c r="I2686" i="98" s="1"/>
  <c r="I2685" i="98" s="1"/>
  <c r="H622" i="103"/>
  <c r="I622" i="103" s="1"/>
  <c r="I621" i="103" s="1"/>
  <c r="J620" i="103" s="1"/>
  <c r="H647" i="98"/>
  <c r="I647" i="98" s="1"/>
  <c r="I646" i="98" s="1"/>
  <c r="I80" i="42"/>
  <c r="J80" i="42" s="1"/>
  <c r="J79" i="42" s="1"/>
  <c r="K78" i="42" s="1"/>
  <c r="I498" i="42"/>
  <c r="J498" i="42" s="1"/>
  <c r="J497" i="42" s="1"/>
  <c r="K496" i="42" s="1"/>
  <c r="I2332" i="42"/>
  <c r="J2332" i="42" s="1"/>
  <c r="J2331" i="42" s="1"/>
  <c r="K2330" i="42" s="1"/>
  <c r="I2145" i="42"/>
  <c r="J2145" i="42" s="1"/>
  <c r="J2144" i="42" s="1"/>
  <c r="K2143" i="42" s="1"/>
  <c r="J399" i="98"/>
  <c r="I407" i="98"/>
  <c r="I408" i="98" s="1"/>
  <c r="I264" i="98"/>
  <c r="I265" i="98" s="1"/>
  <c r="I266" i="98" s="1"/>
  <c r="I267" i="98" s="1"/>
  <c r="J257" i="98"/>
  <c r="H1056" i="98"/>
  <c r="I1056" i="98" s="1"/>
  <c r="I1046" i="98" s="1"/>
  <c r="L1040" i="98" s="1"/>
  <c r="H949" i="103"/>
  <c r="I949" i="103" s="1"/>
  <c r="I945" i="103" s="1"/>
  <c r="I567" i="103"/>
  <c r="H714" i="103"/>
  <c r="I714" i="103" s="1"/>
  <c r="I710" i="103" s="1"/>
  <c r="H2629" i="98"/>
  <c r="I2629" i="98" s="1"/>
  <c r="I2622" i="98" s="1"/>
  <c r="L2618" i="98" s="1"/>
  <c r="H1711" i="98"/>
  <c r="I1711" i="98" s="1"/>
  <c r="I1699" i="98" s="1"/>
  <c r="L1683" i="98" s="1"/>
  <c r="H690" i="98"/>
  <c r="I690" i="98" s="1"/>
  <c r="I686" i="98" s="1"/>
  <c r="L680" i="98" s="1"/>
  <c r="I1248" i="98"/>
  <c r="I1249" i="98" s="1"/>
  <c r="I1250" i="98" s="1"/>
  <c r="I1206" i="98"/>
  <c r="I1207" i="98" s="1"/>
  <c r="I1208" i="98" s="1"/>
  <c r="H670" i="98"/>
  <c r="I670" i="98" s="1"/>
  <c r="I666" i="98" s="1"/>
  <c r="L661" i="98" s="1"/>
  <c r="I828" i="98"/>
  <c r="L822" i="98" s="1"/>
  <c r="H950" i="98"/>
  <c r="I950" i="98" s="1"/>
  <c r="I944" i="98" s="1"/>
  <c r="L936" i="98" s="1"/>
  <c r="H849" i="98"/>
  <c r="I849" i="98" s="1"/>
  <c r="I845" i="98" s="1"/>
  <c r="J844" i="98" s="1"/>
  <c r="H16" i="98"/>
  <c r="H732" i="98"/>
  <c r="I732" i="98" s="1"/>
  <c r="I728" i="98" s="1"/>
  <c r="L722" i="98" s="1"/>
  <c r="I1272" i="98"/>
  <c r="L1266" i="98" s="1"/>
  <c r="I1385" i="98"/>
  <c r="H1030" i="98"/>
  <c r="I1030" i="98" s="1"/>
  <c r="I1018" i="98" s="1"/>
  <c r="L1012" i="98" s="1"/>
  <c r="I442" i="98"/>
  <c r="L435" i="98" s="1"/>
  <c r="H1002" i="98"/>
  <c r="I1002" i="98" s="1"/>
  <c r="I992" i="98" s="1"/>
  <c r="I1003" i="98" s="1"/>
  <c r="I1004" i="98" s="1"/>
  <c r="I1005" i="98" s="1"/>
  <c r="I1006" i="98" s="1"/>
  <c r="I1007" i="98" s="1"/>
  <c r="I1008" i="98" s="1"/>
  <c r="I1009" i="98" s="1"/>
  <c r="I1057" i="98"/>
  <c r="I1058" i="98" s="1"/>
  <c r="I1059" i="98" s="1"/>
  <c r="I1060" i="98" s="1"/>
  <c r="I1061" i="98" s="1"/>
  <c r="I1062" i="98" s="1"/>
  <c r="I1063" i="98" s="1"/>
  <c r="I2219" i="42"/>
  <c r="J2219" i="42" s="1"/>
  <c r="J2215" i="42" s="1"/>
  <c r="M2208" i="42" s="1"/>
  <c r="I670" i="42"/>
  <c r="J670" i="42" s="1"/>
  <c r="J664" i="42" s="1"/>
  <c r="M656" i="42" s="1"/>
  <c r="I522" i="42"/>
  <c r="J522" i="42" s="1"/>
  <c r="J518" i="42" s="1"/>
  <c r="M513" i="42" s="1"/>
  <c r="I533" i="42"/>
  <c r="J533" i="42" s="1"/>
  <c r="J529" i="42" s="1"/>
  <c r="M523" i="42" s="1"/>
  <c r="I546" i="42"/>
  <c r="J546" i="42" s="1"/>
  <c r="J540" i="42" s="1"/>
  <c r="M534" i="42" s="1"/>
  <c r="I950" i="42"/>
  <c r="J950" i="42" s="1"/>
  <c r="J946" i="42" s="1"/>
  <c r="M940" i="42" s="1"/>
  <c r="J575" i="42"/>
  <c r="M569" i="42" s="1"/>
  <c r="J371" i="42"/>
  <c r="M364" i="42" s="1"/>
  <c r="I3153" i="42"/>
  <c r="J3153" i="42" s="1"/>
  <c r="J3149" i="42" s="1"/>
  <c r="M3144" i="42" s="1"/>
  <c r="I512" i="42"/>
  <c r="J512" i="42" s="1"/>
  <c r="J508" i="42" s="1"/>
  <c r="M503" i="42" s="1"/>
  <c r="I19" i="42"/>
  <c r="J19" i="42" s="1"/>
  <c r="J15" i="42" s="1"/>
  <c r="M10" i="42" s="1"/>
  <c r="I29" i="42"/>
  <c r="J29" i="42" s="1"/>
  <c r="J25" i="42" s="1"/>
  <c r="M20" i="42" s="1"/>
  <c r="J621" i="42"/>
  <c r="M615" i="42" s="1"/>
  <c r="J608" i="42"/>
  <c r="M602" i="42" s="1"/>
  <c r="I939" i="42"/>
  <c r="J939" i="42" s="1"/>
  <c r="J935" i="42" s="1"/>
  <c r="M929" i="42" s="1"/>
  <c r="H712" i="98"/>
  <c r="I712" i="98" s="1"/>
  <c r="I706" i="98" s="1"/>
  <c r="L700" i="98" s="1"/>
  <c r="I1407" i="98"/>
  <c r="I1408" i="98" s="1"/>
  <c r="I1409" i="98" s="1"/>
  <c r="I387" i="98"/>
  <c r="L382" i="98" s="1"/>
  <c r="H976" i="98"/>
  <c r="I976" i="98" s="1"/>
  <c r="I970" i="98" s="1"/>
  <c r="I977" i="98" s="1"/>
  <c r="I978" i="98" s="1"/>
  <c r="I979" i="98" s="1"/>
  <c r="I980" i="98" s="1"/>
  <c r="H752" i="98"/>
  <c r="I752" i="98" s="1"/>
  <c r="I748" i="98" s="1"/>
  <c r="L742" i="98" s="1"/>
  <c r="H35" i="98"/>
  <c r="I35" i="98" s="1"/>
  <c r="I31" i="98" s="1"/>
  <c r="L26" i="98" s="1"/>
  <c r="H926" i="98"/>
  <c r="I926" i="98" s="1"/>
  <c r="I922" i="98" s="1"/>
  <c r="L912" i="98" s="1"/>
  <c r="H3267" i="98"/>
  <c r="I3267" i="98" s="1"/>
  <c r="I3263" i="98" s="1"/>
  <c r="L3258" i="98" s="1"/>
  <c r="I462" i="98"/>
  <c r="L455" i="98" s="1"/>
  <c r="I611" i="103"/>
  <c r="I612" i="103" s="1"/>
  <c r="L606" i="103"/>
  <c r="L703" i="103"/>
  <c r="I715" i="103"/>
  <c r="I716" i="103" s="1"/>
  <c r="L960" i="98"/>
  <c r="L1351" i="98"/>
  <c r="I1358" i="98"/>
  <c r="I1359" i="98" s="1"/>
  <c r="I1360" i="98" s="1"/>
  <c r="I1361" i="98" s="1"/>
  <c r="L234" i="98"/>
  <c r="I248" i="98"/>
  <c r="I249" i="98" s="1"/>
  <c r="I250" i="98" s="1"/>
  <c r="AF24" i="58"/>
  <c r="AG31" i="58"/>
  <c r="AF31" i="58" s="1"/>
  <c r="AI30" i="58" s="1"/>
  <c r="C9" i="87" s="1"/>
  <c r="C13" i="87" s="1"/>
  <c r="E13" i="87" s="1"/>
  <c r="AG57" i="58"/>
  <c r="AI56" i="58" s="1"/>
  <c r="H33" i="102" s="1"/>
  <c r="I33" i="102" s="1"/>
  <c r="AG24" i="58"/>
  <c r="AI23" i="58" s="1"/>
  <c r="AG21" i="58"/>
  <c r="AI19" i="58" s="1"/>
  <c r="AG41" i="58"/>
  <c r="AI40" i="58" s="1"/>
  <c r="AG38" i="58"/>
  <c r="AI37" i="58" s="1"/>
  <c r="H27" i="12" s="1"/>
  <c r="I27" i="12" s="1"/>
  <c r="K102" i="58"/>
  <c r="AG34" i="58"/>
  <c r="AF34" i="58" s="1"/>
  <c r="AI33" i="58" s="1"/>
  <c r="C10" i="87" s="1"/>
  <c r="AG27" i="58"/>
  <c r="AF27" i="58" s="1"/>
  <c r="AI26" i="58" s="1"/>
  <c r="AG18" i="58"/>
  <c r="AI16" i="58" s="1"/>
  <c r="L890" i="98"/>
  <c r="I903" i="98"/>
  <c r="I904" i="98" s="1"/>
  <c r="I905" i="98" s="1"/>
  <c r="K2134" i="42"/>
  <c r="M2130" i="42"/>
  <c r="H74" i="105"/>
  <c r="H75" i="105" s="1"/>
  <c r="H76" i="105" s="1"/>
  <c r="H77" i="105" s="1"/>
  <c r="H78" i="105" s="1"/>
  <c r="H79" i="105" s="1"/>
  <c r="H80" i="105" s="1"/>
  <c r="K67" i="105"/>
  <c r="L425" i="103"/>
  <c r="I429" i="103"/>
  <c r="I430" i="103" s="1"/>
  <c r="L2549" i="98"/>
  <c r="I2553" i="98"/>
  <c r="I2554" i="98" s="1"/>
  <c r="I3326" i="42"/>
  <c r="J3326" i="42" s="1"/>
  <c r="J3324" i="42" s="1"/>
  <c r="M3319" i="42" s="1"/>
  <c r="K14" i="96" s="1"/>
  <c r="N14" i="96" s="1"/>
  <c r="T33" i="93"/>
  <c r="F11" i="85"/>
  <c r="H88" i="105"/>
  <c r="I1969" i="42"/>
  <c r="J1969" i="42" s="1"/>
  <c r="J1967" i="42" s="1"/>
  <c r="M1965" i="42" s="1"/>
  <c r="I2763" i="42"/>
  <c r="J2763" i="42" s="1"/>
  <c r="J2761" i="42" s="1"/>
  <c r="M2756" i="42" s="1"/>
  <c r="H2370" i="98"/>
  <c r="I2370" i="98" s="1"/>
  <c r="I2367" i="98" s="1"/>
  <c r="I331" i="42"/>
  <c r="J331" i="42" s="1"/>
  <c r="J328" i="42" s="1"/>
  <c r="M322" i="42" s="1"/>
  <c r="L1721" i="98"/>
  <c r="I1728" i="98"/>
  <c r="I1729" i="98" s="1"/>
  <c r="H62" i="105"/>
  <c r="H63" i="105" s="1"/>
  <c r="H64" i="105" s="1"/>
  <c r="T54" i="93"/>
  <c r="G55" i="93"/>
  <c r="J55" i="93" s="1"/>
  <c r="M55" i="93" s="1"/>
  <c r="D56" i="93"/>
  <c r="K134" i="105"/>
  <c r="H142" i="105"/>
  <c r="H143" i="105" s="1"/>
  <c r="H144" i="105" s="1"/>
  <c r="H145" i="105" s="1"/>
  <c r="H146" i="105" s="1"/>
  <c r="H147" i="105" s="1"/>
  <c r="H148" i="105" s="1"/>
  <c r="L22" i="103"/>
  <c r="I26" i="103"/>
  <c r="I27" i="103" s="1"/>
  <c r="I28" i="103" s="1"/>
  <c r="I29" i="103" s="1"/>
  <c r="I30" i="103" s="1"/>
  <c r="I31" i="103" s="1"/>
  <c r="I32" i="103" s="1"/>
  <c r="I156" i="98"/>
  <c r="I157" i="98" s="1"/>
  <c r="I158" i="98" s="1"/>
  <c r="I159" i="98" s="1"/>
  <c r="I160" i="98" s="1"/>
  <c r="I161" i="98" s="1"/>
  <c r="I162" i="98" s="1"/>
  <c r="L152" i="98"/>
  <c r="L139" i="98"/>
  <c r="I143" i="98"/>
  <c r="I144" i="98" s="1"/>
  <c r="I145" i="98" s="1"/>
  <c r="I146" i="98" s="1"/>
  <c r="I147" i="98" s="1"/>
  <c r="I148" i="98" s="1"/>
  <c r="I149" i="98" s="1"/>
  <c r="C35" i="93"/>
  <c r="F34" i="93"/>
  <c r="I34" i="93" s="1"/>
  <c r="L34" i="93" s="1"/>
  <c r="T34" i="93" s="1"/>
  <c r="H425" i="98"/>
  <c r="I425" i="98" s="1"/>
  <c r="I422" i="98" s="1"/>
  <c r="L416" i="98" s="1"/>
  <c r="L3374" i="98"/>
  <c r="I3378" i="98"/>
  <c r="I3379" i="98" s="1"/>
  <c r="I353" i="42"/>
  <c r="J353" i="42" s="1"/>
  <c r="J350" i="42" s="1"/>
  <c r="M344" i="42" s="1"/>
  <c r="I2928" i="98"/>
  <c r="I2929" i="98" s="1"/>
  <c r="I2930" i="98" s="1"/>
  <c r="I2931" i="98" s="1"/>
  <c r="I2932" i="98" s="1"/>
  <c r="I2933" i="98" s="1"/>
  <c r="I2934" i="98" s="1"/>
  <c r="L2923" i="98"/>
  <c r="I240" i="103"/>
  <c r="I241" i="103" s="1"/>
  <c r="H166" i="105"/>
  <c r="H167" i="105" s="1"/>
  <c r="E251" i="99" s="1"/>
  <c r="F251" i="99" s="1"/>
  <c r="H65" i="93"/>
  <c r="K65" i="93" s="1"/>
  <c r="N65" i="93" s="1"/>
  <c r="E66" i="93"/>
  <c r="I1662" i="42"/>
  <c r="J1662" i="42" s="1"/>
  <c r="J1659" i="42" s="1"/>
  <c r="M1657" i="42" s="1"/>
  <c r="I343" i="42"/>
  <c r="J343" i="42" s="1"/>
  <c r="J340" i="42" s="1"/>
  <c r="M338" i="42" s="1"/>
  <c r="G65" i="93"/>
  <c r="J65" i="93" s="1"/>
  <c r="M65" i="93" s="1"/>
  <c r="T65" i="93" s="1"/>
  <c r="D66" i="93"/>
  <c r="I687" i="42"/>
  <c r="J687" i="42" s="1"/>
  <c r="J681" i="42" s="1"/>
  <c r="M671" i="42" s="1"/>
  <c r="I2524" i="42"/>
  <c r="J2524" i="42" s="1"/>
  <c r="J2520" i="42" s="1"/>
  <c r="M2510" i="42" s="1"/>
  <c r="A60" i="7"/>
  <c r="A66" i="7" s="1"/>
  <c r="A72" i="7" s="1"/>
  <c r="I813" i="98"/>
  <c r="I814" i="98" s="1"/>
  <c r="I815" i="98" s="1"/>
  <c r="I816" i="98" s="1"/>
  <c r="I817" i="98" s="1"/>
  <c r="I818" i="98" s="1"/>
  <c r="I819" i="98" s="1"/>
  <c r="H1317" i="103"/>
  <c r="I1317" i="103" s="1"/>
  <c r="I1310" i="103" s="1"/>
  <c r="I772" i="98"/>
  <c r="I773" i="98" s="1"/>
  <c r="I774" i="98" s="1"/>
  <c r="I775" i="98" s="1"/>
  <c r="I776" i="98" s="1"/>
  <c r="I777" i="98" s="1"/>
  <c r="I778" i="98" s="1"/>
  <c r="I1153" i="98"/>
  <c r="I1154" i="98" s="1"/>
  <c r="I1155" i="98" s="1"/>
  <c r="I1156" i="98" s="1"/>
  <c r="I1157" i="98" s="1"/>
  <c r="I1158" i="98" s="1"/>
  <c r="I1159" i="98" s="1"/>
  <c r="I202" i="103"/>
  <c r="I203" i="103" s="1"/>
  <c r="I204" i="103" s="1"/>
  <c r="I205" i="103" s="1"/>
  <c r="I206" i="103" s="1"/>
  <c r="I207" i="103" s="1"/>
  <c r="I208" i="103" s="1"/>
  <c r="H60" i="103"/>
  <c r="I60" i="103" s="1"/>
  <c r="I53" i="103" s="1"/>
  <c r="H23" i="12"/>
  <c r="I23" i="12" s="1"/>
  <c r="I2045" i="42" s="1"/>
  <c r="J2045" i="42" s="1"/>
  <c r="I1997" i="98"/>
  <c r="I1998" i="98" s="1"/>
  <c r="L76" i="103"/>
  <c r="I86" i="103"/>
  <c r="I87" i="103" s="1"/>
  <c r="H110" i="105"/>
  <c r="H111" i="105" s="1"/>
  <c r="H30" i="105"/>
  <c r="H31" i="105" s="1"/>
  <c r="H45" i="105"/>
  <c r="H46" i="105" s="1"/>
  <c r="K360" i="104"/>
  <c r="K361" i="104"/>
  <c r="I629" i="103"/>
  <c r="I630" i="103" s="1"/>
  <c r="I631" i="103" s="1"/>
  <c r="I632" i="103" s="1"/>
  <c r="L907" i="103"/>
  <c r="I309" i="103"/>
  <c r="I310" i="103" s="1"/>
  <c r="I311" i="103" s="1"/>
  <c r="I312" i="103" s="1"/>
  <c r="I1464" i="103"/>
  <c r="I1465" i="103" s="1"/>
  <c r="I1466" i="103" s="1"/>
  <c r="I1467" i="103" s="1"/>
  <c r="I1468" i="103" s="1"/>
  <c r="I1469" i="103" s="1"/>
  <c r="I1470" i="103" s="1"/>
  <c r="I385" i="103"/>
  <c r="I386" i="103" s="1"/>
  <c r="I387" i="103" s="1"/>
  <c r="L921" i="103"/>
  <c r="L179" i="103"/>
  <c r="I2675" i="98"/>
  <c r="I2676" i="98" s="1"/>
  <c r="I2677" i="98" s="1"/>
  <c r="I72" i="98"/>
  <c r="I73" i="98" s="1"/>
  <c r="I2815" i="98"/>
  <c r="I2816" i="98" s="1"/>
  <c r="I2817" i="98" s="1"/>
  <c r="I2818" i="98" s="1"/>
  <c r="I2834" i="98"/>
  <c r="I2835" i="98" s="1"/>
  <c r="I2836" i="98" s="1"/>
  <c r="I1648" i="98"/>
  <c r="I1649" i="98" s="1"/>
  <c r="I1650" i="98" s="1"/>
  <c r="I1651" i="98" s="1"/>
  <c r="I373" i="98"/>
  <c r="I374" i="98" s="1"/>
  <c r="I375" i="98" s="1"/>
  <c r="I376" i="98" s="1"/>
  <c r="L290" i="104"/>
  <c r="L525" i="98"/>
  <c r="I2904" i="98"/>
  <c r="I2905" i="98" s="1"/>
  <c r="I2906" i="98" s="1"/>
  <c r="I3328" i="98"/>
  <c r="I3329" i="98" s="1"/>
  <c r="I3330" i="98" s="1"/>
  <c r="I3238" i="98"/>
  <c r="I3239" i="98" s="1"/>
  <c r="I3240" i="98" s="1"/>
  <c r="I3241" i="98" s="1"/>
  <c r="I2918" i="98"/>
  <c r="I2919" i="98" s="1"/>
  <c r="I2920" i="98" s="1"/>
  <c r="L165" i="98"/>
  <c r="I171" i="98"/>
  <c r="I172" i="98" s="1"/>
  <c r="I173" i="98" s="1"/>
  <c r="I174" i="98" s="1"/>
  <c r="I1078" i="98"/>
  <c r="I1079" i="98" s="1"/>
  <c r="I1080" i="98" s="1"/>
  <c r="I1081" i="98" s="1"/>
  <c r="I2024" i="98"/>
  <c r="I2025" i="98" s="1"/>
  <c r="I2026" i="98" s="1"/>
  <c r="I3342" i="98"/>
  <c r="H132" i="105"/>
  <c r="H133" i="105" s="1"/>
  <c r="H149" i="105"/>
  <c r="J1690" i="42"/>
  <c r="K1689" i="42" s="1"/>
  <c r="H37" i="102"/>
  <c r="I536" i="98"/>
  <c r="I537" i="98" s="1"/>
  <c r="I538" i="98" s="1"/>
  <c r="I539" i="98" s="1"/>
  <c r="I540" i="98" s="1"/>
  <c r="H32" i="12"/>
  <c r="I32" i="12" s="1"/>
  <c r="I2112" i="42" s="1"/>
  <c r="J2112" i="42" s="1"/>
  <c r="J2111" i="42" s="1"/>
  <c r="K2110" i="42" s="1"/>
  <c r="J2724" i="42"/>
  <c r="K2723" i="42" s="1"/>
  <c r="L509" i="98"/>
  <c r="I516" i="98"/>
  <c r="I517" i="98" s="1"/>
  <c r="I518" i="98" s="1"/>
  <c r="I519" i="98" s="1"/>
  <c r="I520" i="98" s="1"/>
  <c r="I521" i="98" s="1"/>
  <c r="I522" i="98" s="1"/>
  <c r="M1573" i="42"/>
  <c r="I1662" i="98"/>
  <c r="I1663" i="98" s="1"/>
  <c r="L493" i="98"/>
  <c r="I501" i="98"/>
  <c r="J1677" i="42"/>
  <c r="K1676" i="42" s="1"/>
  <c r="J2728" i="42"/>
  <c r="K2727" i="42" s="1"/>
  <c r="K364" i="104"/>
  <c r="K358" i="104"/>
  <c r="K337" i="104"/>
  <c r="L337" i="104" s="1"/>
  <c r="J2260" i="98"/>
  <c r="E205" i="99"/>
  <c r="F205" i="99" s="1"/>
  <c r="K194" i="104"/>
  <c r="L194" i="104" s="1"/>
  <c r="K195" i="104"/>
  <c r="L195" i="104" s="1"/>
  <c r="I1896" i="98"/>
  <c r="I1897" i="98" s="1"/>
  <c r="I1898" i="98" s="1"/>
  <c r="K294" i="104"/>
  <c r="L294" i="104" s="1"/>
  <c r="K264" i="104"/>
  <c r="L264" i="104" s="1"/>
  <c r="E179" i="99"/>
  <c r="F179" i="99" s="1"/>
  <c r="I1679" i="98"/>
  <c r="I1680" i="98" s="1"/>
  <c r="I3313" i="98"/>
  <c r="I3314" i="98" s="1"/>
  <c r="C56" i="93"/>
  <c r="F55" i="93"/>
  <c r="I55" i="93" s="1"/>
  <c r="L55" i="93" s="1"/>
  <c r="L935" i="103"/>
  <c r="I950" i="103"/>
  <c r="I951" i="103" s="1"/>
  <c r="I952" i="103" s="1"/>
  <c r="M1841" i="42"/>
  <c r="K1848" i="42"/>
  <c r="H76" i="93"/>
  <c r="E77" i="93"/>
  <c r="K76" i="93"/>
  <c r="N76" i="93" s="1"/>
  <c r="I3223" i="98"/>
  <c r="I3224" i="98" s="1"/>
  <c r="I3225" i="98" s="1"/>
  <c r="L505" i="103"/>
  <c r="I511" i="103"/>
  <c r="I512" i="103" s="1"/>
  <c r="I1259" i="98"/>
  <c r="I1260" i="98" s="1"/>
  <c r="I1261" i="98" s="1"/>
  <c r="I3079" i="42"/>
  <c r="J3079" i="42" s="1"/>
  <c r="L3070" i="42" s="1"/>
  <c r="I157" i="42"/>
  <c r="J157" i="42" s="1"/>
  <c r="L148" i="42" s="1"/>
  <c r="I1421" i="42"/>
  <c r="J1421" i="42" s="1"/>
  <c r="L1417" i="42" s="1"/>
  <c r="I199" i="42"/>
  <c r="J199" i="42" s="1"/>
  <c r="L191" i="42" s="1"/>
  <c r="I693" i="42"/>
  <c r="J693" i="42" s="1"/>
  <c r="L688" i="42" s="1"/>
  <c r="I1628" i="42"/>
  <c r="J1628" i="42" s="1"/>
  <c r="L1621" i="42" s="1"/>
  <c r="I758" i="42"/>
  <c r="J758" i="42" s="1"/>
  <c r="L750" i="42" s="1"/>
  <c r="I1071" i="42"/>
  <c r="J1071" i="42" s="1"/>
  <c r="L1067" i="42" s="1"/>
  <c r="I1046" i="42"/>
  <c r="J1046" i="42" s="1"/>
  <c r="L1042" i="42" s="1"/>
  <c r="I186" i="42"/>
  <c r="J186" i="42" s="1"/>
  <c r="L178" i="42" s="1"/>
  <c r="I1847" i="42"/>
  <c r="J1847" i="42" s="1"/>
  <c r="I2176" i="42"/>
  <c r="J2176" i="42" s="1"/>
  <c r="L2159" i="42" s="1"/>
  <c r="I680" i="42"/>
  <c r="J680" i="42" s="1"/>
  <c r="L671" i="42" s="1"/>
  <c r="I890" i="42"/>
  <c r="J890" i="42" s="1"/>
  <c r="L882" i="42" s="1"/>
  <c r="I2519" i="42"/>
  <c r="J2519" i="42" s="1"/>
  <c r="L2510" i="42" s="1"/>
  <c r="I663" i="42"/>
  <c r="J663" i="42" s="1"/>
  <c r="L656" i="42" s="1"/>
  <c r="I989" i="42"/>
  <c r="J989" i="42" s="1"/>
  <c r="L984" i="42" s="1"/>
  <c r="I2687" i="42"/>
  <c r="J2687" i="42" s="1"/>
  <c r="L2679" i="42" s="1"/>
  <c r="I959" i="42"/>
  <c r="J959" i="42" s="1"/>
  <c r="L951" i="42" s="1"/>
  <c r="I785" i="42"/>
  <c r="J785" i="42" s="1"/>
  <c r="L777" i="42" s="1"/>
  <c r="I172" i="42"/>
  <c r="J172" i="42" s="1"/>
  <c r="L163" i="42" s="1"/>
  <c r="I797" i="42"/>
  <c r="J797" i="42" s="1"/>
  <c r="L789" i="42" s="1"/>
  <c r="I2860" i="42"/>
  <c r="J2860" i="42" s="1"/>
  <c r="L2852" i="42" s="1"/>
  <c r="I776" i="42"/>
  <c r="J776" i="42" s="1"/>
  <c r="L768" i="42" s="1"/>
  <c r="I977" i="42"/>
  <c r="J977" i="42" s="1"/>
  <c r="L966" i="42" s="1"/>
  <c r="I878" i="42"/>
  <c r="J878" i="42" s="1"/>
  <c r="L870" i="42" s="1"/>
  <c r="I2774" i="42"/>
  <c r="J2774" i="42" s="1"/>
  <c r="L2767" i="42" s="1"/>
  <c r="I222" i="42"/>
  <c r="J222" i="42" s="1"/>
  <c r="L214" i="42" s="1"/>
  <c r="I2214" i="42"/>
  <c r="J2214" i="42" s="1"/>
  <c r="L2208" i="42" s="1"/>
  <c r="I648" i="42"/>
  <c r="J648" i="42" s="1"/>
  <c r="L640" i="42" s="1"/>
  <c r="I856" i="42"/>
  <c r="J856" i="42" s="1"/>
  <c r="L853" i="42" s="1"/>
  <c r="I729" i="42"/>
  <c r="J729" i="42" s="1"/>
  <c r="L724" i="42" s="1"/>
  <c r="I902" i="42"/>
  <c r="J902" i="42" s="1"/>
  <c r="L894" i="42" s="1"/>
  <c r="I1602" i="42"/>
  <c r="J1602" i="42" s="1"/>
  <c r="L1595" i="42" s="1"/>
  <c r="I2622" i="42"/>
  <c r="J2622" i="42" s="1"/>
  <c r="L2611" i="42" s="1"/>
  <c r="I1018" i="42"/>
  <c r="J1018" i="42" s="1"/>
  <c r="L1009" i="42" s="1"/>
  <c r="I767" i="42"/>
  <c r="J767" i="42" s="1"/>
  <c r="L759" i="42" s="1"/>
  <c r="I2634" i="42"/>
  <c r="J2634" i="42" s="1"/>
  <c r="L2629" i="42" s="1"/>
  <c r="I1615" i="42"/>
  <c r="J1615" i="42" s="1"/>
  <c r="L1608" i="42" s="1"/>
  <c r="I710" i="42"/>
  <c r="J710" i="42" s="1"/>
  <c r="L705" i="42" s="1"/>
  <c r="I1641" i="42"/>
  <c r="J1641" i="42" s="1"/>
  <c r="L1634" i="42" s="1"/>
  <c r="I1377" i="42"/>
  <c r="J1377" i="42" s="1"/>
  <c r="L1362" i="42" s="1"/>
  <c r="I1053" i="42"/>
  <c r="J1053" i="42" s="1"/>
  <c r="L1047" i="42" s="1"/>
  <c r="I1064" i="42"/>
  <c r="J1064" i="42" s="1"/>
  <c r="L1063" i="42" s="1"/>
  <c r="I1058" i="42"/>
  <c r="J1058" i="42" s="1"/>
  <c r="L1054" i="42" s="1"/>
  <c r="I487" i="42"/>
  <c r="J487" i="42" s="1"/>
  <c r="L483" i="42" s="1"/>
  <c r="I2504" i="42"/>
  <c r="J2504" i="42" s="1"/>
  <c r="L2497" i="42" s="1"/>
  <c r="I634" i="42"/>
  <c r="J634" i="42" s="1"/>
  <c r="L628" i="42" s="1"/>
  <c r="I749" i="42"/>
  <c r="J749" i="42" s="1"/>
  <c r="L741" i="42" s="1"/>
  <c r="I1412" i="42"/>
  <c r="J1412" i="42" s="1"/>
  <c r="L1402" i="42" s="1"/>
  <c r="H56" i="93"/>
  <c r="K56" i="93" s="1"/>
  <c r="N56" i="93" s="1"/>
  <c r="E57" i="93"/>
  <c r="H57" i="93" s="1"/>
  <c r="K57" i="93" s="1"/>
  <c r="N57" i="93" s="1"/>
  <c r="I277" i="103"/>
  <c r="I278" i="103" s="1"/>
  <c r="N16" i="96"/>
  <c r="O16" i="96"/>
  <c r="P16" i="96" s="1"/>
  <c r="I1096" i="103"/>
  <c r="I1097" i="103" s="1"/>
  <c r="I1390" i="103"/>
  <c r="I1391" i="103" s="1"/>
  <c r="I1392" i="103" s="1"/>
  <c r="I2346" i="98"/>
  <c r="I2347" i="98" s="1"/>
  <c r="I2348" i="98" s="1"/>
  <c r="I1220" i="98"/>
  <c r="I1221" i="98" s="1"/>
  <c r="I1222" i="98" s="1"/>
  <c r="I1863" i="98"/>
  <c r="I1864" i="98" s="1"/>
  <c r="I1865" i="98" s="1"/>
  <c r="I1866" i="98" s="1"/>
  <c r="I1373" i="98"/>
  <c r="I1374" i="98" s="1"/>
  <c r="I1375" i="98" s="1"/>
  <c r="I1482" i="103"/>
  <c r="I1483" i="103" s="1"/>
  <c r="I1484" i="103" s="1"/>
  <c r="I2888" i="98"/>
  <c r="I2889" i="98" s="1"/>
  <c r="I2890" i="98" s="1"/>
  <c r="I2891" i="98" s="1"/>
  <c r="I2892" i="98" s="1"/>
  <c r="F91" i="93"/>
  <c r="I91" i="93" s="1"/>
  <c r="L91" i="93" s="1"/>
  <c r="C92" i="93"/>
  <c r="I1451" i="103"/>
  <c r="I1452" i="103" s="1"/>
  <c r="L1447" i="103"/>
  <c r="K17" i="49"/>
  <c r="L17" i="49" s="1"/>
  <c r="M17" i="49" s="1"/>
  <c r="M15" i="49" s="1"/>
  <c r="M2837" i="42"/>
  <c r="I3131" i="98"/>
  <c r="I3132" i="98" s="1"/>
  <c r="L3127" i="98"/>
  <c r="I717" i="103"/>
  <c r="I3281" i="98"/>
  <c r="I3282" i="98" s="1"/>
  <c r="L3277" i="98"/>
  <c r="I613" i="103"/>
  <c r="I2086" i="98"/>
  <c r="I2087" i="98" s="1"/>
  <c r="L344" i="98"/>
  <c r="I354" i="98"/>
  <c r="I355" i="98" s="1"/>
  <c r="L306" i="98"/>
  <c r="I316" i="98"/>
  <c r="I317" i="98" s="1"/>
  <c r="I903" i="103"/>
  <c r="I904" i="103" s="1"/>
  <c r="I1118" i="103"/>
  <c r="I1119" i="103" s="1"/>
  <c r="I1271" i="103"/>
  <c r="I1272" i="103" s="1"/>
  <c r="I3300" i="98"/>
  <c r="I3301" i="98" s="1"/>
  <c r="I191" i="103"/>
  <c r="I192" i="103" s="1"/>
  <c r="I1237" i="98"/>
  <c r="I1238" i="98" s="1"/>
  <c r="I484" i="103"/>
  <c r="I485" i="103" s="1"/>
  <c r="I291" i="103"/>
  <c r="I292" i="103" s="1"/>
  <c r="L284" i="103"/>
  <c r="I2569" i="98"/>
  <c r="I2570" i="98" s="1"/>
  <c r="I1193" i="98"/>
  <c r="I1194" i="98" s="1"/>
  <c r="I3256" i="98"/>
  <c r="I3257" i="98" s="1"/>
  <c r="I1100" i="98"/>
  <c r="I1101" i="98" s="1"/>
  <c r="I765" i="103"/>
  <c r="I766" i="103" s="1"/>
  <c r="I355" i="103"/>
  <c r="I356" i="103" s="1"/>
  <c r="I1742" i="98"/>
  <c r="I1743" i="98" s="1"/>
  <c r="J211" i="103"/>
  <c r="I218" i="103"/>
  <c r="I219" i="103" s="1"/>
  <c r="J1503" i="98"/>
  <c r="I1511" i="98"/>
  <c r="I1512" i="98" s="1"/>
  <c r="I797" i="103"/>
  <c r="I798" i="103" s="1"/>
  <c r="J788" i="103"/>
  <c r="I218" i="98"/>
  <c r="J81" i="98"/>
  <c r="I91" i="98"/>
  <c r="I92" i="98" s="1"/>
  <c r="J1430" i="98"/>
  <c r="I1439" i="98"/>
  <c r="I1440" i="98" s="1"/>
  <c r="I1538" i="42"/>
  <c r="J1538" i="42" s="1"/>
  <c r="I2786" i="42"/>
  <c r="J2786" i="42" s="1"/>
  <c r="I2782" i="42"/>
  <c r="J2782" i="42" s="1"/>
  <c r="I1542" i="42"/>
  <c r="J1542" i="42" s="1"/>
  <c r="I1534" i="42"/>
  <c r="J1534" i="42" s="1"/>
  <c r="I1530" i="42"/>
  <c r="J1530" i="42" s="1"/>
  <c r="I316" i="42"/>
  <c r="J316" i="42" s="1"/>
  <c r="J313" i="42" s="1"/>
  <c r="K312" i="42" s="1"/>
  <c r="I2795" i="42"/>
  <c r="J2795" i="42" s="1"/>
  <c r="J2789" i="42" s="1"/>
  <c r="K2788" i="42" s="1"/>
  <c r="I3138" i="42"/>
  <c r="J3138" i="42" s="1"/>
  <c r="J3132" i="42" s="1"/>
  <c r="K3131" i="42" s="1"/>
  <c r="I1283" i="42"/>
  <c r="J1283" i="42" s="1"/>
  <c r="J1275" i="42" s="1"/>
  <c r="K1274" i="42" s="1"/>
  <c r="I2704" i="42"/>
  <c r="J2704" i="42" s="1"/>
  <c r="J2698" i="42" s="1"/>
  <c r="K2697" i="42" s="1"/>
  <c r="I2717" i="42"/>
  <c r="J2717" i="42" s="1"/>
  <c r="J2711" i="42" s="1"/>
  <c r="K2710" i="42" s="1"/>
  <c r="I1770" i="42"/>
  <c r="J1770" i="42" s="1"/>
  <c r="J1764" i="42" s="1"/>
  <c r="K1763" i="42" s="1"/>
  <c r="I1567" i="42"/>
  <c r="J1567" i="42" s="1"/>
  <c r="J1561" i="42" s="1"/>
  <c r="K1560" i="42" s="1"/>
  <c r="J12" i="86"/>
  <c r="I796" i="42"/>
  <c r="J796" i="42" s="1"/>
  <c r="J790" i="42" s="1"/>
  <c r="K789" i="42" s="1"/>
  <c r="L15" i="96"/>
  <c r="O15" i="96"/>
  <c r="P15" i="96" s="1"/>
  <c r="I2686" i="42"/>
  <c r="J2686" i="42" s="1"/>
  <c r="J2680" i="42" s="1"/>
  <c r="K2679" i="42" s="1"/>
  <c r="I901" i="42"/>
  <c r="J901" i="42" s="1"/>
  <c r="J895" i="42" s="1"/>
  <c r="K894" i="42" s="1"/>
  <c r="A78" i="7"/>
  <c r="I928" i="103"/>
  <c r="I929" i="103" s="1"/>
  <c r="I930" i="103" s="1"/>
  <c r="H34" i="93"/>
  <c r="K34" i="93" s="1"/>
  <c r="N34" i="93" s="1"/>
  <c r="E35" i="93"/>
  <c r="H1166" i="98"/>
  <c r="I1166" i="98" s="1"/>
  <c r="I1163" i="98" s="1"/>
  <c r="I2645" i="42"/>
  <c r="J2645" i="42" s="1"/>
  <c r="J2641" i="42" s="1"/>
  <c r="K2640" i="42" s="1"/>
  <c r="I805" i="42"/>
  <c r="J805" i="42" s="1"/>
  <c r="J802" i="42" s="1"/>
  <c r="K801" i="42" s="1"/>
  <c r="I1849" i="98"/>
  <c r="I1937" i="98"/>
  <c r="I1938" i="98" s="1"/>
  <c r="H1566" i="98"/>
  <c r="I1566" i="98" s="1"/>
  <c r="I1561" i="98" s="1"/>
  <c r="I196" i="98"/>
  <c r="H118" i="103"/>
  <c r="I118" i="103" s="1"/>
  <c r="I113" i="103" s="1"/>
  <c r="H617" i="98"/>
  <c r="I617" i="98" s="1"/>
  <c r="I615" i="98" s="1"/>
  <c r="H2446" i="98"/>
  <c r="I2446" i="98" s="1"/>
  <c r="I2442" i="98" s="1"/>
  <c r="H2845" i="98"/>
  <c r="I2845" i="98" s="1"/>
  <c r="I2844" i="98" s="1"/>
  <c r="H2864" i="98"/>
  <c r="I2864" i="98" s="1"/>
  <c r="I2863" i="98" s="1"/>
  <c r="J2057" i="98"/>
  <c r="I2062" i="98"/>
  <c r="I2063" i="98" s="1"/>
  <c r="I3115" i="98"/>
  <c r="I3102" i="98"/>
  <c r="H2220" i="98"/>
  <c r="I2220" i="98" s="1"/>
  <c r="H2207" i="98"/>
  <c r="I2207" i="98" s="1"/>
  <c r="H2194" i="98"/>
  <c r="I2194" i="98" s="1"/>
  <c r="H1697" i="98"/>
  <c r="I1697" i="98" s="1"/>
  <c r="I1684" i="98" s="1"/>
  <c r="H2258" i="98"/>
  <c r="I2258" i="98" s="1"/>
  <c r="I2254" i="98" s="1"/>
  <c r="H3064" i="98"/>
  <c r="I3064" i="98" s="1"/>
  <c r="I3058" i="98" s="1"/>
  <c r="H2534" i="98"/>
  <c r="I2534" i="98" s="1"/>
  <c r="I2528" i="98" s="1"/>
  <c r="H3086" i="98"/>
  <c r="I3086" i="98" s="1"/>
  <c r="I3080" i="98" s="1"/>
  <c r="H2238" i="98"/>
  <c r="I2238" i="98" s="1"/>
  <c r="I2232" i="98" s="1"/>
  <c r="I2166" i="98"/>
  <c r="I2167" i="98" s="1"/>
  <c r="J2163" i="98"/>
  <c r="I383" i="98"/>
  <c r="J1464" i="98"/>
  <c r="I1473" i="98"/>
  <c r="I1474" i="98" s="1"/>
  <c r="J781" i="98"/>
  <c r="I791" i="98"/>
  <c r="I792" i="98" s="1"/>
  <c r="H460" i="98"/>
  <c r="I460" i="98" s="1"/>
  <c r="I456" i="98" s="1"/>
  <c r="H872" i="98"/>
  <c r="I872" i="98" s="1"/>
  <c r="I866" i="98" s="1"/>
  <c r="I3090" i="42"/>
  <c r="J3090" i="42" s="1"/>
  <c r="J3086" i="42" s="1"/>
  <c r="K3085" i="42" s="1"/>
  <c r="I1497" i="42"/>
  <c r="J1497" i="42" s="1"/>
  <c r="J1490" i="42" s="1"/>
  <c r="K1489" i="42" s="1"/>
  <c r="I369" i="42"/>
  <c r="J369" i="42" s="1"/>
  <c r="J365" i="42" s="1"/>
  <c r="K364" i="42" s="1"/>
  <c r="I171" i="42"/>
  <c r="J171" i="42" s="1"/>
  <c r="J164" i="42" s="1"/>
  <c r="K163" i="42" s="1"/>
  <c r="I1163" i="42"/>
  <c r="J1163" i="42" s="1"/>
  <c r="J1158" i="42" s="1"/>
  <c r="K1157" i="42" s="1"/>
  <c r="I91" i="42"/>
  <c r="J91" i="42" s="1"/>
  <c r="J85" i="42" s="1"/>
  <c r="K84" i="42" s="1"/>
  <c r="I108" i="42"/>
  <c r="J108" i="42" s="1"/>
  <c r="J102" i="42" s="1"/>
  <c r="K101" i="42" s="1"/>
  <c r="I633" i="42"/>
  <c r="J633" i="42" s="1"/>
  <c r="J629" i="42" s="1"/>
  <c r="K628" i="42" s="1"/>
  <c r="I1627" i="42"/>
  <c r="J1627" i="42" s="1"/>
  <c r="J1622" i="42" s="1"/>
  <c r="K1621" i="42" s="1"/>
  <c r="I198" i="42"/>
  <c r="J198" i="42" s="1"/>
  <c r="J192" i="42" s="1"/>
  <c r="K191" i="42" s="1"/>
  <c r="I2773" i="42"/>
  <c r="J2773" i="42" s="1"/>
  <c r="J2768" i="42" s="1"/>
  <c r="K2767" i="42" s="1"/>
  <c r="J387" i="42"/>
  <c r="K386" i="42" s="1"/>
  <c r="I1601" i="42"/>
  <c r="J1601" i="42" s="1"/>
  <c r="J1596" i="42" s="1"/>
  <c r="K1595" i="42" s="1"/>
  <c r="I1614" i="42"/>
  <c r="J1614" i="42" s="1"/>
  <c r="J1609" i="42" s="1"/>
  <c r="K1608" i="42" s="1"/>
  <c r="I980" i="103"/>
  <c r="I981" i="103" s="1"/>
  <c r="K974" i="103"/>
  <c r="K989" i="103"/>
  <c r="I995" i="103"/>
  <c r="I996" i="103" s="1"/>
  <c r="K1869" i="98"/>
  <c r="I1876" i="98"/>
  <c r="I1877" i="98" s="1"/>
  <c r="L1999" i="98"/>
  <c r="I2006" i="98"/>
  <c r="I2007" i="98" s="1"/>
  <c r="I645" i="103"/>
  <c r="I646" i="103" s="1"/>
  <c r="L638" i="103"/>
  <c r="H3019" i="98"/>
  <c r="I3019" i="98" s="1"/>
  <c r="I3013" i="98" s="1"/>
  <c r="I2660" i="42"/>
  <c r="J2660" i="42" s="1"/>
  <c r="I2086" i="42"/>
  <c r="J2086" i="42" s="1"/>
  <c r="J2085" i="42" s="1"/>
  <c r="K2084" i="42" s="1"/>
  <c r="I2132" i="42"/>
  <c r="J2132" i="42" s="1"/>
  <c r="J2131" i="42" s="1"/>
  <c r="K2130" i="42" s="1"/>
  <c r="I2206" i="42"/>
  <c r="J2206" i="42" s="1"/>
  <c r="I2007" i="42"/>
  <c r="J2007" i="42" s="1"/>
  <c r="J2006" i="42" s="1"/>
  <c r="K2005" i="42" s="1"/>
  <c r="I2847" i="42"/>
  <c r="J2847" i="42" s="1"/>
  <c r="J2846" i="42" s="1"/>
  <c r="K2845" i="42" s="1"/>
  <c r="I2263" i="42"/>
  <c r="J2263" i="42" s="1"/>
  <c r="I1442" i="42"/>
  <c r="J1442" i="42" s="1"/>
  <c r="J1441" i="42" s="1"/>
  <c r="K1440" i="42" s="1"/>
  <c r="I2046" i="42"/>
  <c r="J2046" i="42" s="1"/>
  <c r="H570" i="103"/>
  <c r="I570" i="103" s="1"/>
  <c r="I569" i="103" s="1"/>
  <c r="I337" i="98"/>
  <c r="I338" i="98" s="1"/>
  <c r="I299" i="98"/>
  <c r="H1127" i="98"/>
  <c r="I1127" i="98" s="1"/>
  <c r="I1121" i="98" s="1"/>
  <c r="H1295" i="98"/>
  <c r="I1295" i="98" s="1"/>
  <c r="I1289" i="98" s="1"/>
  <c r="J1784" i="98"/>
  <c r="I1791" i="98"/>
  <c r="I1792" i="98" s="1"/>
  <c r="J1520" i="98"/>
  <c r="I1531" i="98"/>
  <c r="I1532" i="98" s="1"/>
  <c r="J1766" i="98"/>
  <c r="I1775" i="98"/>
  <c r="I1776" i="98" s="1"/>
  <c r="H440" i="98"/>
  <c r="I440" i="98" s="1"/>
  <c r="I436" i="98" s="1"/>
  <c r="J1212" i="103"/>
  <c r="I1221" i="103"/>
  <c r="I1222" i="103" s="1"/>
  <c r="I1904" i="42"/>
  <c r="J1904" i="42" s="1"/>
  <c r="J1900" i="42" s="1"/>
  <c r="K1899" i="42" s="1"/>
  <c r="I1702" i="42"/>
  <c r="J1702" i="42" s="1"/>
  <c r="J1698" i="42" s="1"/>
  <c r="K1697" i="42" s="1"/>
  <c r="I1757" i="42"/>
  <c r="J1757" i="42" s="1"/>
  <c r="J1751" i="42" s="1"/>
  <c r="K1750" i="42" s="1"/>
  <c r="I1884" i="42"/>
  <c r="J1884" i="42" s="1"/>
  <c r="J1878" i="42" s="1"/>
  <c r="K1877" i="42" s="1"/>
  <c r="I1712" i="42"/>
  <c r="J1712" i="42" s="1"/>
  <c r="J1708" i="42" s="1"/>
  <c r="K1707" i="42" s="1"/>
  <c r="I1719" i="42"/>
  <c r="J1719" i="42" s="1"/>
  <c r="I1723" i="42"/>
  <c r="J1723" i="42" s="1"/>
  <c r="I1822" i="42"/>
  <c r="J1822" i="42" s="1"/>
  <c r="J1816" i="42" s="1"/>
  <c r="K1815" i="42" s="1"/>
  <c r="I1949" i="42"/>
  <c r="J1949" i="42" s="1"/>
  <c r="J1946" i="42" s="1"/>
  <c r="K1945" i="42" s="1"/>
  <c r="I2359" i="98"/>
  <c r="I2360" i="98" s="1"/>
  <c r="H1337" i="98"/>
  <c r="I1337" i="98" s="1"/>
  <c r="I1331" i="98" s="1"/>
  <c r="J3200" i="98"/>
  <c r="I3207" i="98"/>
  <c r="I3208" i="98" s="1"/>
  <c r="J1597" i="98"/>
  <c r="I1604" i="98"/>
  <c r="I1605" i="98" s="1"/>
  <c r="J578" i="98"/>
  <c r="I587" i="98"/>
  <c r="I588" i="98" s="1"/>
  <c r="H1316" i="98"/>
  <c r="I1316" i="98" s="1"/>
  <c r="I1310" i="98" s="1"/>
  <c r="I140" i="103"/>
  <c r="I141" i="103" s="1"/>
  <c r="J133" i="103"/>
  <c r="J1448" i="98"/>
  <c r="I1455" i="98"/>
  <c r="I1456" i="98" s="1"/>
  <c r="J560" i="98"/>
  <c r="I569" i="98"/>
  <c r="I570" i="98" s="1"/>
  <c r="J1266" i="98"/>
  <c r="H1338" i="103"/>
  <c r="I1338" i="103" s="1"/>
  <c r="I1334" i="103" s="1"/>
  <c r="J1182" i="103"/>
  <c r="I1191" i="103"/>
  <c r="I1192" i="103" s="1"/>
  <c r="I2145" i="98"/>
  <c r="J62" i="98"/>
  <c r="J407" i="103"/>
  <c r="I416" i="103"/>
  <c r="I417" i="103" s="1"/>
  <c r="I1809" i="42"/>
  <c r="J1809" i="42" s="1"/>
  <c r="J1806" i="42" s="1"/>
  <c r="K1805" i="42" s="1"/>
  <c r="I1512" i="42"/>
  <c r="J1512" i="42" s="1"/>
  <c r="J1505" i="42" s="1"/>
  <c r="K1504" i="42" s="1"/>
  <c r="I326" i="42"/>
  <c r="J326" i="42" s="1"/>
  <c r="J323" i="42" s="1"/>
  <c r="K322" i="42" s="1"/>
  <c r="I1873" i="42"/>
  <c r="J1873" i="42" s="1"/>
  <c r="J1867" i="42" s="1"/>
  <c r="K1866" i="42" s="1"/>
  <c r="I2738" i="42"/>
  <c r="J2738" i="42" s="1"/>
  <c r="J2732" i="42" s="1"/>
  <c r="K2731" i="42" s="1"/>
  <c r="I1895" i="42"/>
  <c r="J1895" i="42" s="1"/>
  <c r="J1889" i="42" s="1"/>
  <c r="K1888" i="42" s="1"/>
  <c r="I2808" i="42"/>
  <c r="J2808" i="42" s="1"/>
  <c r="J2802" i="42" s="1"/>
  <c r="K2801" i="42" s="1"/>
  <c r="I1835" i="42"/>
  <c r="J1835" i="42" s="1"/>
  <c r="J1829" i="42" s="1"/>
  <c r="K1828" i="42" s="1"/>
  <c r="I1225" i="42"/>
  <c r="J1225" i="42" s="1"/>
  <c r="J1211" i="42" s="1"/>
  <c r="K1210" i="42" s="1"/>
  <c r="I2479" i="42"/>
  <c r="J2479" i="42" s="1"/>
  <c r="J2478" i="42" s="1"/>
  <c r="K2477" i="42" s="1"/>
  <c r="I2469" i="42"/>
  <c r="J2469" i="42" s="1"/>
  <c r="J2468" i="42" s="1"/>
  <c r="K2467" i="42" s="1"/>
  <c r="I2489" i="42"/>
  <c r="J2489" i="42" s="1"/>
  <c r="J2488" i="42" s="1"/>
  <c r="K2487" i="42" s="1"/>
  <c r="I1578" i="42"/>
  <c r="J1578" i="42" s="1"/>
  <c r="J1574" i="42" s="1"/>
  <c r="K1573" i="42" s="1"/>
  <c r="J1664" i="42"/>
  <c r="K1663" i="42" s="1"/>
  <c r="I877" i="42"/>
  <c r="J877" i="42" s="1"/>
  <c r="J871" i="42" s="1"/>
  <c r="K870" i="42" s="1"/>
  <c r="I784" i="42"/>
  <c r="J784" i="42" s="1"/>
  <c r="J778" i="42" s="1"/>
  <c r="K777" i="42" s="1"/>
  <c r="I889" i="42"/>
  <c r="J889" i="42" s="1"/>
  <c r="J883" i="42" s="1"/>
  <c r="K882" i="42" s="1"/>
  <c r="I1115" i="98"/>
  <c r="H47" i="93"/>
  <c r="K47" i="93" s="1"/>
  <c r="N47" i="93" s="1"/>
  <c r="N15" i="42"/>
  <c r="P15" i="42" s="1"/>
  <c r="A16" i="42"/>
  <c r="I2938" i="98"/>
  <c r="I1438" i="103"/>
  <c r="I1439" i="103" s="1"/>
  <c r="L1431" i="103"/>
  <c r="I3162" i="98"/>
  <c r="I3163" i="98" s="1"/>
  <c r="H2321" i="98"/>
  <c r="I2321" i="98" s="1"/>
  <c r="I2316" i="98" s="1"/>
  <c r="H1488" i="98"/>
  <c r="I1488" i="98" s="1"/>
  <c r="I1483" i="98" s="1"/>
  <c r="I476" i="98"/>
  <c r="I484" i="98" s="1"/>
  <c r="H1618" i="98"/>
  <c r="I1618" i="98" s="1"/>
  <c r="I1614" i="98" s="1"/>
  <c r="H154" i="103"/>
  <c r="I154" i="103" s="1"/>
  <c r="I150" i="103" s="1"/>
  <c r="H123" i="98"/>
  <c r="I123" i="98" s="1"/>
  <c r="I117" i="98" s="1"/>
  <c r="H2299" i="98"/>
  <c r="I2299" i="98" s="1"/>
  <c r="I2294" i="98" s="1"/>
  <c r="H2042" i="98"/>
  <c r="I2042" i="98" s="1"/>
  <c r="I2034" i="98" s="1"/>
  <c r="H2462" i="98"/>
  <c r="I2462" i="98" s="1"/>
  <c r="H2475" i="98"/>
  <c r="I2475" i="98" s="1"/>
  <c r="I2403" i="98"/>
  <c r="I2425" i="98"/>
  <c r="H2512" i="98"/>
  <c r="I2512" i="98" s="1"/>
  <c r="I2506" i="98" s="1"/>
  <c r="H1803" i="98"/>
  <c r="I1803" i="98" s="1"/>
  <c r="I1801" i="98" s="1"/>
  <c r="I2381" i="98"/>
  <c r="J1540" i="98"/>
  <c r="I1551" i="98"/>
  <c r="I1552" i="98" s="1"/>
  <c r="J822" i="98"/>
  <c r="J596" i="98"/>
  <c r="I605" i="98"/>
  <c r="I606" i="98" s="1"/>
  <c r="I1029" i="42"/>
  <c r="J1029" i="42" s="1"/>
  <c r="J1025" i="42" s="1"/>
  <c r="K1024" i="42" s="1"/>
  <c r="I209" i="42"/>
  <c r="J209" i="42" s="1"/>
  <c r="J205" i="42" s="1"/>
  <c r="K204" i="42" s="1"/>
  <c r="I3307" i="42"/>
  <c r="J3307" i="42" s="1"/>
  <c r="J3301" i="42" s="1"/>
  <c r="K3300" i="42" s="1"/>
  <c r="I1017" i="42"/>
  <c r="J1017" i="42" s="1"/>
  <c r="J1010" i="42" s="1"/>
  <c r="K1009" i="42" s="1"/>
  <c r="I1188" i="42"/>
  <c r="J1188" i="42" s="1"/>
  <c r="J1184" i="42" s="1"/>
  <c r="K1183" i="42" s="1"/>
  <c r="I3078" i="42"/>
  <c r="J3078" i="42" s="1"/>
  <c r="J3071" i="42" s="1"/>
  <c r="K3070" i="42" s="1"/>
  <c r="I156" i="42"/>
  <c r="J156" i="42" s="1"/>
  <c r="J149" i="42" s="1"/>
  <c r="K148" i="42" s="1"/>
  <c r="I1121" i="42"/>
  <c r="J1121" i="42" s="1"/>
  <c r="J1116" i="42" s="1"/>
  <c r="K1115" i="42" s="1"/>
  <c r="J2612" i="42"/>
  <c r="K2611" i="42" s="1"/>
  <c r="I2621" i="42"/>
  <c r="J2621" i="42" s="1"/>
  <c r="I1640" i="42"/>
  <c r="J1640" i="42" s="1"/>
  <c r="J1635" i="42" s="1"/>
  <c r="K1634" i="42" s="1"/>
  <c r="I486" i="42"/>
  <c r="J486" i="42" s="1"/>
  <c r="J484" i="42" s="1"/>
  <c r="K483" i="42" s="1"/>
  <c r="I185" i="42"/>
  <c r="J185" i="42" s="1"/>
  <c r="J179" i="42" s="1"/>
  <c r="K178" i="42" s="1"/>
  <c r="I976" i="42"/>
  <c r="J976" i="42" s="1"/>
  <c r="J967" i="42" s="1"/>
  <c r="K966" i="42" s="1"/>
  <c r="I1411" i="42"/>
  <c r="J1411" i="42" s="1"/>
  <c r="J1403" i="42" s="1"/>
  <c r="K1402" i="42" s="1"/>
  <c r="I380" i="42"/>
  <c r="J380" i="42" s="1"/>
  <c r="J376" i="42" s="1"/>
  <c r="K375" i="42" s="1"/>
  <c r="I1025" i="103"/>
  <c r="I1026" i="103" s="1"/>
  <c r="K1019" i="103"/>
  <c r="I1040" i="103"/>
  <c r="I1041" i="103" s="1"/>
  <c r="K1034" i="103"/>
  <c r="I1010" i="103"/>
  <c r="I1011" i="103" s="1"/>
  <c r="K1004" i="103"/>
  <c r="K959" i="103"/>
  <c r="I965" i="103"/>
  <c r="I966" i="103" s="1"/>
  <c r="K1064" i="103"/>
  <c r="I1070" i="103"/>
  <c r="I1071" i="103" s="1"/>
  <c r="K1049" i="103"/>
  <c r="I1055" i="103"/>
  <c r="I1056" i="103" s="1"/>
  <c r="K180" i="98"/>
  <c r="I186" i="98"/>
  <c r="I187" i="98" s="1"/>
  <c r="I1375" i="103"/>
  <c r="I1376" i="103" s="1"/>
  <c r="A83" i="7"/>
  <c r="A278" i="12"/>
  <c r="I914" i="103"/>
  <c r="I915" i="103" s="1"/>
  <c r="I2779" i="98"/>
  <c r="I2780" i="98" s="1"/>
  <c r="I2743" i="98"/>
  <c r="I2744" i="98" s="1"/>
  <c r="I374" i="103"/>
  <c r="I375" i="103" s="1"/>
  <c r="G76" i="93" l="1"/>
  <c r="J76" i="93" s="1"/>
  <c r="M76" i="93" s="1"/>
  <c r="T76" i="93" s="1"/>
  <c r="D77" i="93"/>
  <c r="G77" i="93" s="1"/>
  <c r="J77" i="93" s="1"/>
  <c r="M77" i="93" s="1"/>
  <c r="T77" i="93" s="1"/>
  <c r="F10" i="87"/>
  <c r="H10" i="87" s="1"/>
  <c r="H60" i="102"/>
  <c r="I16" i="98"/>
  <c r="I12" i="98" s="1"/>
  <c r="L7" i="98" s="1"/>
  <c r="F17" i="104"/>
  <c r="I51" i="98"/>
  <c r="I47" i="98" s="1"/>
  <c r="F24" i="104"/>
  <c r="T55" i="93"/>
  <c r="I268" i="98"/>
  <c r="I269" i="98" s="1"/>
  <c r="I270" i="98" s="1"/>
  <c r="I409" i="98"/>
  <c r="I410" i="98" s="1"/>
  <c r="I411" i="98" s="1"/>
  <c r="I412" i="98" s="1"/>
  <c r="I413" i="98" s="1"/>
  <c r="I652" i="98"/>
  <c r="I653" i="98" s="1"/>
  <c r="I654" i="98" s="1"/>
  <c r="I655" i="98" s="1"/>
  <c r="J645" i="98"/>
  <c r="J2684" i="98"/>
  <c r="I2688" i="98"/>
  <c r="I2689" i="98" s="1"/>
  <c r="I2690" i="98" s="1"/>
  <c r="I2691" i="98" s="1"/>
  <c r="I2692" i="98" s="1"/>
  <c r="I2205" i="42"/>
  <c r="J2205" i="42" s="1"/>
  <c r="J2204" i="42" s="1"/>
  <c r="K2203" i="42" s="1"/>
  <c r="I13" i="103"/>
  <c r="I14" i="103" s="1"/>
  <c r="I15" i="103" s="1"/>
  <c r="I16" i="103" s="1"/>
  <c r="I17" i="103" s="1"/>
  <c r="I18" i="103" s="1"/>
  <c r="I19" i="103" s="1"/>
  <c r="I20" i="103" s="1"/>
  <c r="I21" i="103" s="1"/>
  <c r="J7" i="103"/>
  <c r="H150" i="105"/>
  <c r="E250" i="99" s="1"/>
  <c r="F250" i="99" s="1"/>
  <c r="I1098" i="103"/>
  <c r="I1099" i="103" s="1"/>
  <c r="I2921" i="98"/>
  <c r="I2922" i="98" s="1"/>
  <c r="I3331" i="98"/>
  <c r="I3332" i="98" s="1"/>
  <c r="I820" i="98"/>
  <c r="I821" i="98" s="1"/>
  <c r="I2935" i="98"/>
  <c r="I2936" i="98" s="1"/>
  <c r="I163" i="98"/>
  <c r="I164" i="98" s="1"/>
  <c r="I1209" i="98"/>
  <c r="I1210" i="98" s="1"/>
  <c r="I951" i="98"/>
  <c r="I952" i="98" s="1"/>
  <c r="I953" i="98" s="1"/>
  <c r="I954" i="98" s="1"/>
  <c r="I835" i="98"/>
  <c r="I836" i="98" s="1"/>
  <c r="I837" i="98" s="1"/>
  <c r="I838" i="98" s="1"/>
  <c r="I839" i="98" s="1"/>
  <c r="I1279" i="98"/>
  <c r="I1280" i="98" s="1"/>
  <c r="I1281" i="98" s="1"/>
  <c r="I1282" i="98" s="1"/>
  <c r="I1283" i="98" s="1"/>
  <c r="I1362" i="98"/>
  <c r="I1363" i="98" s="1"/>
  <c r="I1364" i="98" s="1"/>
  <c r="I1031" i="98"/>
  <c r="I1032" i="98" s="1"/>
  <c r="I1033" i="98" s="1"/>
  <c r="I1034" i="98" s="1"/>
  <c r="I1035" i="98" s="1"/>
  <c r="I1036" i="98" s="1"/>
  <c r="I1037" i="98" s="1"/>
  <c r="I856" i="98"/>
  <c r="I857" i="98" s="1"/>
  <c r="I858" i="98" s="1"/>
  <c r="I859" i="98" s="1"/>
  <c r="I860" i="98" s="1"/>
  <c r="I861" i="98" s="1"/>
  <c r="I862" i="98" s="1"/>
  <c r="L986" i="98"/>
  <c r="L1380" i="98"/>
  <c r="I1389" i="98"/>
  <c r="I1390" i="98" s="1"/>
  <c r="I2669" i="42"/>
  <c r="J2669" i="42" s="1"/>
  <c r="I377" i="98"/>
  <c r="I378" i="98" s="1"/>
  <c r="I379" i="98" s="1"/>
  <c r="I927" i="98"/>
  <c r="I928" i="98" s="1"/>
  <c r="I2992" i="42"/>
  <c r="J2992" i="42" s="1"/>
  <c r="H81" i="7"/>
  <c r="I81" i="7" s="1"/>
  <c r="F9" i="87"/>
  <c r="F12" i="87" s="1"/>
  <c r="H55" i="102"/>
  <c r="H53" i="102" s="1"/>
  <c r="I53" i="102" s="1"/>
  <c r="H11" i="12"/>
  <c r="I11" i="12" s="1"/>
  <c r="I2273" i="42"/>
  <c r="J2273" i="42" s="1"/>
  <c r="H86" i="7"/>
  <c r="I86" i="7" s="1"/>
  <c r="I2279" i="42"/>
  <c r="J2279" i="42" s="1"/>
  <c r="E9" i="87"/>
  <c r="C12" i="87"/>
  <c r="E12" i="87" s="1"/>
  <c r="I60" i="102"/>
  <c r="D67" i="93"/>
  <c r="G67" i="93" s="1"/>
  <c r="J67" i="93" s="1"/>
  <c r="M67" i="93" s="1"/>
  <c r="T67" i="93" s="1"/>
  <c r="G66" i="93"/>
  <c r="J66" i="93" s="1"/>
  <c r="M66" i="93" s="1"/>
  <c r="T66" i="93" s="1"/>
  <c r="E67" i="93"/>
  <c r="H67" i="93" s="1"/>
  <c r="K67" i="93" s="1"/>
  <c r="N67" i="93" s="1"/>
  <c r="H66" i="93"/>
  <c r="K66" i="93" s="1"/>
  <c r="N66" i="93" s="1"/>
  <c r="I3380" i="98"/>
  <c r="I3381" i="98" s="1"/>
  <c r="F35" i="93"/>
  <c r="I35" i="93" s="1"/>
  <c r="L35" i="93" s="1"/>
  <c r="C36" i="93"/>
  <c r="H65" i="105"/>
  <c r="H66" i="105" s="1"/>
  <c r="E248" i="99" s="1"/>
  <c r="F248" i="99" s="1"/>
  <c r="L2365" i="98"/>
  <c r="I2371" i="98"/>
  <c r="I2372" i="98" s="1"/>
  <c r="J16" i="86"/>
  <c r="I2071" i="42"/>
  <c r="J2071" i="42" s="1"/>
  <c r="L2068" i="42" s="1"/>
  <c r="I2555" i="98"/>
  <c r="I2556" i="98" s="1"/>
  <c r="I2557" i="98" s="1"/>
  <c r="I2558" i="98" s="1"/>
  <c r="I2559" i="98" s="1"/>
  <c r="I431" i="103"/>
  <c r="I432" i="103" s="1"/>
  <c r="H39" i="102"/>
  <c r="H28" i="12"/>
  <c r="D57" i="93"/>
  <c r="G57" i="93" s="1"/>
  <c r="J57" i="93" s="1"/>
  <c r="M57" i="93" s="1"/>
  <c r="G56" i="93"/>
  <c r="J56" i="93" s="1"/>
  <c r="M56" i="93" s="1"/>
  <c r="I1730" i="98"/>
  <c r="I1731" i="98" s="1"/>
  <c r="H91" i="105"/>
  <c r="H92" i="105" s="1"/>
  <c r="H93" i="105" s="1"/>
  <c r="H94" i="105" s="1"/>
  <c r="H95" i="105" s="1"/>
  <c r="H96" i="105" s="1"/>
  <c r="H97" i="105" s="1"/>
  <c r="K83" i="105"/>
  <c r="H81" i="105"/>
  <c r="H82" i="105" s="1"/>
  <c r="C11" i="87"/>
  <c r="E11" i="87" s="1"/>
  <c r="L11" i="87" s="1"/>
  <c r="E10" i="87"/>
  <c r="I37" i="102"/>
  <c r="H742" i="103" s="1"/>
  <c r="I742" i="103" s="1"/>
  <c r="H743" i="103" s="1"/>
  <c r="I743" i="103" s="1"/>
  <c r="I741" i="103" s="1"/>
  <c r="I1652" i="98"/>
  <c r="I1653" i="98" s="1"/>
  <c r="I1654" i="98" s="1"/>
  <c r="J1309" i="103"/>
  <c r="I1324" i="103"/>
  <c r="I1325" i="103" s="1"/>
  <c r="I1326" i="103" s="1"/>
  <c r="I1327" i="103" s="1"/>
  <c r="I1328" i="103" s="1"/>
  <c r="I1329" i="103" s="1"/>
  <c r="I1330" i="103" s="1"/>
  <c r="J52" i="103"/>
  <c r="I67" i="103"/>
  <c r="I68" i="103" s="1"/>
  <c r="I69" i="103" s="1"/>
  <c r="I70" i="103" s="1"/>
  <c r="I71" i="103" s="1"/>
  <c r="I72" i="103" s="1"/>
  <c r="I73" i="103" s="1"/>
  <c r="I209" i="103"/>
  <c r="I210" i="103" s="1"/>
  <c r="I1064" i="98"/>
  <c r="I1065" i="98" s="1"/>
  <c r="I1160" i="98"/>
  <c r="I1161" i="98" s="1"/>
  <c r="H47" i="105"/>
  <c r="H48" i="105" s="1"/>
  <c r="H49" i="105" s="1"/>
  <c r="H32" i="105"/>
  <c r="H33" i="105" s="1"/>
  <c r="H34" i="105" s="1"/>
  <c r="H112" i="105"/>
  <c r="H113" i="105" s="1"/>
  <c r="H114" i="105" s="1"/>
  <c r="I88" i="103"/>
  <c r="I89" i="103" s="1"/>
  <c r="I90" i="103" s="1"/>
  <c r="I91" i="103" s="1"/>
  <c r="I92" i="103" s="1"/>
  <c r="I1010" i="98"/>
  <c r="I1011" i="98" s="1"/>
  <c r="I779" i="98"/>
  <c r="I780" i="98" s="1"/>
  <c r="I313" i="103"/>
  <c r="I314" i="103" s="1"/>
  <c r="I315" i="103" s="1"/>
  <c r="I3242" i="98"/>
  <c r="I3243" i="98" s="1"/>
  <c r="I175" i="98"/>
  <c r="I176" i="98" s="1"/>
  <c r="I177" i="98" s="1"/>
  <c r="I2027" i="98"/>
  <c r="I2028" i="98" s="1"/>
  <c r="I2029" i="98" s="1"/>
  <c r="I2030" i="98" s="1"/>
  <c r="L3333" i="98"/>
  <c r="I541" i="98"/>
  <c r="I542" i="98" s="1"/>
  <c r="I1485" i="103"/>
  <c r="I1486" i="103" s="1"/>
  <c r="I1487" i="103" s="1"/>
  <c r="I1488" i="103" s="1"/>
  <c r="K355" i="104"/>
  <c r="I953" i="103"/>
  <c r="I954" i="103" s="1"/>
  <c r="I955" i="103" s="1"/>
  <c r="I956" i="103" s="1"/>
  <c r="I502" i="98"/>
  <c r="I503" i="98" s="1"/>
  <c r="I504" i="98" s="1"/>
  <c r="I505" i="98" s="1"/>
  <c r="I506" i="98" s="1"/>
  <c r="I1664" i="98"/>
  <c r="I1665" i="98" s="1"/>
  <c r="I1666" i="98" s="1"/>
  <c r="I633" i="103"/>
  <c r="I634" i="103" s="1"/>
  <c r="I635" i="103" s="1"/>
  <c r="K258" i="104"/>
  <c r="L258" i="104" s="1"/>
  <c r="K196" i="104"/>
  <c r="L196" i="104" s="1"/>
  <c r="K249" i="104"/>
  <c r="L249" i="104" s="1"/>
  <c r="I2837" i="98"/>
  <c r="I2838" i="98" s="1"/>
  <c r="I2839" i="98" s="1"/>
  <c r="I2840" i="98" s="1"/>
  <c r="E163" i="99"/>
  <c r="F163" i="99" s="1"/>
  <c r="K295" i="104"/>
  <c r="L295" i="104" s="1"/>
  <c r="I2678" i="98"/>
  <c r="I2679" i="98" s="1"/>
  <c r="I906" i="98"/>
  <c r="I907" i="98" s="1"/>
  <c r="I908" i="98" s="1"/>
  <c r="I909" i="98" s="1"/>
  <c r="I339" i="98"/>
  <c r="I340" i="98" s="1"/>
  <c r="I341" i="98" s="1"/>
  <c r="I3315" i="98"/>
  <c r="I3316" i="98" s="1"/>
  <c r="I3317" i="98" s="1"/>
  <c r="I2893" i="98"/>
  <c r="I2894" i="98" s="1"/>
  <c r="I1262" i="98"/>
  <c r="I1263" i="98" s="1"/>
  <c r="I3226" i="98"/>
  <c r="I3227" i="98" s="1"/>
  <c r="I1681" i="98"/>
  <c r="I1682" i="98" s="1"/>
  <c r="I1471" i="103"/>
  <c r="I1472" i="103" s="1"/>
  <c r="I1251" i="98"/>
  <c r="I1252" i="98" s="1"/>
  <c r="I1376" i="98"/>
  <c r="I1377" i="98" s="1"/>
  <c r="I3283" i="98"/>
  <c r="I3284" i="98" s="1"/>
  <c r="I3285" i="98" s="1"/>
  <c r="I1453" i="103"/>
  <c r="J13" i="49"/>
  <c r="L13" i="49" s="1"/>
  <c r="M13" i="49" s="1"/>
  <c r="I33" i="103"/>
  <c r="I34" i="103" s="1"/>
  <c r="I916" i="103"/>
  <c r="I917" i="103" s="1"/>
  <c r="I918" i="103" s="1"/>
  <c r="I2819" i="98"/>
  <c r="I2820" i="98" s="1"/>
  <c r="I2821" i="98" s="1"/>
  <c r="I981" i="98"/>
  <c r="I982" i="98" s="1"/>
  <c r="I983" i="98" s="1"/>
  <c r="E150" i="99"/>
  <c r="F150" i="99" s="1"/>
  <c r="I614" i="103"/>
  <c r="I615" i="103" s="1"/>
  <c r="I616" i="103" s="1"/>
  <c r="I617" i="103" s="1"/>
  <c r="I718" i="103"/>
  <c r="I719" i="103" s="1"/>
  <c r="I720" i="103" s="1"/>
  <c r="I721" i="103" s="1"/>
  <c r="I3133" i="98"/>
  <c r="I3134" i="98" s="1"/>
  <c r="I3135" i="98" s="1"/>
  <c r="I3136" i="98" s="1"/>
  <c r="I3137" i="98" s="1"/>
  <c r="H69" i="102"/>
  <c r="I31" i="12"/>
  <c r="H37" i="103"/>
  <c r="I37" i="103" s="1"/>
  <c r="I36" i="103" s="1"/>
  <c r="H31" i="12"/>
  <c r="C93" i="93"/>
  <c r="F93" i="93" s="1"/>
  <c r="I93" i="93" s="1"/>
  <c r="L93" i="93" s="1"/>
  <c r="F92" i="93"/>
  <c r="I92" i="93" s="1"/>
  <c r="L92" i="93" s="1"/>
  <c r="I251" i="98"/>
  <c r="I252" i="98" s="1"/>
  <c r="I279" i="103"/>
  <c r="K1847" i="42"/>
  <c r="L1841" i="42"/>
  <c r="I513" i="103"/>
  <c r="I514" i="103" s="1"/>
  <c r="H77" i="93"/>
  <c r="K77" i="93" s="1"/>
  <c r="N77" i="93" s="1"/>
  <c r="F56" i="93"/>
  <c r="I56" i="93" s="1"/>
  <c r="L56" i="93" s="1"/>
  <c r="T56" i="93" s="1"/>
  <c r="C57" i="93"/>
  <c r="I1377" i="103"/>
  <c r="I1378" i="103" s="1"/>
  <c r="J2293" i="98"/>
  <c r="I2306" i="98"/>
  <c r="I2307" i="98" s="1"/>
  <c r="J1613" i="98"/>
  <c r="I1623" i="98"/>
  <c r="I1624" i="98" s="1"/>
  <c r="J2315" i="98"/>
  <c r="I2328" i="98"/>
  <c r="I2329" i="98" s="1"/>
  <c r="I1410" i="98"/>
  <c r="I1411" i="98" s="1"/>
  <c r="I2693" i="98"/>
  <c r="I2694" i="98" s="1"/>
  <c r="J2144" i="98"/>
  <c r="I2154" i="98"/>
  <c r="I2155" i="98" s="1"/>
  <c r="J1309" i="98"/>
  <c r="I1321" i="98"/>
  <c r="I1322" i="98" s="1"/>
  <c r="I1342" i="98"/>
  <c r="I1343" i="98" s="1"/>
  <c r="J1330" i="98"/>
  <c r="I2361" i="98"/>
  <c r="I2362" i="98" s="1"/>
  <c r="I446" i="98"/>
  <c r="I447" i="98" s="1"/>
  <c r="J435" i="98"/>
  <c r="J2231" i="98"/>
  <c r="I2244" i="98"/>
  <c r="I2245" i="98" s="1"/>
  <c r="J2527" i="98"/>
  <c r="I2540" i="98"/>
  <c r="I2541" i="98" s="1"/>
  <c r="I3070" i="98"/>
  <c r="I3071" i="98" s="1"/>
  <c r="J3057" i="98"/>
  <c r="J1683" i="98"/>
  <c r="I1712" i="98"/>
  <c r="I1713" i="98" s="1"/>
  <c r="I388" i="103"/>
  <c r="I389" i="103" s="1"/>
  <c r="I931" i="103"/>
  <c r="I932" i="103" s="1"/>
  <c r="I1744" i="98"/>
  <c r="I1745" i="98" s="1"/>
  <c r="I2571" i="98"/>
  <c r="I2572" i="98" s="1"/>
  <c r="I150" i="98"/>
  <c r="I151" i="98" s="1"/>
  <c r="I1813" i="98"/>
  <c r="I1814" i="98" s="1"/>
  <c r="J1800" i="98"/>
  <c r="J2505" i="98"/>
  <c r="I2518" i="98"/>
  <c r="I2519" i="98" s="1"/>
  <c r="J2033" i="98"/>
  <c r="I2048" i="98"/>
  <c r="I2049" i="98" s="1"/>
  <c r="J116" i="98"/>
  <c r="I130" i="98"/>
  <c r="I131" i="98" s="1"/>
  <c r="J1482" i="98"/>
  <c r="I1494" i="98"/>
  <c r="I1495" i="98" s="1"/>
  <c r="J2937" i="98"/>
  <c r="I2947" i="98"/>
  <c r="I2948" i="98" s="1"/>
  <c r="J1333" i="103"/>
  <c r="I1343" i="103"/>
  <c r="I1344" i="103" s="1"/>
  <c r="I1300" i="98"/>
  <c r="I1301" i="98" s="1"/>
  <c r="J1288" i="98"/>
  <c r="I3024" i="98"/>
  <c r="I3025" i="98" s="1"/>
  <c r="J3012" i="98"/>
  <c r="I390" i="98"/>
  <c r="I391" i="98" s="1"/>
  <c r="J382" i="98"/>
  <c r="J3079" i="98"/>
  <c r="I3092" i="98"/>
  <c r="I3093" i="98" s="1"/>
  <c r="J2253" i="98"/>
  <c r="I2267" i="98"/>
  <c r="I2268" i="98" s="1"/>
  <c r="I619" i="98"/>
  <c r="I620" i="98" s="1"/>
  <c r="J614" i="98"/>
  <c r="J112" i="103"/>
  <c r="I124" i="103"/>
  <c r="I125" i="103" s="1"/>
  <c r="I1939" i="98"/>
  <c r="I1940" i="98" s="1"/>
  <c r="J217" i="98"/>
  <c r="I225" i="98"/>
  <c r="I226" i="98" s="1"/>
  <c r="I1195" i="98"/>
  <c r="I1196" i="98" s="1"/>
  <c r="I1867" i="98"/>
  <c r="I1868" i="98" s="1"/>
  <c r="I523" i="98"/>
  <c r="I524" i="98" s="1"/>
  <c r="I2349" i="98"/>
  <c r="I2350" i="98" s="1"/>
  <c r="I1393" i="103"/>
  <c r="I1394" i="103" s="1"/>
  <c r="I1012" i="103"/>
  <c r="I1013" i="103" s="1"/>
  <c r="I1014" i="103" s="1"/>
  <c r="I1042" i="103"/>
  <c r="I1043" i="103" s="1"/>
  <c r="I1044" i="103" s="1"/>
  <c r="I1027" i="103"/>
  <c r="I1028" i="103" s="1"/>
  <c r="I1029" i="103" s="1"/>
  <c r="I2432" i="98"/>
  <c r="I2433" i="98" s="1"/>
  <c r="J2424" i="98"/>
  <c r="J2402" i="98"/>
  <c r="I2415" i="98"/>
  <c r="I2416" i="98" s="1"/>
  <c r="J475" i="98"/>
  <c r="I485" i="98"/>
  <c r="I1440" i="103"/>
  <c r="I1441" i="103" s="1"/>
  <c r="I1116" i="98"/>
  <c r="I1117" i="98" s="1"/>
  <c r="I142" i="103"/>
  <c r="I143" i="103" s="1"/>
  <c r="I1720" i="42"/>
  <c r="J1720" i="42" s="1"/>
  <c r="J1718" i="42" s="1"/>
  <c r="K1717" i="42" s="1"/>
  <c r="I300" i="98"/>
  <c r="I301" i="98" s="1"/>
  <c r="I576" i="103"/>
  <c r="I577" i="103" s="1"/>
  <c r="J568" i="103"/>
  <c r="I2264" i="42"/>
  <c r="J2264" i="42" s="1"/>
  <c r="J2262" i="42" s="1"/>
  <c r="K2261" i="42" s="1"/>
  <c r="H9" i="87"/>
  <c r="L9" i="87" s="1"/>
  <c r="I647" i="103"/>
  <c r="I648" i="103" s="1"/>
  <c r="I649" i="103" s="1"/>
  <c r="I2008" i="98"/>
  <c r="I2009" i="98" s="1"/>
  <c r="A17" i="42"/>
  <c r="A18" i="42" s="1"/>
  <c r="N18" i="42" s="1"/>
  <c r="P18" i="42" s="1"/>
  <c r="Q382" i="66" s="1"/>
  <c r="I1878" i="98"/>
  <c r="I1879" i="98" s="1"/>
  <c r="I997" i="103"/>
  <c r="I998" i="103" s="1"/>
  <c r="I999" i="103" s="1"/>
  <c r="J865" i="98"/>
  <c r="I881" i="98"/>
  <c r="I882" i="98" s="1"/>
  <c r="J455" i="98"/>
  <c r="I466" i="98"/>
  <c r="I467" i="98" s="1"/>
  <c r="I793" i="98"/>
  <c r="I1475" i="98"/>
  <c r="I1476" i="98" s="1"/>
  <c r="H2208" i="98"/>
  <c r="I2208" i="98" s="1"/>
  <c r="I2206" i="98" s="1"/>
  <c r="I3118" i="98"/>
  <c r="I3119" i="98" s="1"/>
  <c r="J3114" i="98"/>
  <c r="I2064" i="98"/>
  <c r="I2065" i="98" s="1"/>
  <c r="J195" i="98"/>
  <c r="I208" i="98"/>
  <c r="I209" i="98" s="1"/>
  <c r="J1560" i="98"/>
  <c r="I1572" i="98"/>
  <c r="I1573" i="98" s="1"/>
  <c r="I1174" i="98"/>
  <c r="I1175" i="98" s="1"/>
  <c r="J1162" i="98"/>
  <c r="E182" i="99"/>
  <c r="F182" i="99" s="1"/>
  <c r="I1535" i="42"/>
  <c r="J1535" i="42" s="1"/>
  <c r="J1533" i="42" s="1"/>
  <c r="K1532" i="42" s="1"/>
  <c r="I2783" i="42"/>
  <c r="J2783" i="42" s="1"/>
  <c r="J2781" i="42" s="1"/>
  <c r="K2780" i="42" s="1"/>
  <c r="I1539" i="42"/>
  <c r="J1539" i="42" s="1"/>
  <c r="J1537" i="42" s="1"/>
  <c r="K1536" i="42" s="1"/>
  <c r="I799" i="103"/>
  <c r="I800" i="103" s="1"/>
  <c r="I801" i="103" s="1"/>
  <c r="I1082" i="98"/>
  <c r="I1083" i="98" s="1"/>
  <c r="I486" i="103"/>
  <c r="I487" i="103" s="1"/>
  <c r="I1120" i="103"/>
  <c r="I1121" i="103" s="1"/>
  <c r="I318" i="98"/>
  <c r="I319" i="98" s="1"/>
  <c r="I356" i="98"/>
  <c r="I357" i="98" s="1"/>
  <c r="I2088" i="98"/>
  <c r="I2089" i="98" s="1"/>
  <c r="I1899" i="98"/>
  <c r="I1900" i="98" s="1"/>
  <c r="I188" i="98"/>
  <c r="I189" i="98" s="1"/>
  <c r="I190" i="98" s="1"/>
  <c r="I1057" i="103"/>
  <c r="I1058" i="103" s="1"/>
  <c r="I1059" i="103" s="1"/>
  <c r="I1072" i="103"/>
  <c r="I1073" i="103" s="1"/>
  <c r="I967" i="103"/>
  <c r="I968" i="103" s="1"/>
  <c r="I18" i="96"/>
  <c r="I607" i="98"/>
  <c r="I608" i="98" s="1"/>
  <c r="I609" i="98" s="1"/>
  <c r="I1553" i="98"/>
  <c r="I1554" i="98" s="1"/>
  <c r="I1555" i="98" s="1"/>
  <c r="J2380" i="98"/>
  <c r="I2393" i="98"/>
  <c r="I2394" i="98" s="1"/>
  <c r="H2476" i="98"/>
  <c r="I2476" i="98" s="1"/>
  <c r="I2474" i="98" s="1"/>
  <c r="H2463" i="98"/>
  <c r="I2463" i="98" s="1"/>
  <c r="I2461" i="98" s="1"/>
  <c r="J149" i="103"/>
  <c r="I159" i="103"/>
  <c r="I160" i="103" s="1"/>
  <c r="N16" i="42"/>
  <c r="P16" i="42" s="1"/>
  <c r="Q248" i="66" s="1"/>
  <c r="I418" i="103"/>
  <c r="I419" i="103" s="1"/>
  <c r="I420" i="103" s="1"/>
  <c r="I74" i="98"/>
  <c r="I75" i="98" s="1"/>
  <c r="I1193" i="103"/>
  <c r="I1194" i="103" s="1"/>
  <c r="I1195" i="103" s="1"/>
  <c r="I571" i="98"/>
  <c r="I572" i="98" s="1"/>
  <c r="I1457" i="98"/>
  <c r="I1458" i="98" s="1"/>
  <c r="I1459" i="98" s="1"/>
  <c r="I589" i="98"/>
  <c r="I590" i="98" s="1"/>
  <c r="I1606" i="98"/>
  <c r="I1607" i="98" s="1"/>
  <c r="I1608" i="98" s="1"/>
  <c r="I3209" i="98"/>
  <c r="I3210" i="98" s="1"/>
  <c r="I3211" i="98" s="1"/>
  <c r="I1724" i="42"/>
  <c r="J1724" i="42" s="1"/>
  <c r="J1722" i="42" s="1"/>
  <c r="K1721" i="42" s="1"/>
  <c r="I1223" i="103"/>
  <c r="I1224" i="103" s="1"/>
  <c r="I1225" i="103" s="1"/>
  <c r="I1777" i="98"/>
  <c r="I1778" i="98" s="1"/>
  <c r="I1533" i="98"/>
  <c r="I1534" i="98" s="1"/>
  <c r="I1793" i="98"/>
  <c r="I1794" i="98" s="1"/>
  <c r="I1795" i="98" s="1"/>
  <c r="I1132" i="98"/>
  <c r="I1133" i="98" s="1"/>
  <c r="J1120" i="98"/>
  <c r="I2907" i="98"/>
  <c r="I2908" i="98" s="1"/>
  <c r="I982" i="103"/>
  <c r="I983" i="103" s="1"/>
  <c r="I984" i="103" s="1"/>
  <c r="I2168" i="98"/>
  <c r="I2169" i="98" s="1"/>
  <c r="I2170" i="98" s="1"/>
  <c r="H2195" i="98"/>
  <c r="I2195" i="98" s="1"/>
  <c r="I2193" i="98" s="1"/>
  <c r="H2221" i="98"/>
  <c r="I2221" i="98" s="1"/>
  <c r="I2219" i="98" s="1"/>
  <c r="I3105" i="98"/>
  <c r="I3106" i="98" s="1"/>
  <c r="J3101" i="98"/>
  <c r="I2872" i="98"/>
  <c r="I2873" i="98" s="1"/>
  <c r="J2862" i="98"/>
  <c r="J2843" i="98"/>
  <c r="I2853" i="98"/>
  <c r="I2854" i="98" s="1"/>
  <c r="J2441" i="98"/>
  <c r="I2451" i="98"/>
  <c r="I2452" i="98" s="1"/>
  <c r="I1850" i="98"/>
  <c r="I1851" i="98" s="1"/>
  <c r="J2044" i="42"/>
  <c r="K2043" i="42" s="1"/>
  <c r="H35" i="93"/>
  <c r="K35" i="93" s="1"/>
  <c r="N35" i="93" s="1"/>
  <c r="H12" i="85" s="1"/>
  <c r="E36" i="93"/>
  <c r="A88" i="7"/>
  <c r="A94" i="7" s="1"/>
  <c r="M12" i="86"/>
  <c r="O12" i="86"/>
  <c r="I1531" i="42"/>
  <c r="J1531" i="42" s="1"/>
  <c r="J1529" i="42" s="1"/>
  <c r="K1528" i="42" s="1"/>
  <c r="I1543" i="42"/>
  <c r="J1543" i="42" s="1"/>
  <c r="J1541" i="42" s="1"/>
  <c r="K1540" i="42" s="1"/>
  <c r="I2787" i="42"/>
  <c r="J2787" i="42" s="1"/>
  <c r="J2785" i="42" s="1"/>
  <c r="K2784" i="42" s="1"/>
  <c r="I1441" i="98"/>
  <c r="I1442" i="98" s="1"/>
  <c r="I1443" i="98" s="1"/>
  <c r="I93" i="98"/>
  <c r="I94" i="98" s="1"/>
  <c r="I1513" i="98"/>
  <c r="I1514" i="98" s="1"/>
  <c r="I220" i="103"/>
  <c r="I221" i="103" s="1"/>
  <c r="I293" i="103"/>
  <c r="I1223" i="98"/>
  <c r="I1224" i="98" s="1"/>
  <c r="I3010" i="98"/>
  <c r="I3011" i="98" s="1"/>
  <c r="I905" i="103"/>
  <c r="I906" i="103" s="1"/>
  <c r="I1038" i="98" l="1"/>
  <c r="I1039" i="98"/>
  <c r="E143" i="99" s="1"/>
  <c r="F143" i="99" s="1"/>
  <c r="I414" i="98"/>
  <c r="I415" i="98"/>
  <c r="L10" i="87"/>
  <c r="N10" i="87" s="1"/>
  <c r="H12" i="12"/>
  <c r="L45" i="98"/>
  <c r="I53" i="98"/>
  <c r="I54" i="98" s="1"/>
  <c r="I55" i="98" s="1"/>
  <c r="I56" i="98" s="1"/>
  <c r="I57" i="98" s="1"/>
  <c r="I58" i="98" s="1"/>
  <c r="I59" i="98" s="1"/>
  <c r="I656" i="98"/>
  <c r="I55" i="102"/>
  <c r="H662" i="103" s="1"/>
  <c r="I662" i="103" s="1"/>
  <c r="H115" i="105"/>
  <c r="H116" i="105"/>
  <c r="H50" i="105"/>
  <c r="H51" i="105" s="1"/>
  <c r="E247" i="99" s="1"/>
  <c r="F247" i="99" s="1"/>
  <c r="K400" i="104"/>
  <c r="L400" i="104" s="1"/>
  <c r="I316" i="103"/>
  <c r="I317" i="103" s="1"/>
  <c r="I1331" i="103"/>
  <c r="I1332" i="103" s="1"/>
  <c r="I863" i="98"/>
  <c r="I864" i="98" s="1"/>
  <c r="E38" i="99"/>
  <c r="F38" i="99" s="1"/>
  <c r="K263" i="104"/>
  <c r="L263" i="104" s="1"/>
  <c r="I955" i="98"/>
  <c r="I956" i="98" s="1"/>
  <c r="I957" i="98" s="1"/>
  <c r="I3318" i="98"/>
  <c r="I3319" i="98" s="1"/>
  <c r="I1365" i="98"/>
  <c r="I1366" i="98" s="1"/>
  <c r="K157" i="104"/>
  <c r="L157" i="104" s="1"/>
  <c r="I1391" i="98"/>
  <c r="I1392" i="98" s="1"/>
  <c r="I1393" i="98" s="1"/>
  <c r="I1394" i="98" s="1"/>
  <c r="I1395" i="98" s="1"/>
  <c r="K252" i="104"/>
  <c r="L252" i="104" s="1"/>
  <c r="I929" i="98"/>
  <c r="I930" i="98" s="1"/>
  <c r="I931" i="98" s="1"/>
  <c r="I932" i="98" s="1"/>
  <c r="I933" i="98" s="1"/>
  <c r="K120" i="104"/>
  <c r="K103" i="104"/>
  <c r="K36" i="104"/>
  <c r="K158" i="104"/>
  <c r="L158" i="104" s="1"/>
  <c r="K121" i="104"/>
  <c r="K104" i="104"/>
  <c r="K37" i="104"/>
  <c r="K119" i="104"/>
  <c r="K102" i="104"/>
  <c r="K35" i="104"/>
  <c r="I1655" i="98"/>
  <c r="I1656" i="98" s="1"/>
  <c r="H2986" i="98"/>
  <c r="I2986" i="98" s="1"/>
  <c r="H2642" i="98"/>
  <c r="I2642" i="98" s="1"/>
  <c r="I2560" i="98"/>
  <c r="I2561" i="98" s="1"/>
  <c r="F12" i="85"/>
  <c r="T35" i="93"/>
  <c r="I1732" i="98"/>
  <c r="I1733" i="98" s="1"/>
  <c r="I1734" i="98" s="1"/>
  <c r="I28" i="12"/>
  <c r="H29" i="12"/>
  <c r="I29" i="12" s="1"/>
  <c r="I16" i="12" s="1"/>
  <c r="I433" i="103"/>
  <c r="I434" i="103" s="1"/>
  <c r="I435" i="103" s="1"/>
  <c r="I2373" i="98"/>
  <c r="I2374" i="98" s="1"/>
  <c r="I2375" i="98" s="1"/>
  <c r="I2376" i="98" s="1"/>
  <c r="I2377" i="98" s="1"/>
  <c r="I3382" i="98"/>
  <c r="I3383" i="98" s="1"/>
  <c r="I3384" i="98" s="1"/>
  <c r="N11" i="87"/>
  <c r="M11" i="87"/>
  <c r="O11" i="87"/>
  <c r="H98" i="105"/>
  <c r="H99" i="105" s="1"/>
  <c r="I39" i="102"/>
  <c r="H38" i="102"/>
  <c r="I38" i="102" s="1"/>
  <c r="O16" i="86"/>
  <c r="P16" i="86" s="1"/>
  <c r="M16" i="86"/>
  <c r="F36" i="93"/>
  <c r="I36" i="93" s="1"/>
  <c r="L36" i="93" s="1"/>
  <c r="T36" i="93" s="1"/>
  <c r="C37" i="93"/>
  <c r="E39" i="99"/>
  <c r="F39" i="99" s="1"/>
  <c r="I2031" i="98"/>
  <c r="I2032" i="98" s="1"/>
  <c r="H2109" i="98"/>
  <c r="I2109" i="98" s="1"/>
  <c r="I2108" i="98" s="1"/>
  <c r="H2575" i="98"/>
  <c r="I2575" i="98" s="1"/>
  <c r="I2574" i="98" s="1"/>
  <c r="H522" i="103"/>
  <c r="I522" i="103" s="1"/>
  <c r="I521" i="103" s="1"/>
  <c r="H880" i="103"/>
  <c r="I880" i="103" s="1"/>
  <c r="H440" i="103"/>
  <c r="I440" i="103" s="1"/>
  <c r="I439" i="103" s="1"/>
  <c r="H2959" i="98"/>
  <c r="I2959" i="98" s="1"/>
  <c r="H35" i="105"/>
  <c r="I74" i="103"/>
  <c r="I75" i="103" s="1"/>
  <c r="I93" i="103"/>
  <c r="I94" i="103" s="1"/>
  <c r="J35" i="103"/>
  <c r="I43" i="103"/>
  <c r="I44" i="103" s="1"/>
  <c r="K78" i="104"/>
  <c r="L78" i="104" s="1"/>
  <c r="K338" i="104"/>
  <c r="I507" i="98"/>
  <c r="I508" i="98" s="1"/>
  <c r="I1667" i="98"/>
  <c r="I1668" i="98" s="1"/>
  <c r="E158" i="99" s="1"/>
  <c r="K365" i="104"/>
  <c r="K390" i="104"/>
  <c r="L390" i="104" s="1"/>
  <c r="K376" i="104"/>
  <c r="K333" i="104"/>
  <c r="I591" i="98"/>
  <c r="I592" i="98" s="1"/>
  <c r="I593" i="98" s="1"/>
  <c r="E85" i="99"/>
  <c r="F85" i="99" s="1"/>
  <c r="I320" i="98"/>
  <c r="I321" i="98" s="1"/>
  <c r="I322" i="98" s="1"/>
  <c r="I95" i="98"/>
  <c r="I96" i="98" s="1"/>
  <c r="I97" i="98" s="1"/>
  <c r="E149" i="99"/>
  <c r="F149" i="99" s="1"/>
  <c r="K284" i="104"/>
  <c r="L284" i="104" s="1"/>
  <c r="K152" i="104"/>
  <c r="L152" i="104" s="1"/>
  <c r="I2680" i="98"/>
  <c r="I2681" i="98" s="1"/>
  <c r="I1515" i="98"/>
  <c r="I1516" i="98" s="1"/>
  <c r="I1517" i="98" s="1"/>
  <c r="I1535" i="98"/>
  <c r="I1536" i="98" s="1"/>
  <c r="I1537" i="98" s="1"/>
  <c r="I573" i="98"/>
  <c r="I574" i="98" s="1"/>
  <c r="I575" i="98" s="1"/>
  <c r="K156" i="104"/>
  <c r="L156" i="104" s="1"/>
  <c r="K255" i="104"/>
  <c r="L255" i="104" s="1"/>
  <c r="K253" i="104" s="1"/>
  <c r="I2010" i="98"/>
  <c r="I2011" i="98" s="1"/>
  <c r="I2012" i="98" s="1"/>
  <c r="I722" i="103"/>
  <c r="I723" i="103" s="1"/>
  <c r="I618" i="103"/>
  <c r="I619" i="103" s="1"/>
  <c r="I1378" i="98"/>
  <c r="I1379" i="98" s="1"/>
  <c r="I3228" i="98"/>
  <c r="I3229" i="98" s="1"/>
  <c r="I253" i="98"/>
  <c r="I254" i="98" s="1"/>
  <c r="I3286" i="98"/>
  <c r="I3287" i="98" s="1"/>
  <c r="I1264" i="98"/>
  <c r="I1265" i="98" s="1"/>
  <c r="I1880" i="98"/>
  <c r="I1881" i="98" s="1"/>
  <c r="I1882" i="98" s="1"/>
  <c r="I515" i="103"/>
  <c r="I516" i="103" s="1"/>
  <c r="I517" i="103" s="1"/>
  <c r="I280" i="103"/>
  <c r="I281" i="103" s="1"/>
  <c r="I2054" i="42"/>
  <c r="J2054" i="42" s="1"/>
  <c r="J2053" i="42" s="1"/>
  <c r="K2052" i="42" s="1"/>
  <c r="I3186" i="42"/>
  <c r="J3186" i="42" s="1"/>
  <c r="J3185" i="42" s="1"/>
  <c r="K3184" i="42" s="1"/>
  <c r="I2844" i="42"/>
  <c r="J2844" i="42" s="1"/>
  <c r="J2843" i="42" s="1"/>
  <c r="K2842" i="42" s="1"/>
  <c r="I131" i="42"/>
  <c r="J131" i="42" s="1"/>
  <c r="J130" i="42" s="1"/>
  <c r="K129" i="42" s="1"/>
  <c r="I3138" i="98"/>
  <c r="I3139" i="98" s="1"/>
  <c r="I294" i="103"/>
  <c r="I295" i="103" s="1"/>
  <c r="I296" i="103" s="1"/>
  <c r="I297" i="103" s="1"/>
  <c r="I222" i="103"/>
  <c r="I223" i="103" s="1"/>
  <c r="I224" i="103" s="1"/>
  <c r="I76" i="98"/>
  <c r="I77" i="98" s="1"/>
  <c r="I78" i="98" s="1"/>
  <c r="I969" i="103"/>
  <c r="I970" i="103" s="1"/>
  <c r="I971" i="103" s="1"/>
  <c r="I1074" i="103"/>
  <c r="I1075" i="103" s="1"/>
  <c r="I1076" i="103" s="1"/>
  <c r="I1442" i="103"/>
  <c r="I1443" i="103" s="1"/>
  <c r="I1444" i="103" s="1"/>
  <c r="F57" i="93"/>
  <c r="I57" i="93" s="1"/>
  <c r="L57" i="93" s="1"/>
  <c r="T57" i="93" s="1"/>
  <c r="H490" i="103"/>
  <c r="I490" i="103" s="1"/>
  <c r="I489" i="103" s="1"/>
  <c r="I1454" i="103"/>
  <c r="I1455" i="103" s="1"/>
  <c r="I1456" i="103" s="1"/>
  <c r="I1457" i="103" s="1"/>
  <c r="I2209" i="98"/>
  <c r="I2210" i="98" s="1"/>
  <c r="J2205" i="98"/>
  <c r="I910" i="98"/>
  <c r="I911" i="98" s="1"/>
  <c r="I1045" i="103"/>
  <c r="I1046" i="103" s="1"/>
  <c r="I1015" i="103"/>
  <c r="I1016" i="103" s="1"/>
  <c r="I1489" i="103"/>
  <c r="I1490" i="103" s="1"/>
  <c r="I933" i="103"/>
  <c r="I934" i="103" s="1"/>
  <c r="I2363" i="98"/>
  <c r="I2364" i="98" s="1"/>
  <c r="I2196" i="98"/>
  <c r="I2197" i="98" s="1"/>
  <c r="J2192" i="98"/>
  <c r="I985" i="103"/>
  <c r="I986" i="103" s="1"/>
  <c r="I2841" i="98"/>
  <c r="I2842" i="98" s="1"/>
  <c r="I1460" i="98"/>
  <c r="I1461" i="98" s="1"/>
  <c r="I1196" i="103"/>
  <c r="I1197" i="103" s="1"/>
  <c r="I421" i="103"/>
  <c r="I422" i="103" s="1"/>
  <c r="J2473" i="98"/>
  <c r="I2477" i="98"/>
  <c r="I2478" i="98" s="1"/>
  <c r="I610" i="98"/>
  <c r="I611" i="98" s="1"/>
  <c r="I1060" i="103"/>
  <c r="I1061" i="103" s="1"/>
  <c r="I802" i="103"/>
  <c r="I803" i="103" s="1"/>
  <c r="I1444" i="98"/>
  <c r="I1445" i="98" s="1"/>
  <c r="I2222" i="98"/>
  <c r="I2223" i="98" s="1"/>
  <c r="J2218" i="98"/>
  <c r="I2171" i="98"/>
  <c r="I2172" i="98" s="1"/>
  <c r="I1226" i="103"/>
  <c r="I1227" i="103" s="1"/>
  <c r="I3212" i="98"/>
  <c r="I3213" i="98" s="1"/>
  <c r="I1609" i="98"/>
  <c r="I1610" i="98" s="1"/>
  <c r="I2464" i="98"/>
  <c r="I2465" i="98" s="1"/>
  <c r="J2460" i="98"/>
  <c r="I191" i="98"/>
  <c r="I192" i="98" s="1"/>
  <c r="I1000" i="103"/>
  <c r="I1001" i="103" s="1"/>
  <c r="I636" i="103"/>
  <c r="I637" i="103" s="1"/>
  <c r="I302" i="98"/>
  <c r="I303" i="98" s="1"/>
  <c r="I178" i="98"/>
  <c r="I179" i="98" s="1"/>
  <c r="I1118" i="98"/>
  <c r="I1119" i="98" s="1"/>
  <c r="I1030" i="103"/>
  <c r="I1031" i="103" s="1"/>
  <c r="I984" i="98"/>
  <c r="I985" i="98" s="1"/>
  <c r="I957" i="103"/>
  <c r="I958" i="103" s="1"/>
  <c r="I1941" i="98"/>
  <c r="I1942" i="98" s="1"/>
  <c r="I2822" i="98"/>
  <c r="I2823" i="98" s="1"/>
  <c r="Q12" i="86"/>
  <c r="P12" i="86"/>
  <c r="E37" i="93"/>
  <c r="H36" i="93"/>
  <c r="K36" i="93" s="1"/>
  <c r="N36" i="93" s="1"/>
  <c r="I1852" i="98"/>
  <c r="I1853" i="98" s="1"/>
  <c r="I2453" i="98"/>
  <c r="I2454" i="98" s="1"/>
  <c r="I2855" i="98"/>
  <c r="I2856" i="98" s="1"/>
  <c r="I1368" i="42"/>
  <c r="J1368" i="42" s="1"/>
  <c r="I2167" i="42"/>
  <c r="J2167" i="42" s="1"/>
  <c r="I1779" i="98"/>
  <c r="I161" i="103"/>
  <c r="I162" i="103" s="1"/>
  <c r="I2395" i="98"/>
  <c r="I2396" i="98" s="1"/>
  <c r="L18" i="96"/>
  <c r="O18" i="96"/>
  <c r="P18" i="96" s="1"/>
  <c r="I358" i="98"/>
  <c r="I1176" i="98"/>
  <c r="I1177" i="98" s="1"/>
  <c r="I1178" i="98" s="1"/>
  <c r="I1574" i="98"/>
  <c r="I210" i="98"/>
  <c r="I2066" i="98"/>
  <c r="I1477" i="98"/>
  <c r="I794" i="98"/>
  <c r="I795" i="98" s="1"/>
  <c r="I883" i="98"/>
  <c r="I884" i="98" s="1"/>
  <c r="I885" i="98" s="1"/>
  <c r="I271" i="98"/>
  <c r="I272" i="98" s="1"/>
  <c r="N17" i="42"/>
  <c r="P17" i="42" s="1"/>
  <c r="Q362" i="66" s="1"/>
  <c r="A19" i="42"/>
  <c r="I650" i="103"/>
  <c r="I651" i="103" s="1"/>
  <c r="O9" i="87"/>
  <c r="N9" i="87"/>
  <c r="M9" i="87"/>
  <c r="P9" i="87"/>
  <c r="I342" i="98"/>
  <c r="I343" i="98" s="1"/>
  <c r="I2434" i="98"/>
  <c r="J740" i="103"/>
  <c r="I745" i="103"/>
  <c r="I746" i="103" s="1"/>
  <c r="I227" i="98"/>
  <c r="I228" i="98" s="1"/>
  <c r="I229" i="98" s="1"/>
  <c r="I126" i="103"/>
  <c r="I2269" i="98"/>
  <c r="I2270" i="98" s="1"/>
  <c r="I2271" i="98" s="1"/>
  <c r="I3094" i="98"/>
  <c r="I3095" i="98" s="1"/>
  <c r="I1302" i="98"/>
  <c r="I1345" i="103"/>
  <c r="I1496" i="98"/>
  <c r="I1497" i="98" s="1"/>
  <c r="I1498" i="98" s="1"/>
  <c r="I132" i="98"/>
  <c r="I2050" i="98"/>
  <c r="I2051" i="98" s="1"/>
  <c r="I2520" i="98"/>
  <c r="I919" i="103"/>
  <c r="I920" i="103" s="1"/>
  <c r="I1746" i="98"/>
  <c r="I1747" i="98" s="1"/>
  <c r="I3072" i="98"/>
  <c r="I3073" i="98" s="1"/>
  <c r="I1344" i="98"/>
  <c r="I1345" i="98" s="1"/>
  <c r="I2695" i="98"/>
  <c r="I2696" i="98" s="1"/>
  <c r="I2330" i="98"/>
  <c r="I1625" i="98"/>
  <c r="I1626" i="98" s="1"/>
  <c r="I2308" i="98"/>
  <c r="I2309" i="98" s="1"/>
  <c r="I2310" i="98" s="1"/>
  <c r="A100" i="7"/>
  <c r="A106" i="7" s="1"/>
  <c r="A112" i="7" s="1"/>
  <c r="A115" i="7" s="1"/>
  <c r="A119" i="7" s="1"/>
  <c r="A124" i="7" s="1"/>
  <c r="A129" i="7" s="1"/>
  <c r="A135" i="7" s="1"/>
  <c r="A141" i="7" s="1"/>
  <c r="A147" i="7" s="1"/>
  <c r="A153" i="7" s="1"/>
  <c r="I2874" i="98"/>
  <c r="I2875" i="98" s="1"/>
  <c r="I3107" i="98"/>
  <c r="I3108" i="98" s="1"/>
  <c r="I3109" i="98" s="1"/>
  <c r="I380" i="98"/>
  <c r="I381" i="98" s="1"/>
  <c r="H57" i="102"/>
  <c r="H663" i="103"/>
  <c r="I663" i="103" s="1"/>
  <c r="H13" i="12"/>
  <c r="I12" i="12"/>
  <c r="I1134" i="98"/>
  <c r="I1135" i="98" s="1"/>
  <c r="I1796" i="98"/>
  <c r="I1797" i="98" s="1"/>
  <c r="I1284" i="98"/>
  <c r="I1285" i="98" s="1"/>
  <c r="R382" i="66"/>
  <c r="AC382" i="66"/>
  <c r="AC248" i="66"/>
  <c r="AE249" i="66" s="1"/>
  <c r="R248" i="66"/>
  <c r="I1556" i="98"/>
  <c r="I1557" i="98" s="1"/>
  <c r="I840" i="98"/>
  <c r="I841" i="98" s="1"/>
  <c r="I3120" i="98"/>
  <c r="I3121" i="98" s="1"/>
  <c r="I468" i="98"/>
  <c r="I469" i="98" s="1"/>
  <c r="I470" i="98" s="1"/>
  <c r="F13" i="87"/>
  <c r="H13" i="87" s="1"/>
  <c r="L13" i="87" s="1"/>
  <c r="H12" i="87"/>
  <c r="L12" i="87" s="1"/>
  <c r="I578" i="103"/>
  <c r="I579" i="103" s="1"/>
  <c r="I580" i="103" s="1"/>
  <c r="I144" i="103"/>
  <c r="I486" i="98"/>
  <c r="I487" i="98" s="1"/>
  <c r="I2417" i="98"/>
  <c r="I2418" i="98" s="1"/>
  <c r="I2419" i="98" s="1"/>
  <c r="I657" i="98"/>
  <c r="I658" i="98" s="1"/>
  <c r="I621" i="98"/>
  <c r="I622" i="98" s="1"/>
  <c r="I392" i="98"/>
  <c r="I393" i="98" s="1"/>
  <c r="I394" i="98" s="1"/>
  <c r="I3026" i="98"/>
  <c r="I3027" i="98" s="1"/>
  <c r="I3028" i="98" s="1"/>
  <c r="I2949" i="98"/>
  <c r="I2950" i="98" s="1"/>
  <c r="I2951" i="98" s="1"/>
  <c r="I1815" i="98"/>
  <c r="I1816" i="98" s="1"/>
  <c r="I1817" i="98" s="1"/>
  <c r="I1714" i="98"/>
  <c r="I1715" i="98" s="1"/>
  <c r="I1716" i="98" s="1"/>
  <c r="I2542" i="98"/>
  <c r="I2246" i="98"/>
  <c r="I448" i="98"/>
  <c r="I449" i="98" s="1"/>
  <c r="I1323" i="98"/>
  <c r="I1324" i="98" s="1"/>
  <c r="I1325" i="98" s="1"/>
  <c r="I2156" i="98"/>
  <c r="I2157" i="98" s="1"/>
  <c r="I2158" i="98" s="1"/>
  <c r="M10" i="87" l="1"/>
  <c r="I60" i="98"/>
  <c r="I61" i="98"/>
  <c r="K18" i="104" s="1"/>
  <c r="P10" i="87"/>
  <c r="O10" i="87"/>
  <c r="H1965" i="98"/>
  <c r="I1965" i="98" s="1"/>
  <c r="H248" i="103"/>
  <c r="I248" i="103" s="1"/>
  <c r="I958" i="98"/>
  <c r="I959" i="98" s="1"/>
  <c r="H36" i="105"/>
  <c r="E246" i="99" s="1"/>
  <c r="F246" i="99" s="1"/>
  <c r="K208" i="104"/>
  <c r="L208" i="104" s="1"/>
  <c r="E123" i="99"/>
  <c r="F123" i="99" s="1"/>
  <c r="F118" i="99" s="1"/>
  <c r="I2682" i="98"/>
  <c r="I2683" i="98" s="1"/>
  <c r="E193" i="99"/>
  <c r="F193" i="99" s="1"/>
  <c r="K287" i="104"/>
  <c r="L287" i="104" s="1"/>
  <c r="I1396" i="98"/>
  <c r="I1397" i="98" s="1"/>
  <c r="I934" i="98"/>
  <c r="I935" i="98" s="1"/>
  <c r="K114" i="104"/>
  <c r="L114" i="104" s="1"/>
  <c r="K97" i="104"/>
  <c r="L97" i="104" s="1"/>
  <c r="K30" i="104"/>
  <c r="L30" i="104" s="1"/>
  <c r="H3391" i="98"/>
  <c r="I3391" i="98" s="1"/>
  <c r="H726" i="103"/>
  <c r="I726" i="103" s="1"/>
  <c r="I725" i="103" s="1"/>
  <c r="H457" i="103"/>
  <c r="I457" i="103" s="1"/>
  <c r="I456" i="103" s="1"/>
  <c r="H539" i="103"/>
  <c r="I539" i="103" s="1"/>
  <c r="I538" i="103" s="1"/>
  <c r="H26" i="12"/>
  <c r="H62" i="102"/>
  <c r="I2378" i="98"/>
  <c r="I2379" i="98" s="1"/>
  <c r="I436" i="103"/>
  <c r="I437" i="103" s="1"/>
  <c r="I2023" i="42"/>
  <c r="J2023" i="42" s="1"/>
  <c r="J2022" i="42" s="1"/>
  <c r="K2021" i="42" s="1"/>
  <c r="I2256" i="42"/>
  <c r="J2256" i="42" s="1"/>
  <c r="J2255" i="42" s="1"/>
  <c r="K2254" i="42" s="1"/>
  <c r="I2094" i="42"/>
  <c r="J2094" i="42" s="1"/>
  <c r="J2093" i="42" s="1"/>
  <c r="K2092" i="42" s="1"/>
  <c r="I2015" i="42"/>
  <c r="J2015" i="42" s="1"/>
  <c r="J2014" i="42" s="1"/>
  <c r="K2013" i="42" s="1"/>
  <c r="I2225" i="42"/>
  <c r="J2225" i="42" s="1"/>
  <c r="I1988" i="42"/>
  <c r="J1988" i="42" s="1"/>
  <c r="I1989" i="42" s="1"/>
  <c r="J1989" i="42" s="1"/>
  <c r="J1987" i="42" s="1"/>
  <c r="K1986" i="42" s="1"/>
  <c r="F37" i="93"/>
  <c r="I37" i="93"/>
  <c r="L37" i="93" s="1"/>
  <c r="T37" i="93" s="1"/>
  <c r="H155" i="7"/>
  <c r="I155" i="7" s="1"/>
  <c r="H131" i="7"/>
  <c r="I131" i="7" s="1"/>
  <c r="H108" i="7"/>
  <c r="I108" i="7" s="1"/>
  <c r="H85" i="7"/>
  <c r="I85" i="7" s="1"/>
  <c r="I83" i="7" s="1"/>
  <c r="I271" i="12" s="1"/>
  <c r="I2547" i="42" s="1"/>
  <c r="J2547" i="42" s="1"/>
  <c r="I2551" i="42" s="1"/>
  <c r="J2551" i="42" s="1"/>
  <c r="J2546" i="42" s="1"/>
  <c r="K2545" i="42" s="1"/>
  <c r="H62" i="7"/>
  <c r="I62" i="7" s="1"/>
  <c r="H39" i="7"/>
  <c r="I39" i="7" s="1"/>
  <c r="H19" i="7"/>
  <c r="I19" i="7" s="1"/>
  <c r="H137" i="7"/>
  <c r="I137" i="7" s="1"/>
  <c r="H117" i="7"/>
  <c r="I117" i="7" s="1"/>
  <c r="I115" i="7" s="1"/>
  <c r="I205" i="102" s="1"/>
  <c r="H90" i="7"/>
  <c r="I90" i="7" s="1"/>
  <c r="H68" i="7"/>
  <c r="I68" i="7" s="1"/>
  <c r="H44" i="7"/>
  <c r="I44" i="7" s="1"/>
  <c r="H24" i="7"/>
  <c r="I24" i="7" s="1"/>
  <c r="I36" i="102"/>
  <c r="H143" i="7"/>
  <c r="I143" i="7" s="1"/>
  <c r="H121" i="7"/>
  <c r="I121" i="7" s="1"/>
  <c r="H96" i="7"/>
  <c r="I96" i="7" s="1"/>
  <c r="H74" i="7"/>
  <c r="I74" i="7" s="1"/>
  <c r="H49" i="7"/>
  <c r="I49" i="7" s="1"/>
  <c r="H29" i="7"/>
  <c r="I29" i="7" s="1"/>
  <c r="H149" i="7"/>
  <c r="I149" i="7" s="1"/>
  <c r="H126" i="7"/>
  <c r="I126" i="7" s="1"/>
  <c r="H102" i="7"/>
  <c r="I102" i="7" s="1"/>
  <c r="H80" i="7"/>
  <c r="I80" i="7" s="1"/>
  <c r="I78" i="7" s="1"/>
  <c r="I202" i="102" s="1"/>
  <c r="H55" i="7"/>
  <c r="I55" i="7" s="1"/>
  <c r="H34" i="7"/>
  <c r="I34" i="7" s="1"/>
  <c r="H14" i="7"/>
  <c r="I14" i="7" s="1"/>
  <c r="H9" i="7"/>
  <c r="I9" i="7" s="1"/>
  <c r="I62" i="102"/>
  <c r="E26" i="12"/>
  <c r="I26" i="12" s="1"/>
  <c r="I2991" i="42" s="1"/>
  <c r="J2991" i="42" s="1"/>
  <c r="J2990" i="42" s="1"/>
  <c r="K2989" i="42" s="1"/>
  <c r="I3385" i="98"/>
  <c r="I3386" i="98" s="1"/>
  <c r="I1735" i="98"/>
  <c r="I1736" i="98" s="1"/>
  <c r="I1039" i="42"/>
  <c r="J1039" i="42" s="1"/>
  <c r="L1038" i="42" s="1"/>
  <c r="I2189" i="42"/>
  <c r="J2189" i="42" s="1"/>
  <c r="L2188" i="42" s="1"/>
  <c r="I2115" i="98"/>
  <c r="I2116" i="98" s="1"/>
  <c r="I2117" i="98" s="1"/>
  <c r="I2118" i="98" s="1"/>
  <c r="I2119" i="98" s="1"/>
  <c r="I2120" i="98" s="1"/>
  <c r="I2121" i="98" s="1"/>
  <c r="J2107" i="98"/>
  <c r="J2573" i="98"/>
  <c r="I2581" i="98"/>
  <c r="I2582" i="98" s="1"/>
  <c r="I2583" i="98" s="1"/>
  <c r="I2584" i="98" s="1"/>
  <c r="I2585" i="98" s="1"/>
  <c r="I2586" i="98" s="1"/>
  <c r="I2587" i="98" s="1"/>
  <c r="K211" i="104"/>
  <c r="L211" i="104" s="1"/>
  <c r="J438" i="103"/>
  <c r="I446" i="103"/>
  <c r="I447" i="103" s="1"/>
  <c r="I448" i="103" s="1"/>
  <c r="I449" i="103" s="1"/>
  <c r="J520" i="103"/>
  <c r="I528" i="103"/>
  <c r="I529" i="103" s="1"/>
  <c r="I530" i="103" s="1"/>
  <c r="I531" i="103" s="1"/>
  <c r="I45" i="103"/>
  <c r="I46" i="103" s="1"/>
  <c r="I47" i="103" s="1"/>
  <c r="I48" i="103" s="1"/>
  <c r="I49" i="103" s="1"/>
  <c r="K387" i="104"/>
  <c r="L387" i="104" s="1"/>
  <c r="E114" i="99"/>
  <c r="F114" i="99" s="1"/>
  <c r="E115" i="99"/>
  <c r="F115" i="99" s="1"/>
  <c r="K397" i="104"/>
  <c r="L397" i="104" s="1"/>
  <c r="K391" i="104"/>
  <c r="L391" i="104" s="1"/>
  <c r="K389" i="104" s="1"/>
  <c r="E151" i="99"/>
  <c r="F151" i="99" s="1"/>
  <c r="K240" i="104"/>
  <c r="L240" i="104" s="1"/>
  <c r="E58" i="99"/>
  <c r="F58" i="99" s="1"/>
  <c r="E23" i="99"/>
  <c r="F23" i="99" s="1"/>
  <c r="E207" i="99"/>
  <c r="F207" i="99" s="1"/>
  <c r="K288" i="104"/>
  <c r="L288" i="104" s="1"/>
  <c r="E76" i="99"/>
  <c r="F76" i="99" s="1"/>
  <c r="E102" i="99"/>
  <c r="F102" i="99" s="1"/>
  <c r="E41" i="99"/>
  <c r="F41" i="99" s="1"/>
  <c r="K190" i="104"/>
  <c r="L190" i="104" s="1"/>
  <c r="K285" i="104"/>
  <c r="L285" i="104" s="1"/>
  <c r="K79" i="104"/>
  <c r="L79" i="104" s="1"/>
  <c r="K77" i="104" s="1"/>
  <c r="K197" i="104"/>
  <c r="L197" i="104" s="1"/>
  <c r="K275" i="104"/>
  <c r="L275" i="104" s="1"/>
  <c r="E197" i="99"/>
  <c r="F197" i="99" s="1"/>
  <c r="E166" i="99"/>
  <c r="F166" i="99" s="1"/>
  <c r="K43" i="104"/>
  <c r="L43" i="104" s="1"/>
  <c r="I2876" i="98"/>
  <c r="I2877" i="98" s="1"/>
  <c r="I2878" i="98" s="1"/>
  <c r="I1346" i="98"/>
  <c r="I1347" i="98" s="1"/>
  <c r="I1348" i="98" s="1"/>
  <c r="I2455" i="98"/>
  <c r="I2456" i="98" s="1"/>
  <c r="I2457" i="98" s="1"/>
  <c r="K191" i="104"/>
  <c r="L191" i="104" s="1"/>
  <c r="K179" i="104"/>
  <c r="L179" i="104" s="1"/>
  <c r="E186" i="99"/>
  <c r="F186" i="99" s="1"/>
  <c r="I1458" i="103"/>
  <c r="I1459" i="103" s="1"/>
  <c r="I255" i="98"/>
  <c r="I256" i="98" s="1"/>
  <c r="J488" i="103"/>
  <c r="I496" i="103"/>
  <c r="I497" i="103" s="1"/>
  <c r="I3288" i="98"/>
  <c r="I3289" i="98" s="1"/>
  <c r="I450" i="98"/>
  <c r="I451" i="98" s="1"/>
  <c r="I452" i="98" s="1"/>
  <c r="I2247" i="98"/>
  <c r="I2248" i="98" s="1"/>
  <c r="I2249" i="98" s="1"/>
  <c r="I2250" i="98" s="1"/>
  <c r="I2543" i="98"/>
  <c r="I2544" i="98" s="1"/>
  <c r="I2545" i="98" s="1"/>
  <c r="I2546" i="98" s="1"/>
  <c r="I3122" i="98"/>
  <c r="I3123" i="98" s="1"/>
  <c r="I3124" i="98" s="1"/>
  <c r="I1627" i="98"/>
  <c r="I1628" i="98" s="1"/>
  <c r="I1629" i="98" s="1"/>
  <c r="I2331" i="98"/>
  <c r="I2332" i="98" s="1"/>
  <c r="I2333" i="98" s="1"/>
  <c r="I2334" i="98" s="1"/>
  <c r="E180" i="99"/>
  <c r="F180" i="99" s="1"/>
  <c r="I2052" i="98"/>
  <c r="I2053" i="98" s="1"/>
  <c r="I2054" i="98" s="1"/>
  <c r="I1346" i="103"/>
  <c r="I1347" i="103" s="1"/>
  <c r="I1348" i="103" s="1"/>
  <c r="I1349" i="103" s="1"/>
  <c r="I3096" i="98"/>
  <c r="I3097" i="98" s="1"/>
  <c r="I3098" i="98" s="1"/>
  <c r="I2435" i="98"/>
  <c r="I2436" i="98" s="1"/>
  <c r="I1575" i="98"/>
  <c r="I1576" i="98" s="1"/>
  <c r="I1577" i="98" s="1"/>
  <c r="I1578" i="98" s="1"/>
  <c r="I2397" i="98"/>
  <c r="I2398" i="98" s="1"/>
  <c r="I2399" i="98" s="1"/>
  <c r="I163" i="103"/>
  <c r="I164" i="103" s="1"/>
  <c r="I165" i="103" s="1"/>
  <c r="I2857" i="98"/>
  <c r="I2858" i="98" s="1"/>
  <c r="I2859" i="98" s="1"/>
  <c r="E140" i="99"/>
  <c r="F140" i="99" s="1"/>
  <c r="K257" i="104"/>
  <c r="L257" i="104" s="1"/>
  <c r="K187" i="104"/>
  <c r="L187" i="104" s="1"/>
  <c r="E68" i="99"/>
  <c r="F68" i="99" s="1"/>
  <c r="I282" i="103"/>
  <c r="I283" i="103" s="1"/>
  <c r="I518" i="103"/>
  <c r="I519" i="103" s="1"/>
  <c r="K153" i="104"/>
  <c r="L153" i="104" s="1"/>
  <c r="I3110" i="98"/>
  <c r="I3111" i="98" s="1"/>
  <c r="I1499" i="98"/>
  <c r="I1500" i="98" s="1"/>
  <c r="I886" i="98"/>
  <c r="I887" i="98" s="1"/>
  <c r="I1179" i="98"/>
  <c r="I1180" i="98" s="1"/>
  <c r="I1077" i="103"/>
  <c r="I1078" i="103" s="1"/>
  <c r="I1446" i="98"/>
  <c r="I1447" i="98" s="1"/>
  <c r="I804" i="103"/>
  <c r="I805" i="103" s="1"/>
  <c r="I423" i="103"/>
  <c r="I424" i="103" s="1"/>
  <c r="I1818" i="98"/>
  <c r="I1819" i="98" s="1"/>
  <c r="I2420" i="98"/>
  <c r="I2421" i="98" s="1"/>
  <c r="I581" i="103"/>
  <c r="I582" i="103" s="1"/>
  <c r="I471" i="98"/>
  <c r="I472" i="98" s="1"/>
  <c r="I323" i="98"/>
  <c r="I324" i="98" s="1"/>
  <c r="I842" i="98"/>
  <c r="I843" i="98" s="1"/>
  <c r="I1538" i="98"/>
  <c r="I1539" i="98" s="1"/>
  <c r="I2159" i="98"/>
  <c r="I2160" i="98" s="1"/>
  <c r="I1326" i="98"/>
  <c r="I1327" i="98" s="1"/>
  <c r="I1717" i="98"/>
  <c r="I1718" i="98" s="1"/>
  <c r="I2952" i="98"/>
  <c r="I2953" i="98" s="1"/>
  <c r="I3029" i="98"/>
  <c r="I3030" i="98" s="1"/>
  <c r="I395" i="98"/>
  <c r="I396" i="98" s="1"/>
  <c r="I659" i="98"/>
  <c r="I660" i="98" s="1"/>
  <c r="I1558" i="98"/>
  <c r="I1559" i="98" s="1"/>
  <c r="I576" i="98"/>
  <c r="I577" i="98" s="1"/>
  <c r="I2311" i="98"/>
  <c r="I2312" i="98" s="1"/>
  <c r="I2272" i="98"/>
  <c r="I2273" i="98" s="1"/>
  <c r="I230" i="98"/>
  <c r="I231" i="98" s="1"/>
  <c r="I796" i="98"/>
  <c r="I797" i="98" s="1"/>
  <c r="I98" i="98"/>
  <c r="I99" i="98" s="1"/>
  <c r="I1445" i="103"/>
  <c r="I1446" i="103" s="1"/>
  <c r="I193" i="98"/>
  <c r="I194" i="98" s="1"/>
  <c r="I972" i="103"/>
  <c r="I973" i="103" s="1"/>
  <c r="I2173" i="98"/>
  <c r="I2174" i="98" s="1"/>
  <c r="I1062" i="103"/>
  <c r="I1063" i="103" s="1"/>
  <c r="I1198" i="103"/>
  <c r="I1199" i="103" s="1"/>
  <c r="I1462" i="98"/>
  <c r="I1463" i="98" s="1"/>
  <c r="I298" i="103"/>
  <c r="I299" i="103" s="1"/>
  <c r="I1047" i="103"/>
  <c r="I1048" i="103" s="1"/>
  <c r="I623" i="98"/>
  <c r="I488" i="98"/>
  <c r="I145" i="103"/>
  <c r="I146" i="103" s="1"/>
  <c r="M13" i="87"/>
  <c r="P13" i="87"/>
  <c r="O13" i="87"/>
  <c r="N13" i="87"/>
  <c r="I79" i="98"/>
  <c r="I80" i="98" s="1"/>
  <c r="I1286" i="98"/>
  <c r="I1287" i="98" s="1"/>
  <c r="I594" i="98"/>
  <c r="I595" i="98" s="1"/>
  <c r="I1136" i="98"/>
  <c r="H14" i="12"/>
  <c r="I13" i="12"/>
  <c r="I57" i="102"/>
  <c r="H660" i="103" s="1"/>
  <c r="I660" i="103" s="1"/>
  <c r="H59" i="102"/>
  <c r="I2521" i="98"/>
  <c r="I2522" i="98" s="1"/>
  <c r="I133" i="98"/>
  <c r="I134" i="98" s="1"/>
  <c r="I1303" i="98"/>
  <c r="I1304" i="98" s="1"/>
  <c r="I127" i="103"/>
  <c r="I128" i="103" s="1"/>
  <c r="N19" i="42"/>
  <c r="P19" i="42" s="1"/>
  <c r="A20" i="42"/>
  <c r="A21" i="42" s="1"/>
  <c r="N21" i="42" s="1"/>
  <c r="P21" i="42" s="1"/>
  <c r="I1883" i="98"/>
  <c r="I1884" i="98" s="1"/>
  <c r="I1478" i="98"/>
  <c r="I1479" i="98" s="1"/>
  <c r="I211" i="98"/>
  <c r="I212" i="98" s="1"/>
  <c r="I2466" i="98"/>
  <c r="I2467" i="98" s="1"/>
  <c r="I1228" i="103"/>
  <c r="I1229" i="103" s="1"/>
  <c r="I2224" i="98"/>
  <c r="I2225" i="98" s="1"/>
  <c r="I225" i="103"/>
  <c r="I226" i="103" s="1"/>
  <c r="I612" i="98"/>
  <c r="I613" i="98" s="1"/>
  <c r="I2479" i="98"/>
  <c r="I2480" i="98" s="1"/>
  <c r="I1017" i="103"/>
  <c r="I1018" i="103" s="1"/>
  <c r="I2211" i="98"/>
  <c r="I2212" i="98" s="1"/>
  <c r="I2213" i="98" s="1"/>
  <c r="M12" i="87"/>
  <c r="N12" i="87"/>
  <c r="O12" i="87"/>
  <c r="P12" i="87"/>
  <c r="I1798" i="98"/>
  <c r="I1799" i="98" s="1"/>
  <c r="I2168" i="42"/>
  <c r="J2168" i="42" s="1"/>
  <c r="I1370" i="42"/>
  <c r="J1370" i="42" s="1"/>
  <c r="H250" i="103"/>
  <c r="I250" i="103" s="1"/>
  <c r="H1966" i="98"/>
  <c r="I1966" i="98" s="1"/>
  <c r="I3074" i="98"/>
  <c r="I747" i="103"/>
  <c r="I652" i="103"/>
  <c r="I653" i="103" s="1"/>
  <c r="I2013" i="98"/>
  <c r="I2014" i="98" s="1"/>
  <c r="R362" i="66"/>
  <c r="AC362" i="66"/>
  <c r="I2067" i="98"/>
  <c r="I2068" i="98" s="1"/>
  <c r="I359" i="98"/>
  <c r="I360" i="98" s="1"/>
  <c r="I1780" i="98"/>
  <c r="I1781" i="98" s="1"/>
  <c r="H37" i="93"/>
  <c r="K37" i="93" s="1"/>
  <c r="N37" i="93" s="1"/>
  <c r="I1518" i="98"/>
  <c r="I1519" i="98" s="1"/>
  <c r="I1032" i="103"/>
  <c r="I1033" i="103" s="1"/>
  <c r="I304" i="98"/>
  <c r="I305" i="98" s="1"/>
  <c r="I1002" i="103"/>
  <c r="I1003" i="103" s="1"/>
  <c r="L253" i="104"/>
  <c r="E198" i="99"/>
  <c r="F198" i="99" s="1"/>
  <c r="I1611" i="98"/>
  <c r="I1612" i="98" s="1"/>
  <c r="I3214" i="98"/>
  <c r="I3215" i="98" s="1"/>
  <c r="I987" i="103"/>
  <c r="I988" i="103" s="1"/>
  <c r="I2198" i="98"/>
  <c r="I2199" i="98" s="1"/>
  <c r="K186" i="104" l="1"/>
  <c r="L186" i="104" s="1"/>
  <c r="K212" i="104"/>
  <c r="L212" i="104" s="1"/>
  <c r="K210" i="104" s="1"/>
  <c r="K87" i="104"/>
  <c r="L87" i="104" s="1"/>
  <c r="K180" i="104"/>
  <c r="L180" i="104" s="1"/>
  <c r="K154" i="104"/>
  <c r="L154" i="104" s="1"/>
  <c r="E159" i="99"/>
  <c r="F159" i="99" s="1"/>
  <c r="F158" i="99"/>
  <c r="K113" i="104"/>
  <c r="L113" i="104" s="1"/>
  <c r="K96" i="104"/>
  <c r="L96" i="104" s="1"/>
  <c r="K29" i="104"/>
  <c r="L29" i="104" s="1"/>
  <c r="E160" i="99"/>
  <c r="F160" i="99" s="1"/>
  <c r="E157" i="99"/>
  <c r="F157" i="99" s="1"/>
  <c r="I1973" i="42"/>
  <c r="J1973" i="42" s="1"/>
  <c r="J1971" i="42" s="1"/>
  <c r="K1970" i="42" s="1"/>
  <c r="I2272" i="42"/>
  <c r="J2272" i="42" s="1"/>
  <c r="I2278" i="42"/>
  <c r="J2278" i="42" s="1"/>
  <c r="J2277" i="42" s="1"/>
  <c r="K2276" i="42" s="1"/>
  <c r="K239" i="104"/>
  <c r="L239" i="104" s="1"/>
  <c r="K142" i="104"/>
  <c r="L142" i="104" s="1"/>
  <c r="K60" i="104"/>
  <c r="L60" i="104" s="1"/>
  <c r="H808" i="103"/>
  <c r="I808" i="103" s="1"/>
  <c r="I807" i="103" s="1"/>
  <c r="J806" i="103" s="1"/>
  <c r="I270" i="12"/>
  <c r="I2313" i="42" s="1"/>
  <c r="J2313" i="42" s="1"/>
  <c r="J2312" i="42" s="1"/>
  <c r="K2311" i="42" s="1"/>
  <c r="I545" i="103"/>
  <c r="I546" i="103" s="1"/>
  <c r="I547" i="103" s="1"/>
  <c r="J537" i="103"/>
  <c r="I731" i="103"/>
  <c r="I732" i="103" s="1"/>
  <c r="I733" i="103" s="1"/>
  <c r="I734" i="103" s="1"/>
  <c r="I735" i="103" s="1"/>
  <c r="I736" i="103" s="1"/>
  <c r="I737" i="103" s="1"/>
  <c r="J724" i="103"/>
  <c r="I2668" i="42"/>
  <c r="J2668" i="42" s="1"/>
  <c r="I274" i="12"/>
  <c r="E222" i="99"/>
  <c r="F222" i="99" s="1"/>
  <c r="J455" i="103"/>
  <c r="I463" i="103"/>
  <c r="I464" i="103" s="1"/>
  <c r="I465" i="103" s="1"/>
  <c r="I466" i="103" s="1"/>
  <c r="I467" i="103" s="1"/>
  <c r="I468" i="103" s="1"/>
  <c r="I469" i="103" s="1"/>
  <c r="I450" i="103"/>
  <c r="I451" i="103" s="1"/>
  <c r="I452" i="103" s="1"/>
  <c r="I532" i="103"/>
  <c r="I533" i="103" s="1"/>
  <c r="I534" i="103" s="1"/>
  <c r="I50" i="103"/>
  <c r="I51" i="103" s="1"/>
  <c r="K380" i="104"/>
  <c r="L380" i="104" s="1"/>
  <c r="E84" i="99"/>
  <c r="F84" i="99" s="1"/>
  <c r="K52" i="104"/>
  <c r="L52" i="104" s="1"/>
  <c r="E94" i="99"/>
  <c r="F94" i="99" s="1"/>
  <c r="E57" i="99"/>
  <c r="F57" i="99" s="1"/>
  <c r="E22" i="99"/>
  <c r="F22" i="99" s="1"/>
  <c r="E107" i="99"/>
  <c r="F107" i="99" s="1"/>
  <c r="E104" i="99"/>
  <c r="F104" i="99" s="1"/>
  <c r="E73" i="99"/>
  <c r="F73" i="99" s="1"/>
  <c r="L389" i="104"/>
  <c r="K393" i="104"/>
  <c r="L393" i="104" s="1"/>
  <c r="K310" i="104"/>
  <c r="K63" i="104"/>
  <c r="L63" i="104" s="1"/>
  <c r="K396" i="104"/>
  <c r="L396" i="104" s="1"/>
  <c r="K395" i="104" s="1"/>
  <c r="K394" i="104"/>
  <c r="L394" i="104" s="1"/>
  <c r="K341" i="104"/>
  <c r="L341" i="104" s="1"/>
  <c r="K349" i="104"/>
  <c r="K345" i="104"/>
  <c r="L345" i="104" s="1"/>
  <c r="K346" i="104"/>
  <c r="K353" i="104"/>
  <c r="L353" i="104" s="1"/>
  <c r="K139" i="104"/>
  <c r="L139" i="104" s="1"/>
  <c r="E221" i="99"/>
  <c r="F221" i="99" s="1"/>
  <c r="K286" i="104"/>
  <c r="L286" i="104" s="1"/>
  <c r="E131" i="99"/>
  <c r="F131" i="99" s="1"/>
  <c r="K50" i="104"/>
  <c r="L50" i="104" s="1"/>
  <c r="E71" i="99"/>
  <c r="F71" i="99" s="1"/>
  <c r="K273" i="104"/>
  <c r="L273" i="104" s="1"/>
  <c r="E137" i="99"/>
  <c r="F137" i="99" s="1"/>
  <c r="E14" i="99"/>
  <c r="F14" i="99" s="1"/>
  <c r="E49" i="99"/>
  <c r="F49" i="99" s="1"/>
  <c r="K46" i="104"/>
  <c r="L46" i="104" s="1"/>
  <c r="K54" i="104"/>
  <c r="L54" i="104" s="1"/>
  <c r="E146" i="99"/>
  <c r="F146" i="99" s="1"/>
  <c r="K245" i="104"/>
  <c r="L245" i="104" s="1"/>
  <c r="L360" i="104"/>
  <c r="K85" i="104"/>
  <c r="L85" i="104" s="1"/>
  <c r="K47" i="104"/>
  <c r="L47" i="104" s="1"/>
  <c r="E29" i="99"/>
  <c r="F29" i="99" s="1"/>
  <c r="K251" i="104"/>
  <c r="L251" i="104" s="1"/>
  <c r="K261" i="104"/>
  <c r="L261" i="104" s="1"/>
  <c r="E138" i="99"/>
  <c r="F138" i="99" s="1"/>
  <c r="K184" i="104"/>
  <c r="L184" i="104" s="1"/>
  <c r="K169" i="104"/>
  <c r="L169" i="104" s="1"/>
  <c r="K225" i="104"/>
  <c r="L225" i="104" s="1"/>
  <c r="K163" i="104"/>
  <c r="L163" i="104" s="1"/>
  <c r="K92" i="104"/>
  <c r="L92" i="104" s="1"/>
  <c r="K267" i="104"/>
  <c r="L267" i="104" s="1"/>
  <c r="K148" i="104"/>
  <c r="L148" i="104" s="1"/>
  <c r="K177" i="104"/>
  <c r="L177" i="104" s="1"/>
  <c r="K130" i="104"/>
  <c r="L130" i="104" s="1"/>
  <c r="K66" i="104"/>
  <c r="L66" i="104" s="1"/>
  <c r="K41" i="104"/>
  <c r="L41" i="104" s="1"/>
  <c r="K109" i="104"/>
  <c r="L109" i="104" s="1"/>
  <c r="L18" i="104"/>
  <c r="K173" i="104"/>
  <c r="L173" i="104" s="1"/>
  <c r="K206" i="104"/>
  <c r="L206" i="104" s="1"/>
  <c r="K218" i="104"/>
  <c r="L218" i="104" s="1"/>
  <c r="I2437" i="98"/>
  <c r="I2438" i="98" s="1"/>
  <c r="K343" i="104"/>
  <c r="L343" i="104" s="1"/>
  <c r="K306" i="104"/>
  <c r="L306" i="104" s="1"/>
  <c r="E11" i="99"/>
  <c r="F11" i="99" s="1"/>
  <c r="E60" i="99"/>
  <c r="F60" i="99" s="1"/>
  <c r="E25" i="99"/>
  <c r="F25" i="99" s="1"/>
  <c r="L77" i="104"/>
  <c r="E117" i="99"/>
  <c r="F117" i="99" s="1"/>
  <c r="E87" i="99"/>
  <c r="F87" i="99" s="1"/>
  <c r="K342" i="104"/>
  <c r="L342" i="104" s="1"/>
  <c r="I2226" i="98"/>
  <c r="I2227" i="98" s="1"/>
  <c r="I2228" i="98" s="1"/>
  <c r="K209" i="104"/>
  <c r="L209" i="104" s="1"/>
  <c r="K340" i="104"/>
  <c r="L340" i="104" s="1"/>
  <c r="E31" i="99"/>
  <c r="F31" i="99" s="1"/>
  <c r="K348" i="104"/>
  <c r="L348" i="104" s="1"/>
  <c r="I498" i="103"/>
  <c r="I2458" i="98"/>
  <c r="I2459" i="98" s="1"/>
  <c r="I166" i="103"/>
  <c r="I167" i="103" s="1"/>
  <c r="I361" i="98"/>
  <c r="I362" i="98" s="1"/>
  <c r="I1349" i="98"/>
  <c r="I1350" i="98" s="1"/>
  <c r="I213" i="98"/>
  <c r="I214" i="98" s="1"/>
  <c r="I135" i="98"/>
  <c r="I136" i="98" s="1"/>
  <c r="I147" i="103"/>
  <c r="I148" i="103" s="1"/>
  <c r="I3125" i="98"/>
  <c r="I3126" i="98" s="1"/>
  <c r="I2161" i="98"/>
  <c r="I2162" i="98" s="1"/>
  <c r="I473" i="98"/>
  <c r="I474" i="98" s="1"/>
  <c r="I2422" i="98"/>
  <c r="I2423" i="98" s="1"/>
  <c r="I1820" i="98"/>
  <c r="I1821" i="98" s="1"/>
  <c r="I2251" i="98"/>
  <c r="I2252" i="98" s="1"/>
  <c r="I1579" i="98"/>
  <c r="I1580" i="98" s="1"/>
  <c r="I2335" i="98"/>
  <c r="I2336" i="98" s="1"/>
  <c r="I2860" i="98"/>
  <c r="I2861" i="98" s="1"/>
  <c r="I1782" i="98"/>
  <c r="I1783" i="98" s="1"/>
  <c r="I535" i="103"/>
  <c r="I2879" i="98"/>
  <c r="I2880" i="98" s="1"/>
  <c r="I129" i="103"/>
  <c r="I130" i="103" s="1"/>
  <c r="I1305" i="98"/>
  <c r="I1306" i="98" s="1"/>
  <c r="I2523" i="98"/>
  <c r="I2524" i="98" s="1"/>
  <c r="I2055" i="98"/>
  <c r="I2056" i="98" s="1"/>
  <c r="I1630" i="98"/>
  <c r="I1631" i="98" s="1"/>
  <c r="I2588" i="98"/>
  <c r="I2589" i="98" s="1"/>
  <c r="L365" i="104"/>
  <c r="I397" i="98"/>
  <c r="I398" i="98" s="1"/>
  <c r="I1719" i="98"/>
  <c r="I1720" i="98" s="1"/>
  <c r="I1328" i="98"/>
  <c r="I1329" i="98" s="1"/>
  <c r="I583" i="103"/>
  <c r="I584" i="103" s="1"/>
  <c r="I2547" i="98"/>
  <c r="I1181" i="98"/>
  <c r="I1182" i="98" s="1"/>
  <c r="I888" i="98"/>
  <c r="I889" i="98" s="1"/>
  <c r="I1350" i="103"/>
  <c r="I1351" i="103" s="1"/>
  <c r="I1501" i="98"/>
  <c r="I1502" i="98" s="1"/>
  <c r="I3112" i="98"/>
  <c r="I3113" i="98" s="1"/>
  <c r="I2400" i="98"/>
  <c r="I2401" i="98" s="1"/>
  <c r="I2200" i="98"/>
  <c r="I748" i="103"/>
  <c r="I749" i="103" s="1"/>
  <c r="I2214" i="98"/>
  <c r="I2215" i="98" s="1"/>
  <c r="I1480" i="98"/>
  <c r="I1481" i="98" s="1"/>
  <c r="A22" i="42"/>
  <c r="H246" i="103"/>
  <c r="I246" i="103" s="1"/>
  <c r="I243" i="103" s="1"/>
  <c r="H1964" i="98"/>
  <c r="I1964" i="98" s="1"/>
  <c r="I1962" i="98" s="1"/>
  <c r="I14" i="12"/>
  <c r="H19" i="12"/>
  <c r="H15" i="12"/>
  <c r="I15" i="12" s="1"/>
  <c r="I2163" i="42" s="1"/>
  <c r="J2163" i="42" s="1"/>
  <c r="I1137" i="98"/>
  <c r="I1138" i="98" s="1"/>
  <c r="I489" i="98"/>
  <c r="I490" i="98" s="1"/>
  <c r="I798" i="98"/>
  <c r="I799" i="98" s="1"/>
  <c r="I2122" i="98"/>
  <c r="I2123" i="98" s="1"/>
  <c r="I232" i="98"/>
  <c r="I233" i="98" s="1"/>
  <c r="I2274" i="98"/>
  <c r="I2275" i="98" s="1"/>
  <c r="I3099" i="98"/>
  <c r="I3100" i="98" s="1"/>
  <c r="I2313" i="98"/>
  <c r="I2314" i="98" s="1"/>
  <c r="L361" i="104"/>
  <c r="L325" i="104"/>
  <c r="I3031" i="98"/>
  <c r="I3032" i="98" s="1"/>
  <c r="I2954" i="98"/>
  <c r="I2955" i="98" s="1"/>
  <c r="I453" i="98"/>
  <c r="I454" i="98" s="1"/>
  <c r="I2069" i="98"/>
  <c r="I2070" i="98" s="1"/>
  <c r="I3075" i="98"/>
  <c r="I3076" i="98" s="1"/>
  <c r="I2481" i="98"/>
  <c r="I2468" i="98"/>
  <c r="N20" i="42"/>
  <c r="P20" i="42" s="1"/>
  <c r="I59" i="102"/>
  <c r="H56" i="102"/>
  <c r="I56" i="102" s="1"/>
  <c r="H658" i="103" s="1"/>
  <c r="I658" i="103" s="1"/>
  <c r="I655" i="103" s="1"/>
  <c r="H58" i="102"/>
  <c r="I2165" i="42"/>
  <c r="J2165" i="42" s="1"/>
  <c r="I1366" i="42"/>
  <c r="J1366" i="42" s="1"/>
  <c r="J1363" i="42" s="1"/>
  <c r="K1362" i="42" s="1"/>
  <c r="I624" i="98"/>
  <c r="I625" i="98" s="1"/>
  <c r="I2548" i="98" l="1"/>
  <c r="E233" i="99" s="1"/>
  <c r="F233" i="99" s="1"/>
  <c r="H2985" i="98"/>
  <c r="I2985" i="98" s="1"/>
  <c r="H2641" i="98"/>
  <c r="I2641" i="98" s="1"/>
  <c r="E164" i="99"/>
  <c r="F164" i="99" s="1"/>
  <c r="I813" i="103"/>
  <c r="I814" i="103" s="1"/>
  <c r="I536" i="103"/>
  <c r="I548" i="103"/>
  <c r="I549" i="103" s="1"/>
  <c r="K31" i="104"/>
  <c r="L31" i="104" s="1"/>
  <c r="K115" i="104"/>
  <c r="L115" i="104" s="1"/>
  <c r="F156" i="99"/>
  <c r="K98" i="104"/>
  <c r="L98" i="104" s="1"/>
  <c r="E10" i="99"/>
  <c r="F10" i="99" s="1"/>
  <c r="K199" i="104"/>
  <c r="L199" i="104" s="1"/>
  <c r="K271" i="104"/>
  <c r="L271" i="104" s="1"/>
  <c r="K270" i="104"/>
  <c r="L270" i="104" s="1"/>
  <c r="K88" i="104"/>
  <c r="L88" i="104" s="1"/>
  <c r="K145" i="104"/>
  <c r="L145" i="104" s="1"/>
  <c r="K136" i="104"/>
  <c r="L136" i="104" s="1"/>
  <c r="H1915" i="98"/>
  <c r="I1915" i="98" s="1"/>
  <c r="H1916" i="98" s="1"/>
  <c r="I1916" i="98" s="1"/>
  <c r="I1913" i="98" s="1"/>
  <c r="J1912" i="98" s="1"/>
  <c r="H1824" i="98"/>
  <c r="I1824" i="98" s="1"/>
  <c r="H1826" i="98" s="1"/>
  <c r="I1826" i="98" s="1"/>
  <c r="I1823" i="98" s="1"/>
  <c r="I1830" i="98" s="1"/>
  <c r="I1831" i="98" s="1"/>
  <c r="H2987" i="98"/>
  <c r="I2987" i="98" s="1"/>
  <c r="H864" i="103"/>
  <c r="I864" i="103" s="1"/>
  <c r="I863" i="103" s="1"/>
  <c r="H2643" i="98"/>
  <c r="I2643" i="98" s="1"/>
  <c r="I2640" i="98" s="1"/>
  <c r="J2639" i="98" s="1"/>
  <c r="I2670" i="42"/>
  <c r="J2670" i="42" s="1"/>
  <c r="J2667" i="42" s="1"/>
  <c r="K2666" i="42" s="1"/>
  <c r="I1335" i="42"/>
  <c r="J1335" i="42" s="1"/>
  <c r="I1336" i="42" s="1"/>
  <c r="J1336" i="42" s="1"/>
  <c r="J1333" i="42" s="1"/>
  <c r="K1332" i="42" s="1"/>
  <c r="I1292" i="42"/>
  <c r="J1292" i="42" s="1"/>
  <c r="I1294" i="42" s="1"/>
  <c r="J1294" i="42" s="1"/>
  <c r="J1291" i="42" s="1"/>
  <c r="K1290" i="42" s="1"/>
  <c r="I1357" i="42"/>
  <c r="J1357" i="42" s="1"/>
  <c r="I1358" i="42" s="1"/>
  <c r="J1358" i="42" s="1"/>
  <c r="J1355" i="42" s="1"/>
  <c r="K1354" i="42" s="1"/>
  <c r="I2582" i="42"/>
  <c r="J2582" i="42" s="1"/>
  <c r="J2581" i="42" s="1"/>
  <c r="K2580" i="42" s="1"/>
  <c r="I2274" i="42"/>
  <c r="J2274" i="42" s="1"/>
  <c r="J2271" i="42" s="1"/>
  <c r="K2270" i="42" s="1"/>
  <c r="J654" i="103"/>
  <c r="I677" i="103"/>
  <c r="I678" i="103" s="1"/>
  <c r="K44" i="104"/>
  <c r="L44" i="104" s="1"/>
  <c r="K42" i="104" s="1"/>
  <c r="K377" i="104"/>
  <c r="L377" i="104" s="1"/>
  <c r="K402" i="104"/>
  <c r="L402" i="104" s="1"/>
  <c r="K403" i="104"/>
  <c r="L403" i="104" s="1"/>
  <c r="K401" i="104"/>
  <c r="L401" i="104" s="1"/>
  <c r="K311" i="104"/>
  <c r="L311" i="104" s="1"/>
  <c r="K330" i="104"/>
  <c r="L330" i="104" s="1"/>
  <c r="E133" i="99"/>
  <c r="F133" i="99" s="1"/>
  <c r="L395" i="104"/>
  <c r="K392" i="104"/>
  <c r="K339" i="104"/>
  <c r="K332" i="104"/>
  <c r="E135" i="99"/>
  <c r="F135" i="99" s="1"/>
  <c r="K383" i="104"/>
  <c r="L383" i="104" s="1"/>
  <c r="K370" i="104"/>
  <c r="L370" i="104" s="1"/>
  <c r="K371" i="104"/>
  <c r="K384" i="104"/>
  <c r="L384" i="104" s="1"/>
  <c r="K315" i="104"/>
  <c r="L315" i="104" s="1"/>
  <c r="K319" i="104"/>
  <c r="L319" i="104" s="1"/>
  <c r="K323" i="104"/>
  <c r="L323" i="104" s="1"/>
  <c r="L210" i="104"/>
  <c r="K321" i="104"/>
  <c r="L321" i="104" s="1"/>
  <c r="K317" i="104"/>
  <c r="L317" i="104" s="1"/>
  <c r="K313" i="104"/>
  <c r="L313" i="104" s="1"/>
  <c r="E70" i="99"/>
  <c r="F70" i="99" s="1"/>
  <c r="K229" i="104"/>
  <c r="L229" i="104" s="1"/>
  <c r="K336" i="104"/>
  <c r="L336" i="104" s="1"/>
  <c r="L376" i="104"/>
  <c r="E105" i="99"/>
  <c r="F105" i="99" s="1"/>
  <c r="E65" i="99"/>
  <c r="F65" i="99" s="1"/>
  <c r="K51" i="104"/>
  <c r="L51" i="104" s="1"/>
  <c r="K192" i="104"/>
  <c r="L192" i="104" s="1"/>
  <c r="E178" i="99"/>
  <c r="F178" i="99" s="1"/>
  <c r="E66" i="99"/>
  <c r="F66" i="99" s="1"/>
  <c r="K49" i="104"/>
  <c r="L49" i="104" s="1"/>
  <c r="K214" i="104"/>
  <c r="L214" i="104" s="1"/>
  <c r="K235" i="104"/>
  <c r="L235" i="104" s="1"/>
  <c r="K202" i="104"/>
  <c r="L202" i="104" s="1"/>
  <c r="K57" i="104"/>
  <c r="L57" i="104" s="1"/>
  <c r="K280" i="104"/>
  <c r="L280" i="104" s="1"/>
  <c r="E134" i="99"/>
  <c r="F134" i="99" s="1"/>
  <c r="K246" i="104"/>
  <c r="L246" i="104" s="1"/>
  <c r="K244" i="104" s="1"/>
  <c r="K170" i="104"/>
  <c r="L170" i="104" s="1"/>
  <c r="K282" i="104"/>
  <c r="L282" i="104" s="1"/>
  <c r="L338" i="104"/>
  <c r="E184" i="99"/>
  <c r="F184" i="99" s="1"/>
  <c r="E173" i="99"/>
  <c r="F173" i="99" s="1"/>
  <c r="K236" i="104"/>
  <c r="L236" i="104" s="1"/>
  <c r="E92" i="99"/>
  <c r="F92" i="99" s="1"/>
  <c r="E47" i="99"/>
  <c r="F47" i="99" s="1"/>
  <c r="E99" i="99"/>
  <c r="F99" i="99" s="1"/>
  <c r="L333" i="104"/>
  <c r="E101" i="99"/>
  <c r="F101" i="99" s="1"/>
  <c r="K144" i="104"/>
  <c r="K248" i="104"/>
  <c r="L248" i="104" s="1"/>
  <c r="K247" i="104" s="1"/>
  <c r="K116" i="104"/>
  <c r="L116" i="104" s="1"/>
  <c r="K71" i="104"/>
  <c r="L71" i="104" s="1"/>
  <c r="K124" i="104"/>
  <c r="L124" i="104" s="1"/>
  <c r="K143" i="104"/>
  <c r="L143" i="104" s="1"/>
  <c r="K84" i="104"/>
  <c r="L84" i="104" s="1"/>
  <c r="K83" i="104" s="1"/>
  <c r="K159" i="104"/>
  <c r="L159" i="104" s="1"/>
  <c r="K260" i="104"/>
  <c r="L260" i="104" s="1"/>
  <c r="K228" i="104"/>
  <c r="L228" i="104" s="1"/>
  <c r="E74" i="99"/>
  <c r="F74" i="99" s="1"/>
  <c r="E46" i="99"/>
  <c r="F46" i="99" s="1"/>
  <c r="E98" i="99"/>
  <c r="F98" i="99" s="1"/>
  <c r="K126" i="104"/>
  <c r="L126" i="104" s="1"/>
  <c r="L355" i="104"/>
  <c r="K268" i="104"/>
  <c r="L268" i="104" s="1"/>
  <c r="K201" i="104"/>
  <c r="L201" i="104" s="1"/>
  <c r="K234" i="104"/>
  <c r="L234" i="104" s="1"/>
  <c r="K193" i="104"/>
  <c r="L193" i="104" s="1"/>
  <c r="K125" i="104"/>
  <c r="L125" i="104" s="1"/>
  <c r="E36" i="99"/>
  <c r="F36" i="99" s="1"/>
  <c r="K278" i="104"/>
  <c r="L278" i="104" s="1"/>
  <c r="E230" i="99"/>
  <c r="F230" i="99" s="1"/>
  <c r="K178" i="104"/>
  <c r="L178" i="104" s="1"/>
  <c r="I2439" i="98"/>
  <c r="I2440" i="98" s="1"/>
  <c r="K243" i="104"/>
  <c r="L243" i="104" s="1"/>
  <c r="E223" i="99"/>
  <c r="F223" i="99" s="1"/>
  <c r="K68" i="104"/>
  <c r="L68" i="104" s="1"/>
  <c r="E154" i="99"/>
  <c r="F154" i="99" s="1"/>
  <c r="K61" i="104"/>
  <c r="L61" i="104" s="1"/>
  <c r="E153" i="99"/>
  <c r="F153" i="99" s="1"/>
  <c r="I499" i="103"/>
  <c r="I500" i="103" s="1"/>
  <c r="I501" i="103" s="1"/>
  <c r="I502" i="103" s="1"/>
  <c r="I626" i="98"/>
  <c r="I627" i="98" s="1"/>
  <c r="I453" i="103"/>
  <c r="I454" i="103" s="1"/>
  <c r="I491" i="98"/>
  <c r="I492" i="98" s="1"/>
  <c r="I2216" i="98"/>
  <c r="I2217" i="98" s="1"/>
  <c r="K174" i="104"/>
  <c r="L174" i="104" s="1"/>
  <c r="I738" i="103"/>
  <c r="I739" i="103" s="1"/>
  <c r="I3077" i="98"/>
  <c r="I3078" i="98" s="1"/>
  <c r="I470" i="103"/>
  <c r="I471" i="103" s="1"/>
  <c r="I550" i="103"/>
  <c r="I551" i="103" s="1"/>
  <c r="I750" i="103"/>
  <c r="I751" i="103" s="1"/>
  <c r="H35" i="102"/>
  <c r="I35" i="102" s="1"/>
  <c r="I58" i="102"/>
  <c r="H3392" i="98" s="1"/>
  <c r="I3392" i="98" s="1"/>
  <c r="H34" i="102"/>
  <c r="I34" i="102" s="1"/>
  <c r="I1139" i="98"/>
  <c r="I1140" i="98" s="1"/>
  <c r="J2160" i="42"/>
  <c r="K2159" i="42" s="1"/>
  <c r="I263" i="103"/>
  <c r="I264" i="103" s="1"/>
  <c r="J242" i="103"/>
  <c r="I2469" i="98"/>
  <c r="I2470" i="98" s="1"/>
  <c r="I2482" i="98"/>
  <c r="I2483" i="98" s="1"/>
  <c r="H25" i="12"/>
  <c r="I25" i="12" s="1"/>
  <c r="I2120" i="42" s="1"/>
  <c r="J2120" i="42" s="1"/>
  <c r="J2119" i="42" s="1"/>
  <c r="K2118" i="42" s="1"/>
  <c r="I19" i="12"/>
  <c r="H24" i="12"/>
  <c r="I24" i="12" s="1"/>
  <c r="I1450" i="42" s="1"/>
  <c r="J1450" i="42" s="1"/>
  <c r="J1449" i="42" s="1"/>
  <c r="K1448" i="42" s="1"/>
  <c r="I1978" i="98"/>
  <c r="I1979" i="98" s="1"/>
  <c r="J1961" i="98"/>
  <c r="I815" i="103"/>
  <c r="I816" i="103" s="1"/>
  <c r="I817" i="103" s="1"/>
  <c r="N22" i="42"/>
  <c r="P22" i="42" s="1"/>
  <c r="A23" i="42"/>
  <c r="I2201" i="98"/>
  <c r="I2202" i="98" s="1"/>
  <c r="I2525" i="98"/>
  <c r="I2526" i="98" s="1"/>
  <c r="I1307" i="98"/>
  <c r="I1308" i="98" s="1"/>
  <c r="I131" i="103"/>
  <c r="I132" i="103" s="1"/>
  <c r="I2229" i="98"/>
  <c r="I2230" i="98" s="1"/>
  <c r="I137" i="98"/>
  <c r="I138" i="98" s="1"/>
  <c r="I215" i="98"/>
  <c r="I216" i="98" s="1"/>
  <c r="I2984" i="98" l="1"/>
  <c r="I2989" i="98" s="1"/>
  <c r="I2990" i="98" s="1"/>
  <c r="I2991" i="98" s="1"/>
  <c r="L339" i="104"/>
  <c r="H3395" i="98"/>
  <c r="I3395" i="98" s="1"/>
  <c r="I3388" i="98" s="1"/>
  <c r="I3403" i="98" s="1"/>
  <c r="I3404" i="98" s="1"/>
  <c r="I2645" i="98"/>
  <c r="I2646" i="98" s="1"/>
  <c r="I2647" i="98" s="1"/>
  <c r="I2648" i="98" s="1"/>
  <c r="I1918" i="98"/>
  <c r="I1919" i="98" s="1"/>
  <c r="I1920" i="98" s="1"/>
  <c r="I1921" i="98" s="1"/>
  <c r="J1822" i="98"/>
  <c r="K269" i="104"/>
  <c r="K227" i="104"/>
  <c r="K221" i="104"/>
  <c r="L221" i="104" s="1"/>
  <c r="E155" i="99"/>
  <c r="F155" i="99" s="1"/>
  <c r="K198" i="104"/>
  <c r="L198" i="104" s="1"/>
  <c r="E225" i="99"/>
  <c r="F225" i="99" s="1"/>
  <c r="K297" i="104"/>
  <c r="L297" i="104" s="1"/>
  <c r="K160" i="104"/>
  <c r="L160" i="104" s="1"/>
  <c r="K117" i="104"/>
  <c r="L117" i="104" s="1"/>
  <c r="K100" i="104"/>
  <c r="L100" i="104" s="1"/>
  <c r="K127" i="104"/>
  <c r="L127" i="104" s="1"/>
  <c r="K123" i="104" s="1"/>
  <c r="K33" i="104"/>
  <c r="L33" i="104" s="1"/>
  <c r="K166" i="104"/>
  <c r="L166" i="104" s="1"/>
  <c r="K86" i="104"/>
  <c r="E93" i="99"/>
  <c r="F93" i="99" s="1"/>
  <c r="K48" i="104"/>
  <c r="L48" i="104" s="1"/>
  <c r="K134" i="104"/>
  <c r="L134" i="104" s="1"/>
  <c r="L144" i="104"/>
  <c r="K62" i="104"/>
  <c r="L62" i="104" s="1"/>
  <c r="J862" i="103"/>
  <c r="I868" i="103"/>
  <c r="I869" i="103" s="1"/>
  <c r="I870" i="103" s="1"/>
  <c r="I871" i="103" s="1"/>
  <c r="I872" i="103" s="1"/>
  <c r="I873" i="103" s="1"/>
  <c r="I874" i="103" s="1"/>
  <c r="H10" i="7"/>
  <c r="H156" i="7"/>
  <c r="I156" i="7" s="1"/>
  <c r="I153" i="7" s="1"/>
  <c r="H144" i="7"/>
  <c r="I144" i="7" s="1"/>
  <c r="I141" i="7" s="1"/>
  <c r="H132" i="7"/>
  <c r="H122" i="7"/>
  <c r="I122" i="7" s="1"/>
  <c r="I119" i="7" s="1"/>
  <c r="H103" i="7"/>
  <c r="I103" i="7" s="1"/>
  <c r="I100" i="7" s="1"/>
  <c r="I199" i="102" s="1"/>
  <c r="H91" i="7"/>
  <c r="I91" i="7" s="1"/>
  <c r="I88" i="7" s="1"/>
  <c r="H69" i="7"/>
  <c r="I69" i="7" s="1"/>
  <c r="I66" i="7" s="1"/>
  <c r="I201" i="102" s="1"/>
  <c r="H56" i="7"/>
  <c r="I56" i="7" s="1"/>
  <c r="I53" i="7" s="1"/>
  <c r="I197" i="102" s="1"/>
  <c r="H45" i="7"/>
  <c r="I45" i="7" s="1"/>
  <c r="I42" i="7" s="1"/>
  <c r="H35" i="7"/>
  <c r="I35" i="7" s="1"/>
  <c r="I32" i="7" s="1"/>
  <c r="I191" i="102" s="1"/>
  <c r="H25" i="7"/>
  <c r="I25" i="7" s="1"/>
  <c r="I22" i="7" s="1"/>
  <c r="I196" i="102" s="1"/>
  <c r="H15" i="7"/>
  <c r="I15" i="7" s="1"/>
  <c r="I12" i="7" s="1"/>
  <c r="H150" i="7"/>
  <c r="I150" i="7" s="1"/>
  <c r="I147" i="7" s="1"/>
  <c r="H138" i="7"/>
  <c r="I138" i="7" s="1"/>
  <c r="I135" i="7" s="1"/>
  <c r="H127" i="7"/>
  <c r="H109" i="7"/>
  <c r="I109" i="7" s="1"/>
  <c r="I106" i="7" s="1"/>
  <c r="I192" i="102" s="1"/>
  <c r="H97" i="7"/>
  <c r="I97" i="7" s="1"/>
  <c r="I94" i="7" s="1"/>
  <c r="I195" i="102" s="1"/>
  <c r="H75" i="7"/>
  <c r="I75" i="7" s="1"/>
  <c r="I72" i="7" s="1"/>
  <c r="H63" i="7"/>
  <c r="I63" i="7" s="1"/>
  <c r="I60" i="7" s="1"/>
  <c r="I200" i="102" s="1"/>
  <c r="H50" i="7"/>
  <c r="I50" i="7" s="1"/>
  <c r="I47" i="7" s="1"/>
  <c r="H40" i="7"/>
  <c r="I40" i="7" s="1"/>
  <c r="I37" i="7" s="1"/>
  <c r="H30" i="7"/>
  <c r="H20" i="7"/>
  <c r="I20" i="7" s="1"/>
  <c r="I17" i="7" s="1"/>
  <c r="I194" i="102" s="1"/>
  <c r="K226" i="104"/>
  <c r="L226" i="104" s="1"/>
  <c r="K375" i="104"/>
  <c r="I679" i="103"/>
  <c r="I680" i="103" s="1"/>
  <c r="I681" i="103" s="1"/>
  <c r="I682" i="103" s="1"/>
  <c r="I683" i="103" s="1"/>
  <c r="K399" i="104"/>
  <c r="E249" i="99" s="1"/>
  <c r="F249" i="99" s="1"/>
  <c r="K185" i="104"/>
  <c r="L185" i="104" s="1"/>
  <c r="E86" i="99"/>
  <c r="F86" i="99" s="1"/>
  <c r="K232" i="104"/>
  <c r="L232" i="104" s="1"/>
  <c r="E136" i="99"/>
  <c r="F136" i="99" s="1"/>
  <c r="E59" i="99"/>
  <c r="F59" i="99" s="1"/>
  <c r="E234" i="99"/>
  <c r="F234" i="99" s="1"/>
  <c r="E224" i="99"/>
  <c r="F224" i="99" s="1"/>
  <c r="E132" i="99"/>
  <c r="F132" i="99" s="1"/>
  <c r="K219" i="104"/>
  <c r="L219" i="104" s="1"/>
  <c r="E218" i="99"/>
  <c r="F218" i="99" s="1"/>
  <c r="K329" i="104"/>
  <c r="L329" i="104" s="1"/>
  <c r="L392" i="104"/>
  <c r="K382" i="104"/>
  <c r="K74" i="104"/>
  <c r="K354" i="104"/>
  <c r="L354" i="104" s="1"/>
  <c r="K368" i="104"/>
  <c r="L368" i="104" s="1"/>
  <c r="K327" i="104"/>
  <c r="L327" i="104" s="1"/>
  <c r="K331" i="104"/>
  <c r="L331" i="104" s="1"/>
  <c r="K110" i="104"/>
  <c r="L110" i="104" s="1"/>
  <c r="K304" i="104"/>
  <c r="L304" i="104" s="1"/>
  <c r="L346" i="104"/>
  <c r="E116" i="99"/>
  <c r="F116" i="99" s="1"/>
  <c r="E24" i="99"/>
  <c r="F24" i="99" s="1"/>
  <c r="K277" i="104"/>
  <c r="L277" i="104" s="1"/>
  <c r="K75" i="104"/>
  <c r="L75" i="104" s="1"/>
  <c r="L332" i="104"/>
  <c r="K238" i="104"/>
  <c r="L238" i="104" s="1"/>
  <c r="K293" i="104"/>
  <c r="L293" i="104" s="1"/>
  <c r="K165" i="104"/>
  <c r="L165" i="104" s="1"/>
  <c r="K222" i="104"/>
  <c r="L222" i="104" s="1"/>
  <c r="E152" i="99"/>
  <c r="F152" i="99" s="1"/>
  <c r="E229" i="99"/>
  <c r="F229" i="99" s="1"/>
  <c r="I503" i="103"/>
  <c r="I504" i="103" s="1"/>
  <c r="K200" i="104"/>
  <c r="L200" i="104" s="1"/>
  <c r="K151" i="104"/>
  <c r="L151" i="104" s="1"/>
  <c r="I2203" i="98"/>
  <c r="I2204" i="98" s="1"/>
  <c r="I2484" i="98"/>
  <c r="I2485" i="98" s="1"/>
  <c r="I818" i="103"/>
  <c r="I819" i="103" s="1"/>
  <c r="I552" i="103"/>
  <c r="I553" i="103" s="1"/>
  <c r="J267" i="12"/>
  <c r="I1980" i="98"/>
  <c r="I1981" i="98" s="1"/>
  <c r="I1982" i="98" s="1"/>
  <c r="I20" i="12"/>
  <c r="I2659" i="42"/>
  <c r="J2659" i="42" s="1"/>
  <c r="J2658" i="42" s="1"/>
  <c r="K2657" i="42" s="1"/>
  <c r="I132" i="7"/>
  <c r="I129" i="7" s="1"/>
  <c r="I2664" i="42"/>
  <c r="J2664" i="42" s="1"/>
  <c r="J2663" i="42" s="1"/>
  <c r="K2662" i="42" s="1"/>
  <c r="I18" i="12"/>
  <c r="K18" i="12" s="1"/>
  <c r="I127" i="7"/>
  <c r="I124" i="7" s="1"/>
  <c r="I10" i="7"/>
  <c r="I7" i="7" s="1"/>
  <c r="I190" i="102" s="1"/>
  <c r="I193" i="12"/>
  <c r="I2226" i="42" s="1"/>
  <c r="J2226" i="42" s="1"/>
  <c r="I30" i="7"/>
  <c r="I27" i="7" s="1"/>
  <c r="I198" i="102" s="1"/>
  <c r="I265" i="103"/>
  <c r="I266" i="103" s="1"/>
  <c r="H879" i="103"/>
  <c r="I879" i="103" s="1"/>
  <c r="I878" i="103" s="1"/>
  <c r="I54" i="102"/>
  <c r="I52" i="102"/>
  <c r="H2972" i="98"/>
  <c r="I2972" i="98" s="1"/>
  <c r="I2971" i="98" s="1"/>
  <c r="H2958" i="98"/>
  <c r="I2958" i="98" s="1"/>
  <c r="I2957" i="98" s="1"/>
  <c r="E195" i="99"/>
  <c r="F195" i="99" s="1"/>
  <c r="L247" i="104"/>
  <c r="L244" i="104"/>
  <c r="E191" i="99"/>
  <c r="F191" i="99" s="1"/>
  <c r="N23" i="42"/>
  <c r="P23" i="42" s="1"/>
  <c r="A24" i="42"/>
  <c r="I2471" i="98"/>
  <c r="I2472" i="98" s="1"/>
  <c r="E28" i="99"/>
  <c r="F28" i="99" s="1"/>
  <c r="L83" i="104"/>
  <c r="H2126" i="98"/>
  <c r="I2126" i="98" s="1"/>
  <c r="I2125" i="98" s="1"/>
  <c r="H320" i="103"/>
  <c r="I320" i="103" s="1"/>
  <c r="I319" i="103" s="1"/>
  <c r="H2620" i="98"/>
  <c r="I2620" i="98" s="1"/>
  <c r="I2619" i="98" s="1"/>
  <c r="H587" i="103"/>
  <c r="I587" i="103" s="1"/>
  <c r="I586" i="103" s="1"/>
  <c r="I752" i="103"/>
  <c r="I753" i="103" s="1"/>
  <c r="I1832" i="98"/>
  <c r="I193" i="102" l="1"/>
  <c r="H2092" i="98" s="1"/>
  <c r="I2092" i="98" s="1"/>
  <c r="H2093" i="98" s="1"/>
  <c r="I2093" i="98" s="1"/>
  <c r="K2090" i="98" s="1"/>
  <c r="J2983" i="98"/>
  <c r="L86" i="104"/>
  <c r="E177" i="99"/>
  <c r="F177" i="99" s="1"/>
  <c r="L269" i="104"/>
  <c r="I3405" i="98"/>
  <c r="E203" i="99"/>
  <c r="F203" i="99" s="1"/>
  <c r="K141" i="104"/>
  <c r="K137" i="104" s="1"/>
  <c r="L137" i="104" s="1"/>
  <c r="K135" i="104" s="1"/>
  <c r="K59" i="104"/>
  <c r="K55" i="104" s="1"/>
  <c r="K122" i="104"/>
  <c r="L122" i="104" s="1"/>
  <c r="L123" i="104"/>
  <c r="K105" i="104"/>
  <c r="L105" i="104" s="1"/>
  <c r="K38" i="104"/>
  <c r="L38" i="104" s="1"/>
  <c r="K112" i="104"/>
  <c r="L112" i="104" s="1"/>
  <c r="K95" i="104"/>
  <c r="L95" i="104" s="1"/>
  <c r="K28" i="104"/>
  <c r="L28" i="104" s="1"/>
  <c r="K220" i="104"/>
  <c r="K99" i="104"/>
  <c r="L99" i="104" s="1"/>
  <c r="K32" i="104"/>
  <c r="L32" i="104" s="1"/>
  <c r="E37" i="99"/>
  <c r="F37" i="99" s="1"/>
  <c r="K45" i="104"/>
  <c r="L42" i="104"/>
  <c r="E13" i="99"/>
  <c r="F13" i="99" s="1"/>
  <c r="E67" i="99"/>
  <c r="F67" i="99" s="1"/>
  <c r="E48" i="99"/>
  <c r="F48" i="99" s="1"/>
  <c r="K76" i="104"/>
  <c r="L76" i="104" s="1"/>
  <c r="L74" i="104"/>
  <c r="K133" i="104"/>
  <c r="L133" i="104" s="1"/>
  <c r="K132" i="104" s="1"/>
  <c r="L399" i="104"/>
  <c r="L375" i="104"/>
  <c r="I684" i="103"/>
  <c r="I685" i="103" s="1"/>
  <c r="K262" i="104"/>
  <c r="L262" i="104" s="1"/>
  <c r="K149" i="104"/>
  <c r="L149" i="104" s="1"/>
  <c r="K292" i="104"/>
  <c r="L292" i="104" s="1"/>
  <c r="K289" i="104" s="1"/>
  <c r="K237" i="104"/>
  <c r="L237" i="104" s="1"/>
  <c r="K233" i="104" s="1"/>
  <c r="L227" i="104"/>
  <c r="K207" i="104"/>
  <c r="L207" i="104" s="1"/>
  <c r="L382" i="104"/>
  <c r="E220" i="99"/>
  <c r="F220" i="99" s="1"/>
  <c r="K215" i="104"/>
  <c r="L215" i="104" s="1"/>
  <c r="K26" i="104"/>
  <c r="L26" i="104" s="1"/>
  <c r="K328" i="104"/>
  <c r="K381" i="104"/>
  <c r="L381" i="104" s="1"/>
  <c r="K374" i="104"/>
  <c r="L374" i="104" s="1"/>
  <c r="K388" i="104"/>
  <c r="L388" i="104" s="1"/>
  <c r="K344" i="104"/>
  <c r="K164" i="104"/>
  <c r="L164" i="104" s="1"/>
  <c r="K93" i="104"/>
  <c r="L93" i="104" s="1"/>
  <c r="K131" i="104"/>
  <c r="L131" i="104" s="1"/>
  <c r="K82" i="104"/>
  <c r="L82" i="104" s="1"/>
  <c r="K155" i="104"/>
  <c r="L155" i="104" s="1"/>
  <c r="I1833" i="98"/>
  <c r="I1834" i="98" s="1"/>
  <c r="I2649" i="98"/>
  <c r="I2650" i="98" s="1"/>
  <c r="I2651" i="98" s="1"/>
  <c r="I875" i="103"/>
  <c r="I876" i="103" s="1"/>
  <c r="I1983" i="98"/>
  <c r="I1984" i="98" s="1"/>
  <c r="I820" i="103"/>
  <c r="I821" i="103" s="1"/>
  <c r="I2961" i="98"/>
  <c r="I2962" i="98" s="1"/>
  <c r="J2956" i="98"/>
  <c r="I51" i="102"/>
  <c r="I882" i="103"/>
  <c r="I883" i="103" s="1"/>
  <c r="J877" i="103"/>
  <c r="I2992" i="98"/>
  <c r="I2993" i="98" s="1"/>
  <c r="I267" i="103"/>
  <c r="I275" i="12"/>
  <c r="K275" i="12" s="1"/>
  <c r="I268" i="12"/>
  <c r="I269" i="12"/>
  <c r="I262" i="12"/>
  <c r="I278" i="12"/>
  <c r="I265" i="12"/>
  <c r="H691" i="103"/>
  <c r="I691" i="103" s="1"/>
  <c r="H692" i="103" s="1"/>
  <c r="I692" i="103" s="1"/>
  <c r="I687" i="103" s="1"/>
  <c r="I259" i="12"/>
  <c r="I280" i="12"/>
  <c r="K280" i="12" s="1"/>
  <c r="I281" i="12"/>
  <c r="I73" i="42" s="1"/>
  <c r="J73" i="42" s="1"/>
  <c r="J72" i="42" s="1"/>
  <c r="K71" i="42" s="1"/>
  <c r="I266" i="12"/>
  <c r="K266" i="12" s="1"/>
  <c r="I597" i="103"/>
  <c r="I598" i="103" s="1"/>
  <c r="J585" i="103"/>
  <c r="I329" i="103"/>
  <c r="I330" i="103" s="1"/>
  <c r="J318" i="103"/>
  <c r="I1922" i="98"/>
  <c r="J2618" i="98"/>
  <c r="I2630" i="98"/>
  <c r="I2631" i="98" s="1"/>
  <c r="I2135" i="98"/>
  <c r="I2136" i="98" s="1"/>
  <c r="J2124" i="98"/>
  <c r="N24" i="42"/>
  <c r="P24" i="42" s="1"/>
  <c r="A25" i="42"/>
  <c r="J2970" i="98"/>
  <c r="I2974" i="98"/>
  <c r="I2975" i="98" s="1"/>
  <c r="I263" i="12"/>
  <c r="I2230" i="42"/>
  <c r="J2230" i="42" s="1"/>
  <c r="J2221" i="42" s="1"/>
  <c r="K2220" i="42" s="1"/>
  <c r="H28" i="98"/>
  <c r="I28" i="98" s="1"/>
  <c r="H29" i="98" s="1"/>
  <c r="I29" i="98" s="1"/>
  <c r="I27" i="98" s="1"/>
  <c r="I36" i="98" s="1"/>
  <c r="I267" i="12"/>
  <c r="K267" i="12" s="1"/>
  <c r="I258" i="12"/>
  <c r="I260" i="12"/>
  <c r="I2394" i="42" s="1"/>
  <c r="J2394" i="42" s="1"/>
  <c r="J2392" i="42" s="1"/>
  <c r="K2391" i="42" s="1"/>
  <c r="I279" i="12"/>
  <c r="I1742" i="42" s="1"/>
  <c r="J1742" i="42" s="1"/>
  <c r="I276" i="12"/>
  <c r="I277" i="12"/>
  <c r="K277" i="12" s="1"/>
  <c r="I261" i="12"/>
  <c r="I264" i="12"/>
  <c r="K264" i="12" s="1"/>
  <c r="I1978" i="42"/>
  <c r="J1978" i="42" s="1"/>
  <c r="I21" i="12"/>
  <c r="A267" i="12"/>
  <c r="L328" i="104" l="1"/>
  <c r="E50" i="99"/>
  <c r="F50" i="99" s="1"/>
  <c r="I3406" i="98"/>
  <c r="I3407" i="98" s="1"/>
  <c r="I3408" i="98" s="1"/>
  <c r="I3409" i="98" s="1"/>
  <c r="K140" i="104"/>
  <c r="L140" i="104" s="1"/>
  <c r="K138" i="104" s="1"/>
  <c r="E110" i="99" s="1"/>
  <c r="F110" i="99" s="1"/>
  <c r="L141" i="104"/>
  <c r="L45" i="104"/>
  <c r="E77" i="99"/>
  <c r="F77" i="99" s="1"/>
  <c r="E15" i="99"/>
  <c r="F15" i="99" s="1"/>
  <c r="I2091" i="98"/>
  <c r="K118" i="104"/>
  <c r="K101" i="104"/>
  <c r="K34" i="104"/>
  <c r="E174" i="99"/>
  <c r="F174" i="99" s="1"/>
  <c r="L220" i="104"/>
  <c r="K73" i="104"/>
  <c r="K72" i="104" s="1"/>
  <c r="L72" i="104" s="1"/>
  <c r="K70" i="104" s="1"/>
  <c r="K213" i="104"/>
  <c r="K58" i="104"/>
  <c r="E169" i="99"/>
  <c r="E192" i="99"/>
  <c r="E106" i="99"/>
  <c r="F106" i="99" s="1"/>
  <c r="E75" i="99"/>
  <c r="F75" i="99" s="1"/>
  <c r="E109" i="99"/>
  <c r="F109" i="99" s="1"/>
  <c r="L135" i="104"/>
  <c r="E79" i="99"/>
  <c r="F79" i="99" s="1"/>
  <c r="E210" i="99"/>
  <c r="F210" i="99" s="1"/>
  <c r="J26" i="98"/>
  <c r="I37" i="98"/>
  <c r="I694" i="103"/>
  <c r="I695" i="103" s="1"/>
  <c r="J686" i="103"/>
  <c r="H702" i="98"/>
  <c r="I702" i="98" s="1"/>
  <c r="H704" i="98" s="1"/>
  <c r="I704" i="98" s="1"/>
  <c r="I701" i="98" s="1"/>
  <c r="H682" i="98"/>
  <c r="I682" i="98" s="1"/>
  <c r="H684" i="98" s="1"/>
  <c r="I684" i="98" s="1"/>
  <c r="I681" i="98" s="1"/>
  <c r="H9" i="105"/>
  <c r="E187" i="99"/>
  <c r="F187" i="99" s="1"/>
  <c r="L233" i="104"/>
  <c r="L344" i="104"/>
  <c r="I1835" i="98"/>
  <c r="I1836" i="98" s="1"/>
  <c r="I2994" i="98"/>
  <c r="I2995" i="98" s="1"/>
  <c r="I1985" i="98"/>
  <c r="I1986" i="98" s="1"/>
  <c r="I22" i="12"/>
  <c r="I1980" i="42" s="1"/>
  <c r="J1980" i="42" s="1"/>
  <c r="I1979" i="42"/>
  <c r="J1979" i="42" s="1"/>
  <c r="H392" i="103"/>
  <c r="I392" i="103" s="1"/>
  <c r="H3182" i="98"/>
  <c r="I3182" i="98" s="1"/>
  <c r="H1397" i="103"/>
  <c r="I1397" i="103" s="1"/>
  <c r="H848" i="103"/>
  <c r="I848" i="103" s="1"/>
  <c r="H2278" i="98"/>
  <c r="I2278" i="98" s="1"/>
  <c r="H2177" i="98"/>
  <c r="I2177" i="98" s="1"/>
  <c r="H1163" i="103"/>
  <c r="I1163" i="103" s="1"/>
  <c r="H97" i="103"/>
  <c r="I97" i="103" s="1"/>
  <c r="I1744" i="42"/>
  <c r="J1744" i="42" s="1"/>
  <c r="J1741" i="42" s="1"/>
  <c r="K1740" i="42" s="1"/>
  <c r="H630" i="98"/>
  <c r="I630" i="98" s="1"/>
  <c r="H3166" i="98"/>
  <c r="I3166" i="98" s="1"/>
  <c r="I3165" i="98" s="1"/>
  <c r="H1147" i="103"/>
  <c r="I1147" i="103" s="1"/>
  <c r="I1146" i="103" s="1"/>
  <c r="H1750" i="98"/>
  <c r="I1750" i="98" s="1"/>
  <c r="I2137" i="98"/>
  <c r="I2138" i="98" s="1"/>
  <c r="I2139" i="98" s="1"/>
  <c r="I2652" i="98"/>
  <c r="I2653" i="98" s="1"/>
  <c r="H1415" i="103"/>
  <c r="I1415" i="103" s="1"/>
  <c r="H1244" i="103"/>
  <c r="I1244" i="103" s="1"/>
  <c r="H3358" i="98"/>
  <c r="I3358" i="98" s="1"/>
  <c r="I356" i="42"/>
  <c r="J356" i="42" s="1"/>
  <c r="I2283" i="42"/>
  <c r="J2283" i="42" s="1"/>
  <c r="I346" i="42"/>
  <c r="J346" i="42" s="1"/>
  <c r="I1347" i="42"/>
  <c r="J1347" i="42" s="1"/>
  <c r="I2304" i="42"/>
  <c r="J2304" i="42" s="1"/>
  <c r="I1778" i="42"/>
  <c r="J1778" i="42" s="1"/>
  <c r="I1083" i="42"/>
  <c r="J1083" i="42" s="1"/>
  <c r="I3146" i="42"/>
  <c r="J3146" i="42" s="1"/>
  <c r="I12" i="42"/>
  <c r="J12" i="42" s="1"/>
  <c r="K278" i="12"/>
  <c r="H1583" i="98"/>
  <c r="I1583" i="98" s="1"/>
  <c r="H545" i="98"/>
  <c r="I545" i="98" s="1"/>
  <c r="H724" i="98"/>
  <c r="I724" i="98" s="1"/>
  <c r="H663" i="98"/>
  <c r="I663" i="98" s="1"/>
  <c r="H744" i="98"/>
  <c r="I744" i="98" s="1"/>
  <c r="I884" i="103"/>
  <c r="I885" i="103" s="1"/>
  <c r="I50" i="102"/>
  <c r="I1589" i="42"/>
  <c r="J1589" i="42" s="1"/>
  <c r="I1522" i="42"/>
  <c r="J1522" i="42" s="1"/>
  <c r="I3008" i="42"/>
  <c r="J3008" i="42" s="1"/>
  <c r="I2979" i="42"/>
  <c r="J2979" i="42" s="1"/>
  <c r="I3168" i="42"/>
  <c r="J3168" i="42" s="1"/>
  <c r="I2575" i="42"/>
  <c r="J2575" i="42" s="1"/>
  <c r="I2996" i="42"/>
  <c r="J2996" i="42" s="1"/>
  <c r="I450" i="42"/>
  <c r="J450" i="42" s="1"/>
  <c r="I2746" i="42"/>
  <c r="J2746" i="42" s="1"/>
  <c r="I3156" i="42"/>
  <c r="J3156" i="42" s="1"/>
  <c r="H2488" i="98"/>
  <c r="I2488" i="98" s="1"/>
  <c r="I490" i="42"/>
  <c r="J490" i="42" s="1"/>
  <c r="I2972" i="42"/>
  <c r="J2972" i="42" s="1"/>
  <c r="J2971" i="42" s="1"/>
  <c r="K2970" i="42" s="1"/>
  <c r="I505" i="42"/>
  <c r="J505" i="42" s="1"/>
  <c r="I1857" i="42"/>
  <c r="J1857" i="42" s="1"/>
  <c r="I22" i="42"/>
  <c r="J22" i="42" s="1"/>
  <c r="I1251" i="42"/>
  <c r="J1251" i="42" s="1"/>
  <c r="I1920" i="42"/>
  <c r="J1920" i="42" s="1"/>
  <c r="I1911" i="42"/>
  <c r="J1911" i="42" s="1"/>
  <c r="I2976" i="98"/>
  <c r="I2977" i="98" s="1"/>
  <c r="N25" i="42"/>
  <c r="P25" i="42" s="1"/>
  <c r="A26" i="42"/>
  <c r="I2632" i="98"/>
  <c r="I2633" i="98" s="1"/>
  <c r="I2634" i="98" s="1"/>
  <c r="I1923" i="98"/>
  <c r="I1924" i="98" s="1"/>
  <c r="I331" i="103"/>
  <c r="I332" i="103" s="1"/>
  <c r="I599" i="103"/>
  <c r="I600" i="103" s="1"/>
  <c r="I601" i="103" s="1"/>
  <c r="H102" i="98"/>
  <c r="I102" i="98" s="1"/>
  <c r="I101" i="98" s="1"/>
  <c r="I3043" i="42"/>
  <c r="J3043" i="42" s="1"/>
  <c r="I1434" i="42"/>
  <c r="J1434" i="42" s="1"/>
  <c r="I3289" i="42"/>
  <c r="J3289" i="42" s="1"/>
  <c r="I3177" i="42"/>
  <c r="J3177" i="42" s="1"/>
  <c r="I2200" i="42"/>
  <c r="J2200" i="42" s="1"/>
  <c r="I2239" i="42"/>
  <c r="J2239" i="42" s="1"/>
  <c r="H769" i="103"/>
  <c r="I769" i="103" s="1"/>
  <c r="H418" i="98"/>
  <c r="I418" i="98" s="1"/>
  <c r="H1945" i="98"/>
  <c r="I1945" i="98" s="1"/>
  <c r="H1414" i="98"/>
  <c r="I1414" i="98" s="1"/>
  <c r="H3260" i="98"/>
  <c r="I3260" i="98" s="1"/>
  <c r="H9" i="98"/>
  <c r="I442" i="42"/>
  <c r="J442" i="42" s="1"/>
  <c r="I3321" i="42"/>
  <c r="J3321" i="42" s="1"/>
  <c r="I1171" i="42"/>
  <c r="J1171" i="42" s="1"/>
  <c r="I915" i="42"/>
  <c r="J915" i="42" s="1"/>
  <c r="K269" i="12"/>
  <c r="I549" i="42"/>
  <c r="J549" i="42" s="1"/>
  <c r="I536" i="42"/>
  <c r="J536" i="42" s="1"/>
  <c r="I560" i="42"/>
  <c r="J560" i="42" s="1"/>
  <c r="I525" i="42"/>
  <c r="J525" i="42" s="1"/>
  <c r="I515" i="42"/>
  <c r="J515" i="42" s="1"/>
  <c r="I268" i="103"/>
  <c r="I269" i="103" s="1"/>
  <c r="I2963" i="98"/>
  <c r="I2964" i="98" s="1"/>
  <c r="I9" i="98" l="1"/>
  <c r="F10" i="104"/>
  <c r="L213" i="104"/>
  <c r="I3410" i="98"/>
  <c r="I3411" i="98" s="1"/>
  <c r="E168" i="99"/>
  <c r="F168" i="99" s="1"/>
  <c r="J2090" i="98"/>
  <c r="L73" i="104"/>
  <c r="K69" i="104"/>
  <c r="L69" i="104" s="1"/>
  <c r="E80" i="99"/>
  <c r="F80" i="99" s="1"/>
  <c r="L138" i="104"/>
  <c r="E113" i="99"/>
  <c r="F113" i="99" s="1"/>
  <c r="E242" i="99"/>
  <c r="F242" i="99" s="1"/>
  <c r="F169" i="99"/>
  <c r="F192" i="99"/>
  <c r="E56" i="99"/>
  <c r="F56" i="99" s="1"/>
  <c r="E83" i="99"/>
  <c r="F83" i="99" s="1"/>
  <c r="E21" i="99"/>
  <c r="F21" i="99" s="1"/>
  <c r="L70" i="104"/>
  <c r="J680" i="98"/>
  <c r="I691" i="98"/>
  <c r="I692" i="98" s="1"/>
  <c r="I38" i="98"/>
  <c r="I39" i="98" s="1"/>
  <c r="I40" i="98" s="1"/>
  <c r="I41" i="98" s="1"/>
  <c r="I42" i="98" s="1"/>
  <c r="J700" i="98"/>
  <c r="I713" i="98"/>
  <c r="I714" i="98" s="1"/>
  <c r="I715" i="98" s="1"/>
  <c r="I716" i="98" s="1"/>
  <c r="I717" i="98" s="1"/>
  <c r="I718" i="98" s="1"/>
  <c r="I719" i="98" s="1"/>
  <c r="I696" i="103"/>
  <c r="I697" i="103" s="1"/>
  <c r="I698" i="103" s="1"/>
  <c r="I699" i="103" s="1"/>
  <c r="I700" i="103" s="1"/>
  <c r="H8" i="105"/>
  <c r="J1976" i="42"/>
  <c r="K1975" i="42" s="1"/>
  <c r="K274" i="104"/>
  <c r="L274" i="104" s="1"/>
  <c r="K272" i="104" s="1"/>
  <c r="I1837" i="98"/>
  <c r="I1838" i="98" s="1"/>
  <c r="I333" i="103"/>
  <c r="I334" i="103" s="1"/>
  <c r="I335" i="103" s="1"/>
  <c r="I602" i="103"/>
  <c r="I603" i="103" s="1"/>
  <c r="I1925" i="98"/>
  <c r="I1926" i="98" s="1"/>
  <c r="I2635" i="98"/>
  <c r="I2636" i="98" s="1"/>
  <c r="I2140" i="98"/>
  <c r="I2141" i="98" s="1"/>
  <c r="I516" i="42"/>
  <c r="J516" i="42" s="1"/>
  <c r="J514" i="42" s="1"/>
  <c r="K513" i="42" s="1"/>
  <c r="I551" i="42"/>
  <c r="J551" i="42" s="1"/>
  <c r="J548" i="42" s="1"/>
  <c r="K547" i="42" s="1"/>
  <c r="I2965" i="98"/>
  <c r="I527" i="42"/>
  <c r="J527" i="42" s="1"/>
  <c r="J524" i="42" s="1"/>
  <c r="K523" i="42" s="1"/>
  <c r="I538" i="42"/>
  <c r="J538" i="42" s="1"/>
  <c r="J535" i="42" s="1"/>
  <c r="K534" i="42" s="1"/>
  <c r="I1172" i="42"/>
  <c r="J1172" i="42" s="1"/>
  <c r="J1170" i="42" s="1"/>
  <c r="K1169" i="42" s="1"/>
  <c r="I443" i="42"/>
  <c r="J443" i="42" s="1"/>
  <c r="J441" i="42" s="1"/>
  <c r="K440" i="42" s="1"/>
  <c r="H10" i="98"/>
  <c r="H3261" i="98"/>
  <c r="I3261" i="98" s="1"/>
  <c r="I3259" i="98" s="1"/>
  <c r="H420" i="98"/>
  <c r="I420" i="98" s="1"/>
  <c r="I417" i="98" s="1"/>
  <c r="H773" i="103"/>
  <c r="I773" i="103" s="1"/>
  <c r="I768" i="103" s="1"/>
  <c r="I2201" i="42"/>
  <c r="J2201" i="42" s="1"/>
  <c r="J2196" i="42" s="1"/>
  <c r="K2195" i="42" s="1"/>
  <c r="I3290" i="42"/>
  <c r="J3290" i="42" s="1"/>
  <c r="J3288" i="42" s="1"/>
  <c r="K3287" i="42" s="1"/>
  <c r="I3044" i="42"/>
  <c r="J3044" i="42" s="1"/>
  <c r="J3042" i="42" s="1"/>
  <c r="K3041" i="42" s="1"/>
  <c r="J100" i="98"/>
  <c r="I107" i="98"/>
  <c r="I108" i="98" s="1"/>
  <c r="N26" i="42"/>
  <c r="P26" i="42" s="1"/>
  <c r="A27" i="42"/>
  <c r="I2978" i="98"/>
  <c r="I1912" i="42"/>
  <c r="J1912" i="42" s="1"/>
  <c r="J1910" i="42" s="1"/>
  <c r="K1909" i="42" s="1"/>
  <c r="I1252" i="42"/>
  <c r="J1252" i="42" s="1"/>
  <c r="J1250" i="42" s="1"/>
  <c r="K1249" i="42" s="1"/>
  <c r="I1859" i="42"/>
  <c r="J1859" i="42" s="1"/>
  <c r="J1856" i="42" s="1"/>
  <c r="K1855" i="42" s="1"/>
  <c r="H2490" i="98"/>
  <c r="I2490" i="98" s="1"/>
  <c r="I2487" i="98" s="1"/>
  <c r="I3160" i="42"/>
  <c r="J3160" i="42" s="1"/>
  <c r="J3155" i="42" s="1"/>
  <c r="K3154" i="42" s="1"/>
  <c r="I451" i="42"/>
  <c r="J451" i="42" s="1"/>
  <c r="J449" i="42" s="1"/>
  <c r="K448" i="42" s="1"/>
  <c r="I2576" i="42"/>
  <c r="J2576" i="42" s="1"/>
  <c r="J2574" i="42" s="1"/>
  <c r="K2573" i="42" s="1"/>
  <c r="I2984" i="42"/>
  <c r="J2984" i="42" s="1"/>
  <c r="J2978" i="42" s="1"/>
  <c r="K2977" i="42" s="1"/>
  <c r="I1523" i="42"/>
  <c r="J1523" i="42" s="1"/>
  <c r="J1521" i="42" s="1"/>
  <c r="K1520" i="42" s="1"/>
  <c r="I886" i="103"/>
  <c r="H746" i="98"/>
  <c r="I746" i="98" s="1"/>
  <c r="I743" i="98" s="1"/>
  <c r="H1584" i="98"/>
  <c r="I1584" i="98" s="1"/>
  <c r="I1582" i="98" s="1"/>
  <c r="I3147" i="42"/>
  <c r="J3147" i="42" s="1"/>
  <c r="J3145" i="42" s="1"/>
  <c r="K3144" i="42" s="1"/>
  <c r="I1779" i="42"/>
  <c r="J1779" i="42" s="1"/>
  <c r="J1777" i="42" s="1"/>
  <c r="K1776" i="42" s="1"/>
  <c r="I1348" i="42"/>
  <c r="J1348" i="42" s="1"/>
  <c r="J1346" i="42" s="1"/>
  <c r="K1345" i="42" s="1"/>
  <c r="I2287" i="42"/>
  <c r="J2287" i="42" s="1"/>
  <c r="J2282" i="42" s="1"/>
  <c r="K2281" i="42" s="1"/>
  <c r="I3171" i="98"/>
  <c r="I3172" i="98" s="1"/>
  <c r="J3164" i="98"/>
  <c r="H631" i="98"/>
  <c r="I631" i="98" s="1"/>
  <c r="I629" i="98" s="1"/>
  <c r="H98" i="103"/>
  <c r="I98" i="103" s="1"/>
  <c r="I96" i="103" s="1"/>
  <c r="H2178" i="98"/>
  <c r="I2178" i="98" s="1"/>
  <c r="I2176" i="98" s="1"/>
  <c r="H849" i="103"/>
  <c r="I849" i="103" s="1"/>
  <c r="I847" i="103" s="1"/>
  <c r="H393" i="103"/>
  <c r="I393" i="103" s="1"/>
  <c r="I391" i="103" s="1"/>
  <c r="I270" i="103"/>
  <c r="I271" i="103" s="1"/>
  <c r="I562" i="42"/>
  <c r="J562" i="42" s="1"/>
  <c r="J559" i="42" s="1"/>
  <c r="K558" i="42" s="1"/>
  <c r="I919" i="42"/>
  <c r="J919" i="42" s="1"/>
  <c r="J914" i="42" s="1"/>
  <c r="K913" i="42" s="1"/>
  <c r="I3322" i="42"/>
  <c r="J3322" i="42" s="1"/>
  <c r="J3320" i="42" s="1"/>
  <c r="K3319" i="42" s="1"/>
  <c r="I14" i="96" s="1"/>
  <c r="H1415" i="98"/>
  <c r="I1415" i="98" s="1"/>
  <c r="I1413" i="98" s="1"/>
  <c r="H1946" i="98"/>
  <c r="I1946" i="98" s="1"/>
  <c r="I1944" i="98" s="1"/>
  <c r="I2240" i="42"/>
  <c r="J2240" i="42" s="1"/>
  <c r="J2233" i="42" s="1"/>
  <c r="K2232" i="42" s="1"/>
  <c r="I3178" i="42"/>
  <c r="J3178" i="42" s="1"/>
  <c r="J3176" i="42" s="1"/>
  <c r="K3175" i="42" s="1"/>
  <c r="I1435" i="42"/>
  <c r="J1435" i="42" s="1"/>
  <c r="J1433" i="42" s="1"/>
  <c r="K1432" i="42" s="1"/>
  <c r="I1921" i="42"/>
  <c r="J1921" i="42" s="1"/>
  <c r="J1919" i="42" s="1"/>
  <c r="K1918" i="42" s="1"/>
  <c r="I23" i="42"/>
  <c r="J23" i="42" s="1"/>
  <c r="J21" i="42" s="1"/>
  <c r="K20" i="42" s="1"/>
  <c r="I506" i="42"/>
  <c r="J506" i="42" s="1"/>
  <c r="J504" i="42" s="1"/>
  <c r="K503" i="42" s="1"/>
  <c r="I491" i="42"/>
  <c r="J491" i="42" s="1"/>
  <c r="J489" i="42" s="1"/>
  <c r="K488" i="42" s="1"/>
  <c r="I2747" i="42"/>
  <c r="J2747" i="42" s="1"/>
  <c r="J2745" i="42" s="1"/>
  <c r="K2744" i="42" s="1"/>
  <c r="I3001" i="42"/>
  <c r="J3001" i="42" s="1"/>
  <c r="J2995" i="42" s="1"/>
  <c r="K2994" i="42" s="1"/>
  <c r="I3169" i="42"/>
  <c r="J3169" i="42" s="1"/>
  <c r="J3167" i="42" s="1"/>
  <c r="K3166" i="42" s="1"/>
  <c r="I3012" i="42"/>
  <c r="J3012" i="42" s="1"/>
  <c r="J3007" i="42" s="1"/>
  <c r="K3006" i="42" s="1"/>
  <c r="I1590" i="42"/>
  <c r="J1590" i="42" s="1"/>
  <c r="J1588" i="42" s="1"/>
  <c r="K1587" i="42" s="1"/>
  <c r="H664" i="98"/>
  <c r="I664" i="98" s="1"/>
  <c r="I662" i="98" s="1"/>
  <c r="H726" i="98"/>
  <c r="I726" i="98" s="1"/>
  <c r="I723" i="98" s="1"/>
  <c r="H546" i="98"/>
  <c r="I546" i="98" s="1"/>
  <c r="I544" i="98" s="1"/>
  <c r="I13" i="42"/>
  <c r="J13" i="42" s="1"/>
  <c r="J11" i="42" s="1"/>
  <c r="K10" i="42" s="1"/>
  <c r="I1084" i="42"/>
  <c r="J1084" i="42" s="1"/>
  <c r="J1082" i="42" s="1"/>
  <c r="K1081" i="42" s="1"/>
  <c r="I2305" i="42"/>
  <c r="J2305" i="42" s="1"/>
  <c r="J2303" i="42" s="1"/>
  <c r="K2302" i="42" s="1"/>
  <c r="I348" i="42"/>
  <c r="J348" i="42" s="1"/>
  <c r="J345" i="42" s="1"/>
  <c r="K344" i="42" s="1"/>
  <c r="I358" i="42"/>
  <c r="J358" i="42" s="1"/>
  <c r="J355" i="42" s="1"/>
  <c r="K354" i="42" s="1"/>
  <c r="H3359" i="98"/>
  <c r="I3359" i="98" s="1"/>
  <c r="I3357" i="98" s="1"/>
  <c r="H3336" i="98" s="1"/>
  <c r="H1245" i="103"/>
  <c r="I1245" i="103" s="1"/>
  <c r="I1243" i="103" s="1"/>
  <c r="H1416" i="103"/>
  <c r="I1416" i="103" s="1"/>
  <c r="I1414" i="103" s="1"/>
  <c r="H1751" i="98"/>
  <c r="I1751" i="98" s="1"/>
  <c r="I1749" i="98" s="1"/>
  <c r="J1145" i="103"/>
  <c r="I1152" i="103"/>
  <c r="I1153" i="103" s="1"/>
  <c r="H1168" i="103"/>
  <c r="I1168" i="103" s="1"/>
  <c r="I1162" i="103" s="1"/>
  <c r="H2279" i="98"/>
  <c r="I2279" i="98" s="1"/>
  <c r="I2277" i="98" s="1"/>
  <c r="H1398" i="103"/>
  <c r="I1398" i="103" s="1"/>
  <c r="I1396" i="103" s="1"/>
  <c r="H3186" i="98"/>
  <c r="I3186" i="98" s="1"/>
  <c r="I3181" i="98" s="1"/>
  <c r="I2996" i="98"/>
  <c r="I2997" i="98" s="1"/>
  <c r="I10" i="98" l="1"/>
  <c r="I8" i="98" s="1"/>
  <c r="I17" i="98" s="1"/>
  <c r="I18" i="98" s="1"/>
  <c r="F11" i="104"/>
  <c r="E231" i="99"/>
  <c r="F231" i="99" s="1"/>
  <c r="E236" i="99"/>
  <c r="F236" i="99" s="1"/>
  <c r="E235" i="99"/>
  <c r="F235" i="99" s="1"/>
  <c r="K67" i="104"/>
  <c r="I701" i="103"/>
  <c r="I702" i="103" s="1"/>
  <c r="I43" i="98"/>
  <c r="I44" i="98" s="1"/>
  <c r="I720" i="98"/>
  <c r="I721" i="98" s="1"/>
  <c r="I693" i="98"/>
  <c r="I694" i="98" s="1"/>
  <c r="I695" i="98" s="1"/>
  <c r="I696" i="98" s="1"/>
  <c r="I697" i="98" s="1"/>
  <c r="I7" i="105"/>
  <c r="H13" i="105"/>
  <c r="H14" i="105" s="1"/>
  <c r="K314" i="104"/>
  <c r="L314" i="104" s="1"/>
  <c r="K312" i="104" s="1"/>
  <c r="E33" i="99"/>
  <c r="F33" i="99" s="1"/>
  <c r="E34" i="99"/>
  <c r="F34" i="99" s="1"/>
  <c r="K305" i="104"/>
  <c r="L305" i="104" s="1"/>
  <c r="E199" i="99"/>
  <c r="F199" i="99" s="1"/>
  <c r="O14" i="96"/>
  <c r="P14" i="96" s="1"/>
  <c r="P13" i="96" s="1"/>
  <c r="L14" i="96"/>
  <c r="J390" i="103"/>
  <c r="I398" i="103"/>
  <c r="I399" i="103" s="1"/>
  <c r="I853" i="103"/>
  <c r="I854" i="103" s="1"/>
  <c r="J846" i="103"/>
  <c r="I1404" i="103"/>
  <c r="I1405" i="103" s="1"/>
  <c r="J1395" i="103"/>
  <c r="I1173" i="103"/>
  <c r="I1174" i="103" s="1"/>
  <c r="J1161" i="103"/>
  <c r="I336" i="103"/>
  <c r="I337" i="103" s="1"/>
  <c r="I1952" i="98"/>
  <c r="I1953" i="98" s="1"/>
  <c r="J1943" i="98"/>
  <c r="J2175" i="98"/>
  <c r="I2183" i="98"/>
  <c r="I2184" i="98" s="1"/>
  <c r="I636" i="98"/>
  <c r="I637" i="98" s="1"/>
  <c r="J628" i="98"/>
  <c r="I1588" i="98"/>
  <c r="I1589" i="98" s="1"/>
  <c r="J1581" i="98"/>
  <c r="I753" i="98"/>
  <c r="I754" i="98" s="1"/>
  <c r="J742" i="98"/>
  <c r="J2486" i="98"/>
  <c r="I2496" i="98"/>
  <c r="I2497" i="98" s="1"/>
  <c r="J11" i="86"/>
  <c r="I779" i="103"/>
  <c r="I780" i="103" s="1"/>
  <c r="J767" i="103"/>
  <c r="J7" i="98"/>
  <c r="I2142" i="98"/>
  <c r="I2143" i="98" s="1"/>
  <c r="I2284" i="98"/>
  <c r="I2285" i="98" s="1"/>
  <c r="J2276" i="98"/>
  <c r="J1748" i="98"/>
  <c r="I1757" i="98"/>
  <c r="I1758" i="98" s="1"/>
  <c r="I103" i="103"/>
  <c r="I104" i="103" s="1"/>
  <c r="J95" i="103"/>
  <c r="I3276" i="42"/>
  <c r="J3276" i="42" s="1"/>
  <c r="J416" i="98"/>
  <c r="I426" i="98"/>
  <c r="I427" i="98" s="1"/>
  <c r="I3268" i="98"/>
  <c r="I3269" i="98" s="1"/>
  <c r="J3258" i="98"/>
  <c r="I604" i="103"/>
  <c r="I605" i="103" s="1"/>
  <c r="I3191" i="98"/>
  <c r="I3192" i="98" s="1"/>
  <c r="J3180" i="98"/>
  <c r="J543" i="98"/>
  <c r="I551" i="98"/>
  <c r="I552" i="98" s="1"/>
  <c r="I733" i="98"/>
  <c r="I734" i="98" s="1"/>
  <c r="J722" i="98"/>
  <c r="I1421" i="98"/>
  <c r="I1422" i="98" s="1"/>
  <c r="J1412" i="98"/>
  <c r="I3173" i="98"/>
  <c r="I887" i="103"/>
  <c r="I888" i="103" s="1"/>
  <c r="I2979" i="98"/>
  <c r="I2980" i="98" s="1"/>
  <c r="I109" i="98"/>
  <c r="I110" i="98" s="1"/>
  <c r="I111" i="98" s="1"/>
  <c r="I2966" i="98"/>
  <c r="I2967" i="98" s="1"/>
  <c r="L272" i="104"/>
  <c r="E206" i="99"/>
  <c r="F206" i="99" s="1"/>
  <c r="F204" i="99" s="1"/>
  <c r="J1413" i="103"/>
  <c r="I1422" i="103"/>
  <c r="I1423" i="103" s="1"/>
  <c r="I1250" i="103"/>
  <c r="I1251" i="103" s="1"/>
  <c r="J1242" i="103"/>
  <c r="I3336" i="98"/>
  <c r="I3365" i="98"/>
  <c r="I3366" i="98" s="1"/>
  <c r="J3356" i="98"/>
  <c r="I671" i="98"/>
  <c r="I672" i="98" s="1"/>
  <c r="J661" i="98"/>
  <c r="I1154" i="103"/>
  <c r="I1155" i="103" s="1"/>
  <c r="I1156" i="103" s="1"/>
  <c r="N27" i="42"/>
  <c r="P27" i="42" s="1"/>
  <c r="A28" i="42"/>
  <c r="I2637" i="98"/>
  <c r="I2638" i="98" s="1"/>
  <c r="E55" i="99" l="1"/>
  <c r="F55" i="99" s="1"/>
  <c r="L67" i="104"/>
  <c r="E241" i="99"/>
  <c r="F241" i="99" s="1"/>
  <c r="E82" i="99"/>
  <c r="F82" i="99" s="1"/>
  <c r="E20" i="99"/>
  <c r="F20" i="99" s="1"/>
  <c r="E112" i="99"/>
  <c r="F112" i="99" s="1"/>
  <c r="I698" i="98"/>
  <c r="I699" i="98" s="1"/>
  <c r="H15" i="105"/>
  <c r="H16" i="105" s="1"/>
  <c r="L312" i="104"/>
  <c r="K318" i="104"/>
  <c r="L318" i="104" s="1"/>
  <c r="K316" i="104" s="1"/>
  <c r="K322" i="104"/>
  <c r="L322" i="104" s="1"/>
  <c r="K320" i="104" s="1"/>
  <c r="E217" i="99"/>
  <c r="F217" i="99" s="1"/>
  <c r="F216" i="99" s="1"/>
  <c r="K300" i="104"/>
  <c r="L300" i="104" s="1"/>
  <c r="I3174" i="98"/>
  <c r="I3175" i="98" s="1"/>
  <c r="I3176" i="98" s="1"/>
  <c r="I3177" i="98" s="1"/>
  <c r="I112" i="98"/>
  <c r="I113" i="98" s="1"/>
  <c r="I1157" i="103"/>
  <c r="I1158" i="103" s="1"/>
  <c r="I2968" i="98"/>
  <c r="I2969" i="98" s="1"/>
  <c r="I673" i="98"/>
  <c r="I674" i="98" s="1"/>
  <c r="I675" i="98" s="1"/>
  <c r="I3367" i="98"/>
  <c r="I3368" i="98" s="1"/>
  <c r="I3369" i="98" s="1"/>
  <c r="I1424" i="103"/>
  <c r="I1425" i="103" s="1"/>
  <c r="I1426" i="103" s="1"/>
  <c r="I2981" i="98"/>
  <c r="I2982" i="98" s="1"/>
  <c r="I889" i="103"/>
  <c r="I890" i="103" s="1"/>
  <c r="I553" i="98"/>
  <c r="I554" i="98" s="1"/>
  <c r="I555" i="98" s="1"/>
  <c r="I428" i="98"/>
  <c r="I429" i="98" s="1"/>
  <c r="I430" i="98" s="1"/>
  <c r="I3278" i="42"/>
  <c r="J3278" i="42" s="1"/>
  <c r="J3274" i="42" s="1"/>
  <c r="K3273" i="42" s="1"/>
  <c r="I1759" i="98"/>
  <c r="I1760" i="98" s="1"/>
  <c r="I1761" i="98" s="1"/>
  <c r="I19" i="98"/>
  <c r="I20" i="98" s="1"/>
  <c r="I781" i="103"/>
  <c r="M11" i="86"/>
  <c r="O11" i="86"/>
  <c r="I2498" i="98"/>
  <c r="I2499" i="98" s="1"/>
  <c r="I2500" i="98" s="1"/>
  <c r="I638" i="98"/>
  <c r="I639" i="98" s="1"/>
  <c r="I640" i="98" s="1"/>
  <c r="I1954" i="98"/>
  <c r="I1955" i="98" s="1"/>
  <c r="I1175" i="103"/>
  <c r="I1176" i="103" s="1"/>
  <c r="I1177" i="103" s="1"/>
  <c r="I1406" i="103"/>
  <c r="I1407" i="103" s="1"/>
  <c r="I400" i="103"/>
  <c r="I401" i="103" s="1"/>
  <c r="N28" i="42"/>
  <c r="P28" i="42" s="1"/>
  <c r="A29" i="42"/>
  <c r="H3338" i="98"/>
  <c r="I3338" i="98" s="1"/>
  <c r="I3334" i="98" s="1"/>
  <c r="I3347" i="98" s="1"/>
  <c r="I1252" i="103"/>
  <c r="I1253" i="103" s="1"/>
  <c r="I1423" i="98"/>
  <c r="I1424" i="98" s="1"/>
  <c r="I1425" i="98" s="1"/>
  <c r="I735" i="98"/>
  <c r="I736" i="98" s="1"/>
  <c r="I737" i="98" s="1"/>
  <c r="I3193" i="98"/>
  <c r="I3270" i="98"/>
  <c r="I3271" i="98" s="1"/>
  <c r="I105" i="103"/>
  <c r="I106" i="103" s="1"/>
  <c r="I2286" i="98"/>
  <c r="I2287" i="98" s="1"/>
  <c r="I2288" i="98" s="1"/>
  <c r="I755" i="98"/>
  <c r="I1590" i="98"/>
  <c r="I1591" i="98" s="1"/>
  <c r="I1592" i="98" s="1"/>
  <c r="I2185" i="98"/>
  <c r="I2186" i="98" s="1"/>
  <c r="I2187" i="98" s="1"/>
  <c r="I855" i="103"/>
  <c r="I856" i="103" s="1"/>
  <c r="I857" i="103" s="1"/>
  <c r="H17" i="105" l="1"/>
  <c r="H18" i="105" s="1"/>
  <c r="H19" i="105" s="1"/>
  <c r="L320" i="104"/>
  <c r="L316" i="104"/>
  <c r="I1254" i="103"/>
  <c r="I1255" i="103" s="1"/>
  <c r="I1256" i="103" s="1"/>
  <c r="E35" i="99"/>
  <c r="F35" i="99" s="1"/>
  <c r="E40" i="99"/>
  <c r="F40" i="99" s="1"/>
  <c r="I3272" i="98"/>
  <c r="I3273" i="98" s="1"/>
  <c r="I3274" i="98" s="1"/>
  <c r="I3194" i="98"/>
  <c r="I3195" i="98" s="1"/>
  <c r="I3196" i="98" s="1"/>
  <c r="I3197" i="98" s="1"/>
  <c r="I402" i="103"/>
  <c r="I1408" i="103"/>
  <c r="I1409" i="103" s="1"/>
  <c r="I1410" i="103" s="1"/>
  <c r="I858" i="103"/>
  <c r="I859" i="103" s="1"/>
  <c r="I2188" i="98"/>
  <c r="I2189" i="98" s="1"/>
  <c r="I641" i="98"/>
  <c r="I642" i="98" s="1"/>
  <c r="I2501" i="98"/>
  <c r="I2502" i="98" s="1"/>
  <c r="I1762" i="98"/>
  <c r="I1763" i="98" s="1"/>
  <c r="I431" i="98"/>
  <c r="I432" i="98" s="1"/>
  <c r="I1427" i="103"/>
  <c r="I1428" i="103" s="1"/>
  <c r="I3370" i="98"/>
  <c r="I3371" i="98" s="1"/>
  <c r="I1593" i="98"/>
  <c r="I1594" i="98" s="1"/>
  <c r="I738" i="98"/>
  <c r="I739" i="98" s="1"/>
  <c r="I1426" i="98"/>
  <c r="I1427" i="98" s="1"/>
  <c r="I3348" i="98"/>
  <c r="J3333" i="98"/>
  <c r="I1178" i="103"/>
  <c r="I1179" i="103" s="1"/>
  <c r="I3178" i="98"/>
  <c r="I3179" i="98" s="1"/>
  <c r="I676" i="98"/>
  <c r="I677" i="98" s="1"/>
  <c r="I2289" i="98"/>
  <c r="I2290" i="98" s="1"/>
  <c r="I756" i="98"/>
  <c r="I757" i="98" s="1"/>
  <c r="I107" i="103"/>
  <c r="N29" i="42"/>
  <c r="P29" i="42" s="1"/>
  <c r="A30" i="42"/>
  <c r="I1956" i="98"/>
  <c r="P11" i="86"/>
  <c r="P21" i="86" s="1"/>
  <c r="Q11" i="86"/>
  <c r="I782" i="103"/>
  <c r="I783" i="103" s="1"/>
  <c r="I21" i="98"/>
  <c r="I556" i="98"/>
  <c r="I557" i="98" s="1"/>
  <c r="L371" i="104"/>
  <c r="K369" i="104" s="1"/>
  <c r="I1159" i="103"/>
  <c r="I1160" i="103" s="1"/>
  <c r="I114" i="98"/>
  <c r="I115" i="98" s="1"/>
  <c r="H20" i="105" l="1"/>
  <c r="H21" i="105" s="1"/>
  <c r="E245" i="99" s="1"/>
  <c r="F245" i="99" s="1"/>
  <c r="F244" i="99" s="1"/>
  <c r="F243" i="99" s="1"/>
  <c r="F32" i="99"/>
  <c r="L369" i="104"/>
  <c r="I403" i="103"/>
  <c r="I404" i="103" s="1"/>
  <c r="K363" i="104"/>
  <c r="L363" i="104" s="1"/>
  <c r="K283" i="104"/>
  <c r="L283" i="104" s="1"/>
  <c r="I3275" i="98"/>
  <c r="I3276" i="98" s="1"/>
  <c r="I784" i="103"/>
  <c r="I785" i="103" s="1"/>
  <c r="I758" i="98"/>
  <c r="I759" i="98" s="1"/>
  <c r="I1180" i="103"/>
  <c r="I1181" i="103" s="1"/>
  <c r="I1764" i="98"/>
  <c r="I1765" i="98" s="1"/>
  <c r="I1257" i="103"/>
  <c r="I1258" i="103" s="1"/>
  <c r="I2291" i="98"/>
  <c r="I2292" i="98" s="1"/>
  <c r="I678" i="98"/>
  <c r="I679" i="98" s="1"/>
  <c r="I1429" i="103"/>
  <c r="I1430" i="103" s="1"/>
  <c r="I433" i="98"/>
  <c r="I434" i="98" s="1"/>
  <c r="I2503" i="98"/>
  <c r="I2504" i="98" s="1"/>
  <c r="I643" i="98"/>
  <c r="I644" i="98" s="1"/>
  <c r="I3198" i="98"/>
  <c r="I3199" i="98" s="1"/>
  <c r="I2190" i="98"/>
  <c r="I2191" i="98" s="1"/>
  <c r="I860" i="103"/>
  <c r="I861" i="103" s="1"/>
  <c r="I558" i="98"/>
  <c r="I559" i="98" s="1"/>
  <c r="I22" i="98"/>
  <c r="I23" i="98" s="1"/>
  <c r="I1957" i="98"/>
  <c r="I1958" i="98" s="1"/>
  <c r="N30" i="42"/>
  <c r="P30" i="42" s="1"/>
  <c r="A31" i="42"/>
  <c r="I108" i="103"/>
  <c r="I109" i="103" s="1"/>
  <c r="I1411" i="103"/>
  <c r="I1412" i="103" s="1"/>
  <c r="I3349" i="98"/>
  <c r="I3350" i="98" s="1"/>
  <c r="I1428" i="98"/>
  <c r="I1429" i="98" s="1"/>
  <c r="I740" i="98"/>
  <c r="I741" i="98" s="1"/>
  <c r="I1595" i="98"/>
  <c r="I1596" i="98" s="1"/>
  <c r="I3372" i="98"/>
  <c r="I3373" i="98" s="1"/>
  <c r="E95" i="99" l="1"/>
  <c r="F95" i="99" s="1"/>
  <c r="D8" i="106"/>
  <c r="K307" i="104"/>
  <c r="I405" i="103"/>
  <c r="I406" i="103" s="1"/>
  <c r="K168" i="104"/>
  <c r="L168" i="104" s="1"/>
  <c r="K167" i="104" s="1"/>
  <c r="K40" i="104"/>
  <c r="L40" i="104" s="1"/>
  <c r="K231" i="104"/>
  <c r="L231" i="104" s="1"/>
  <c r="K230" i="104" s="1"/>
  <c r="K224" i="104"/>
  <c r="L224" i="104" s="1"/>
  <c r="K223" i="104" s="1"/>
  <c r="K183" i="104"/>
  <c r="L183" i="104" s="1"/>
  <c r="K259" i="104"/>
  <c r="L259" i="104" s="1"/>
  <c r="K256" i="104" s="1"/>
  <c r="E30" i="99"/>
  <c r="F30" i="99" s="1"/>
  <c r="E226" i="99"/>
  <c r="F226" i="99" s="1"/>
  <c r="F219" i="99" s="1"/>
  <c r="K108" i="104"/>
  <c r="L108" i="104" s="1"/>
  <c r="K65" i="104"/>
  <c r="L65" i="104" s="1"/>
  <c r="K64" i="104" s="1"/>
  <c r="K205" i="104"/>
  <c r="L205" i="104" s="1"/>
  <c r="K189" i="104" s="1"/>
  <c r="K81" i="104"/>
  <c r="L81" i="104" s="1"/>
  <c r="K80" i="104" s="1"/>
  <c r="K162" i="104"/>
  <c r="L162" i="104" s="1"/>
  <c r="K161" i="104" s="1"/>
  <c r="L358" i="104"/>
  <c r="I110" i="103"/>
  <c r="I111" i="103" s="1"/>
  <c r="I786" i="103"/>
  <c r="I787" i="103" s="1"/>
  <c r="L364" i="104"/>
  <c r="L289" i="104"/>
  <c r="I3351" i="98"/>
  <c r="N31" i="42"/>
  <c r="P31" i="42" s="1"/>
  <c r="F7" i="67" s="1"/>
  <c r="G7" i="67" s="1"/>
  <c r="A32" i="42"/>
  <c r="K176" i="104"/>
  <c r="L176" i="104" s="1"/>
  <c r="I1959" i="98"/>
  <c r="I1960" i="98" s="1"/>
  <c r="I24" i="98"/>
  <c r="I25" i="98" s="1"/>
  <c r="L310" i="104"/>
  <c r="I760" i="98"/>
  <c r="I761" i="98" s="1"/>
  <c r="E200" i="99" l="1"/>
  <c r="F200" i="99" s="1"/>
  <c r="K39" i="104"/>
  <c r="L189" i="104"/>
  <c r="K188" i="104"/>
  <c r="L188" i="104" s="1"/>
  <c r="K181" i="104"/>
  <c r="L181" i="104" s="1"/>
  <c r="K175" i="104" s="1"/>
  <c r="E240" i="99"/>
  <c r="F240" i="99" s="1"/>
  <c r="L307" i="104"/>
  <c r="K129" i="104"/>
  <c r="L129" i="104" s="1"/>
  <c r="K128" i="104" s="1"/>
  <c r="K217" i="104"/>
  <c r="L217" i="104" s="1"/>
  <c r="K91" i="104"/>
  <c r="L91" i="104" s="1"/>
  <c r="K281" i="104"/>
  <c r="L281" i="104" s="1"/>
  <c r="K276" i="104" s="1"/>
  <c r="K147" i="104"/>
  <c r="L147" i="104" s="1"/>
  <c r="K146" i="104" s="1"/>
  <c r="K309" i="104"/>
  <c r="K362" i="104"/>
  <c r="L362" i="104" s="1"/>
  <c r="K351" i="104"/>
  <c r="L351" i="104" s="1"/>
  <c r="K373" i="104"/>
  <c r="L373" i="104" s="1"/>
  <c r="K372" i="104" s="1"/>
  <c r="K357" i="104"/>
  <c r="L357" i="104" s="1"/>
  <c r="K367" i="104"/>
  <c r="L367" i="104" s="1"/>
  <c r="K366" i="104" s="1"/>
  <c r="K335" i="104"/>
  <c r="L335" i="104" s="1"/>
  <c r="K334" i="104" s="1"/>
  <c r="K352" i="104"/>
  <c r="L352" i="104" s="1"/>
  <c r="K326" i="104"/>
  <c r="L326" i="104" s="1"/>
  <c r="K324" i="104" s="1"/>
  <c r="L349" i="104"/>
  <c r="K347" i="104" s="1"/>
  <c r="K172" i="104"/>
  <c r="L172" i="104" s="1"/>
  <c r="K171" i="104" s="1"/>
  <c r="K242" i="104"/>
  <c r="L242" i="104" s="1"/>
  <c r="K90" i="104"/>
  <c r="L90" i="104" s="1"/>
  <c r="E81" i="99"/>
  <c r="F81" i="99" s="1"/>
  <c r="G78" i="99" s="1"/>
  <c r="G79" i="99" s="1"/>
  <c r="E19" i="99"/>
  <c r="F19" i="99" s="1"/>
  <c r="E54" i="99"/>
  <c r="F54" i="99" s="1"/>
  <c r="N32" i="42"/>
  <c r="P32" i="42" s="1"/>
  <c r="A33" i="42"/>
  <c r="I3352" i="98"/>
  <c r="I3353" i="98" s="1"/>
  <c r="E176" i="99"/>
  <c r="F176" i="99" s="1"/>
  <c r="L223" i="104"/>
  <c r="L230" i="104"/>
  <c r="E183" i="99"/>
  <c r="F183" i="99" s="1"/>
  <c r="E126" i="99"/>
  <c r="F126" i="99" s="1"/>
  <c r="L167" i="104"/>
  <c r="L80" i="104"/>
  <c r="E27" i="99"/>
  <c r="F27" i="99" s="1"/>
  <c r="F26" i="99" s="1"/>
  <c r="E97" i="99"/>
  <c r="F97" i="99" s="1"/>
  <c r="L161" i="104"/>
  <c r="L175" i="104" l="1"/>
  <c r="E64" i="99"/>
  <c r="F64" i="99" s="1"/>
  <c r="E128" i="99"/>
  <c r="F128" i="99" s="1"/>
  <c r="L256" i="104"/>
  <c r="E12" i="99"/>
  <c r="F12" i="99" s="1"/>
  <c r="K89" i="104"/>
  <c r="L39" i="104"/>
  <c r="E91" i="99"/>
  <c r="F91" i="99" s="1"/>
  <c r="E45" i="99"/>
  <c r="F45" i="99" s="1"/>
  <c r="E72" i="99"/>
  <c r="F72" i="99" s="1"/>
  <c r="K241" i="104"/>
  <c r="K216" i="104"/>
  <c r="K182" i="104"/>
  <c r="L64" i="104"/>
  <c r="E111" i="99"/>
  <c r="F111" i="99" s="1"/>
  <c r="G108" i="99" s="1"/>
  <c r="G109" i="99" s="1"/>
  <c r="E90" i="99"/>
  <c r="F90" i="99" s="1"/>
  <c r="L276" i="104"/>
  <c r="L146" i="104"/>
  <c r="L372" i="104"/>
  <c r="L366" i="104"/>
  <c r="K356" i="104"/>
  <c r="K350" i="104"/>
  <c r="L347" i="104"/>
  <c r="L334" i="104"/>
  <c r="L324" i="104"/>
  <c r="L309" i="104"/>
  <c r="K379" i="104"/>
  <c r="L379" i="104" s="1"/>
  <c r="K378" i="104" s="1"/>
  <c r="K386" i="104"/>
  <c r="L386" i="104" s="1"/>
  <c r="K385" i="104" s="1"/>
  <c r="K8" i="104"/>
  <c r="L8" i="104" s="1"/>
  <c r="K7" i="104" s="1"/>
  <c r="E9" i="99" s="1"/>
  <c r="F9" i="99" s="1"/>
  <c r="K266" i="104"/>
  <c r="L266" i="104" s="1"/>
  <c r="K107" i="104"/>
  <c r="L107" i="104" s="1"/>
  <c r="K106" i="104" s="1"/>
  <c r="E127" i="99"/>
  <c r="F127" i="99" s="1"/>
  <c r="L171" i="104"/>
  <c r="I3354" i="98"/>
  <c r="I3355" i="98" s="1"/>
  <c r="N33" i="42"/>
  <c r="P33" i="42" s="1"/>
  <c r="Q351" i="66" s="1"/>
  <c r="A34" i="42"/>
  <c r="E172" i="99" l="1"/>
  <c r="F172" i="99" s="1"/>
  <c r="F161" i="99" s="1"/>
  <c r="E44" i="99"/>
  <c r="F44" i="99" s="1"/>
  <c r="E129" i="99"/>
  <c r="F129" i="99" s="1"/>
  <c r="E190" i="99"/>
  <c r="F190" i="99" s="1"/>
  <c r="L89" i="104"/>
  <c r="L128" i="104"/>
  <c r="L132" i="104" s="1"/>
  <c r="L216" i="104"/>
  <c r="E103" i="99"/>
  <c r="F103" i="99" s="1"/>
  <c r="F88" i="99" s="1"/>
  <c r="L241" i="104"/>
  <c r="K265" i="104"/>
  <c r="F125" i="99"/>
  <c r="L182" i="104"/>
  <c r="L106" i="104"/>
  <c r="E209" i="99"/>
  <c r="F209" i="99" s="1"/>
  <c r="F208" i="99" s="1"/>
  <c r="L7" i="104"/>
  <c r="L385" i="104"/>
  <c r="L356" i="104"/>
  <c r="L350" i="104"/>
  <c r="E63" i="99"/>
  <c r="F63" i="99" s="1"/>
  <c r="F61" i="99" s="1"/>
  <c r="N34" i="42"/>
  <c r="P34" i="42" s="1"/>
  <c r="Q722" i="66" s="1"/>
  <c r="A35" i="42"/>
  <c r="AC351" i="66"/>
  <c r="R351" i="66"/>
  <c r="L265" i="104" l="1"/>
  <c r="E202" i="99"/>
  <c r="F202" i="99" s="1"/>
  <c r="F188" i="99" s="1"/>
  <c r="F124" i="99" s="1"/>
  <c r="N35" i="42"/>
  <c r="P35" i="42" s="1"/>
  <c r="Q70" i="66" s="1"/>
  <c r="A36" i="42"/>
  <c r="R722" i="66"/>
  <c r="AC722" i="66"/>
  <c r="N36" i="42" l="1"/>
  <c r="P36" i="42" s="1"/>
  <c r="A37" i="42"/>
  <c r="R70" i="66"/>
  <c r="AC70" i="66"/>
  <c r="D7" i="106" l="1"/>
  <c r="N37" i="42"/>
  <c r="P37" i="42" s="1"/>
  <c r="A38" i="42"/>
  <c r="J1" i="103" l="1"/>
  <c r="N38" i="42"/>
  <c r="P38" i="42" s="1"/>
  <c r="Q171" i="66" s="1"/>
  <c r="A39" i="42"/>
  <c r="N39" i="42" l="1"/>
  <c r="P39" i="42" s="1"/>
  <c r="A40" i="42"/>
  <c r="R171" i="66"/>
  <c r="AC171" i="66"/>
  <c r="N40" i="42" l="1"/>
  <c r="P40" i="42" s="1"/>
  <c r="A41" i="42"/>
  <c r="N41" i="42" l="1"/>
  <c r="P41" i="42" s="1"/>
  <c r="A42" i="42"/>
  <c r="N42" i="42" l="1"/>
  <c r="P42" i="42" s="1"/>
  <c r="A43" i="42"/>
  <c r="N43" i="42" l="1"/>
  <c r="P43" i="42" s="1"/>
  <c r="A44" i="42"/>
  <c r="N44" i="42" l="1"/>
  <c r="P44" i="42" s="1"/>
  <c r="A45" i="42"/>
  <c r="N45" i="42" l="1"/>
  <c r="P45" i="42" s="1"/>
  <c r="A46" i="42"/>
  <c r="N46" i="42" l="1"/>
  <c r="P46" i="42" s="1"/>
  <c r="A47" i="42"/>
  <c r="N47" i="42" l="1"/>
  <c r="P47" i="42" s="1"/>
  <c r="A48" i="42"/>
  <c r="N48" i="42" l="1"/>
  <c r="P48" i="42" s="1"/>
  <c r="A49" i="42"/>
  <c r="N49" i="42" l="1"/>
  <c r="P49" i="42" s="1"/>
  <c r="A50" i="42"/>
  <c r="N50" i="42" l="1"/>
  <c r="P50" i="42" s="1"/>
  <c r="Q168" i="66" s="1"/>
  <c r="A51" i="42"/>
  <c r="N51" i="42" l="1"/>
  <c r="P51" i="42" s="1"/>
  <c r="A52" i="42"/>
  <c r="R168" i="66"/>
  <c r="AC168" i="66"/>
  <c r="N52" i="42" l="1"/>
  <c r="P52" i="42" s="1"/>
  <c r="A53" i="42"/>
  <c r="N53" i="42" l="1"/>
  <c r="P53" i="42" s="1"/>
  <c r="J36" i="12" s="1"/>
  <c r="A54" i="42"/>
  <c r="N54" i="42" l="1"/>
  <c r="P54" i="42" s="1"/>
  <c r="J104" i="12" s="1"/>
  <c r="A55" i="42"/>
  <c r="A36" i="12"/>
  <c r="K36" i="12"/>
  <c r="N55" i="42" l="1"/>
  <c r="P55" i="42" s="1"/>
  <c r="J110" i="12" s="1"/>
  <c r="A56" i="42"/>
  <c r="K104" i="12"/>
  <c r="A104" i="12"/>
  <c r="N56" i="42" l="1"/>
  <c r="P56" i="42" s="1"/>
  <c r="F12" i="67" s="1"/>
  <c r="G12" i="67" s="1"/>
  <c r="A57" i="42"/>
  <c r="K110" i="12"/>
  <c r="A110" i="12"/>
  <c r="N57" i="42" l="1"/>
  <c r="P57" i="42" s="1"/>
  <c r="A58" i="42"/>
  <c r="N58" i="42" l="1"/>
  <c r="P58" i="42" s="1"/>
  <c r="Q510" i="66" s="1"/>
  <c r="A59" i="42"/>
  <c r="N59" i="42" l="1"/>
  <c r="P59" i="42" s="1"/>
  <c r="Q557" i="66" s="1"/>
  <c r="A60" i="42"/>
  <c r="AC510" i="66"/>
  <c r="R510" i="66"/>
  <c r="N60" i="42" l="1"/>
  <c r="P60" i="42" s="1"/>
  <c r="Q247" i="66" s="1"/>
  <c r="A61" i="42"/>
  <c r="R557" i="66"/>
  <c r="AC557" i="66"/>
  <c r="N61" i="42" l="1"/>
  <c r="P61" i="42" s="1"/>
  <c r="A62" i="42"/>
  <c r="R247" i="66"/>
  <c r="AC247" i="66"/>
  <c r="N62" i="42" l="1"/>
  <c r="P62" i="42" s="1"/>
  <c r="A63" i="42"/>
  <c r="N63" i="42" l="1"/>
  <c r="P63" i="42" s="1"/>
  <c r="A64" i="42"/>
  <c r="N64" i="42" l="1"/>
  <c r="P64" i="42" s="1"/>
  <c r="A65" i="42"/>
  <c r="N65" i="42" l="1"/>
  <c r="P65" i="42" s="1"/>
  <c r="A66" i="42"/>
  <c r="N66" i="42" l="1"/>
  <c r="P66" i="42" s="1"/>
  <c r="A67" i="42"/>
  <c r="N67" i="42" l="1"/>
  <c r="P67" i="42" s="1"/>
  <c r="A68" i="42"/>
  <c r="N68" i="42" l="1"/>
  <c r="P68" i="42" s="1"/>
  <c r="A69" i="42"/>
  <c r="N69" i="42" l="1"/>
  <c r="P69" i="42" s="1"/>
  <c r="A70" i="42"/>
  <c r="N70" i="42" l="1"/>
  <c r="P70" i="42" s="1"/>
  <c r="A71" i="42"/>
  <c r="N71" i="42" l="1"/>
  <c r="P71" i="42" s="1"/>
  <c r="A72" i="42"/>
  <c r="N72" i="42" l="1"/>
  <c r="P72" i="42" s="1"/>
  <c r="A73" i="42"/>
  <c r="N73" i="42" l="1"/>
  <c r="P73" i="42" s="1"/>
  <c r="A74" i="42"/>
  <c r="N74" i="42" l="1"/>
  <c r="P74" i="42" s="1"/>
  <c r="A75" i="42"/>
  <c r="J281" i="12"/>
  <c r="A281" i="12" l="1"/>
  <c r="K281" i="12"/>
  <c r="N75" i="42"/>
  <c r="P75" i="42" s="1"/>
  <c r="A76" i="42"/>
  <c r="N76" i="42" l="1"/>
  <c r="P76" i="42" s="1"/>
  <c r="Q246" i="66" s="1"/>
  <c r="A77" i="42"/>
  <c r="N77" i="42" l="1"/>
  <c r="P77" i="42" s="1"/>
  <c r="A78" i="42"/>
  <c r="AC246" i="66"/>
  <c r="R246" i="66"/>
  <c r="N78" i="42" l="1"/>
  <c r="P78" i="42" s="1"/>
  <c r="A79" i="42"/>
  <c r="N79" i="42" l="1"/>
  <c r="P79" i="42" s="1"/>
  <c r="A80" i="42"/>
  <c r="N80" i="42" l="1"/>
  <c r="P80" i="42" s="1"/>
  <c r="J141" i="12" s="1"/>
  <c r="A81" i="42"/>
  <c r="N81" i="42" l="1"/>
  <c r="P81" i="42" s="1"/>
  <c r="J162" i="12" s="1"/>
  <c r="A82" i="42"/>
  <c r="K141" i="12"/>
  <c r="A141" i="12"/>
  <c r="N82" i="42" l="1"/>
  <c r="P82" i="42" s="1"/>
  <c r="J131" i="12" s="1"/>
  <c r="A83" i="42"/>
  <c r="A162" i="12"/>
  <c r="K162" i="12"/>
  <c r="N83" i="42" l="1"/>
  <c r="P83" i="42" s="1"/>
  <c r="A84" i="42"/>
  <c r="K131" i="12"/>
  <c r="A131" i="12"/>
  <c r="N84" i="42" l="1"/>
  <c r="P84" i="42" s="1"/>
  <c r="A85" i="42"/>
  <c r="N85" i="42" l="1"/>
  <c r="P85" i="42" s="1"/>
  <c r="A86" i="42"/>
  <c r="N86" i="42" l="1"/>
  <c r="P86" i="42" s="1"/>
  <c r="J42" i="12" s="1"/>
  <c r="A87" i="42"/>
  <c r="N87" i="42" l="1"/>
  <c r="P87" i="42" s="1"/>
  <c r="J38" i="12" s="1"/>
  <c r="A88" i="42"/>
  <c r="A42" i="12"/>
  <c r="K42" i="12"/>
  <c r="N88" i="42" l="1"/>
  <c r="P88" i="42" s="1"/>
  <c r="A89" i="42"/>
  <c r="K38" i="12"/>
  <c r="A38" i="12"/>
  <c r="N89" i="42" l="1"/>
  <c r="P89" i="42" s="1"/>
  <c r="J133" i="12" s="1"/>
  <c r="A90" i="42"/>
  <c r="N90" i="42" l="1"/>
  <c r="P90" i="42" s="1"/>
  <c r="J136" i="12" s="1"/>
  <c r="A91" i="42"/>
  <c r="K133" i="12"/>
  <c r="A133" i="12"/>
  <c r="N91" i="42" l="1"/>
  <c r="P91" i="42" s="1"/>
  <c r="A92" i="42"/>
  <c r="A136" i="12"/>
  <c r="K136" i="12"/>
  <c r="N92" i="42" l="1"/>
  <c r="P92" i="42" s="1"/>
  <c r="A93" i="42"/>
  <c r="N93" i="42" l="1"/>
  <c r="P93" i="42" s="1"/>
  <c r="A94" i="42"/>
  <c r="N94" i="42" l="1"/>
  <c r="P94" i="42" s="1"/>
  <c r="A95" i="42"/>
  <c r="N95" i="42" l="1"/>
  <c r="P95" i="42" s="1"/>
  <c r="A96" i="42"/>
  <c r="N96" i="42" l="1"/>
  <c r="P96" i="42" s="1"/>
  <c r="Q236" i="66" s="1"/>
  <c r="A97" i="42"/>
  <c r="N97" i="42" l="1"/>
  <c r="P97" i="42" s="1"/>
  <c r="Q652" i="66" s="1"/>
  <c r="A98" i="42"/>
  <c r="AC236" i="66"/>
  <c r="R236" i="66"/>
  <c r="N98" i="42" l="1"/>
  <c r="P98" i="42" s="1"/>
  <c r="Q655" i="66" s="1"/>
  <c r="A99" i="42"/>
  <c r="R652" i="66"/>
  <c r="AC652" i="66"/>
  <c r="N99" i="42" l="1"/>
  <c r="P99" i="42" s="1"/>
  <c r="Q676" i="66" s="1"/>
  <c r="A100" i="42"/>
  <c r="R655" i="66"/>
  <c r="AC655" i="66"/>
  <c r="N100" i="42" l="1"/>
  <c r="P100" i="42" s="1"/>
  <c r="A101" i="42"/>
  <c r="R676" i="66"/>
  <c r="AC676" i="66"/>
  <c r="N101" i="42" l="1"/>
  <c r="P101" i="42" s="1"/>
  <c r="A102" i="42"/>
  <c r="N102" i="42" l="1"/>
  <c r="P102" i="42" s="1"/>
  <c r="A103" i="42"/>
  <c r="N103" i="42" l="1"/>
  <c r="P103" i="42" s="1"/>
  <c r="A104" i="42"/>
  <c r="N104" i="42" l="1"/>
  <c r="P104" i="42" s="1"/>
  <c r="A105" i="42"/>
  <c r="N105" i="42" l="1"/>
  <c r="P105" i="42" s="1"/>
  <c r="A106" i="42"/>
  <c r="N106" i="42" l="1"/>
  <c r="P106" i="42" s="1"/>
  <c r="A107" i="42"/>
  <c r="N107" i="42" l="1"/>
  <c r="P107" i="42" s="1"/>
  <c r="A108" i="42"/>
  <c r="N108" i="42" l="1"/>
  <c r="P108" i="42" s="1"/>
  <c r="A109" i="42"/>
  <c r="N109" i="42" l="1"/>
  <c r="P109" i="42" s="1"/>
  <c r="A110" i="42"/>
  <c r="N110" i="42" l="1"/>
  <c r="P110" i="42" s="1"/>
  <c r="A111" i="42"/>
  <c r="N111" i="42" l="1"/>
  <c r="P111" i="42" s="1"/>
  <c r="A112" i="42"/>
  <c r="N112" i="42" l="1"/>
  <c r="P112" i="42" s="1"/>
  <c r="A113" i="42"/>
  <c r="N113" i="42" l="1"/>
  <c r="P113" i="42" s="1"/>
  <c r="Q235" i="66" s="1"/>
  <c r="A114" i="42"/>
  <c r="N114" i="42" l="1"/>
  <c r="P114" i="42" s="1"/>
  <c r="A115" i="42"/>
  <c r="AC235" i="66"/>
  <c r="R235" i="66"/>
  <c r="N115" i="42" l="1"/>
  <c r="P115" i="42" s="1"/>
  <c r="A116" i="42"/>
  <c r="N116" i="42" l="1"/>
  <c r="P116" i="42" s="1"/>
  <c r="A117" i="42"/>
  <c r="N117" i="42" l="1"/>
  <c r="P117" i="42" s="1"/>
  <c r="A118" i="42"/>
  <c r="N118" i="42" l="1"/>
  <c r="P118" i="42" s="1"/>
  <c r="Q28" i="66" s="1"/>
  <c r="A119" i="42"/>
  <c r="N119" i="42" l="1"/>
  <c r="P119" i="42" s="1"/>
  <c r="A120" i="42"/>
  <c r="R28" i="66"/>
  <c r="AC28" i="66"/>
  <c r="N120" i="42" l="1"/>
  <c r="P120" i="42" s="1"/>
  <c r="A121" i="42"/>
  <c r="N121" i="42" l="1"/>
  <c r="P121" i="42" s="1"/>
  <c r="A122" i="42"/>
  <c r="N122" i="42" l="1"/>
  <c r="P122" i="42" s="1"/>
  <c r="Q98" i="66" s="1"/>
  <c r="A123" i="42"/>
  <c r="N123" i="42" l="1"/>
  <c r="P123" i="42" s="1"/>
  <c r="A124" i="42"/>
  <c r="R98" i="66"/>
  <c r="AC98" i="66"/>
  <c r="N124" i="42" l="1"/>
  <c r="P124" i="42" s="1"/>
  <c r="A125" i="42"/>
  <c r="N125" i="42" l="1"/>
  <c r="P125" i="42" s="1"/>
  <c r="A126" i="42"/>
  <c r="N126" i="42" l="1"/>
  <c r="P126" i="42" s="1"/>
  <c r="Q726" i="66" s="1"/>
  <c r="A127" i="42"/>
  <c r="N127" i="42" l="1"/>
  <c r="P127" i="42" s="1"/>
  <c r="A128" i="42"/>
  <c r="AC726" i="66"/>
  <c r="R726" i="66"/>
  <c r="N128" i="42" l="1"/>
  <c r="P128" i="42" s="1"/>
  <c r="A129" i="42"/>
  <c r="N129" i="42" l="1"/>
  <c r="P129" i="42" s="1"/>
  <c r="A130" i="42"/>
  <c r="N130" i="42" l="1"/>
  <c r="P130" i="42" s="1"/>
  <c r="A131" i="42"/>
  <c r="N131" i="42" l="1"/>
  <c r="P131" i="42" s="1"/>
  <c r="J31" i="12" s="1"/>
  <c r="A132" i="42"/>
  <c r="N132" i="42" l="1"/>
  <c r="P132" i="42" s="1"/>
  <c r="A133" i="42"/>
  <c r="K31" i="12"/>
  <c r="A31" i="12"/>
  <c r="N133" i="42" l="1"/>
  <c r="P133" i="42" s="1"/>
  <c r="A134" i="42"/>
  <c r="N134" i="42" l="1"/>
  <c r="P134" i="42" s="1"/>
  <c r="A135" i="42"/>
  <c r="N135" i="42" l="1"/>
  <c r="P135" i="42" s="1"/>
  <c r="A136" i="42"/>
  <c r="N136" i="42" l="1"/>
  <c r="P136" i="42" s="1"/>
  <c r="A137" i="42"/>
  <c r="N137" i="42" l="1"/>
  <c r="P137" i="42" s="1"/>
  <c r="A138" i="42"/>
  <c r="N138" i="42" l="1"/>
  <c r="P138" i="42" s="1"/>
  <c r="A139" i="42"/>
  <c r="N139" i="42" l="1"/>
  <c r="P139" i="42" s="1"/>
  <c r="A140" i="42"/>
  <c r="N140" i="42" l="1"/>
  <c r="P140" i="42" s="1"/>
  <c r="A141" i="42"/>
  <c r="N141" i="42" l="1"/>
  <c r="P141" i="42" s="1"/>
  <c r="A142" i="42"/>
  <c r="N142" i="42" l="1"/>
  <c r="P142" i="42" s="1"/>
  <c r="A143" i="42"/>
  <c r="N143" i="42" l="1"/>
  <c r="P143" i="42" s="1"/>
  <c r="A144" i="42"/>
  <c r="J272" i="12"/>
  <c r="K272" i="12" l="1"/>
  <c r="A272" i="12"/>
  <c r="N144" i="42"/>
  <c r="P144" i="42" s="1"/>
  <c r="A145" i="42"/>
  <c r="N145" i="42" l="1"/>
  <c r="P145" i="42" s="1"/>
  <c r="F11" i="67" s="1"/>
  <c r="G11" i="67" s="1"/>
  <c r="A146" i="42"/>
  <c r="N146" i="42" l="1"/>
  <c r="P146" i="42" s="1"/>
  <c r="A147" i="42"/>
  <c r="N147" i="42" l="1"/>
  <c r="P147" i="42" s="1"/>
  <c r="Q340" i="66" s="1"/>
  <c r="A148" i="42"/>
  <c r="N148" i="42" l="1"/>
  <c r="P148" i="42" s="1"/>
  <c r="A149" i="42"/>
  <c r="R340" i="66"/>
  <c r="AC340" i="66"/>
  <c r="N149" i="42" l="1"/>
  <c r="P149" i="42" s="1"/>
  <c r="A150" i="42"/>
  <c r="N150" i="42" l="1"/>
  <c r="P150" i="42" s="1"/>
  <c r="A151" i="42"/>
  <c r="N151" i="42" l="1"/>
  <c r="P151" i="42" s="1"/>
  <c r="A152" i="42"/>
  <c r="N152" i="42" l="1"/>
  <c r="P152" i="42" s="1"/>
  <c r="A153" i="42"/>
  <c r="N153" i="42" l="1"/>
  <c r="P153" i="42" s="1"/>
  <c r="J134" i="12" s="1"/>
  <c r="A154" i="42"/>
  <c r="N154" i="42" l="1"/>
  <c r="P154" i="42" s="1"/>
  <c r="J167" i="12" s="1"/>
  <c r="A155" i="42"/>
  <c r="A134" i="12"/>
  <c r="K134" i="12"/>
  <c r="N155" i="42" l="1"/>
  <c r="P155" i="42" s="1"/>
  <c r="A156" i="42"/>
  <c r="K167" i="12"/>
  <c r="A167" i="12"/>
  <c r="N156" i="42" l="1"/>
  <c r="P156" i="42" s="1"/>
  <c r="A157" i="42"/>
  <c r="N157" i="42" l="1"/>
  <c r="P157" i="42" s="1"/>
  <c r="F14" i="67" s="1"/>
  <c r="G14" i="67" s="1"/>
  <c r="A158" i="42"/>
  <c r="N158" i="42" l="1"/>
  <c r="P158" i="42" s="1"/>
  <c r="A159" i="42"/>
  <c r="N159" i="42" l="1"/>
  <c r="P159" i="42" s="1"/>
  <c r="A160" i="42"/>
  <c r="N160" i="42" l="1"/>
  <c r="P160" i="42" s="1"/>
  <c r="Q564" i="66" s="1"/>
  <c r="A161" i="42"/>
  <c r="N161" i="42" l="1"/>
  <c r="P161" i="42" s="1"/>
  <c r="Q757" i="66" s="1"/>
  <c r="A162" i="42"/>
  <c r="AC564" i="66"/>
  <c r="R564" i="66"/>
  <c r="N162" i="42" l="1"/>
  <c r="P162" i="42" s="1"/>
  <c r="A163" i="42"/>
  <c r="AC757" i="66"/>
  <c r="R757" i="66"/>
  <c r="N163" i="42" l="1"/>
  <c r="P163" i="42" s="1"/>
  <c r="A164" i="42"/>
  <c r="N164" i="42" l="1"/>
  <c r="P164" i="42" s="1"/>
  <c r="A165" i="42"/>
  <c r="N165" i="42" l="1"/>
  <c r="P165" i="42" s="1"/>
  <c r="A166" i="42"/>
  <c r="N166" i="42" l="1"/>
  <c r="P166" i="42" s="1"/>
  <c r="A167" i="42"/>
  <c r="N167" i="42" l="1"/>
  <c r="P167" i="42" s="1"/>
  <c r="A168" i="42"/>
  <c r="N168" i="42" l="1"/>
  <c r="P168" i="42" s="1"/>
  <c r="A169" i="42"/>
  <c r="N169" i="42" l="1"/>
  <c r="P169" i="42" s="1"/>
  <c r="A170" i="42"/>
  <c r="N170" i="42" l="1"/>
  <c r="P170" i="42" s="1"/>
  <c r="A171" i="42"/>
  <c r="N171" i="42" l="1"/>
  <c r="P171" i="42" s="1"/>
  <c r="A172" i="42"/>
  <c r="N172" i="42" l="1"/>
  <c r="P172" i="42" s="1"/>
  <c r="A173" i="42"/>
  <c r="N173" i="42" l="1"/>
  <c r="P173" i="42" s="1"/>
  <c r="A174" i="42"/>
  <c r="N174" i="42" l="1"/>
  <c r="P174" i="42" s="1"/>
  <c r="A175" i="42"/>
  <c r="N175" i="42" l="1"/>
  <c r="P175" i="42" s="1"/>
  <c r="A176" i="42"/>
  <c r="N176" i="42" l="1"/>
  <c r="P176" i="42" s="1"/>
  <c r="A177" i="42"/>
  <c r="N177" i="42" l="1"/>
  <c r="P177" i="42" s="1"/>
  <c r="A178" i="42"/>
  <c r="A179" i="42" s="1"/>
  <c r="A180" i="42" s="1"/>
  <c r="A181" i="42" s="1"/>
  <c r="A182" i="42" s="1"/>
  <c r="A183" i="42" s="1"/>
  <c r="A184" i="42" s="1"/>
  <c r="A185" i="42" s="1"/>
  <c r="A186" i="42" s="1"/>
  <c r="A187" i="42" s="1"/>
  <c r="A188" i="42" s="1"/>
  <c r="A189" i="42" s="1"/>
  <c r="A190" i="42" s="1"/>
  <c r="A191" i="42" s="1"/>
  <c r="A192" i="42" s="1"/>
  <c r="A193" i="42" s="1"/>
  <c r="A194" i="42" s="1"/>
  <c r="A195" i="42" s="1"/>
  <c r="A196" i="42" s="1"/>
  <c r="A197" i="42" s="1"/>
  <c r="A198" i="42" s="1"/>
  <c r="A199" i="42" s="1"/>
  <c r="A200" i="42" s="1"/>
  <c r="A201" i="42" s="1"/>
  <c r="A202" i="42" s="1"/>
  <c r="A203" i="42" s="1"/>
  <c r="A204" i="42" s="1"/>
  <c r="N204" i="42" l="1"/>
  <c r="P204" i="42" s="1"/>
  <c r="A205" i="42"/>
  <c r="N205" i="42" l="1"/>
  <c r="P205" i="42" s="1"/>
  <c r="A206" i="42"/>
  <c r="N206" i="42" l="1"/>
  <c r="P206" i="42" s="1"/>
  <c r="A207" i="42"/>
  <c r="N207" i="42" l="1"/>
  <c r="P207" i="42" s="1"/>
  <c r="A208" i="42"/>
  <c r="N208" i="42" l="1"/>
  <c r="P208" i="42" s="1"/>
  <c r="A209" i="42"/>
  <c r="N209" i="42" l="1"/>
  <c r="P209" i="42" s="1"/>
  <c r="A210" i="42"/>
  <c r="N210" i="42" l="1"/>
  <c r="P210" i="42" s="1"/>
  <c r="A211" i="42"/>
  <c r="N211" i="42" l="1"/>
  <c r="P211" i="42" s="1"/>
  <c r="A212" i="42"/>
  <c r="N212" i="42" l="1"/>
  <c r="P212" i="42" s="1"/>
  <c r="A213" i="42"/>
  <c r="N213" i="42" l="1"/>
  <c r="P213" i="42" s="1"/>
  <c r="A214" i="42"/>
  <c r="N214" i="42" l="1"/>
  <c r="P214" i="42" s="1"/>
  <c r="A215" i="42"/>
  <c r="N215" i="42" l="1"/>
  <c r="P215" i="42" s="1"/>
  <c r="A216" i="42"/>
  <c r="N216" i="42" l="1"/>
  <c r="P216" i="42" s="1"/>
  <c r="J47" i="12" s="1"/>
  <c r="A217" i="42"/>
  <c r="N217" i="42" l="1"/>
  <c r="P217" i="42" s="1"/>
  <c r="A218" i="42"/>
  <c r="K47" i="12"/>
  <c r="A47" i="12"/>
  <c r="N218" i="42" l="1"/>
  <c r="P218" i="42" s="1"/>
  <c r="A219" i="42"/>
  <c r="N219" i="42" l="1"/>
  <c r="P219" i="42" s="1"/>
  <c r="A220" i="42"/>
  <c r="N220" i="42" l="1"/>
  <c r="P220" i="42" s="1"/>
  <c r="A221" i="42"/>
  <c r="N221" i="42" l="1"/>
  <c r="P221" i="42" s="1"/>
  <c r="A222" i="42"/>
  <c r="N222" i="42" l="1"/>
  <c r="P222" i="42" s="1"/>
  <c r="A223" i="42"/>
  <c r="N223" i="42" l="1"/>
  <c r="P223" i="42" s="1"/>
  <c r="A224" i="42"/>
  <c r="N224" i="42" l="1"/>
  <c r="P224" i="42" s="1"/>
  <c r="A225" i="42"/>
  <c r="N225" i="42" l="1"/>
  <c r="P225" i="42" s="1"/>
  <c r="A226" i="42"/>
  <c r="N226" i="42" l="1"/>
  <c r="P226" i="42" s="1"/>
  <c r="A227" i="42"/>
  <c r="N227" i="42" l="1"/>
  <c r="P227" i="42" s="1"/>
  <c r="A228" i="42"/>
  <c r="N228" i="42" l="1"/>
  <c r="P228" i="42" s="1"/>
  <c r="A229" i="42"/>
  <c r="N229" i="42" l="1"/>
  <c r="P229" i="42" s="1"/>
  <c r="A230" i="42"/>
  <c r="N230" i="42" l="1"/>
  <c r="P230" i="42" s="1"/>
  <c r="J140" i="12" s="1"/>
  <c r="A231" i="42"/>
  <c r="N231" i="42" l="1"/>
  <c r="P231" i="42" s="1"/>
  <c r="J159" i="12" s="1"/>
  <c r="A232" i="42"/>
  <c r="K140" i="12"/>
  <c r="A140" i="12"/>
  <c r="N232" i="42" l="1"/>
  <c r="P232" i="42" s="1"/>
  <c r="A233" i="42"/>
  <c r="A159" i="12"/>
  <c r="K159" i="12"/>
  <c r="N233" i="42" l="1"/>
  <c r="P233" i="42" s="1"/>
  <c r="A234" i="42"/>
  <c r="N234" i="42" l="1"/>
  <c r="P234" i="42" s="1"/>
  <c r="A235" i="42"/>
  <c r="N235" i="42" l="1"/>
  <c r="P235" i="42" s="1"/>
  <c r="A236" i="42"/>
  <c r="N236" i="42" l="1"/>
  <c r="P236" i="42" s="1"/>
  <c r="A237" i="42"/>
  <c r="N237" i="42" l="1"/>
  <c r="P237" i="42" s="1"/>
  <c r="A238" i="42"/>
  <c r="N238" i="42" l="1"/>
  <c r="P238" i="42" s="1"/>
  <c r="A239" i="42"/>
  <c r="N239" i="42" l="1"/>
  <c r="P239" i="42" s="1"/>
  <c r="A240" i="42"/>
  <c r="N240" i="42" l="1"/>
  <c r="P240" i="42" s="1"/>
  <c r="A241" i="42"/>
  <c r="N241" i="42" l="1"/>
  <c r="P241" i="42" s="1"/>
  <c r="A242" i="42"/>
  <c r="N242" i="42" l="1"/>
  <c r="P242" i="42" s="1"/>
  <c r="J161" i="12" s="1"/>
  <c r="A243" i="42"/>
  <c r="N243" i="42" l="1"/>
  <c r="P243" i="42" s="1"/>
  <c r="J160" i="12" s="1"/>
  <c r="A244" i="42"/>
  <c r="K161" i="12"/>
  <c r="A161" i="12"/>
  <c r="N244" i="42" l="1"/>
  <c r="P244" i="42" s="1"/>
  <c r="A245" i="42"/>
  <c r="A160" i="12"/>
  <c r="K160" i="12"/>
  <c r="N245" i="42" l="1"/>
  <c r="P245" i="42" s="1"/>
  <c r="A246" i="42"/>
  <c r="N246" i="42" l="1"/>
  <c r="P246" i="42" s="1"/>
  <c r="A247" i="42"/>
  <c r="N247" i="42" l="1"/>
  <c r="P247" i="42" s="1"/>
  <c r="A248" i="42"/>
  <c r="N248" i="42" l="1"/>
  <c r="P248" i="42" s="1"/>
  <c r="Q798" i="66" s="1"/>
  <c r="A249" i="42"/>
  <c r="N249" i="42" l="1"/>
  <c r="P249" i="42" s="1"/>
  <c r="A250" i="42"/>
  <c r="R798" i="66"/>
  <c r="AC798" i="66"/>
  <c r="N250" i="42" l="1"/>
  <c r="P250" i="42" s="1"/>
  <c r="A251" i="42"/>
  <c r="N251" i="42" l="1"/>
  <c r="P251" i="42" s="1"/>
  <c r="A252" i="42"/>
  <c r="N252" i="42" l="1"/>
  <c r="P252" i="42" s="1"/>
  <c r="A253" i="42"/>
  <c r="N253" i="42" l="1"/>
  <c r="P253" i="42" s="1"/>
  <c r="A254" i="42"/>
  <c r="N254" i="42" l="1"/>
  <c r="P254" i="42" s="1"/>
  <c r="A255" i="42"/>
  <c r="N255" i="42" l="1"/>
  <c r="P255" i="42" s="1"/>
  <c r="A256" i="42"/>
  <c r="N256" i="42" l="1"/>
  <c r="P256" i="42" s="1"/>
  <c r="A257" i="42"/>
  <c r="N257" i="42" l="1"/>
  <c r="P257" i="42" s="1"/>
  <c r="A258" i="42"/>
  <c r="N258" i="42" l="1"/>
  <c r="P258" i="42" s="1"/>
  <c r="A259" i="42"/>
  <c r="N259" i="42" l="1"/>
  <c r="P259" i="42" s="1"/>
  <c r="A260" i="42"/>
  <c r="N260" i="42" l="1"/>
  <c r="P260" i="42" s="1"/>
  <c r="A261" i="42"/>
  <c r="N261" i="42" l="1"/>
  <c r="P261" i="42" s="1"/>
  <c r="A262" i="42"/>
  <c r="N262" i="42" l="1"/>
  <c r="P262" i="42" s="1"/>
  <c r="A263" i="42"/>
  <c r="N263" i="42" l="1"/>
  <c r="P263" i="42" s="1"/>
  <c r="A264" i="42"/>
  <c r="N264" i="42" l="1"/>
  <c r="P264" i="42" s="1"/>
  <c r="A265" i="42"/>
  <c r="N265" i="42" l="1"/>
  <c r="P265" i="42" s="1"/>
  <c r="A266" i="42"/>
  <c r="N266" i="42" l="1"/>
  <c r="P266" i="42" s="1"/>
  <c r="A267" i="42"/>
  <c r="N267" i="42" l="1"/>
  <c r="P267" i="42" s="1"/>
  <c r="Q641" i="66" s="1"/>
  <c r="A268" i="42"/>
  <c r="N268" i="42" l="1"/>
  <c r="P268" i="42" s="1"/>
  <c r="Q249" i="66" s="1"/>
  <c r="A269" i="42"/>
  <c r="R641" i="66"/>
  <c r="AC641" i="66"/>
  <c r="N269" i="42" l="1"/>
  <c r="P269" i="42" s="1"/>
  <c r="A270" i="42"/>
  <c r="R249" i="66"/>
  <c r="AC249" i="66"/>
  <c r="N270" i="42" l="1"/>
  <c r="P270" i="42" s="1"/>
  <c r="A271" i="42"/>
  <c r="N271" i="42" l="1"/>
  <c r="P271" i="42" s="1"/>
  <c r="A272" i="42"/>
  <c r="N272" i="42" l="1"/>
  <c r="P272" i="42" s="1"/>
  <c r="A273" i="42"/>
  <c r="N273" i="42" l="1"/>
  <c r="P273" i="42" s="1"/>
  <c r="A274" i="42"/>
  <c r="N274" i="42" l="1"/>
  <c r="P274" i="42" s="1"/>
  <c r="A275" i="42"/>
  <c r="N275" i="42" l="1"/>
  <c r="P275" i="42" s="1"/>
  <c r="A276" i="42"/>
  <c r="N276" i="42" l="1"/>
  <c r="P276" i="42" s="1"/>
  <c r="A277" i="42"/>
  <c r="N277" i="42" l="1"/>
  <c r="P277" i="42" s="1"/>
  <c r="A278" i="42"/>
  <c r="N278" i="42" l="1"/>
  <c r="P278" i="42" s="1"/>
  <c r="A279" i="42"/>
  <c r="N279" i="42" l="1"/>
  <c r="P279" i="42" s="1"/>
  <c r="A280" i="42"/>
  <c r="N280" i="42" l="1"/>
  <c r="P280" i="42" s="1"/>
  <c r="A281" i="42"/>
  <c r="N281" i="42" l="1"/>
  <c r="P281" i="42" s="1"/>
  <c r="A282" i="42"/>
  <c r="N282" i="42" l="1"/>
  <c r="P282" i="42" s="1"/>
  <c r="A283" i="42"/>
  <c r="N283" i="42" l="1"/>
  <c r="P283" i="42" s="1"/>
  <c r="A284" i="42"/>
  <c r="N284" i="42" l="1"/>
  <c r="P284" i="42" s="1"/>
  <c r="A285" i="42"/>
  <c r="N285" i="42" l="1"/>
  <c r="P285" i="42" s="1"/>
  <c r="A286" i="42"/>
  <c r="N286" i="42" l="1"/>
  <c r="P286" i="42" s="1"/>
  <c r="A287" i="42"/>
  <c r="N287" i="42" l="1"/>
  <c r="P287" i="42" s="1"/>
  <c r="A288" i="42"/>
  <c r="N288" i="42" l="1"/>
  <c r="P288" i="42" s="1"/>
  <c r="A289" i="42"/>
  <c r="N289" i="42" l="1"/>
  <c r="P289" i="42" s="1"/>
  <c r="A290" i="42"/>
  <c r="N290" i="42" l="1"/>
  <c r="P290" i="42" s="1"/>
  <c r="A291" i="42"/>
  <c r="N291" i="42" l="1"/>
  <c r="P291" i="42" s="1"/>
  <c r="A292" i="42"/>
  <c r="N292" i="42" l="1"/>
  <c r="P292" i="42" s="1"/>
  <c r="A293" i="42"/>
  <c r="N293" i="42" l="1"/>
  <c r="P293" i="42" s="1"/>
  <c r="A294" i="42"/>
  <c r="N294" i="42" l="1"/>
  <c r="P294" i="42" s="1"/>
  <c r="A295" i="42"/>
  <c r="N295" i="42" l="1"/>
  <c r="P295" i="42" s="1"/>
  <c r="A296" i="42"/>
  <c r="N296" i="42" l="1"/>
  <c r="P296" i="42" s="1"/>
  <c r="A297" i="42"/>
  <c r="N297" i="42" l="1"/>
  <c r="P297" i="42" s="1"/>
  <c r="A298" i="42"/>
  <c r="N298" i="42" l="1"/>
  <c r="P298" i="42" s="1"/>
  <c r="A299" i="42"/>
  <c r="N299" i="42" l="1"/>
  <c r="P299" i="42" s="1"/>
  <c r="A300" i="42"/>
  <c r="N300" i="42" l="1"/>
  <c r="P300" i="42" s="1"/>
  <c r="A301" i="42"/>
  <c r="N301" i="42" l="1"/>
  <c r="P301" i="42" s="1"/>
  <c r="A302" i="42"/>
  <c r="N302" i="42" l="1"/>
  <c r="P302" i="42" s="1"/>
  <c r="J87" i="12" s="1"/>
  <c r="A303" i="42"/>
  <c r="N303" i="42" l="1"/>
  <c r="P303" i="42" s="1"/>
  <c r="J88" i="12" s="1"/>
  <c r="A304" i="42"/>
  <c r="A87" i="12"/>
  <c r="K87" i="12"/>
  <c r="N304" i="42" l="1"/>
  <c r="P304" i="42" s="1"/>
  <c r="J156" i="12" s="1"/>
  <c r="A305" i="42"/>
  <c r="A88" i="12"/>
  <c r="K88" i="12"/>
  <c r="N305" i="42" l="1"/>
  <c r="P305" i="42" s="1"/>
  <c r="A306" i="42"/>
  <c r="A156" i="12"/>
  <c r="K156" i="12"/>
  <c r="N306" i="42" l="1"/>
  <c r="P306" i="42" s="1"/>
  <c r="A307" i="42"/>
  <c r="N307" i="42" l="1"/>
  <c r="P307" i="42" s="1"/>
  <c r="A308" i="42"/>
  <c r="N308" i="42" l="1"/>
  <c r="P308" i="42" s="1"/>
  <c r="Q646" i="66" s="1"/>
  <c r="A309" i="42"/>
  <c r="N309" i="42" l="1"/>
  <c r="P309" i="42" s="1"/>
  <c r="Q649" i="66" s="1"/>
  <c r="A310" i="42"/>
  <c r="AC646" i="66"/>
  <c r="R646" i="66"/>
  <c r="N310" i="42" l="1"/>
  <c r="P310" i="42" s="1"/>
  <c r="Q445" i="66" s="1"/>
  <c r="A311" i="42"/>
  <c r="R649" i="66"/>
  <c r="AC649" i="66"/>
  <c r="N311" i="42" l="1"/>
  <c r="P311" i="42" s="1"/>
  <c r="A312" i="42"/>
  <c r="R445" i="66"/>
  <c r="AC445" i="66"/>
  <c r="AE446" i="66" s="1"/>
  <c r="N312" i="42" l="1"/>
  <c r="P312" i="42" s="1"/>
  <c r="A313" i="42"/>
  <c r="N313" i="42" l="1"/>
  <c r="P313" i="42" s="1"/>
  <c r="A314" i="42"/>
  <c r="N314" i="42" l="1"/>
  <c r="P314" i="42" s="1"/>
  <c r="A315" i="42"/>
  <c r="N315" i="42" l="1"/>
  <c r="P315" i="42" s="1"/>
  <c r="A316" i="42"/>
  <c r="N316" i="42" l="1"/>
  <c r="P316" i="42" s="1"/>
  <c r="A317" i="42"/>
  <c r="N317" i="42" l="1"/>
  <c r="P317" i="42" s="1"/>
  <c r="A318" i="42"/>
  <c r="N318" i="42" l="1"/>
  <c r="P318" i="42" s="1"/>
  <c r="A319" i="42"/>
  <c r="N319" i="42" l="1"/>
  <c r="P319" i="42" s="1"/>
  <c r="A320" i="42"/>
  <c r="N320" i="42" l="1"/>
  <c r="P320" i="42" s="1"/>
  <c r="Q627" i="66" s="1"/>
  <c r="A321" i="42"/>
  <c r="N321" i="42" l="1"/>
  <c r="P321" i="42" s="1"/>
  <c r="A322" i="42"/>
  <c r="AC627" i="66"/>
  <c r="R627" i="66"/>
  <c r="N322" i="42" l="1"/>
  <c r="P322" i="42" s="1"/>
  <c r="A323" i="42"/>
  <c r="N323" i="42" l="1"/>
  <c r="P323" i="42" s="1"/>
  <c r="A324" i="42"/>
  <c r="N324" i="42" l="1"/>
  <c r="P324" i="42" s="1"/>
  <c r="A325" i="42"/>
  <c r="N325" i="42" l="1"/>
  <c r="P325" i="42" s="1"/>
  <c r="A326" i="42"/>
  <c r="N326" i="42" l="1"/>
  <c r="P326" i="42" s="1"/>
  <c r="A327" i="42"/>
  <c r="N327" i="42" l="1"/>
  <c r="P327" i="42" s="1"/>
  <c r="A328" i="42"/>
  <c r="N328" i="42" l="1"/>
  <c r="P328" i="42" s="1"/>
  <c r="A329" i="42"/>
  <c r="N329" i="42" l="1"/>
  <c r="P329" i="42" s="1"/>
  <c r="A330" i="42"/>
  <c r="N330" i="42" l="1"/>
  <c r="P330" i="42" s="1"/>
  <c r="A331" i="42"/>
  <c r="N331" i="42" l="1"/>
  <c r="P331" i="42" s="1"/>
  <c r="A332" i="42"/>
  <c r="N332" i="42" l="1"/>
  <c r="P332" i="42" s="1"/>
  <c r="A333" i="42"/>
  <c r="N333" i="42" l="1"/>
  <c r="P333" i="42" s="1"/>
  <c r="A334" i="42"/>
  <c r="N334" i="42" l="1"/>
  <c r="P334" i="42" s="1"/>
  <c r="A335" i="42"/>
  <c r="N335" i="42" l="1"/>
  <c r="P335" i="42" s="1"/>
  <c r="A336" i="42"/>
  <c r="N336" i="42" l="1"/>
  <c r="P336" i="42" s="1"/>
  <c r="A337" i="42"/>
  <c r="N337" i="42" l="1"/>
  <c r="P337" i="42" s="1"/>
  <c r="A338" i="42"/>
  <c r="N338" i="42" l="1"/>
  <c r="P338" i="42" s="1"/>
  <c r="A339" i="42"/>
  <c r="N339" i="42" l="1"/>
  <c r="P339" i="42" s="1"/>
  <c r="A340" i="42"/>
  <c r="N340" i="42" l="1"/>
  <c r="P340" i="42" s="1"/>
  <c r="A341" i="42"/>
  <c r="N341" i="42" l="1"/>
  <c r="P341" i="42" s="1"/>
  <c r="A342" i="42"/>
  <c r="N342" i="42" l="1"/>
  <c r="P342" i="42" s="1"/>
  <c r="A343" i="42"/>
  <c r="N343" i="42" l="1"/>
  <c r="P343" i="42" s="1"/>
  <c r="A344" i="42"/>
  <c r="N344" i="42" l="1"/>
  <c r="P344" i="42" s="1"/>
  <c r="A345" i="42"/>
  <c r="N345" i="42" l="1"/>
  <c r="P345" i="42" s="1"/>
  <c r="A346" i="42"/>
  <c r="N346" i="42" l="1"/>
  <c r="P346" i="42" s="1"/>
  <c r="A347" i="42"/>
  <c r="N347" i="42" l="1"/>
  <c r="P347" i="42" s="1"/>
  <c r="J91" i="12" s="1"/>
  <c r="A348" i="42"/>
  <c r="J265" i="12"/>
  <c r="K265" i="12" l="1"/>
  <c r="A265" i="12"/>
  <c r="N348" i="42"/>
  <c r="P348" i="42" s="1"/>
  <c r="A349" i="42"/>
  <c r="A91" i="12"/>
  <c r="K91" i="12"/>
  <c r="N349" i="42" l="1"/>
  <c r="P349" i="42" s="1"/>
  <c r="A350" i="42"/>
  <c r="N350" i="42" l="1"/>
  <c r="P350" i="42" s="1"/>
  <c r="A351" i="42"/>
  <c r="N351" i="42" l="1"/>
  <c r="P351" i="42" s="1"/>
  <c r="A352" i="42"/>
  <c r="N352" i="42" l="1"/>
  <c r="P352" i="42" s="1"/>
  <c r="A353" i="42"/>
  <c r="N353" i="42" l="1"/>
  <c r="P353" i="42" s="1"/>
  <c r="A354" i="42"/>
  <c r="N354" i="42" l="1"/>
  <c r="P354" i="42" s="1"/>
  <c r="A355" i="42"/>
  <c r="N355" i="42" l="1"/>
  <c r="P355" i="42" s="1"/>
  <c r="A356" i="42"/>
  <c r="N356" i="42" l="1"/>
  <c r="P356" i="42" s="1"/>
  <c r="A357" i="42"/>
  <c r="N357" i="42" l="1"/>
  <c r="P357" i="42" s="1"/>
  <c r="A358" i="42"/>
  <c r="N358" i="42" l="1"/>
  <c r="P358" i="42" s="1"/>
  <c r="A359" i="42"/>
  <c r="N359" i="42" l="1"/>
  <c r="P359" i="42" s="1"/>
  <c r="A360" i="42"/>
  <c r="N360" i="42" l="1"/>
  <c r="P360" i="42" s="1"/>
  <c r="A361" i="42"/>
  <c r="N361" i="42" l="1"/>
  <c r="P361" i="42" s="1"/>
  <c r="A362" i="42"/>
  <c r="N362" i="42" l="1"/>
  <c r="P362" i="42" s="1"/>
  <c r="A363" i="42"/>
  <c r="N363" i="42" l="1"/>
  <c r="P363" i="42" s="1"/>
  <c r="A364" i="42"/>
  <c r="N364" i="42" l="1"/>
  <c r="P364" i="42" s="1"/>
  <c r="A365" i="42"/>
  <c r="N365" i="42" l="1"/>
  <c r="P365" i="42" s="1"/>
  <c r="A366" i="42"/>
  <c r="N366" i="42" l="1"/>
  <c r="P366" i="42" s="1"/>
  <c r="A367" i="42"/>
  <c r="N367" i="42" l="1"/>
  <c r="P367" i="42" s="1"/>
  <c r="A368" i="42"/>
  <c r="N368" i="42" l="1"/>
  <c r="P368" i="42" s="1"/>
  <c r="A369" i="42"/>
  <c r="N369" i="42" l="1"/>
  <c r="P369" i="42" s="1"/>
  <c r="A370" i="42"/>
  <c r="N370" i="42" l="1"/>
  <c r="P370" i="42" s="1"/>
  <c r="A371" i="42"/>
  <c r="N371" i="42" l="1"/>
  <c r="P371" i="42" s="1"/>
  <c r="A372" i="42"/>
  <c r="N372" i="42" l="1"/>
  <c r="P372" i="42" s="1"/>
  <c r="A373" i="42"/>
  <c r="N373" i="42" l="1"/>
  <c r="P373" i="42" s="1"/>
  <c r="A374" i="42"/>
  <c r="N374" i="42" l="1"/>
  <c r="P374" i="42" s="1"/>
  <c r="A375" i="42"/>
  <c r="N375" i="42" l="1"/>
  <c r="P375" i="42" s="1"/>
  <c r="A376" i="42"/>
  <c r="N376" i="42" l="1"/>
  <c r="P376" i="42" s="1"/>
  <c r="A377" i="42"/>
  <c r="N377" i="42" l="1"/>
  <c r="P377" i="42" s="1"/>
  <c r="J37" i="12" s="1"/>
  <c r="A378" i="42"/>
  <c r="N378" i="42" l="1"/>
  <c r="P378" i="42" s="1"/>
  <c r="A379" i="42"/>
  <c r="A37" i="12"/>
  <c r="K37" i="12"/>
  <c r="N379" i="42" l="1"/>
  <c r="P379" i="42" s="1"/>
  <c r="A380" i="42"/>
  <c r="N380" i="42" l="1"/>
  <c r="P380" i="42" s="1"/>
  <c r="A381" i="42"/>
  <c r="N381" i="42" l="1"/>
  <c r="P381" i="42" s="1"/>
  <c r="A382" i="42"/>
  <c r="N382" i="42" l="1"/>
  <c r="P382" i="42" s="1"/>
  <c r="A383" i="42"/>
  <c r="N383" i="42" l="1"/>
  <c r="P383" i="42" s="1"/>
  <c r="A384" i="42"/>
  <c r="N384" i="42" l="1"/>
  <c r="P384" i="42" s="1"/>
  <c r="A385" i="42"/>
  <c r="N385" i="42" l="1"/>
  <c r="P385" i="42" s="1"/>
  <c r="A386" i="42"/>
  <c r="N386" i="42" l="1"/>
  <c r="P386" i="42" s="1"/>
  <c r="A387" i="42"/>
  <c r="N387" i="42" l="1"/>
  <c r="P387" i="42" s="1"/>
  <c r="A388" i="42"/>
  <c r="N388" i="42" l="1"/>
  <c r="P388" i="42" s="1"/>
  <c r="A389" i="42"/>
  <c r="N389" i="42" l="1"/>
  <c r="P389" i="42" s="1"/>
  <c r="A390" i="42"/>
  <c r="N390" i="42" l="1"/>
  <c r="P390" i="42" s="1"/>
  <c r="A391" i="42"/>
  <c r="N391" i="42" l="1"/>
  <c r="P391" i="42" s="1"/>
  <c r="A392" i="42"/>
  <c r="N392" i="42" l="1"/>
  <c r="P392" i="42" s="1"/>
  <c r="A393" i="42"/>
  <c r="N393" i="42" l="1"/>
  <c r="P393" i="42" s="1"/>
  <c r="A394" i="42"/>
  <c r="N394" i="42" l="1"/>
  <c r="P394" i="42" s="1"/>
  <c r="Q529" i="66" s="1"/>
  <c r="A395" i="42"/>
  <c r="N395" i="42" l="1"/>
  <c r="P395" i="42" s="1"/>
  <c r="A396" i="42"/>
  <c r="AC529" i="66"/>
  <c r="R529" i="66"/>
  <c r="N396" i="42" l="1"/>
  <c r="P396" i="42" s="1"/>
  <c r="A397" i="42"/>
  <c r="N397" i="42" l="1"/>
  <c r="P397" i="42" s="1"/>
  <c r="J101" i="12" s="1"/>
  <c r="A398" i="42"/>
  <c r="N398" i="42" l="1"/>
  <c r="P398" i="42" s="1"/>
  <c r="A399" i="42"/>
  <c r="A101" i="12"/>
  <c r="K101" i="12"/>
  <c r="N399" i="42" l="1"/>
  <c r="P399" i="42" s="1"/>
  <c r="A400" i="42"/>
  <c r="N400" i="42" l="1"/>
  <c r="P400" i="42" s="1"/>
  <c r="A401" i="42"/>
  <c r="N401" i="42" l="1"/>
  <c r="P401" i="42" s="1"/>
  <c r="A402" i="42"/>
  <c r="N402" i="42" l="1"/>
  <c r="P402" i="42" s="1"/>
  <c r="A403" i="42"/>
  <c r="N403" i="42" l="1"/>
  <c r="P403" i="42" s="1"/>
  <c r="A404" i="42"/>
  <c r="N404" i="42" l="1"/>
  <c r="P404" i="42" s="1"/>
  <c r="A405" i="42"/>
  <c r="N405" i="42" l="1"/>
  <c r="P405" i="42" s="1"/>
  <c r="A406" i="42"/>
  <c r="N406" i="42" l="1"/>
  <c r="P406" i="42" s="1"/>
  <c r="J100" i="12" s="1"/>
  <c r="A407" i="42"/>
  <c r="N407" i="42" l="1"/>
  <c r="P407" i="42" s="1"/>
  <c r="A408" i="42"/>
  <c r="A100" i="12"/>
  <c r="K100" i="12"/>
  <c r="N408" i="42" l="1"/>
  <c r="P408" i="42" s="1"/>
  <c r="A409" i="42"/>
  <c r="N409" i="42" l="1"/>
  <c r="P409" i="42" s="1"/>
  <c r="A410" i="42"/>
  <c r="N410" i="42" l="1"/>
  <c r="P410" i="42" s="1"/>
  <c r="A411" i="42"/>
  <c r="N411" i="42" l="1"/>
  <c r="P411" i="42" s="1"/>
  <c r="A412" i="42"/>
  <c r="N412" i="42" l="1"/>
  <c r="P412" i="42" s="1"/>
  <c r="A413" i="42"/>
  <c r="N413" i="42" l="1"/>
  <c r="P413" i="42" s="1"/>
  <c r="A414" i="42"/>
  <c r="N414" i="42" l="1"/>
  <c r="P414" i="42" s="1"/>
  <c r="A415" i="42"/>
  <c r="N415" i="42" l="1"/>
  <c r="P415" i="42" s="1"/>
  <c r="A416" i="42"/>
  <c r="N416" i="42" l="1"/>
  <c r="P416" i="42" s="1"/>
  <c r="A417" i="42"/>
  <c r="N417" i="42" l="1"/>
  <c r="P417" i="42" s="1"/>
  <c r="A418" i="42"/>
  <c r="N418" i="42" l="1"/>
  <c r="P418" i="42" s="1"/>
  <c r="A419" i="42"/>
  <c r="N419" i="42" l="1"/>
  <c r="P419" i="42" s="1"/>
  <c r="A420" i="42"/>
  <c r="N420" i="42" l="1"/>
  <c r="P420" i="42" s="1"/>
  <c r="Q356" i="66" s="1"/>
  <c r="A421" i="42"/>
  <c r="N421" i="42" l="1"/>
  <c r="P421" i="42" s="1"/>
  <c r="Q425" i="66" s="1"/>
  <c r="A422" i="42"/>
  <c r="AC356" i="66"/>
  <c r="R356" i="66"/>
  <c r="N422" i="42" l="1"/>
  <c r="P422" i="42" s="1"/>
  <c r="A423" i="42"/>
  <c r="R425" i="66"/>
  <c r="AC425" i="66"/>
  <c r="N423" i="42" l="1"/>
  <c r="P423" i="42" s="1"/>
  <c r="A424" i="42"/>
  <c r="N424" i="42" l="1"/>
  <c r="P424" i="42" s="1"/>
  <c r="A425" i="42"/>
  <c r="N425" i="42" l="1"/>
  <c r="P425" i="42" s="1"/>
  <c r="A426" i="42"/>
  <c r="N426" i="42" l="1"/>
  <c r="P426" i="42" s="1"/>
  <c r="A427" i="42"/>
  <c r="N427" i="42" l="1"/>
  <c r="P427" i="42" s="1"/>
  <c r="A428" i="42"/>
  <c r="N428" i="42" l="1"/>
  <c r="P428" i="42" s="1"/>
  <c r="Q546" i="66" s="1"/>
  <c r="A429" i="42"/>
  <c r="N429" i="42" l="1"/>
  <c r="P429" i="42" s="1"/>
  <c r="Q485" i="66" s="1"/>
  <c r="A430" i="42"/>
  <c r="AC546" i="66"/>
  <c r="R546" i="66"/>
  <c r="N430" i="42" l="1"/>
  <c r="P430" i="42" s="1"/>
  <c r="A431" i="42"/>
  <c r="R485" i="66"/>
  <c r="AC485" i="66"/>
  <c r="N431" i="42" l="1"/>
  <c r="P431" i="42" s="1"/>
  <c r="A432" i="42"/>
  <c r="A433" i="42" s="1"/>
  <c r="A434" i="42" s="1"/>
  <c r="A435" i="42" s="1"/>
  <c r="A436" i="42" s="1"/>
  <c r="A437" i="42" s="1"/>
  <c r="A438" i="42" s="1"/>
  <c r="A439" i="42" s="1"/>
  <c r="A440" i="42" s="1"/>
  <c r="N440" i="42" l="1"/>
  <c r="P440" i="42" s="1"/>
  <c r="A441" i="42"/>
  <c r="N441" i="42" l="1"/>
  <c r="P441" i="42" s="1"/>
  <c r="A442" i="42"/>
  <c r="N442" i="42" l="1"/>
  <c r="P442" i="42" s="1"/>
  <c r="A443" i="42"/>
  <c r="N443" i="42" l="1"/>
  <c r="P443" i="42" s="1"/>
  <c r="A444" i="42"/>
  <c r="J262" i="12"/>
  <c r="A262" i="12" l="1"/>
  <c r="K262" i="12"/>
  <c r="N444" i="42"/>
  <c r="P444" i="42" s="1"/>
  <c r="A445" i="42"/>
  <c r="N445" i="42" l="1"/>
  <c r="P445" i="42" s="1"/>
  <c r="A446" i="42"/>
  <c r="N446" i="42" l="1"/>
  <c r="P446" i="42" s="1"/>
  <c r="Q333" i="66" s="1"/>
  <c r="A447" i="42"/>
  <c r="N447" i="42" l="1"/>
  <c r="P447" i="42" s="1"/>
  <c r="A448" i="42"/>
  <c r="AC333" i="66"/>
  <c r="R333" i="66"/>
  <c r="N448" i="42" l="1"/>
  <c r="P448" i="42" s="1"/>
  <c r="A449" i="42"/>
  <c r="N449" i="42" l="1"/>
  <c r="P449" i="42" s="1"/>
  <c r="A450" i="42"/>
  <c r="N450" i="42" l="1"/>
  <c r="P450" i="42" s="1"/>
  <c r="A451" i="42"/>
  <c r="N451" i="42" l="1"/>
  <c r="P451" i="42" s="1"/>
  <c r="A452" i="42"/>
  <c r="J261" i="12"/>
  <c r="N452" i="42" l="1"/>
  <c r="P452" i="42" s="1"/>
  <c r="A453" i="42"/>
  <c r="A261" i="12"/>
  <c r="K261" i="12"/>
  <c r="N453" i="42" l="1"/>
  <c r="P453" i="42" s="1"/>
  <c r="A454" i="42"/>
  <c r="N454" i="42" l="1"/>
  <c r="P454" i="42" s="1"/>
  <c r="A455" i="42"/>
  <c r="N455" i="42" l="1"/>
  <c r="P455" i="42" s="1"/>
  <c r="A456" i="42"/>
  <c r="N456" i="42" l="1"/>
  <c r="P456" i="42" s="1"/>
  <c r="A457" i="42"/>
  <c r="N457" i="42" l="1"/>
  <c r="P457" i="42" s="1"/>
  <c r="A458" i="42"/>
  <c r="N458" i="42" l="1"/>
  <c r="P458" i="42" s="1"/>
  <c r="A459" i="42"/>
  <c r="N459" i="42" l="1"/>
  <c r="P459" i="42" s="1"/>
  <c r="A460" i="42"/>
  <c r="N460" i="42" l="1"/>
  <c r="P460" i="42" s="1"/>
  <c r="A461" i="42"/>
  <c r="N461" i="42" l="1"/>
  <c r="P461" i="42" s="1"/>
  <c r="A462" i="42"/>
  <c r="N462" i="42" l="1"/>
  <c r="P462" i="42" s="1"/>
  <c r="A463" i="42"/>
  <c r="N463" i="42" l="1"/>
  <c r="P463" i="42" s="1"/>
  <c r="A464" i="42"/>
  <c r="N464" i="42" l="1"/>
  <c r="P464" i="42" s="1"/>
  <c r="A465" i="42"/>
  <c r="N465" i="42" l="1"/>
  <c r="P465" i="42" s="1"/>
  <c r="A466" i="42"/>
  <c r="N466" i="42" l="1"/>
  <c r="P466" i="42" s="1"/>
  <c r="A467" i="42"/>
  <c r="N467" i="42" l="1"/>
  <c r="P467" i="42" s="1"/>
  <c r="J35" i="12" s="1"/>
  <c r="A468" i="42"/>
  <c r="N468" i="42" l="1"/>
  <c r="P468" i="42" s="1"/>
  <c r="A469" i="42"/>
  <c r="K35" i="12"/>
  <c r="A35" i="12"/>
  <c r="N469" i="42" l="1"/>
  <c r="P469" i="42" s="1"/>
  <c r="A470" i="42"/>
  <c r="N470" i="42" l="1"/>
  <c r="P470" i="42" s="1"/>
  <c r="A471" i="42"/>
  <c r="N471" i="42" l="1"/>
  <c r="P471" i="42" s="1"/>
  <c r="A472" i="42"/>
  <c r="N472" i="42" l="1"/>
  <c r="P472" i="42" s="1"/>
  <c r="A473" i="42"/>
  <c r="N473" i="42" l="1"/>
  <c r="P473" i="42" s="1"/>
  <c r="A474" i="42"/>
  <c r="N474" i="42" l="1"/>
  <c r="P474" i="42" s="1"/>
  <c r="A475" i="42"/>
  <c r="N475" i="42" l="1"/>
  <c r="P475" i="42" s="1"/>
  <c r="A476" i="42"/>
  <c r="N476" i="42" l="1"/>
  <c r="P476" i="42" s="1"/>
  <c r="A477" i="42"/>
  <c r="N477" i="42" l="1"/>
  <c r="P477" i="42" s="1"/>
  <c r="A478" i="42"/>
  <c r="N478" i="42" l="1"/>
  <c r="P478" i="42" s="1"/>
  <c r="A479" i="42"/>
  <c r="N479" i="42" l="1"/>
  <c r="P479" i="42" s="1"/>
  <c r="A480" i="42"/>
  <c r="N480" i="42" l="1"/>
  <c r="P480" i="42" s="1"/>
  <c r="A481" i="42"/>
  <c r="N481" i="42" l="1"/>
  <c r="P481" i="42" s="1"/>
  <c r="A482" i="42"/>
  <c r="N482" i="42" l="1"/>
  <c r="P482" i="42" s="1"/>
  <c r="A483" i="42"/>
  <c r="N483" i="42" l="1"/>
  <c r="P483" i="42" s="1"/>
  <c r="A484" i="42"/>
  <c r="N484" i="42" l="1"/>
  <c r="P484" i="42" s="1"/>
  <c r="A485" i="42"/>
  <c r="N485" i="42" l="1"/>
  <c r="P485" i="42" s="1"/>
  <c r="A486" i="42"/>
  <c r="N486" i="42" l="1"/>
  <c r="P486" i="42" s="1"/>
  <c r="A487" i="42"/>
  <c r="N487" i="42" l="1"/>
  <c r="P487" i="42" s="1"/>
  <c r="A488" i="42"/>
  <c r="N488" i="42" l="1"/>
  <c r="P488" i="42" s="1"/>
  <c r="A489" i="42"/>
  <c r="N489" i="42" l="1"/>
  <c r="P489" i="42" s="1"/>
  <c r="A490" i="42"/>
  <c r="N490" i="42" l="1"/>
  <c r="P490" i="42" s="1"/>
  <c r="A491" i="42"/>
  <c r="N491" i="42" l="1"/>
  <c r="P491" i="42" s="1"/>
  <c r="A492" i="42"/>
  <c r="J258" i="12"/>
  <c r="N492" i="42" l="1"/>
  <c r="P492" i="42" s="1"/>
  <c r="A493" i="42"/>
  <c r="K258" i="12"/>
  <c r="A258" i="12"/>
  <c r="N493" i="42" l="1"/>
  <c r="P493" i="42" s="1"/>
  <c r="A494" i="42"/>
  <c r="N494" i="42" l="1"/>
  <c r="P494" i="42" s="1"/>
  <c r="A495" i="42"/>
  <c r="N495" i="42" l="1"/>
  <c r="P495" i="42" s="1"/>
  <c r="A496" i="42"/>
  <c r="N496" i="42" l="1"/>
  <c r="P496" i="42" s="1"/>
  <c r="A497" i="42"/>
  <c r="N497" i="42" l="1"/>
  <c r="P497" i="42" s="1"/>
  <c r="A498" i="42"/>
  <c r="N498" i="42" l="1"/>
  <c r="P498" i="42" s="1"/>
  <c r="A499" i="42"/>
  <c r="N499" i="42" l="1"/>
  <c r="P499" i="42" s="1"/>
  <c r="J201" i="12" s="1"/>
  <c r="A500" i="42"/>
  <c r="N500" i="42" l="1"/>
  <c r="P500" i="42" s="1"/>
  <c r="A501" i="42"/>
  <c r="K201" i="12"/>
  <c r="A201" i="12"/>
  <c r="N501" i="42" l="1"/>
  <c r="P501" i="42" s="1"/>
  <c r="A502" i="42"/>
  <c r="N502" i="42" l="1"/>
  <c r="P502" i="42" s="1"/>
  <c r="A503" i="42"/>
  <c r="N503" i="42" l="1"/>
  <c r="P503" i="42" s="1"/>
  <c r="A504" i="42"/>
  <c r="N504" i="42" l="1"/>
  <c r="P504" i="42" s="1"/>
  <c r="A505" i="42"/>
  <c r="N505" i="42" l="1"/>
  <c r="P505" i="42" s="1"/>
  <c r="A506" i="42"/>
  <c r="N506" i="42" l="1"/>
  <c r="P506" i="42" s="1"/>
  <c r="A507" i="42"/>
  <c r="N507" i="42" l="1"/>
  <c r="P507" i="42" s="1"/>
  <c r="A508" i="42"/>
  <c r="N508" i="42" l="1"/>
  <c r="P508" i="42" s="1"/>
  <c r="A509" i="42"/>
  <c r="N509" i="42" l="1"/>
  <c r="P509" i="42" s="1"/>
  <c r="A510" i="42"/>
  <c r="N510" i="42" l="1"/>
  <c r="P510" i="42" s="1"/>
  <c r="A511" i="42"/>
  <c r="N511" i="42" l="1"/>
  <c r="P511" i="42" s="1"/>
  <c r="A512" i="42"/>
  <c r="N512" i="42" l="1"/>
  <c r="P512" i="42" s="1"/>
  <c r="A513" i="42"/>
  <c r="N513" i="42" l="1"/>
  <c r="P513" i="42" s="1"/>
  <c r="A514" i="42"/>
  <c r="N514" i="42" l="1"/>
  <c r="P514" i="42" s="1"/>
  <c r="A515" i="42"/>
  <c r="N515" i="42" l="1"/>
  <c r="P515" i="42" s="1"/>
  <c r="A516" i="42"/>
  <c r="N516" i="42" l="1"/>
  <c r="P516" i="42" s="1"/>
  <c r="A517" i="42"/>
  <c r="J268" i="12"/>
  <c r="K268" i="12" l="1"/>
  <c r="A268" i="12"/>
  <c r="N517" i="42"/>
  <c r="P517" i="42" s="1"/>
  <c r="A518" i="42"/>
  <c r="N518" i="42" l="1"/>
  <c r="P518" i="42" s="1"/>
  <c r="A519" i="42"/>
  <c r="N519" i="42" l="1"/>
  <c r="P519" i="42" s="1"/>
  <c r="A520" i="42"/>
  <c r="N520" i="42" l="1"/>
  <c r="P520" i="42" s="1"/>
  <c r="A521" i="42"/>
  <c r="N521" i="42" l="1"/>
  <c r="P521" i="42" s="1"/>
  <c r="A522" i="42"/>
  <c r="N522" i="42" l="1"/>
  <c r="P522" i="42" s="1"/>
  <c r="A523" i="42"/>
  <c r="N523" i="42" l="1"/>
  <c r="P523" i="42" s="1"/>
  <c r="A524" i="42"/>
  <c r="N524" i="42" l="1"/>
  <c r="P524" i="42" s="1"/>
  <c r="A525" i="42"/>
  <c r="N525" i="42" l="1"/>
  <c r="P525" i="42" s="1"/>
  <c r="A526" i="42"/>
  <c r="N526" i="42" l="1"/>
  <c r="P526" i="42" s="1"/>
  <c r="J94" i="12" s="1"/>
  <c r="A527" i="42"/>
  <c r="N527" i="42" l="1"/>
  <c r="P527" i="42" s="1"/>
  <c r="A528" i="42"/>
  <c r="A94" i="12"/>
  <c r="K94" i="12"/>
  <c r="N528" i="42" l="1"/>
  <c r="P528" i="42" s="1"/>
  <c r="A529" i="42"/>
  <c r="N529" i="42" l="1"/>
  <c r="P529" i="42" s="1"/>
  <c r="A530" i="42"/>
  <c r="N530" i="42" l="1"/>
  <c r="P530" i="42" s="1"/>
  <c r="A531" i="42"/>
  <c r="N531" i="42" l="1"/>
  <c r="P531" i="42" s="1"/>
  <c r="A532" i="42"/>
  <c r="N532" i="42" l="1"/>
  <c r="P532" i="42" s="1"/>
  <c r="A533" i="42"/>
  <c r="N533" i="42" l="1"/>
  <c r="P533" i="42" s="1"/>
  <c r="A534" i="42"/>
  <c r="N534" i="42" l="1"/>
  <c r="P534" i="42" s="1"/>
  <c r="A535" i="42"/>
  <c r="N535" i="42" l="1"/>
  <c r="P535" i="42" s="1"/>
  <c r="A536" i="42"/>
  <c r="N536" i="42" l="1"/>
  <c r="P536" i="42" s="1"/>
  <c r="A537" i="42"/>
  <c r="N537" i="42" l="1"/>
  <c r="P537" i="42" s="1"/>
  <c r="A538" i="42"/>
  <c r="N538" i="42" l="1"/>
  <c r="P538" i="42" s="1"/>
  <c r="A539" i="42"/>
  <c r="N539" i="42" l="1"/>
  <c r="P539" i="42" s="1"/>
  <c r="A540" i="42"/>
  <c r="N540" i="42" l="1"/>
  <c r="P540" i="42" s="1"/>
  <c r="A541" i="42"/>
  <c r="N541" i="42" l="1"/>
  <c r="P541" i="42" s="1"/>
  <c r="A542" i="42"/>
  <c r="N542" i="42" l="1"/>
  <c r="P542" i="42" s="1"/>
  <c r="A543" i="42"/>
  <c r="N543" i="42" l="1"/>
  <c r="P543" i="42" s="1"/>
  <c r="A544" i="42"/>
  <c r="N544" i="42" l="1"/>
  <c r="P544" i="42" s="1"/>
  <c r="A545" i="42"/>
  <c r="N545" i="42" l="1"/>
  <c r="P545" i="42" s="1"/>
  <c r="A546" i="42"/>
  <c r="N546" i="42" l="1"/>
  <c r="P546" i="42" s="1"/>
  <c r="A547" i="42"/>
  <c r="N547" i="42" l="1"/>
  <c r="P547" i="42" s="1"/>
  <c r="A548" i="42"/>
  <c r="N548" i="42" l="1"/>
  <c r="P548" i="42" s="1"/>
  <c r="A549" i="42"/>
  <c r="N549" i="42" l="1"/>
  <c r="P549" i="42" s="1"/>
  <c r="A550" i="42"/>
  <c r="N550" i="42" l="1"/>
  <c r="P550" i="42" s="1"/>
  <c r="A551" i="42"/>
  <c r="N551" i="42" l="1"/>
  <c r="P551" i="42" s="1"/>
  <c r="A552" i="42"/>
  <c r="N552" i="42" l="1"/>
  <c r="P552" i="42" s="1"/>
  <c r="A553" i="42"/>
  <c r="N553" i="42" l="1"/>
  <c r="P553" i="42" s="1"/>
  <c r="A554" i="42"/>
  <c r="N554" i="42" l="1"/>
  <c r="P554" i="42" s="1"/>
  <c r="A555" i="42"/>
  <c r="N555" i="42" l="1"/>
  <c r="P555" i="42" s="1"/>
  <c r="A556" i="42"/>
  <c r="N556" i="42" l="1"/>
  <c r="P556" i="42" s="1"/>
  <c r="A557" i="42"/>
  <c r="N557" i="42" l="1"/>
  <c r="P557" i="42" s="1"/>
  <c r="A558" i="42"/>
  <c r="N558" i="42" l="1"/>
  <c r="P558" i="42" s="1"/>
  <c r="A559" i="42"/>
  <c r="N559" i="42" l="1"/>
  <c r="P559" i="42" s="1"/>
  <c r="A560" i="42"/>
  <c r="N560" i="42" l="1"/>
  <c r="P560" i="42" s="1"/>
  <c r="A561" i="42"/>
  <c r="N561" i="42" l="1"/>
  <c r="P561" i="42" s="1"/>
  <c r="A562" i="42"/>
  <c r="N562" i="42" l="1"/>
  <c r="P562" i="42" s="1"/>
  <c r="A563" i="42"/>
  <c r="N563" i="42" l="1"/>
  <c r="P563" i="42" s="1"/>
  <c r="A564" i="42"/>
  <c r="N564" i="42" l="1"/>
  <c r="P564" i="42" s="1"/>
  <c r="A565" i="42"/>
  <c r="N565" i="42" l="1"/>
  <c r="P565" i="42" s="1"/>
  <c r="A566" i="42"/>
  <c r="N566" i="42" l="1"/>
  <c r="P566" i="42" s="1"/>
  <c r="A567" i="42"/>
  <c r="N567" i="42" l="1"/>
  <c r="P567" i="42" s="1"/>
  <c r="A568" i="42"/>
  <c r="N568" i="42" l="1"/>
  <c r="P568" i="42" s="1"/>
  <c r="A569" i="42"/>
  <c r="N569" i="42" l="1"/>
  <c r="P569" i="42" s="1"/>
  <c r="A570" i="42"/>
  <c r="N570" i="42" l="1"/>
  <c r="P570" i="42" s="1"/>
  <c r="A571" i="42"/>
  <c r="N571" i="42" l="1"/>
  <c r="P571" i="42" s="1"/>
  <c r="A572" i="42"/>
  <c r="N572" i="42" l="1"/>
  <c r="P572" i="42" s="1"/>
  <c r="A573" i="42"/>
  <c r="N573" i="42" l="1"/>
  <c r="P573" i="42" s="1"/>
  <c r="A574" i="42"/>
  <c r="N574" i="42" l="1"/>
  <c r="P574" i="42" s="1"/>
  <c r="A575" i="42"/>
  <c r="N575" i="42" l="1"/>
  <c r="P575" i="42" s="1"/>
  <c r="A576" i="42"/>
  <c r="N576" i="42" l="1"/>
  <c r="P576" i="42" s="1"/>
  <c r="A577" i="42"/>
  <c r="N577" i="42" l="1"/>
  <c r="P577" i="42" s="1"/>
  <c r="A578" i="42"/>
  <c r="N578" i="42" l="1"/>
  <c r="P578" i="42" s="1"/>
  <c r="A579" i="42"/>
  <c r="N579" i="42" l="1"/>
  <c r="P579" i="42" s="1"/>
  <c r="A580" i="42"/>
  <c r="N580" i="42" l="1"/>
  <c r="P580" i="42" s="1"/>
  <c r="A581" i="42"/>
  <c r="N581" i="42" l="1"/>
  <c r="P581" i="42" s="1"/>
  <c r="A582" i="42"/>
  <c r="N582" i="42" l="1"/>
  <c r="P582" i="42" s="1"/>
  <c r="A583" i="42"/>
  <c r="N583" i="42" l="1"/>
  <c r="P583" i="42" s="1"/>
  <c r="A584" i="42"/>
  <c r="N584" i="42" l="1"/>
  <c r="P584" i="42" s="1"/>
  <c r="A585" i="42"/>
  <c r="N585" i="42" l="1"/>
  <c r="P585" i="42" s="1"/>
  <c r="A586" i="42"/>
  <c r="N586" i="42" l="1"/>
  <c r="P586" i="42" s="1"/>
  <c r="A587" i="42"/>
  <c r="N587" i="42" l="1"/>
  <c r="P587" i="42" s="1"/>
  <c r="A588" i="42"/>
  <c r="N588" i="42" l="1"/>
  <c r="P588" i="42" s="1"/>
  <c r="A589" i="42"/>
  <c r="N589" i="42" l="1"/>
  <c r="P589" i="42" s="1"/>
  <c r="A590" i="42"/>
  <c r="N590" i="42" l="1"/>
  <c r="P590" i="42" s="1"/>
  <c r="A591" i="42"/>
  <c r="N591" i="42" l="1"/>
  <c r="P591" i="42" s="1"/>
  <c r="A592" i="42"/>
  <c r="N592" i="42" l="1"/>
  <c r="P592" i="42" s="1"/>
  <c r="A593" i="42"/>
  <c r="N593" i="42" l="1"/>
  <c r="P593" i="42" s="1"/>
  <c r="A594" i="42"/>
  <c r="N594" i="42" l="1"/>
  <c r="P594" i="42" s="1"/>
  <c r="A595" i="42"/>
  <c r="N595" i="42" l="1"/>
  <c r="P595" i="42" s="1"/>
  <c r="A596" i="42"/>
  <c r="N596" i="42" l="1"/>
  <c r="P596" i="42" s="1"/>
  <c r="A597" i="42"/>
  <c r="N597" i="42" l="1"/>
  <c r="P597" i="42" s="1"/>
  <c r="A598" i="42"/>
  <c r="N598" i="42" l="1"/>
  <c r="P598" i="42" s="1"/>
  <c r="A599" i="42"/>
  <c r="N599" i="42" l="1"/>
  <c r="P599" i="42" s="1"/>
  <c r="A600" i="42"/>
  <c r="N600" i="42" l="1"/>
  <c r="P600" i="42" s="1"/>
  <c r="A601" i="42"/>
  <c r="N601" i="42" l="1"/>
  <c r="P601" i="42" s="1"/>
  <c r="A602" i="42"/>
  <c r="N602" i="42" l="1"/>
  <c r="P602" i="42" s="1"/>
  <c r="A603" i="42"/>
  <c r="N603" i="42" l="1"/>
  <c r="P603" i="42" s="1"/>
  <c r="A604" i="42"/>
  <c r="N604" i="42" l="1"/>
  <c r="P604" i="42" s="1"/>
  <c r="A605" i="42"/>
  <c r="N605" i="42" l="1"/>
  <c r="P605" i="42" s="1"/>
  <c r="A606" i="42"/>
  <c r="N606" i="42" l="1"/>
  <c r="P606" i="42" s="1"/>
  <c r="A607" i="42"/>
  <c r="N607" i="42" l="1"/>
  <c r="P607" i="42" s="1"/>
  <c r="A608" i="42"/>
  <c r="N608" i="42" l="1"/>
  <c r="P608" i="42" s="1"/>
  <c r="A609" i="42"/>
  <c r="N609" i="42" l="1"/>
  <c r="P609" i="42" s="1"/>
  <c r="A610" i="42"/>
  <c r="N610" i="42" l="1"/>
  <c r="P610" i="42" s="1"/>
  <c r="A611" i="42"/>
  <c r="N611" i="42" l="1"/>
  <c r="P611" i="42" s="1"/>
  <c r="A612" i="42"/>
  <c r="N612" i="42" l="1"/>
  <c r="P612" i="42" s="1"/>
  <c r="A613" i="42"/>
  <c r="N613" i="42" l="1"/>
  <c r="P613" i="42" s="1"/>
  <c r="A614" i="42"/>
  <c r="N614" i="42" l="1"/>
  <c r="P614" i="42" s="1"/>
  <c r="A615" i="42"/>
  <c r="N615" i="42" l="1"/>
  <c r="P615" i="42" s="1"/>
  <c r="A616" i="42"/>
  <c r="N616" i="42" l="1"/>
  <c r="P616" i="42" s="1"/>
  <c r="A617" i="42"/>
  <c r="N617" i="42" l="1"/>
  <c r="P617" i="42" s="1"/>
  <c r="A618" i="42"/>
  <c r="N618" i="42" l="1"/>
  <c r="P618" i="42" s="1"/>
  <c r="A619" i="42"/>
  <c r="N619" i="42" l="1"/>
  <c r="P619" i="42" s="1"/>
  <c r="A620" i="42"/>
  <c r="N620" i="42" l="1"/>
  <c r="P620" i="42" s="1"/>
  <c r="A621" i="42"/>
  <c r="N621" i="42" l="1"/>
  <c r="P621" i="42" s="1"/>
  <c r="A622" i="42"/>
  <c r="N622" i="42" l="1"/>
  <c r="P622" i="42" s="1"/>
  <c r="A623" i="42"/>
  <c r="N623" i="42" l="1"/>
  <c r="P623" i="42" s="1"/>
  <c r="A624" i="42"/>
  <c r="N624" i="42" l="1"/>
  <c r="P624" i="42" s="1"/>
  <c r="A625" i="42"/>
  <c r="N625" i="42" l="1"/>
  <c r="P625" i="42" s="1"/>
  <c r="A626" i="42"/>
  <c r="N626" i="42" l="1"/>
  <c r="P626" i="42" s="1"/>
  <c r="A627" i="42"/>
  <c r="N627" i="42" l="1"/>
  <c r="P627" i="42" s="1"/>
  <c r="A628" i="42"/>
  <c r="N628" i="42" l="1"/>
  <c r="P628" i="42" s="1"/>
  <c r="A629" i="42"/>
  <c r="N629" i="42" l="1"/>
  <c r="P629" i="42" s="1"/>
  <c r="A630" i="42"/>
  <c r="N630" i="42" l="1"/>
  <c r="P630" i="42" s="1"/>
  <c r="A631" i="42"/>
  <c r="N631" i="42" l="1"/>
  <c r="P631" i="42" s="1"/>
  <c r="A632" i="42"/>
  <c r="N632" i="42" l="1"/>
  <c r="P632" i="42" s="1"/>
  <c r="A633" i="42"/>
  <c r="N633" i="42" l="1"/>
  <c r="P633" i="42" s="1"/>
  <c r="A634" i="42"/>
  <c r="N634" i="42" l="1"/>
  <c r="P634" i="42" s="1"/>
  <c r="A635" i="42"/>
  <c r="N635" i="42" l="1"/>
  <c r="P635" i="42" s="1"/>
  <c r="A636" i="42"/>
  <c r="N636" i="42" l="1"/>
  <c r="P636" i="42" s="1"/>
  <c r="A637" i="42"/>
  <c r="N637" i="42" l="1"/>
  <c r="P637" i="42" s="1"/>
  <c r="Q764" i="66" s="1"/>
  <c r="A638" i="42"/>
  <c r="N638" i="42" l="1"/>
  <c r="P638" i="42" s="1"/>
  <c r="A639" i="42"/>
  <c r="AC764" i="66"/>
  <c r="R764" i="66"/>
  <c r="N639" i="42" l="1"/>
  <c r="P639" i="42" s="1"/>
  <c r="A640" i="42"/>
  <c r="N640" i="42" l="1"/>
  <c r="P640" i="42" s="1"/>
  <c r="A641" i="42"/>
  <c r="N641" i="42" l="1"/>
  <c r="P641" i="42" s="1"/>
  <c r="A642" i="42"/>
  <c r="N642" i="42" l="1"/>
  <c r="P642" i="42" s="1"/>
  <c r="J39" i="12" s="1"/>
  <c r="A643" i="42"/>
  <c r="N643" i="42" l="1"/>
  <c r="P643" i="42" s="1"/>
  <c r="J43" i="12" s="1"/>
  <c r="A644" i="42"/>
  <c r="K39" i="12"/>
  <c r="A39" i="12"/>
  <c r="N644" i="42" l="1"/>
  <c r="P644" i="42" s="1"/>
  <c r="J40" i="12" s="1"/>
  <c r="A645" i="42"/>
  <c r="K43" i="12"/>
  <c r="A43" i="12"/>
  <c r="N645" i="42" l="1"/>
  <c r="P645" i="42" s="1"/>
  <c r="J44" i="12" s="1"/>
  <c r="A646" i="42"/>
  <c r="K40" i="12"/>
  <c r="A40" i="12"/>
  <c r="N646" i="42" l="1"/>
  <c r="P646" i="42" s="1"/>
  <c r="A647" i="42"/>
  <c r="A44" i="12"/>
  <c r="K44" i="12"/>
  <c r="N647" i="42" l="1"/>
  <c r="P647" i="42" s="1"/>
  <c r="A648" i="42"/>
  <c r="N648" i="42" l="1"/>
  <c r="P648" i="42" s="1"/>
  <c r="A649" i="42"/>
  <c r="N649" i="42" l="1"/>
  <c r="P649" i="42" s="1"/>
  <c r="A650" i="42"/>
  <c r="N650" i="42" l="1"/>
  <c r="P650" i="42" s="1"/>
  <c r="A651" i="42"/>
  <c r="N651" i="42" l="1"/>
  <c r="P651" i="42" s="1"/>
  <c r="A652" i="42"/>
  <c r="N652" i="42" l="1"/>
  <c r="P652" i="42" s="1"/>
  <c r="A653" i="42"/>
  <c r="N653" i="42" l="1"/>
  <c r="P653" i="42" s="1"/>
  <c r="Q501" i="66" s="1"/>
  <c r="A654" i="42"/>
  <c r="N654" i="42" l="1"/>
  <c r="P654" i="42" s="1"/>
  <c r="Q563" i="66" s="1"/>
  <c r="A655" i="42"/>
  <c r="R501" i="66"/>
  <c r="AC501" i="66"/>
  <c r="N655" i="42" l="1"/>
  <c r="P655" i="42" s="1"/>
  <c r="A656" i="42"/>
  <c r="R563" i="66"/>
  <c r="AC563" i="66"/>
  <c r="N656" i="42" l="1"/>
  <c r="P656" i="42" s="1"/>
  <c r="A657" i="42"/>
  <c r="N657" i="42" l="1"/>
  <c r="P657" i="42" s="1"/>
  <c r="A658" i="42"/>
  <c r="N658" i="42" l="1"/>
  <c r="P658" i="42" s="1"/>
  <c r="J62" i="12" s="1"/>
  <c r="A659" i="42"/>
  <c r="N659" i="42" l="1"/>
  <c r="P659" i="42" s="1"/>
  <c r="J118" i="12" s="1"/>
  <c r="A660" i="42"/>
  <c r="K62" i="12"/>
  <c r="A62" i="12"/>
  <c r="N660" i="42" l="1"/>
  <c r="P660" i="42" s="1"/>
  <c r="J63" i="12" s="1"/>
  <c r="A661" i="42"/>
  <c r="A118" i="12"/>
  <c r="K118" i="12"/>
  <c r="N661" i="42" l="1"/>
  <c r="P661" i="42" s="1"/>
  <c r="J127" i="12" s="1"/>
  <c r="A662" i="42"/>
  <c r="A63" i="12"/>
  <c r="K63" i="12"/>
  <c r="N662" i="42" l="1"/>
  <c r="P662" i="42" s="1"/>
  <c r="A663" i="42"/>
  <c r="A127" i="12"/>
  <c r="K127" i="12"/>
  <c r="N663" i="42" l="1"/>
  <c r="P663" i="42" s="1"/>
  <c r="A664" i="42"/>
  <c r="N664" i="42" l="1"/>
  <c r="P664" i="42" s="1"/>
  <c r="A665" i="42"/>
  <c r="N665" i="42" l="1"/>
  <c r="P665" i="42" s="1"/>
  <c r="Q738" i="66" s="1"/>
  <c r="A666" i="42"/>
  <c r="N666" i="42" l="1"/>
  <c r="P666" i="42" s="1"/>
  <c r="Q251" i="66" s="1"/>
  <c r="A667" i="42"/>
  <c r="AC738" i="66"/>
  <c r="R738" i="66"/>
  <c r="N667" i="42" l="1"/>
  <c r="P667" i="42" s="1"/>
  <c r="A668" i="42"/>
  <c r="R251" i="66"/>
  <c r="AC251" i="66"/>
  <c r="N668" i="42" l="1"/>
  <c r="P668" i="42" s="1"/>
  <c r="A669" i="42"/>
  <c r="N669" i="42" l="1"/>
  <c r="P669" i="42" s="1"/>
  <c r="Q673" i="66" s="1"/>
  <c r="A670" i="42"/>
  <c r="N670" i="42" l="1"/>
  <c r="P670" i="42" s="1"/>
  <c r="A671" i="42"/>
  <c r="AC673" i="66"/>
  <c r="R673" i="66"/>
  <c r="N671" i="42" l="1"/>
  <c r="P671" i="42" s="1"/>
  <c r="A672" i="42"/>
  <c r="N672" i="42" l="1"/>
  <c r="P672" i="42" s="1"/>
  <c r="A673" i="42"/>
  <c r="N673" i="42" l="1"/>
  <c r="P673" i="42" s="1"/>
  <c r="A674" i="42"/>
  <c r="N674" i="42" l="1"/>
  <c r="P674" i="42" s="1"/>
  <c r="A675" i="42"/>
  <c r="N675" i="42" l="1"/>
  <c r="P675" i="42" s="1"/>
  <c r="A676" i="42"/>
  <c r="N676" i="42" l="1"/>
  <c r="P676" i="42" s="1"/>
  <c r="J147" i="12" s="1"/>
  <c r="A677" i="42"/>
  <c r="N677" i="42" l="1"/>
  <c r="P677" i="42" s="1"/>
  <c r="J148" i="12" s="1"/>
  <c r="A678" i="42"/>
  <c r="A147" i="12"/>
  <c r="K147" i="12"/>
  <c r="N678" i="42" l="1"/>
  <c r="P678" i="42" s="1"/>
  <c r="A679" i="42"/>
  <c r="K148" i="12"/>
  <c r="A148" i="12"/>
  <c r="N679" i="42" l="1"/>
  <c r="P679" i="42" s="1"/>
  <c r="A680" i="42"/>
  <c r="N680" i="42" l="1"/>
  <c r="P680" i="42" s="1"/>
  <c r="A681" i="42"/>
  <c r="N681" i="42" l="1"/>
  <c r="P681" i="42" s="1"/>
  <c r="A682" i="42"/>
  <c r="N682" i="42" l="1"/>
  <c r="P682" i="42" s="1"/>
  <c r="A683" i="42"/>
  <c r="N683" i="42" l="1"/>
  <c r="P683" i="42" s="1"/>
  <c r="Q305" i="66" s="1"/>
  <c r="A684" i="42"/>
  <c r="N684" i="42" l="1"/>
  <c r="P684" i="42" s="1"/>
  <c r="A685" i="42"/>
  <c r="AC305" i="66"/>
  <c r="R305" i="66"/>
  <c r="N685" i="42" l="1"/>
  <c r="P685" i="42" s="1"/>
  <c r="A686" i="42"/>
  <c r="N686" i="42" l="1"/>
  <c r="P686" i="42" s="1"/>
  <c r="A687" i="42"/>
  <c r="N687" i="42" l="1"/>
  <c r="P687" i="42" s="1"/>
  <c r="A688" i="42"/>
  <c r="N688" i="42" l="1"/>
  <c r="P688" i="42" s="1"/>
  <c r="A689" i="42"/>
  <c r="N689" i="42" l="1"/>
  <c r="P689" i="42" s="1"/>
  <c r="A690" i="42"/>
  <c r="N690" i="42" l="1"/>
  <c r="P690" i="42" s="1"/>
  <c r="J49" i="12" s="1"/>
  <c r="A691" i="42"/>
  <c r="N691" i="42" l="1"/>
  <c r="P691" i="42" s="1"/>
  <c r="J166" i="12" s="1"/>
  <c r="A692" i="42"/>
  <c r="K49" i="12"/>
  <c r="A49" i="12"/>
  <c r="N692" i="42" l="1"/>
  <c r="P692" i="42" s="1"/>
  <c r="A693" i="42"/>
  <c r="A166" i="12"/>
  <c r="K166" i="12"/>
  <c r="N693" i="42" l="1"/>
  <c r="P693" i="42" s="1"/>
  <c r="A694" i="42"/>
  <c r="N694" i="42" l="1"/>
  <c r="P694" i="42" s="1"/>
  <c r="A695" i="42"/>
  <c r="N695" i="42" l="1"/>
  <c r="P695" i="42" s="1"/>
  <c r="A696" i="42"/>
  <c r="N696" i="42" l="1"/>
  <c r="P696" i="42" s="1"/>
  <c r="Q307" i="66" s="1"/>
  <c r="A697" i="42"/>
  <c r="N697" i="42" l="1"/>
  <c r="P697" i="42" s="1"/>
  <c r="Q779" i="66" s="1"/>
  <c r="A698" i="42"/>
  <c r="R307" i="66"/>
  <c r="AC307" i="66"/>
  <c r="N698" i="42" l="1"/>
  <c r="P698" i="42" s="1"/>
  <c r="Q316" i="66" s="1"/>
  <c r="A699" i="42"/>
  <c r="AC779" i="66"/>
  <c r="R779" i="66"/>
  <c r="N699" i="42" l="1"/>
  <c r="P699" i="42" s="1"/>
  <c r="A700" i="42"/>
  <c r="AC316" i="66"/>
  <c r="R316" i="66"/>
  <c r="N700" i="42" l="1"/>
  <c r="P700" i="42" s="1"/>
  <c r="Q488" i="66" s="1"/>
  <c r="A701" i="42"/>
  <c r="N701" i="42" l="1"/>
  <c r="P701" i="42" s="1"/>
  <c r="Q746" i="66" s="1"/>
  <c r="A702" i="42"/>
  <c r="AC488" i="66"/>
  <c r="R488" i="66"/>
  <c r="N702" i="42" l="1"/>
  <c r="P702" i="42" s="1"/>
  <c r="Q747" i="66" s="1"/>
  <c r="A703" i="42"/>
  <c r="AC746" i="66"/>
  <c r="R746" i="66"/>
  <c r="N703" i="42" l="1"/>
  <c r="P703" i="42" s="1"/>
  <c r="Q734" i="66" s="1"/>
  <c r="A704" i="42"/>
  <c r="AC747" i="66"/>
  <c r="R747" i="66"/>
  <c r="N704" i="42" l="1"/>
  <c r="P704" i="42" s="1"/>
  <c r="A705" i="42"/>
  <c r="AC734" i="66"/>
  <c r="R734" i="66"/>
  <c r="N705" i="42" l="1"/>
  <c r="P705" i="42" s="1"/>
  <c r="A706" i="42"/>
  <c r="N706" i="42" l="1"/>
  <c r="P706" i="42" s="1"/>
  <c r="A707" i="42"/>
  <c r="N707" i="42" l="1"/>
  <c r="P707" i="42" s="1"/>
  <c r="A708" i="42"/>
  <c r="N708" i="42" l="1"/>
  <c r="P708" i="42" s="1"/>
  <c r="A709" i="42"/>
  <c r="N709" i="42" l="1"/>
  <c r="P709" i="42" s="1"/>
  <c r="A710" i="42"/>
  <c r="N710" i="42" l="1"/>
  <c r="P710" i="42" s="1"/>
  <c r="A711" i="42"/>
  <c r="N711" i="42" l="1"/>
  <c r="P711" i="42" s="1"/>
  <c r="A712" i="42"/>
  <c r="N712" i="42" l="1"/>
  <c r="P712" i="42" s="1"/>
  <c r="A713" i="42"/>
  <c r="N713" i="42" l="1"/>
  <c r="P713" i="42" s="1"/>
  <c r="A714" i="42"/>
  <c r="N714" i="42" l="1"/>
  <c r="P714" i="42" s="1"/>
  <c r="A715" i="42"/>
  <c r="N715" i="42" l="1"/>
  <c r="P715" i="42" s="1"/>
  <c r="A716" i="42"/>
  <c r="N716" i="42" l="1"/>
  <c r="P716" i="42" s="1"/>
  <c r="A717" i="42"/>
  <c r="N717" i="42" l="1"/>
  <c r="P717" i="42" s="1"/>
  <c r="A718" i="42"/>
  <c r="N718" i="42" l="1"/>
  <c r="P718" i="42" s="1"/>
  <c r="A719" i="42"/>
  <c r="N719" i="42" l="1"/>
  <c r="P719" i="42" s="1"/>
  <c r="A720" i="42"/>
  <c r="N720" i="42" l="1"/>
  <c r="P720" i="42" s="1"/>
  <c r="A721" i="42"/>
  <c r="N721" i="42" l="1"/>
  <c r="P721" i="42" s="1"/>
  <c r="A722" i="42"/>
  <c r="N722" i="42" l="1"/>
  <c r="P722" i="42" s="1"/>
  <c r="A723" i="42"/>
  <c r="N723" i="42" l="1"/>
  <c r="P723" i="42" s="1"/>
  <c r="A724" i="42"/>
  <c r="N724" i="42" l="1"/>
  <c r="P724" i="42" s="1"/>
  <c r="A725" i="42"/>
  <c r="N725" i="42" l="1"/>
  <c r="P725" i="42" s="1"/>
  <c r="A726" i="42"/>
  <c r="N726" i="42" l="1"/>
  <c r="P726" i="42" s="1"/>
  <c r="A727" i="42"/>
  <c r="N727" i="42" l="1"/>
  <c r="P727" i="42" s="1"/>
  <c r="A728" i="42"/>
  <c r="N728" i="42" l="1"/>
  <c r="P728" i="42" s="1"/>
  <c r="A729" i="42"/>
  <c r="N729" i="42" l="1"/>
  <c r="P729" i="42" s="1"/>
  <c r="A730" i="42"/>
  <c r="N730" i="42" l="1"/>
  <c r="P730" i="42" s="1"/>
  <c r="A731" i="42"/>
  <c r="N731" i="42" l="1"/>
  <c r="P731" i="42" s="1"/>
  <c r="A732" i="42"/>
  <c r="N732" i="42" l="1"/>
  <c r="P732" i="42" s="1"/>
  <c r="A733" i="42"/>
  <c r="N733" i="42" l="1"/>
  <c r="P733" i="42" s="1"/>
  <c r="A734" i="42"/>
  <c r="N734" i="42" l="1"/>
  <c r="P734" i="42" s="1"/>
  <c r="A735" i="42"/>
  <c r="N735" i="42" l="1"/>
  <c r="P735" i="42" s="1"/>
  <c r="A736" i="42"/>
  <c r="N736" i="42" l="1"/>
  <c r="P736" i="42" s="1"/>
  <c r="A737" i="42"/>
  <c r="N737" i="42" l="1"/>
  <c r="P737" i="42" s="1"/>
  <c r="A738" i="42"/>
  <c r="N738" i="42" l="1"/>
  <c r="P738" i="42" s="1"/>
  <c r="A739" i="42"/>
  <c r="N739" i="42" l="1"/>
  <c r="P739" i="42" s="1"/>
  <c r="A740" i="42"/>
  <c r="N740" i="42" l="1"/>
  <c r="P740" i="42" s="1"/>
  <c r="A741" i="42"/>
  <c r="N741" i="42" l="1"/>
  <c r="P741" i="42" s="1"/>
  <c r="A742" i="42"/>
  <c r="N742" i="42" l="1"/>
  <c r="P742" i="42" s="1"/>
  <c r="A743" i="42"/>
  <c r="N743" i="42" l="1"/>
  <c r="P743" i="42" s="1"/>
  <c r="J66" i="12" s="1"/>
  <c r="A744" i="42"/>
  <c r="N744" i="42" l="1"/>
  <c r="P744" i="42" s="1"/>
  <c r="J243" i="12" s="1"/>
  <c r="A745" i="42"/>
  <c r="A66" i="12"/>
  <c r="K66" i="12"/>
  <c r="N745" i="42" l="1"/>
  <c r="P745" i="42" s="1"/>
  <c r="J244" i="12" s="1"/>
  <c r="A746" i="42"/>
  <c r="A243" i="12"/>
  <c r="K243" i="12"/>
  <c r="N746" i="42" l="1"/>
  <c r="P746" i="42" s="1"/>
  <c r="A747" i="42"/>
  <c r="K244" i="12"/>
  <c r="A244" i="12"/>
  <c r="N747" i="42" l="1"/>
  <c r="P747" i="42" s="1"/>
  <c r="J273" i="12" s="1"/>
  <c r="A748" i="42"/>
  <c r="N748" i="42" l="1"/>
  <c r="P748" i="42" s="1"/>
  <c r="A749" i="42"/>
  <c r="K273" i="12"/>
  <c r="A273" i="12"/>
  <c r="N749" i="42" l="1"/>
  <c r="P749" i="42" s="1"/>
  <c r="A750" i="42"/>
  <c r="N750" i="42" l="1"/>
  <c r="P750" i="42" s="1"/>
  <c r="A751" i="42"/>
  <c r="N751" i="42" l="1"/>
  <c r="P751" i="42" s="1"/>
  <c r="A752" i="42"/>
  <c r="N752" i="42" l="1"/>
  <c r="P752" i="42" s="1"/>
  <c r="J65" i="12" s="1"/>
  <c r="A753" i="42"/>
  <c r="N753" i="42" l="1"/>
  <c r="P753" i="42" s="1"/>
  <c r="A754" i="42"/>
  <c r="K65" i="12"/>
  <c r="A65" i="12"/>
  <c r="N754" i="42" l="1"/>
  <c r="P754" i="42" s="1"/>
  <c r="A755" i="42"/>
  <c r="N755" i="42" l="1"/>
  <c r="P755" i="42" s="1"/>
  <c r="A756" i="42"/>
  <c r="N756" i="42" l="1"/>
  <c r="P756" i="42" s="1"/>
  <c r="A757" i="42"/>
  <c r="N757" i="42" l="1"/>
  <c r="P757" i="42" s="1"/>
  <c r="A758" i="42"/>
  <c r="N758" i="42" l="1"/>
  <c r="P758" i="42" s="1"/>
  <c r="A759" i="42"/>
  <c r="N759" i="42" l="1"/>
  <c r="P759" i="42" s="1"/>
  <c r="A760" i="42"/>
  <c r="N760" i="42" l="1"/>
  <c r="P760" i="42" s="1"/>
  <c r="A761" i="42"/>
  <c r="N761" i="42" l="1"/>
  <c r="P761" i="42" s="1"/>
  <c r="J67" i="12" s="1"/>
  <c r="A762" i="42"/>
  <c r="N762" i="42" l="1"/>
  <c r="P762" i="42" s="1"/>
  <c r="A763" i="42"/>
  <c r="K67" i="12"/>
  <c r="A67" i="12"/>
  <c r="N763" i="42" l="1"/>
  <c r="P763" i="42" s="1"/>
  <c r="A764" i="42"/>
  <c r="N764" i="42" l="1"/>
  <c r="P764" i="42" s="1"/>
  <c r="A765" i="42"/>
  <c r="N765" i="42" l="1"/>
  <c r="P765" i="42" s="1"/>
  <c r="A766" i="42"/>
  <c r="N766" i="42" l="1"/>
  <c r="P766" i="42" s="1"/>
  <c r="A767" i="42"/>
  <c r="N767" i="42" l="1"/>
  <c r="P767" i="42" s="1"/>
  <c r="A768" i="42"/>
  <c r="A769" i="42" s="1"/>
  <c r="A770" i="42" s="1"/>
  <c r="A771" i="42" s="1"/>
  <c r="A772" i="42" s="1"/>
  <c r="A773" i="42" s="1"/>
  <c r="A774" i="42" s="1"/>
  <c r="A775" i="42" s="1"/>
  <c r="A776" i="42" s="1"/>
  <c r="A777" i="42" s="1"/>
  <c r="N777" i="42" l="1"/>
  <c r="P777" i="42" s="1"/>
  <c r="A778" i="42"/>
  <c r="N778" i="42" l="1"/>
  <c r="P778" i="42" s="1"/>
  <c r="A779" i="42"/>
  <c r="N779" i="42" l="1"/>
  <c r="P779" i="42" s="1"/>
  <c r="J51" i="12" s="1"/>
  <c r="A780" i="42"/>
  <c r="N780" i="42" l="1"/>
  <c r="P780" i="42" s="1"/>
  <c r="J53" i="12" s="1"/>
  <c r="A781" i="42"/>
  <c r="A51" i="12"/>
  <c r="K51" i="12"/>
  <c r="N781" i="42" l="1"/>
  <c r="P781" i="42" s="1"/>
  <c r="A782" i="42"/>
  <c r="A53" i="12"/>
  <c r="K53" i="12"/>
  <c r="N782" i="42" l="1"/>
  <c r="P782" i="42" s="1"/>
  <c r="A783" i="42"/>
  <c r="N783" i="42" l="1"/>
  <c r="P783" i="42" s="1"/>
  <c r="J113" i="12" s="1"/>
  <c r="A784" i="42"/>
  <c r="N784" i="42" l="1"/>
  <c r="P784" i="42" s="1"/>
  <c r="A785" i="42"/>
  <c r="K113" i="12"/>
  <c r="A113" i="12"/>
  <c r="N785" i="42" l="1"/>
  <c r="P785" i="42" s="1"/>
  <c r="A786" i="42"/>
  <c r="N786" i="42" l="1"/>
  <c r="P786" i="42" s="1"/>
  <c r="A787" i="42"/>
  <c r="N787" i="42" l="1"/>
  <c r="P787" i="42" s="1"/>
  <c r="Q559" i="66" s="1"/>
  <c r="A788" i="42"/>
  <c r="N788" i="42" l="1"/>
  <c r="P788" i="42" s="1"/>
  <c r="A789" i="42"/>
  <c r="R559" i="66"/>
  <c r="AC559" i="66"/>
  <c r="N789" i="42" l="1"/>
  <c r="P789" i="42" s="1"/>
  <c r="A790" i="42"/>
  <c r="N790" i="42" l="1"/>
  <c r="P790" i="42" s="1"/>
  <c r="A791" i="42"/>
  <c r="N791" i="42" l="1"/>
  <c r="P791" i="42" s="1"/>
  <c r="J50" i="12" s="1"/>
  <c r="A792" i="42"/>
  <c r="N792" i="42" l="1"/>
  <c r="P792" i="42" s="1"/>
  <c r="J54" i="12" s="1"/>
  <c r="A793" i="42"/>
  <c r="K50" i="12"/>
  <c r="A50" i="12"/>
  <c r="N793" i="42" l="1"/>
  <c r="P793" i="42" s="1"/>
  <c r="A794" i="42"/>
  <c r="A54" i="12"/>
  <c r="K54" i="12"/>
  <c r="N794" i="42" l="1"/>
  <c r="P794" i="42" s="1"/>
  <c r="A795" i="42"/>
  <c r="N795" i="42" l="1"/>
  <c r="P795" i="42" s="1"/>
  <c r="A796" i="42"/>
  <c r="N796" i="42" l="1"/>
  <c r="P796" i="42" s="1"/>
  <c r="A797" i="42"/>
  <c r="N797" i="42" l="1"/>
  <c r="P797" i="42" s="1"/>
  <c r="A798" i="42"/>
  <c r="N798" i="42" l="1"/>
  <c r="P798" i="42" s="1"/>
  <c r="A799" i="42"/>
  <c r="N799" i="42" l="1"/>
  <c r="P799" i="42" s="1"/>
  <c r="A800" i="42"/>
  <c r="N800" i="42" l="1"/>
  <c r="P800" i="42" s="1"/>
  <c r="A801" i="42"/>
  <c r="N801" i="42" l="1"/>
  <c r="P801" i="42" s="1"/>
  <c r="A802" i="42"/>
  <c r="N802" i="42" l="1"/>
  <c r="P802" i="42" s="1"/>
  <c r="A803" i="42"/>
  <c r="N803" i="42" l="1"/>
  <c r="P803" i="42" s="1"/>
  <c r="J34" i="12" s="1"/>
  <c r="A804" i="42"/>
  <c r="N804" i="42" l="1"/>
  <c r="P804" i="42" s="1"/>
  <c r="J86" i="12" s="1"/>
  <c r="A805" i="42"/>
  <c r="K34" i="12"/>
  <c r="A34" i="12"/>
  <c r="N805" i="42" l="1"/>
  <c r="P805" i="42" s="1"/>
  <c r="A806" i="42"/>
  <c r="A86" i="12"/>
  <c r="K86" i="12"/>
  <c r="N806" i="42" l="1"/>
  <c r="P806" i="42" s="1"/>
  <c r="A807" i="42"/>
  <c r="N807" i="42" l="1"/>
  <c r="P807" i="42" s="1"/>
  <c r="A808" i="42"/>
  <c r="N808" i="42" l="1"/>
  <c r="P808" i="42" s="1"/>
  <c r="A809" i="42"/>
  <c r="N809" i="42" l="1"/>
  <c r="P809" i="42" s="1"/>
  <c r="A810" i="42"/>
  <c r="N810" i="42" l="1"/>
  <c r="P810" i="42" s="1"/>
  <c r="A811" i="42"/>
  <c r="N811" i="42" l="1"/>
  <c r="P811" i="42" s="1"/>
  <c r="A812" i="42"/>
  <c r="N812" i="42" l="1"/>
  <c r="P812" i="42" s="1"/>
  <c r="A813" i="42"/>
  <c r="N813" i="42" l="1"/>
  <c r="P813" i="42" s="1"/>
  <c r="A814" i="42"/>
  <c r="N814" i="42" l="1"/>
  <c r="P814" i="42" s="1"/>
  <c r="A815" i="42"/>
  <c r="N815" i="42" l="1"/>
  <c r="P815" i="42" s="1"/>
  <c r="J70" i="12" s="1"/>
  <c r="A816" i="42"/>
  <c r="N816" i="42" l="1"/>
  <c r="P816" i="42" s="1"/>
  <c r="A817" i="42"/>
  <c r="K70" i="12"/>
  <c r="A70" i="12"/>
  <c r="N817" i="42" l="1"/>
  <c r="P817" i="42" s="1"/>
  <c r="A818" i="42"/>
  <c r="N818" i="42" l="1"/>
  <c r="P818" i="42" s="1"/>
  <c r="A819" i="42"/>
  <c r="N819" i="42" l="1"/>
  <c r="P819" i="42" s="1"/>
  <c r="A820" i="42"/>
  <c r="N820" i="42" l="1"/>
  <c r="P820" i="42" s="1"/>
  <c r="J71" i="12" s="1"/>
  <c r="A821" i="42"/>
  <c r="N821" i="42" l="1"/>
  <c r="P821" i="42" s="1"/>
  <c r="A822" i="42"/>
  <c r="K71" i="12"/>
  <c r="A71" i="12"/>
  <c r="N822" i="42" l="1"/>
  <c r="P822" i="42" s="1"/>
  <c r="A823" i="42"/>
  <c r="N823" i="42" l="1"/>
  <c r="P823" i="42" s="1"/>
  <c r="A824" i="42"/>
  <c r="N824" i="42" l="1"/>
  <c r="P824" i="42" s="1"/>
  <c r="A825" i="42"/>
  <c r="N825" i="42" l="1"/>
  <c r="P825" i="42" s="1"/>
  <c r="J72" i="12" s="1"/>
  <c r="A826" i="42"/>
  <c r="N826" i="42" l="1"/>
  <c r="P826" i="42" s="1"/>
  <c r="A827" i="42"/>
  <c r="K72" i="12"/>
  <c r="A72" i="12"/>
  <c r="N827" i="42" l="1"/>
  <c r="P827" i="42" s="1"/>
  <c r="A828" i="42"/>
  <c r="N828" i="42" l="1"/>
  <c r="P828" i="42" s="1"/>
  <c r="A829" i="42"/>
  <c r="N829" i="42" l="1"/>
  <c r="P829" i="42" s="1"/>
  <c r="A830" i="42"/>
  <c r="N830" i="42" l="1"/>
  <c r="P830" i="42" s="1"/>
  <c r="J73" i="12" s="1"/>
  <c r="A831" i="42"/>
  <c r="N831" i="42" l="1"/>
  <c r="P831" i="42" s="1"/>
  <c r="A832" i="42"/>
  <c r="K73" i="12"/>
  <c r="A73" i="12"/>
  <c r="N832" i="42" l="1"/>
  <c r="P832" i="42" s="1"/>
  <c r="A833" i="42"/>
  <c r="N833" i="42" l="1"/>
  <c r="P833" i="42" s="1"/>
  <c r="A834" i="42"/>
  <c r="N834" i="42" l="1"/>
  <c r="P834" i="42" s="1"/>
  <c r="A835" i="42"/>
  <c r="N835" i="42" l="1"/>
  <c r="P835" i="42" s="1"/>
  <c r="J74" i="12" s="1"/>
  <c r="A836" i="42"/>
  <c r="N836" i="42" l="1"/>
  <c r="P836" i="42" s="1"/>
  <c r="A837" i="42"/>
  <c r="K74" i="12"/>
  <c r="A74" i="12"/>
  <c r="N837" i="42" l="1"/>
  <c r="P837" i="42" s="1"/>
  <c r="A838" i="42"/>
  <c r="N838" i="42" l="1"/>
  <c r="P838" i="42" s="1"/>
  <c r="A839" i="42"/>
  <c r="N839" i="42" l="1"/>
  <c r="P839" i="42" s="1"/>
  <c r="A840" i="42"/>
  <c r="N840" i="42" l="1"/>
  <c r="P840" i="42" s="1"/>
  <c r="J75" i="12" s="1"/>
  <c r="A841" i="42"/>
  <c r="N841" i="42" l="1"/>
  <c r="P841" i="42" s="1"/>
  <c r="A842" i="42"/>
  <c r="K75" i="12"/>
  <c r="A75" i="12"/>
  <c r="N842" i="42" l="1"/>
  <c r="P842" i="42" s="1"/>
  <c r="A843" i="42"/>
  <c r="N843" i="42" l="1"/>
  <c r="P843" i="42" s="1"/>
  <c r="A844" i="42"/>
  <c r="N844" i="42" l="1"/>
  <c r="P844" i="42" s="1"/>
  <c r="A845" i="42"/>
  <c r="N845" i="42" l="1"/>
  <c r="P845" i="42" s="1"/>
  <c r="J76" i="12" s="1"/>
  <c r="A846" i="42"/>
  <c r="N846" i="42" l="1"/>
  <c r="P846" i="42" s="1"/>
  <c r="A847" i="42"/>
  <c r="K76" i="12"/>
  <c r="A76" i="12"/>
  <c r="N847" i="42" l="1"/>
  <c r="P847" i="42" s="1"/>
  <c r="A848" i="42"/>
  <c r="N848" i="42" l="1"/>
  <c r="P848" i="42" s="1"/>
  <c r="A849" i="42"/>
  <c r="N849" i="42" l="1"/>
  <c r="P849" i="42" s="1"/>
  <c r="A850" i="42"/>
  <c r="N850" i="42" l="1"/>
  <c r="P850" i="42" s="1"/>
  <c r="J77" i="12" s="1"/>
  <c r="A851" i="42"/>
  <c r="N851" i="42" l="1"/>
  <c r="P851" i="42" s="1"/>
  <c r="A852" i="42"/>
  <c r="K77" i="12"/>
  <c r="A77" i="12"/>
  <c r="N852" i="42" l="1"/>
  <c r="P852" i="42" s="1"/>
  <c r="A853" i="42"/>
  <c r="N853" i="42" l="1"/>
  <c r="P853" i="42" s="1"/>
  <c r="A854" i="42"/>
  <c r="N854" i="42" l="1"/>
  <c r="P854" i="42" s="1"/>
  <c r="A855" i="42"/>
  <c r="N855" i="42" l="1"/>
  <c r="P855" i="42" s="1"/>
  <c r="J69" i="12" s="1"/>
  <c r="A856" i="42"/>
  <c r="N856" i="42" l="1"/>
  <c r="P856" i="42" s="1"/>
  <c r="A857" i="42"/>
  <c r="K69" i="12"/>
  <c r="A69" i="12"/>
  <c r="N857" i="42" l="1"/>
  <c r="P857" i="42" s="1"/>
  <c r="A858" i="42"/>
  <c r="N858" i="42" l="1"/>
  <c r="P858" i="42" s="1"/>
  <c r="A859" i="42"/>
  <c r="N859" i="42" l="1"/>
  <c r="P859" i="42" s="1"/>
  <c r="A860" i="42"/>
  <c r="N860" i="42" l="1"/>
  <c r="P860" i="42" s="1"/>
  <c r="A861" i="42"/>
  <c r="N861" i="42" l="1"/>
  <c r="P861" i="42" s="1"/>
  <c r="A862" i="42"/>
  <c r="N862" i="42" l="1"/>
  <c r="P862" i="42" s="1"/>
  <c r="A863" i="42"/>
  <c r="N863" i="42" l="1"/>
  <c r="P863" i="42" s="1"/>
  <c r="A864" i="42"/>
  <c r="N864" i="42" l="1"/>
  <c r="P864" i="42" s="1"/>
  <c r="A865" i="42"/>
  <c r="N865" i="42" l="1"/>
  <c r="P865" i="42" s="1"/>
  <c r="A866" i="42"/>
  <c r="N866" i="42" l="1"/>
  <c r="P866" i="42" s="1"/>
  <c r="A867" i="42"/>
  <c r="N867" i="42" l="1"/>
  <c r="P867" i="42" s="1"/>
  <c r="A868" i="42"/>
  <c r="N868" i="42" l="1"/>
  <c r="P868" i="42" s="1"/>
  <c r="A869" i="42"/>
  <c r="N869" i="42" l="1"/>
  <c r="P869" i="42" s="1"/>
  <c r="A870" i="42"/>
  <c r="N870" i="42" l="1"/>
  <c r="P870" i="42" s="1"/>
  <c r="A871" i="42"/>
  <c r="N871" i="42" l="1"/>
  <c r="P871" i="42" s="1"/>
  <c r="A872" i="42"/>
  <c r="N872" i="42" l="1"/>
  <c r="P872" i="42" s="1"/>
  <c r="J60" i="12" s="1"/>
  <c r="A873" i="42"/>
  <c r="N873" i="42" l="1"/>
  <c r="P873" i="42" s="1"/>
  <c r="J56" i="12" s="1"/>
  <c r="A874" i="42"/>
  <c r="K60" i="12"/>
  <c r="A60" i="12"/>
  <c r="N874" i="42" l="1"/>
  <c r="P874" i="42" s="1"/>
  <c r="A875" i="42"/>
  <c r="K56" i="12"/>
  <c r="A56" i="12"/>
  <c r="N875" i="42" l="1"/>
  <c r="P875" i="42" s="1"/>
  <c r="A876" i="42"/>
  <c r="N876" i="42" l="1"/>
  <c r="P876" i="42" s="1"/>
  <c r="A877" i="42"/>
  <c r="N877" i="42" l="1"/>
  <c r="P877" i="42" s="1"/>
  <c r="A878" i="42"/>
  <c r="N878" i="42" l="1"/>
  <c r="P878" i="42" s="1"/>
  <c r="A879" i="42"/>
  <c r="N879" i="42" l="1"/>
  <c r="P879" i="42" s="1"/>
  <c r="A880" i="42"/>
  <c r="N880" i="42" l="1"/>
  <c r="P880" i="42" s="1"/>
  <c r="A881" i="42"/>
  <c r="N881" i="42" l="1"/>
  <c r="P881" i="42" s="1"/>
  <c r="A882" i="42"/>
  <c r="N882" i="42" l="1"/>
  <c r="P882" i="42" s="1"/>
  <c r="A883" i="42"/>
  <c r="N883" i="42" l="1"/>
  <c r="P883" i="42" s="1"/>
  <c r="A884" i="42"/>
  <c r="N884" i="42" l="1"/>
  <c r="P884" i="42" s="1"/>
  <c r="J59" i="12" s="1"/>
  <c r="A885" i="42"/>
  <c r="N885" i="42" l="1"/>
  <c r="P885" i="42" s="1"/>
  <c r="J57" i="12" s="1"/>
  <c r="A886" i="42"/>
  <c r="K59" i="12"/>
  <c r="A59" i="12"/>
  <c r="N886" i="42" l="1"/>
  <c r="P886" i="42" s="1"/>
  <c r="A887" i="42"/>
  <c r="K57" i="12"/>
  <c r="A57" i="12"/>
  <c r="N887" i="42" l="1"/>
  <c r="P887" i="42" s="1"/>
  <c r="A888" i="42"/>
  <c r="N888" i="42" l="1"/>
  <c r="P888" i="42" s="1"/>
  <c r="A889" i="42"/>
  <c r="N889" i="42" l="1"/>
  <c r="P889" i="42" s="1"/>
  <c r="A890" i="42"/>
  <c r="N890" i="42" l="1"/>
  <c r="P890" i="42" s="1"/>
  <c r="A891" i="42"/>
  <c r="N891" i="42" l="1"/>
  <c r="P891" i="42" s="1"/>
  <c r="A892" i="42"/>
  <c r="N892" i="42" l="1"/>
  <c r="P892" i="42" s="1"/>
  <c r="A893" i="42"/>
  <c r="N893" i="42" l="1"/>
  <c r="P893" i="42" s="1"/>
  <c r="A894" i="42"/>
  <c r="N894" i="42" l="1"/>
  <c r="P894" i="42" s="1"/>
  <c r="A895" i="42"/>
  <c r="N895" i="42" l="1"/>
  <c r="P895" i="42" s="1"/>
  <c r="A896" i="42"/>
  <c r="N896" i="42" l="1"/>
  <c r="P896" i="42" s="1"/>
  <c r="J61" i="12" s="1"/>
  <c r="A897" i="42"/>
  <c r="N897" i="42" l="1"/>
  <c r="P897" i="42" s="1"/>
  <c r="J58" i="12" s="1"/>
  <c r="A898" i="42"/>
  <c r="K61" i="12"/>
  <c r="A61" i="12"/>
  <c r="N898" i="42" l="1"/>
  <c r="P898" i="42" s="1"/>
  <c r="A899" i="42"/>
  <c r="A58" i="12"/>
  <c r="K58" i="12"/>
  <c r="N899" i="42" l="1"/>
  <c r="P899" i="42" s="1"/>
  <c r="A900" i="42"/>
  <c r="N900" i="42" l="1"/>
  <c r="P900" i="42" s="1"/>
  <c r="A901" i="42"/>
  <c r="N901" i="42" l="1"/>
  <c r="P901" i="42" s="1"/>
  <c r="A902" i="42"/>
  <c r="N902" i="42" l="1"/>
  <c r="P902" i="42" s="1"/>
  <c r="A903" i="42"/>
  <c r="N903" i="42" l="1"/>
  <c r="P903" i="42" s="1"/>
  <c r="A904" i="42"/>
  <c r="N904" i="42" l="1"/>
  <c r="P904" i="42" s="1"/>
  <c r="A905" i="42"/>
  <c r="N905" i="42" l="1"/>
  <c r="P905" i="42" s="1"/>
  <c r="A906" i="42"/>
  <c r="N906" i="42" l="1"/>
  <c r="P906" i="42" s="1"/>
  <c r="A907" i="42"/>
  <c r="N907" i="42" l="1"/>
  <c r="P907" i="42" s="1"/>
  <c r="A908" i="42"/>
  <c r="N908" i="42" l="1"/>
  <c r="P908" i="42" s="1"/>
  <c r="A909" i="42"/>
  <c r="N909" i="42" l="1"/>
  <c r="P909" i="42" s="1"/>
  <c r="A910" i="42"/>
  <c r="N910" i="42" l="1"/>
  <c r="P910" i="42" s="1"/>
  <c r="A911" i="42"/>
  <c r="N911" i="42" l="1"/>
  <c r="P911" i="42" s="1"/>
  <c r="Q539" i="66" s="1"/>
  <c r="A912" i="42"/>
  <c r="N912" i="42" l="1"/>
  <c r="P912" i="42" s="1"/>
  <c r="A913" i="42"/>
  <c r="A914" i="42" s="1"/>
  <c r="A915" i="42" s="1"/>
  <c r="A916" i="42" s="1"/>
  <c r="A917" i="42" s="1"/>
  <c r="A918" i="42" s="1"/>
  <c r="A919" i="42" s="1"/>
  <c r="A920" i="42" s="1"/>
  <c r="A921" i="42" s="1"/>
  <c r="A922" i="42" s="1"/>
  <c r="A923" i="42" s="1"/>
  <c r="A924" i="42" s="1"/>
  <c r="A925" i="42" s="1"/>
  <c r="A926" i="42" s="1"/>
  <c r="A927" i="42" s="1"/>
  <c r="A928" i="42" s="1"/>
  <c r="A929" i="42" s="1"/>
  <c r="A930" i="42" s="1"/>
  <c r="A931" i="42" s="1"/>
  <c r="A932" i="42" s="1"/>
  <c r="A933" i="42" s="1"/>
  <c r="A934" i="42" s="1"/>
  <c r="A935" i="42" s="1"/>
  <c r="A936" i="42" s="1"/>
  <c r="A937" i="42" s="1"/>
  <c r="A938" i="42" s="1"/>
  <c r="A939" i="42" s="1"/>
  <c r="A940" i="42" s="1"/>
  <c r="A941" i="42" s="1"/>
  <c r="A942" i="42" s="1"/>
  <c r="A943" i="42" s="1"/>
  <c r="A944" i="42" s="1"/>
  <c r="A945" i="42" s="1"/>
  <c r="A946" i="42" s="1"/>
  <c r="A947" i="42" s="1"/>
  <c r="A948" i="42" s="1"/>
  <c r="A949" i="42" s="1"/>
  <c r="A950" i="42" s="1"/>
  <c r="A951" i="42" s="1"/>
  <c r="A952" i="42" s="1"/>
  <c r="A953" i="42" s="1"/>
  <c r="A954" i="42" s="1"/>
  <c r="A955" i="42" s="1"/>
  <c r="A956" i="42" s="1"/>
  <c r="A957" i="42" s="1"/>
  <c r="A958" i="42" s="1"/>
  <c r="A959" i="42" s="1"/>
  <c r="A960" i="42" s="1"/>
  <c r="A961" i="42" s="1"/>
  <c r="A962" i="42" s="1"/>
  <c r="A963" i="42" s="1"/>
  <c r="A964" i="42" s="1"/>
  <c r="A965" i="42" s="1"/>
  <c r="A966" i="42" s="1"/>
  <c r="A967" i="42" s="1"/>
  <c r="A968" i="42" s="1"/>
  <c r="A969" i="42" s="1"/>
  <c r="A970" i="42" s="1"/>
  <c r="A971" i="42" s="1"/>
  <c r="A972" i="42" s="1"/>
  <c r="A973" i="42" s="1"/>
  <c r="A974" i="42" s="1"/>
  <c r="A975" i="42" s="1"/>
  <c r="A976" i="42" s="1"/>
  <c r="A977" i="42" s="1"/>
  <c r="A978" i="42" s="1"/>
  <c r="A979" i="42" s="1"/>
  <c r="A980" i="42" s="1"/>
  <c r="A981" i="42" s="1"/>
  <c r="A982" i="42" s="1"/>
  <c r="A983" i="42" s="1"/>
  <c r="A984" i="42" s="1"/>
  <c r="A985" i="42" s="1"/>
  <c r="A986" i="42" s="1"/>
  <c r="A987" i="42" s="1"/>
  <c r="A988" i="42" s="1"/>
  <c r="A989" i="42" s="1"/>
  <c r="A990" i="42" s="1"/>
  <c r="A991" i="42" s="1"/>
  <c r="A992" i="42" s="1"/>
  <c r="A993" i="42" s="1"/>
  <c r="A994" i="42" s="1"/>
  <c r="A995" i="42" s="1"/>
  <c r="A996" i="42" s="1"/>
  <c r="A997" i="42" s="1"/>
  <c r="A998" i="42" s="1"/>
  <c r="A999" i="42" s="1"/>
  <c r="A1000" i="42" s="1"/>
  <c r="A1001" i="42" s="1"/>
  <c r="A1002" i="42" s="1"/>
  <c r="A1003" i="42" s="1"/>
  <c r="A1004" i="42" s="1"/>
  <c r="A1005" i="42" s="1"/>
  <c r="A1006" i="42" s="1"/>
  <c r="A1007" i="42" s="1"/>
  <c r="A1008" i="42" s="1"/>
  <c r="A1009" i="42" s="1"/>
  <c r="A1010" i="42" s="1"/>
  <c r="A1011" i="42" s="1"/>
  <c r="A1012" i="42" s="1"/>
  <c r="A1013" i="42" s="1"/>
  <c r="A1014" i="42" s="1"/>
  <c r="A1015" i="42" s="1"/>
  <c r="A1016" i="42" s="1"/>
  <c r="A1017" i="42" s="1"/>
  <c r="A1018" i="42" s="1"/>
  <c r="A1019" i="42" s="1"/>
  <c r="A1020" i="42" s="1"/>
  <c r="A1021" i="42" s="1"/>
  <c r="A1022" i="42" s="1"/>
  <c r="A1023" i="42" s="1"/>
  <c r="A1024" i="42" s="1"/>
  <c r="A1025" i="42" s="1"/>
  <c r="A1026" i="42" s="1"/>
  <c r="A1027" i="42" s="1"/>
  <c r="A1028" i="42" s="1"/>
  <c r="A1029" i="42" s="1"/>
  <c r="A1030" i="42" s="1"/>
  <c r="A1031" i="42" s="1"/>
  <c r="A1032" i="42" s="1"/>
  <c r="A1033" i="42" s="1"/>
  <c r="A1034" i="42" s="1"/>
  <c r="A1035" i="42" s="1"/>
  <c r="A1036" i="42" s="1"/>
  <c r="A1037" i="42" s="1"/>
  <c r="A1038" i="42" s="1"/>
  <c r="R539" i="66"/>
  <c r="AC539" i="66"/>
  <c r="N1038" i="42" l="1"/>
  <c r="P1038" i="42" s="1"/>
  <c r="A1039" i="42"/>
  <c r="N1039" i="42" l="1"/>
  <c r="P1039" i="42" s="1"/>
  <c r="F6" i="67" s="1"/>
  <c r="G6" i="67" s="1"/>
  <c r="A1040" i="42"/>
  <c r="N1040" i="42" l="1"/>
  <c r="P1040" i="42" s="1"/>
  <c r="A1041" i="42"/>
  <c r="N1041" i="42" l="1"/>
  <c r="P1041" i="42" s="1"/>
  <c r="Q1027" i="66" s="1"/>
  <c r="A1042" i="42"/>
  <c r="N1042" i="42" l="1"/>
  <c r="P1042" i="42" s="1"/>
  <c r="A1043" i="42"/>
  <c r="AC1027" i="66"/>
  <c r="N1043" i="42" l="1"/>
  <c r="P1043" i="42" s="1"/>
  <c r="A1044" i="42"/>
  <c r="N1044" i="42" l="1"/>
  <c r="P1044" i="42" s="1"/>
  <c r="A1045" i="42"/>
  <c r="N1045" i="42" l="1"/>
  <c r="P1045" i="42" s="1"/>
  <c r="J108" i="12" s="1"/>
  <c r="A1046" i="42"/>
  <c r="N1046" i="42" l="1"/>
  <c r="P1046" i="42" s="1"/>
  <c r="A1047" i="42"/>
  <c r="K108" i="12"/>
  <c r="A108" i="12"/>
  <c r="N1047" i="42" l="1"/>
  <c r="P1047" i="42" s="1"/>
  <c r="A1048" i="42"/>
  <c r="N1048" i="42" l="1"/>
  <c r="P1048" i="42" s="1"/>
  <c r="A1049" i="42"/>
  <c r="N1049" i="42" l="1"/>
  <c r="P1049" i="42" s="1"/>
  <c r="J174" i="12" s="1"/>
  <c r="A1050" i="42"/>
  <c r="N1050" i="42" l="1"/>
  <c r="P1050" i="42" s="1"/>
  <c r="J175" i="12" s="1"/>
  <c r="A1051" i="42"/>
  <c r="A174" i="12"/>
  <c r="K174" i="12"/>
  <c r="N1051" i="42" l="1"/>
  <c r="P1051" i="42" s="1"/>
  <c r="A1052" i="42"/>
  <c r="A175" i="12"/>
  <c r="K175" i="12"/>
  <c r="N1052" i="42" l="1"/>
  <c r="P1052" i="42" s="1"/>
  <c r="J109" i="12" s="1"/>
  <c r="A1053" i="42"/>
  <c r="N1053" i="42" l="1"/>
  <c r="P1053" i="42" s="1"/>
  <c r="A1054" i="42"/>
  <c r="A109" i="12"/>
  <c r="K109" i="12"/>
  <c r="N1054" i="42" l="1"/>
  <c r="P1054" i="42" s="1"/>
  <c r="A1055" i="42"/>
  <c r="N1055" i="42" l="1"/>
  <c r="P1055" i="42" s="1"/>
  <c r="A1056" i="42"/>
  <c r="N1056" i="42" l="1"/>
  <c r="P1056" i="42" s="1"/>
  <c r="A1057" i="42"/>
  <c r="N1057" i="42" l="1"/>
  <c r="P1057" i="42" s="1"/>
  <c r="A1058" i="42"/>
  <c r="N1058" i="42" l="1"/>
  <c r="P1058" i="42" s="1"/>
  <c r="A1059" i="42"/>
  <c r="N1059" i="42" l="1"/>
  <c r="P1059" i="42" s="1"/>
  <c r="A1060" i="42"/>
  <c r="N1060" i="42" l="1"/>
  <c r="P1060" i="42" s="1"/>
  <c r="Q276" i="66" s="1"/>
  <c r="A1061" i="42"/>
  <c r="N1061" i="42" l="1"/>
  <c r="P1061" i="42" s="1"/>
  <c r="A1062" i="42"/>
  <c r="R276" i="66"/>
  <c r="AC276" i="66"/>
  <c r="N1062" i="42" l="1"/>
  <c r="P1062" i="42" s="1"/>
  <c r="A1063" i="42"/>
  <c r="A1064" i="42" s="1"/>
  <c r="A1065" i="42" s="1"/>
  <c r="A1066" i="42" s="1"/>
  <c r="A1067" i="42" s="1"/>
  <c r="N1067" i="42" l="1"/>
  <c r="P1067" i="42" s="1"/>
  <c r="A1068" i="42"/>
  <c r="N1068" i="42" l="1"/>
  <c r="P1068" i="42" s="1"/>
  <c r="A1069" i="42"/>
  <c r="N1069" i="42" l="1"/>
  <c r="P1069" i="42" s="1"/>
  <c r="J129" i="12" s="1"/>
  <c r="A1070" i="42"/>
  <c r="N1070" i="42" l="1"/>
  <c r="P1070" i="42" s="1"/>
  <c r="A1071" i="42"/>
  <c r="K129" i="12"/>
  <c r="A129" i="12"/>
  <c r="N1071" i="42" l="1"/>
  <c r="P1071" i="42" s="1"/>
  <c r="A1072" i="42"/>
  <c r="N1072" i="42" l="1"/>
  <c r="P1072" i="42" s="1"/>
  <c r="A1073" i="42"/>
  <c r="N1073" i="42" l="1"/>
  <c r="P1073" i="42" s="1"/>
  <c r="A1074" i="42"/>
  <c r="N1074" i="42" l="1"/>
  <c r="P1074" i="42" s="1"/>
  <c r="Q1015" i="66" s="1"/>
  <c r="A1075" i="42"/>
  <c r="N1075" i="42" l="1"/>
  <c r="P1075" i="42" s="1"/>
  <c r="A1076" i="42"/>
  <c r="AC1015" i="66"/>
  <c r="N1076" i="42" l="1"/>
  <c r="P1076" i="42" s="1"/>
  <c r="A1077" i="42"/>
  <c r="N1077" i="42" l="1"/>
  <c r="P1077" i="42" s="1"/>
  <c r="A1078" i="42"/>
  <c r="N1078" i="42" l="1"/>
  <c r="P1078" i="42" s="1"/>
  <c r="J78" i="12" s="1"/>
  <c r="A1079" i="42"/>
  <c r="N1079" i="42" l="1"/>
  <c r="P1079" i="42" s="1"/>
  <c r="A1080" i="42"/>
  <c r="A78" i="12"/>
  <c r="K78" i="12"/>
  <c r="N1080" i="42" l="1"/>
  <c r="P1080" i="42" s="1"/>
  <c r="A1081" i="42"/>
  <c r="N1081" i="42" l="1"/>
  <c r="P1081" i="42" s="1"/>
  <c r="A1082" i="42"/>
  <c r="N1082" i="42" l="1"/>
  <c r="P1082" i="42" s="1"/>
  <c r="A1083" i="42"/>
  <c r="N1083" i="42" l="1"/>
  <c r="P1083" i="42" s="1"/>
  <c r="A1084" i="42"/>
  <c r="N1084" i="42" l="1"/>
  <c r="P1084" i="42" s="1"/>
  <c r="A1085" i="42"/>
  <c r="N1085" i="42" l="1"/>
  <c r="P1085" i="42" s="1"/>
  <c r="A1086" i="42"/>
  <c r="N1086" i="42" l="1"/>
  <c r="P1086" i="42" s="1"/>
  <c r="A1087" i="42"/>
  <c r="N1087" i="42" l="1"/>
  <c r="P1087" i="42" s="1"/>
  <c r="A1088" i="42"/>
  <c r="N1088" i="42" l="1"/>
  <c r="P1088" i="42" s="1"/>
  <c r="A1089" i="42"/>
  <c r="N1089" i="42" l="1"/>
  <c r="P1089" i="42" s="1"/>
  <c r="A1090" i="42"/>
  <c r="N1090" i="42" l="1"/>
  <c r="P1090" i="42" s="1"/>
  <c r="A1091" i="42"/>
  <c r="N1091" i="42" l="1"/>
  <c r="P1091" i="42" s="1"/>
  <c r="A1092" i="42"/>
  <c r="N1092" i="42" l="1"/>
  <c r="P1092" i="42" s="1"/>
  <c r="A1093" i="42"/>
  <c r="N1093" i="42" l="1"/>
  <c r="P1093" i="42" s="1"/>
  <c r="A1094" i="42"/>
  <c r="N1094" i="42" l="1"/>
  <c r="P1094" i="42" s="1"/>
  <c r="A1095" i="42"/>
  <c r="N1095" i="42" l="1"/>
  <c r="P1095" i="42" s="1"/>
  <c r="A1096" i="42"/>
  <c r="N1096" i="42" l="1"/>
  <c r="P1096" i="42" s="1"/>
  <c r="A1097" i="42"/>
  <c r="N1097" i="42" l="1"/>
  <c r="P1097" i="42" s="1"/>
  <c r="A1098" i="42"/>
  <c r="N1098" i="42" l="1"/>
  <c r="P1098" i="42" s="1"/>
  <c r="A1099" i="42"/>
  <c r="N1099" i="42" l="1"/>
  <c r="P1099" i="42" s="1"/>
  <c r="A1100" i="42"/>
  <c r="N1100" i="42" l="1"/>
  <c r="P1100" i="42" s="1"/>
  <c r="A1101" i="42"/>
  <c r="N1101" i="42" l="1"/>
  <c r="P1101" i="42" s="1"/>
  <c r="A1102" i="42"/>
  <c r="N1102" i="42" l="1"/>
  <c r="P1102" i="42" s="1"/>
  <c r="A1103" i="42"/>
  <c r="N1103" i="42" l="1"/>
  <c r="P1103" i="42" s="1"/>
  <c r="A1104" i="42"/>
  <c r="N1104" i="42" l="1"/>
  <c r="P1104" i="42" s="1"/>
  <c r="A1105" i="42"/>
  <c r="N1105" i="42" l="1"/>
  <c r="P1105" i="42" s="1"/>
  <c r="A1106" i="42"/>
  <c r="N1106" i="42" l="1"/>
  <c r="P1106" i="42" s="1"/>
  <c r="A1107" i="42"/>
  <c r="N1107" i="42" l="1"/>
  <c r="P1107" i="42" s="1"/>
  <c r="A1108" i="42"/>
  <c r="N1108" i="42" l="1"/>
  <c r="P1108" i="42" s="1"/>
  <c r="A1109" i="42"/>
  <c r="N1109" i="42" l="1"/>
  <c r="P1109" i="42" s="1"/>
  <c r="A1110" i="42"/>
  <c r="N1110" i="42" l="1"/>
  <c r="P1110" i="42" s="1"/>
  <c r="A1111" i="42"/>
  <c r="N1111" i="42" l="1"/>
  <c r="P1111" i="42" s="1"/>
  <c r="A1112" i="42"/>
  <c r="N1112" i="42" l="1"/>
  <c r="P1112" i="42" s="1"/>
  <c r="A1113" i="42"/>
  <c r="N1113" i="42" l="1"/>
  <c r="P1113" i="42" s="1"/>
  <c r="A1114" i="42"/>
  <c r="N1114" i="42" l="1"/>
  <c r="P1114" i="42" s="1"/>
  <c r="A1115" i="42"/>
  <c r="N1115" i="42" l="1"/>
  <c r="P1115" i="42" s="1"/>
  <c r="A1116" i="42"/>
  <c r="N1116" i="42" l="1"/>
  <c r="P1116" i="42" s="1"/>
  <c r="A1117" i="42"/>
  <c r="N1117" i="42" l="1"/>
  <c r="P1117" i="42" s="1"/>
  <c r="A1118" i="42"/>
  <c r="N1118" i="42" l="1"/>
  <c r="P1118" i="42" s="1"/>
  <c r="A1119" i="42"/>
  <c r="N1119" i="42" l="1"/>
  <c r="P1119" i="42" s="1"/>
  <c r="A1120" i="42"/>
  <c r="N1120" i="42" l="1"/>
  <c r="P1120" i="42" s="1"/>
  <c r="A1121" i="42"/>
  <c r="N1121" i="42" l="1"/>
  <c r="P1121" i="42" s="1"/>
  <c r="A1122" i="42"/>
  <c r="N1122" i="42" l="1"/>
  <c r="P1122" i="42" s="1"/>
  <c r="A1123" i="42"/>
  <c r="N1123" i="42" l="1"/>
  <c r="P1123" i="42" s="1"/>
  <c r="A1124" i="42"/>
  <c r="N1124" i="42" l="1"/>
  <c r="P1124" i="42" s="1"/>
  <c r="A1125" i="42"/>
  <c r="N1125" i="42" l="1"/>
  <c r="P1125" i="42" s="1"/>
  <c r="Q295" i="66" s="1"/>
  <c r="A1126" i="42"/>
  <c r="N1126" i="42" l="1"/>
  <c r="P1126" i="42" s="1"/>
  <c r="A1127" i="42"/>
  <c r="R295" i="66"/>
  <c r="AC295" i="66"/>
  <c r="N1127" i="42" l="1"/>
  <c r="P1127" i="42" s="1"/>
  <c r="A1128" i="42"/>
  <c r="N1128" i="42" l="1"/>
  <c r="P1128" i="42" s="1"/>
  <c r="A1129" i="42"/>
  <c r="N1129" i="42" l="1"/>
  <c r="P1129" i="42" s="1"/>
  <c r="A1130" i="42"/>
  <c r="N1130" i="42" l="1"/>
  <c r="P1130" i="42" s="1"/>
  <c r="A1131" i="42"/>
  <c r="N1131" i="42" l="1"/>
  <c r="P1131" i="42" s="1"/>
  <c r="A1132" i="42"/>
  <c r="N1132" i="42" l="1"/>
  <c r="P1132" i="42" s="1"/>
  <c r="A1133" i="42"/>
  <c r="N1133" i="42" l="1"/>
  <c r="P1133" i="42" s="1"/>
  <c r="A1134" i="42"/>
  <c r="N1134" i="42" l="1"/>
  <c r="P1134" i="42" s="1"/>
  <c r="A1135" i="42"/>
  <c r="N1135" i="42" l="1"/>
  <c r="P1135" i="42" s="1"/>
  <c r="A1136" i="42"/>
  <c r="N1136" i="42" l="1"/>
  <c r="P1136" i="42" s="1"/>
  <c r="A1137" i="42"/>
  <c r="N1137" i="42" l="1"/>
  <c r="P1137" i="42" s="1"/>
  <c r="A1138" i="42"/>
  <c r="N1138" i="42" l="1"/>
  <c r="P1138" i="42" s="1"/>
  <c r="A1139" i="42"/>
  <c r="N1139" i="42" l="1"/>
  <c r="P1139" i="42" s="1"/>
  <c r="A1140" i="42"/>
  <c r="N1140" i="42" l="1"/>
  <c r="P1140" i="42" s="1"/>
  <c r="A1141" i="42"/>
  <c r="N1141" i="42" l="1"/>
  <c r="P1141" i="42" s="1"/>
  <c r="A1142" i="42"/>
  <c r="N1142" i="42" l="1"/>
  <c r="P1142" i="42" s="1"/>
  <c r="A1143" i="42"/>
  <c r="N1143" i="42" l="1"/>
  <c r="P1143" i="42" s="1"/>
  <c r="A1144" i="42"/>
  <c r="N1144" i="42" l="1"/>
  <c r="P1144" i="42" s="1"/>
  <c r="A1145" i="42"/>
  <c r="N1145" i="42" l="1"/>
  <c r="P1145" i="42" s="1"/>
  <c r="A1146" i="42"/>
  <c r="N1146" i="42" l="1"/>
  <c r="P1146" i="42" s="1"/>
  <c r="A1147" i="42"/>
  <c r="N1147" i="42" l="1"/>
  <c r="P1147" i="42" s="1"/>
  <c r="A1148" i="42"/>
  <c r="N1148" i="42" l="1"/>
  <c r="P1148" i="42" s="1"/>
  <c r="A1149" i="42"/>
  <c r="N1149" i="42" l="1"/>
  <c r="P1149" i="42" s="1"/>
  <c r="A1150" i="42"/>
  <c r="N1150" i="42" l="1"/>
  <c r="P1150" i="42" s="1"/>
  <c r="A1151" i="42"/>
  <c r="N1151" i="42" l="1"/>
  <c r="P1151" i="42" s="1"/>
  <c r="A1152" i="42"/>
  <c r="N1152" i="42" l="1"/>
  <c r="P1152" i="42" s="1"/>
  <c r="A1153" i="42"/>
  <c r="N1153" i="42" l="1"/>
  <c r="P1153" i="42" s="1"/>
  <c r="A1154" i="42"/>
  <c r="N1154" i="42" l="1"/>
  <c r="P1154" i="42" s="1"/>
  <c r="A1155" i="42"/>
  <c r="N1155" i="42" l="1"/>
  <c r="P1155" i="42" s="1"/>
  <c r="A1156" i="42"/>
  <c r="N1156" i="42" l="1"/>
  <c r="P1156" i="42" s="1"/>
  <c r="A1157" i="42"/>
  <c r="N1157" i="42" l="1"/>
  <c r="P1157" i="42" s="1"/>
  <c r="A1158" i="42"/>
  <c r="N1158" i="42" l="1"/>
  <c r="P1158" i="42" s="1"/>
  <c r="A1159" i="42"/>
  <c r="N1159" i="42" l="1"/>
  <c r="P1159" i="42" s="1"/>
  <c r="A1160" i="42"/>
  <c r="N1160" i="42" l="1"/>
  <c r="P1160" i="42" s="1"/>
  <c r="A1161" i="42"/>
  <c r="N1161" i="42" l="1"/>
  <c r="P1161" i="42" s="1"/>
  <c r="A1162" i="42"/>
  <c r="N1162" i="42" l="1"/>
  <c r="P1162" i="42" s="1"/>
  <c r="A1163" i="42"/>
  <c r="N1163" i="42" l="1"/>
  <c r="P1163" i="42" s="1"/>
  <c r="A1164" i="42"/>
  <c r="N1164" i="42" l="1"/>
  <c r="P1164" i="42" s="1"/>
  <c r="A1165" i="42"/>
  <c r="N1165" i="42" l="1"/>
  <c r="P1165" i="42" s="1"/>
  <c r="A1166" i="42"/>
  <c r="N1166" i="42" l="1"/>
  <c r="P1166" i="42" s="1"/>
  <c r="A1167" i="42"/>
  <c r="N1167" i="42" l="1"/>
  <c r="P1167" i="42" s="1"/>
  <c r="A1168" i="42"/>
  <c r="N1168" i="42" l="1"/>
  <c r="P1168" i="42" s="1"/>
  <c r="A1169" i="42"/>
  <c r="N1169" i="42" l="1"/>
  <c r="P1169" i="42" s="1"/>
  <c r="A1170" i="42"/>
  <c r="N1170" i="42" l="1"/>
  <c r="P1170" i="42" s="1"/>
  <c r="A1171" i="42"/>
  <c r="N1171" i="42" l="1"/>
  <c r="P1171" i="42" s="1"/>
  <c r="A1172" i="42"/>
  <c r="N1172" i="42" l="1"/>
  <c r="P1172" i="42" s="1"/>
  <c r="A1173" i="42"/>
  <c r="N1173" i="42" l="1"/>
  <c r="P1173" i="42" s="1"/>
  <c r="A1174" i="42"/>
  <c r="N1174" i="42" l="1"/>
  <c r="P1174" i="42" s="1"/>
  <c r="A1175" i="42"/>
  <c r="N1175" i="42" l="1"/>
  <c r="P1175" i="42" s="1"/>
  <c r="A1176" i="42"/>
  <c r="N1176" i="42" l="1"/>
  <c r="P1176" i="42" s="1"/>
  <c r="A1177" i="42"/>
  <c r="N1177" i="42" l="1"/>
  <c r="P1177" i="42" s="1"/>
  <c r="A1178" i="42"/>
  <c r="N1178" i="42" l="1"/>
  <c r="P1178" i="42" s="1"/>
  <c r="A1179" i="42"/>
  <c r="N1179" i="42" l="1"/>
  <c r="P1179" i="42" s="1"/>
  <c r="A1180" i="42"/>
  <c r="N1180" i="42" l="1"/>
  <c r="P1180" i="42" s="1"/>
  <c r="A1181" i="42"/>
  <c r="N1181" i="42" l="1"/>
  <c r="P1181" i="42" s="1"/>
  <c r="A1182" i="42"/>
  <c r="N1182" i="42" l="1"/>
  <c r="P1182" i="42" s="1"/>
  <c r="A1183" i="42"/>
  <c r="N1183" i="42" l="1"/>
  <c r="P1183" i="42" s="1"/>
  <c r="A1184" i="42"/>
  <c r="N1184" i="42" l="1"/>
  <c r="P1184" i="42" s="1"/>
  <c r="A1185" i="42"/>
  <c r="N1185" i="42" l="1"/>
  <c r="P1185" i="42" s="1"/>
  <c r="A1186" i="42"/>
  <c r="N1186" i="42" l="1"/>
  <c r="P1186" i="42" s="1"/>
  <c r="A1187" i="42"/>
  <c r="N1187" i="42" l="1"/>
  <c r="P1187" i="42" s="1"/>
  <c r="A1188" i="42"/>
  <c r="N1188" i="42" l="1"/>
  <c r="P1188" i="42" s="1"/>
  <c r="A1189" i="42"/>
  <c r="N1189" i="42" l="1"/>
  <c r="P1189" i="42" s="1"/>
  <c r="A1190" i="42"/>
  <c r="N1190" i="42" l="1"/>
  <c r="P1190" i="42" s="1"/>
  <c r="A1191" i="42"/>
  <c r="N1191" i="42" l="1"/>
  <c r="P1191" i="42" s="1"/>
  <c r="A1192" i="42"/>
  <c r="N1192" i="42" l="1"/>
  <c r="P1192" i="42" s="1"/>
  <c r="A1193" i="42"/>
  <c r="N1193" i="42" l="1"/>
  <c r="P1193" i="42" s="1"/>
  <c r="A1194" i="42"/>
  <c r="N1194" i="42" l="1"/>
  <c r="P1194" i="42" s="1"/>
  <c r="A1195" i="42"/>
  <c r="N1195" i="42" l="1"/>
  <c r="P1195" i="42" s="1"/>
  <c r="A1196" i="42"/>
  <c r="N1196" i="42" l="1"/>
  <c r="P1196" i="42" s="1"/>
  <c r="A1197" i="42"/>
  <c r="N1197" i="42" l="1"/>
  <c r="P1197" i="42" s="1"/>
  <c r="A1198" i="42"/>
  <c r="N1198" i="42" l="1"/>
  <c r="P1198" i="42" s="1"/>
  <c r="A1199" i="42"/>
  <c r="N1199" i="42" l="1"/>
  <c r="P1199" i="42" s="1"/>
  <c r="A1200" i="42"/>
  <c r="N1200" i="42" l="1"/>
  <c r="P1200" i="42" s="1"/>
  <c r="Q225" i="66" s="1"/>
  <c r="A1201" i="42"/>
  <c r="N1201" i="42" l="1"/>
  <c r="P1201" i="42" s="1"/>
  <c r="A1202" i="42"/>
  <c r="AC225" i="66"/>
  <c r="R225" i="66"/>
  <c r="N1202" i="42" l="1"/>
  <c r="P1202" i="42" s="1"/>
  <c r="A1203" i="42"/>
  <c r="N1203" i="42" l="1"/>
  <c r="P1203" i="42" s="1"/>
  <c r="A1204" i="42"/>
  <c r="N1204" i="42" l="1"/>
  <c r="P1204" i="42" s="1"/>
  <c r="A1205" i="42"/>
  <c r="N1205" i="42" l="1"/>
  <c r="P1205" i="42" s="1"/>
  <c r="A1206" i="42"/>
  <c r="N1206" i="42" l="1"/>
  <c r="P1206" i="42" s="1"/>
  <c r="A1207" i="42"/>
  <c r="N1207" i="42" l="1"/>
  <c r="P1207" i="42" s="1"/>
  <c r="J79" i="12" s="1"/>
  <c r="A1208" i="42"/>
  <c r="N1208" i="42" l="1"/>
  <c r="P1208" i="42" s="1"/>
  <c r="A1209" i="42"/>
  <c r="A79" i="12"/>
  <c r="K79" i="12"/>
  <c r="N1209" i="42" l="1"/>
  <c r="P1209" i="42" s="1"/>
  <c r="A1210" i="42"/>
  <c r="N1210" i="42" l="1"/>
  <c r="P1210" i="42" s="1"/>
  <c r="A1211" i="42"/>
  <c r="N1211" i="42" l="1"/>
  <c r="P1211" i="42" s="1"/>
  <c r="A1212" i="42"/>
  <c r="N1212" i="42" l="1"/>
  <c r="P1212" i="42" s="1"/>
  <c r="J80" i="12" s="1"/>
  <c r="A1213" i="42"/>
  <c r="N1213" i="42" l="1"/>
  <c r="P1213" i="42" s="1"/>
  <c r="A1214" i="42"/>
  <c r="A80" i="12"/>
  <c r="K80" i="12"/>
  <c r="N1214" i="42" l="1"/>
  <c r="P1214" i="42" s="1"/>
  <c r="A1215" i="42"/>
  <c r="N1215" i="42" l="1"/>
  <c r="P1215" i="42" s="1"/>
  <c r="A1216" i="42"/>
  <c r="N1216" i="42" l="1"/>
  <c r="P1216" i="42" s="1"/>
  <c r="A1217" i="42"/>
  <c r="N1217" i="42" l="1"/>
  <c r="P1217" i="42" s="1"/>
  <c r="J253" i="12" s="1"/>
  <c r="A1218" i="42"/>
  <c r="N1218" i="42" l="1"/>
  <c r="P1218" i="42" s="1"/>
  <c r="J251" i="12" s="1"/>
  <c r="A1219" i="42"/>
  <c r="A253" i="12"/>
  <c r="K253" i="12"/>
  <c r="N1219" i="42" l="1"/>
  <c r="P1219" i="42" s="1"/>
  <c r="A1220" i="42"/>
  <c r="K251" i="12"/>
  <c r="A251" i="12"/>
  <c r="N1220" i="42" l="1"/>
  <c r="P1220" i="42" s="1"/>
  <c r="J252" i="12" s="1"/>
  <c r="A1221" i="42"/>
  <c r="N1221" i="42" l="1"/>
  <c r="P1221" i="42" s="1"/>
  <c r="A1222" i="42"/>
  <c r="K252" i="12"/>
  <c r="A252" i="12"/>
  <c r="N1222" i="42" l="1"/>
  <c r="P1222" i="42" s="1"/>
  <c r="A1223" i="42"/>
  <c r="N1223" i="42" l="1"/>
  <c r="P1223" i="42" s="1"/>
  <c r="A1224" i="42"/>
  <c r="N1224" i="42" l="1"/>
  <c r="P1224" i="42" s="1"/>
  <c r="A1225" i="42"/>
  <c r="N1225" i="42" l="1"/>
  <c r="P1225" i="42" s="1"/>
  <c r="A1226" i="42"/>
  <c r="N1226" i="42" l="1"/>
  <c r="P1226" i="42" s="1"/>
  <c r="A1227" i="42"/>
  <c r="N1227" i="42" l="1"/>
  <c r="P1227" i="42" s="1"/>
  <c r="A1228" i="42"/>
  <c r="N1228" i="42" l="1"/>
  <c r="P1228" i="42" s="1"/>
  <c r="A1229" i="42"/>
  <c r="N1229" i="42" l="1"/>
  <c r="P1229" i="42" s="1"/>
  <c r="Q544" i="66" s="1"/>
  <c r="A1230" i="42"/>
  <c r="N1230" i="42" l="1"/>
  <c r="P1230" i="42" s="1"/>
  <c r="Q768" i="66" s="1"/>
  <c r="A1231" i="42"/>
  <c r="AC544" i="66"/>
  <c r="R544" i="66"/>
  <c r="N1231" i="42" l="1"/>
  <c r="P1231" i="42" s="1"/>
  <c r="A1232" i="42"/>
  <c r="AC768" i="66"/>
  <c r="R768" i="66"/>
  <c r="N1232" i="42" l="1"/>
  <c r="P1232" i="42" s="1"/>
  <c r="A1233" i="42"/>
  <c r="N1233" i="42" l="1"/>
  <c r="P1233" i="42" s="1"/>
  <c r="A1234" i="42"/>
  <c r="N1234" i="42" l="1"/>
  <c r="P1234" i="42" s="1"/>
  <c r="A1235" i="42"/>
  <c r="N1235" i="42" l="1"/>
  <c r="P1235" i="42" s="1"/>
  <c r="Q772" i="66" s="1"/>
  <c r="A1236" i="42"/>
  <c r="N1236" i="42" l="1"/>
  <c r="P1236" i="42" s="1"/>
  <c r="Q735" i="66" s="1"/>
  <c r="A1237" i="42"/>
  <c r="AC772" i="66"/>
  <c r="R772" i="66"/>
  <c r="N1237" i="42" l="1"/>
  <c r="P1237" i="42" s="1"/>
  <c r="A1238" i="42"/>
  <c r="AC735" i="66"/>
  <c r="R735" i="66"/>
  <c r="N1238" i="42" l="1"/>
  <c r="P1238" i="42" s="1"/>
  <c r="Q460" i="66" s="1"/>
  <c r="A1239" i="42"/>
  <c r="N1239" i="42" l="1"/>
  <c r="P1239" i="42" s="1"/>
  <c r="A1240" i="42"/>
  <c r="R460" i="66"/>
  <c r="AC460" i="66"/>
  <c r="N1240" i="42" l="1"/>
  <c r="P1240" i="42" s="1"/>
  <c r="A1241" i="42"/>
  <c r="N1241" i="42" l="1"/>
  <c r="P1241" i="42" s="1"/>
  <c r="A1242" i="42"/>
  <c r="N1242" i="42" l="1"/>
  <c r="P1242" i="42" s="1"/>
  <c r="J173" i="12" s="1"/>
  <c r="A1243" i="42"/>
  <c r="N1243" i="42" l="1"/>
  <c r="P1243" i="42" s="1"/>
  <c r="A1244" i="42"/>
  <c r="A173" i="12"/>
  <c r="K173" i="12"/>
  <c r="N1244" i="42" l="1"/>
  <c r="P1244" i="42" s="1"/>
  <c r="A1245" i="42"/>
  <c r="N1245" i="42" l="1"/>
  <c r="P1245" i="42" s="1"/>
  <c r="A1246" i="42"/>
  <c r="N1246" i="42" l="1"/>
  <c r="P1246" i="42" s="1"/>
  <c r="A1247" i="42"/>
  <c r="N1247" i="42" l="1"/>
  <c r="P1247" i="42" s="1"/>
  <c r="A1248" i="42"/>
  <c r="N1248" i="42" l="1"/>
  <c r="P1248" i="42" s="1"/>
  <c r="A1249" i="42"/>
  <c r="N1249" i="42" l="1"/>
  <c r="P1249" i="42" s="1"/>
  <c r="A1250" i="42"/>
  <c r="N1250" i="42" l="1"/>
  <c r="P1250" i="42" s="1"/>
  <c r="A1251" i="42"/>
  <c r="N1251" i="42" l="1"/>
  <c r="P1251" i="42" s="1"/>
  <c r="A1252" i="42"/>
  <c r="N1252" i="42" l="1"/>
  <c r="P1252" i="42" s="1"/>
  <c r="A1253" i="42"/>
  <c r="J263" i="12"/>
  <c r="N1253" i="42" l="1"/>
  <c r="P1253" i="42" s="1"/>
  <c r="A1254" i="42"/>
  <c r="K263" i="12"/>
  <c r="A263" i="12"/>
  <c r="N1254" i="42" l="1"/>
  <c r="P1254" i="42" s="1"/>
  <c r="A1255" i="42"/>
  <c r="N1255" i="42" l="1"/>
  <c r="P1255" i="42" s="1"/>
  <c r="A1256" i="42"/>
  <c r="N1256" i="42" l="1"/>
  <c r="P1256" i="42" s="1"/>
  <c r="A1257" i="42"/>
  <c r="N1257" i="42" l="1"/>
  <c r="P1257" i="42" s="1"/>
  <c r="A1258" i="42"/>
  <c r="N1258" i="42" l="1"/>
  <c r="P1258" i="42" s="1"/>
  <c r="A1259" i="42"/>
  <c r="N1259" i="42" l="1"/>
  <c r="P1259" i="42" s="1"/>
  <c r="A1260" i="42"/>
  <c r="N1260" i="42" l="1"/>
  <c r="P1260" i="42" s="1"/>
  <c r="A1261" i="42"/>
  <c r="N1261" i="42" l="1"/>
  <c r="P1261" i="42" s="1"/>
  <c r="A1262" i="42"/>
  <c r="N1262" i="42" l="1"/>
  <c r="P1262" i="42" s="1"/>
  <c r="A1263" i="42"/>
  <c r="N1263" i="42" l="1"/>
  <c r="P1263" i="42" s="1"/>
  <c r="A1264" i="42"/>
  <c r="N1264" i="42" l="1"/>
  <c r="P1264" i="42" s="1"/>
  <c r="A1265" i="42"/>
  <c r="N1265" i="42" l="1"/>
  <c r="P1265" i="42" s="1"/>
  <c r="A1266" i="42"/>
  <c r="N1266" i="42" l="1"/>
  <c r="P1266" i="42" s="1"/>
  <c r="A1267" i="42"/>
  <c r="N1267" i="42" l="1"/>
  <c r="P1267" i="42" s="1"/>
  <c r="A1268" i="42"/>
  <c r="N1268" i="42" l="1"/>
  <c r="P1268" i="42" s="1"/>
  <c r="A1269" i="42"/>
  <c r="N1269" i="42" l="1"/>
  <c r="P1269" i="42" s="1"/>
  <c r="A1270" i="42"/>
  <c r="N1270" i="42" l="1"/>
  <c r="P1270" i="42" s="1"/>
  <c r="A1271" i="42"/>
  <c r="N1271" i="42" l="1"/>
  <c r="P1271" i="42" s="1"/>
  <c r="A1272" i="42"/>
  <c r="N1272" i="42" l="1"/>
  <c r="P1272" i="42" s="1"/>
  <c r="A1273" i="42"/>
  <c r="N1273" i="42" l="1"/>
  <c r="P1273" i="42" s="1"/>
  <c r="A1274" i="42"/>
  <c r="N1274" i="42" l="1"/>
  <c r="P1274" i="42" s="1"/>
  <c r="A1275" i="42"/>
  <c r="N1275" i="42" l="1"/>
  <c r="P1275" i="42" s="1"/>
  <c r="A1276" i="42"/>
  <c r="N1276" i="42" l="1"/>
  <c r="P1276" i="42" s="1"/>
  <c r="A1277" i="42"/>
  <c r="N1277" i="42" l="1"/>
  <c r="P1277" i="42" s="1"/>
  <c r="J41" i="12" s="1"/>
  <c r="A1278" i="42"/>
  <c r="N1278" i="42" l="1"/>
  <c r="P1278" i="42" s="1"/>
  <c r="J117" i="12" s="1"/>
  <c r="A1279" i="42"/>
  <c r="A41" i="12"/>
  <c r="K41" i="12"/>
  <c r="N1279" i="42" l="1"/>
  <c r="P1279" i="42" s="1"/>
  <c r="J111" i="12" s="1"/>
  <c r="A1280" i="42"/>
  <c r="K117" i="12"/>
  <c r="A117" i="12"/>
  <c r="N1280" i="42" l="1"/>
  <c r="P1280" i="42" s="1"/>
  <c r="A1281" i="42"/>
  <c r="A111" i="12"/>
  <c r="K111" i="12"/>
  <c r="N1281" i="42" l="1"/>
  <c r="P1281" i="42" s="1"/>
  <c r="A1282" i="42"/>
  <c r="N1282" i="42" l="1"/>
  <c r="P1282" i="42" s="1"/>
  <c r="J135" i="12" s="1"/>
  <c r="A1283" i="42"/>
  <c r="N1283" i="42" l="1"/>
  <c r="P1283" i="42" s="1"/>
  <c r="A1284" i="42"/>
  <c r="A135" i="12"/>
  <c r="K135" i="12"/>
  <c r="N1284" i="42" l="1"/>
  <c r="P1284" i="42" s="1"/>
  <c r="F13" i="67" s="1"/>
  <c r="G13" i="67" s="1"/>
  <c r="A1285" i="42"/>
  <c r="N1285" i="42" l="1"/>
  <c r="P1285" i="42" s="1"/>
  <c r="A1286" i="42"/>
  <c r="N1286" i="42" l="1"/>
  <c r="P1286" i="42" s="1"/>
  <c r="A1287" i="42"/>
  <c r="N1287" i="42" l="1"/>
  <c r="P1287" i="42" s="1"/>
  <c r="Q483" i="66" s="1"/>
  <c r="A1288" i="42"/>
  <c r="N1288" i="42" l="1"/>
  <c r="P1288" i="42" s="1"/>
  <c r="A1289" i="42"/>
  <c r="R483" i="66"/>
  <c r="AC483" i="66"/>
  <c r="N1289" i="42" l="1"/>
  <c r="P1289" i="42" s="1"/>
  <c r="A1290" i="42"/>
  <c r="N1290" i="42" l="1"/>
  <c r="P1290" i="42" s="1"/>
  <c r="A1291" i="42"/>
  <c r="N1291" i="42" l="1"/>
  <c r="P1291" i="42" s="1"/>
  <c r="A1292" i="42"/>
  <c r="N1292" i="42" l="1"/>
  <c r="P1292" i="42" s="1"/>
  <c r="A1293" i="42"/>
  <c r="N1293" i="42" l="1"/>
  <c r="P1293" i="42" s="1"/>
  <c r="A1294" i="42"/>
  <c r="J274" i="12"/>
  <c r="N1294" i="42" l="1"/>
  <c r="P1294" i="42" s="1"/>
  <c r="A1295" i="42"/>
  <c r="A274" i="12"/>
  <c r="K274" i="12"/>
  <c r="N1295" i="42" l="1"/>
  <c r="P1295" i="42" s="1"/>
  <c r="A1296" i="42"/>
  <c r="N1296" i="42" l="1"/>
  <c r="P1296" i="42" s="1"/>
  <c r="A1297" i="42"/>
  <c r="N1297" i="42" l="1"/>
  <c r="P1297" i="42" s="1"/>
  <c r="A1298" i="42"/>
  <c r="N1298" i="42" l="1"/>
  <c r="P1298" i="42" s="1"/>
  <c r="A1299" i="42"/>
  <c r="N1299" i="42" l="1"/>
  <c r="P1299" i="42" s="1"/>
  <c r="A1300" i="42"/>
  <c r="N1300" i="42" l="1"/>
  <c r="P1300" i="42" s="1"/>
  <c r="J151" i="12" s="1"/>
  <c r="A1301" i="42"/>
  <c r="N1301" i="42" l="1"/>
  <c r="P1301" i="42" s="1"/>
  <c r="J149" i="12" s="1"/>
  <c r="A1302" i="42"/>
  <c r="A151" i="12"/>
  <c r="K151" i="12"/>
  <c r="N1302" i="42" l="1"/>
  <c r="P1302" i="42" s="1"/>
  <c r="A1303" i="42"/>
  <c r="A149" i="12"/>
  <c r="K149" i="12"/>
  <c r="N1303" i="42" l="1"/>
  <c r="P1303" i="42" s="1"/>
  <c r="A1304" i="42"/>
  <c r="N1304" i="42" l="1"/>
  <c r="P1304" i="42" s="1"/>
  <c r="A1305" i="42"/>
  <c r="N1305" i="42" l="1"/>
  <c r="P1305" i="42" s="1"/>
  <c r="A1306" i="42"/>
  <c r="N1306" i="42" l="1"/>
  <c r="P1306" i="42" s="1"/>
  <c r="A1307" i="42"/>
  <c r="N1307" i="42" l="1"/>
  <c r="P1307" i="42" s="1"/>
  <c r="J143" i="12" s="1"/>
  <c r="A1308" i="42"/>
  <c r="N1308" i="42" l="1"/>
  <c r="P1308" i="42" s="1"/>
  <c r="A1309" i="42"/>
  <c r="A143" i="12"/>
  <c r="K143" i="12"/>
  <c r="N1309" i="42" l="1"/>
  <c r="P1309" i="42" s="1"/>
  <c r="A1310" i="42"/>
  <c r="N1310" i="42" l="1"/>
  <c r="P1310" i="42" s="1"/>
  <c r="A1311" i="42"/>
  <c r="N1311" i="42" l="1"/>
  <c r="P1311" i="42" s="1"/>
  <c r="A1312" i="42"/>
  <c r="N1312" i="42" l="1"/>
  <c r="P1312" i="42" s="1"/>
  <c r="J150" i="12" s="1"/>
  <c r="A1313" i="42"/>
  <c r="N1313" i="42" l="1"/>
  <c r="P1313" i="42" s="1"/>
  <c r="A1314" i="42"/>
  <c r="A150" i="12"/>
  <c r="K150" i="12"/>
  <c r="N1314" i="42" l="1"/>
  <c r="P1314" i="42" s="1"/>
  <c r="A1315" i="42"/>
  <c r="N1315" i="42" l="1"/>
  <c r="P1315" i="42" s="1"/>
  <c r="A1316" i="42"/>
  <c r="N1316" i="42" l="1"/>
  <c r="P1316" i="42" s="1"/>
  <c r="A1317" i="42"/>
  <c r="N1317" i="42" l="1"/>
  <c r="P1317" i="42" s="1"/>
  <c r="A1318" i="42"/>
  <c r="N1318" i="42" l="1"/>
  <c r="P1318" i="42" s="1"/>
  <c r="J181" i="12" s="1"/>
  <c r="A1319" i="42"/>
  <c r="N1319" i="42" l="1"/>
  <c r="P1319" i="42" s="1"/>
  <c r="A1320" i="42"/>
  <c r="A181" i="12"/>
  <c r="K181" i="12"/>
  <c r="N1320" i="42" l="1"/>
  <c r="P1320" i="42" s="1"/>
  <c r="A1321" i="42"/>
  <c r="N1321" i="42" l="1"/>
  <c r="P1321" i="42" s="1"/>
  <c r="A1322" i="42"/>
  <c r="N1322" i="42" l="1"/>
  <c r="P1322" i="42" s="1"/>
  <c r="Q535" i="66" s="1"/>
  <c r="A1323" i="42"/>
  <c r="N1323" i="42" l="1"/>
  <c r="P1323" i="42" s="1"/>
  <c r="J194" i="12" s="1"/>
  <c r="A1324" i="42"/>
  <c r="R535" i="66"/>
  <c r="AC535" i="66"/>
  <c r="N1324" i="42" l="1"/>
  <c r="P1324" i="42" s="1"/>
  <c r="A1325" i="42"/>
  <c r="A194" i="12"/>
  <c r="K194" i="12"/>
  <c r="N1325" i="42" l="1"/>
  <c r="P1325" i="42" s="1"/>
  <c r="A1326" i="42"/>
  <c r="N1326" i="42" l="1"/>
  <c r="P1326" i="42" s="1"/>
  <c r="J195" i="12" s="1"/>
  <c r="A1327" i="42"/>
  <c r="N1327" i="42" l="1"/>
  <c r="P1327" i="42" s="1"/>
  <c r="A1328" i="42"/>
  <c r="K195" i="12"/>
  <c r="A195" i="12"/>
  <c r="N1328" i="42" l="1"/>
  <c r="P1328" i="42" s="1"/>
  <c r="A1329" i="42"/>
  <c r="N1329" i="42" l="1"/>
  <c r="P1329" i="42" s="1"/>
  <c r="A1330" i="42"/>
  <c r="N1330" i="42" l="1"/>
  <c r="P1330" i="42" s="1"/>
  <c r="A1331" i="42"/>
  <c r="N1331" i="42" l="1"/>
  <c r="P1331" i="42" s="1"/>
  <c r="A1332" i="42"/>
  <c r="N1332" i="42" l="1"/>
  <c r="P1332" i="42" s="1"/>
  <c r="A1333" i="42"/>
  <c r="N1333" i="42" l="1"/>
  <c r="P1333" i="42" s="1"/>
  <c r="A1334" i="42"/>
  <c r="N1334" i="42" l="1"/>
  <c r="P1334" i="42" s="1"/>
  <c r="J184" i="12" s="1"/>
  <c r="A1335" i="42"/>
  <c r="N1335" i="42" l="1"/>
  <c r="P1335" i="42" s="1"/>
  <c r="A1336" i="42"/>
  <c r="A184" i="12"/>
  <c r="K184" i="12"/>
  <c r="N1336" i="42" l="1"/>
  <c r="P1336" i="42" s="1"/>
  <c r="A1337" i="42"/>
  <c r="N1337" i="42" l="1"/>
  <c r="P1337" i="42" s="1"/>
  <c r="A1338" i="42"/>
  <c r="N1338" i="42" l="1"/>
  <c r="P1338" i="42" s="1"/>
  <c r="A1339" i="42"/>
  <c r="N1339" i="42" l="1"/>
  <c r="P1339" i="42" s="1"/>
  <c r="A1340" i="42"/>
  <c r="N1340" i="42" l="1"/>
  <c r="P1340" i="42" s="1"/>
  <c r="J92" i="12" s="1"/>
  <c r="A1341" i="42"/>
  <c r="N1341" i="42" l="1"/>
  <c r="P1341" i="42" s="1"/>
  <c r="A1342" i="42"/>
  <c r="A92" i="12"/>
  <c r="K92" i="12"/>
  <c r="N1342" i="42" l="1"/>
  <c r="P1342" i="42" s="1"/>
  <c r="A1343" i="42"/>
  <c r="N1343" i="42" l="1"/>
  <c r="P1343" i="42" s="1"/>
  <c r="A1344" i="42"/>
  <c r="N1344" i="42" l="1"/>
  <c r="P1344" i="42" s="1"/>
  <c r="Q571" i="66" s="1"/>
  <c r="A1345" i="42"/>
  <c r="N1345" i="42" l="1"/>
  <c r="P1345" i="42" s="1"/>
  <c r="A1346" i="42"/>
  <c r="R571" i="66"/>
  <c r="AC571" i="66"/>
  <c r="N1346" i="42" l="1"/>
  <c r="P1346" i="42" s="1"/>
  <c r="A1347" i="42"/>
  <c r="N1347" i="42" l="1"/>
  <c r="P1347" i="42" s="1"/>
  <c r="A1348" i="42"/>
  <c r="N1348" i="42" l="1"/>
  <c r="P1348" i="42" s="1"/>
  <c r="A1349" i="42"/>
  <c r="N1349" i="42" l="1"/>
  <c r="P1349" i="42" s="1"/>
  <c r="A1350" i="42"/>
  <c r="N1350" i="42" l="1"/>
  <c r="P1350" i="42" s="1"/>
  <c r="A1351" i="42"/>
  <c r="N1351" i="42" l="1"/>
  <c r="P1351" i="42" s="1"/>
  <c r="A1352" i="42"/>
  <c r="N1352" i="42" l="1"/>
  <c r="P1352" i="42" s="1"/>
  <c r="A1353" i="42"/>
  <c r="N1353" i="42" l="1"/>
  <c r="P1353" i="42" s="1"/>
  <c r="A1354" i="42"/>
  <c r="N1354" i="42" l="1"/>
  <c r="P1354" i="42" s="1"/>
  <c r="A1355" i="42"/>
  <c r="N1355" i="42" l="1"/>
  <c r="P1355" i="42" s="1"/>
  <c r="A1356" i="42"/>
  <c r="N1356" i="42" l="1"/>
  <c r="P1356" i="42" s="1"/>
  <c r="A1357" i="42"/>
  <c r="N1357" i="42" l="1"/>
  <c r="P1357" i="42" s="1"/>
  <c r="A1358" i="42"/>
  <c r="N1358" i="42" l="1"/>
  <c r="P1358" i="42" s="1"/>
  <c r="A1359" i="42"/>
  <c r="N1359" i="42" l="1"/>
  <c r="P1359" i="42" s="1"/>
  <c r="A1360" i="42"/>
  <c r="N1360" i="42" l="1"/>
  <c r="P1360" i="42" s="1"/>
  <c r="A1361" i="42"/>
  <c r="N1361" i="42" l="1"/>
  <c r="P1361" i="42" s="1"/>
  <c r="A1362" i="42"/>
  <c r="N1362" i="42" l="1"/>
  <c r="P1362" i="42" s="1"/>
  <c r="A1363" i="42"/>
  <c r="N1363" i="42" l="1"/>
  <c r="P1363" i="42" s="1"/>
  <c r="A1364" i="42"/>
  <c r="N1364" i="42" l="1"/>
  <c r="P1364" i="42" s="1"/>
  <c r="A1365" i="42"/>
  <c r="N1365" i="42" l="1"/>
  <c r="P1365" i="42" s="1"/>
  <c r="A1366" i="42"/>
  <c r="N1366" i="42" l="1"/>
  <c r="P1366" i="42" s="1"/>
  <c r="J13" i="12" s="1"/>
  <c r="A1367" i="42"/>
  <c r="N1367" i="42" l="1"/>
  <c r="A1368" i="42"/>
  <c r="A13" i="12"/>
  <c r="K13" i="12"/>
  <c r="N1368" i="42" l="1"/>
  <c r="P1368" i="42" s="1"/>
  <c r="J11" i="12" s="1"/>
  <c r="A1369" i="42"/>
  <c r="N1369" i="42" l="1"/>
  <c r="A1370" i="42"/>
  <c r="K11" i="12"/>
  <c r="K289" i="12" s="1"/>
  <c r="K291" i="12" s="1"/>
  <c r="A11" i="12"/>
  <c r="A14" i="12" l="1"/>
  <c r="A176" i="12"/>
  <c r="A178" i="12"/>
  <c r="A30" i="12"/>
  <c r="A16" i="12"/>
  <c r="A179" i="12"/>
  <c r="A255" i="12"/>
  <c r="A29" i="12"/>
  <c r="A177" i="12"/>
  <c r="N1370" i="42"/>
  <c r="P1370" i="42" s="1"/>
  <c r="J12" i="12" s="1"/>
  <c r="A1371" i="42"/>
  <c r="A12" i="12" l="1"/>
  <c r="K12" i="12"/>
  <c r="N1371" i="42"/>
  <c r="P1371" i="42" s="1"/>
  <c r="A1372" i="42"/>
  <c r="N1372" i="42" l="1"/>
  <c r="P1372" i="42" s="1"/>
  <c r="A1373" i="42"/>
  <c r="N1373" i="42" l="1"/>
  <c r="P1373" i="42" s="1"/>
  <c r="A1374" i="42"/>
  <c r="N1374" i="42" l="1"/>
  <c r="P1374" i="42" s="1"/>
  <c r="J144" i="12" s="1"/>
  <c r="A1375" i="42"/>
  <c r="N1375" i="42" l="1"/>
  <c r="P1375" i="42" s="1"/>
  <c r="J145" i="12" s="1"/>
  <c r="A1376" i="42"/>
  <c r="K144" i="12"/>
  <c r="A144" i="12"/>
  <c r="N1376" i="42" l="1"/>
  <c r="P1376" i="42" s="1"/>
  <c r="J146" i="12" s="1"/>
  <c r="A1377" i="42"/>
  <c r="A145" i="12"/>
  <c r="K145" i="12"/>
  <c r="N1377" i="42" l="1"/>
  <c r="P1377" i="42" s="1"/>
  <c r="A1378" i="42"/>
  <c r="A146" i="12"/>
  <c r="K146" i="12"/>
  <c r="N1378" i="42" l="1"/>
  <c r="P1378" i="42" s="1"/>
  <c r="A1379" i="42"/>
  <c r="N1379" i="42" l="1"/>
  <c r="P1379" i="42" s="1"/>
  <c r="Q402" i="66" s="1"/>
  <c r="A1380" i="42"/>
  <c r="N1380" i="42" l="1"/>
  <c r="P1380" i="42" s="1"/>
  <c r="Q31" i="66" s="1"/>
  <c r="A1381" i="42"/>
  <c r="R402" i="66"/>
  <c r="AC402" i="66"/>
  <c r="N1381" i="42" l="1"/>
  <c r="P1381" i="42" s="1"/>
  <c r="A1382" i="42"/>
  <c r="R31" i="66"/>
  <c r="AC31" i="66"/>
  <c r="N1382" i="42" l="1"/>
  <c r="P1382" i="42" s="1"/>
  <c r="A1383" i="42"/>
  <c r="N1383" i="42" l="1"/>
  <c r="P1383" i="42" s="1"/>
  <c r="A1384" i="42"/>
  <c r="N1384" i="42" l="1"/>
  <c r="P1384" i="42" s="1"/>
  <c r="A1385" i="42"/>
  <c r="N1385" i="42" l="1"/>
  <c r="P1385" i="42" s="1"/>
  <c r="Q148" i="66" s="1"/>
  <c r="A1386" i="42"/>
  <c r="N1386" i="42" l="1"/>
  <c r="P1386" i="42" s="1"/>
  <c r="A1387" i="42"/>
  <c r="AC148" i="66"/>
  <c r="R148" i="66"/>
  <c r="N1387" i="42" l="1"/>
  <c r="P1387" i="42" s="1"/>
  <c r="A1388" i="42"/>
  <c r="N1388" i="42" l="1"/>
  <c r="P1388" i="42" s="1"/>
  <c r="A1389" i="42"/>
  <c r="N1389" i="42" l="1"/>
  <c r="P1389" i="42" s="1"/>
  <c r="Q752" i="66" s="1"/>
  <c r="A1390" i="42"/>
  <c r="N1390" i="42" l="1"/>
  <c r="P1390" i="42" s="1"/>
  <c r="Q122" i="66" s="1"/>
  <c r="A1391" i="42"/>
  <c r="R752" i="66"/>
  <c r="AC752" i="66"/>
  <c r="N1391" i="42" l="1"/>
  <c r="P1391" i="42" s="1"/>
  <c r="Q109" i="66" s="1"/>
  <c r="A1392" i="42"/>
  <c r="R122" i="66"/>
  <c r="AC122" i="66"/>
  <c r="N1392" i="42" l="1"/>
  <c r="P1392" i="42" s="1"/>
  <c r="A1393" i="42"/>
  <c r="AC109" i="66"/>
  <c r="R109" i="66"/>
  <c r="N1393" i="42" l="1"/>
  <c r="P1393" i="42" s="1"/>
  <c r="A1394" i="42"/>
  <c r="N1394" i="42" l="1"/>
  <c r="P1394" i="42" s="1"/>
  <c r="A1395" i="42"/>
  <c r="N1395" i="42" l="1"/>
  <c r="P1395" i="42" s="1"/>
  <c r="A1396" i="42"/>
  <c r="N1396" i="42" l="1"/>
  <c r="P1396" i="42" s="1"/>
  <c r="J142" i="12" s="1"/>
  <c r="A1397" i="42"/>
  <c r="N1397" i="42" l="1"/>
  <c r="P1397" i="42" s="1"/>
  <c r="A1398" i="42"/>
  <c r="K142" i="12"/>
  <c r="A142" i="12"/>
  <c r="N1398" i="42" l="1"/>
  <c r="P1398" i="42" s="1"/>
  <c r="A1399" i="42"/>
  <c r="N1399" i="42" l="1"/>
  <c r="P1399" i="42" s="1"/>
  <c r="Q412" i="66" s="1"/>
  <c r="A1400" i="42"/>
  <c r="N1400" i="42" l="1"/>
  <c r="P1400" i="42" s="1"/>
  <c r="Q405" i="66" s="1"/>
  <c r="A1401" i="42"/>
  <c r="R412" i="66"/>
  <c r="AC412" i="66"/>
  <c r="N1401" i="42" l="1"/>
  <c r="P1401" i="42" s="1"/>
  <c r="A1402" i="42"/>
  <c r="AC405" i="66"/>
  <c r="R405" i="66"/>
  <c r="N1402" i="42" l="1"/>
  <c r="P1402" i="42" s="1"/>
  <c r="A1403" i="42"/>
  <c r="N1403" i="42" l="1"/>
  <c r="P1403" i="42" s="1"/>
  <c r="A1404" i="42"/>
  <c r="N1404" i="42" l="1"/>
  <c r="P1404" i="42" s="1"/>
  <c r="A1405" i="42"/>
  <c r="N1405" i="42" l="1"/>
  <c r="P1405" i="42" s="1"/>
  <c r="A1406" i="42"/>
  <c r="N1406" i="42" l="1"/>
  <c r="P1406" i="42" s="1"/>
  <c r="A1407" i="42"/>
  <c r="N1407" i="42" l="1"/>
  <c r="P1407" i="42" s="1"/>
  <c r="A1408" i="42"/>
  <c r="N1408" i="42" l="1"/>
  <c r="P1408" i="42" s="1"/>
  <c r="A1409" i="42"/>
  <c r="N1409" i="42" l="1"/>
  <c r="P1409" i="42" s="1"/>
  <c r="A1410" i="42"/>
  <c r="N1410" i="42" l="1"/>
  <c r="P1410" i="42" s="1"/>
  <c r="J115" i="12" s="1"/>
  <c r="A1411" i="42"/>
  <c r="N1411" i="42" l="1"/>
  <c r="P1411" i="42" s="1"/>
  <c r="A1412" i="42"/>
  <c r="K115" i="12"/>
  <c r="A115" i="12"/>
  <c r="N1412" i="42" l="1"/>
  <c r="P1412" i="42" s="1"/>
  <c r="A1413" i="42"/>
  <c r="N1413" i="42" l="1"/>
  <c r="P1413" i="42" s="1"/>
  <c r="A1414" i="42"/>
  <c r="N1414" i="42" l="1"/>
  <c r="P1414" i="42" s="1"/>
  <c r="A1415" i="42"/>
  <c r="N1415" i="42" l="1"/>
  <c r="P1415" i="42" s="1"/>
  <c r="A1416" i="42"/>
  <c r="N1416" i="42" l="1"/>
  <c r="P1416" i="42" s="1"/>
  <c r="A1417" i="42"/>
  <c r="N1417" i="42" l="1"/>
  <c r="P1417" i="42" s="1"/>
  <c r="A1418" i="42"/>
  <c r="N1418" i="42" l="1"/>
  <c r="P1418" i="42" s="1"/>
  <c r="A1419" i="42"/>
  <c r="N1419" i="42" l="1"/>
  <c r="P1419" i="42" s="1"/>
  <c r="A1420" i="42"/>
  <c r="N1420" i="42" l="1"/>
  <c r="P1420" i="42" s="1"/>
  <c r="J116" i="12" s="1"/>
  <c r="A1421" i="42"/>
  <c r="N1421" i="42" l="1"/>
  <c r="P1421" i="42" s="1"/>
  <c r="A1422" i="42"/>
  <c r="K116" i="12"/>
  <c r="A116" i="12"/>
  <c r="N1422" i="42" l="1"/>
  <c r="P1422" i="42" s="1"/>
  <c r="A1423" i="42"/>
  <c r="N1423" i="42" l="1"/>
  <c r="P1423" i="42" s="1"/>
  <c r="A1424" i="42"/>
  <c r="N1424" i="42" l="1"/>
  <c r="P1424" i="42" s="1"/>
  <c r="J186" i="12" s="1"/>
  <c r="A1425" i="42"/>
  <c r="N1425" i="42" l="1"/>
  <c r="P1425" i="42" s="1"/>
  <c r="A1426" i="42"/>
  <c r="K186" i="12"/>
  <c r="A186" i="12"/>
  <c r="N1426" i="42" l="1"/>
  <c r="P1426" i="42" s="1"/>
  <c r="A1427" i="42"/>
  <c r="N1427" i="42" l="1"/>
  <c r="P1427" i="42" s="1"/>
  <c r="F9" i="67" s="1"/>
  <c r="G9" i="67" s="1"/>
  <c r="A1428" i="42"/>
  <c r="N1428" i="42" l="1"/>
  <c r="P1428" i="42" s="1"/>
  <c r="A1429" i="42"/>
  <c r="N1429" i="42" l="1"/>
  <c r="P1429" i="42" s="1"/>
  <c r="Q555" i="66" s="1"/>
  <c r="A1430" i="42"/>
  <c r="N1430" i="42" l="1"/>
  <c r="P1430" i="42" s="1"/>
  <c r="A1431" i="42"/>
  <c r="R555" i="66"/>
  <c r="AC555" i="66"/>
  <c r="N1431" i="42" l="1"/>
  <c r="P1431" i="42" s="1"/>
  <c r="Q135" i="66" s="1"/>
  <c r="A1432" i="42"/>
  <c r="N1432" i="42" l="1"/>
  <c r="P1432" i="42" s="1"/>
  <c r="A1433" i="42"/>
  <c r="R135" i="66"/>
  <c r="AC135" i="66"/>
  <c r="N1433" i="42" l="1"/>
  <c r="P1433" i="42" s="1"/>
  <c r="A1434" i="42"/>
  <c r="N1434" i="42" l="1"/>
  <c r="P1434" i="42" s="1"/>
  <c r="A1435" i="42"/>
  <c r="N1435" i="42" l="1"/>
  <c r="P1435" i="42" s="1"/>
  <c r="A1436" i="42"/>
  <c r="J259" i="12"/>
  <c r="N1436" i="42" l="1"/>
  <c r="P1436" i="42" s="1"/>
  <c r="A1437" i="42"/>
  <c r="K259" i="12"/>
  <c r="A259" i="12"/>
  <c r="N1437" i="42" l="1"/>
  <c r="P1437" i="42" s="1"/>
  <c r="A1438" i="42"/>
  <c r="N1438" i="42" l="1"/>
  <c r="P1438" i="42" s="1"/>
  <c r="A1439" i="42"/>
  <c r="N1439" i="42" l="1"/>
  <c r="P1439" i="42" s="1"/>
  <c r="Q381" i="66" s="1"/>
  <c r="A1440" i="42"/>
  <c r="N1440" i="42" l="1"/>
  <c r="P1440" i="42" s="1"/>
  <c r="A1441" i="42"/>
  <c r="R381" i="66"/>
  <c r="AC381" i="66"/>
  <c r="N1441" i="42" l="1"/>
  <c r="P1441" i="42" s="1"/>
  <c r="A1442" i="42"/>
  <c r="N1442" i="42" l="1"/>
  <c r="P1442" i="42" s="1"/>
  <c r="J27" i="12" s="1"/>
  <c r="A1443" i="42"/>
  <c r="N1443" i="42" l="1"/>
  <c r="P1443" i="42" s="1"/>
  <c r="A1444" i="42"/>
  <c r="A27" i="12"/>
  <c r="K27" i="12"/>
  <c r="N1444" i="42" l="1"/>
  <c r="P1444" i="42" s="1"/>
  <c r="A1445" i="42"/>
  <c r="N1445" i="42" l="1"/>
  <c r="P1445" i="42" s="1"/>
  <c r="A1446" i="42"/>
  <c r="N1446" i="42" l="1"/>
  <c r="P1446" i="42" s="1"/>
  <c r="A1447" i="42"/>
  <c r="N1447" i="42" l="1"/>
  <c r="P1447" i="42" s="1"/>
  <c r="A1448" i="42"/>
  <c r="N1448" i="42" l="1"/>
  <c r="P1448" i="42" s="1"/>
  <c r="A1449" i="42"/>
  <c r="N1449" i="42" l="1"/>
  <c r="P1449" i="42" s="1"/>
  <c r="A1450" i="42"/>
  <c r="N1450" i="42" l="1"/>
  <c r="P1450" i="42" s="1"/>
  <c r="J24" i="12" s="1"/>
  <c r="A1451" i="42"/>
  <c r="N1451" i="42" l="1"/>
  <c r="P1451" i="42" s="1"/>
  <c r="A1452" i="42"/>
  <c r="K24" i="12"/>
  <c r="A24" i="12"/>
  <c r="N1452" i="42" l="1"/>
  <c r="P1452" i="42" s="1"/>
  <c r="A1453" i="42"/>
  <c r="N1453" i="42" l="1"/>
  <c r="P1453" i="42" s="1"/>
  <c r="Q754" i="66" s="1"/>
  <c r="A1454" i="42"/>
  <c r="N1454" i="42" l="1"/>
  <c r="P1454" i="42" s="1"/>
  <c r="Q116" i="66" s="1"/>
  <c r="A1455" i="42"/>
  <c r="R754" i="66"/>
  <c r="AC754" i="66"/>
  <c r="N1455" i="42" l="1"/>
  <c r="P1455" i="42" s="1"/>
  <c r="A1456" i="42"/>
  <c r="R116" i="66"/>
  <c r="AC116" i="66"/>
  <c r="N1456" i="42" l="1"/>
  <c r="P1456" i="42" s="1"/>
  <c r="A1457" i="42"/>
  <c r="N1457" i="42" l="1"/>
  <c r="P1457" i="42" s="1"/>
  <c r="Q175" i="66" s="1"/>
  <c r="A1458" i="42"/>
  <c r="N1458" i="42" l="1"/>
  <c r="P1458" i="42" s="1"/>
  <c r="A1459" i="42"/>
  <c r="AC175" i="66"/>
  <c r="R175" i="66"/>
  <c r="N1459" i="42" l="1"/>
  <c r="P1459" i="42" s="1"/>
  <c r="A1460" i="42"/>
  <c r="N1460" i="42" l="1"/>
  <c r="P1460" i="42" s="1"/>
  <c r="A1461" i="42"/>
  <c r="N1461" i="42" l="1"/>
  <c r="P1461" i="42" s="1"/>
  <c r="J196" i="12" s="1"/>
  <c r="A1462" i="42"/>
  <c r="N1462" i="42" l="1"/>
  <c r="P1462" i="42" s="1"/>
  <c r="A1463" i="42"/>
  <c r="K196" i="12"/>
  <c r="A196" i="12"/>
  <c r="N1463" i="42" l="1"/>
  <c r="P1463" i="42" s="1"/>
  <c r="A1464" i="42"/>
  <c r="N1464" i="42" l="1"/>
  <c r="P1464" i="42" s="1"/>
  <c r="A1465" i="42"/>
  <c r="N1465" i="42" l="1"/>
  <c r="P1465" i="42" s="1"/>
  <c r="A1466" i="42"/>
  <c r="N1466" i="42" l="1"/>
  <c r="P1466" i="42" s="1"/>
  <c r="A1467" i="42"/>
  <c r="N1467" i="42" l="1"/>
  <c r="P1467" i="42" s="1"/>
  <c r="A1468" i="42"/>
  <c r="N1468" i="42" l="1"/>
  <c r="P1468" i="42" s="1"/>
  <c r="A1469" i="42"/>
  <c r="N1469" i="42" l="1"/>
  <c r="P1469" i="42" s="1"/>
  <c r="A1470" i="42"/>
  <c r="N1470" i="42" l="1"/>
  <c r="P1470" i="42" s="1"/>
  <c r="A1471" i="42"/>
  <c r="N1471" i="42" l="1"/>
  <c r="P1471" i="42" s="1"/>
  <c r="A1472" i="42"/>
  <c r="N1472" i="42" l="1"/>
  <c r="P1472" i="42" s="1"/>
  <c r="A1473" i="42"/>
  <c r="N1473" i="42" l="1"/>
  <c r="P1473" i="42" s="1"/>
  <c r="A1474" i="42"/>
  <c r="N1474" i="42" l="1"/>
  <c r="P1474" i="42" s="1"/>
  <c r="A1475" i="42"/>
  <c r="N1475" i="42" l="1"/>
  <c r="P1475" i="42" s="1"/>
  <c r="A1476" i="42"/>
  <c r="N1476" i="42" l="1"/>
  <c r="P1476" i="42" s="1"/>
  <c r="A1477" i="42"/>
  <c r="N1477" i="42" l="1"/>
  <c r="P1477" i="42" s="1"/>
  <c r="A1478" i="42"/>
  <c r="N1478" i="42" l="1"/>
  <c r="P1478" i="42" s="1"/>
  <c r="A1479" i="42"/>
  <c r="N1479" i="42" l="1"/>
  <c r="P1479" i="42" s="1"/>
  <c r="A1480" i="42"/>
  <c r="N1480" i="42" l="1"/>
  <c r="P1480" i="42" s="1"/>
  <c r="A1481" i="42"/>
  <c r="N1481" i="42" l="1"/>
  <c r="P1481" i="42" s="1"/>
  <c r="A1482" i="42"/>
  <c r="N1482" i="42" l="1"/>
  <c r="P1482" i="42" s="1"/>
  <c r="A1483" i="42"/>
  <c r="N1483" i="42" l="1"/>
  <c r="P1483" i="42" s="1"/>
  <c r="A1484" i="42"/>
  <c r="N1484" i="42" l="1"/>
  <c r="P1484" i="42" s="1"/>
  <c r="A1485" i="42"/>
  <c r="N1485" i="42" l="1"/>
  <c r="P1485" i="42" s="1"/>
  <c r="A1486" i="42"/>
  <c r="N1486" i="42" l="1"/>
  <c r="P1486" i="42" s="1"/>
  <c r="A1487" i="42"/>
  <c r="N1487" i="42" l="1"/>
  <c r="P1487" i="42" s="1"/>
  <c r="A1488" i="42"/>
  <c r="N1488" i="42" l="1"/>
  <c r="P1488" i="42" s="1"/>
  <c r="A1489" i="42"/>
  <c r="N1489" i="42" l="1"/>
  <c r="P1489" i="42" s="1"/>
  <c r="A1490" i="42"/>
  <c r="N1490" i="42" l="1"/>
  <c r="P1490" i="42" s="1"/>
  <c r="A1491" i="42"/>
  <c r="N1491" i="42" l="1"/>
  <c r="P1491" i="42" s="1"/>
  <c r="A1492" i="42"/>
  <c r="N1492" i="42" l="1"/>
  <c r="P1492" i="42" s="1"/>
  <c r="A1493" i="42"/>
  <c r="N1493" i="42" l="1"/>
  <c r="P1493" i="42" s="1"/>
  <c r="J112" i="12" s="1"/>
  <c r="A1494" i="42"/>
  <c r="N1494" i="42" l="1"/>
  <c r="P1494" i="42" s="1"/>
  <c r="A1495" i="42"/>
  <c r="A112" i="12"/>
  <c r="K112" i="12"/>
  <c r="N1495" i="42" l="1"/>
  <c r="P1495" i="42" s="1"/>
  <c r="A1496" i="42"/>
  <c r="N1496" i="42" l="1"/>
  <c r="P1496" i="42" s="1"/>
  <c r="A1497" i="42"/>
  <c r="N1497" i="42" l="1"/>
  <c r="P1497" i="42" s="1"/>
  <c r="A1498" i="42"/>
  <c r="N1498" i="42" l="1"/>
  <c r="P1498" i="42" s="1"/>
  <c r="A1499" i="42"/>
  <c r="N1499" i="42" l="1"/>
  <c r="P1499" i="42" s="1"/>
  <c r="A1500" i="42"/>
  <c r="N1500" i="42" l="1"/>
  <c r="P1500" i="42" s="1"/>
  <c r="A1501" i="42"/>
  <c r="N1501" i="42" l="1"/>
  <c r="P1501" i="42" s="1"/>
  <c r="A1502" i="42"/>
  <c r="N1502" i="42" l="1"/>
  <c r="P1502" i="42" s="1"/>
  <c r="A1503" i="42"/>
  <c r="N1503" i="42" l="1"/>
  <c r="P1503" i="42" s="1"/>
  <c r="A1504" i="42"/>
  <c r="N1504" i="42" l="1"/>
  <c r="P1504" i="42" s="1"/>
  <c r="A1505" i="42"/>
  <c r="N1505" i="42" l="1"/>
  <c r="P1505" i="42" s="1"/>
  <c r="A1506" i="42"/>
  <c r="N1506" i="42" l="1"/>
  <c r="P1506" i="42" s="1"/>
  <c r="A1507" i="42"/>
  <c r="N1507" i="42" l="1"/>
  <c r="P1507" i="42" s="1"/>
  <c r="J107" i="12" s="1"/>
  <c r="A1508" i="42"/>
  <c r="N1508" i="42" l="1"/>
  <c r="P1508" i="42" s="1"/>
  <c r="A1509" i="42"/>
  <c r="A107" i="12"/>
  <c r="K107" i="12"/>
  <c r="N1509" i="42" l="1"/>
  <c r="P1509" i="42" s="1"/>
  <c r="A1510" i="42"/>
  <c r="N1510" i="42" l="1"/>
  <c r="P1510" i="42" s="1"/>
  <c r="A1511" i="42"/>
  <c r="N1511" i="42" l="1"/>
  <c r="P1511" i="42" s="1"/>
  <c r="A1512" i="42"/>
  <c r="N1512" i="42" l="1"/>
  <c r="P1512" i="42" s="1"/>
  <c r="A1513" i="42"/>
  <c r="N1513" i="42" l="1"/>
  <c r="P1513" i="42" s="1"/>
  <c r="A1514" i="42"/>
  <c r="N1514" i="42" l="1"/>
  <c r="P1514" i="42" s="1"/>
  <c r="A1515" i="42"/>
  <c r="N1515" i="42" l="1"/>
  <c r="P1515" i="42" s="1"/>
  <c r="A1516" i="42"/>
  <c r="N1516" i="42" l="1"/>
  <c r="P1516" i="42" s="1"/>
  <c r="A1517" i="42"/>
  <c r="N1517" i="42" l="1"/>
  <c r="P1517" i="42" s="1"/>
  <c r="A1518" i="42"/>
  <c r="N1518" i="42" l="1"/>
  <c r="P1518" i="42" s="1"/>
  <c r="A1519" i="42"/>
  <c r="N1519" i="42" l="1"/>
  <c r="P1519" i="42" s="1"/>
  <c r="A1520" i="42"/>
  <c r="N1520" i="42" l="1"/>
  <c r="P1520" i="42" s="1"/>
  <c r="A1521" i="42"/>
  <c r="N1521" i="42" l="1"/>
  <c r="P1521" i="42" s="1"/>
  <c r="A1522" i="42"/>
  <c r="N1522" i="42" l="1"/>
  <c r="P1522" i="42" s="1"/>
  <c r="A1523" i="42"/>
  <c r="N1523" i="42" l="1"/>
  <c r="P1523" i="42" s="1"/>
  <c r="A1524" i="42"/>
  <c r="N1524" i="42" l="1"/>
  <c r="P1524" i="42" s="1"/>
  <c r="A1525" i="42"/>
  <c r="N1525" i="42" l="1"/>
  <c r="P1525" i="42" s="1"/>
  <c r="A1526" i="42"/>
  <c r="N1526" i="42" l="1"/>
  <c r="P1526" i="42" s="1"/>
  <c r="A1527" i="42"/>
  <c r="N1527" i="42" l="1"/>
  <c r="P1527" i="42" s="1"/>
  <c r="A1528" i="42"/>
  <c r="N1528" i="42" l="1"/>
  <c r="P1528" i="42" s="1"/>
  <c r="A1529" i="42"/>
  <c r="N1529" i="42" l="1"/>
  <c r="P1529" i="42" s="1"/>
  <c r="A1530" i="42"/>
  <c r="N1530" i="42" l="1"/>
  <c r="P1530" i="42" s="1"/>
  <c r="J45" i="12" s="1"/>
  <c r="A1531" i="42"/>
  <c r="N1531" i="42" l="1"/>
  <c r="P1531" i="42" s="1"/>
  <c r="A1532" i="42"/>
  <c r="K45" i="12"/>
  <c r="A45" i="12"/>
  <c r="N1532" i="42" l="1"/>
  <c r="P1532" i="42" s="1"/>
  <c r="A1533" i="42"/>
  <c r="N1533" i="42" l="1"/>
  <c r="P1533" i="42" s="1"/>
  <c r="A1534" i="42"/>
  <c r="N1534" i="42" l="1"/>
  <c r="P1534" i="42" s="1"/>
  <c r="A1535" i="42"/>
  <c r="N1535" i="42" l="1"/>
  <c r="P1535" i="42" s="1"/>
  <c r="A1536" i="42"/>
  <c r="N1536" i="42" l="1"/>
  <c r="P1536" i="42" s="1"/>
  <c r="A1537" i="42"/>
  <c r="N1537" i="42" l="1"/>
  <c r="P1537" i="42" s="1"/>
  <c r="A1538" i="42"/>
  <c r="N1538" i="42" l="1"/>
  <c r="P1538" i="42" s="1"/>
  <c r="A1539" i="42"/>
  <c r="N1539" i="42" l="1"/>
  <c r="P1539" i="42" s="1"/>
  <c r="A1540" i="42"/>
  <c r="A1541" i="42" s="1"/>
  <c r="A1542" i="42" s="1"/>
  <c r="A1543" i="42" s="1"/>
  <c r="A1544" i="42" s="1"/>
  <c r="N1544" i="42" l="1"/>
  <c r="P1544" i="42" s="1"/>
  <c r="A1545" i="42"/>
  <c r="N1545" i="42" l="1"/>
  <c r="P1545" i="42" s="1"/>
  <c r="A1546" i="42"/>
  <c r="N1546" i="42" l="1"/>
  <c r="P1546" i="42" s="1"/>
  <c r="A1547" i="42"/>
  <c r="N1547" i="42" l="1"/>
  <c r="P1547" i="42" s="1"/>
  <c r="Q611" i="66" s="1"/>
  <c r="A1548" i="42"/>
  <c r="N1548" i="42" l="1"/>
  <c r="P1548" i="42" s="1"/>
  <c r="A1549" i="42"/>
  <c r="R611" i="66"/>
  <c r="AC611" i="66"/>
  <c r="N1549" i="42" l="1"/>
  <c r="P1549" i="42" s="1"/>
  <c r="A1550" i="42"/>
  <c r="N1550" i="42" l="1"/>
  <c r="P1550" i="42" s="1"/>
  <c r="A1551" i="42"/>
  <c r="N1551" i="42" l="1"/>
  <c r="P1551" i="42" s="1"/>
  <c r="A1552" i="42"/>
  <c r="N1552" i="42" l="1"/>
  <c r="P1552" i="42" s="1"/>
  <c r="A1553" i="42"/>
  <c r="N1553" i="42" l="1"/>
  <c r="P1553" i="42" s="1"/>
  <c r="A1554" i="42"/>
  <c r="N1554" i="42" l="1"/>
  <c r="P1554" i="42" s="1"/>
  <c r="A1555" i="42"/>
  <c r="N1555" i="42" l="1"/>
  <c r="P1555" i="42" s="1"/>
  <c r="A1556" i="42"/>
  <c r="N1556" i="42" l="1"/>
  <c r="P1556" i="42" s="1"/>
  <c r="A1557" i="42"/>
  <c r="N1557" i="42" l="1"/>
  <c r="P1557" i="42" s="1"/>
  <c r="A1558" i="42"/>
  <c r="N1558" i="42" l="1"/>
  <c r="P1558" i="42" s="1"/>
  <c r="A1559" i="42"/>
  <c r="N1559" i="42" l="1"/>
  <c r="P1559" i="42" s="1"/>
  <c r="A1560" i="42"/>
  <c r="N1560" i="42" l="1"/>
  <c r="P1560" i="42" s="1"/>
  <c r="A1561" i="42"/>
  <c r="N1561" i="42" l="1"/>
  <c r="P1561" i="42" s="1"/>
  <c r="A1562" i="42"/>
  <c r="N1562" i="42" l="1"/>
  <c r="P1562" i="42" s="1"/>
  <c r="A1563" i="42"/>
  <c r="N1563" i="42" l="1"/>
  <c r="P1563" i="42" s="1"/>
  <c r="A1564" i="42"/>
  <c r="N1564" i="42" l="1"/>
  <c r="P1564" i="42" s="1"/>
  <c r="A1565" i="42"/>
  <c r="N1565" i="42" l="1"/>
  <c r="P1565" i="42" s="1"/>
  <c r="A1566" i="42"/>
  <c r="N1566" i="42" l="1"/>
  <c r="P1566" i="42" s="1"/>
  <c r="A1567" i="42"/>
  <c r="N1567" i="42" l="1"/>
  <c r="P1567" i="42" s="1"/>
  <c r="A1568" i="42"/>
  <c r="N1568" i="42" l="1"/>
  <c r="P1568" i="42" s="1"/>
  <c r="A1569" i="42"/>
  <c r="N1569" i="42" l="1"/>
  <c r="P1569" i="42" s="1"/>
  <c r="A1570" i="42"/>
  <c r="N1570" i="42" l="1"/>
  <c r="P1570" i="42" s="1"/>
  <c r="A1571" i="42"/>
  <c r="N1571" i="42" l="1"/>
  <c r="P1571" i="42" s="1"/>
  <c r="Q553" i="66" s="1"/>
  <c r="A1572" i="42"/>
  <c r="N1572" i="42" l="1"/>
  <c r="P1572" i="42" s="1"/>
  <c r="A1573" i="42"/>
  <c r="AC553" i="66"/>
  <c r="R553" i="66"/>
  <c r="N1573" i="42" l="1"/>
  <c r="P1573" i="42" s="1"/>
  <c r="A1574" i="42"/>
  <c r="N1574" i="42" l="1"/>
  <c r="P1574" i="42" s="1"/>
  <c r="A1575" i="42"/>
  <c r="N1575" i="42" l="1"/>
  <c r="P1575" i="42" s="1"/>
  <c r="A1576" i="42"/>
  <c r="N1576" i="42" l="1"/>
  <c r="P1576" i="42" s="1"/>
  <c r="A1577" i="42"/>
  <c r="N1577" i="42" l="1"/>
  <c r="P1577" i="42" s="1"/>
  <c r="A1578" i="42"/>
  <c r="N1578" i="42" l="1"/>
  <c r="P1578" i="42" s="1"/>
  <c r="A1579" i="42"/>
  <c r="N1579" i="42" l="1"/>
  <c r="P1579" i="42" s="1"/>
  <c r="A1580" i="42"/>
  <c r="N1580" i="42" l="1"/>
  <c r="P1580" i="42" s="1"/>
  <c r="A1581" i="42"/>
  <c r="N1581" i="42" l="1"/>
  <c r="P1581" i="42" s="1"/>
  <c r="A1582" i="42"/>
  <c r="N1582" i="42" l="1"/>
  <c r="P1582" i="42" s="1"/>
  <c r="Q228" i="66" s="1"/>
  <c r="A1583" i="42"/>
  <c r="N1583" i="42" l="1"/>
  <c r="P1583" i="42" s="1"/>
  <c r="A1584" i="42"/>
  <c r="R228" i="66"/>
  <c r="AC228" i="66"/>
  <c r="N1584" i="42" l="1"/>
  <c r="P1584" i="42" s="1"/>
  <c r="A1585" i="42"/>
  <c r="N1585" i="42" l="1"/>
  <c r="P1585" i="42" s="1"/>
  <c r="A1586" i="42"/>
  <c r="N1586" i="42" l="1"/>
  <c r="P1586" i="42" s="1"/>
  <c r="Q803" i="66" s="1"/>
  <c r="A1587" i="42"/>
  <c r="N1587" i="42" l="1"/>
  <c r="P1587" i="42" s="1"/>
  <c r="A1588" i="42"/>
  <c r="AC803" i="66"/>
  <c r="R803" i="66"/>
  <c r="N1588" i="42" l="1"/>
  <c r="P1588" i="42" s="1"/>
  <c r="A1589" i="42"/>
  <c r="N1589" i="42" l="1"/>
  <c r="P1589" i="42" s="1"/>
  <c r="A1590" i="42"/>
  <c r="N1590" i="42" l="1"/>
  <c r="P1590" i="42" s="1"/>
  <c r="A1591" i="42"/>
  <c r="N1591" i="42" l="1"/>
  <c r="P1591" i="42" s="1"/>
  <c r="A1592" i="42"/>
  <c r="N1592" i="42" l="1"/>
  <c r="P1592" i="42" s="1"/>
  <c r="A1593" i="42"/>
  <c r="N1593" i="42" l="1"/>
  <c r="P1593" i="42" s="1"/>
  <c r="A1594" i="42"/>
  <c r="N1594" i="42" l="1"/>
  <c r="P1594" i="42" s="1"/>
  <c r="A1595" i="42"/>
  <c r="N1595" i="42" l="1"/>
  <c r="P1595" i="42" s="1"/>
  <c r="A1596" i="42"/>
  <c r="N1596" i="42" l="1"/>
  <c r="P1596" i="42" s="1"/>
  <c r="A1597" i="42"/>
  <c r="N1597" i="42" l="1"/>
  <c r="P1597" i="42" s="1"/>
  <c r="A1598" i="42"/>
  <c r="N1598" i="42" l="1"/>
  <c r="P1598" i="42" s="1"/>
  <c r="A1599" i="42"/>
  <c r="N1599" i="42" l="1"/>
  <c r="P1599" i="42" s="1"/>
  <c r="A1600" i="42"/>
  <c r="N1600" i="42" l="1"/>
  <c r="P1600" i="42" s="1"/>
  <c r="A1601" i="42"/>
  <c r="N1601" i="42" l="1"/>
  <c r="P1601" i="42" s="1"/>
  <c r="A1602" i="42"/>
  <c r="N1602" i="42" l="1"/>
  <c r="P1602" i="42" s="1"/>
  <c r="A1603" i="42"/>
  <c r="N1603" i="42" l="1"/>
  <c r="P1603" i="42" s="1"/>
  <c r="A1604" i="42"/>
  <c r="N1604" i="42" l="1"/>
  <c r="P1604" i="42" s="1"/>
  <c r="A1605" i="42"/>
  <c r="N1605" i="42" l="1"/>
  <c r="P1605" i="42" s="1"/>
  <c r="Q549" i="66" s="1"/>
  <c r="A1606" i="42"/>
  <c r="N1606" i="42" l="1"/>
  <c r="P1606" i="42" s="1"/>
  <c r="A1607" i="42"/>
  <c r="AC549" i="66"/>
  <c r="R549" i="66"/>
  <c r="N1607" i="42" l="1"/>
  <c r="P1607" i="42" s="1"/>
  <c r="A1608" i="42"/>
  <c r="N1608" i="42" l="1"/>
  <c r="P1608" i="42" s="1"/>
  <c r="A1609" i="42"/>
  <c r="N1609" i="42" l="1"/>
  <c r="P1609" i="42" s="1"/>
  <c r="A1610" i="42"/>
  <c r="N1610" i="42" l="1"/>
  <c r="P1610" i="42" s="1"/>
  <c r="A1611" i="42"/>
  <c r="N1611" i="42" l="1"/>
  <c r="P1611" i="42" s="1"/>
  <c r="A1612" i="42"/>
  <c r="N1612" i="42" l="1"/>
  <c r="P1612" i="42" s="1"/>
  <c r="A1613" i="42"/>
  <c r="N1613" i="42" l="1"/>
  <c r="P1613" i="42" s="1"/>
  <c r="A1614" i="42"/>
  <c r="N1614" i="42" l="1"/>
  <c r="P1614" i="42" s="1"/>
  <c r="A1615" i="42"/>
  <c r="N1615" i="42" l="1"/>
  <c r="P1615" i="42" s="1"/>
  <c r="A1616" i="42"/>
  <c r="N1616" i="42" l="1"/>
  <c r="P1616" i="42" s="1"/>
  <c r="A1617" i="42"/>
  <c r="N1617" i="42" l="1"/>
  <c r="P1617" i="42" s="1"/>
  <c r="A1618" i="42"/>
  <c r="N1618" i="42" l="1"/>
  <c r="P1618" i="42" s="1"/>
  <c r="A1619" i="42"/>
  <c r="N1619" i="42" l="1"/>
  <c r="P1619" i="42" s="1"/>
  <c r="A1620" i="42"/>
  <c r="N1620" i="42" l="1"/>
  <c r="P1620" i="42" s="1"/>
  <c r="A1621" i="42"/>
  <c r="N1621" i="42" l="1"/>
  <c r="P1621" i="42" s="1"/>
  <c r="A1622" i="42"/>
  <c r="N1622" i="42" l="1"/>
  <c r="P1622" i="42" s="1"/>
  <c r="A1623" i="42"/>
  <c r="N1623" i="42" l="1"/>
  <c r="P1623" i="42" s="1"/>
  <c r="A1624" i="42"/>
  <c r="N1624" i="42" l="1"/>
  <c r="P1624" i="42" s="1"/>
  <c r="A1625" i="42"/>
  <c r="N1625" i="42" l="1"/>
  <c r="P1625" i="42" s="1"/>
  <c r="A1626" i="42"/>
  <c r="N1626" i="42" l="1"/>
  <c r="P1626" i="42" s="1"/>
  <c r="A1627" i="42"/>
  <c r="N1627" i="42" l="1"/>
  <c r="P1627" i="42" s="1"/>
  <c r="A1628" i="42"/>
  <c r="N1628" i="42" l="1"/>
  <c r="P1628" i="42" s="1"/>
  <c r="A1629" i="42"/>
  <c r="N1629" i="42" l="1"/>
  <c r="P1629" i="42" s="1"/>
  <c r="A1630" i="42"/>
  <c r="N1630" i="42" l="1"/>
  <c r="P1630" i="42" s="1"/>
  <c r="A1631" i="42"/>
  <c r="N1631" i="42" l="1"/>
  <c r="P1631" i="42" s="1"/>
  <c r="A1632" i="42"/>
  <c r="N1632" i="42" l="1"/>
  <c r="P1632" i="42" s="1"/>
  <c r="A1633" i="42"/>
  <c r="N1633" i="42" l="1"/>
  <c r="P1633" i="42" s="1"/>
  <c r="A1634" i="42"/>
  <c r="N1634" i="42" l="1"/>
  <c r="P1634" i="42" s="1"/>
  <c r="A1635" i="42"/>
  <c r="N1635" i="42" l="1"/>
  <c r="P1635" i="42" s="1"/>
  <c r="A1636" i="42"/>
  <c r="N1636" i="42" l="1"/>
  <c r="P1636" i="42" s="1"/>
  <c r="A1637" i="42"/>
  <c r="N1637" i="42" l="1"/>
  <c r="P1637" i="42" s="1"/>
  <c r="A1638" i="42"/>
  <c r="N1638" i="42" l="1"/>
  <c r="P1638" i="42" s="1"/>
  <c r="A1639" i="42"/>
  <c r="N1639" i="42" l="1"/>
  <c r="P1639" i="42" s="1"/>
  <c r="A1640" i="42"/>
  <c r="N1640" i="42" l="1"/>
  <c r="P1640" i="42" s="1"/>
  <c r="A1641" i="42"/>
  <c r="N1641" i="42" l="1"/>
  <c r="P1641" i="42" s="1"/>
  <c r="A1642" i="42"/>
  <c r="N1642" i="42" l="1"/>
  <c r="P1642" i="42" s="1"/>
  <c r="A1643" i="42"/>
  <c r="N1643" i="42" l="1"/>
  <c r="P1643" i="42" s="1"/>
  <c r="A1644" i="42"/>
  <c r="N1644" i="42" l="1"/>
  <c r="P1644" i="42" s="1"/>
  <c r="A1645" i="42"/>
  <c r="N1645" i="42" l="1"/>
  <c r="P1645" i="42" s="1"/>
  <c r="A1646" i="42"/>
  <c r="N1646" i="42" l="1"/>
  <c r="P1646" i="42" s="1"/>
  <c r="A1647" i="42"/>
  <c r="N1647" i="42" l="1"/>
  <c r="P1647" i="42" s="1"/>
  <c r="A1648" i="42"/>
  <c r="N1648" i="42" l="1"/>
  <c r="P1648" i="42" s="1"/>
  <c r="A1649" i="42"/>
  <c r="N1649" i="42" l="1"/>
  <c r="P1649" i="42" s="1"/>
  <c r="A1650" i="42"/>
  <c r="N1650" i="42" l="1"/>
  <c r="P1650" i="42" s="1"/>
  <c r="A1651" i="42"/>
  <c r="N1651" i="42" l="1"/>
  <c r="P1651" i="42" s="1"/>
  <c r="A1652" i="42"/>
  <c r="N1652" i="42" l="1"/>
  <c r="P1652" i="42" s="1"/>
  <c r="A1653" i="42"/>
  <c r="N1653" i="42" l="1"/>
  <c r="P1653" i="42" s="1"/>
  <c r="A1654" i="42"/>
  <c r="N1654" i="42" l="1"/>
  <c r="P1654" i="42" s="1"/>
  <c r="A1655" i="42"/>
  <c r="N1655" i="42" l="1"/>
  <c r="P1655" i="42" s="1"/>
  <c r="A1656" i="42"/>
  <c r="N1656" i="42" l="1"/>
  <c r="P1656" i="42" s="1"/>
  <c r="A1657" i="42"/>
  <c r="N1657" i="42" l="1"/>
  <c r="P1657" i="42" s="1"/>
  <c r="A1658" i="42"/>
  <c r="N1658" i="42" l="1"/>
  <c r="P1658" i="42" s="1"/>
  <c r="A1659" i="42"/>
  <c r="N1659" i="42" l="1"/>
  <c r="P1659" i="42" s="1"/>
  <c r="A1660" i="42"/>
  <c r="N1660" i="42" l="1"/>
  <c r="P1660" i="42" s="1"/>
  <c r="A1661" i="42"/>
  <c r="N1661" i="42" l="1"/>
  <c r="P1661" i="42" s="1"/>
  <c r="A1662" i="42"/>
  <c r="N1662" i="42" l="1"/>
  <c r="P1662" i="42" s="1"/>
  <c r="A1663" i="42"/>
  <c r="N1663" i="42" l="1"/>
  <c r="P1663" i="42" s="1"/>
  <c r="A1664" i="42"/>
  <c r="N1664" i="42" l="1"/>
  <c r="P1664" i="42" s="1"/>
  <c r="A1665" i="42"/>
  <c r="N1665" i="42" l="1"/>
  <c r="P1665" i="42" s="1"/>
  <c r="A1666" i="42"/>
  <c r="N1666" i="42" l="1"/>
  <c r="P1666" i="42" s="1"/>
  <c r="A1667" i="42"/>
  <c r="N1667" i="42" l="1"/>
  <c r="P1667" i="42" s="1"/>
  <c r="A1668" i="42"/>
  <c r="N1668" i="42" l="1"/>
  <c r="P1668" i="42" s="1"/>
  <c r="A1669" i="42"/>
  <c r="N1669" i="42" l="1"/>
  <c r="P1669" i="42" s="1"/>
  <c r="A1670" i="42"/>
  <c r="N1670" i="42" l="1"/>
  <c r="P1670" i="42" s="1"/>
  <c r="A1671" i="42"/>
  <c r="N1671" i="42" l="1"/>
  <c r="P1671" i="42" s="1"/>
  <c r="A1672" i="42"/>
  <c r="N1672" i="42" l="1"/>
  <c r="P1672" i="42" s="1"/>
  <c r="A1673" i="42"/>
  <c r="N1673" i="42" l="1"/>
  <c r="P1673" i="42" s="1"/>
  <c r="A1674" i="42"/>
  <c r="N1674" i="42" l="1"/>
  <c r="P1674" i="42" s="1"/>
  <c r="A1675" i="42"/>
  <c r="N1675" i="42" l="1"/>
  <c r="P1675" i="42" s="1"/>
  <c r="A1676" i="42"/>
  <c r="N1676" i="42" l="1"/>
  <c r="P1676" i="42" s="1"/>
  <c r="A1677" i="42"/>
  <c r="N1677" i="42" l="1"/>
  <c r="P1677" i="42" s="1"/>
  <c r="A1678" i="42"/>
  <c r="N1678" i="42" l="1"/>
  <c r="P1678" i="42" s="1"/>
  <c r="A1679" i="42"/>
  <c r="N1679" i="42" l="1"/>
  <c r="P1679" i="42" s="1"/>
  <c r="A1680" i="42"/>
  <c r="N1680" i="42" l="1"/>
  <c r="P1680" i="42" s="1"/>
  <c r="A1681" i="42"/>
  <c r="N1681" i="42" l="1"/>
  <c r="P1681" i="42" s="1"/>
  <c r="A1682" i="42"/>
  <c r="N1682" i="42" l="1"/>
  <c r="P1682" i="42" s="1"/>
  <c r="A1683" i="42"/>
  <c r="N1683" i="42" l="1"/>
  <c r="P1683" i="42" s="1"/>
  <c r="A1684" i="42"/>
  <c r="N1684" i="42" l="1"/>
  <c r="P1684" i="42" s="1"/>
  <c r="A1685" i="42"/>
  <c r="N1685" i="42" l="1"/>
  <c r="P1685" i="42" s="1"/>
  <c r="A1686" i="42"/>
  <c r="N1686" i="42" l="1"/>
  <c r="P1686" i="42" s="1"/>
  <c r="A1687" i="42"/>
  <c r="N1687" i="42" l="1"/>
  <c r="P1687" i="42" s="1"/>
  <c r="A1688" i="42"/>
  <c r="N1688" i="42" l="1"/>
  <c r="P1688" i="42" s="1"/>
  <c r="A1689" i="42"/>
  <c r="N1689" i="42" l="1"/>
  <c r="P1689" i="42" s="1"/>
  <c r="A1690" i="42"/>
  <c r="N1690" i="42" l="1"/>
  <c r="P1690" i="42" s="1"/>
  <c r="A1691" i="42"/>
  <c r="N1691" i="42" l="1"/>
  <c r="P1691" i="42" s="1"/>
  <c r="A1692" i="42"/>
  <c r="N1692" i="42" l="1"/>
  <c r="P1692" i="42" s="1"/>
  <c r="A1693" i="42"/>
  <c r="N1693" i="42" l="1"/>
  <c r="P1693" i="42" s="1"/>
  <c r="A1694" i="42"/>
  <c r="N1694" i="42" l="1"/>
  <c r="P1694" i="42" s="1"/>
  <c r="A1695" i="42"/>
  <c r="N1695" i="42" l="1"/>
  <c r="P1695" i="42" s="1"/>
  <c r="A1696" i="42"/>
  <c r="N1696" i="42" l="1"/>
  <c r="P1696" i="42" s="1"/>
  <c r="A1697" i="42"/>
  <c r="N1697" i="42" l="1"/>
  <c r="P1697" i="42" s="1"/>
  <c r="A1698" i="42"/>
  <c r="N1698" i="42" l="1"/>
  <c r="P1698" i="42" s="1"/>
  <c r="A1699" i="42"/>
  <c r="N1699" i="42" l="1"/>
  <c r="P1699" i="42" s="1"/>
  <c r="A1700" i="42"/>
  <c r="N1700" i="42" l="1"/>
  <c r="P1700" i="42" s="1"/>
  <c r="A1701" i="42"/>
  <c r="N1701" i="42" l="1"/>
  <c r="P1701" i="42" s="1"/>
  <c r="A1702" i="42"/>
  <c r="N1702" i="42" l="1"/>
  <c r="P1702" i="42" s="1"/>
  <c r="A1703" i="42"/>
  <c r="N1703" i="42" l="1"/>
  <c r="P1703" i="42" s="1"/>
  <c r="A1704" i="42"/>
  <c r="N1704" i="42" l="1"/>
  <c r="P1704" i="42" s="1"/>
  <c r="A1705" i="42"/>
  <c r="N1705" i="42" l="1"/>
  <c r="P1705" i="42" s="1"/>
  <c r="A1706" i="42"/>
  <c r="N1706" i="42" l="1"/>
  <c r="P1706" i="42" s="1"/>
  <c r="A1707" i="42"/>
  <c r="N1707" i="42" l="1"/>
  <c r="P1707" i="42" s="1"/>
  <c r="A1708" i="42"/>
  <c r="N1708" i="42" l="1"/>
  <c r="P1708" i="42" s="1"/>
  <c r="A1709" i="42"/>
  <c r="N1709" i="42" l="1"/>
  <c r="P1709" i="42" s="1"/>
  <c r="A1710" i="42"/>
  <c r="N1710" i="42" l="1"/>
  <c r="P1710" i="42" s="1"/>
  <c r="A1711" i="42"/>
  <c r="N1711" i="42" l="1"/>
  <c r="P1711" i="42" s="1"/>
  <c r="A1712" i="42"/>
  <c r="N1712" i="42" l="1"/>
  <c r="P1712" i="42" s="1"/>
  <c r="A1713" i="42"/>
  <c r="N1713" i="42" l="1"/>
  <c r="P1713" i="42" s="1"/>
  <c r="A1714" i="42"/>
  <c r="N1714" i="42" l="1"/>
  <c r="P1714" i="42" s="1"/>
  <c r="A1715" i="42"/>
  <c r="N1715" i="42" l="1"/>
  <c r="P1715" i="42" s="1"/>
  <c r="A1716" i="42"/>
  <c r="N1716" i="42" l="1"/>
  <c r="P1716" i="42" s="1"/>
  <c r="A1717" i="42"/>
  <c r="N1717" i="42" l="1"/>
  <c r="P1717" i="42" s="1"/>
  <c r="A1718" i="42"/>
  <c r="N1718" i="42" l="1"/>
  <c r="P1718" i="42" s="1"/>
  <c r="A1719" i="42"/>
  <c r="N1719" i="42" l="1"/>
  <c r="P1719" i="42" s="1"/>
  <c r="J46" i="12" s="1"/>
  <c r="A1720" i="42"/>
  <c r="N1720" i="42" l="1"/>
  <c r="P1720" i="42" s="1"/>
  <c r="A1721" i="42"/>
  <c r="K46" i="12"/>
  <c r="A46" i="12"/>
  <c r="N1721" i="42" l="1"/>
  <c r="P1721" i="42" s="1"/>
  <c r="A1722" i="42"/>
  <c r="N1722" i="42" l="1"/>
  <c r="P1722" i="42" s="1"/>
  <c r="A1723" i="42"/>
  <c r="N1723" i="42" l="1"/>
  <c r="P1723" i="42" s="1"/>
  <c r="A1724" i="42"/>
  <c r="N1724" i="42" l="1"/>
  <c r="P1724" i="42" s="1"/>
  <c r="A1725" i="42"/>
  <c r="N1725" i="42" l="1"/>
  <c r="P1725" i="42" s="1"/>
  <c r="A1726" i="42"/>
  <c r="N1726" i="42" l="1"/>
  <c r="P1726" i="42" s="1"/>
  <c r="A1727" i="42"/>
  <c r="N1727" i="42" l="1"/>
  <c r="P1727" i="42" s="1"/>
  <c r="A1728" i="42"/>
  <c r="N1728" i="42" l="1"/>
  <c r="P1728" i="42" s="1"/>
  <c r="Q615" i="66" s="1"/>
  <c r="A1729" i="42"/>
  <c r="N1729" i="42" l="1"/>
  <c r="P1729" i="42" s="1"/>
  <c r="A1730" i="42"/>
  <c r="AC615" i="66"/>
  <c r="R615" i="66"/>
  <c r="N1730" i="42" l="1"/>
  <c r="P1730" i="42" s="1"/>
  <c r="A1731" i="42"/>
  <c r="N1731" i="42" l="1"/>
  <c r="P1731" i="42" s="1"/>
  <c r="A1732" i="42"/>
  <c r="N1732" i="42" l="1"/>
  <c r="P1732" i="42" s="1"/>
  <c r="A1733" i="42"/>
  <c r="N1733" i="42" l="1"/>
  <c r="P1733" i="42" s="1"/>
  <c r="A1734" i="42"/>
  <c r="N1734" i="42" l="1"/>
  <c r="P1734" i="42" s="1"/>
  <c r="A1735" i="42"/>
  <c r="N1735" i="42" l="1"/>
  <c r="P1735" i="42" s="1"/>
  <c r="A1736" i="42"/>
  <c r="N1736" i="42" l="1"/>
  <c r="P1736" i="42" s="1"/>
  <c r="A1737" i="42"/>
  <c r="N1737" i="42" l="1"/>
  <c r="P1737" i="42" s="1"/>
  <c r="A1738" i="42"/>
  <c r="N1738" i="42" l="1"/>
  <c r="P1738" i="42" s="1"/>
  <c r="A1739" i="42"/>
  <c r="N1739" i="42" l="1"/>
  <c r="P1739" i="42" s="1"/>
  <c r="A1740" i="42"/>
  <c r="N1740" i="42" l="1"/>
  <c r="P1740" i="42" s="1"/>
  <c r="A1741" i="42"/>
  <c r="N1741" i="42" l="1"/>
  <c r="P1741" i="42" s="1"/>
  <c r="A1742" i="42"/>
  <c r="N1742" i="42" l="1"/>
  <c r="P1742" i="42" s="1"/>
  <c r="A1743" i="42"/>
  <c r="N1743" i="42" l="1"/>
  <c r="P1743" i="42" s="1"/>
  <c r="A1744" i="42"/>
  <c r="J279" i="12"/>
  <c r="A279" i="12" l="1"/>
  <c r="K279" i="12"/>
  <c r="N1744" i="42"/>
  <c r="P1744" i="42" s="1"/>
  <c r="A1745" i="42"/>
  <c r="N1745" i="42" l="1"/>
  <c r="P1745" i="42" s="1"/>
  <c r="A1746" i="42"/>
  <c r="N1746" i="42" l="1"/>
  <c r="P1746" i="42" s="1"/>
  <c r="A1747" i="42"/>
  <c r="N1747" i="42" l="1"/>
  <c r="P1747" i="42" s="1"/>
  <c r="A1748" i="42"/>
  <c r="N1748" i="42" l="1"/>
  <c r="P1748" i="42" s="1"/>
  <c r="A1749" i="42"/>
  <c r="N1749" i="42" l="1"/>
  <c r="P1749" i="42" s="1"/>
  <c r="A1750" i="42"/>
  <c r="N1750" i="42" l="1"/>
  <c r="P1750" i="42" s="1"/>
  <c r="A1751" i="42"/>
  <c r="N1751" i="42" l="1"/>
  <c r="P1751" i="42" s="1"/>
  <c r="A1752" i="42"/>
  <c r="N1752" i="42" l="1"/>
  <c r="P1752" i="42" s="1"/>
  <c r="A1753" i="42"/>
  <c r="N1753" i="42" l="1"/>
  <c r="P1753" i="42" s="1"/>
  <c r="A1754" i="42"/>
  <c r="N1754" i="42" l="1"/>
  <c r="P1754" i="42" s="1"/>
  <c r="A1755" i="42"/>
  <c r="N1755" i="42" l="1"/>
  <c r="P1755" i="42" s="1"/>
  <c r="A1756" i="42"/>
  <c r="N1756" i="42" l="1"/>
  <c r="P1756" i="42" s="1"/>
  <c r="A1757" i="42"/>
  <c r="N1757" i="42" l="1"/>
  <c r="P1757" i="42" s="1"/>
  <c r="A1758" i="42"/>
  <c r="N1758" i="42" l="1"/>
  <c r="P1758" i="42" s="1"/>
  <c r="A1759" i="42"/>
  <c r="N1759" i="42" l="1"/>
  <c r="P1759" i="42" s="1"/>
  <c r="A1760" i="42"/>
  <c r="N1760" i="42" l="1"/>
  <c r="P1760" i="42" s="1"/>
  <c r="A1761" i="42"/>
  <c r="N1761" i="42" l="1"/>
  <c r="P1761" i="42" s="1"/>
  <c r="A1762" i="42"/>
  <c r="N1762" i="42" l="1"/>
  <c r="P1762" i="42" s="1"/>
  <c r="A1763" i="42"/>
  <c r="N1763" i="42" l="1"/>
  <c r="P1763" i="42" s="1"/>
  <c r="A1764" i="42"/>
  <c r="N1764" i="42" l="1"/>
  <c r="P1764" i="42" s="1"/>
  <c r="A1765" i="42"/>
  <c r="N1765" i="42" l="1"/>
  <c r="P1765" i="42" s="1"/>
  <c r="A1766" i="42"/>
  <c r="N1766" i="42" l="1"/>
  <c r="P1766" i="42" s="1"/>
  <c r="A1767" i="42"/>
  <c r="N1767" i="42" l="1"/>
  <c r="P1767" i="42" s="1"/>
  <c r="A1768" i="42"/>
  <c r="N1768" i="42" l="1"/>
  <c r="P1768" i="42" s="1"/>
  <c r="A1769" i="42"/>
  <c r="N1769" i="42" l="1"/>
  <c r="P1769" i="42" s="1"/>
  <c r="A1770" i="42"/>
  <c r="N1770" i="42" l="1"/>
  <c r="P1770" i="42" s="1"/>
  <c r="A1771" i="42"/>
  <c r="N1771" i="42" l="1"/>
  <c r="P1771" i="42" s="1"/>
  <c r="A1772" i="42"/>
  <c r="N1772" i="42" l="1"/>
  <c r="P1772" i="42" s="1"/>
  <c r="A1773" i="42"/>
  <c r="N1773" i="42" l="1"/>
  <c r="P1773" i="42" s="1"/>
  <c r="A1774" i="42"/>
  <c r="N1774" i="42" l="1"/>
  <c r="P1774" i="42" s="1"/>
  <c r="A1775" i="42"/>
  <c r="N1775" i="42" l="1"/>
  <c r="P1775" i="42" s="1"/>
  <c r="A1776" i="42"/>
  <c r="A1777" i="42" s="1"/>
  <c r="A1778" i="42" s="1"/>
  <c r="A1779" i="42" s="1"/>
  <c r="A1780" i="42" s="1"/>
  <c r="A1781" i="42" s="1"/>
  <c r="A1782" i="42" s="1"/>
  <c r="A1783" i="42" s="1"/>
  <c r="A1784" i="42" s="1"/>
  <c r="A1785" i="42" s="1"/>
  <c r="N1785" i="42" l="1"/>
  <c r="P1785" i="42" s="1"/>
  <c r="A1786" i="42"/>
  <c r="N1786" i="42" l="1"/>
  <c r="P1786" i="42" s="1"/>
  <c r="A1787" i="42"/>
  <c r="N1787" i="42" l="1"/>
  <c r="P1787" i="42" s="1"/>
  <c r="A1788" i="42"/>
  <c r="N1788" i="42" l="1"/>
  <c r="P1788" i="42" s="1"/>
  <c r="A1789" i="42"/>
  <c r="N1789" i="42" l="1"/>
  <c r="P1789" i="42" s="1"/>
  <c r="A1790" i="42"/>
  <c r="N1790" i="42" l="1"/>
  <c r="P1790" i="42" s="1"/>
  <c r="A1791" i="42"/>
  <c r="N1791" i="42" l="1"/>
  <c r="P1791" i="42" s="1"/>
  <c r="A1792" i="42"/>
  <c r="N1792" i="42" l="1"/>
  <c r="P1792" i="42" s="1"/>
  <c r="A1793" i="42"/>
  <c r="N1793" i="42" l="1"/>
  <c r="P1793" i="42" s="1"/>
  <c r="A1794" i="42"/>
  <c r="N1794" i="42" l="1"/>
  <c r="P1794" i="42" s="1"/>
  <c r="A1795" i="42"/>
  <c r="N1795" i="42" l="1"/>
  <c r="P1795" i="42" s="1"/>
  <c r="A1796" i="42"/>
  <c r="N1796" i="42" l="1"/>
  <c r="P1796" i="42" s="1"/>
  <c r="A1797" i="42"/>
  <c r="N1797" i="42" l="1"/>
  <c r="P1797" i="42" s="1"/>
  <c r="A1798" i="42"/>
  <c r="N1798" i="42" l="1"/>
  <c r="P1798" i="42" s="1"/>
  <c r="A1799" i="42"/>
  <c r="N1799" i="42" l="1"/>
  <c r="P1799" i="42" s="1"/>
  <c r="A1800" i="42"/>
  <c r="N1800" i="42" l="1"/>
  <c r="P1800" i="42" s="1"/>
  <c r="A1801" i="42"/>
  <c r="N1801" i="42" l="1"/>
  <c r="P1801" i="42" s="1"/>
  <c r="A1802" i="42"/>
  <c r="N1802" i="42" l="1"/>
  <c r="P1802" i="42" s="1"/>
  <c r="A1803" i="42"/>
  <c r="N1803" i="42" l="1"/>
  <c r="P1803" i="42" s="1"/>
  <c r="A1804" i="42"/>
  <c r="N1804" i="42" l="1"/>
  <c r="P1804" i="42" s="1"/>
  <c r="A1805" i="42"/>
  <c r="N1805" i="42" l="1"/>
  <c r="P1805" i="42" s="1"/>
  <c r="A1806" i="42"/>
  <c r="N1806" i="42" l="1"/>
  <c r="P1806" i="42" s="1"/>
  <c r="A1807" i="42"/>
  <c r="N1807" i="42" l="1"/>
  <c r="P1807" i="42" s="1"/>
  <c r="A1808" i="42"/>
  <c r="N1808" i="42" l="1"/>
  <c r="P1808" i="42" s="1"/>
  <c r="A1809" i="42"/>
  <c r="N1809" i="42" l="1"/>
  <c r="P1809" i="42" s="1"/>
  <c r="A1810" i="42"/>
  <c r="N1810" i="42" l="1"/>
  <c r="P1810" i="42" s="1"/>
  <c r="A1811" i="42"/>
  <c r="N1811" i="42" l="1"/>
  <c r="P1811" i="42" s="1"/>
  <c r="A1812" i="42"/>
  <c r="N1812" i="42" l="1"/>
  <c r="P1812" i="42" s="1"/>
  <c r="A1813" i="42"/>
  <c r="N1813" i="42" l="1"/>
  <c r="P1813" i="42" s="1"/>
  <c r="A1814" i="42"/>
  <c r="N1814" i="42" l="1"/>
  <c r="P1814" i="42" s="1"/>
  <c r="A1815" i="42"/>
  <c r="N1815" i="42" l="1"/>
  <c r="P1815" i="42" s="1"/>
  <c r="A1816" i="42"/>
  <c r="N1816" i="42" l="1"/>
  <c r="P1816" i="42" s="1"/>
  <c r="A1817" i="42"/>
  <c r="N1817" i="42" l="1"/>
  <c r="P1817" i="42" s="1"/>
  <c r="A1818" i="42"/>
  <c r="N1818" i="42" l="1"/>
  <c r="P1818" i="42" s="1"/>
  <c r="A1819" i="42"/>
  <c r="N1819" i="42" l="1"/>
  <c r="P1819" i="42" s="1"/>
  <c r="A1820" i="42"/>
  <c r="N1820" i="42" l="1"/>
  <c r="P1820" i="42" s="1"/>
  <c r="A1821" i="42"/>
  <c r="N1821" i="42" l="1"/>
  <c r="P1821" i="42" s="1"/>
  <c r="A1822" i="42"/>
  <c r="N1822" i="42" l="1"/>
  <c r="P1822" i="42" s="1"/>
  <c r="A1823" i="42"/>
  <c r="N1823" i="42" l="1"/>
  <c r="P1823" i="42" s="1"/>
  <c r="A1824" i="42"/>
  <c r="N1824" i="42" l="1"/>
  <c r="P1824" i="42" s="1"/>
  <c r="A1825" i="42"/>
  <c r="N1825" i="42" l="1"/>
  <c r="P1825" i="42" s="1"/>
  <c r="A1826" i="42"/>
  <c r="N1826" i="42" l="1"/>
  <c r="P1826" i="42" s="1"/>
  <c r="A1827" i="42"/>
  <c r="N1827" i="42" l="1"/>
  <c r="P1827" i="42" s="1"/>
  <c r="A1828" i="42"/>
  <c r="N1828" i="42" l="1"/>
  <c r="P1828" i="42" s="1"/>
  <c r="A1829" i="42"/>
  <c r="N1829" i="42" l="1"/>
  <c r="P1829" i="42" s="1"/>
  <c r="A1830" i="42"/>
  <c r="N1830" i="42" l="1"/>
  <c r="P1830" i="42" s="1"/>
  <c r="A1831" i="42"/>
  <c r="N1831" i="42" l="1"/>
  <c r="P1831" i="42" s="1"/>
  <c r="A1832" i="42"/>
  <c r="N1832" i="42" l="1"/>
  <c r="P1832" i="42" s="1"/>
  <c r="A1833" i="42"/>
  <c r="N1833" i="42" l="1"/>
  <c r="P1833" i="42" s="1"/>
  <c r="A1834" i="42"/>
  <c r="N1834" i="42" l="1"/>
  <c r="P1834" i="42" s="1"/>
  <c r="A1835" i="42"/>
  <c r="N1835" i="42" l="1"/>
  <c r="P1835" i="42" s="1"/>
  <c r="A1836" i="42"/>
  <c r="N1836" i="42" l="1"/>
  <c r="P1836" i="42" s="1"/>
  <c r="A1837" i="42"/>
  <c r="N1837" i="42" l="1"/>
  <c r="P1837" i="42" s="1"/>
  <c r="A1838" i="42"/>
  <c r="N1838" i="42" l="1"/>
  <c r="P1838" i="42" s="1"/>
  <c r="A1839" i="42"/>
  <c r="N1839" i="42" l="1"/>
  <c r="P1839" i="42" s="1"/>
  <c r="A1840" i="42"/>
  <c r="N1840" i="42" l="1"/>
  <c r="P1840" i="42" s="1"/>
  <c r="A1841" i="42"/>
  <c r="N1841" i="42" l="1"/>
  <c r="P1841" i="42" s="1"/>
  <c r="A1842" i="42"/>
  <c r="N1842" i="42" l="1"/>
  <c r="P1842" i="42" s="1"/>
  <c r="A1843" i="42"/>
  <c r="N1843" i="42" l="1"/>
  <c r="P1843" i="42" s="1"/>
  <c r="A1844" i="42"/>
  <c r="N1844" i="42" l="1"/>
  <c r="P1844" i="42" s="1"/>
  <c r="J165" i="12" s="1"/>
  <c r="A1845" i="42"/>
  <c r="N1845" i="42" l="1"/>
  <c r="P1845" i="42" s="1"/>
  <c r="A1846" i="42"/>
  <c r="K165" i="12"/>
  <c r="A165" i="12"/>
  <c r="N1846" i="42" l="1"/>
  <c r="P1846" i="42" s="1"/>
  <c r="A1847" i="42"/>
  <c r="N1847" i="42" l="1"/>
  <c r="P1847" i="42" s="1"/>
  <c r="A1848" i="42"/>
  <c r="N1848" i="42" l="1"/>
  <c r="P1848" i="42" s="1"/>
  <c r="A1849" i="42"/>
  <c r="N1849" i="42" l="1"/>
  <c r="P1849" i="42" s="1"/>
  <c r="A1850" i="42"/>
  <c r="N1850" i="42" l="1"/>
  <c r="P1850" i="42" s="1"/>
  <c r="A1851" i="42"/>
  <c r="N1851" i="42" l="1"/>
  <c r="P1851" i="42" s="1"/>
  <c r="A1852" i="42"/>
  <c r="N1852" i="42" l="1"/>
  <c r="P1852" i="42" s="1"/>
  <c r="A1853" i="42"/>
  <c r="N1853" i="42" l="1"/>
  <c r="P1853" i="42" s="1"/>
  <c r="A1854" i="42"/>
  <c r="N1854" i="42" l="1"/>
  <c r="P1854" i="42" s="1"/>
  <c r="A1855" i="42"/>
  <c r="N1855" i="42" l="1"/>
  <c r="P1855" i="42" s="1"/>
  <c r="A1856" i="42"/>
  <c r="N1856" i="42" l="1"/>
  <c r="P1856" i="42" s="1"/>
  <c r="A1857" i="42"/>
  <c r="N1857" i="42" l="1"/>
  <c r="P1857" i="42" s="1"/>
  <c r="A1858" i="42"/>
  <c r="N1858" i="42" l="1"/>
  <c r="P1858" i="42" s="1"/>
  <c r="A1859" i="42"/>
  <c r="N1859" i="42" l="1"/>
  <c r="P1859" i="42" s="1"/>
  <c r="A1860" i="42"/>
  <c r="N1860" i="42" l="1"/>
  <c r="P1860" i="42" s="1"/>
  <c r="A1861" i="42"/>
  <c r="N1861" i="42" l="1"/>
  <c r="P1861" i="42" s="1"/>
  <c r="A1862" i="42"/>
  <c r="N1862" i="42" l="1"/>
  <c r="P1862" i="42" s="1"/>
  <c r="A1863" i="42"/>
  <c r="N1863" i="42" l="1"/>
  <c r="P1863" i="42" s="1"/>
  <c r="A1864" i="42"/>
  <c r="N1864" i="42" l="1"/>
  <c r="P1864" i="42" s="1"/>
  <c r="A1865" i="42"/>
  <c r="N1865" i="42" l="1"/>
  <c r="P1865" i="42" s="1"/>
  <c r="A1866" i="42"/>
  <c r="N1866" i="42" l="1"/>
  <c r="P1866" i="42" s="1"/>
  <c r="A1867" i="42"/>
  <c r="N1867" i="42" l="1"/>
  <c r="P1867" i="42" s="1"/>
  <c r="A1868" i="42"/>
  <c r="N1868" i="42" l="1"/>
  <c r="P1868" i="42" s="1"/>
  <c r="A1869" i="42"/>
  <c r="N1869" i="42" l="1"/>
  <c r="P1869" i="42" s="1"/>
  <c r="A1870" i="42"/>
  <c r="N1870" i="42" l="1"/>
  <c r="P1870" i="42" s="1"/>
  <c r="A1871" i="42"/>
  <c r="N1871" i="42" l="1"/>
  <c r="P1871" i="42" s="1"/>
  <c r="A1872" i="42"/>
  <c r="N1872" i="42" l="1"/>
  <c r="P1872" i="42" s="1"/>
  <c r="A1873" i="42"/>
  <c r="N1873" i="42" l="1"/>
  <c r="P1873" i="42" s="1"/>
  <c r="A1874" i="42"/>
  <c r="N1874" i="42" l="1"/>
  <c r="P1874" i="42" s="1"/>
  <c r="A1875" i="42"/>
  <c r="N1875" i="42" l="1"/>
  <c r="P1875" i="42" s="1"/>
  <c r="A1876" i="42"/>
  <c r="N1876" i="42" l="1"/>
  <c r="P1876" i="42" s="1"/>
  <c r="A1877" i="42"/>
  <c r="N1877" i="42" l="1"/>
  <c r="P1877" i="42" s="1"/>
  <c r="A1878" i="42"/>
  <c r="N1878" i="42" l="1"/>
  <c r="P1878" i="42" s="1"/>
  <c r="A1879" i="42"/>
  <c r="N1879" i="42" l="1"/>
  <c r="P1879" i="42" s="1"/>
  <c r="A1880" i="42"/>
  <c r="N1880" i="42" l="1"/>
  <c r="P1880" i="42" s="1"/>
  <c r="A1881" i="42"/>
  <c r="N1881" i="42" l="1"/>
  <c r="P1881" i="42" s="1"/>
  <c r="A1882" i="42"/>
  <c r="N1882" i="42" l="1"/>
  <c r="P1882" i="42" s="1"/>
  <c r="A1883" i="42"/>
  <c r="N1883" i="42" l="1"/>
  <c r="P1883" i="42" s="1"/>
  <c r="A1884" i="42"/>
  <c r="N1884" i="42" l="1"/>
  <c r="P1884" i="42" s="1"/>
  <c r="A1885" i="42"/>
  <c r="N1885" i="42" l="1"/>
  <c r="P1885" i="42" s="1"/>
  <c r="A1886" i="42"/>
  <c r="N1886" i="42" l="1"/>
  <c r="P1886" i="42" s="1"/>
  <c r="A1887" i="42"/>
  <c r="N1887" i="42" l="1"/>
  <c r="P1887" i="42" s="1"/>
  <c r="A1888" i="42"/>
  <c r="N1888" i="42" l="1"/>
  <c r="P1888" i="42" s="1"/>
  <c r="A1889" i="42"/>
  <c r="N1889" i="42" l="1"/>
  <c r="P1889" i="42" s="1"/>
  <c r="A1890" i="42"/>
  <c r="N1890" i="42" l="1"/>
  <c r="P1890" i="42" s="1"/>
  <c r="A1891" i="42"/>
  <c r="N1891" i="42" l="1"/>
  <c r="P1891" i="42" s="1"/>
  <c r="A1892" i="42"/>
  <c r="N1892" i="42" l="1"/>
  <c r="P1892" i="42" s="1"/>
  <c r="A1893" i="42"/>
  <c r="N1893" i="42" l="1"/>
  <c r="P1893" i="42" s="1"/>
  <c r="A1894" i="42"/>
  <c r="N1894" i="42" l="1"/>
  <c r="P1894" i="42" s="1"/>
  <c r="A1895" i="42"/>
  <c r="N1895" i="42" l="1"/>
  <c r="P1895" i="42" s="1"/>
  <c r="A1896" i="42"/>
  <c r="N1896" i="42" l="1"/>
  <c r="P1896" i="42" s="1"/>
  <c r="A1897" i="42"/>
  <c r="N1897" i="42" l="1"/>
  <c r="P1897" i="42" s="1"/>
  <c r="A1898" i="42"/>
  <c r="N1898" i="42" l="1"/>
  <c r="P1898" i="42" s="1"/>
  <c r="A1899" i="42"/>
  <c r="N1899" i="42" l="1"/>
  <c r="P1899" i="42" s="1"/>
  <c r="A1900" i="42"/>
  <c r="N1900" i="42" l="1"/>
  <c r="P1900" i="42" s="1"/>
  <c r="A1901" i="42"/>
  <c r="N1901" i="42" l="1"/>
  <c r="P1901" i="42" s="1"/>
  <c r="A1902" i="42"/>
  <c r="N1902" i="42" l="1"/>
  <c r="P1902" i="42" s="1"/>
  <c r="A1903" i="42"/>
  <c r="N1903" i="42" l="1"/>
  <c r="P1903" i="42" s="1"/>
  <c r="A1904" i="42"/>
  <c r="N1904" i="42" l="1"/>
  <c r="P1904" i="42" s="1"/>
  <c r="A1905" i="42"/>
  <c r="N1905" i="42" l="1"/>
  <c r="P1905" i="42" s="1"/>
  <c r="A1906" i="42"/>
  <c r="N1906" i="42" l="1"/>
  <c r="P1906" i="42" s="1"/>
  <c r="A1907" i="42"/>
  <c r="N1907" i="42" l="1"/>
  <c r="P1907" i="42" s="1"/>
  <c r="A1908" i="42"/>
  <c r="N1908" i="42" l="1"/>
  <c r="P1908" i="42" s="1"/>
  <c r="A1909" i="42"/>
  <c r="N1909" i="42" l="1"/>
  <c r="P1909" i="42" s="1"/>
  <c r="A1910" i="42"/>
  <c r="N1910" i="42" l="1"/>
  <c r="P1910" i="42" s="1"/>
  <c r="A1911" i="42"/>
  <c r="N1911" i="42" l="1"/>
  <c r="P1911" i="42" s="1"/>
  <c r="A1912" i="42"/>
  <c r="N1912" i="42" l="1"/>
  <c r="P1912" i="42" s="1"/>
  <c r="A1913" i="42"/>
  <c r="N1913" i="42" l="1"/>
  <c r="P1913" i="42" s="1"/>
  <c r="A1914" i="42"/>
  <c r="N1914" i="42" l="1"/>
  <c r="P1914" i="42" s="1"/>
  <c r="A1915" i="42"/>
  <c r="N1915" i="42" l="1"/>
  <c r="P1915" i="42" s="1"/>
  <c r="A1916" i="42"/>
  <c r="N1916" i="42" l="1"/>
  <c r="P1916" i="42" s="1"/>
  <c r="A1917" i="42"/>
  <c r="N1917" i="42" l="1"/>
  <c r="P1917" i="42" s="1"/>
  <c r="A1918" i="42"/>
  <c r="N1918" i="42" l="1"/>
  <c r="P1918" i="42" s="1"/>
  <c r="A1919" i="42"/>
  <c r="N1919" i="42" l="1"/>
  <c r="P1919" i="42" s="1"/>
  <c r="A1920" i="42"/>
  <c r="N1920" i="42" l="1"/>
  <c r="P1920" i="42" s="1"/>
  <c r="A1921" i="42"/>
  <c r="N1921" i="42" l="1"/>
  <c r="P1921" i="42" s="1"/>
  <c r="A1922" i="42"/>
  <c r="N1922" i="42" l="1"/>
  <c r="P1922" i="42" s="1"/>
  <c r="A1923" i="42"/>
  <c r="N1923" i="42" l="1"/>
  <c r="P1923" i="42" s="1"/>
  <c r="A1924" i="42"/>
  <c r="N1924" i="42" l="1"/>
  <c r="P1924" i="42" s="1"/>
  <c r="A1925" i="42"/>
  <c r="N1925" i="42" l="1"/>
  <c r="P1925" i="42" s="1"/>
  <c r="A1926" i="42"/>
  <c r="N1926" i="42" l="1"/>
  <c r="P1926" i="42" s="1"/>
  <c r="A1927" i="42"/>
  <c r="N1927" i="42" l="1"/>
  <c r="P1927" i="42" s="1"/>
  <c r="A1928" i="42"/>
  <c r="N1928" i="42" l="1"/>
  <c r="P1928" i="42" s="1"/>
  <c r="A1929" i="42"/>
  <c r="N1929" i="42" l="1"/>
  <c r="P1929" i="42" s="1"/>
  <c r="A1930" i="42"/>
  <c r="N1930" i="42" l="1"/>
  <c r="P1930" i="42" s="1"/>
  <c r="A1931" i="42"/>
  <c r="N1931" i="42" l="1"/>
  <c r="P1931" i="42" s="1"/>
  <c r="A1932" i="42"/>
  <c r="N1932" i="42" l="1"/>
  <c r="P1932" i="42" s="1"/>
  <c r="A1933" i="42"/>
  <c r="N1933" i="42" l="1"/>
  <c r="P1933" i="42" s="1"/>
  <c r="A1934" i="42"/>
  <c r="N1934" i="42" l="1"/>
  <c r="P1934" i="42" s="1"/>
  <c r="A1935" i="42"/>
  <c r="N1935" i="42" l="1"/>
  <c r="P1935" i="42" s="1"/>
  <c r="A1936" i="42"/>
  <c r="N1936" i="42" l="1"/>
  <c r="P1936" i="42" s="1"/>
  <c r="A1937" i="42"/>
  <c r="N1937" i="42" l="1"/>
  <c r="P1937" i="42" s="1"/>
  <c r="A1938" i="42"/>
  <c r="N1938" i="42" l="1"/>
  <c r="P1938" i="42" s="1"/>
  <c r="A1939" i="42"/>
  <c r="N1939" i="42" l="1"/>
  <c r="P1939" i="42" s="1"/>
  <c r="A1940" i="42"/>
  <c r="N1940" i="42" l="1"/>
  <c r="P1940" i="42" s="1"/>
  <c r="A1941" i="42"/>
  <c r="N1941" i="42" l="1"/>
  <c r="P1941" i="42" s="1"/>
  <c r="A1942" i="42"/>
  <c r="N1942" i="42" l="1"/>
  <c r="P1942" i="42" s="1"/>
  <c r="A1943" i="42"/>
  <c r="N1943" i="42" l="1"/>
  <c r="P1943" i="42" s="1"/>
  <c r="A1944" i="42"/>
  <c r="N1944" i="42" l="1"/>
  <c r="P1944" i="42" s="1"/>
  <c r="A1945" i="42"/>
  <c r="N1945" i="42" l="1"/>
  <c r="P1945" i="42" s="1"/>
  <c r="A1946" i="42"/>
  <c r="N1946" i="42" l="1"/>
  <c r="P1946" i="42" s="1"/>
  <c r="A1947" i="42"/>
  <c r="N1947" i="42" l="1"/>
  <c r="P1947" i="42" s="1"/>
  <c r="A1948" i="42"/>
  <c r="N1948" i="42" l="1"/>
  <c r="P1948" i="42" s="1"/>
  <c r="A1949" i="42"/>
  <c r="N1949" i="42" l="1"/>
  <c r="P1949" i="42" s="1"/>
  <c r="A1950" i="42"/>
  <c r="N1950" i="42" l="1"/>
  <c r="P1950" i="42" s="1"/>
  <c r="A1951" i="42"/>
  <c r="N1951" i="42" l="1"/>
  <c r="P1951" i="42" s="1"/>
  <c r="A1952" i="42"/>
  <c r="N1952" i="42" l="1"/>
  <c r="P1952" i="42" s="1"/>
  <c r="A1953" i="42"/>
  <c r="N1953" i="42" l="1"/>
  <c r="P1953" i="42" s="1"/>
  <c r="A1954" i="42"/>
  <c r="N1954" i="42" l="1"/>
  <c r="P1954" i="42" s="1"/>
  <c r="A1955" i="42"/>
  <c r="N1955" i="42" l="1"/>
  <c r="P1955" i="42" s="1"/>
  <c r="A1956" i="42"/>
  <c r="N1956" i="42" l="1"/>
  <c r="P1956" i="42" s="1"/>
  <c r="A1957" i="42"/>
  <c r="N1957" i="42" l="1"/>
  <c r="P1957" i="42" s="1"/>
  <c r="A1958" i="42"/>
  <c r="N1958" i="42" l="1"/>
  <c r="P1958" i="42" s="1"/>
  <c r="A1959" i="42"/>
  <c r="N1959" i="42" l="1"/>
  <c r="P1959" i="42" s="1"/>
  <c r="A1960" i="42"/>
  <c r="N1960" i="42" l="1"/>
  <c r="P1960" i="42" s="1"/>
  <c r="Q618" i="66" s="1"/>
  <c r="A1961" i="42"/>
  <c r="N1961" i="42" l="1"/>
  <c r="P1961" i="42" s="1"/>
  <c r="A1962" i="42"/>
  <c r="AC618" i="66"/>
  <c r="R618" i="66"/>
  <c r="N1962" i="42" l="1"/>
  <c r="P1962" i="42" s="1"/>
  <c r="A1963" i="42"/>
  <c r="N1963" i="42" l="1"/>
  <c r="P1963" i="42" s="1"/>
  <c r="A1964" i="42"/>
  <c r="N1964" i="42" l="1"/>
  <c r="P1964" i="42" s="1"/>
  <c r="A1965" i="42"/>
  <c r="N1965" i="42" l="1"/>
  <c r="P1965" i="42" s="1"/>
  <c r="A1966" i="42"/>
  <c r="N1966" i="42" l="1"/>
  <c r="P1966" i="42" s="1"/>
  <c r="A1967" i="42"/>
  <c r="N1967" i="42" l="1"/>
  <c r="P1967" i="42" s="1"/>
  <c r="A1968" i="42"/>
  <c r="N1968" i="42" l="1"/>
  <c r="P1968" i="42" s="1"/>
  <c r="A1969" i="42"/>
  <c r="N1969" i="42" l="1"/>
  <c r="P1969" i="42" s="1"/>
  <c r="A1970" i="42"/>
  <c r="N1970" i="42" l="1"/>
  <c r="P1970" i="42" s="1"/>
  <c r="A1971" i="42"/>
  <c r="N1971" i="42" l="1"/>
  <c r="P1971" i="42" s="1"/>
  <c r="A1972" i="42"/>
  <c r="N1972" i="42" l="1"/>
  <c r="P1972" i="42" s="1"/>
  <c r="A1973" i="42"/>
  <c r="N1973" i="42" l="1"/>
  <c r="P1973" i="42" s="1"/>
  <c r="J26" i="12" s="1"/>
  <c r="A1974" i="42"/>
  <c r="N1974" i="42" l="1"/>
  <c r="P1974" i="42" s="1"/>
  <c r="A1975" i="42"/>
  <c r="A26" i="12"/>
  <c r="K26" i="12"/>
  <c r="N1975" i="42" l="1"/>
  <c r="P1975" i="42" s="1"/>
  <c r="A1976" i="42"/>
  <c r="N1976" i="42" l="1"/>
  <c r="P1976" i="42" s="1"/>
  <c r="A1977" i="42"/>
  <c r="N1977" i="42" l="1"/>
  <c r="P1977" i="42" s="1"/>
  <c r="A1978" i="42"/>
  <c r="N1978" i="42" l="1"/>
  <c r="P1978" i="42" s="1"/>
  <c r="J20" i="12" s="1"/>
  <c r="A1979" i="42"/>
  <c r="N1979" i="42" l="1"/>
  <c r="P1979" i="42" s="1"/>
  <c r="J21" i="12" s="1"/>
  <c r="A1980" i="42"/>
  <c r="K20" i="12"/>
  <c r="A20" i="12"/>
  <c r="N1980" i="42" l="1"/>
  <c r="P1980" i="42" s="1"/>
  <c r="J22" i="12" s="1"/>
  <c r="A1981" i="42"/>
  <c r="K21" i="12"/>
  <c r="A21" i="12"/>
  <c r="N1981" i="42" l="1"/>
  <c r="P1981" i="42" s="1"/>
  <c r="A1982" i="42"/>
  <c r="K22" i="12"/>
  <c r="A22" i="12"/>
  <c r="N1982" i="42" l="1"/>
  <c r="P1982" i="42" s="1"/>
  <c r="A1983" i="42"/>
  <c r="N1983" i="42" l="1"/>
  <c r="P1983" i="42" s="1"/>
  <c r="Q121" i="66" s="1"/>
  <c r="A1984" i="42"/>
  <c r="N1984" i="42" l="1"/>
  <c r="P1984" i="42" s="1"/>
  <c r="A1985" i="42"/>
  <c r="AC121" i="66"/>
  <c r="R121" i="66"/>
  <c r="N1985" i="42" l="1"/>
  <c r="P1985" i="42" s="1"/>
  <c r="A1986" i="42"/>
  <c r="N1986" i="42" l="1"/>
  <c r="P1986" i="42" s="1"/>
  <c r="A1987" i="42"/>
  <c r="N1987" i="42" l="1"/>
  <c r="P1987" i="42" s="1"/>
  <c r="A1988" i="42"/>
  <c r="N1988" i="42" l="1"/>
  <c r="P1988" i="42" s="1"/>
  <c r="J28" i="12" s="1"/>
  <c r="A1989" i="42"/>
  <c r="N1989" i="42" l="1"/>
  <c r="P1989" i="42" s="1"/>
  <c r="A1990" i="42"/>
  <c r="A28" i="12"/>
  <c r="K28" i="12"/>
  <c r="N1990" i="42" l="1"/>
  <c r="P1990" i="42" s="1"/>
  <c r="A1991" i="42"/>
  <c r="N1991" i="42" l="1"/>
  <c r="P1991" i="42" s="1"/>
  <c r="A1992" i="42"/>
  <c r="N1992" i="42" l="1"/>
  <c r="P1992" i="42" s="1"/>
  <c r="Q623" i="66" s="1"/>
  <c r="A1993" i="42"/>
  <c r="N1993" i="42" l="1"/>
  <c r="P1993" i="42" s="1"/>
  <c r="Q416" i="66" s="1"/>
  <c r="A1994" i="42"/>
  <c r="R623" i="66"/>
  <c r="AC623" i="66"/>
  <c r="N1994" i="42" l="1"/>
  <c r="P1994" i="42" s="1"/>
  <c r="A1995" i="42"/>
  <c r="AC416" i="66"/>
  <c r="R416" i="66"/>
  <c r="N1995" i="42" l="1"/>
  <c r="P1995" i="42" s="1"/>
  <c r="A1996" i="42"/>
  <c r="N1996" i="42" l="1"/>
  <c r="P1996" i="42" s="1"/>
  <c r="A1997" i="42"/>
  <c r="N1997" i="42" l="1"/>
  <c r="P1997" i="42" s="1"/>
  <c r="A1998" i="42"/>
  <c r="N1998" i="42" l="1"/>
  <c r="P1998" i="42" s="1"/>
  <c r="A1999" i="42"/>
  <c r="N1999" i="42" l="1"/>
  <c r="P1999" i="42" s="1"/>
  <c r="A2000" i="42"/>
  <c r="N2000" i="42" l="1"/>
  <c r="P2000" i="42" s="1"/>
  <c r="A2001" i="42"/>
  <c r="N2001" i="42" l="1"/>
  <c r="P2001" i="42" s="1"/>
  <c r="A2002" i="42"/>
  <c r="N2002" i="42" l="1"/>
  <c r="P2002" i="42" s="1"/>
  <c r="A2003" i="42"/>
  <c r="N2003" i="42" l="1"/>
  <c r="P2003" i="42" s="1"/>
  <c r="A2004" i="42"/>
  <c r="N2004" i="42" l="1"/>
  <c r="P2004" i="42" s="1"/>
  <c r="A2005" i="42"/>
  <c r="N2005" i="42" l="1"/>
  <c r="P2005" i="42" s="1"/>
  <c r="A2006" i="42"/>
  <c r="N2006" i="42" l="1"/>
  <c r="P2006" i="42" s="1"/>
  <c r="A2007" i="42"/>
  <c r="N2007" i="42" l="1"/>
  <c r="P2007" i="42" s="1"/>
  <c r="A2008" i="42"/>
  <c r="N2008" i="42" l="1"/>
  <c r="P2008" i="42" s="1"/>
  <c r="A2009" i="42"/>
  <c r="N2009" i="42" l="1"/>
  <c r="P2009" i="42" s="1"/>
  <c r="A2010" i="42"/>
  <c r="N2010" i="42" l="1"/>
  <c r="P2010" i="42" s="1"/>
  <c r="A2011" i="42"/>
  <c r="N2011" i="42" l="1"/>
  <c r="P2011" i="42" s="1"/>
  <c r="A2012" i="42"/>
  <c r="N2012" i="42" l="1"/>
  <c r="P2012" i="42" s="1"/>
  <c r="A2013" i="42"/>
  <c r="N2013" i="42" l="1"/>
  <c r="P2013" i="42" s="1"/>
  <c r="A2014" i="42"/>
  <c r="N2014" i="42" l="1"/>
  <c r="P2014" i="42" s="1"/>
  <c r="A2015" i="42"/>
  <c r="N2015" i="42" l="1"/>
  <c r="P2015" i="42" s="1"/>
  <c r="A2016" i="42"/>
  <c r="N2016" i="42" l="1"/>
  <c r="P2016" i="42" s="1"/>
  <c r="A2017" i="42"/>
  <c r="N2017" i="42" l="1"/>
  <c r="P2017" i="42" s="1"/>
  <c r="A2018" i="42"/>
  <c r="N2018" i="42" l="1"/>
  <c r="P2018" i="42" s="1"/>
  <c r="A2019" i="42"/>
  <c r="N2019" i="42" l="1"/>
  <c r="P2019" i="42" s="1"/>
  <c r="A2020" i="42"/>
  <c r="N2020" i="42" l="1"/>
  <c r="P2020" i="42" s="1"/>
  <c r="A2021" i="42"/>
  <c r="N2021" i="42" l="1"/>
  <c r="P2021" i="42" s="1"/>
  <c r="A2022" i="42"/>
  <c r="N2022" i="42" l="1"/>
  <c r="P2022" i="42" s="1"/>
  <c r="A2023" i="42"/>
  <c r="N2023" i="42" l="1"/>
  <c r="P2023" i="42" s="1"/>
  <c r="A2024" i="42"/>
  <c r="N2024" i="42" l="1"/>
  <c r="P2024" i="42" s="1"/>
  <c r="A2025" i="42"/>
  <c r="N2025" i="42" l="1"/>
  <c r="P2025" i="42" s="1"/>
  <c r="A2026" i="42"/>
  <c r="N2026" i="42" l="1"/>
  <c r="P2026" i="42" s="1"/>
  <c r="A2027" i="42"/>
  <c r="N2027" i="42" l="1"/>
  <c r="P2027" i="42" s="1"/>
  <c r="A2028" i="42"/>
  <c r="N2028" i="42" l="1"/>
  <c r="P2028" i="42" s="1"/>
  <c r="A2029" i="42"/>
  <c r="N2029" i="42" l="1"/>
  <c r="P2029" i="42" s="1"/>
  <c r="A2030" i="42"/>
  <c r="N2030" i="42" l="1"/>
  <c r="P2030" i="42" s="1"/>
  <c r="A2031" i="42"/>
  <c r="N2031" i="42" l="1"/>
  <c r="P2031" i="42" s="1"/>
  <c r="J126" i="12" s="1"/>
  <c r="A2032" i="42"/>
  <c r="N2032" i="42" l="1"/>
  <c r="P2032" i="42" s="1"/>
  <c r="J125" i="12" s="1"/>
  <c r="A2033" i="42"/>
  <c r="A126" i="12"/>
  <c r="K126" i="12"/>
  <c r="N2033" i="42" l="1"/>
  <c r="P2033" i="42" s="1"/>
  <c r="A2034" i="42"/>
  <c r="K125" i="12"/>
  <c r="A125" i="12"/>
  <c r="N2034" i="42" l="1"/>
  <c r="P2034" i="42" s="1"/>
  <c r="A2035" i="42"/>
  <c r="N2035" i="42" l="1"/>
  <c r="P2035" i="42" s="1"/>
  <c r="A2036" i="42"/>
  <c r="N2036" i="42" l="1"/>
  <c r="P2036" i="42" s="1"/>
  <c r="A2037" i="42"/>
  <c r="N2037" i="42" l="1"/>
  <c r="P2037" i="42" s="1"/>
  <c r="A2038" i="42"/>
  <c r="N2038" i="42" l="1"/>
  <c r="P2038" i="42" s="1"/>
  <c r="J97" i="12" s="1"/>
  <c r="A2039" i="42"/>
  <c r="N2039" i="42" l="1"/>
  <c r="P2039" i="42" s="1"/>
  <c r="J250" i="12" s="1"/>
  <c r="A2040" i="42"/>
  <c r="K97" i="12"/>
  <c r="A97" i="12"/>
  <c r="N2040" i="42" l="1"/>
  <c r="P2040" i="42" s="1"/>
  <c r="J138" i="12" s="1"/>
  <c r="A2041" i="42"/>
  <c r="A250" i="12"/>
  <c r="K250" i="12"/>
  <c r="N2041" i="42" l="1"/>
  <c r="P2041" i="42" s="1"/>
  <c r="A2042" i="42"/>
  <c r="K138" i="12"/>
  <c r="A138" i="12"/>
  <c r="N2042" i="42" l="1"/>
  <c r="P2042" i="42" s="1"/>
  <c r="A2043" i="42"/>
  <c r="N2043" i="42" l="1"/>
  <c r="P2043" i="42" s="1"/>
  <c r="A2044" i="42"/>
  <c r="N2044" i="42" l="1"/>
  <c r="P2044" i="42" s="1"/>
  <c r="A2045" i="42"/>
  <c r="N2045" i="42" l="1"/>
  <c r="P2045" i="42" s="1"/>
  <c r="J23" i="12" s="1"/>
  <c r="A2046" i="42"/>
  <c r="N2046" i="42" l="1"/>
  <c r="P2046" i="42" s="1"/>
  <c r="A2047" i="42"/>
  <c r="A23" i="12"/>
  <c r="K23" i="12"/>
  <c r="N2047" i="42" l="1"/>
  <c r="P2047" i="42" s="1"/>
  <c r="A2048" i="42"/>
  <c r="N2048" i="42" l="1"/>
  <c r="P2048" i="42" s="1"/>
  <c r="A2049" i="42"/>
  <c r="N2049" i="42" l="1"/>
  <c r="P2049" i="42" s="1"/>
  <c r="A2050" i="42"/>
  <c r="N2050" i="42" l="1"/>
  <c r="P2050" i="42" s="1"/>
  <c r="J187" i="12" s="1"/>
  <c r="A2051" i="42"/>
  <c r="N2051" i="42" l="1"/>
  <c r="P2051" i="42" s="1"/>
  <c r="A2052" i="42"/>
  <c r="K187" i="12"/>
  <c r="A187" i="12"/>
  <c r="N2052" i="42" l="1"/>
  <c r="P2052" i="42" s="1"/>
  <c r="A2053" i="42"/>
  <c r="N2053" i="42" l="1"/>
  <c r="P2053" i="42" s="1"/>
  <c r="A2054" i="42"/>
  <c r="N2054" i="42" l="1"/>
  <c r="P2054" i="42" s="1"/>
  <c r="A2055" i="42"/>
  <c r="N2055" i="42" l="1"/>
  <c r="P2055" i="42" s="1"/>
  <c r="A2056" i="42"/>
  <c r="N2056" i="42" l="1"/>
  <c r="P2056" i="42" s="1"/>
  <c r="A2057" i="42"/>
  <c r="N2057" i="42" l="1"/>
  <c r="P2057" i="42" s="1"/>
  <c r="A2058" i="42"/>
  <c r="N2058" i="42" l="1"/>
  <c r="P2058" i="42" s="1"/>
  <c r="A2059" i="42"/>
  <c r="N2059" i="42" l="1"/>
  <c r="P2059" i="42" s="1"/>
  <c r="A2060" i="42"/>
  <c r="N2060" i="42" l="1"/>
  <c r="P2060" i="42" s="1"/>
  <c r="A2061" i="42"/>
  <c r="N2061" i="42" l="1"/>
  <c r="P2061" i="42" s="1"/>
  <c r="A2062" i="42"/>
  <c r="N2062" i="42" l="1"/>
  <c r="P2062" i="42" s="1"/>
  <c r="A2063" i="42"/>
  <c r="N2063" i="42" l="1"/>
  <c r="P2063" i="42" s="1"/>
  <c r="A2064" i="42"/>
  <c r="N2064" i="42" l="1"/>
  <c r="P2064" i="42" s="1"/>
  <c r="A2065" i="42"/>
  <c r="N2065" i="42" l="1"/>
  <c r="P2065" i="42" s="1"/>
  <c r="A2066" i="42"/>
  <c r="N2066" i="42" l="1"/>
  <c r="P2066" i="42" s="1"/>
  <c r="A2067" i="42"/>
  <c r="N2067" i="42" l="1"/>
  <c r="P2067" i="42" s="1"/>
  <c r="A2068" i="42"/>
  <c r="N2068" i="42" l="1"/>
  <c r="P2068" i="42" s="1"/>
  <c r="A2069" i="42"/>
  <c r="N2069" i="42" l="1"/>
  <c r="P2069" i="42" s="1"/>
  <c r="A2070" i="42"/>
  <c r="N2070" i="42" l="1"/>
  <c r="P2070" i="42" s="1"/>
  <c r="J157" i="12" s="1"/>
  <c r="A2071" i="42"/>
  <c r="N2071" i="42" l="1"/>
  <c r="P2071" i="42" s="1"/>
  <c r="F5" i="67" s="1"/>
  <c r="G5" i="67" s="1"/>
  <c r="G20" i="67" s="1"/>
  <c r="G22" i="67" s="1"/>
  <c r="A2072" i="42"/>
  <c r="K157" i="12"/>
  <c r="A157" i="12"/>
  <c r="N2072" i="42" l="1"/>
  <c r="P2072" i="42" s="1"/>
  <c r="A2073" i="42"/>
  <c r="N2073" i="42" l="1"/>
  <c r="P2073" i="42" s="1"/>
  <c r="A2074" i="42"/>
  <c r="N2074" i="42" l="1"/>
  <c r="P2074" i="42" s="1"/>
  <c r="A2075" i="42"/>
  <c r="N2075" i="42" l="1"/>
  <c r="P2075" i="42" s="1"/>
  <c r="Q29" i="66" s="1"/>
  <c r="A2076" i="42"/>
  <c r="N2076" i="42" l="1"/>
  <c r="P2076" i="42" s="1"/>
  <c r="A2077" i="42"/>
  <c r="A2078" i="42" s="1"/>
  <c r="A2079" i="42" s="1"/>
  <c r="A2080" i="42" s="1"/>
  <c r="A2081" i="42" s="1"/>
  <c r="A2082" i="42" s="1"/>
  <c r="A2083" i="42" s="1"/>
  <c r="A2084" i="42" s="1"/>
  <c r="R29" i="66"/>
  <c r="AC29" i="66"/>
  <c r="N2084" i="42" l="1"/>
  <c r="P2084" i="42" s="1"/>
  <c r="A2085" i="42"/>
  <c r="N2085" i="42" l="1"/>
  <c r="P2085" i="42" s="1"/>
  <c r="A2086" i="42"/>
  <c r="N2086" i="42" l="1"/>
  <c r="P2086" i="42" s="1"/>
  <c r="A2087" i="42"/>
  <c r="N2087" i="42" l="1"/>
  <c r="P2087" i="42" s="1"/>
  <c r="A2088" i="42"/>
  <c r="N2088" i="42" l="1"/>
  <c r="P2088" i="42" s="1"/>
  <c r="A2089" i="42"/>
  <c r="N2089" i="42" l="1"/>
  <c r="P2089" i="42" s="1"/>
  <c r="A2090" i="42"/>
  <c r="N2090" i="42" l="1"/>
  <c r="P2090" i="42" s="1"/>
  <c r="A2091" i="42"/>
  <c r="N2091" i="42" l="1"/>
  <c r="P2091" i="42" s="1"/>
  <c r="A2092" i="42"/>
  <c r="N2092" i="42" l="1"/>
  <c r="P2092" i="42" s="1"/>
  <c r="A2093" i="42"/>
  <c r="N2093" i="42" l="1"/>
  <c r="P2093" i="42" s="1"/>
  <c r="A2094" i="42"/>
  <c r="N2094" i="42" l="1"/>
  <c r="P2094" i="42" s="1"/>
  <c r="A2095" i="42"/>
  <c r="N2095" i="42" l="1"/>
  <c r="P2095" i="42" s="1"/>
  <c r="A2096" i="42"/>
  <c r="N2096" i="42" l="1"/>
  <c r="P2096" i="42" s="1"/>
  <c r="A2097" i="42"/>
  <c r="N2097" i="42" l="1"/>
  <c r="P2097" i="42" s="1"/>
  <c r="A2098" i="42"/>
  <c r="N2098" i="42" l="1"/>
  <c r="P2098" i="42" s="1"/>
  <c r="A2099" i="42"/>
  <c r="N2099" i="42" l="1"/>
  <c r="P2099" i="42" s="1"/>
  <c r="A2100" i="42"/>
  <c r="N2100" i="42" l="1"/>
  <c r="P2100" i="42" s="1"/>
  <c r="A2101" i="42"/>
  <c r="N2101" i="42" l="1"/>
  <c r="P2101" i="42" s="1"/>
  <c r="A2102" i="42"/>
  <c r="N2102" i="42" l="1"/>
  <c r="P2102" i="42" s="1"/>
  <c r="J163" i="12" s="1"/>
  <c r="A2103" i="42"/>
  <c r="N2103" i="42" l="1"/>
  <c r="P2103" i="42" s="1"/>
  <c r="A2104" i="42"/>
  <c r="K163" i="12"/>
  <c r="A163" i="12"/>
  <c r="N2104" i="42" l="1"/>
  <c r="P2104" i="42" s="1"/>
  <c r="A2105" i="42"/>
  <c r="N2105" i="42" l="1"/>
  <c r="P2105" i="42" s="1"/>
  <c r="A2106" i="42"/>
  <c r="N2106" i="42" l="1"/>
  <c r="P2106" i="42" s="1"/>
  <c r="A2107" i="42"/>
  <c r="N2107" i="42" l="1"/>
  <c r="P2107" i="42" s="1"/>
  <c r="J164" i="12" s="1"/>
  <c r="A2108" i="42"/>
  <c r="N2108" i="42" l="1"/>
  <c r="P2108" i="42" s="1"/>
  <c r="A2109" i="42"/>
  <c r="A164" i="12"/>
  <c r="K164" i="12"/>
  <c r="N2109" i="42" l="1"/>
  <c r="P2109" i="42" s="1"/>
  <c r="A2110" i="42"/>
  <c r="N2110" i="42" l="1"/>
  <c r="P2110" i="42" s="1"/>
  <c r="A2111" i="42"/>
  <c r="N2111" i="42" l="1"/>
  <c r="P2111" i="42" s="1"/>
  <c r="A2112" i="42"/>
  <c r="N2112" i="42" l="1"/>
  <c r="P2112" i="42" s="1"/>
  <c r="J32" i="12" s="1"/>
  <c r="A2113" i="42"/>
  <c r="N2113" i="42" l="1"/>
  <c r="P2113" i="42" s="1"/>
  <c r="A2114" i="42"/>
  <c r="K32" i="12"/>
  <c r="A32" i="12"/>
  <c r="N2114" i="42" l="1"/>
  <c r="P2114" i="42" s="1"/>
  <c r="A2115" i="42"/>
  <c r="N2115" i="42" l="1"/>
  <c r="P2115" i="42" s="1"/>
  <c r="A2116" i="42"/>
  <c r="N2116" i="42" l="1"/>
  <c r="P2116" i="42" s="1"/>
  <c r="A2117" i="42"/>
  <c r="N2117" i="42" l="1"/>
  <c r="P2117" i="42" s="1"/>
  <c r="A2118" i="42"/>
  <c r="N2118" i="42" l="1"/>
  <c r="P2118" i="42" s="1"/>
  <c r="A2119" i="42"/>
  <c r="N2119" i="42" l="1"/>
  <c r="P2119" i="42" s="1"/>
  <c r="A2120" i="42"/>
  <c r="N2120" i="42" l="1"/>
  <c r="P2120" i="42" s="1"/>
  <c r="J25" i="12" s="1"/>
  <c r="A2121" i="42"/>
  <c r="N2121" i="42" l="1"/>
  <c r="P2121" i="42" s="1"/>
  <c r="A2122" i="42"/>
  <c r="K25" i="12"/>
  <c r="A25" i="12"/>
  <c r="N2122" i="42" l="1"/>
  <c r="P2122" i="42" s="1"/>
  <c r="A2123" i="42"/>
  <c r="N2123" i="42" l="1"/>
  <c r="P2123" i="42" s="1"/>
  <c r="A2124" i="42"/>
  <c r="N2124" i="42" l="1"/>
  <c r="P2124" i="42" s="1"/>
  <c r="Q94" i="66" s="1"/>
  <c r="A2125" i="42"/>
  <c r="N2125" i="42" l="1"/>
  <c r="P2125" i="42" s="1"/>
  <c r="A2126" i="42"/>
  <c r="R94" i="66"/>
  <c r="AC94" i="66"/>
  <c r="N2126" i="42" l="1"/>
  <c r="P2126" i="42" s="1"/>
  <c r="A2127" i="42"/>
  <c r="N2127" i="42" l="1"/>
  <c r="P2127" i="42" s="1"/>
  <c r="A2128" i="42"/>
  <c r="N2128" i="42" l="1"/>
  <c r="P2128" i="42" s="1"/>
  <c r="A2129" i="42"/>
  <c r="N2129" i="42" l="1"/>
  <c r="P2129" i="42" s="1"/>
  <c r="A2130" i="42"/>
  <c r="N2130" i="42" l="1"/>
  <c r="P2130" i="42" s="1"/>
  <c r="A2131" i="42"/>
  <c r="N2131" i="42" l="1"/>
  <c r="P2131" i="42" s="1"/>
  <c r="A2132" i="42"/>
  <c r="N2132" i="42" l="1"/>
  <c r="P2132" i="42" s="1"/>
  <c r="A2133" i="42"/>
  <c r="N2133" i="42" l="1"/>
  <c r="P2133" i="42" s="1"/>
  <c r="A2134" i="42"/>
  <c r="N2134" i="42" l="1"/>
  <c r="P2134" i="42" s="1"/>
  <c r="A2135" i="42"/>
  <c r="N2135" i="42" l="1"/>
  <c r="P2135" i="42" s="1"/>
  <c r="A2136" i="42"/>
  <c r="N2136" i="42" l="1"/>
  <c r="P2136" i="42" s="1"/>
  <c r="A2137" i="42"/>
  <c r="N2137" i="42" l="1"/>
  <c r="P2137" i="42" s="1"/>
  <c r="A2138" i="42"/>
  <c r="N2138" i="42" l="1"/>
  <c r="P2138" i="42" s="1"/>
  <c r="A2139" i="42"/>
  <c r="N2139" i="42" l="1"/>
  <c r="P2139" i="42" s="1"/>
  <c r="A2140" i="42"/>
  <c r="N2140" i="42" l="1"/>
  <c r="P2140" i="42" s="1"/>
  <c r="A2141" i="42"/>
  <c r="N2141" i="42" l="1"/>
  <c r="P2141" i="42" s="1"/>
  <c r="A2142" i="42"/>
  <c r="N2142" i="42" l="1"/>
  <c r="P2142" i="42" s="1"/>
  <c r="A2143" i="42"/>
  <c r="N2143" i="42" l="1"/>
  <c r="P2143" i="42" s="1"/>
  <c r="A2144" i="42"/>
  <c r="N2144" i="42" l="1"/>
  <c r="P2144" i="42" s="1"/>
  <c r="A2145" i="42"/>
  <c r="N2145" i="42" l="1"/>
  <c r="P2145" i="42" s="1"/>
  <c r="A2146" i="42"/>
  <c r="N2146" i="42" l="1"/>
  <c r="P2146" i="42" s="1"/>
  <c r="A2147" i="42"/>
  <c r="N2147" i="42" l="1"/>
  <c r="P2147" i="42" s="1"/>
  <c r="A2148" i="42"/>
  <c r="N2148" i="42" l="1"/>
  <c r="P2148" i="42" s="1"/>
  <c r="A2149" i="42"/>
  <c r="N2149" i="42" l="1"/>
  <c r="P2149" i="42" s="1"/>
  <c r="A2150" i="42"/>
  <c r="N2150" i="42" l="1"/>
  <c r="P2150" i="42" s="1"/>
  <c r="A2151" i="42"/>
  <c r="N2151" i="42" l="1"/>
  <c r="P2151" i="42" s="1"/>
  <c r="A2152" i="42"/>
  <c r="N2152" i="42" l="1"/>
  <c r="P2152" i="42" s="1"/>
  <c r="A2153" i="42"/>
  <c r="N2153" i="42" l="1"/>
  <c r="P2153" i="42" s="1"/>
  <c r="A2154" i="42"/>
  <c r="N2154" i="42" l="1"/>
  <c r="P2154" i="42" s="1"/>
  <c r="A2155" i="42"/>
  <c r="N2155" i="42" l="1"/>
  <c r="P2155" i="42" s="1"/>
  <c r="A2156" i="42"/>
  <c r="N2156" i="42" l="1"/>
  <c r="P2156" i="42" s="1"/>
  <c r="A2157" i="42"/>
  <c r="N2157" i="42" l="1"/>
  <c r="P2157" i="42" s="1"/>
  <c r="A2158" i="42"/>
  <c r="N2158" i="42" l="1"/>
  <c r="P2158" i="42" s="1"/>
  <c r="A2159" i="42"/>
  <c r="N2159" i="42" l="1"/>
  <c r="P2159" i="42" s="1"/>
  <c r="A2160" i="42"/>
  <c r="N2160" i="42" l="1"/>
  <c r="P2160" i="42" s="1"/>
  <c r="A2161" i="42"/>
  <c r="N2161" i="42" l="1"/>
  <c r="P2161" i="42" s="1"/>
  <c r="A2162" i="42"/>
  <c r="N2162" i="42" l="1"/>
  <c r="P2162" i="42" s="1"/>
  <c r="A2163" i="42"/>
  <c r="N2163" i="42" l="1"/>
  <c r="P2163" i="42" s="1"/>
  <c r="J15" i="12" s="1"/>
  <c r="A2164" i="42"/>
  <c r="N2164" i="42" l="1"/>
  <c r="P2164" i="42" s="1"/>
  <c r="A2165" i="42"/>
  <c r="A15" i="12"/>
  <c r="K15" i="12"/>
  <c r="N2165" i="42" l="1"/>
  <c r="P2165" i="42" s="1"/>
  <c r="A2166" i="42"/>
  <c r="N2166" i="42" l="1"/>
  <c r="P2166" i="42" s="1"/>
  <c r="A2167" i="42"/>
  <c r="N2167" i="42" l="1"/>
  <c r="P2167" i="42" s="1"/>
  <c r="A2168" i="42"/>
  <c r="N2168" i="42" l="1"/>
  <c r="P2168" i="42" s="1"/>
  <c r="A2169" i="42"/>
  <c r="N2169" i="42" l="1"/>
  <c r="A2170" i="42"/>
  <c r="N2170" i="42" l="1"/>
  <c r="P2170" i="42" s="1"/>
  <c r="A2171" i="42"/>
  <c r="N2171" i="42" l="1"/>
  <c r="P2171" i="42" s="1"/>
  <c r="A2172" i="42"/>
  <c r="N2172" i="42" l="1"/>
  <c r="P2172" i="42" s="1"/>
  <c r="A2173" i="42"/>
  <c r="N2173" i="42" l="1"/>
  <c r="P2173" i="42" s="1"/>
  <c r="A2174" i="42"/>
  <c r="N2174" i="42" l="1"/>
  <c r="P2174" i="42" s="1"/>
  <c r="A2175" i="42"/>
  <c r="N2175" i="42" l="1"/>
  <c r="P2175" i="42" s="1"/>
  <c r="A2176" i="42"/>
  <c r="N2176" i="42" l="1"/>
  <c r="P2176" i="42" s="1"/>
  <c r="A2177" i="42"/>
  <c r="N2177" i="42" l="1"/>
  <c r="P2177" i="42" s="1"/>
  <c r="A2178" i="42"/>
  <c r="N2178" i="42" l="1"/>
  <c r="P2178" i="42" s="1"/>
  <c r="A2179" i="42"/>
  <c r="N2179" i="42" l="1"/>
  <c r="P2179" i="42" s="1"/>
  <c r="A2180" i="42"/>
  <c r="N2180" i="42" l="1"/>
  <c r="P2180" i="42" s="1"/>
  <c r="A2181" i="42"/>
  <c r="N2181" i="42" l="1"/>
  <c r="P2181" i="42" s="1"/>
  <c r="A2182" i="42"/>
  <c r="N2182" i="42" l="1"/>
  <c r="P2182" i="42" s="1"/>
  <c r="A2183" i="42"/>
  <c r="N2183" i="42" l="1"/>
  <c r="P2183" i="42" s="1"/>
  <c r="A2184" i="42"/>
  <c r="N2184" i="42" l="1"/>
  <c r="P2184" i="42" s="1"/>
  <c r="A2185" i="42"/>
  <c r="N2185" i="42" l="1"/>
  <c r="P2185" i="42" s="1"/>
  <c r="A2186" i="42"/>
  <c r="N2186" i="42" l="1"/>
  <c r="P2186" i="42" s="1"/>
  <c r="Q72" i="66" s="1"/>
  <c r="A2187" i="42"/>
  <c r="N2187" i="42" l="1"/>
  <c r="P2187" i="42" s="1"/>
  <c r="A2188" i="42"/>
  <c r="R72" i="66"/>
  <c r="AC72" i="66"/>
  <c r="N2188" i="42" l="1"/>
  <c r="P2188" i="42" s="1"/>
  <c r="A2189" i="42"/>
  <c r="N2189" i="42" l="1"/>
  <c r="P2189" i="42" s="1"/>
  <c r="A2190" i="42"/>
  <c r="N2190" i="42" l="1"/>
  <c r="P2190" i="42" s="1"/>
  <c r="A2191" i="42"/>
  <c r="N2191" i="42" l="1"/>
  <c r="P2191" i="42" s="1"/>
  <c r="A2192" i="42"/>
  <c r="N2192" i="42" l="1"/>
  <c r="P2192" i="42" s="1"/>
  <c r="A2193" i="42"/>
  <c r="N2193" i="42" l="1"/>
  <c r="P2193" i="42" s="1"/>
  <c r="Q111" i="66" s="1"/>
  <c r="A2194" i="42"/>
  <c r="N2194" i="42" l="1"/>
  <c r="P2194" i="42" s="1"/>
  <c r="A2195" i="42"/>
  <c r="AC111" i="66"/>
  <c r="R111" i="66"/>
  <c r="N2195" i="42" l="1"/>
  <c r="P2195" i="42" s="1"/>
  <c r="A2196" i="42"/>
  <c r="N2196" i="42" l="1"/>
  <c r="P2196" i="42" s="1"/>
  <c r="A2197" i="42"/>
  <c r="N2197" i="42" l="1"/>
  <c r="P2197" i="42" s="1"/>
  <c r="J188" i="12" s="1"/>
  <c r="A2198" i="42"/>
  <c r="N2198" i="42" l="1"/>
  <c r="P2198" i="42" s="1"/>
  <c r="A2199" i="42"/>
  <c r="A188" i="12"/>
  <c r="K188" i="12"/>
  <c r="N2199" i="42" l="1"/>
  <c r="P2199" i="42" s="1"/>
  <c r="A2200" i="42"/>
  <c r="N2200" i="42" l="1"/>
  <c r="P2200" i="42" s="1"/>
  <c r="A2201" i="42"/>
  <c r="N2201" i="42" l="1"/>
  <c r="P2201" i="42" s="1"/>
  <c r="A2202" i="42"/>
  <c r="N2202" i="42" l="1"/>
  <c r="P2202" i="42" s="1"/>
  <c r="A2203" i="42"/>
  <c r="N2203" i="42" l="1"/>
  <c r="P2203" i="42" s="1"/>
  <c r="A2204" i="42"/>
  <c r="N2204" i="42" l="1"/>
  <c r="P2204" i="42" s="1"/>
  <c r="A2205" i="42"/>
  <c r="N2205" i="42" l="1"/>
  <c r="P2205" i="42" s="1"/>
  <c r="A2206" i="42"/>
  <c r="N2206" i="42" l="1"/>
  <c r="P2206" i="42" s="1"/>
  <c r="A2207" i="42"/>
  <c r="N2207" i="42" l="1"/>
  <c r="P2207" i="42" s="1"/>
  <c r="A2208" i="42"/>
  <c r="N2208" i="42" l="1"/>
  <c r="P2208" i="42" s="1"/>
  <c r="A2209" i="42"/>
  <c r="N2209" i="42" l="1"/>
  <c r="P2209" i="42" s="1"/>
  <c r="A2210" i="42"/>
  <c r="N2210" i="42" l="1"/>
  <c r="P2210" i="42" s="1"/>
  <c r="J152" i="12" s="1"/>
  <c r="A2211" i="42"/>
  <c r="N2211" i="42" l="1"/>
  <c r="P2211" i="42" s="1"/>
  <c r="A2212" i="42"/>
  <c r="A152" i="12"/>
  <c r="K152" i="12"/>
  <c r="N2212" i="42" l="1"/>
  <c r="P2212" i="42" s="1"/>
  <c r="A2213" i="42"/>
  <c r="N2213" i="42" l="1"/>
  <c r="P2213" i="42" s="1"/>
  <c r="A2214" i="42"/>
  <c r="N2214" i="42" l="1"/>
  <c r="P2214" i="42" s="1"/>
  <c r="A2215" i="42"/>
  <c r="N2215" i="42" l="1"/>
  <c r="P2215" i="42" s="1"/>
  <c r="A2216" i="42"/>
  <c r="N2216" i="42" l="1"/>
  <c r="P2216" i="42" s="1"/>
  <c r="Q410" i="66" s="1"/>
  <c r="A2217" i="42"/>
  <c r="N2217" i="42" l="1"/>
  <c r="P2217" i="42" s="1"/>
  <c r="Q411" i="66" s="1"/>
  <c r="A2218" i="42"/>
  <c r="R410" i="66"/>
  <c r="AC410" i="66"/>
  <c r="N2218" i="42" l="1"/>
  <c r="P2218" i="42" s="1"/>
  <c r="Q131" i="66" s="1"/>
  <c r="A2219" i="42"/>
  <c r="AC411" i="66"/>
  <c r="R411" i="66"/>
  <c r="N2219" i="42" l="1"/>
  <c r="P2219" i="42" s="1"/>
  <c r="A2220" i="42"/>
  <c r="R131" i="66"/>
  <c r="AC131" i="66"/>
  <c r="N2220" i="42" l="1"/>
  <c r="P2220" i="42" s="1"/>
  <c r="A2221" i="42"/>
  <c r="N2221" i="42" l="1"/>
  <c r="P2221" i="42" s="1"/>
  <c r="A2222" i="42"/>
  <c r="N2222" i="42" l="1"/>
  <c r="P2222" i="42" s="1"/>
  <c r="J33" i="12" s="1"/>
  <c r="A2223" i="42"/>
  <c r="N2223" i="42" l="1"/>
  <c r="P2223" i="42" s="1"/>
  <c r="A2224" i="42"/>
  <c r="K33" i="12"/>
  <c r="A33" i="12"/>
  <c r="N2224" i="42" l="1"/>
  <c r="P2224" i="42" s="1"/>
  <c r="A2225" i="42"/>
  <c r="N2225" i="42" l="1"/>
  <c r="P2225" i="42" s="1"/>
  <c r="A2226" i="42"/>
  <c r="N2226" i="42" l="1"/>
  <c r="P2226" i="42" s="1"/>
  <c r="J193" i="12" s="1"/>
  <c r="A2227" i="42"/>
  <c r="N2227" i="42" l="1"/>
  <c r="P2227" i="42" s="1"/>
  <c r="A2228" i="42"/>
  <c r="K193" i="12"/>
  <c r="A193" i="12"/>
  <c r="N2228" i="42" l="1"/>
  <c r="P2228" i="42" s="1"/>
  <c r="A2229" i="42"/>
  <c r="N2229" i="42" l="1"/>
  <c r="P2229" i="42" s="1"/>
  <c r="J105" i="12" s="1"/>
  <c r="A2230" i="42"/>
  <c r="N2230" i="42" l="1"/>
  <c r="P2230" i="42" s="1"/>
  <c r="A2231" i="42"/>
  <c r="A105" i="12"/>
  <c r="K105" i="12"/>
  <c r="N2231" i="42" l="1"/>
  <c r="P2231" i="42" s="1"/>
  <c r="A2232" i="42"/>
  <c r="N2232" i="42" l="1"/>
  <c r="P2232" i="42" s="1"/>
  <c r="A2233" i="42"/>
  <c r="N2233" i="42" l="1"/>
  <c r="P2233" i="42" s="1"/>
  <c r="A2234" i="42"/>
  <c r="N2234" i="42" l="1"/>
  <c r="P2234" i="42" s="1"/>
  <c r="J191" i="12" s="1"/>
  <c r="A2235" i="42"/>
  <c r="N2235" i="42" l="1"/>
  <c r="P2235" i="42" s="1"/>
  <c r="J102" i="12" s="1"/>
  <c r="A2236" i="42"/>
  <c r="K191" i="12"/>
  <c r="A191" i="12"/>
  <c r="N2236" i="42" l="1"/>
  <c r="P2236" i="42" s="1"/>
  <c r="J249" i="12" s="1"/>
  <c r="A2237" i="42"/>
  <c r="A102" i="12"/>
  <c r="K102" i="12"/>
  <c r="N2237" i="42" l="1"/>
  <c r="P2237" i="42" s="1"/>
  <c r="A2238" i="42"/>
  <c r="A249" i="12"/>
  <c r="K249" i="12"/>
  <c r="N2238" i="42" l="1"/>
  <c r="P2238" i="42" s="1"/>
  <c r="A2239" i="42"/>
  <c r="N2239" i="42" l="1"/>
  <c r="P2239" i="42" s="1"/>
  <c r="A2240" i="42"/>
  <c r="N2240" i="42" l="1"/>
  <c r="P2240" i="42" s="1"/>
  <c r="A2241" i="42"/>
  <c r="N2241" i="42" l="1"/>
  <c r="P2241" i="42" s="1"/>
  <c r="A2242" i="42"/>
  <c r="N2242" i="42" l="1"/>
  <c r="P2242" i="42" s="1"/>
  <c r="A2243" i="42"/>
  <c r="N2243" i="42" l="1"/>
  <c r="P2243" i="42" s="1"/>
  <c r="A2244" i="42"/>
  <c r="N2244" i="42" l="1"/>
  <c r="P2244" i="42" s="1"/>
  <c r="A2245" i="42"/>
  <c r="N2245" i="42" l="1"/>
  <c r="P2245" i="42" s="1"/>
  <c r="A2246" i="42"/>
  <c r="N2246" i="42" l="1"/>
  <c r="P2246" i="42" s="1"/>
  <c r="A2247" i="42"/>
  <c r="N2247" i="42" l="1"/>
  <c r="P2247" i="42" s="1"/>
  <c r="A2248" i="42"/>
  <c r="N2248" i="42" l="1"/>
  <c r="P2248" i="42" s="1"/>
  <c r="A2249" i="42"/>
  <c r="N2249" i="42" l="1"/>
  <c r="P2249" i="42" s="1"/>
  <c r="A2250" i="42"/>
  <c r="N2250" i="42" l="1"/>
  <c r="P2250" i="42" s="1"/>
  <c r="A2251" i="42"/>
  <c r="N2251" i="42" l="1"/>
  <c r="P2251" i="42" s="1"/>
  <c r="A2252" i="42"/>
  <c r="N2252" i="42" l="1"/>
  <c r="P2252" i="42" s="1"/>
  <c r="A2253" i="42"/>
  <c r="N2253" i="42" l="1"/>
  <c r="P2253" i="42" s="1"/>
  <c r="A2254" i="42"/>
  <c r="N2254" i="42" l="1"/>
  <c r="P2254" i="42" s="1"/>
  <c r="A2255" i="42"/>
  <c r="N2255" i="42" l="1"/>
  <c r="P2255" i="42" s="1"/>
  <c r="A2256" i="42"/>
  <c r="N2256" i="42" l="1"/>
  <c r="P2256" i="42" s="1"/>
  <c r="A2257" i="42"/>
  <c r="N2257" i="42" l="1"/>
  <c r="P2257" i="42" s="1"/>
  <c r="A2258" i="42"/>
  <c r="N2258" i="42" l="1"/>
  <c r="P2258" i="42" s="1"/>
  <c r="A2259" i="42"/>
  <c r="N2259" i="42" l="1"/>
  <c r="P2259" i="42" s="1"/>
  <c r="A2260" i="42"/>
  <c r="N2260" i="42" l="1"/>
  <c r="P2260" i="42" s="1"/>
  <c r="A2261" i="42"/>
  <c r="N2261" i="42" l="1"/>
  <c r="P2261" i="42" s="1"/>
  <c r="A2262" i="42"/>
  <c r="N2262" i="42" l="1"/>
  <c r="P2262" i="42" s="1"/>
  <c r="A2263" i="42"/>
  <c r="N2263" i="42" l="1"/>
  <c r="P2263" i="42" s="1"/>
  <c r="A2264" i="42"/>
  <c r="N2264" i="42" l="1"/>
  <c r="P2264" i="42" s="1"/>
  <c r="A2265" i="42"/>
  <c r="N2265" i="42" l="1"/>
  <c r="P2265" i="42" s="1"/>
  <c r="A2266" i="42"/>
  <c r="N2266" i="42" l="1"/>
  <c r="P2266" i="42" s="1"/>
  <c r="A2267" i="42"/>
  <c r="N2267" i="42" l="1"/>
  <c r="P2267" i="42" s="1"/>
  <c r="A2268" i="42"/>
  <c r="N2268" i="42" l="1"/>
  <c r="P2268" i="42" s="1"/>
  <c r="A2269" i="42"/>
  <c r="N2269" i="42" l="1"/>
  <c r="P2269" i="42" s="1"/>
  <c r="Q25" i="66" s="1"/>
  <c r="A2270" i="42"/>
  <c r="N2270" i="42" l="1"/>
  <c r="P2270" i="42" s="1"/>
  <c r="A2271" i="42"/>
  <c r="R25" i="66"/>
  <c r="R1031" i="66" s="1"/>
  <c r="AC25" i="66"/>
  <c r="AC1041" i="66" s="1"/>
  <c r="AC1043" i="66" s="1"/>
  <c r="N2271" i="42" l="1"/>
  <c r="P2271" i="42" s="1"/>
  <c r="A2272" i="42"/>
  <c r="N2272" i="42" l="1"/>
  <c r="P2272" i="42" s="1"/>
  <c r="A2273" i="42"/>
  <c r="N2273" i="42" l="1"/>
  <c r="P2273" i="42" s="1"/>
  <c r="A2274" i="42"/>
  <c r="N2274" i="42" l="1"/>
  <c r="P2274" i="42" s="1"/>
  <c r="A2275" i="42"/>
  <c r="N2275" i="42" l="1"/>
  <c r="P2275" i="42" s="1"/>
  <c r="A2276" i="42"/>
  <c r="N2276" i="42" l="1"/>
  <c r="P2276" i="42" s="1"/>
  <c r="A2277" i="42"/>
  <c r="N2277" i="42" l="1"/>
  <c r="P2277" i="42" s="1"/>
  <c r="A2278" i="42"/>
  <c r="N2278" i="42" l="1"/>
  <c r="P2278" i="42" s="1"/>
  <c r="A2279" i="42"/>
  <c r="N2279" i="42" l="1"/>
  <c r="P2279" i="42" s="1"/>
  <c r="A2280" i="42"/>
  <c r="N2280" i="42" l="1"/>
  <c r="P2280" i="42" s="1"/>
  <c r="A2281" i="42"/>
  <c r="N2281" i="42" l="1"/>
  <c r="P2281" i="42" s="1"/>
  <c r="A2282" i="42"/>
  <c r="N2282" i="42" l="1"/>
  <c r="P2282" i="42" s="1"/>
  <c r="A2283" i="42"/>
  <c r="N2283" i="42" l="1"/>
  <c r="P2283" i="42" s="1"/>
  <c r="A2284" i="42"/>
  <c r="N2284" i="42" l="1"/>
  <c r="P2284" i="42" s="1"/>
  <c r="A2285" i="42"/>
  <c r="N2285" i="42" l="1"/>
  <c r="P2285" i="42" s="1"/>
  <c r="A2286" i="42"/>
  <c r="N2286" i="42" l="1"/>
  <c r="P2286" i="42" s="1"/>
  <c r="A2287" i="42"/>
  <c r="N2287" i="42" l="1"/>
  <c r="P2287" i="42" s="1"/>
  <c r="A2288" i="42"/>
  <c r="N2288" i="42" l="1"/>
  <c r="P2288" i="42" s="1"/>
  <c r="A2289" i="42"/>
  <c r="N2289" i="42" l="1"/>
  <c r="P2289" i="42" s="1"/>
  <c r="A2290" i="42"/>
  <c r="N2290" i="42" l="1"/>
  <c r="P2290" i="42" s="1"/>
  <c r="A2291" i="42"/>
  <c r="N2291" i="42" l="1"/>
  <c r="P2291" i="42" s="1"/>
  <c r="A2292" i="42"/>
  <c r="N2292" i="42" l="1"/>
  <c r="P2292" i="42" s="1"/>
  <c r="A2293" i="42"/>
  <c r="N2293" i="42" l="1"/>
  <c r="P2293" i="42" s="1"/>
  <c r="A2294" i="42"/>
  <c r="N2294" i="42" l="1"/>
  <c r="P2294" i="42" s="1"/>
  <c r="A2295" i="42"/>
  <c r="N2295" i="42" l="1"/>
  <c r="P2295" i="42" s="1"/>
  <c r="A2296" i="42"/>
  <c r="N2296" i="42" l="1"/>
  <c r="P2296" i="42" s="1"/>
  <c r="A2297" i="42"/>
  <c r="N2297" i="42" l="1"/>
  <c r="P2297" i="42" s="1"/>
  <c r="A2298" i="42"/>
  <c r="N2298" i="42" l="1"/>
  <c r="P2298" i="42" s="1"/>
  <c r="A2299" i="42"/>
  <c r="N2299" i="42" l="1"/>
  <c r="P2299" i="42" s="1"/>
  <c r="A2300" i="42"/>
  <c r="N2300" i="42" l="1"/>
  <c r="P2300" i="42" s="1"/>
  <c r="A2301" i="42"/>
  <c r="N2301" i="42" l="1"/>
  <c r="P2301" i="42" s="1"/>
  <c r="A2302" i="42"/>
  <c r="N2302" i="42" l="1"/>
  <c r="P2302" i="42" s="1"/>
  <c r="A2303" i="42"/>
  <c r="N2303" i="42" l="1"/>
  <c r="P2303" i="42" s="1"/>
  <c r="A2304" i="42"/>
  <c r="N2304" i="42" l="1"/>
  <c r="P2304" i="42" s="1"/>
  <c r="A2305" i="42"/>
  <c r="N2305" i="42" l="1"/>
  <c r="P2305" i="42" s="1"/>
  <c r="A2306" i="42"/>
  <c r="N2306" i="42" l="1"/>
  <c r="P2306" i="42" s="1"/>
  <c r="A2307" i="42"/>
  <c r="N2307" i="42" l="1"/>
  <c r="P2307" i="42" s="1"/>
  <c r="A2308" i="42"/>
  <c r="N2308" i="42" l="1"/>
  <c r="P2308" i="42" s="1"/>
  <c r="A2309" i="42"/>
  <c r="N2309" i="42" l="1"/>
  <c r="P2309" i="42" s="1"/>
  <c r="A2310" i="42"/>
  <c r="N2310" i="42" l="1"/>
  <c r="P2310" i="42" s="1"/>
  <c r="A2311" i="42"/>
  <c r="N2311" i="42" l="1"/>
  <c r="P2311" i="42" s="1"/>
  <c r="A2312" i="42"/>
  <c r="N2312" i="42" l="1"/>
  <c r="P2312" i="42" s="1"/>
  <c r="A2313" i="42"/>
  <c r="N2313" i="42" l="1"/>
  <c r="P2313" i="42" s="1"/>
  <c r="A2314" i="42"/>
  <c r="N2314" i="42" l="1"/>
  <c r="P2314" i="42" s="1"/>
  <c r="A2315" i="42"/>
  <c r="J270" i="12"/>
  <c r="N2315" i="42" l="1"/>
  <c r="P2315" i="42" s="1"/>
  <c r="A2316" i="42"/>
  <c r="A270" i="12"/>
  <c r="K270" i="12"/>
  <c r="N2316" i="42" l="1"/>
  <c r="P2316" i="42" s="1"/>
  <c r="A2317" i="42"/>
  <c r="N2317" i="42" l="1"/>
  <c r="P2317" i="42" s="1"/>
  <c r="A2318" i="42"/>
  <c r="N2318" i="42" l="1"/>
  <c r="P2318" i="42" s="1"/>
  <c r="A2319" i="42"/>
  <c r="N2319" i="42" l="1"/>
  <c r="P2319" i="42" s="1"/>
  <c r="A2320" i="42"/>
  <c r="N2320" i="42" l="1"/>
  <c r="P2320" i="42" s="1"/>
  <c r="A2321" i="42"/>
  <c r="N2321" i="42" l="1"/>
  <c r="P2321" i="42" s="1"/>
  <c r="J202" i="12" s="1"/>
  <c r="A2322" i="42"/>
  <c r="N2322" i="42" l="1"/>
  <c r="P2322" i="42" s="1"/>
  <c r="A2323" i="42"/>
  <c r="K202" i="12"/>
  <c r="A202" i="12"/>
  <c r="N2323" i="42" l="1"/>
  <c r="P2323" i="42" s="1"/>
  <c r="A2324" i="42"/>
  <c r="N2324" i="42" l="1"/>
  <c r="P2324" i="42" s="1"/>
  <c r="A2325" i="42"/>
  <c r="N2325" i="42" l="1"/>
  <c r="P2325" i="42" s="1"/>
  <c r="A2326" i="42"/>
  <c r="N2326" i="42" l="1"/>
  <c r="P2326" i="42" s="1"/>
  <c r="A2327" i="42"/>
  <c r="N2327" i="42" l="1"/>
  <c r="P2327" i="42" s="1"/>
  <c r="A2328" i="42"/>
  <c r="N2328" i="42" l="1"/>
  <c r="P2328" i="42" s="1"/>
  <c r="A2329" i="42"/>
  <c r="N2329" i="42" l="1"/>
  <c r="P2329" i="42" s="1"/>
  <c r="A2330" i="42"/>
  <c r="N2330" i="42" l="1"/>
  <c r="P2330" i="42" s="1"/>
  <c r="A2331" i="42"/>
  <c r="N2331" i="42" l="1"/>
  <c r="P2331" i="42" s="1"/>
  <c r="A2332" i="42"/>
  <c r="N2332" i="42" l="1"/>
  <c r="P2332" i="42" s="1"/>
  <c r="A2333" i="42"/>
  <c r="N2333" i="42" l="1"/>
  <c r="P2333" i="42" s="1"/>
  <c r="A2334" i="42"/>
  <c r="N2334" i="42" l="1"/>
  <c r="P2334" i="42" s="1"/>
  <c r="J158" i="12" s="1"/>
  <c r="A2335" i="42"/>
  <c r="N2335" i="42" l="1"/>
  <c r="P2335" i="42" s="1"/>
  <c r="A2336" i="42"/>
  <c r="A158" i="12"/>
  <c r="K158" i="12"/>
  <c r="N2336" i="42" l="1"/>
  <c r="P2336" i="42" s="1"/>
  <c r="A2337" i="42"/>
  <c r="N2337" i="42" l="1"/>
  <c r="P2337" i="42" s="1"/>
  <c r="A2338" i="42"/>
  <c r="N2338" i="42" l="1"/>
  <c r="P2338" i="42" s="1"/>
  <c r="A2339" i="42"/>
  <c r="N2339" i="42" l="1"/>
  <c r="P2339" i="42" s="1"/>
  <c r="J203" i="12" s="1"/>
  <c r="A2340" i="42"/>
  <c r="N2340" i="42" l="1"/>
  <c r="P2340" i="42" s="1"/>
  <c r="A2341" i="42"/>
  <c r="K203" i="12"/>
  <c r="A203" i="12"/>
  <c r="N2341" i="42" l="1"/>
  <c r="P2341" i="42" s="1"/>
  <c r="A2342" i="42"/>
  <c r="N2342" i="42" l="1"/>
  <c r="P2342" i="42" s="1"/>
  <c r="A2343" i="42"/>
  <c r="N2343" i="42" l="1"/>
  <c r="P2343" i="42" s="1"/>
  <c r="A2344" i="42"/>
  <c r="N2344" i="42" l="1"/>
  <c r="P2344" i="42" s="1"/>
  <c r="A2345" i="42"/>
  <c r="N2345" i="42" l="1"/>
  <c r="P2345" i="42" s="1"/>
  <c r="A2346" i="42"/>
  <c r="N2346" i="42" l="1"/>
  <c r="P2346" i="42" s="1"/>
  <c r="J204" i="12" s="1"/>
  <c r="A2347" i="42"/>
  <c r="N2347" i="42" l="1"/>
  <c r="P2347" i="42" s="1"/>
  <c r="A2348" i="42"/>
  <c r="A204" i="12"/>
  <c r="K204" i="12"/>
  <c r="N2348" i="42" l="1"/>
  <c r="P2348" i="42" s="1"/>
  <c r="A2349" i="42"/>
  <c r="N2349" i="42" l="1"/>
  <c r="P2349" i="42" s="1"/>
  <c r="J205" i="12" s="1"/>
  <c r="A2350" i="42"/>
  <c r="N2350" i="42" l="1"/>
  <c r="P2350" i="42" s="1"/>
  <c r="A2351" i="42"/>
  <c r="K205" i="12"/>
  <c r="A205" i="12"/>
  <c r="N2351" i="42" l="1"/>
  <c r="P2351" i="42" s="1"/>
  <c r="A2352" i="42"/>
  <c r="N2352" i="42" l="1"/>
  <c r="P2352" i="42" s="1"/>
  <c r="J207" i="12" s="1"/>
  <c r="A2353" i="42"/>
  <c r="N2353" i="42" l="1"/>
  <c r="P2353" i="42" s="1"/>
  <c r="A2354" i="42"/>
  <c r="K207" i="12"/>
  <c r="A207" i="12"/>
  <c r="N2354" i="42" l="1"/>
  <c r="P2354" i="42" s="1"/>
  <c r="A2355" i="42"/>
  <c r="N2355" i="42" l="1"/>
  <c r="P2355" i="42" s="1"/>
  <c r="J210" i="12" s="1"/>
  <c r="A2356" i="42"/>
  <c r="N2356" i="42" l="1"/>
  <c r="P2356" i="42" s="1"/>
  <c r="A2357" i="42"/>
  <c r="K210" i="12"/>
  <c r="A210" i="12"/>
  <c r="N2357" i="42" l="1"/>
  <c r="P2357" i="42" s="1"/>
  <c r="A2358" i="42"/>
  <c r="N2358" i="42" l="1"/>
  <c r="P2358" i="42" s="1"/>
  <c r="J211" i="12" s="1"/>
  <c r="A2359" i="42"/>
  <c r="N2359" i="42" l="1"/>
  <c r="P2359" i="42" s="1"/>
  <c r="A2360" i="42"/>
  <c r="K211" i="12"/>
  <c r="A211" i="12"/>
  <c r="N2360" i="42" l="1"/>
  <c r="P2360" i="42" s="1"/>
  <c r="A2361" i="42"/>
  <c r="N2361" i="42" l="1"/>
  <c r="P2361" i="42" s="1"/>
  <c r="J119" i="12" s="1"/>
  <c r="A2362" i="42"/>
  <c r="N2362" i="42" l="1"/>
  <c r="P2362" i="42" s="1"/>
  <c r="A2363" i="42"/>
  <c r="K119" i="12"/>
  <c r="A119" i="12"/>
  <c r="N2363" i="42" l="1"/>
  <c r="P2363" i="42" s="1"/>
  <c r="A2364" i="42"/>
  <c r="N2364" i="42" l="1"/>
  <c r="P2364" i="42" s="1"/>
  <c r="J168" i="12" s="1"/>
  <c r="A2365" i="42"/>
  <c r="N2365" i="42" l="1"/>
  <c r="P2365" i="42" s="1"/>
  <c r="A2366" i="42"/>
  <c r="A168" i="12"/>
  <c r="K168" i="12"/>
  <c r="N2366" i="42" l="1"/>
  <c r="P2366" i="42" s="1"/>
  <c r="A2367" i="42"/>
  <c r="N2367" i="42" l="1"/>
  <c r="P2367" i="42" s="1"/>
  <c r="J212" i="12" s="1"/>
  <c r="A2368" i="42"/>
  <c r="N2368" i="42" l="1"/>
  <c r="P2368" i="42" s="1"/>
  <c r="A2369" i="42"/>
  <c r="K212" i="12"/>
  <c r="A212" i="12"/>
  <c r="N2369" i="42" l="1"/>
  <c r="P2369" i="42" s="1"/>
  <c r="A2370" i="42"/>
  <c r="N2370" i="42" l="1"/>
  <c r="P2370" i="42" s="1"/>
  <c r="J213" i="12" s="1"/>
  <c r="A2371" i="42"/>
  <c r="N2371" i="42" l="1"/>
  <c r="P2371" i="42" s="1"/>
  <c r="A2372" i="42"/>
  <c r="K213" i="12"/>
  <c r="A213" i="12"/>
  <c r="N2372" i="42" l="1"/>
  <c r="P2372" i="42" s="1"/>
  <c r="A2373" i="42"/>
  <c r="N2373" i="42" l="1"/>
  <c r="P2373" i="42" s="1"/>
  <c r="A2374" i="42"/>
  <c r="N2374" i="42" l="1"/>
  <c r="P2374" i="42" s="1"/>
  <c r="A2375" i="42"/>
  <c r="N2375" i="42" l="1"/>
  <c r="P2375" i="42" s="1"/>
  <c r="A2376" i="42"/>
  <c r="N2376" i="42" l="1"/>
  <c r="P2376" i="42" s="1"/>
  <c r="A2377" i="42"/>
  <c r="N2377" i="42" l="1"/>
  <c r="P2377" i="42" s="1"/>
  <c r="A2378" i="42"/>
  <c r="N2378" i="42" l="1"/>
  <c r="P2378" i="42" s="1"/>
  <c r="A2379" i="42"/>
  <c r="N2379" i="42" l="1"/>
  <c r="P2379" i="42" s="1"/>
  <c r="A2380" i="42"/>
  <c r="N2380" i="42" l="1"/>
  <c r="P2380" i="42" s="1"/>
  <c r="A2381" i="42"/>
  <c r="N2381" i="42" l="1"/>
  <c r="P2381" i="42" s="1"/>
  <c r="A2382" i="42"/>
  <c r="N2382" i="42" l="1"/>
  <c r="P2382" i="42" s="1"/>
  <c r="J206" i="12" s="1"/>
  <c r="A2383" i="42"/>
  <c r="N2383" i="42" l="1"/>
  <c r="P2383" i="42" s="1"/>
  <c r="A2384" i="42"/>
  <c r="A206" i="12"/>
  <c r="K206" i="12"/>
  <c r="N2384" i="42" l="1"/>
  <c r="P2384" i="42" s="1"/>
  <c r="A2385" i="42"/>
  <c r="N2385" i="42" l="1"/>
  <c r="P2385" i="42" s="1"/>
  <c r="J208" i="12" s="1"/>
  <c r="A2386" i="42"/>
  <c r="N2386" i="42" l="1"/>
  <c r="P2386" i="42" s="1"/>
  <c r="A2387" i="42"/>
  <c r="K208" i="12"/>
  <c r="A208" i="12"/>
  <c r="N2387" i="42" l="1"/>
  <c r="P2387" i="42" s="1"/>
  <c r="A2388" i="42"/>
  <c r="N2388" i="42" l="1"/>
  <c r="P2388" i="42" s="1"/>
  <c r="A2389" i="42"/>
  <c r="N2389" i="42" l="1"/>
  <c r="P2389" i="42" s="1"/>
  <c r="A2390" i="42"/>
  <c r="N2390" i="42" l="1"/>
  <c r="P2390" i="42" s="1"/>
  <c r="J209" i="12" s="1"/>
  <c r="A209" i="12" s="1"/>
  <c r="A2391" i="42"/>
  <c r="N2391" i="42" l="1"/>
  <c r="P2391" i="42" s="1"/>
  <c r="A2392" i="42"/>
  <c r="N2392" i="42" l="1"/>
  <c r="P2392" i="42" s="1"/>
  <c r="A2393" i="42"/>
  <c r="N2393" i="42" l="1"/>
  <c r="P2393" i="42" s="1"/>
  <c r="A2394" i="42"/>
  <c r="N2394" i="42" l="1"/>
  <c r="P2394" i="42" s="1"/>
  <c r="A2395" i="42"/>
  <c r="N2395" i="42" l="1"/>
  <c r="P2395" i="42" s="1"/>
  <c r="A2396" i="42"/>
  <c r="J260" i="12"/>
  <c r="N2396" i="42" l="1"/>
  <c r="P2396" i="42" s="1"/>
  <c r="A2397" i="42"/>
  <c r="A260" i="12"/>
  <c r="K260" i="12"/>
  <c r="N2397" i="42" l="1"/>
  <c r="P2397" i="42" s="1"/>
  <c r="A2398" i="42"/>
  <c r="N2398" i="42" l="1"/>
  <c r="P2398" i="42" s="1"/>
  <c r="A2399" i="42"/>
  <c r="N2399" i="42" l="1"/>
  <c r="P2399" i="42" s="1"/>
  <c r="A2400" i="42"/>
  <c r="N2400" i="42" l="1"/>
  <c r="P2400" i="42" s="1"/>
  <c r="A2401" i="42"/>
  <c r="N2401" i="42" l="1"/>
  <c r="P2401" i="42" s="1"/>
  <c r="A2402" i="42"/>
  <c r="N2402" i="42" l="1"/>
  <c r="P2402" i="42" s="1"/>
  <c r="A2403" i="42"/>
  <c r="N2403" i="42" l="1"/>
  <c r="P2403" i="42" s="1"/>
  <c r="J93" i="12" s="1"/>
  <c r="A2404" i="42"/>
  <c r="N2404" i="42" l="1"/>
  <c r="P2404" i="42" s="1"/>
  <c r="A2405" i="42"/>
  <c r="A93" i="12"/>
  <c r="K93" i="12"/>
  <c r="N2405" i="42" l="1"/>
  <c r="P2405" i="42" s="1"/>
  <c r="A2406" i="42"/>
  <c r="N2406" i="42" l="1"/>
  <c r="P2406" i="42" s="1"/>
  <c r="A2407" i="42"/>
  <c r="N2407" i="42" l="1"/>
  <c r="P2407" i="42" s="1"/>
  <c r="A2408" i="42"/>
  <c r="N2408" i="42" l="1"/>
  <c r="P2408" i="42" s="1"/>
  <c r="A2409" i="42"/>
  <c r="N2409" i="42" l="1"/>
  <c r="P2409" i="42" s="1"/>
  <c r="A2410" i="42"/>
  <c r="N2410" i="42" l="1"/>
  <c r="P2410" i="42" s="1"/>
  <c r="A2411" i="42"/>
  <c r="N2411" i="42" l="1"/>
  <c r="P2411" i="42" s="1"/>
  <c r="A2412" i="42"/>
  <c r="N2412" i="42" l="1"/>
  <c r="P2412" i="42" s="1"/>
  <c r="A2413" i="42"/>
  <c r="N2413" i="42" l="1"/>
  <c r="P2413" i="42" s="1"/>
  <c r="A2414" i="42"/>
  <c r="N2414" i="42" l="1"/>
  <c r="P2414" i="42" s="1"/>
  <c r="A2415" i="42"/>
  <c r="N2415" i="42" l="1"/>
  <c r="P2415" i="42" s="1"/>
  <c r="J106" i="12" s="1"/>
  <c r="A2416" i="42"/>
  <c r="N2416" i="42" l="1"/>
  <c r="A2417" i="42"/>
  <c r="A106" i="12"/>
  <c r="K106" i="12"/>
  <c r="N2417" i="42" l="1"/>
  <c r="A2418" i="42"/>
  <c r="N2418" i="42" l="1"/>
  <c r="A2419" i="42"/>
  <c r="N2419" i="42" l="1"/>
  <c r="A2420" i="42"/>
  <c r="N2420" i="42" l="1"/>
  <c r="A2421" i="42"/>
  <c r="N2421" i="42" l="1"/>
  <c r="A2422" i="42"/>
  <c r="N2422" i="42" l="1"/>
  <c r="A2423" i="42"/>
  <c r="N2423" i="42" l="1"/>
  <c r="A2424" i="42"/>
  <c r="N2424" i="42" l="1"/>
  <c r="A2425" i="42"/>
  <c r="N2425" i="42" l="1"/>
  <c r="A2426" i="42"/>
  <c r="N2426" i="42" l="1"/>
  <c r="A2427" i="42"/>
  <c r="N2427" i="42" l="1"/>
  <c r="A2428" i="42"/>
  <c r="N2428" i="42" l="1"/>
  <c r="A2429" i="42"/>
  <c r="N2429" i="42" l="1"/>
  <c r="A2430" i="42"/>
  <c r="N2430" i="42" l="1"/>
  <c r="A2431" i="42"/>
  <c r="N2431" i="42" l="1"/>
  <c r="A2432" i="42"/>
  <c r="N2432" i="42" l="1"/>
  <c r="A2433" i="42"/>
  <c r="N2433" i="42" l="1"/>
  <c r="A2434" i="42"/>
  <c r="N2434" i="42" l="1"/>
  <c r="A2435" i="42"/>
  <c r="N2435" i="42" l="1"/>
  <c r="A2436" i="42"/>
  <c r="N2436" i="42" l="1"/>
  <c r="A2437" i="42"/>
  <c r="N2437" i="42" l="1"/>
  <c r="P2437" i="42" s="1"/>
  <c r="A2438" i="42"/>
  <c r="N2438" i="42" l="1"/>
  <c r="P2438" i="42" s="1"/>
  <c r="A2439" i="42"/>
  <c r="N2439" i="42" l="1"/>
  <c r="P2439" i="42" s="1"/>
  <c r="A2440" i="42"/>
  <c r="N2440" i="42" l="1"/>
  <c r="P2440" i="42" s="1"/>
  <c r="A2441" i="42"/>
  <c r="N2441" i="42" l="1"/>
  <c r="P2441" i="42" s="1"/>
  <c r="A2442" i="42"/>
  <c r="N2442" i="42" l="1"/>
  <c r="P2442" i="42" s="1"/>
  <c r="A2443" i="42"/>
  <c r="N2443" i="42" l="1"/>
  <c r="P2443" i="42" s="1"/>
  <c r="A2444" i="42"/>
  <c r="N2444" i="42" l="1"/>
  <c r="P2444" i="42" s="1"/>
  <c r="A2445" i="42"/>
  <c r="N2445" i="42" l="1"/>
  <c r="P2445" i="42" s="1"/>
  <c r="A2446" i="42"/>
  <c r="N2446" i="42" l="1"/>
  <c r="P2446" i="42" s="1"/>
  <c r="A2447" i="42"/>
  <c r="N2447" i="42" l="1"/>
  <c r="P2447" i="42" s="1"/>
  <c r="A2448" i="42"/>
  <c r="N2448" i="42" l="1"/>
  <c r="P2448" i="42" s="1"/>
  <c r="A2449" i="42"/>
  <c r="N2449" i="42" l="1"/>
  <c r="P2449" i="42" s="1"/>
  <c r="A2450" i="42"/>
  <c r="N2450" i="42" l="1"/>
  <c r="P2450" i="42" s="1"/>
  <c r="A2451" i="42"/>
  <c r="N2451" i="42" l="1"/>
  <c r="P2451" i="42" s="1"/>
  <c r="A2452" i="42"/>
  <c r="N2452" i="42" l="1"/>
  <c r="P2452" i="42" s="1"/>
  <c r="A2453" i="42"/>
  <c r="N2453" i="42" l="1"/>
  <c r="P2453" i="42" s="1"/>
  <c r="A2454" i="42"/>
  <c r="N2454" i="42" l="1"/>
  <c r="P2454" i="42" s="1"/>
  <c r="A2455" i="42"/>
  <c r="N2455" i="42" l="1"/>
  <c r="P2455" i="42" s="1"/>
  <c r="A2456" i="42"/>
  <c r="N2456" i="42" l="1"/>
  <c r="P2456" i="42" s="1"/>
  <c r="A2457" i="42"/>
  <c r="N2457" i="42" l="1"/>
  <c r="P2457" i="42" s="1"/>
  <c r="A2458" i="42"/>
  <c r="N2458" i="42" l="1"/>
  <c r="P2458" i="42" s="1"/>
  <c r="A2459" i="42"/>
  <c r="N2459" i="42" l="1"/>
  <c r="P2459" i="42" s="1"/>
  <c r="A2460" i="42"/>
  <c r="N2460" i="42" l="1"/>
  <c r="P2460" i="42" s="1"/>
  <c r="A2461" i="42"/>
  <c r="N2461" i="42" l="1"/>
  <c r="P2461" i="42" s="1"/>
  <c r="A2462" i="42"/>
  <c r="N2462" i="42" l="1"/>
  <c r="P2462" i="42" s="1"/>
  <c r="A2463" i="42"/>
  <c r="N2463" i="42" l="1"/>
  <c r="P2463" i="42" s="1"/>
  <c r="A2464" i="42"/>
  <c r="N2464" i="42" l="1"/>
  <c r="P2464" i="42" s="1"/>
  <c r="A2465" i="42"/>
  <c r="N2465" i="42" l="1"/>
  <c r="P2465" i="42" s="1"/>
  <c r="A2466" i="42"/>
  <c r="N2466" i="42" l="1"/>
  <c r="P2466" i="42" s="1"/>
  <c r="A2467" i="42"/>
  <c r="N2467" i="42" l="1"/>
  <c r="P2467" i="42" s="1"/>
  <c r="A2468" i="42"/>
  <c r="N2468" i="42" l="1"/>
  <c r="P2468" i="42" s="1"/>
  <c r="A2469" i="42"/>
  <c r="N2469" i="42" l="1"/>
  <c r="P2469" i="42" s="1"/>
  <c r="J64" i="12" s="1"/>
  <c r="A2470" i="42"/>
  <c r="N2470" i="42" l="1"/>
  <c r="P2470" i="42" s="1"/>
  <c r="A2471" i="42"/>
  <c r="A64" i="12"/>
  <c r="K64" i="12"/>
  <c r="N2471" i="42" l="1"/>
  <c r="P2471" i="42" s="1"/>
  <c r="A2472" i="42"/>
  <c r="N2472" i="42" l="1"/>
  <c r="P2472" i="42" s="1"/>
  <c r="A2473" i="42"/>
  <c r="N2473" i="42" l="1"/>
  <c r="P2473" i="42" s="1"/>
  <c r="A2474" i="42"/>
  <c r="N2474" i="42" l="1"/>
  <c r="P2474" i="42" s="1"/>
  <c r="A2475" i="42"/>
  <c r="N2475" i="42" l="1"/>
  <c r="P2475" i="42" s="1"/>
  <c r="A2476" i="42"/>
  <c r="N2476" i="42" l="1"/>
  <c r="P2476" i="42" s="1"/>
  <c r="A2477" i="42"/>
  <c r="N2477" i="42" l="1"/>
  <c r="P2477" i="42" s="1"/>
  <c r="A2478" i="42"/>
  <c r="N2478" i="42" l="1"/>
  <c r="P2478" i="42" s="1"/>
  <c r="A2479" i="42"/>
  <c r="N2479" i="42" l="1"/>
  <c r="P2479" i="42" s="1"/>
  <c r="A2480" i="42"/>
  <c r="N2480" i="42" l="1"/>
  <c r="P2480" i="42" s="1"/>
  <c r="A2481" i="42"/>
  <c r="N2481" i="42" l="1"/>
  <c r="P2481" i="42" s="1"/>
  <c r="A2482" i="42"/>
  <c r="N2482" i="42" l="1"/>
  <c r="P2482" i="42" s="1"/>
  <c r="A2483" i="42"/>
  <c r="N2483" i="42" l="1"/>
  <c r="P2483" i="42" s="1"/>
  <c r="A2484" i="42"/>
  <c r="N2484" i="42" l="1"/>
  <c r="P2484" i="42" s="1"/>
  <c r="A2485" i="42"/>
  <c r="N2485" i="42" l="1"/>
  <c r="P2485" i="42" s="1"/>
  <c r="A2486" i="42"/>
  <c r="N2486" i="42" l="1"/>
  <c r="P2486" i="42" s="1"/>
  <c r="A2487" i="42"/>
  <c r="N2487" i="42" l="1"/>
  <c r="P2487" i="42" s="1"/>
  <c r="A2488" i="42"/>
  <c r="N2488" i="42" l="1"/>
  <c r="P2488" i="42" s="1"/>
  <c r="A2489" i="42"/>
  <c r="N2489" i="42" l="1"/>
  <c r="P2489" i="42" s="1"/>
  <c r="A2490" i="42"/>
  <c r="N2490" i="42" l="1"/>
  <c r="P2490" i="42" s="1"/>
  <c r="A2491" i="42"/>
  <c r="N2491" i="42" l="1"/>
  <c r="P2491" i="42" s="1"/>
  <c r="A2492" i="42"/>
  <c r="N2492" i="42" l="1"/>
  <c r="P2492" i="42" s="1"/>
  <c r="A2493" i="42"/>
  <c r="N2493" i="42" l="1"/>
  <c r="P2493" i="42" s="1"/>
  <c r="A2494" i="42"/>
  <c r="N2494" i="42" l="1"/>
  <c r="P2494" i="42" s="1"/>
  <c r="A2495" i="42"/>
  <c r="N2495" i="42" l="1"/>
  <c r="P2495" i="42" s="1"/>
  <c r="A2496" i="42"/>
  <c r="N2496" i="42" l="1"/>
  <c r="P2496" i="42" s="1"/>
  <c r="A2497" i="42"/>
  <c r="N2497" i="42" l="1"/>
  <c r="P2497" i="42" s="1"/>
  <c r="A2498" i="42"/>
  <c r="N2498" i="42" l="1"/>
  <c r="P2498" i="42" s="1"/>
  <c r="A2499" i="42"/>
  <c r="N2499" i="42" l="1"/>
  <c r="P2499" i="42" s="1"/>
  <c r="A2500" i="42"/>
  <c r="N2500" i="42" l="1"/>
  <c r="P2500" i="42" s="1"/>
  <c r="A2501" i="42"/>
  <c r="N2501" i="42" l="1"/>
  <c r="P2501" i="42" s="1"/>
  <c r="A2502" i="42"/>
  <c r="N2502" i="42" l="1"/>
  <c r="P2502" i="42" s="1"/>
  <c r="A2503" i="42"/>
  <c r="N2503" i="42" l="1"/>
  <c r="P2503" i="42" s="1"/>
  <c r="A2504" i="42"/>
  <c r="N2504" i="42" l="1"/>
  <c r="P2504" i="42" s="1"/>
  <c r="A2505" i="42"/>
  <c r="N2505" i="42" l="1"/>
  <c r="P2505" i="42" s="1"/>
  <c r="A2506" i="42"/>
  <c r="N2506" i="42" l="1"/>
  <c r="P2506" i="42" s="1"/>
  <c r="A2507" i="42"/>
  <c r="N2507" i="42" l="1"/>
  <c r="P2507" i="42" s="1"/>
  <c r="A2508" i="42"/>
  <c r="N2508" i="42" l="1"/>
  <c r="P2508" i="42" s="1"/>
  <c r="A2509" i="42"/>
  <c r="N2509" i="42" l="1"/>
  <c r="P2509" i="42" s="1"/>
  <c r="A2510" i="42"/>
  <c r="N2510" i="42" l="1"/>
  <c r="P2510" i="42" s="1"/>
  <c r="A2511" i="42"/>
  <c r="N2511" i="42" l="1"/>
  <c r="P2511" i="42" s="1"/>
  <c r="A2512" i="42"/>
  <c r="N2512" i="42" l="1"/>
  <c r="P2512" i="42" s="1"/>
  <c r="A2513" i="42"/>
  <c r="N2513" i="42" l="1"/>
  <c r="P2513" i="42" s="1"/>
  <c r="A2514" i="42"/>
  <c r="N2514" i="42" l="1"/>
  <c r="P2514" i="42" s="1"/>
  <c r="A2515" i="42"/>
  <c r="N2515" i="42" l="1"/>
  <c r="P2515" i="42" s="1"/>
  <c r="A2516" i="42"/>
  <c r="N2516" i="42" l="1"/>
  <c r="P2516" i="42" s="1"/>
  <c r="A2517" i="42"/>
  <c r="N2517" i="42" l="1"/>
  <c r="P2517" i="42" s="1"/>
  <c r="A2518" i="42"/>
  <c r="N2518" i="42" l="1"/>
  <c r="P2518" i="42" s="1"/>
  <c r="A2519" i="42"/>
  <c r="N2519" i="42" l="1"/>
  <c r="P2519" i="42" s="1"/>
  <c r="A2520" i="42"/>
  <c r="N2520" i="42" l="1"/>
  <c r="P2520" i="42" s="1"/>
  <c r="A2521" i="42"/>
  <c r="N2521" i="42" l="1"/>
  <c r="P2521" i="42" s="1"/>
  <c r="A2522" i="42"/>
  <c r="N2522" i="42" l="1"/>
  <c r="P2522" i="42" s="1"/>
  <c r="A2523" i="42"/>
  <c r="N2523" i="42" l="1"/>
  <c r="P2523" i="42" s="1"/>
  <c r="A2524" i="42"/>
  <c r="N2524" i="42" l="1"/>
  <c r="P2524" i="42" s="1"/>
  <c r="A2525" i="42"/>
  <c r="N2525" i="42" l="1"/>
  <c r="P2525" i="42" s="1"/>
  <c r="A2526" i="42"/>
  <c r="N2526" i="42" l="1"/>
  <c r="P2526" i="42" s="1"/>
  <c r="A2527" i="42"/>
  <c r="N2527" i="42" l="1"/>
  <c r="P2527" i="42" s="1"/>
  <c r="A2528" i="42"/>
  <c r="N2528" i="42" l="1"/>
  <c r="P2528" i="42" s="1"/>
  <c r="A2529" i="42"/>
  <c r="N2529" i="42" l="1"/>
  <c r="P2529" i="42" s="1"/>
  <c r="A2530" i="42"/>
  <c r="N2530" i="42" l="1"/>
  <c r="P2530" i="42" s="1"/>
  <c r="A2531" i="42"/>
  <c r="N2531" i="42" l="1"/>
  <c r="P2531" i="42" s="1"/>
  <c r="A2532" i="42"/>
  <c r="N2532" i="42" l="1"/>
  <c r="P2532" i="42" s="1"/>
  <c r="A2533" i="42"/>
  <c r="N2533" i="42" l="1"/>
  <c r="P2533" i="42" s="1"/>
  <c r="A2534" i="42"/>
  <c r="N2534" i="42" l="1"/>
  <c r="P2534" i="42" s="1"/>
  <c r="A2535" i="42"/>
  <c r="N2535" i="42" l="1"/>
  <c r="P2535" i="42" s="1"/>
  <c r="A2536" i="42"/>
  <c r="N2536" i="42" l="1"/>
  <c r="P2536" i="42" s="1"/>
  <c r="A2537" i="42"/>
  <c r="N2537" i="42" l="1"/>
  <c r="P2537" i="42" s="1"/>
  <c r="A2538" i="42"/>
  <c r="N2538" i="42" l="1"/>
  <c r="P2538" i="42" s="1"/>
  <c r="A2539" i="42"/>
  <c r="N2539" i="42" l="1"/>
  <c r="P2539" i="42" s="1"/>
  <c r="A2540" i="42"/>
  <c r="N2540" i="42" l="1"/>
  <c r="P2540" i="42" s="1"/>
  <c r="A2541" i="42"/>
  <c r="N2541" i="42" l="1"/>
  <c r="P2541" i="42" s="1"/>
  <c r="A2542" i="42"/>
  <c r="N2542" i="42" l="1"/>
  <c r="P2542" i="42" s="1"/>
  <c r="A2543" i="42"/>
  <c r="N2543" i="42" l="1"/>
  <c r="P2543" i="42" s="1"/>
  <c r="A2544" i="42"/>
  <c r="N2544" i="42" l="1"/>
  <c r="P2544" i="42" s="1"/>
  <c r="A2545" i="42"/>
  <c r="N2545" i="42" l="1"/>
  <c r="P2545" i="42" s="1"/>
  <c r="A2546" i="42"/>
  <c r="N2546" i="42" l="1"/>
  <c r="P2546" i="42" s="1"/>
  <c r="A2547" i="42"/>
  <c r="N2547" i="42" l="1"/>
  <c r="P2547" i="42" s="1"/>
  <c r="A2548" i="42"/>
  <c r="N2548" i="42" l="1"/>
  <c r="P2548" i="42" s="1"/>
  <c r="A2549" i="42"/>
  <c r="J271" i="12"/>
  <c r="K271" i="12" l="1"/>
  <c r="A271" i="12"/>
  <c r="N2549" i="42"/>
  <c r="P2549" i="42" s="1"/>
  <c r="A2550" i="42"/>
  <c r="N2550" i="42" l="1"/>
  <c r="P2550" i="42" s="1"/>
  <c r="A2551" i="42"/>
  <c r="N2551" i="42" l="1"/>
  <c r="P2551" i="42" s="1"/>
  <c r="A2552" i="42"/>
  <c r="N2552" i="42" l="1"/>
  <c r="P2552" i="42" s="1"/>
  <c r="A2553" i="42"/>
  <c r="N2553" i="42" l="1"/>
  <c r="P2553" i="42" s="1"/>
  <c r="A2554" i="42"/>
  <c r="N2554" i="42" l="1"/>
  <c r="P2554" i="42" s="1"/>
  <c r="A2555" i="42"/>
  <c r="N2555" i="42" l="1"/>
  <c r="P2555" i="42" s="1"/>
  <c r="A2556" i="42"/>
  <c r="N2556" i="42" l="1"/>
  <c r="P2556" i="42" s="1"/>
  <c r="A2557" i="42"/>
  <c r="N2557" i="42" l="1"/>
  <c r="P2557" i="42" s="1"/>
  <c r="A2558" i="42"/>
  <c r="N2558" i="42" l="1"/>
  <c r="P2558" i="42" s="1"/>
  <c r="A2559" i="42"/>
  <c r="N2559" i="42" l="1"/>
  <c r="P2559" i="42" s="1"/>
  <c r="A2560" i="42"/>
  <c r="N2560" i="42" l="1"/>
  <c r="P2560" i="42" s="1"/>
  <c r="J245" i="12" s="1"/>
  <c r="A2561" i="42"/>
  <c r="N2561" i="42" l="1"/>
  <c r="P2561" i="42" s="1"/>
  <c r="A2562" i="42"/>
  <c r="K245" i="12"/>
  <c r="A245" i="12"/>
  <c r="N2562" i="42" l="1"/>
  <c r="P2562" i="42" s="1"/>
  <c r="A2563" i="42"/>
  <c r="N2563" i="42" l="1"/>
  <c r="P2563" i="42" s="1"/>
  <c r="A2564" i="42"/>
  <c r="N2564" i="42" l="1"/>
  <c r="P2564" i="42" s="1"/>
  <c r="A2565" i="42"/>
  <c r="N2565" i="42" l="1"/>
  <c r="P2565" i="42" s="1"/>
  <c r="A2566" i="42"/>
  <c r="N2566" i="42" l="1"/>
  <c r="P2566" i="42" s="1"/>
  <c r="A2567" i="42"/>
  <c r="N2567" i="42" l="1"/>
  <c r="P2567" i="42" s="1"/>
  <c r="A2568" i="42"/>
  <c r="N2568" i="42" l="1"/>
  <c r="P2568" i="42" s="1"/>
  <c r="J246" i="12" s="1"/>
  <c r="A2569" i="42"/>
  <c r="N2569" i="42" l="1"/>
  <c r="P2569" i="42" s="1"/>
  <c r="A2570" i="42"/>
  <c r="A246" i="12"/>
  <c r="K246" i="12"/>
  <c r="N2570" i="42" l="1"/>
  <c r="P2570" i="42" s="1"/>
  <c r="A2571" i="42"/>
  <c r="N2571" i="42" l="1"/>
  <c r="P2571" i="42" s="1"/>
  <c r="A2572" i="42"/>
  <c r="N2572" i="42" l="1"/>
  <c r="P2572" i="42" s="1"/>
  <c r="A2573" i="42"/>
  <c r="N2573" i="42" l="1"/>
  <c r="P2573" i="42" s="1"/>
  <c r="A2574" i="42"/>
  <c r="N2574" i="42" l="1"/>
  <c r="P2574" i="42" s="1"/>
  <c r="A2575" i="42"/>
  <c r="N2575" i="42" l="1"/>
  <c r="P2575" i="42" s="1"/>
  <c r="A2576" i="42"/>
  <c r="N2576" i="42" l="1"/>
  <c r="P2576" i="42" s="1"/>
  <c r="A2577" i="42"/>
  <c r="N2577" i="42" l="1"/>
  <c r="P2577" i="42" s="1"/>
  <c r="A2578" i="42"/>
  <c r="N2578" i="42" l="1"/>
  <c r="P2578" i="42" s="1"/>
  <c r="A2579" i="42"/>
  <c r="N2579" i="42" l="1"/>
  <c r="P2579" i="42" s="1"/>
  <c r="A2580" i="42"/>
  <c r="N2580" i="42" l="1"/>
  <c r="P2580" i="42" s="1"/>
  <c r="A2581" i="42"/>
  <c r="N2581" i="42" l="1"/>
  <c r="P2581" i="42" s="1"/>
  <c r="A2582" i="42"/>
  <c r="N2582" i="42" l="1"/>
  <c r="P2582" i="42" s="1"/>
  <c r="A2583" i="42"/>
  <c r="N2583" i="42" l="1"/>
  <c r="P2583" i="42" s="1"/>
  <c r="A2584" i="42"/>
  <c r="N2584" i="42" l="1"/>
  <c r="P2584" i="42" s="1"/>
  <c r="A2585" i="42"/>
  <c r="N2585" i="42" l="1"/>
  <c r="P2585" i="42" s="1"/>
  <c r="A2586" i="42"/>
  <c r="N2586" i="42" l="1"/>
  <c r="P2586" i="42" s="1"/>
  <c r="A2587" i="42"/>
  <c r="N2587" i="42" l="1"/>
  <c r="P2587" i="42" s="1"/>
  <c r="A2588" i="42"/>
  <c r="N2588" i="42" l="1"/>
  <c r="P2588" i="42" s="1"/>
  <c r="A2589" i="42"/>
  <c r="N2589" i="42" l="1"/>
  <c r="P2589" i="42" s="1"/>
  <c r="A2590" i="42"/>
  <c r="N2590" i="42" l="1"/>
  <c r="A2591" i="42"/>
  <c r="N2591" i="42" l="1"/>
  <c r="A2592" i="42"/>
  <c r="N2592" i="42" l="1"/>
  <c r="P2592" i="42" s="1"/>
  <c r="A2593" i="42"/>
  <c r="N2593" i="42" l="1"/>
  <c r="P2593" i="42" s="1"/>
  <c r="A2594" i="42"/>
  <c r="N2594" i="42" l="1"/>
  <c r="P2594" i="42" s="1"/>
  <c r="A2595" i="42"/>
  <c r="N2595" i="42" l="1"/>
  <c r="P2595" i="42" s="1"/>
  <c r="A2596" i="42"/>
  <c r="N2596" i="42" l="1"/>
  <c r="P2596" i="42" s="1"/>
  <c r="A2597" i="42"/>
  <c r="N2597" i="42" l="1"/>
  <c r="P2597" i="42" s="1"/>
  <c r="A2598" i="42"/>
  <c r="N2598" i="42" l="1"/>
  <c r="A2599" i="42"/>
  <c r="N2599" i="42" l="1"/>
  <c r="A2600" i="42"/>
  <c r="N2600" i="42" l="1"/>
  <c r="A2601" i="42"/>
  <c r="N2601" i="42" l="1"/>
  <c r="P2601" i="42" s="1"/>
  <c r="A2602" i="42"/>
  <c r="N2602" i="42" l="1"/>
  <c r="P2602" i="42" s="1"/>
  <c r="A2603" i="42"/>
  <c r="N2603" i="42" l="1"/>
  <c r="P2603" i="42" s="1"/>
  <c r="A2604" i="42"/>
  <c r="N2604" i="42" l="1"/>
  <c r="P2604" i="42" s="1"/>
  <c r="A2605" i="42"/>
  <c r="N2605" i="42" l="1"/>
  <c r="P2605" i="42" s="1"/>
  <c r="A2606" i="42"/>
  <c r="N2606" i="42" l="1"/>
  <c r="P2606" i="42" s="1"/>
  <c r="A2607" i="42"/>
  <c r="N2607" i="42" l="1"/>
  <c r="A2608" i="42"/>
  <c r="N2608" i="42" l="1"/>
  <c r="A2609" i="42"/>
  <c r="N2609" i="42" l="1"/>
  <c r="P2609" i="42" s="1"/>
  <c r="A2610" i="42"/>
  <c r="N2610" i="42" l="1"/>
  <c r="P2610" i="42" s="1"/>
  <c r="A2611" i="42"/>
  <c r="N2611" i="42" l="1"/>
  <c r="P2611" i="42" s="1"/>
  <c r="A2612" i="42"/>
  <c r="N2612" i="42" l="1"/>
  <c r="P2612" i="42" s="1"/>
  <c r="A2613" i="42"/>
  <c r="N2613" i="42" l="1"/>
  <c r="P2613" i="42" s="1"/>
  <c r="A2614" i="42"/>
  <c r="N2614" i="42" l="1"/>
  <c r="P2614" i="42" s="1"/>
  <c r="A2615" i="42"/>
  <c r="N2615" i="42" l="1"/>
  <c r="P2615" i="42" s="1"/>
  <c r="A2616" i="42"/>
  <c r="N2616" i="42" l="1"/>
  <c r="P2616" i="42" s="1"/>
  <c r="A2617" i="42"/>
  <c r="N2617" i="42" l="1"/>
  <c r="P2617" i="42" s="1"/>
  <c r="A2618" i="42"/>
  <c r="N2618" i="42" l="1"/>
  <c r="P2618" i="42" s="1"/>
  <c r="J114" i="12" s="1"/>
  <c r="A2619" i="42"/>
  <c r="N2619" i="42" l="1"/>
  <c r="P2619" i="42" s="1"/>
  <c r="A2620" i="42"/>
  <c r="K114" i="12"/>
  <c r="A114" i="12"/>
  <c r="N2620" i="42" l="1"/>
  <c r="P2620" i="42" s="1"/>
  <c r="A2621" i="42"/>
  <c r="N2621" i="42" l="1"/>
  <c r="P2621" i="42" s="1"/>
  <c r="A2622" i="42"/>
  <c r="N2622" i="42" l="1"/>
  <c r="P2622" i="42" s="1"/>
  <c r="A2623" i="42"/>
  <c r="N2623" i="42" l="1"/>
  <c r="P2623" i="42" s="1"/>
  <c r="A2624" i="42"/>
  <c r="N2624" i="42" l="1"/>
  <c r="P2624" i="42" s="1"/>
  <c r="A2625" i="42"/>
  <c r="N2625" i="42" l="1"/>
  <c r="P2625" i="42" s="1"/>
  <c r="A2626" i="42"/>
  <c r="N2626" i="42" l="1"/>
  <c r="P2626" i="42" s="1"/>
  <c r="A2627" i="42"/>
  <c r="N2627" i="42" l="1"/>
  <c r="P2627" i="42" s="1"/>
  <c r="A2628" i="42"/>
  <c r="N2628" i="42" l="1"/>
  <c r="P2628" i="42" s="1"/>
  <c r="A2629" i="42"/>
  <c r="N2629" i="42" l="1"/>
  <c r="P2629" i="42" s="1"/>
  <c r="A2630" i="42"/>
  <c r="N2630" i="42" l="1"/>
  <c r="P2630" i="42" s="1"/>
  <c r="A2631" i="42"/>
  <c r="N2631" i="42" l="1"/>
  <c r="P2631" i="42" s="1"/>
  <c r="A2632" i="42"/>
  <c r="N2632" i="42" l="1"/>
  <c r="P2632" i="42" s="1"/>
  <c r="A2633" i="42"/>
  <c r="N2633" i="42" l="1"/>
  <c r="P2633" i="42" s="1"/>
  <c r="A2634" i="42"/>
  <c r="N2634" i="42" l="1"/>
  <c r="P2634" i="42" s="1"/>
  <c r="A2635" i="42"/>
  <c r="N2635" i="42" l="1"/>
  <c r="P2635" i="42" s="1"/>
  <c r="A2636" i="42"/>
  <c r="N2636" i="42" l="1"/>
  <c r="P2636" i="42" s="1"/>
  <c r="A2637" i="42"/>
  <c r="N2637" i="42" l="1"/>
  <c r="P2637" i="42" s="1"/>
  <c r="A2638" i="42"/>
  <c r="N2638" i="42" l="1"/>
  <c r="P2638" i="42" s="1"/>
  <c r="A2639" i="42"/>
  <c r="N2639" i="42" l="1"/>
  <c r="P2639" i="42" s="1"/>
  <c r="A2640" i="42"/>
  <c r="N2640" i="42" l="1"/>
  <c r="P2640" i="42" s="1"/>
  <c r="A2641" i="42"/>
  <c r="N2641" i="42" l="1"/>
  <c r="P2641" i="42" s="1"/>
  <c r="A2642" i="42"/>
  <c r="N2642" i="42" l="1"/>
  <c r="P2642" i="42" s="1"/>
  <c r="A2643" i="42"/>
  <c r="N2643" i="42" l="1"/>
  <c r="P2643" i="42" s="1"/>
  <c r="J85" i="12" s="1"/>
  <c r="A2644" i="42"/>
  <c r="N2644" i="42" l="1"/>
  <c r="P2644" i="42" s="1"/>
  <c r="A2645" i="42"/>
  <c r="A85" i="12"/>
  <c r="K85" i="12"/>
  <c r="N2645" i="42" l="1"/>
  <c r="P2645" i="42" s="1"/>
  <c r="A2646" i="42"/>
  <c r="N2646" i="42" l="1"/>
  <c r="P2646" i="42" s="1"/>
  <c r="A2647" i="42"/>
  <c r="N2647" i="42" l="1"/>
  <c r="P2647" i="42" s="1"/>
  <c r="A2648" i="42"/>
  <c r="N2648" i="42" l="1"/>
  <c r="P2648" i="42" s="1"/>
  <c r="A2649" i="42"/>
  <c r="N2649" i="42" l="1"/>
  <c r="P2649" i="42" s="1"/>
  <c r="A2650" i="42"/>
  <c r="N2650" i="42" l="1"/>
  <c r="P2650" i="42" s="1"/>
  <c r="A2651" i="42"/>
  <c r="N2651" i="42" l="1"/>
  <c r="P2651" i="42" s="1"/>
  <c r="A2652" i="42"/>
  <c r="A2653" i="42" s="1"/>
  <c r="A2654" i="42" s="1"/>
  <c r="A2655" i="42" s="1"/>
  <c r="A2656" i="42" s="1"/>
  <c r="A2657" i="42" s="1"/>
  <c r="N2657" i="42" l="1"/>
  <c r="P2657" i="42" s="1"/>
  <c r="A2658" i="42"/>
  <c r="N2658" i="42" l="1"/>
  <c r="P2658" i="42" s="1"/>
  <c r="A2659" i="42"/>
  <c r="N2659" i="42" l="1"/>
  <c r="P2659" i="42" s="1"/>
  <c r="J19" i="12" s="1"/>
  <c r="A2660" i="42"/>
  <c r="N2660" i="42" l="1"/>
  <c r="P2660" i="42" s="1"/>
  <c r="A2661" i="42"/>
  <c r="K19" i="12"/>
  <c r="A19" i="12"/>
  <c r="N2661" i="42" l="1"/>
  <c r="P2661" i="42" s="1"/>
  <c r="A2662" i="42"/>
  <c r="N2662" i="42" l="1"/>
  <c r="P2662" i="42" s="1"/>
  <c r="A2663" i="42"/>
  <c r="N2663" i="42" l="1"/>
  <c r="P2663" i="42" s="1"/>
  <c r="A2664" i="42"/>
  <c r="N2664" i="42" l="1"/>
  <c r="P2664" i="42" s="1"/>
  <c r="A2665" i="42"/>
  <c r="N2665" i="42" l="1"/>
  <c r="P2665" i="42" s="1"/>
  <c r="A2666" i="42"/>
  <c r="N2666" i="42" l="1"/>
  <c r="P2666" i="42" s="1"/>
  <c r="A2667" i="42"/>
  <c r="N2667" i="42" l="1"/>
  <c r="P2667" i="42" s="1"/>
  <c r="A2668" i="42"/>
  <c r="N2668" i="42" l="1"/>
  <c r="P2668" i="42" s="1"/>
  <c r="A2669" i="42"/>
  <c r="N2669" i="42" l="1"/>
  <c r="P2669" i="42" s="1"/>
  <c r="A2670" i="42"/>
  <c r="N2670" i="42" l="1"/>
  <c r="P2670" i="42" s="1"/>
  <c r="A2671" i="42"/>
  <c r="N2671" i="42" l="1"/>
  <c r="P2671" i="42" s="1"/>
  <c r="A2672" i="42"/>
  <c r="N2672" i="42" l="1"/>
  <c r="P2672" i="42" s="1"/>
  <c r="A2673" i="42"/>
  <c r="N2673" i="42" l="1"/>
  <c r="P2673" i="42" s="1"/>
  <c r="A2674" i="42"/>
  <c r="N2674" i="42" l="1"/>
  <c r="P2674" i="42" s="1"/>
  <c r="J98" i="12" s="1"/>
  <c r="A2675" i="42"/>
  <c r="N2675" i="42" l="1"/>
  <c r="P2675" i="42" s="1"/>
  <c r="A2676" i="42"/>
  <c r="A98" i="12"/>
  <c r="K98" i="12"/>
  <c r="N2676" i="42" l="1"/>
  <c r="P2676" i="42" s="1"/>
  <c r="A2677" i="42"/>
  <c r="N2677" i="42" l="1"/>
  <c r="P2677" i="42" s="1"/>
  <c r="A2678" i="42"/>
  <c r="N2678" i="42" l="1"/>
  <c r="P2678" i="42" s="1"/>
  <c r="A2679" i="42"/>
  <c r="N2679" i="42" l="1"/>
  <c r="P2679" i="42" s="1"/>
  <c r="A2680" i="42"/>
  <c r="N2680" i="42" l="1"/>
  <c r="P2680" i="42" s="1"/>
  <c r="A2681" i="42"/>
  <c r="N2681" i="42" l="1"/>
  <c r="P2681" i="42" s="1"/>
  <c r="J52" i="12" s="1"/>
  <c r="A2682" i="42"/>
  <c r="N2682" i="42" l="1"/>
  <c r="P2682" i="42" s="1"/>
  <c r="J55" i="12" s="1"/>
  <c r="A2683" i="42"/>
  <c r="K52" i="12"/>
  <c r="A52" i="12"/>
  <c r="N2683" i="42" l="1"/>
  <c r="P2683" i="42" s="1"/>
  <c r="A2684" i="42"/>
  <c r="A55" i="12"/>
  <c r="K55" i="12"/>
  <c r="N2684" i="42" l="1"/>
  <c r="P2684" i="42" s="1"/>
  <c r="A2685" i="42"/>
  <c r="N2685" i="42" l="1"/>
  <c r="P2685" i="42" s="1"/>
  <c r="A2686" i="42"/>
  <c r="N2686" i="42" l="1"/>
  <c r="P2686" i="42" s="1"/>
  <c r="A2687" i="42"/>
  <c r="N2687" i="42" l="1"/>
  <c r="P2687" i="42" s="1"/>
  <c r="A2688" i="42"/>
  <c r="N2688" i="42" l="1"/>
  <c r="P2688" i="42" s="1"/>
  <c r="A2689" i="42"/>
  <c r="N2689" i="42" l="1"/>
  <c r="P2689" i="42" s="1"/>
  <c r="A2690" i="42"/>
  <c r="N2690" i="42" l="1"/>
  <c r="P2690" i="42" s="1"/>
  <c r="A2691" i="42"/>
  <c r="N2691" i="42" l="1"/>
  <c r="P2691" i="42" s="1"/>
  <c r="J120" i="12" s="1"/>
  <c r="A2692" i="42"/>
  <c r="N2692" i="42" l="1"/>
  <c r="P2692" i="42" s="1"/>
  <c r="A2693" i="42"/>
  <c r="K120" i="12"/>
  <c r="A120" i="12"/>
  <c r="N2693" i="42" l="1"/>
  <c r="P2693" i="42" s="1"/>
  <c r="A2694" i="42"/>
  <c r="N2694" i="42" l="1"/>
  <c r="P2694" i="42" s="1"/>
  <c r="J121" i="12" s="1"/>
  <c r="A2695" i="42"/>
  <c r="N2695" i="42" l="1"/>
  <c r="P2695" i="42" s="1"/>
  <c r="A2696" i="42"/>
  <c r="A121" i="12"/>
  <c r="K121" i="12"/>
  <c r="N2696" i="42" l="1"/>
  <c r="P2696" i="42" s="1"/>
  <c r="A2697" i="42"/>
  <c r="N2697" i="42" l="1"/>
  <c r="P2697" i="42" s="1"/>
  <c r="A2698" i="42"/>
  <c r="N2698" i="42" l="1"/>
  <c r="P2698" i="42" s="1"/>
  <c r="A2699" i="42"/>
  <c r="N2699" i="42" l="1"/>
  <c r="P2699" i="42" s="1"/>
  <c r="A2700" i="42"/>
  <c r="N2700" i="42" l="1"/>
  <c r="P2700" i="42" s="1"/>
  <c r="A2701" i="42"/>
  <c r="N2701" i="42" l="1"/>
  <c r="P2701" i="42" s="1"/>
  <c r="A2702" i="42"/>
  <c r="N2702" i="42" l="1"/>
  <c r="P2702" i="42" s="1"/>
  <c r="A2703" i="42"/>
  <c r="N2703" i="42" l="1"/>
  <c r="P2703" i="42" s="1"/>
  <c r="A2704" i="42"/>
  <c r="N2704" i="42" l="1"/>
  <c r="P2704" i="42" s="1"/>
  <c r="A2705" i="42"/>
  <c r="N2705" i="42" l="1"/>
  <c r="P2705" i="42" s="1"/>
  <c r="A2706" i="42"/>
  <c r="N2706" i="42" l="1"/>
  <c r="P2706" i="42" s="1"/>
  <c r="A2707" i="42"/>
  <c r="N2707" i="42" l="1"/>
  <c r="P2707" i="42" s="1"/>
  <c r="A2708" i="42"/>
  <c r="N2708" i="42" l="1"/>
  <c r="P2708" i="42" s="1"/>
  <c r="A2709" i="42"/>
  <c r="N2709" i="42" l="1"/>
  <c r="P2709" i="42" s="1"/>
  <c r="A2710" i="42"/>
  <c r="N2710" i="42" l="1"/>
  <c r="P2710" i="42" s="1"/>
  <c r="A2711" i="42"/>
  <c r="N2711" i="42" l="1"/>
  <c r="P2711" i="42" s="1"/>
  <c r="A2712" i="42"/>
  <c r="N2712" i="42" l="1"/>
  <c r="P2712" i="42" s="1"/>
  <c r="A2713" i="42"/>
  <c r="N2713" i="42" l="1"/>
  <c r="P2713" i="42" s="1"/>
  <c r="A2714" i="42"/>
  <c r="N2714" i="42" l="1"/>
  <c r="P2714" i="42" s="1"/>
  <c r="A2715" i="42"/>
  <c r="N2715" i="42" l="1"/>
  <c r="P2715" i="42" s="1"/>
  <c r="A2716" i="42"/>
  <c r="N2716" i="42" l="1"/>
  <c r="P2716" i="42" s="1"/>
  <c r="A2717" i="42"/>
  <c r="N2717" i="42" l="1"/>
  <c r="P2717" i="42" s="1"/>
  <c r="A2718" i="42"/>
  <c r="N2718" i="42" l="1"/>
  <c r="P2718" i="42" s="1"/>
  <c r="A2719" i="42"/>
  <c r="N2719" i="42" l="1"/>
  <c r="P2719" i="42" s="1"/>
  <c r="A2720" i="42"/>
  <c r="N2720" i="42" l="1"/>
  <c r="P2720" i="42" s="1"/>
  <c r="A2721" i="42"/>
  <c r="N2721" i="42" l="1"/>
  <c r="P2721" i="42" s="1"/>
  <c r="A2722" i="42"/>
  <c r="N2722" i="42" l="1"/>
  <c r="P2722" i="42" s="1"/>
  <c r="A2723" i="42"/>
  <c r="N2723" i="42" l="1"/>
  <c r="P2723" i="42" s="1"/>
  <c r="A2724" i="42"/>
  <c r="N2724" i="42" l="1"/>
  <c r="P2724" i="42" s="1"/>
  <c r="A2725" i="42"/>
  <c r="N2725" i="42" l="1"/>
  <c r="P2725" i="42" s="1"/>
  <c r="A2726" i="42"/>
  <c r="N2726" i="42" l="1"/>
  <c r="P2726" i="42" s="1"/>
  <c r="A2727" i="42"/>
  <c r="N2727" i="42" l="1"/>
  <c r="P2727" i="42" s="1"/>
  <c r="A2728" i="42"/>
  <c r="N2728" i="42" l="1"/>
  <c r="P2728" i="42" s="1"/>
  <c r="A2729" i="42"/>
  <c r="N2729" i="42" l="1"/>
  <c r="P2729" i="42" s="1"/>
  <c r="A2730" i="42"/>
  <c r="N2730" i="42" l="1"/>
  <c r="P2730" i="42" s="1"/>
  <c r="A2731" i="42"/>
  <c r="N2731" i="42" l="1"/>
  <c r="P2731" i="42" s="1"/>
  <c r="A2732" i="42"/>
  <c r="N2732" i="42" l="1"/>
  <c r="P2732" i="42" s="1"/>
  <c r="A2733" i="42"/>
  <c r="N2733" i="42" l="1"/>
  <c r="P2733" i="42" s="1"/>
  <c r="A2734" i="42"/>
  <c r="N2734" i="42" l="1"/>
  <c r="P2734" i="42" s="1"/>
  <c r="A2735" i="42"/>
  <c r="N2735" i="42" l="1"/>
  <c r="P2735" i="42" s="1"/>
  <c r="A2736" i="42"/>
  <c r="N2736" i="42" l="1"/>
  <c r="P2736" i="42" s="1"/>
  <c r="A2737" i="42"/>
  <c r="N2737" i="42" l="1"/>
  <c r="P2737" i="42" s="1"/>
  <c r="A2738" i="42"/>
  <c r="N2738" i="42" l="1"/>
  <c r="P2738" i="42" s="1"/>
  <c r="A2739" i="42"/>
  <c r="N2739" i="42" l="1"/>
  <c r="P2739" i="42" s="1"/>
  <c r="A2740" i="42"/>
  <c r="N2740" i="42" l="1"/>
  <c r="P2740" i="42" s="1"/>
  <c r="A2741" i="42"/>
  <c r="N2741" i="42" l="1"/>
  <c r="P2741" i="42" s="1"/>
  <c r="A2742" i="42"/>
  <c r="N2742" i="42" l="1"/>
  <c r="P2742" i="42" s="1"/>
  <c r="A2743" i="42"/>
  <c r="N2743" i="42" l="1"/>
  <c r="P2743" i="42" s="1"/>
  <c r="A2744" i="42"/>
  <c r="N2744" i="42" l="1"/>
  <c r="P2744" i="42" s="1"/>
  <c r="A2745" i="42"/>
  <c r="N2745" i="42" l="1"/>
  <c r="P2745" i="42" s="1"/>
  <c r="A2746" i="42"/>
  <c r="N2746" i="42" l="1"/>
  <c r="P2746" i="42" s="1"/>
  <c r="A2747" i="42"/>
  <c r="N2747" i="42" l="1"/>
  <c r="P2747" i="42" s="1"/>
  <c r="A2748" i="42"/>
  <c r="J276" i="12"/>
  <c r="N2748" i="42" l="1"/>
  <c r="P2748" i="42" s="1"/>
  <c r="A2749" i="42"/>
  <c r="K276" i="12"/>
  <c r="A276" i="12"/>
  <c r="N2749" i="42" l="1"/>
  <c r="P2749" i="42" s="1"/>
  <c r="A2750" i="42"/>
  <c r="N2750" i="42" l="1"/>
  <c r="P2750" i="42" s="1"/>
  <c r="A2751" i="42"/>
  <c r="N2751" i="42" l="1"/>
  <c r="P2751" i="42" s="1"/>
  <c r="A2752" i="42"/>
  <c r="N2752" i="42" l="1"/>
  <c r="P2752" i="42" s="1"/>
  <c r="A2753" i="42"/>
  <c r="N2753" i="42" l="1"/>
  <c r="P2753" i="42" s="1"/>
  <c r="J122" i="12" s="1"/>
  <c r="A2754" i="42"/>
  <c r="N2754" i="42" l="1"/>
  <c r="P2754" i="42" s="1"/>
  <c r="A2755" i="42"/>
  <c r="K122" i="12"/>
  <c r="A122" i="12"/>
  <c r="N2755" i="42" l="1"/>
  <c r="P2755" i="42" s="1"/>
  <c r="A2756" i="42"/>
  <c r="N2756" i="42" l="1"/>
  <c r="P2756" i="42" s="1"/>
  <c r="A2757" i="42"/>
  <c r="N2757" i="42" l="1"/>
  <c r="P2757" i="42" s="1"/>
  <c r="A2758" i="42"/>
  <c r="N2758" i="42" l="1"/>
  <c r="P2758" i="42" s="1"/>
  <c r="A2759" i="42"/>
  <c r="N2759" i="42" l="1"/>
  <c r="P2759" i="42" s="1"/>
  <c r="A2760" i="42"/>
  <c r="N2760" i="42" l="1"/>
  <c r="P2760" i="42" s="1"/>
  <c r="A2761" i="42"/>
  <c r="N2761" i="42" l="1"/>
  <c r="P2761" i="42" s="1"/>
  <c r="A2762" i="42"/>
  <c r="N2762" i="42" l="1"/>
  <c r="P2762" i="42" s="1"/>
  <c r="A2763" i="42"/>
  <c r="N2763" i="42" l="1"/>
  <c r="P2763" i="42" s="1"/>
  <c r="A2764" i="42"/>
  <c r="N2764" i="42" l="1"/>
  <c r="P2764" i="42" s="1"/>
  <c r="J123" i="12" s="1"/>
  <c r="A2765" i="42"/>
  <c r="N2765" i="42" l="1"/>
  <c r="P2765" i="42" s="1"/>
  <c r="A2766" i="42"/>
  <c r="K123" i="12"/>
  <c r="A123" i="12"/>
  <c r="N2766" i="42" l="1"/>
  <c r="P2766" i="42" s="1"/>
  <c r="A2767" i="42"/>
  <c r="N2767" i="42" l="1"/>
  <c r="P2767" i="42" s="1"/>
  <c r="A2768" i="42"/>
  <c r="N2768" i="42" l="1"/>
  <c r="P2768" i="42" s="1"/>
  <c r="A2769" i="42"/>
  <c r="N2769" i="42" l="1"/>
  <c r="P2769" i="42" s="1"/>
  <c r="A2770" i="42"/>
  <c r="N2770" i="42" l="1"/>
  <c r="P2770" i="42" s="1"/>
  <c r="A2771" i="42"/>
  <c r="N2771" i="42" l="1"/>
  <c r="P2771" i="42" s="1"/>
  <c r="A2772" i="42"/>
  <c r="N2772" i="42" l="1"/>
  <c r="P2772" i="42" s="1"/>
  <c r="A2773" i="42"/>
  <c r="N2773" i="42" l="1"/>
  <c r="P2773" i="42" s="1"/>
  <c r="A2774" i="42"/>
  <c r="N2774" i="42" l="1"/>
  <c r="P2774" i="42" s="1"/>
  <c r="A2775" i="42"/>
  <c r="N2775" i="42" l="1"/>
  <c r="P2775" i="42" s="1"/>
  <c r="A2776" i="42"/>
  <c r="N2776" i="42" l="1"/>
  <c r="P2776" i="42" s="1"/>
  <c r="A2777" i="42"/>
  <c r="N2777" i="42" l="1"/>
  <c r="P2777" i="42" s="1"/>
  <c r="A2778" i="42"/>
  <c r="N2778" i="42" l="1"/>
  <c r="P2778" i="42" s="1"/>
  <c r="A2779" i="42"/>
  <c r="N2779" i="42" l="1"/>
  <c r="P2779" i="42" s="1"/>
  <c r="A2780" i="42"/>
  <c r="N2780" i="42" l="1"/>
  <c r="P2780" i="42" s="1"/>
  <c r="A2781" i="42"/>
  <c r="N2781" i="42" l="1"/>
  <c r="P2781" i="42" s="1"/>
  <c r="A2782" i="42"/>
  <c r="N2782" i="42" l="1"/>
  <c r="P2782" i="42" s="1"/>
  <c r="A2783" i="42"/>
  <c r="N2783" i="42" l="1"/>
  <c r="P2783" i="42" s="1"/>
  <c r="A2784" i="42"/>
  <c r="N2784" i="42" l="1"/>
  <c r="P2784" i="42" s="1"/>
  <c r="A2785" i="42"/>
  <c r="N2785" i="42" l="1"/>
  <c r="P2785" i="42" s="1"/>
  <c r="A2786" i="42"/>
  <c r="N2786" i="42" l="1"/>
  <c r="P2786" i="42" s="1"/>
  <c r="A2787" i="42"/>
  <c r="N2787" i="42" l="1"/>
  <c r="P2787" i="42" s="1"/>
  <c r="A2788" i="42"/>
  <c r="N2788" i="42" l="1"/>
  <c r="P2788" i="42" s="1"/>
  <c r="A2789" i="42"/>
  <c r="N2789" i="42" l="1"/>
  <c r="P2789" i="42" s="1"/>
  <c r="A2790" i="42"/>
  <c r="N2790" i="42" l="1"/>
  <c r="P2790" i="42" s="1"/>
  <c r="A2791" i="42"/>
  <c r="N2791" i="42" l="1"/>
  <c r="P2791" i="42" s="1"/>
  <c r="A2792" i="42"/>
  <c r="N2792" i="42" l="1"/>
  <c r="P2792" i="42" s="1"/>
  <c r="A2793" i="42"/>
  <c r="N2793" i="42" l="1"/>
  <c r="P2793" i="42" s="1"/>
  <c r="A2794" i="42"/>
  <c r="N2794" i="42" l="1"/>
  <c r="P2794" i="42" s="1"/>
  <c r="A2795" i="42"/>
  <c r="N2795" i="42" l="1"/>
  <c r="P2795" i="42" s="1"/>
  <c r="A2796" i="42"/>
  <c r="N2796" i="42" l="1"/>
  <c r="P2796" i="42" s="1"/>
  <c r="A2797" i="42"/>
  <c r="N2797" i="42" l="1"/>
  <c r="P2797" i="42" s="1"/>
  <c r="A2798" i="42"/>
  <c r="N2798" i="42" l="1"/>
  <c r="P2798" i="42" s="1"/>
  <c r="A2799" i="42"/>
  <c r="N2799" i="42" l="1"/>
  <c r="P2799" i="42" s="1"/>
  <c r="A2800" i="42"/>
  <c r="N2800" i="42" l="1"/>
  <c r="P2800" i="42" s="1"/>
  <c r="A2801" i="42"/>
  <c r="N2801" i="42" l="1"/>
  <c r="P2801" i="42" s="1"/>
  <c r="A2802" i="42"/>
  <c r="N2802" i="42" l="1"/>
  <c r="P2802" i="42" s="1"/>
  <c r="A2803" i="42"/>
  <c r="N2803" i="42" l="1"/>
  <c r="P2803" i="42" s="1"/>
  <c r="A2804" i="42"/>
  <c r="N2804" i="42" l="1"/>
  <c r="P2804" i="42" s="1"/>
  <c r="A2805" i="42"/>
  <c r="N2805" i="42" l="1"/>
  <c r="P2805" i="42" s="1"/>
  <c r="A2806" i="42"/>
  <c r="N2806" i="42" l="1"/>
  <c r="P2806" i="42" s="1"/>
  <c r="A2807" i="42"/>
  <c r="N2807" i="42" l="1"/>
  <c r="P2807" i="42" s="1"/>
  <c r="A2808" i="42"/>
  <c r="N2808" i="42" l="1"/>
  <c r="P2808" i="42" s="1"/>
  <c r="A2809" i="42"/>
  <c r="N2809" i="42" l="1"/>
  <c r="P2809" i="42" s="1"/>
  <c r="A2810" i="42"/>
  <c r="N2810" i="42" l="1"/>
  <c r="P2810" i="42" s="1"/>
  <c r="A2811" i="42"/>
  <c r="N2811" i="42" l="1"/>
  <c r="P2811" i="42" s="1"/>
  <c r="A2812" i="42"/>
  <c r="N2812" i="42" l="1"/>
  <c r="P2812" i="42" s="1"/>
  <c r="A2813" i="42"/>
  <c r="N2813" i="42" l="1"/>
  <c r="P2813" i="42" s="1"/>
  <c r="A2814" i="42"/>
  <c r="N2814" i="42" l="1"/>
  <c r="P2814" i="42" s="1"/>
  <c r="A2815" i="42"/>
  <c r="N2815" i="42" l="1"/>
  <c r="P2815" i="42" s="1"/>
  <c r="A2816" i="42"/>
  <c r="N2816" i="42" l="1"/>
  <c r="P2816" i="42" s="1"/>
  <c r="A2817" i="42"/>
  <c r="N2817" i="42" l="1"/>
  <c r="P2817" i="42" s="1"/>
  <c r="A2818" i="42"/>
  <c r="N2818" i="42" l="1"/>
  <c r="P2818" i="42" s="1"/>
  <c r="A2819" i="42"/>
  <c r="N2819" i="42" l="1"/>
  <c r="P2819" i="42" s="1"/>
  <c r="A2820" i="42"/>
  <c r="N2820" i="42" l="1"/>
  <c r="P2820" i="42" s="1"/>
  <c r="A2821" i="42"/>
  <c r="N2821" i="42" l="1"/>
  <c r="P2821" i="42" s="1"/>
  <c r="A2822" i="42"/>
  <c r="N2822" i="42" l="1"/>
  <c r="P2822" i="42" s="1"/>
  <c r="A2823" i="42"/>
  <c r="N2823" i="42" l="1"/>
  <c r="P2823" i="42" s="1"/>
  <c r="A2824" i="42"/>
  <c r="N2824" i="42" l="1"/>
  <c r="P2824" i="42" s="1"/>
  <c r="A2825" i="42"/>
  <c r="N2825" i="42" l="1"/>
  <c r="P2825" i="42" s="1"/>
  <c r="A2826" i="42"/>
  <c r="N2826" i="42" l="1"/>
  <c r="P2826" i="42" s="1"/>
  <c r="A2827" i="42"/>
  <c r="N2827" i="42" l="1"/>
  <c r="P2827" i="42" s="1"/>
  <c r="A2828" i="42"/>
  <c r="N2828" i="42" l="1"/>
  <c r="P2828" i="42" s="1"/>
  <c r="A2829" i="42"/>
  <c r="N2829" i="42" l="1"/>
  <c r="P2829" i="42" s="1"/>
  <c r="A2830" i="42"/>
  <c r="N2830" i="42" l="1"/>
  <c r="P2830" i="42" s="1"/>
  <c r="A2831" i="42"/>
  <c r="N2831" i="42" l="1"/>
  <c r="P2831" i="42" s="1"/>
  <c r="Q146" i="66" s="1"/>
  <c r="A2832" i="42"/>
  <c r="N2832" i="42" l="1"/>
  <c r="P2832" i="42" s="1"/>
  <c r="A2833" i="42"/>
  <c r="AC146" i="66"/>
  <c r="R146" i="66"/>
  <c r="N2833" i="42" l="1"/>
  <c r="P2833" i="42" s="1"/>
  <c r="A2834" i="42"/>
  <c r="N2834" i="42" l="1"/>
  <c r="P2834" i="42" s="1"/>
  <c r="A2835" i="42"/>
  <c r="N2835" i="42" l="1"/>
  <c r="P2835" i="42" s="1"/>
  <c r="A2836" i="42"/>
  <c r="N2836" i="42" l="1"/>
  <c r="P2836" i="42" s="1"/>
  <c r="A2837" i="42"/>
  <c r="N2837" i="42" l="1"/>
  <c r="P2837" i="42" s="1"/>
  <c r="A2838" i="42"/>
  <c r="N2838" i="42" l="1"/>
  <c r="P2838" i="42" s="1"/>
  <c r="A2839" i="42"/>
  <c r="N2839" i="42" l="1"/>
  <c r="P2839" i="42" s="1"/>
  <c r="A2840" i="42"/>
  <c r="N2840" i="42" l="1"/>
  <c r="P2840" i="42" s="1"/>
  <c r="A2841" i="42"/>
  <c r="N2841" i="42" l="1"/>
  <c r="P2841" i="42" s="1"/>
  <c r="A2842" i="42"/>
  <c r="N2842" i="42" l="1"/>
  <c r="P2842" i="42" s="1"/>
  <c r="A2843" i="42"/>
  <c r="N2843" i="42" l="1"/>
  <c r="P2843" i="42" s="1"/>
  <c r="A2844" i="42"/>
  <c r="N2844" i="42" l="1"/>
  <c r="P2844" i="42" s="1"/>
  <c r="A2845" i="42"/>
  <c r="N2845" i="42" l="1"/>
  <c r="P2845" i="42" s="1"/>
  <c r="A2846" i="42"/>
  <c r="N2846" i="42" l="1"/>
  <c r="P2846" i="42" s="1"/>
  <c r="A2847" i="42"/>
  <c r="N2847" i="42" l="1"/>
  <c r="P2847" i="42" s="1"/>
  <c r="A2848" i="42"/>
  <c r="N2848" i="42" l="1"/>
  <c r="P2848" i="42" s="1"/>
  <c r="A2849" i="42"/>
  <c r="N2849" i="42" l="1"/>
  <c r="P2849" i="42" s="1"/>
  <c r="A2850" i="42"/>
  <c r="N2850" i="42" l="1"/>
  <c r="P2850" i="42" s="1"/>
  <c r="A2851" i="42"/>
  <c r="N2851" i="42" l="1"/>
  <c r="P2851" i="42" s="1"/>
  <c r="A2852" i="42"/>
  <c r="N2852" i="42" l="1"/>
  <c r="P2852" i="42" s="1"/>
  <c r="A2853" i="42"/>
  <c r="N2853" i="42" l="1"/>
  <c r="P2853" i="42" s="1"/>
  <c r="A2854" i="42"/>
  <c r="N2854" i="42" l="1"/>
  <c r="P2854" i="42" s="1"/>
  <c r="A2855" i="42"/>
  <c r="N2855" i="42" l="1"/>
  <c r="P2855" i="42" s="1"/>
  <c r="A2856" i="42"/>
  <c r="N2856" i="42" l="1"/>
  <c r="P2856" i="42" s="1"/>
  <c r="A2857" i="42"/>
  <c r="N2857" i="42" l="1"/>
  <c r="P2857" i="42" s="1"/>
  <c r="A2858" i="42"/>
  <c r="N2858" i="42" l="1"/>
  <c r="P2858" i="42" s="1"/>
  <c r="A2859" i="42"/>
  <c r="N2859" i="42" l="1"/>
  <c r="P2859" i="42" s="1"/>
  <c r="A2860" i="42"/>
  <c r="N2860" i="42" l="1"/>
  <c r="P2860" i="42" s="1"/>
  <c r="A2861" i="42"/>
  <c r="N2861" i="42" l="1"/>
  <c r="P2861" i="42" s="1"/>
  <c r="A2862" i="42"/>
  <c r="N2862" i="42" l="1"/>
  <c r="P2862" i="42" s="1"/>
  <c r="A2863" i="42"/>
  <c r="N2863" i="42" l="1"/>
  <c r="P2863" i="42" s="1"/>
  <c r="A2864" i="42"/>
  <c r="N2864" i="42" l="1"/>
  <c r="P2864" i="42" s="1"/>
  <c r="A2865" i="42"/>
  <c r="N2865" i="42" l="1"/>
  <c r="P2865" i="42" s="1"/>
  <c r="A2866" i="42"/>
  <c r="N2866" i="42" l="1"/>
  <c r="P2866" i="42" s="1"/>
  <c r="A2867" i="42"/>
  <c r="N2867" i="42" l="1"/>
  <c r="A2868" i="42"/>
  <c r="N2868" i="42" l="1"/>
  <c r="A2869" i="42"/>
  <c r="N2869" i="42" l="1"/>
  <c r="A2870" i="42"/>
  <c r="N2870" i="42" l="1"/>
  <c r="A2871" i="42"/>
  <c r="N2871" i="42" l="1"/>
  <c r="A2872" i="42"/>
  <c r="N2872" i="42" l="1"/>
  <c r="A2873" i="42"/>
  <c r="N2873" i="42" l="1"/>
  <c r="A2874" i="42"/>
  <c r="N2874" i="42" l="1"/>
  <c r="A2875" i="42"/>
  <c r="N2875" i="42" l="1"/>
  <c r="A2876" i="42"/>
  <c r="N2876" i="42" l="1"/>
  <c r="A2877" i="42"/>
  <c r="N2877" i="42" l="1"/>
  <c r="A2878" i="42"/>
  <c r="N2878" i="42" l="1"/>
  <c r="A2879" i="42"/>
  <c r="N2879" i="42" l="1"/>
  <c r="P2879" i="42" s="1"/>
  <c r="J216" i="12" s="1"/>
  <c r="A2880" i="42"/>
  <c r="N2880" i="42" l="1"/>
  <c r="P2880" i="42" s="1"/>
  <c r="A2881" i="42"/>
  <c r="K216" i="12"/>
  <c r="A216" i="12"/>
  <c r="N2881" i="42" l="1"/>
  <c r="P2881" i="42" s="1"/>
  <c r="A2882" i="42"/>
  <c r="N2882" i="42" l="1"/>
  <c r="P2882" i="42" s="1"/>
  <c r="A2883" i="42"/>
  <c r="N2883" i="42" l="1"/>
  <c r="P2883" i="42" s="1"/>
  <c r="A2884" i="42"/>
  <c r="N2884" i="42" l="1"/>
  <c r="P2884" i="42" s="1"/>
  <c r="Q141" i="66" s="1"/>
  <c r="A2885" i="42"/>
  <c r="N2885" i="42" l="1"/>
  <c r="P2885" i="42" s="1"/>
  <c r="J217" i="12" s="1"/>
  <c r="A2886" i="42"/>
  <c r="AC141" i="66"/>
  <c r="R141" i="66"/>
  <c r="N2886" i="42" l="1"/>
  <c r="P2886" i="42" s="1"/>
  <c r="A2887" i="42"/>
  <c r="A217" i="12"/>
  <c r="K217" i="12"/>
  <c r="N2887" i="42" l="1"/>
  <c r="P2887" i="42" s="1"/>
  <c r="A2888" i="42"/>
  <c r="N2888" i="42" l="1"/>
  <c r="P2888" i="42" s="1"/>
  <c r="A2889" i="42"/>
  <c r="N2889" i="42" l="1"/>
  <c r="P2889" i="42" s="1"/>
  <c r="A2890" i="42"/>
  <c r="N2890" i="42" l="1"/>
  <c r="P2890" i="42" s="1"/>
  <c r="A2891" i="42"/>
  <c r="N2891" i="42" l="1"/>
  <c r="P2891" i="42" s="1"/>
  <c r="J218" i="12" s="1"/>
  <c r="A2892" i="42"/>
  <c r="N2892" i="42" l="1"/>
  <c r="P2892" i="42" s="1"/>
  <c r="A2893" i="42"/>
  <c r="K218" i="12"/>
  <c r="A218" i="12"/>
  <c r="N2893" i="42" l="1"/>
  <c r="P2893" i="42" s="1"/>
  <c r="A2894" i="42"/>
  <c r="N2894" i="42" l="1"/>
  <c r="P2894" i="42" s="1"/>
  <c r="A2895" i="42"/>
  <c r="N2895" i="42" l="1"/>
  <c r="P2895" i="42" s="1"/>
  <c r="A2896" i="42"/>
  <c r="N2896" i="42" l="1"/>
  <c r="P2896" i="42" s="1"/>
  <c r="A2897" i="42"/>
  <c r="N2897" i="42" l="1"/>
  <c r="P2897" i="42" s="1"/>
  <c r="J220" i="12" s="1"/>
  <c r="A2898" i="42"/>
  <c r="N2898" i="42" l="1"/>
  <c r="P2898" i="42" s="1"/>
  <c r="A2899" i="42"/>
  <c r="A220" i="12"/>
  <c r="K220" i="12"/>
  <c r="N2899" i="42" l="1"/>
  <c r="P2899" i="42" s="1"/>
  <c r="A2900" i="42"/>
  <c r="N2900" i="42" l="1"/>
  <c r="P2900" i="42" s="1"/>
  <c r="A2901" i="42"/>
  <c r="N2901" i="42" l="1"/>
  <c r="P2901" i="42" s="1"/>
  <c r="A2902" i="42"/>
  <c r="N2902" i="42" l="1"/>
  <c r="P2902" i="42" s="1"/>
  <c r="A2903" i="42"/>
  <c r="N2903" i="42" l="1"/>
  <c r="P2903" i="42" s="1"/>
  <c r="J219" i="12" s="1"/>
  <c r="A2904" i="42"/>
  <c r="N2904" i="42" l="1"/>
  <c r="P2904" i="42" s="1"/>
  <c r="A2905" i="42"/>
  <c r="K219" i="12"/>
  <c r="A219" i="12"/>
  <c r="N2905" i="42" l="1"/>
  <c r="P2905" i="42" s="1"/>
  <c r="A2906" i="42"/>
  <c r="N2906" i="42" l="1"/>
  <c r="P2906" i="42" s="1"/>
  <c r="A2907" i="42"/>
  <c r="N2907" i="42" l="1"/>
  <c r="P2907" i="42" s="1"/>
  <c r="A2908" i="42"/>
  <c r="N2908" i="42" l="1"/>
  <c r="P2908" i="42" s="1"/>
  <c r="A2909" i="42"/>
  <c r="N2909" i="42" l="1"/>
  <c r="P2909" i="42" s="1"/>
  <c r="J222" i="12" s="1"/>
  <c r="A2910" i="42"/>
  <c r="N2910" i="42" l="1"/>
  <c r="P2910" i="42" s="1"/>
  <c r="A2911" i="42"/>
  <c r="K222" i="12"/>
  <c r="A222" i="12"/>
  <c r="N2911" i="42" l="1"/>
  <c r="P2911" i="42" s="1"/>
  <c r="A2912" i="42"/>
  <c r="N2912" i="42" l="1"/>
  <c r="P2912" i="42" s="1"/>
  <c r="A2913" i="42"/>
  <c r="N2913" i="42" l="1"/>
  <c r="P2913" i="42" s="1"/>
  <c r="A2914" i="42"/>
  <c r="N2914" i="42" l="1"/>
  <c r="P2914" i="42" s="1"/>
  <c r="A2915" i="42"/>
  <c r="N2915" i="42" l="1"/>
  <c r="P2915" i="42" s="1"/>
  <c r="J221" i="12" s="1"/>
  <c r="A2916" i="42"/>
  <c r="N2916" i="42" l="1"/>
  <c r="P2916" i="42" s="1"/>
  <c r="A2917" i="42"/>
  <c r="A221" i="12"/>
  <c r="K221" i="12"/>
  <c r="N2917" i="42" l="1"/>
  <c r="P2917" i="42" s="1"/>
  <c r="A2918" i="42"/>
  <c r="N2918" i="42" l="1"/>
  <c r="P2918" i="42" s="1"/>
  <c r="A2919" i="42"/>
  <c r="N2919" i="42" l="1"/>
  <c r="P2919" i="42" s="1"/>
  <c r="A2920" i="42"/>
  <c r="N2920" i="42" l="1"/>
  <c r="P2920" i="42" s="1"/>
  <c r="A2921" i="42"/>
  <c r="N2921" i="42" l="1"/>
  <c r="P2921" i="42" s="1"/>
  <c r="J223" i="12" s="1"/>
  <c r="A2922" i="42"/>
  <c r="N2922" i="42" l="1"/>
  <c r="P2922" i="42" s="1"/>
  <c r="A2923" i="42"/>
  <c r="K223" i="12"/>
  <c r="A223" i="12"/>
  <c r="N2923" i="42" l="1"/>
  <c r="P2923" i="42" s="1"/>
  <c r="A2924" i="42"/>
  <c r="N2924" i="42" l="1"/>
  <c r="P2924" i="42" s="1"/>
  <c r="A2925" i="42"/>
  <c r="N2925" i="42" l="1"/>
  <c r="P2925" i="42" s="1"/>
  <c r="A2926" i="42"/>
  <c r="N2926" i="42" l="1"/>
  <c r="P2926" i="42" s="1"/>
  <c r="A2927" i="42"/>
  <c r="N2927" i="42" l="1"/>
  <c r="P2927" i="42" s="1"/>
  <c r="J224" i="12" s="1"/>
  <c r="A2928" i="42"/>
  <c r="N2928" i="42" l="1"/>
  <c r="P2928" i="42" s="1"/>
  <c r="A2929" i="42"/>
  <c r="K224" i="12"/>
  <c r="A224" i="12"/>
  <c r="N2929" i="42" l="1"/>
  <c r="P2929" i="42" s="1"/>
  <c r="A2930" i="42"/>
  <c r="N2930" i="42" l="1"/>
  <c r="P2930" i="42" s="1"/>
  <c r="A2931" i="42"/>
  <c r="N2931" i="42" l="1"/>
  <c r="P2931" i="42" s="1"/>
  <c r="A2932" i="42"/>
  <c r="N2932" i="42" l="1"/>
  <c r="P2932" i="42" s="1"/>
  <c r="A2933" i="42"/>
  <c r="N2933" i="42" l="1"/>
  <c r="P2933" i="42" s="1"/>
  <c r="A2934" i="42"/>
  <c r="N2934" i="42" l="1"/>
  <c r="P2934" i="42" s="1"/>
  <c r="A2935" i="42"/>
  <c r="N2935" i="42" l="1"/>
  <c r="P2935" i="42" s="1"/>
  <c r="A2936" i="42"/>
  <c r="N2936" i="42" l="1"/>
  <c r="P2936" i="42" s="1"/>
  <c r="A2937" i="42"/>
  <c r="N2937" i="42" l="1"/>
  <c r="P2937" i="42" s="1"/>
  <c r="A2938" i="42"/>
  <c r="N2938" i="42" l="1"/>
  <c r="P2938" i="42" s="1"/>
  <c r="A2939" i="42"/>
  <c r="N2939" i="42" l="1"/>
  <c r="P2939" i="42" s="1"/>
  <c r="A2940" i="42"/>
  <c r="N2940" i="42" l="1"/>
  <c r="P2940" i="42" s="1"/>
  <c r="A2941" i="42"/>
  <c r="N2941" i="42" l="1"/>
  <c r="P2941" i="42" s="1"/>
  <c r="A2942" i="42"/>
  <c r="N2942" i="42" l="1"/>
  <c r="P2942" i="42" s="1"/>
  <c r="A2943" i="42"/>
  <c r="N2943" i="42" l="1"/>
  <c r="P2943" i="42" s="1"/>
  <c r="A2944" i="42"/>
  <c r="N2944" i="42" l="1"/>
  <c r="P2944" i="42" s="1"/>
  <c r="A2945" i="42"/>
  <c r="N2945" i="42" l="1"/>
  <c r="P2945" i="42" s="1"/>
  <c r="A2946" i="42"/>
  <c r="N2946" i="42" l="1"/>
  <c r="P2946" i="42" s="1"/>
  <c r="A2947" i="42"/>
  <c r="N2947" i="42" l="1"/>
  <c r="P2947" i="42" s="1"/>
  <c r="A2948" i="42"/>
  <c r="N2948" i="42" l="1"/>
  <c r="P2948" i="42" s="1"/>
  <c r="A2949" i="42"/>
  <c r="N2949" i="42" l="1"/>
  <c r="P2949" i="42" s="1"/>
  <c r="A2950" i="42"/>
  <c r="N2950" i="42" l="1"/>
  <c r="P2950" i="42" s="1"/>
  <c r="A2951" i="42"/>
  <c r="N2951" i="42" l="1"/>
  <c r="P2951" i="42" s="1"/>
  <c r="A2952" i="42"/>
  <c r="N2952" i="42" l="1"/>
  <c r="P2952" i="42" s="1"/>
  <c r="A2953" i="42"/>
  <c r="N2953" i="42" l="1"/>
  <c r="P2953" i="42" s="1"/>
  <c r="A2954" i="42"/>
  <c r="N2954" i="42" l="1"/>
  <c r="P2954" i="42" s="1"/>
  <c r="A2955" i="42"/>
  <c r="N2955" i="42" l="1"/>
  <c r="P2955" i="42" s="1"/>
  <c r="A2956" i="42"/>
  <c r="N2956" i="42" l="1"/>
  <c r="P2956" i="42" s="1"/>
  <c r="A2957" i="42"/>
  <c r="N2957" i="42" l="1"/>
  <c r="P2957" i="42" s="1"/>
  <c r="A2958" i="42"/>
  <c r="N2958" i="42" l="1"/>
  <c r="P2958" i="42" s="1"/>
  <c r="A2959" i="42"/>
  <c r="N2959" i="42" l="1"/>
  <c r="P2959" i="42" s="1"/>
  <c r="A2960" i="42"/>
  <c r="N2960" i="42" l="1"/>
  <c r="P2960" i="42" s="1"/>
  <c r="A2961" i="42"/>
  <c r="N2961" i="42" l="1"/>
  <c r="P2961" i="42" s="1"/>
  <c r="J197" i="12" s="1"/>
  <c r="A2962" i="42"/>
  <c r="N2962" i="42" l="1"/>
  <c r="P2962" i="42" s="1"/>
  <c r="A2963" i="42"/>
  <c r="K197" i="12"/>
  <c r="A197" i="12"/>
  <c r="N2963" i="42" l="1"/>
  <c r="P2963" i="42" s="1"/>
  <c r="A2964" i="42"/>
  <c r="N2964" i="42" l="1"/>
  <c r="P2964" i="42" s="1"/>
  <c r="J247" i="12" s="1"/>
  <c r="A2965" i="42"/>
  <c r="N2965" i="42" l="1"/>
  <c r="P2965" i="42" s="1"/>
  <c r="A2966" i="42"/>
  <c r="A247" i="12"/>
  <c r="K247" i="12"/>
  <c r="N2966" i="42" l="1"/>
  <c r="P2966" i="42" s="1"/>
  <c r="A2967" i="42"/>
  <c r="N2967" i="42" l="1"/>
  <c r="P2967" i="42" s="1"/>
  <c r="J248" i="12" s="1"/>
  <c r="A2968" i="42"/>
  <c r="N2968" i="42" l="1"/>
  <c r="P2968" i="42" s="1"/>
  <c r="A2969" i="42"/>
  <c r="K248" i="12"/>
  <c r="A248" i="12"/>
  <c r="N2969" i="42" l="1"/>
  <c r="P2969" i="42" s="1"/>
  <c r="A2970" i="42"/>
  <c r="N2970" i="42" l="1"/>
  <c r="P2970" i="42" s="1"/>
  <c r="A2971" i="42"/>
  <c r="N2971" i="42" l="1"/>
  <c r="P2971" i="42" s="1"/>
  <c r="A2972" i="42"/>
  <c r="N2972" i="42" l="1"/>
  <c r="P2972" i="42" s="1"/>
  <c r="A2973" i="42"/>
  <c r="N2973" i="42" l="1"/>
  <c r="P2973" i="42" s="1"/>
  <c r="A2974" i="42"/>
  <c r="N2974" i="42" l="1"/>
  <c r="P2974" i="42" s="1"/>
  <c r="A2975" i="42"/>
  <c r="N2975" i="42" l="1"/>
  <c r="P2975" i="42" s="1"/>
  <c r="A2976" i="42"/>
  <c r="N2976" i="42" l="1"/>
  <c r="P2976" i="42" s="1"/>
  <c r="A2977" i="42"/>
  <c r="N2977" i="42" l="1"/>
  <c r="P2977" i="42" s="1"/>
  <c r="A2978" i="42"/>
  <c r="N2978" i="42" l="1"/>
  <c r="P2978" i="42" s="1"/>
  <c r="A2979" i="42"/>
  <c r="N2979" i="42" l="1"/>
  <c r="P2979" i="42" s="1"/>
  <c r="A2980" i="42"/>
  <c r="N2980" i="42" l="1"/>
  <c r="P2980" i="42" s="1"/>
  <c r="A2981" i="42"/>
  <c r="N2981" i="42" l="1"/>
  <c r="P2981" i="42" s="1"/>
  <c r="A2982" i="42"/>
  <c r="N2982" i="42" l="1"/>
  <c r="P2982" i="42" s="1"/>
  <c r="A2983" i="42"/>
  <c r="N2983" i="42" l="1"/>
  <c r="P2983" i="42" s="1"/>
  <c r="A2984" i="42"/>
  <c r="N2984" i="42" l="1"/>
  <c r="P2984" i="42" s="1"/>
  <c r="A2985" i="42"/>
  <c r="N2985" i="42" l="1"/>
  <c r="P2985" i="42" s="1"/>
  <c r="A2986" i="42"/>
  <c r="N2986" i="42" l="1"/>
  <c r="P2986" i="42" s="1"/>
  <c r="A2987" i="42"/>
  <c r="N2987" i="42" l="1"/>
  <c r="P2987" i="42" s="1"/>
  <c r="A2988" i="42"/>
  <c r="N2988" i="42" l="1"/>
  <c r="P2988" i="42" s="1"/>
  <c r="A2989" i="42"/>
  <c r="N2989" i="42" l="1"/>
  <c r="P2989" i="42" s="1"/>
  <c r="A2990" i="42"/>
  <c r="N2990" i="42" l="1"/>
  <c r="P2990" i="42" s="1"/>
  <c r="A2991" i="42"/>
  <c r="N2991" i="42" l="1"/>
  <c r="P2991" i="42" s="1"/>
  <c r="A2992" i="42"/>
  <c r="N2992" i="42" l="1"/>
  <c r="P2992" i="42" s="1"/>
  <c r="A2993" i="42"/>
  <c r="N2993" i="42" l="1"/>
  <c r="P2993" i="42" s="1"/>
  <c r="A2994" i="42"/>
  <c r="N2994" i="42" l="1"/>
  <c r="P2994" i="42" s="1"/>
  <c r="A2995" i="42"/>
  <c r="N2995" i="42" l="1"/>
  <c r="P2995" i="42" s="1"/>
  <c r="A2996" i="42"/>
  <c r="N2996" i="42" l="1"/>
  <c r="P2996" i="42" s="1"/>
  <c r="A2997" i="42"/>
  <c r="N2997" i="42" l="1"/>
  <c r="P2997" i="42" s="1"/>
  <c r="A2998" i="42"/>
  <c r="N2998" i="42" l="1"/>
  <c r="P2998" i="42" s="1"/>
  <c r="A2999" i="42"/>
  <c r="N2999" i="42" l="1"/>
  <c r="P2999" i="42" s="1"/>
  <c r="A3000" i="42"/>
  <c r="N3000" i="42" l="1"/>
  <c r="P3000" i="42" s="1"/>
  <c r="A3001" i="42"/>
  <c r="N3001" i="42" l="1"/>
  <c r="P3001" i="42" s="1"/>
  <c r="A3002" i="42"/>
  <c r="N3002" i="42" l="1"/>
  <c r="P3002" i="42" s="1"/>
  <c r="A3003" i="42"/>
  <c r="N3003" i="42" l="1"/>
  <c r="P3003" i="42" s="1"/>
  <c r="A3004" i="42"/>
  <c r="N3004" i="42" l="1"/>
  <c r="P3004" i="42" s="1"/>
  <c r="A3005" i="42"/>
  <c r="N3005" i="42" l="1"/>
  <c r="P3005" i="42" s="1"/>
  <c r="A3006" i="42"/>
  <c r="N3006" i="42" l="1"/>
  <c r="P3006" i="42" s="1"/>
  <c r="A3007" i="42"/>
  <c r="N3007" i="42" l="1"/>
  <c r="P3007" i="42" s="1"/>
  <c r="A3008" i="42"/>
  <c r="N3008" i="42" l="1"/>
  <c r="P3008" i="42" s="1"/>
  <c r="A3009" i="42"/>
  <c r="N3009" i="42" l="1"/>
  <c r="P3009" i="42" s="1"/>
  <c r="A3010" i="42"/>
  <c r="N3010" i="42" l="1"/>
  <c r="P3010" i="42" s="1"/>
  <c r="A3011" i="42"/>
  <c r="N3011" i="42" l="1"/>
  <c r="P3011" i="42" s="1"/>
  <c r="A3012" i="42"/>
  <c r="N3012" i="42" l="1"/>
  <c r="P3012" i="42" s="1"/>
  <c r="A3013" i="42"/>
  <c r="N3013" i="42" l="1"/>
  <c r="P3013" i="42" s="1"/>
  <c r="A3014" i="42"/>
  <c r="N3014" i="42" l="1"/>
  <c r="P3014" i="42" s="1"/>
  <c r="A3015" i="42"/>
  <c r="N3015" i="42" l="1"/>
  <c r="P3015" i="42" s="1"/>
  <c r="A3016" i="42"/>
  <c r="N3016" i="42" l="1"/>
  <c r="P3016" i="42" s="1"/>
  <c r="A3017" i="42"/>
  <c r="N3017" i="42" l="1"/>
  <c r="P3017" i="42" s="1"/>
  <c r="A3018" i="42"/>
  <c r="N3018" i="42" l="1"/>
  <c r="P3018" i="42" s="1"/>
  <c r="A3019" i="42"/>
  <c r="N3019" i="42" l="1"/>
  <c r="P3019" i="42" s="1"/>
  <c r="A3020" i="42"/>
  <c r="N3020" i="42" l="1"/>
  <c r="P3020" i="42" s="1"/>
  <c r="A3021" i="42"/>
  <c r="N3021" i="42" l="1"/>
  <c r="P3021" i="42" s="1"/>
  <c r="A3022" i="42"/>
  <c r="N3022" i="42" l="1"/>
  <c r="P3022" i="42" s="1"/>
  <c r="A3023" i="42"/>
  <c r="N3023" i="42" l="1"/>
  <c r="P3023" i="42" s="1"/>
  <c r="A3024" i="42"/>
  <c r="N3024" i="42" l="1"/>
  <c r="P3024" i="42" s="1"/>
  <c r="A3025" i="42"/>
  <c r="N3025" i="42" l="1"/>
  <c r="P3025" i="42" s="1"/>
  <c r="A3026" i="42"/>
  <c r="N3026" i="42" l="1"/>
  <c r="P3026" i="42" s="1"/>
  <c r="J128" i="12" s="1"/>
  <c r="A3027" i="42"/>
  <c r="N3027" i="42" l="1"/>
  <c r="P3027" i="42" s="1"/>
  <c r="A3028" i="42"/>
  <c r="A128" i="12"/>
  <c r="K128" i="12"/>
  <c r="N3028" i="42" l="1"/>
  <c r="P3028" i="42" s="1"/>
  <c r="A3029" i="42"/>
  <c r="N3029" i="42" l="1"/>
  <c r="P3029" i="42" s="1"/>
  <c r="A3030" i="42"/>
  <c r="N3030" i="42" l="1"/>
  <c r="P3030" i="42" s="1"/>
  <c r="A3031" i="42"/>
  <c r="N3031" i="42" l="1"/>
  <c r="P3031" i="42" s="1"/>
  <c r="A3032" i="42"/>
  <c r="N3032" i="42" l="1"/>
  <c r="P3032" i="42" s="1"/>
  <c r="A3033" i="42"/>
  <c r="N3033" i="42" l="1"/>
  <c r="P3033" i="42" s="1"/>
  <c r="A3034" i="42"/>
  <c r="N3034" i="42" l="1"/>
  <c r="P3034" i="42" s="1"/>
  <c r="A3035" i="42"/>
  <c r="N3035" i="42" l="1"/>
  <c r="P3035" i="42" s="1"/>
  <c r="A3036" i="42"/>
  <c r="N3036" i="42" l="1"/>
  <c r="P3036" i="42" s="1"/>
  <c r="A3037" i="42"/>
  <c r="N3037" i="42" l="1"/>
  <c r="P3037" i="42" s="1"/>
  <c r="A3038" i="42"/>
  <c r="N3038" i="42" l="1"/>
  <c r="P3038" i="42" s="1"/>
  <c r="A3039" i="42"/>
  <c r="N3039" i="42" l="1"/>
  <c r="P3039" i="42" s="1"/>
  <c r="A3040" i="42"/>
  <c r="N3040" i="42" l="1"/>
  <c r="P3040" i="42" s="1"/>
  <c r="A3041" i="42"/>
  <c r="N3041" i="42" l="1"/>
  <c r="P3041" i="42" s="1"/>
  <c r="A3042" i="42"/>
  <c r="N3042" i="42" l="1"/>
  <c r="P3042" i="42" s="1"/>
  <c r="A3043" i="42"/>
  <c r="N3043" i="42" l="1"/>
  <c r="P3043" i="42" s="1"/>
  <c r="A3044" i="42"/>
  <c r="N3044" i="42" l="1"/>
  <c r="P3044" i="42" s="1"/>
  <c r="A3045" i="42"/>
  <c r="N3045" i="42" l="1"/>
  <c r="P3045" i="42" s="1"/>
  <c r="A3046" i="42"/>
  <c r="N3046" i="42" l="1"/>
  <c r="P3046" i="42" s="1"/>
  <c r="A3047" i="42"/>
  <c r="N3047" i="42" l="1"/>
  <c r="P3047" i="42" s="1"/>
  <c r="A3048" i="42"/>
  <c r="N3048" i="42" l="1"/>
  <c r="P3048" i="42" s="1"/>
  <c r="A3049" i="42"/>
  <c r="N3049" i="42" l="1"/>
  <c r="P3049" i="42" s="1"/>
  <c r="A3050" i="42"/>
  <c r="N3050" i="42" l="1"/>
  <c r="P3050" i="42" s="1"/>
  <c r="A3051" i="42"/>
  <c r="N3051" i="42" l="1"/>
  <c r="P3051" i="42" s="1"/>
  <c r="A3052" i="42"/>
  <c r="N3052" i="42" l="1"/>
  <c r="P3052" i="42" s="1"/>
  <c r="A3053" i="42"/>
  <c r="N3053" i="42" l="1"/>
  <c r="P3053" i="42" s="1"/>
  <c r="A3054" i="42"/>
  <c r="N3054" i="42" l="1"/>
  <c r="P3054" i="42" s="1"/>
  <c r="A3055" i="42"/>
  <c r="N3055" i="42" l="1"/>
  <c r="P3055" i="42" s="1"/>
  <c r="A3056" i="42"/>
  <c r="N3056" i="42" l="1"/>
  <c r="P3056" i="42" s="1"/>
  <c r="A3057" i="42"/>
  <c r="N3057" i="42" l="1"/>
  <c r="P3057" i="42" s="1"/>
  <c r="A3058" i="42"/>
  <c r="N3058" i="42" l="1"/>
  <c r="P3058" i="42" s="1"/>
  <c r="A3059" i="42"/>
  <c r="N3059" i="42" l="1"/>
  <c r="P3059" i="42" s="1"/>
  <c r="A3060" i="42"/>
  <c r="N3060" i="42" l="1"/>
  <c r="P3060" i="42" s="1"/>
  <c r="A3061" i="42"/>
  <c r="N3061" i="42" l="1"/>
  <c r="P3061" i="42" s="1"/>
  <c r="A3062" i="42"/>
  <c r="N3062" i="42" l="1"/>
  <c r="P3062" i="42" s="1"/>
  <c r="A3063" i="42"/>
  <c r="N3063" i="42" l="1"/>
  <c r="P3063" i="42" s="1"/>
  <c r="J189" i="12" s="1"/>
  <c r="A3064" i="42"/>
  <c r="N3064" i="42" l="1"/>
  <c r="P3064" i="42" s="1"/>
  <c r="A3065" i="42"/>
  <c r="K189" i="12"/>
  <c r="A189" i="12"/>
  <c r="N3065" i="42" l="1"/>
  <c r="P3065" i="42" s="1"/>
  <c r="A3066" i="42"/>
  <c r="N3066" i="42" l="1"/>
  <c r="P3066" i="42" s="1"/>
  <c r="J190" i="12" s="1"/>
  <c r="A3067" i="42"/>
  <c r="N3067" i="42" l="1"/>
  <c r="P3067" i="42" s="1"/>
  <c r="J192" i="12" s="1"/>
  <c r="A3068" i="42"/>
  <c r="A190" i="12"/>
  <c r="K190" i="12"/>
  <c r="N3068" i="42" l="1"/>
  <c r="P3068" i="42" s="1"/>
  <c r="A3069" i="42"/>
  <c r="A192" i="12"/>
  <c r="K192" i="12"/>
  <c r="N3069" i="42" l="1"/>
  <c r="P3069" i="42" s="1"/>
  <c r="A3070" i="42"/>
  <c r="N3070" i="42" l="1"/>
  <c r="P3070" i="42" s="1"/>
  <c r="A3071" i="42"/>
  <c r="N3071" i="42" l="1"/>
  <c r="P3071" i="42" s="1"/>
  <c r="A3072" i="42"/>
  <c r="N3072" i="42" l="1"/>
  <c r="P3072" i="42" s="1"/>
  <c r="A3073" i="42"/>
  <c r="N3073" i="42" l="1"/>
  <c r="P3073" i="42" s="1"/>
  <c r="A3074" i="42"/>
  <c r="N3074" i="42" l="1"/>
  <c r="P3074" i="42" s="1"/>
  <c r="A3075" i="42"/>
  <c r="N3075" i="42" l="1"/>
  <c r="P3075" i="42" s="1"/>
  <c r="A3076" i="42"/>
  <c r="N3076" i="42" l="1"/>
  <c r="P3076" i="42" s="1"/>
  <c r="A3077" i="42"/>
  <c r="N3077" i="42" l="1"/>
  <c r="P3077" i="42" s="1"/>
  <c r="A3078" i="42"/>
  <c r="N3078" i="42" l="1"/>
  <c r="P3078" i="42" s="1"/>
  <c r="A3079" i="42"/>
  <c r="N3079" i="42" l="1"/>
  <c r="P3079" i="42" s="1"/>
  <c r="A3080" i="42"/>
  <c r="N3080" i="42" l="1"/>
  <c r="P3080" i="42" s="1"/>
  <c r="A3081" i="42"/>
  <c r="N3081" i="42" l="1"/>
  <c r="P3081" i="42" s="1"/>
  <c r="A3082" i="42"/>
  <c r="N3082" i="42" l="1"/>
  <c r="P3082" i="42" s="1"/>
  <c r="A3083" i="42"/>
  <c r="N3083" i="42" l="1"/>
  <c r="P3083" i="42" s="1"/>
  <c r="A3084" i="42"/>
  <c r="N3084" i="42" l="1"/>
  <c r="P3084" i="42" s="1"/>
  <c r="A3085" i="42"/>
  <c r="N3085" i="42" l="1"/>
  <c r="P3085" i="42" s="1"/>
  <c r="A3086" i="42"/>
  <c r="N3086" i="42" l="1"/>
  <c r="P3086" i="42" s="1"/>
  <c r="A3087" i="42"/>
  <c r="N3087" i="42" l="1"/>
  <c r="P3087" i="42" s="1"/>
  <c r="A3088" i="42"/>
  <c r="N3088" i="42" l="1"/>
  <c r="P3088" i="42" s="1"/>
  <c r="A3089" i="42"/>
  <c r="N3089" i="42" l="1"/>
  <c r="P3089" i="42" s="1"/>
  <c r="A3090" i="42"/>
  <c r="N3090" i="42" l="1"/>
  <c r="P3090" i="42" s="1"/>
  <c r="A3091" i="42"/>
  <c r="N3091" i="42" l="1"/>
  <c r="P3091" i="42" s="1"/>
  <c r="A3092" i="42"/>
  <c r="N3092" i="42" l="1"/>
  <c r="P3092" i="42" s="1"/>
  <c r="A3093" i="42"/>
  <c r="N3093" i="42" l="1"/>
  <c r="P3093" i="42" s="1"/>
  <c r="A3094" i="42"/>
  <c r="N3094" i="42" l="1"/>
  <c r="P3094" i="42" s="1"/>
  <c r="A3095" i="42"/>
  <c r="N3095" i="42" l="1"/>
  <c r="P3095" i="42" s="1"/>
  <c r="A3096" i="42"/>
  <c r="N3096" i="42" l="1"/>
  <c r="P3096" i="42" s="1"/>
  <c r="A3097" i="42"/>
  <c r="N3097" i="42" l="1"/>
  <c r="P3097" i="42" s="1"/>
  <c r="A3098" i="42"/>
  <c r="N3098" i="42" l="1"/>
  <c r="P3098" i="42" s="1"/>
  <c r="A3099" i="42"/>
  <c r="N3099" i="42" l="1"/>
  <c r="P3099" i="42" s="1"/>
  <c r="A3100" i="42"/>
  <c r="N3100" i="42" l="1"/>
  <c r="P3100" i="42" s="1"/>
  <c r="A3101" i="42"/>
  <c r="N3101" i="42" l="1"/>
  <c r="P3101" i="42" s="1"/>
  <c r="A3102" i="42"/>
  <c r="N3102" i="42" l="1"/>
  <c r="P3102" i="42" s="1"/>
  <c r="A3103" i="42"/>
  <c r="N3103" i="42" l="1"/>
  <c r="P3103" i="42" s="1"/>
  <c r="A3104" i="42"/>
  <c r="N3104" i="42" l="1"/>
  <c r="P3104" i="42" s="1"/>
  <c r="A3105" i="42"/>
  <c r="N3105" i="42" l="1"/>
  <c r="P3105" i="42" s="1"/>
  <c r="A3106" i="42"/>
  <c r="N3106" i="42" l="1"/>
  <c r="P3106" i="42" s="1"/>
  <c r="A3107" i="42"/>
  <c r="N3107" i="42" l="1"/>
  <c r="P3107" i="42" s="1"/>
  <c r="A3108" i="42"/>
  <c r="N3108" i="42" l="1"/>
  <c r="P3108" i="42" s="1"/>
  <c r="A3109" i="42"/>
  <c r="N3109" i="42" l="1"/>
  <c r="P3109" i="42" s="1"/>
  <c r="A3110" i="42"/>
  <c r="N3110" i="42" l="1"/>
  <c r="P3110" i="42" s="1"/>
  <c r="A3111" i="42"/>
  <c r="N3111" i="42" l="1"/>
  <c r="P3111" i="42" s="1"/>
  <c r="A3112" i="42"/>
  <c r="N3112" i="42" l="1"/>
  <c r="P3112" i="42" s="1"/>
  <c r="A3113" i="42"/>
  <c r="N3113" i="42" l="1"/>
  <c r="P3113" i="42" s="1"/>
  <c r="A3114" i="42"/>
  <c r="N3114" i="42" l="1"/>
  <c r="P3114" i="42" s="1"/>
  <c r="A3115" i="42"/>
  <c r="N3115" i="42" l="1"/>
  <c r="P3115" i="42" s="1"/>
  <c r="A3116" i="42"/>
  <c r="N3116" i="42" l="1"/>
  <c r="P3116" i="42" s="1"/>
  <c r="A3117" i="42"/>
  <c r="N3117" i="42" l="1"/>
  <c r="P3117" i="42" s="1"/>
  <c r="A3118" i="42"/>
  <c r="N3118" i="42" l="1"/>
  <c r="P3118" i="42" s="1"/>
  <c r="A3119" i="42"/>
  <c r="N3119" i="42" l="1"/>
  <c r="P3119" i="42" s="1"/>
  <c r="A3120" i="42"/>
  <c r="N3120" i="42" l="1"/>
  <c r="P3120" i="42" s="1"/>
  <c r="A3121" i="42"/>
  <c r="N3121" i="42" l="1"/>
  <c r="P3121" i="42" s="1"/>
  <c r="A3122" i="42"/>
  <c r="N3122" i="42" l="1"/>
  <c r="P3122" i="42" s="1"/>
  <c r="A3123" i="42"/>
  <c r="N3123" i="42" l="1"/>
  <c r="P3123" i="42" s="1"/>
  <c r="A3124" i="42"/>
  <c r="N3124" i="42" l="1"/>
  <c r="P3124" i="42" s="1"/>
  <c r="A3125" i="42"/>
  <c r="N3125" i="42" l="1"/>
  <c r="P3125" i="42" s="1"/>
  <c r="A3126" i="42"/>
  <c r="N3126" i="42" l="1"/>
  <c r="P3126" i="42" s="1"/>
  <c r="A3127" i="42"/>
  <c r="N3127" i="42" l="1"/>
  <c r="P3127" i="42" s="1"/>
  <c r="A3128" i="42"/>
  <c r="N3128" i="42" l="1"/>
  <c r="P3128" i="42" s="1"/>
  <c r="A3129" i="42"/>
  <c r="N3129" i="42" l="1"/>
  <c r="P3129" i="42" s="1"/>
  <c r="A3130" i="42"/>
  <c r="N3130" i="42" l="1"/>
  <c r="P3130" i="42" s="1"/>
  <c r="A3131" i="42"/>
  <c r="N3131" i="42" l="1"/>
  <c r="P3131" i="42" s="1"/>
  <c r="A3132" i="42"/>
  <c r="N3132" i="42" l="1"/>
  <c r="P3132" i="42" s="1"/>
  <c r="A3133" i="42"/>
  <c r="N3133" i="42" l="1"/>
  <c r="P3133" i="42" s="1"/>
  <c r="A3134" i="42"/>
  <c r="N3134" i="42" l="1"/>
  <c r="P3134" i="42" s="1"/>
  <c r="A3135" i="42"/>
  <c r="N3135" i="42" l="1"/>
  <c r="P3135" i="42" s="1"/>
  <c r="A3136" i="42"/>
  <c r="N3136" i="42" l="1"/>
  <c r="P3136" i="42" s="1"/>
  <c r="A3137" i="42"/>
  <c r="N3137" i="42" l="1"/>
  <c r="P3137" i="42" s="1"/>
  <c r="A3138" i="42"/>
  <c r="N3138" i="42" l="1"/>
  <c r="P3138" i="42" s="1"/>
  <c r="A3139" i="42"/>
  <c r="N3139" i="42" l="1"/>
  <c r="P3139" i="42" s="1"/>
  <c r="A3140" i="42"/>
  <c r="N3140" i="42" l="1"/>
  <c r="P3140" i="42" s="1"/>
  <c r="A3141" i="42"/>
  <c r="N3141" i="42" l="1"/>
  <c r="P3141" i="42" s="1"/>
  <c r="A3142" i="42"/>
  <c r="N3142" i="42" l="1"/>
  <c r="P3142" i="42" s="1"/>
  <c r="A3143" i="42"/>
  <c r="N3143" i="42" l="1"/>
  <c r="P3143" i="42" s="1"/>
  <c r="A3144" i="42"/>
  <c r="N3144" i="42" l="1"/>
  <c r="P3144" i="42" s="1"/>
  <c r="A3145" i="42"/>
  <c r="N3145" i="42" l="1"/>
  <c r="P3145" i="42" s="1"/>
  <c r="A3146" i="42"/>
  <c r="N3146" i="42" l="1"/>
  <c r="P3146" i="42" s="1"/>
  <c r="A3147" i="42"/>
  <c r="N3147" i="42" l="1"/>
  <c r="P3147" i="42" s="1"/>
  <c r="A3148" i="42"/>
  <c r="N3148" i="42" l="1"/>
  <c r="P3148" i="42" s="1"/>
  <c r="A3149" i="42"/>
  <c r="N3149" i="42" l="1"/>
  <c r="P3149" i="42" s="1"/>
  <c r="A3150" i="42"/>
  <c r="N3150" i="42" l="1"/>
  <c r="P3150" i="42" s="1"/>
  <c r="A3151" i="42"/>
  <c r="N3151" i="42" l="1"/>
  <c r="P3151" i="42" s="1"/>
  <c r="A3152" i="42"/>
  <c r="N3152" i="42" l="1"/>
  <c r="P3152" i="42" s="1"/>
  <c r="A3153" i="42"/>
  <c r="N3153" i="42" l="1"/>
  <c r="P3153" i="42" s="1"/>
  <c r="A3154" i="42"/>
  <c r="N3154" i="42" l="1"/>
  <c r="P3154" i="42" s="1"/>
  <c r="A3155" i="42"/>
  <c r="N3155" i="42" l="1"/>
  <c r="P3155" i="42" s="1"/>
  <c r="A3156" i="42"/>
  <c r="N3156" i="42" l="1"/>
  <c r="P3156" i="42" s="1"/>
  <c r="A3157" i="42"/>
  <c r="N3157" i="42" l="1"/>
  <c r="P3157" i="42" s="1"/>
  <c r="A3158" i="42"/>
  <c r="N3158" i="42" l="1"/>
  <c r="P3158" i="42" s="1"/>
  <c r="A3159" i="42"/>
  <c r="N3159" i="42" l="1"/>
  <c r="P3159" i="42" s="1"/>
  <c r="A3160" i="42"/>
  <c r="N3160" i="42" l="1"/>
  <c r="P3160" i="42" s="1"/>
  <c r="A3161" i="42"/>
  <c r="N3161" i="42" l="1"/>
  <c r="P3161" i="42" s="1"/>
  <c r="A3162" i="42"/>
  <c r="N3162" i="42" l="1"/>
  <c r="P3162" i="42" s="1"/>
  <c r="A3163" i="42"/>
  <c r="N3163" i="42" l="1"/>
  <c r="P3163" i="42" s="1"/>
  <c r="A3164" i="42"/>
  <c r="N3164" i="42" l="1"/>
  <c r="P3164" i="42" s="1"/>
  <c r="A3165" i="42"/>
  <c r="N3165" i="42" l="1"/>
  <c r="P3165" i="42" s="1"/>
  <c r="A3166" i="42"/>
  <c r="N3166" i="42" l="1"/>
  <c r="P3166" i="42" s="1"/>
  <c r="A3167" i="42"/>
  <c r="N3167" i="42" l="1"/>
  <c r="P3167" i="42" s="1"/>
  <c r="A3168" i="42"/>
  <c r="N3168" i="42" l="1"/>
  <c r="P3168" i="42" s="1"/>
  <c r="A3169" i="42"/>
  <c r="N3169" i="42" l="1"/>
  <c r="P3169" i="42" s="1"/>
  <c r="A3170" i="42"/>
  <c r="N3170" i="42" l="1"/>
  <c r="P3170" i="42" s="1"/>
  <c r="A3171" i="42"/>
  <c r="N3171" i="42" l="1"/>
  <c r="P3171" i="42" s="1"/>
  <c r="A3172" i="42"/>
  <c r="N3172" i="42" l="1"/>
  <c r="P3172" i="42" s="1"/>
  <c r="A3173" i="42"/>
  <c r="N3173" i="42" l="1"/>
  <c r="P3173" i="42" s="1"/>
  <c r="A3174" i="42"/>
  <c r="N3174" i="42" l="1"/>
  <c r="P3174" i="42" s="1"/>
  <c r="A3175" i="42"/>
  <c r="N3175" i="42" l="1"/>
  <c r="P3175" i="42" s="1"/>
  <c r="A3176" i="42"/>
  <c r="N3176" i="42" l="1"/>
  <c r="P3176" i="42" s="1"/>
  <c r="A3177" i="42"/>
  <c r="N3177" i="42" l="1"/>
  <c r="P3177" i="42" s="1"/>
  <c r="A3178" i="42"/>
  <c r="N3178" i="42" l="1"/>
  <c r="P3178" i="42" s="1"/>
  <c r="A3179" i="42"/>
  <c r="N3179" i="42" l="1"/>
  <c r="P3179" i="42" s="1"/>
  <c r="A3180" i="42"/>
  <c r="N3180" i="42" l="1"/>
  <c r="P3180" i="42" s="1"/>
  <c r="A3181" i="42"/>
  <c r="N3181" i="42" l="1"/>
  <c r="P3181" i="42" s="1"/>
  <c r="A3182" i="42"/>
  <c r="N3182" i="42" l="1"/>
  <c r="P3182" i="42" s="1"/>
  <c r="A3183" i="42"/>
  <c r="N3183" i="42" l="1"/>
  <c r="P3183" i="42" s="1"/>
  <c r="A3184" i="42"/>
  <c r="N3184" i="42" l="1"/>
  <c r="P3184" i="42" s="1"/>
  <c r="A3185" i="42"/>
  <c r="N3185" i="42" l="1"/>
  <c r="P3185" i="42" s="1"/>
  <c r="A3186" i="42"/>
  <c r="N3186" i="42" l="1"/>
  <c r="P3186" i="42" s="1"/>
  <c r="A3187" i="42"/>
  <c r="N3187" i="42" l="1"/>
  <c r="P3187" i="42" s="1"/>
  <c r="A3188" i="42"/>
  <c r="N3188" i="42" l="1"/>
  <c r="P3188" i="42" s="1"/>
  <c r="A3189" i="42"/>
  <c r="N3189" i="42" l="1"/>
  <c r="P3189" i="42" s="1"/>
  <c r="A3190" i="42"/>
  <c r="N3190" i="42" l="1"/>
  <c r="P3190" i="42" s="1"/>
  <c r="A3191" i="42"/>
  <c r="N3191" i="42" l="1"/>
  <c r="P3191" i="42" s="1"/>
  <c r="A3192" i="42"/>
  <c r="N3192" i="42" l="1"/>
  <c r="P3192" i="42" s="1"/>
  <c r="A3193" i="42"/>
  <c r="N3193" i="42" l="1"/>
  <c r="P3193" i="42" s="1"/>
  <c r="A3194" i="42"/>
  <c r="N3194" i="42" l="1"/>
  <c r="P3194" i="42" s="1"/>
  <c r="A3195" i="42"/>
  <c r="N3195" i="42" l="1"/>
  <c r="P3195" i="42" s="1"/>
  <c r="A3196" i="42"/>
  <c r="N3196" i="42" l="1"/>
  <c r="P3196" i="42" s="1"/>
  <c r="A3197" i="42"/>
  <c r="N3197" i="42" l="1"/>
  <c r="P3197" i="42" s="1"/>
  <c r="A3198" i="42"/>
  <c r="N3198" i="42" l="1"/>
  <c r="P3198" i="42" s="1"/>
  <c r="A3199" i="42"/>
  <c r="N3199" i="42" l="1"/>
  <c r="P3199" i="42" s="1"/>
  <c r="A3200" i="42"/>
  <c r="N3200" i="42" l="1"/>
  <c r="P3200" i="42" s="1"/>
  <c r="A3201" i="42"/>
  <c r="N3201" i="42" l="1"/>
  <c r="P3201" i="42" s="1"/>
  <c r="A3202" i="42"/>
  <c r="N3202" i="42" l="1"/>
  <c r="P3202" i="42" s="1"/>
  <c r="A3203" i="42"/>
  <c r="N3203" i="42" l="1"/>
  <c r="P3203" i="42" s="1"/>
  <c r="A3204" i="42"/>
  <c r="N3204" i="42" l="1"/>
  <c r="P3204" i="42" s="1"/>
  <c r="A3205" i="42"/>
  <c r="N3205" i="42" l="1"/>
  <c r="P3205" i="42" s="1"/>
  <c r="A3206" i="42"/>
  <c r="N3206" i="42" l="1"/>
  <c r="P3206" i="42" s="1"/>
  <c r="A3207" i="42"/>
  <c r="N3207" i="42" l="1"/>
  <c r="P3207" i="42" s="1"/>
  <c r="A3208" i="42"/>
  <c r="N3208" i="42" l="1"/>
  <c r="P3208" i="42" s="1"/>
  <c r="A3209" i="42"/>
  <c r="N3209" i="42" l="1"/>
  <c r="P3209" i="42" s="1"/>
  <c r="A3210" i="42"/>
  <c r="N3210" i="42" l="1"/>
  <c r="P3210" i="42" s="1"/>
  <c r="A3211" i="42"/>
  <c r="N3211" i="42" l="1"/>
  <c r="P3211" i="42" s="1"/>
  <c r="A3212" i="42"/>
  <c r="N3212" i="42" l="1"/>
  <c r="P3212" i="42" s="1"/>
  <c r="A3213" i="42"/>
  <c r="N3213" i="42" l="1"/>
  <c r="P3213" i="42" s="1"/>
  <c r="A3214" i="42"/>
  <c r="N3214" i="42" l="1"/>
  <c r="P3214" i="42" s="1"/>
  <c r="A3215" i="42"/>
  <c r="N3215" i="42" l="1"/>
  <c r="P3215" i="42" s="1"/>
  <c r="A3216" i="42"/>
  <c r="N3216" i="42" l="1"/>
  <c r="P3216" i="42" s="1"/>
  <c r="A3217" i="42"/>
  <c r="N3217" i="42" l="1"/>
  <c r="P3217" i="42" s="1"/>
  <c r="A3218" i="42"/>
  <c r="N3218" i="42" l="1"/>
  <c r="P3218" i="42" s="1"/>
  <c r="A3219" i="42"/>
  <c r="N3219" i="42" l="1"/>
  <c r="P3219" i="42" s="1"/>
  <c r="A3220" i="42"/>
  <c r="N3220" i="42" l="1"/>
  <c r="P3220" i="42" s="1"/>
  <c r="J254" i="12" s="1"/>
  <c r="A3221" i="42"/>
  <c r="A3222" i="42" s="1"/>
  <c r="A3223" i="42" s="1"/>
  <c r="A3224" i="42" s="1"/>
  <c r="A3225" i="42" s="1"/>
  <c r="A3226" i="42" s="1"/>
  <c r="A3227" i="42" s="1"/>
  <c r="A3228" i="42" s="1"/>
  <c r="A3229" i="42" s="1"/>
  <c r="A3230" i="42" s="1"/>
  <c r="A3231" i="42" s="1"/>
  <c r="A3232" i="42" s="1"/>
  <c r="A3233" i="42" s="1"/>
  <c r="A3234" i="42" s="1"/>
  <c r="A3235" i="42" s="1"/>
  <c r="A3236" i="42" s="1"/>
  <c r="A3237" i="42" s="1"/>
  <c r="A3238" i="42" s="1"/>
  <c r="A3239" i="42" s="1"/>
  <c r="A3240" i="42" s="1"/>
  <c r="A3241" i="42" s="1"/>
  <c r="A3242" i="42" s="1"/>
  <c r="A3243" i="42" s="1"/>
  <c r="A3244" i="42" s="1"/>
  <c r="A3245" i="42" s="1"/>
  <c r="A3246" i="42" s="1"/>
  <c r="A3247" i="42" s="1"/>
  <c r="A3248" i="42" s="1"/>
  <c r="A3249" i="42" s="1"/>
  <c r="A3250" i="42" s="1"/>
  <c r="A3251" i="42" s="1"/>
  <c r="A3252" i="42" s="1"/>
  <c r="A3253" i="42" s="1"/>
  <c r="A3254" i="42" s="1"/>
  <c r="A3255" i="42" s="1"/>
  <c r="A3256" i="42" s="1"/>
  <c r="A3257" i="42" s="1"/>
  <c r="A3258" i="42" s="1"/>
  <c r="A3259" i="42" s="1"/>
  <c r="A3260" i="42" s="1"/>
  <c r="A3261" i="42" s="1"/>
  <c r="A3262" i="42" s="1"/>
  <c r="A3263" i="42" s="1"/>
  <c r="A3264" i="42" s="1"/>
  <c r="A3265" i="42" s="1"/>
  <c r="A3266" i="42" s="1"/>
  <c r="A3267" i="42" s="1"/>
  <c r="A3268" i="42" s="1"/>
  <c r="A3269" i="42" s="1"/>
  <c r="N3269" i="42" l="1"/>
  <c r="P3269" i="42" s="1"/>
  <c r="A3270" i="42"/>
  <c r="K254" i="12"/>
  <c r="A254" i="12"/>
  <c r="N3270" i="42" l="1"/>
  <c r="P3270" i="42" s="1"/>
  <c r="A3271" i="42"/>
  <c r="N3271" i="42" l="1"/>
  <c r="P3271" i="42" s="1"/>
  <c r="A3272" i="42"/>
  <c r="N3272" i="42" l="1"/>
  <c r="P3272" i="42" s="1"/>
  <c r="A3273" i="42"/>
  <c r="A3274" i="42" s="1"/>
  <c r="A3275" i="42" s="1"/>
  <c r="A3276" i="42" s="1"/>
  <c r="A3277" i="42" s="1"/>
  <c r="A3278" i="42" s="1"/>
  <c r="A3279" i="42" s="1"/>
  <c r="A3280" i="42" s="1"/>
  <c r="A3281" i="42" s="1"/>
  <c r="A3282" i="42" s="1"/>
  <c r="A3283" i="42" s="1"/>
  <c r="A3284" i="42" s="1"/>
  <c r="A3285" i="42" s="1"/>
  <c r="A3286" i="42" s="1"/>
  <c r="A3287" i="42" s="1"/>
  <c r="A3288" i="42" s="1"/>
  <c r="A3289" i="42" s="1"/>
  <c r="A3290" i="42" s="1"/>
  <c r="A3291" i="42" s="1"/>
  <c r="A3292" i="42" s="1"/>
  <c r="A3293" i="42" s="1"/>
  <c r="A3294" i="42" s="1"/>
  <c r="A3295" i="42" s="1"/>
  <c r="A3296" i="42" s="1"/>
  <c r="A3297" i="42" s="1"/>
  <c r="A3298" i="42" s="1"/>
  <c r="A3299" i="42" s="1"/>
  <c r="A3300" i="42" s="1"/>
  <c r="A3301" i="42" s="1"/>
  <c r="A3302" i="42" s="1"/>
  <c r="A3303" i="42" s="1"/>
  <c r="A3304" i="42" s="1"/>
  <c r="A3305" i="42" s="1"/>
  <c r="A3306" i="42" s="1"/>
  <c r="A3307" i="42" s="1"/>
  <c r="A3308" i="42" s="1"/>
  <c r="A3309" i="42" s="1"/>
  <c r="A3310" i="42" s="1"/>
  <c r="A3311" i="42" s="1"/>
  <c r="A3312" i="42" s="1"/>
  <c r="A3313" i="42" s="1"/>
  <c r="A3314" i="42" s="1"/>
  <c r="A3315" i="42" s="1"/>
  <c r="A3316" i="42" s="1"/>
  <c r="A3317" i="42" s="1"/>
  <c r="A3318" i="42" s="1"/>
  <c r="A3319" i="42" s="1"/>
  <c r="A3320" i="42" s="1"/>
  <c r="A3321" i="42" s="1"/>
  <c r="A3322" i="42" s="1"/>
  <c r="A3323" i="42" s="1"/>
  <c r="A3324" i="42" s="1"/>
  <c r="A3325" i="42" s="1"/>
  <c r="A3326" i="42" s="1"/>
  <c r="A3327" i="42" s="1"/>
  <c r="A3328" i="42" s="1"/>
  <c r="A3329" i="42" s="1"/>
  <c r="A3330" i="42" s="1"/>
  <c r="A3331" i="42" s="1"/>
  <c r="A3332" i="42" s="1"/>
  <c r="A3333" i="42" s="1"/>
  <c r="A3334" i="42" s="1"/>
  <c r="A3335" i="42" s="1"/>
  <c r="A3336" i="42" s="1"/>
  <c r="A3337" i="42" s="1"/>
  <c r="A3338" i="42" s="1"/>
  <c r="A3339" i="42" s="1"/>
  <c r="A3340" i="42" s="1"/>
  <c r="A3341" i="42" s="1"/>
  <c r="A3342" i="42" s="1"/>
  <c r="A3343" i="42" s="1"/>
  <c r="A3344" i="42" s="1"/>
  <c r="A3345" i="42" s="1"/>
  <c r="A3346" i="42" s="1"/>
  <c r="A3347" i="42" s="1"/>
  <c r="A3348" i="42" s="1"/>
  <c r="A3349" i="42" s="1"/>
  <c r="A3350" i="42" s="1"/>
  <c r="A3351" i="42" s="1"/>
  <c r="A3352" i="42" s="1"/>
  <c r="A3353" i="42" s="1"/>
  <c r="A3354" i="42" s="1"/>
  <c r="A3355" i="42" s="1"/>
  <c r="A3356" i="42" s="1"/>
  <c r="A3357" i="42" s="1"/>
  <c r="A3358" i="42" s="1"/>
  <c r="A3359" i="42" s="1"/>
  <c r="A3360" i="42" s="1"/>
  <c r="A3361" i="42" s="1"/>
  <c r="A3362" i="42" s="1"/>
  <c r="A3363" i="42" s="1"/>
  <c r="A3364" i="42" s="1"/>
  <c r="A3365" i="42" s="1"/>
  <c r="A3366" i="42" s="1"/>
  <c r="A3367" i="42" s="1"/>
  <c r="A3368" i="42" s="1"/>
  <c r="A3369" i="42" s="1"/>
  <c r="A3370" i="42" s="1"/>
  <c r="A3371" i="42" s="1"/>
  <c r="A3372" i="42" s="1"/>
  <c r="A3373" i="42" s="1"/>
  <c r="A3374" i="42" s="1"/>
  <c r="A3375" i="42" s="1"/>
  <c r="A3376" i="42" s="1"/>
  <c r="A3377" i="42" s="1"/>
  <c r="A3378" i="42" s="1"/>
  <c r="A3379" i="42" s="1"/>
  <c r="A3380" i="42" s="1"/>
  <c r="A3381" i="42" s="1"/>
  <c r="A3382" i="42" s="1"/>
  <c r="A3383" i="42" s="1"/>
  <c r="A3384" i="42" s="1"/>
  <c r="A3385" i="42" s="1"/>
  <c r="A3386" i="42" s="1"/>
  <c r="A3387" i="42" s="1"/>
  <c r="A3388" i="42" s="1"/>
  <c r="A3389" i="42" s="1"/>
  <c r="A3390" i="42" s="1"/>
  <c r="A3391" i="42" s="1"/>
  <c r="A3392" i="42" s="1"/>
  <c r="A3393" i="42" s="1"/>
  <c r="A3394" i="42" s="1"/>
  <c r="A3395" i="42" s="1"/>
  <c r="A3396" i="42" s="1"/>
  <c r="A3397" i="42" s="1"/>
  <c r="A3398" i="42" s="1"/>
  <c r="A3399" i="42" s="1"/>
  <c r="A3400" i="42" s="1"/>
  <c r="A3401" i="42" s="1"/>
  <c r="A3402" i="42" s="1"/>
  <c r="A3403" i="42" s="1"/>
  <c r="A3404" i="42" s="1"/>
  <c r="A3405" i="42" s="1"/>
  <c r="A3406" i="42" s="1"/>
  <c r="A3407" i="42" s="1"/>
  <c r="A3408" i="42" s="1"/>
  <c r="A3409" i="42" s="1"/>
  <c r="A3410" i="42" s="1"/>
  <c r="A3411" i="42" s="1"/>
  <c r="A3412" i="42" s="1"/>
  <c r="A3413" i="42" s="1"/>
  <c r="A3414" i="42" s="1"/>
  <c r="A3415" i="42" s="1"/>
  <c r="A3416" i="42" s="1"/>
  <c r="A3417" i="42" s="1"/>
  <c r="A3418" i="42" s="1"/>
  <c r="A3419" i="42" s="1"/>
  <c r="A3420" i="42" s="1"/>
  <c r="A3421" i="42" s="1"/>
  <c r="A3422" i="42" s="1"/>
  <c r="A3423" i="42" s="1"/>
  <c r="A3424" i="42" s="1"/>
  <c r="A3425" i="42" s="1"/>
  <c r="A3426" i="42" s="1"/>
  <c r="A3427" i="42" s="1"/>
  <c r="A3428" i="42" s="1"/>
  <c r="A3429" i="42" s="1"/>
  <c r="A3430" i="42" s="1"/>
  <c r="A3431" i="42" s="1"/>
  <c r="A3432" i="42" s="1"/>
  <c r="A3433" i="42" s="1"/>
  <c r="A3434" i="42" s="1"/>
  <c r="L378" i="104"/>
  <c r="L59" i="104"/>
  <c r="L58" i="104"/>
  <c r="K56" i="104" s="1"/>
  <c r="L55" i="104"/>
  <c r="K53" i="104" s="1"/>
  <c r="E53" i="99" l="1"/>
  <c r="F53" i="99" s="1"/>
  <c r="E52" i="99"/>
  <c r="F52" i="99" s="1"/>
  <c r="E238" i="99"/>
  <c r="F238" i="99" s="1"/>
  <c r="L53" i="104"/>
  <c r="E17" i="99"/>
  <c r="F17" i="99" s="1"/>
  <c r="E239" i="99" l="1"/>
  <c r="F239" i="99" s="1"/>
  <c r="F227" i="99" s="1"/>
  <c r="E18" i="99"/>
  <c r="F18" i="99" s="1"/>
  <c r="G16" i="99" s="1"/>
  <c r="G17" i="99" s="1"/>
  <c r="L56" i="104"/>
  <c r="G51" i="99"/>
  <c r="G52" i="99" s="1"/>
  <c r="F42" i="99"/>
  <c r="G237" i="99" l="1"/>
  <c r="G238" i="99" s="1"/>
  <c r="F8" i="99"/>
  <c r="F7" i="99" s="1"/>
  <c r="I2097" i="98" l="1"/>
  <c r="I2095" i="98" s="1"/>
  <c r="I2098" i="98" s="1"/>
  <c r="I2099" i="98" s="1"/>
  <c r="I2100" i="98" l="1"/>
  <c r="I2101" i="98" s="1"/>
  <c r="I2102" i="98" l="1"/>
  <c r="I2103" i="98" s="1"/>
  <c r="I2104" i="98" s="1"/>
  <c r="I2105" i="98" l="1"/>
  <c r="I2106" i="98" s="1"/>
  <c r="K303" i="104" l="1"/>
  <c r="L303" i="104" s="1"/>
  <c r="K302" i="104" l="1"/>
  <c r="K298" i="104" s="1"/>
  <c r="L298" i="104" s="1"/>
  <c r="K296" i="104" s="1"/>
  <c r="L302" i="104" l="1"/>
  <c r="K301" i="104"/>
  <c r="L301" i="104" s="1"/>
  <c r="K299" i="104" s="1"/>
  <c r="L299" i="104" s="1"/>
  <c r="L296" i="104"/>
  <c r="E213" i="99"/>
  <c r="F213" i="99" s="1"/>
  <c r="E214" i="99" l="1"/>
  <c r="F214" i="99" s="1"/>
  <c r="F212" i="99" s="1"/>
  <c r="F211" i="99" s="1"/>
  <c r="F6" i="99" s="1"/>
  <c r="F263" i="99" s="1"/>
  <c r="G264" i="99" l="1"/>
  <c r="D6" i="106"/>
  <c r="D9" i="106" s="1"/>
  <c r="F9" i="106" s="1"/>
  <c r="D10" i="106" l="1"/>
  <c r="F10" i="106" s="1"/>
  <c r="G2" i="99"/>
  <c r="N2" i="99"/>
</calcChain>
</file>

<file path=xl/sharedStrings.xml><?xml version="1.0" encoding="utf-8"?>
<sst xmlns="http://schemas.openxmlformats.org/spreadsheetml/2006/main" count="24607" uniqueCount="5988">
  <si>
    <t>Đào đất chân khay</t>
  </si>
  <si>
    <t>Đắp đất chân khay bằng thủ công</t>
  </si>
  <si>
    <t>Đóng cọc tràm L&gt; 2.5m,đất C1</t>
  </si>
  <si>
    <t>Lát gạch trồng cỏ</t>
  </si>
  <si>
    <t>Đá 4x6</t>
  </si>
  <si>
    <t>Đắp cát gia tải</t>
  </si>
  <si>
    <t>Trải bê tông nhựa hạt trung dày 7cm</t>
  </si>
  <si>
    <t>Cày xới mặt đường cũ</t>
  </si>
  <si>
    <t>Lắp đặt tôn sóng đường đầu cầu</t>
  </si>
  <si>
    <t>Tôn lượn sóng</t>
  </si>
  <si>
    <t>Trụ đỡ tôn lượn sóng</t>
  </si>
  <si>
    <t>Đá dăm đệm 4x6</t>
  </si>
  <si>
    <t>Đá sỏi</t>
  </si>
  <si>
    <t>Sơn lót</t>
  </si>
  <si>
    <t>cái</t>
  </si>
  <si>
    <t>Vét bùn</t>
  </si>
  <si>
    <t>Trạm biến áp</t>
  </si>
  <si>
    <t>Lắp đặt,tháo dỡ ống vách cọc khoan nhồi trên cạn D≤1000mm (Hệ số 1.6 kể đến công tháo dỡ)</t>
  </si>
  <si>
    <t>=7,157/84=6,134/72</t>
  </si>
  <si>
    <t>Xây mái dốc thẳng bằng đá hộc C10</t>
  </si>
  <si>
    <t>Làm cọc tiêu BTCT 0.12x0.12x1.02m</t>
  </si>
  <si>
    <t>=76,680/900</t>
  </si>
  <si>
    <t>AD.24131</t>
  </si>
  <si>
    <t>Láng nhựa 4.5kg/m2</t>
  </si>
  <si>
    <t>Đá 0.5-2</t>
  </si>
  <si>
    <t>Đá 0.5-1.6</t>
  </si>
  <si>
    <t>Đá 0.5-1.0</t>
  </si>
  <si>
    <t>AD.24211</t>
  </si>
  <si>
    <t>III.1</t>
  </si>
  <si>
    <t>AK.94111</t>
  </si>
  <si>
    <t>AG.11120</t>
  </si>
  <si>
    <t>Cốt thép cọc các loại</t>
  </si>
  <si>
    <t>AC.29331*</t>
  </si>
  <si>
    <t>Gia công hộp nối cọc</t>
  </si>
  <si>
    <t>hộp</t>
  </si>
  <si>
    <t>Nhân công chờ 7 ngày để vỗ lại</t>
  </si>
  <si>
    <t>(hưởng 70% lương)</t>
  </si>
  <si>
    <t>Chờ 7 ngày để vỗ lại (hưởng 70% ca)</t>
  </si>
  <si>
    <t xml:space="preserve">(=1709776 -46,64kg dầu diezel *7818/0,87đ-18Kwh điện*1000đ) </t>
  </si>
  <si>
    <t>Đóng cọc thử thẳng BTCT trên mặt đất L&gt;24m, cọc 30x30, C1</t>
  </si>
  <si>
    <t>Đóng cọc thẳng BTCT trên mặt đất L&gt;24m, cọc 30x30cm, C1</t>
  </si>
  <si>
    <t>Đập đầu cọc trên cạn</t>
  </si>
  <si>
    <t>III.2</t>
  </si>
  <si>
    <t>AC.24312</t>
  </si>
  <si>
    <t>AF.32110</t>
  </si>
  <si>
    <t>cột</t>
  </si>
  <si>
    <t>AF.61321</t>
  </si>
  <si>
    <t>AF.82111</t>
  </si>
  <si>
    <t>Tấm nhựa ngăn nước</t>
  </si>
  <si>
    <t>Ống cống bê tông ly tâm D1000</t>
  </si>
  <si>
    <t>BB.19107</t>
  </si>
  <si>
    <t>Ống nhựa D80</t>
  </si>
  <si>
    <t>HS=80/89</t>
  </si>
  <si>
    <t>AG.13121</t>
  </si>
  <si>
    <t>BB.19102</t>
  </si>
  <si>
    <t>Đổ bê tông dầm super T, C50</t>
  </si>
  <si>
    <t>chiếc</t>
  </si>
  <si>
    <t>Gia công cốt thép thường dầm hộp dưới nước</t>
  </si>
  <si>
    <t>I.1</t>
  </si>
  <si>
    <t>AF.37410vd</t>
  </si>
  <si>
    <t>AF.33210</t>
  </si>
  <si>
    <t>Đá kê gối</t>
  </si>
  <si>
    <t>Thanh cường độ cao D36</t>
  </si>
  <si>
    <t>Lắp đặt bộ nối thanh cường độ cao D36</t>
  </si>
  <si>
    <t>Coupler D36</t>
  </si>
  <si>
    <t>Gối tạm</t>
  </si>
  <si>
    <t>Khối lan can đúc sẵn</t>
  </si>
  <si>
    <t>Cần khoan 1.83m</t>
  </si>
  <si>
    <t>AI.11132</t>
  </si>
  <si>
    <t>BB.13205</t>
  </si>
  <si>
    <t>Gioăng cao su</t>
  </si>
  <si>
    <t>Báo giá</t>
  </si>
  <si>
    <t>Khe co giãn cao su</t>
  </si>
  <si>
    <t>Máy trộn 250L</t>
  </si>
  <si>
    <t>Cắt mặt đường BTN dày 5cm</t>
  </si>
  <si>
    <t>AA.21441</t>
  </si>
  <si>
    <t xml:space="preserve">Đào bỏ lớp bê tông nhựa </t>
  </si>
  <si>
    <t>Lề bộ hành</t>
  </si>
  <si>
    <t>Theo Luật sửa đổi bổ sung một số điều của Luật thuế GTGT số 07/2003/QH11 ngày 17/6/2003</t>
  </si>
  <si>
    <t>1.1: thuế giá trị gia tăng 10%</t>
  </si>
  <si>
    <t>Cát bê tông nhựa</t>
  </si>
  <si>
    <t>Tạm tính theo giá thép hình</t>
  </si>
  <si>
    <t>(1000*1.05)</t>
  </si>
  <si>
    <t>Tôn dày 2mm</t>
  </si>
  <si>
    <t>Thanh cường độ cao D36 (kg)</t>
  </si>
  <si>
    <t>Đá 1x2 bê tông nhựa</t>
  </si>
  <si>
    <t>Đá 0.5x1 bê tông nhựa</t>
  </si>
  <si>
    <t>TÊN VỮA BÊ TÔNG, XI MĂNG</t>
  </si>
  <si>
    <t>PHỤ LỤC VỮA BÊ TÔNG, XI MĂNG</t>
  </si>
  <si>
    <t>Đá 0x0.5</t>
  </si>
  <si>
    <t>Sikament R4</t>
  </si>
  <si>
    <t>Sika IntraplastZ</t>
  </si>
  <si>
    <t>Vữa không co ngót lấp lòng ống thép</t>
  </si>
  <si>
    <t>Phao thép 60T</t>
  </si>
  <si>
    <t>(lắp+tháo)</t>
  </si>
  <si>
    <t>Trải vải địa kỹ thuật cường độ cao R=200KN/m</t>
  </si>
  <si>
    <t>Trải vải địa kỹ thuật R=12KN/m</t>
  </si>
  <si>
    <t>Vải địa kỹ thuật R=12KN/m</t>
  </si>
  <si>
    <t>Vải địa kỹ thuật cường độ cao R=200KN/m</t>
  </si>
  <si>
    <t>ĐƠN VỊ</t>
  </si>
  <si>
    <t>PHẦN CẦU</t>
  </si>
  <si>
    <t>Bê tông C30</t>
  </si>
  <si>
    <t>AF.61120</t>
  </si>
  <si>
    <t>hệ số=3</t>
  </si>
  <si>
    <t>Cốt thép</t>
  </si>
  <si>
    <t>Kiểm tra chất lượng cọc khoan nhồi</t>
  </si>
  <si>
    <t>Sơn dẻo nhiệt</t>
  </si>
  <si>
    <t>Keo Epoxy</t>
  </si>
  <si>
    <t>Lắp đặt kết cấu thép</t>
  </si>
  <si>
    <t>Ván khuôn kim loại mố/trụ cầu trên cạn</t>
  </si>
  <si>
    <t>Đắp đất công trình</t>
  </si>
  <si>
    <t>ĐM*50%</t>
  </si>
  <si>
    <t>Cấp phối đá dăm (móng trên)</t>
  </si>
  <si>
    <t>Cấp phối đá dăm (móng dưới)</t>
  </si>
  <si>
    <t>Lắp dựng, tháo dỡ hệ dàn giáo dưới nước (ĐM*1.6 kể đến công tháo dỡ)</t>
  </si>
  <si>
    <t>Trong đó:</t>
  </si>
  <si>
    <t>CỘNG</t>
  </si>
  <si>
    <t>Đắp cát nền đường hạt trung K=0.95</t>
  </si>
  <si>
    <t>Đắp cát nền đường hạt mịn K=0.98</t>
  </si>
  <si>
    <t>Ván khuôn sàn</t>
  </si>
  <si>
    <t>Cốt thép lò xo</t>
  </si>
  <si>
    <t>AK.94221</t>
  </si>
  <si>
    <t>Quét nhựa bitum, dán giấy dầu 2 lớp</t>
  </si>
  <si>
    <t>(0.227*2)</t>
  </si>
  <si>
    <t>Sơn lan can 2 lớp</t>
  </si>
  <si>
    <t>AK.83421</t>
  </si>
  <si>
    <t xml:space="preserve">Sơn </t>
  </si>
  <si>
    <t>Xăng</t>
  </si>
  <si>
    <t>AI.61111</t>
  </si>
  <si>
    <t>AB.66121</t>
  </si>
  <si>
    <t>(Không tính thép hình)</t>
  </si>
  <si>
    <t>Lắp đặt, tháo dỡ thép hình các loại (Hệ số 1.6 kể đến công tháo dỡ)</t>
  </si>
  <si>
    <t>Lắp dựng cột thép</t>
  </si>
  <si>
    <t>Đinh tán D22</t>
  </si>
  <si>
    <t>Gỗ</t>
  </si>
  <si>
    <t>AB.66123</t>
  </si>
  <si>
    <t>Vữa bê tông đá 4x6 C10 SN 2-4</t>
  </si>
  <si>
    <t>AD.32131vd</t>
  </si>
  <si>
    <t>Tưới nhựa 1.0kg/m2</t>
  </si>
  <si>
    <t>Tưới nhựa 0.5kg/m2</t>
  </si>
  <si>
    <t>AE.12120</t>
  </si>
  <si>
    <t>Sơn kẻ đường dày 1.5mm</t>
  </si>
  <si>
    <t>AL.15121</t>
  </si>
  <si>
    <t>Làm và thả rọ đá dưới nước (tạm tính 1rọ=1m3)</t>
  </si>
  <si>
    <t>AB.13411</t>
  </si>
  <si>
    <t>Côn nhựa</t>
  </si>
  <si>
    <t>Cốc nhựa</t>
  </si>
  <si>
    <t>Sika Viscocrete 3000-10</t>
  </si>
  <si>
    <t>AG.13531vd</t>
  </si>
  <si>
    <t>(0.0476*68/10)</t>
  </si>
  <si>
    <t>AK.84414vd</t>
  </si>
  <si>
    <t>Gạch thẻ 40x80x190</t>
  </si>
  <si>
    <t>AE.42110</t>
  </si>
  <si>
    <t>Vữa bê tông đá 1x2 C15 SN 2-4</t>
  </si>
  <si>
    <t>Vữa bê tông đá 1x2 C15 SN 6-8</t>
  </si>
  <si>
    <t>Vữa bê tông đá 1x2 C20 SN 2-4</t>
  </si>
  <si>
    <t>Vữa bê tông đá 1x2 C25 SN 2-4</t>
  </si>
  <si>
    <t>Vữa bê tông đá 1x2 C30 SN 2-4</t>
  </si>
  <si>
    <t>Vữa bê tông đá 1x2 C30 SN 6-8</t>
  </si>
  <si>
    <t>Vữa bê tông đá 1x2 C30 SN 14-17</t>
  </si>
  <si>
    <t>Vữa bê tông đá 1x2 C35 SN 6-8</t>
  </si>
  <si>
    <t>Gạch xi măng</t>
  </si>
  <si>
    <t>Lắp dựng, tháo dỡ hệ dàn giáo trên cạn (Định mức x 1.6 kể đến công tháo dỡ)</t>
  </si>
  <si>
    <t>Vữa bê tông đá 4x6 C20 SN 6-8</t>
  </si>
  <si>
    <t>Lắp dựng và tháo dỡ đà giáo treo đỡ khối K19 (Hệ số 1.6 kể đến công tháo dỡ)</t>
  </si>
  <si>
    <t>Sản xuất lắp đặt trụ đỡ biển báo D90, L=4m</t>
  </si>
  <si>
    <t>AB.25111</t>
  </si>
  <si>
    <t>Thuế giá trị gia tăng</t>
  </si>
  <si>
    <t>THÀNH TIỀN</t>
  </si>
  <si>
    <t>-</t>
  </si>
  <si>
    <t>Bê tông C42 dầm hộp đúc hẫng trên cạn</t>
  </si>
  <si>
    <t>Tổ hợp LD ván khuôn, hệ treo đỡ ván khuôn dầm cầu đúc hẫng trên cạn</t>
  </si>
  <si>
    <t>AF.88421</t>
  </si>
  <si>
    <t>AF.88431</t>
  </si>
  <si>
    <t>Tháo dỡ, di chuyển ván khuôn, hệ treo đỡ ván khuôn dầm cầu đúc hẫng trên cạn</t>
  </si>
  <si>
    <t>Bê tông C35 (dầm, bản mặt cầu …)</t>
  </si>
  <si>
    <t>AC.22121</t>
  </si>
  <si>
    <t>AC.22521</t>
  </si>
  <si>
    <t>AC.23110</t>
  </si>
  <si>
    <t>AF.31120</t>
  </si>
  <si>
    <t>Ván khuôn (tường, cột, dầm, giằng…)</t>
  </si>
  <si>
    <t>Nắp chụp nhựa D80</t>
  </si>
  <si>
    <t>Sắt ống D80</t>
  </si>
  <si>
    <t>BB.19407</t>
  </si>
  <si>
    <t>Lắp đặt ống siêu âm PVC D60 (nối măng sông)</t>
  </si>
  <si>
    <t>Lắp đặt ống siêu âm PVC D114 (nối măng sông)</t>
  </si>
  <si>
    <t>BB.19411</t>
  </si>
  <si>
    <t>Ván khuôn kết cấu đúc sẵn</t>
  </si>
  <si>
    <t>AK.41120</t>
  </si>
  <si>
    <t>Vữa C10</t>
  </si>
  <si>
    <t>ĐM/3*100</t>
  </si>
  <si>
    <t>Cấp phối chọn lọc</t>
  </si>
  <si>
    <t xml:space="preserve">Chi phí </t>
  </si>
  <si>
    <t>dỡ xuống</t>
  </si>
  <si>
    <t>I. ĐÁ, CÁT CÁC LOẠI, NHỰA ĐƯỜNG, XIMĂNG</t>
  </si>
  <si>
    <t>An Giang</t>
  </si>
  <si>
    <t>Cát mịn</t>
  </si>
  <si>
    <t>Lệ phí cầu đường tạm tính 40,000đ/1.05/10*50% cho 1tấn thép hoặc 1m3 đá, cát các loại.</t>
  </si>
  <si>
    <t>BẢNG TÍNH CHI PHÍ BỐC DỠ VẬT LIỆU</t>
  </si>
  <si>
    <t>(Tính cho 01 lần bốc lên hoặc dỡ xuống)</t>
  </si>
  <si>
    <t>Tên vật tư</t>
  </si>
  <si>
    <t>Hs điều chỉnh</t>
  </si>
  <si>
    <t xml:space="preserve"> nhân công</t>
  </si>
  <si>
    <t>(đồng)</t>
  </si>
  <si>
    <t>Thủ công</t>
  </si>
  <si>
    <t>Đá dăm</t>
  </si>
  <si>
    <t>(AL.71110)</t>
  </si>
  <si>
    <t>Cát</t>
  </si>
  <si>
    <t>(AL.71120)</t>
  </si>
  <si>
    <t>(AL.73410)</t>
  </si>
  <si>
    <t>Xi măng (sắt thép)</t>
  </si>
  <si>
    <t>(AL.73310)</t>
  </si>
  <si>
    <t>Máy</t>
  </si>
  <si>
    <t>Đá dăm/ cát</t>
  </si>
  <si>
    <t>Cát đổ bêtông</t>
  </si>
  <si>
    <t>Giá tại chân công trình</t>
  </si>
  <si>
    <t>Giá tại trạm trộn bêtông nhựa</t>
  </si>
  <si>
    <t>Vận chuyển bê tông nhựa 45km</t>
  </si>
  <si>
    <t>Vận chuyển bê tông nhựa 41km tiếp theo</t>
  </si>
  <si>
    <t>Mazut (lít)</t>
  </si>
  <si>
    <t>AF.65130vd</t>
  </si>
  <si>
    <t>Thép neo mạ kẽm</t>
  </si>
  <si>
    <t>Thép tròn</t>
  </si>
  <si>
    <t>AG.32121</t>
  </si>
  <si>
    <t>Dầu bôi trơn</t>
  </si>
  <si>
    <t>Bulông M25x105</t>
  </si>
  <si>
    <t>Sản xuất thép hình, KH=(2%*2tháng+7%*1)</t>
  </si>
  <si>
    <t>Lắp đặt, tháo dỡ ván khuôn ngoài dầm super T, HS=1.4</t>
  </si>
  <si>
    <t>Ván khuôn dầm</t>
  </si>
  <si>
    <t>AF.37110</t>
  </si>
  <si>
    <t>Vữa không co ngót lấp lòng ống siêu âm</t>
  </si>
  <si>
    <t>Bệ trụ</t>
  </si>
  <si>
    <t>Thân trụ</t>
  </si>
  <si>
    <t>Giá thành</t>
  </si>
  <si>
    <t>Đơn vị tính: Đồng</t>
  </si>
  <si>
    <t>Hệ số xét đến chi phí vận chuyển</t>
  </si>
  <si>
    <t>thủy</t>
  </si>
  <si>
    <t>Đá hộc &gt;15</t>
  </si>
  <si>
    <t>Đá dăm 2-8</t>
  </si>
  <si>
    <t>Đá dăm 0.5-2</t>
  </si>
  <si>
    <t xml:space="preserve"> chuyển </t>
  </si>
  <si>
    <t>ben</t>
  </si>
  <si>
    <t>tư</t>
  </si>
  <si>
    <t>chuyển</t>
  </si>
  <si>
    <t>/ sông</t>
  </si>
  <si>
    <t>tải</t>
  </si>
  <si>
    <t>riêng</t>
  </si>
  <si>
    <t xml:space="preserve"> vận  </t>
  </si>
  <si>
    <t>trút</t>
  </si>
  <si>
    <t>vật</t>
  </si>
  <si>
    <t>vận</t>
  </si>
  <si>
    <t>đường</t>
  </si>
  <si>
    <t>lượng</t>
  </si>
  <si>
    <t>vị</t>
  </si>
  <si>
    <t xml:space="preserve"> Cộng </t>
  </si>
  <si>
    <t xml:space="preserve"> Cước  </t>
  </si>
  <si>
    <t>HS</t>
  </si>
  <si>
    <t>Cấp</t>
  </si>
  <si>
    <t>Cự ly</t>
  </si>
  <si>
    <t>P.tiện</t>
  </si>
  <si>
    <t xml:space="preserve">Trọng </t>
  </si>
  <si>
    <t>Đơn</t>
  </si>
  <si>
    <t>BẢNG TÍNH CHI PHÍ VẬN CHUYỂN</t>
  </si>
  <si>
    <t>từ km thứ 11-30</t>
  </si>
  <si>
    <t>cự ly ≤ 10km</t>
  </si>
  <si>
    <t>PHỤ TRỢ THI CÔNG</t>
  </si>
  <si>
    <t>SHĐG</t>
  </si>
  <si>
    <t>ĐƠN</t>
  </si>
  <si>
    <t>VỊ</t>
  </si>
  <si>
    <t>Máy khoan 4.5Kw</t>
  </si>
  <si>
    <t>Máy đóng cọc 1.2T</t>
  </si>
  <si>
    <t>Máy đóng cọc 1.8T</t>
  </si>
  <si>
    <t>Máy đóng cọc 2.5T</t>
  </si>
  <si>
    <t>Cây chống</t>
  </si>
  <si>
    <t>Gỗ ván</t>
  </si>
  <si>
    <t>cọc</t>
  </si>
  <si>
    <t>mẫu</t>
  </si>
  <si>
    <t>(trọng lượng riêng 1.2kg/lít)</t>
  </si>
  <si>
    <t>Máy xúc 2.3m3</t>
  </si>
  <si>
    <t xml:space="preserve">KẾT CẤU PHẦN TRÊN </t>
  </si>
  <si>
    <t>AF.52111</t>
  </si>
  <si>
    <t>ĐM</t>
  </si>
  <si>
    <t>Đơn vị</t>
  </si>
  <si>
    <t>Định mức</t>
  </si>
  <si>
    <t>Đơn giá</t>
  </si>
  <si>
    <t>Thành phần chi phí</t>
  </si>
  <si>
    <t>Cần cẩu bánh hơi 16T</t>
  </si>
  <si>
    <t>Cần cẩu bánh xích 16T</t>
  </si>
  <si>
    <t>Cần cẩu bánh xích 25T</t>
  </si>
  <si>
    <t>Cần cẩu bánh xích 50T</t>
  </si>
  <si>
    <t>Máy hàn 23Kw</t>
  </si>
  <si>
    <t>Máy mài 2.7Kw</t>
  </si>
  <si>
    <t>Đục bỏ bê tông gối tạm</t>
  </si>
  <si>
    <t>Máy đầm dùi 1.5Kw</t>
  </si>
  <si>
    <t>Máy đào 1.25m3</t>
  </si>
  <si>
    <t>Máy rải 130-140cv</t>
  </si>
  <si>
    <t>Máy san 108cv</t>
  </si>
  <si>
    <t>Máy trộn vữa 80L</t>
  </si>
  <si>
    <t>ĐƠN GIÁ NHÂN CÔNG</t>
  </si>
  <si>
    <t>Máy khoan cọc nhồi ED</t>
  </si>
  <si>
    <t>Máy đầm bàn 1kw</t>
  </si>
  <si>
    <t>Máy khoan 2.5kw</t>
  </si>
  <si>
    <t>Máy khoan 4.5kw</t>
  </si>
  <si>
    <t>Máy luồn cáp 15kw</t>
  </si>
  <si>
    <t>Đơn vị tính: Đồng</t>
  </si>
  <si>
    <t>Tổ hợp LD ván khuôn, hệ treo đỡ ván khuôn dầm cầu đúc hẫng dưới nước</t>
  </si>
  <si>
    <t>Tạm tính</t>
  </si>
  <si>
    <t>bộ</t>
  </si>
  <si>
    <t>Nắp đậy lỗ công vụ</t>
  </si>
  <si>
    <t>Gối cầu</t>
  </si>
  <si>
    <t>KHỐI
 LƯỢNG</t>
  </si>
  <si>
    <t>ĐƠN
 GIÁ</t>
  </si>
  <si>
    <t>THÀNH 
TIỀN</t>
  </si>
  <si>
    <t>Thoát nước mặt cầu</t>
  </si>
  <si>
    <t xml:space="preserve">Lớp phủ mặt cầu </t>
  </si>
  <si>
    <t>Lớp phòng nước</t>
  </si>
  <si>
    <t xml:space="preserve">Đá kê gối trên trụ và dầm </t>
  </si>
  <si>
    <t>Đai ốc M10</t>
  </si>
  <si>
    <t>Vít nở thép M12</t>
  </si>
  <si>
    <t>Đệm cao su</t>
  </si>
  <si>
    <t>Khoan vào đất trên cạn D100 phản tuần hoàn, L&gt;30m, HS=1.015</t>
  </si>
  <si>
    <t>ĐM*0.85</t>
  </si>
  <si>
    <t>Sơn lan can, bó vỉa</t>
  </si>
  <si>
    <t>Khối lượng</t>
  </si>
  <si>
    <t>Lương nhóm 1
(350,000đ/tháng)</t>
  </si>
  <si>
    <t>Kích 30T</t>
  </si>
  <si>
    <t>Lắp đặt ống nhựa D20/24</t>
  </si>
  <si>
    <t>Lắp đặt ống nhựa D25/30</t>
  </si>
  <si>
    <t>BB.19101</t>
  </si>
  <si>
    <t>AI.64241</t>
  </si>
  <si>
    <t>BA.14406</t>
  </si>
  <si>
    <t>AB.65130</t>
  </si>
  <si>
    <t>Đầm cóc</t>
  </si>
  <si>
    <t>Lắp dựng ống thép xoắn tạo lỗ D80/87</t>
  </si>
  <si>
    <t>Đai ốc cầu D36</t>
  </si>
  <si>
    <t>Đai ốc hãm D36</t>
  </si>
  <si>
    <t>Cẩu dầm Super-T lên hoặc xuống</t>
  </si>
  <si>
    <t>AG.53231</t>
  </si>
  <si>
    <t>AG.53131</t>
  </si>
  <si>
    <t>Nâng hạ dầm cầu, L&gt;35m</t>
  </si>
  <si>
    <t>Di chuyển dầm cầu, L&gt;35m</t>
  </si>
  <si>
    <t>AL.25122</t>
  </si>
  <si>
    <t>Lắp đặt khe co giãn dầm đúc sẵn 10cm</t>
  </si>
  <si>
    <t>AI.21152vd</t>
  </si>
  <si>
    <t>BB.11511vd</t>
  </si>
  <si>
    <t>Gioăng cao su D1500</t>
  </si>
  <si>
    <t>Gioăng cao su D1000</t>
  </si>
  <si>
    <t>AI.11511vd</t>
  </si>
  <si>
    <t>Lắp dựng lan can cầu, hàng rào công trường</t>
  </si>
  <si>
    <t>Phao thép 200T</t>
  </si>
  <si>
    <t>AC.15212vd</t>
  </si>
  <si>
    <t>Bê tông gạch trồng cỏ</t>
  </si>
  <si>
    <t>AK.55320</t>
  </si>
  <si>
    <t>Làm giếng cát D400mm, L&gt;12m</t>
  </si>
  <si>
    <t>Biển báo hình tròn D70</t>
  </si>
  <si>
    <t>Phụ trợ thi công</t>
  </si>
  <si>
    <t>VI</t>
  </si>
  <si>
    <t>Cần cẩu bánh xích 80T</t>
  </si>
  <si>
    <t xml:space="preserve">Ống nhựa D20/24 </t>
  </si>
  <si>
    <t xml:space="preserve">Cồn rửa </t>
  </si>
  <si>
    <t xml:space="preserve">Nhựa dán </t>
  </si>
  <si>
    <t xml:space="preserve">Ống nhựa D25/30 </t>
  </si>
  <si>
    <t xml:space="preserve">Dầu Separol </t>
  </si>
  <si>
    <t xml:space="preserve">Phụ gia Antisole </t>
  </si>
  <si>
    <t xml:space="preserve">Phụ gia Rugasol C </t>
  </si>
  <si>
    <t>Máy lu rung 25T</t>
  </si>
  <si>
    <t>Máy rải 50-60m3/h</t>
  </si>
  <si>
    <t>HS=0.85</t>
  </si>
  <si>
    <t>Máy ủi 140cv</t>
  </si>
  <si>
    <t>Thiết bị sơn kẻ vạch</t>
  </si>
  <si>
    <t>Lò nấu sơn</t>
  </si>
  <si>
    <t>Thép tròn D&lt;=10</t>
  </si>
  <si>
    <t>Bulông D22mm</t>
  </si>
  <si>
    <t xml:space="preserve">(10.72*0.4^2/0.33^2) </t>
  </si>
  <si>
    <t xml:space="preserve">Lắp đặt ống nhựa PVC D80 </t>
  </si>
  <si>
    <t>đến</t>
  </si>
  <si>
    <t xml:space="preserve">từ </t>
  </si>
  <si>
    <t>bốc lên</t>
  </si>
  <si>
    <t>Chi phí</t>
  </si>
  <si>
    <t>Đào xúc đá hỗn hợp tại bãi trữ</t>
  </si>
  <si>
    <t>AB.55311</t>
  </si>
  <si>
    <t>.</t>
  </si>
  <si>
    <t>SHĐM</t>
  </si>
  <si>
    <t>Đất sét</t>
  </si>
  <si>
    <t>tạm tính</t>
  </si>
  <si>
    <t>AK.94111vd</t>
  </si>
  <si>
    <t>=0.07/2.1*1100</t>
  </si>
  <si>
    <t>AF.33330</t>
  </si>
  <si>
    <t>AF.88410</t>
  </si>
  <si>
    <t>Sản xuất ván khuôn, hệ treo đỡ ván khuôn dầm cầu đúc hẫng</t>
  </si>
  <si>
    <t>AF.88422</t>
  </si>
  <si>
    <t>AF.88432</t>
  </si>
  <si>
    <t>AF.66110</t>
  </si>
  <si>
    <t>Máy bơm nước 20Kw</t>
  </si>
  <si>
    <t>AF.66120</t>
  </si>
  <si>
    <t>AG.13531</t>
  </si>
  <si>
    <t>AI.64121</t>
  </si>
  <si>
    <t>AF.37410</t>
  </si>
  <si>
    <t>AL.25111</t>
  </si>
  <si>
    <t>AF.32310</t>
  </si>
  <si>
    <t>AF.61721</t>
  </si>
  <si>
    <t>AF.82311</t>
  </si>
  <si>
    <t>AG.32211</t>
  </si>
  <si>
    <t>Acêtylen</t>
  </si>
  <si>
    <t>Máy nén khí 240m3/h</t>
  </si>
  <si>
    <t>AI.13111</t>
  </si>
  <si>
    <t>Đá mài</t>
  </si>
  <si>
    <t>AI.63211</t>
  </si>
  <si>
    <t>Dầu bảo ôn</t>
  </si>
  <si>
    <t>AD.27242</t>
  </si>
  <si>
    <t>Vận chuyển bê tông nhựa 4km</t>
  </si>
  <si>
    <t>AD.23233</t>
  </si>
  <si>
    <t>AD.81310</t>
  </si>
  <si>
    <t>AF.33110</t>
  </si>
  <si>
    <t>AF.65120</t>
  </si>
  <si>
    <t/>
  </si>
  <si>
    <t>AF.65220</t>
  </si>
  <si>
    <t>AF.65230</t>
  </si>
  <si>
    <t>AF.87211</t>
  </si>
  <si>
    <t>Gas</t>
  </si>
  <si>
    <t>AF.87221</t>
  </si>
  <si>
    <t>AB.24131</t>
  </si>
  <si>
    <t>Máy mài 2.7kw</t>
  </si>
  <si>
    <t>ĐM*Khấu hao</t>
  </si>
  <si>
    <t>Chất tải khử lún hệ 500 tấn</t>
  </si>
  <si>
    <t xml:space="preserve">(Dùng 2 phao thép loại 250Tấn chứa đầy nước để chất tải, thời gian lưu tải 10 ngày) </t>
  </si>
  <si>
    <t>Phao thép 250T</t>
  </si>
  <si>
    <t>(3 ca/ngày x 10ngày x 2 phao)</t>
  </si>
  <si>
    <t>Tháo dỡ, di chuyển ván khuôn, hệ treo đỡ ván khuôn dầm cầu đúc hẫng dưới nước</t>
  </si>
  <si>
    <t>Vận chuyển bê tông 0.5km</t>
  </si>
  <si>
    <t>AG.41511</t>
  </si>
  <si>
    <t>Thép ống</t>
  </si>
  <si>
    <t>Tấm plastic dày 2mm</t>
  </si>
  <si>
    <t>Gầu khoan</t>
  </si>
  <si>
    <t xml:space="preserve">Răng gầu hợp kim </t>
  </si>
  <si>
    <t>AC.32810</t>
  </si>
  <si>
    <t>AF.35120</t>
  </si>
  <si>
    <t>AC.34524</t>
  </si>
  <si>
    <t>AA.22310</t>
  </si>
  <si>
    <t>Máy nén khí 360m3/h</t>
  </si>
  <si>
    <t>AI.63321</t>
  </si>
  <si>
    <t>AI.63311</t>
  </si>
  <si>
    <t>AF.87111</t>
  </si>
  <si>
    <t>AC.22221</t>
  </si>
  <si>
    <t>AC.22111</t>
  </si>
  <si>
    <t>AC.23220</t>
  </si>
  <si>
    <t>AC.23210</t>
  </si>
  <si>
    <t>AC.22621</t>
  </si>
  <si>
    <t>AC.23120</t>
  </si>
  <si>
    <t>Máy đầm 9T</t>
  </si>
  <si>
    <t>AF.11210</t>
  </si>
  <si>
    <t>Thiết bị nấu nhựa</t>
  </si>
  <si>
    <t>AF.31210</t>
  </si>
  <si>
    <t>Tên vật liệu</t>
  </si>
  <si>
    <t>Cách tính</t>
  </si>
  <si>
    <t>Cước vận chuyển</t>
  </si>
  <si>
    <t>Ghi chú</t>
  </si>
  <si>
    <t>x</t>
  </si>
  <si>
    <t>Xi măng PC40</t>
  </si>
  <si>
    <t>Dây thép buộc</t>
  </si>
  <si>
    <t>Đinh các loại</t>
  </si>
  <si>
    <t>Sơn dầu</t>
  </si>
  <si>
    <t>cây</t>
  </si>
  <si>
    <t>Cọc tràm</t>
  </si>
  <si>
    <t>lít</t>
  </si>
  <si>
    <t>Đinh đỉa</t>
  </si>
  <si>
    <t>0,45</t>
  </si>
  <si>
    <t>9,5</t>
  </si>
  <si>
    <t>0,27</t>
  </si>
  <si>
    <t xml:space="preserve"> -</t>
  </si>
  <si>
    <t>3,00</t>
  </si>
  <si>
    <t>Ván khuôn khối đúc trên đà giáo dưới nước (K0,K1)</t>
  </si>
  <si>
    <t>Ván khuôn khối đúc trên đà giáo trên cạn (K17)</t>
  </si>
  <si>
    <t>Tăng đơ</t>
  </si>
  <si>
    <t>Dầu mazut</t>
  </si>
  <si>
    <t>cuộn</t>
  </si>
  <si>
    <t>Cồn rửa</t>
  </si>
  <si>
    <t>a. Giá cước cơ bản hàng bậc 1</t>
  </si>
  <si>
    <t>km</t>
  </si>
  <si>
    <t>Đường loại 1</t>
  </si>
  <si>
    <t>Đường loại 2</t>
  </si>
  <si>
    <t>Đường loại 3</t>
  </si>
  <si>
    <t>Đường loại 4</t>
  </si>
  <si>
    <t>Đường loại 5</t>
  </si>
  <si>
    <t>b. Giá cước hàng bậc cao hơn 1</t>
  </si>
  <si>
    <t>bậc</t>
  </si>
  <si>
    <t>hệ số</t>
  </si>
  <si>
    <t>Cước cho sông cấp 1</t>
  </si>
  <si>
    <t>Bậc hàng</t>
  </si>
  <si>
    <t>Đơn giá cước</t>
  </si>
  <si>
    <t>từ km thứ 31</t>
  </si>
  <si>
    <t>(đ/tấn)</t>
  </si>
  <si>
    <t>(đ/tấn.km)</t>
  </si>
  <si>
    <t>Hóa chất các loại</t>
  </si>
  <si>
    <t>Các sản phẩm từ dầu mỏ, sơn các loại</t>
  </si>
  <si>
    <t>Lâm sản</t>
  </si>
  <si>
    <t>Tiểu ngũ kim</t>
  </si>
  <si>
    <t>Các vật liệu khác</t>
  </si>
  <si>
    <t>Cung cấp lưới chắn rác bằng gang</t>
  </si>
  <si>
    <t>AD.24213</t>
  </si>
  <si>
    <t>AG.13212</t>
  </si>
  <si>
    <t>AD.27252</t>
  </si>
  <si>
    <t>AF.33320</t>
  </si>
  <si>
    <t>AF.67110</t>
  </si>
  <si>
    <t>A</t>
  </si>
  <si>
    <t>IV</t>
  </si>
  <si>
    <t>V</t>
  </si>
  <si>
    <t>B</t>
  </si>
  <si>
    <t>Cáp DƯL, ống ghen, thanh D38, gối cầu, khe co giãn</t>
  </si>
  <si>
    <t>Ống thép luồn cáp D80/87</t>
  </si>
  <si>
    <t>Ống thép D84/89</t>
  </si>
  <si>
    <t>Ống thép D69/72</t>
  </si>
  <si>
    <t>Ống thép D75/80</t>
  </si>
  <si>
    <t>Bản thép neo 180x180x45</t>
  </si>
  <si>
    <t>Co nối ống nhựa PVC D60</t>
  </si>
  <si>
    <t>TQT</t>
  </si>
  <si>
    <t>Tiêu quan trắc lún ( chuyển vị đứng)</t>
  </si>
  <si>
    <t xml:space="preserve">Thép tròn </t>
  </si>
  <si>
    <t>Thép ống D20 (tạm tính bằng thép tròn D20)</t>
  </si>
  <si>
    <t>AG.31311</t>
  </si>
  <si>
    <t>Nhân công</t>
  </si>
  <si>
    <t>AG.42131</t>
  </si>
  <si>
    <t>TCV</t>
  </si>
  <si>
    <t>Tiêu quan trắc chuyển vị ngang</t>
  </si>
  <si>
    <t>STT</t>
  </si>
  <si>
    <t>I</t>
  </si>
  <si>
    <t>VL</t>
  </si>
  <si>
    <t>NC</t>
  </si>
  <si>
    <t>M</t>
  </si>
  <si>
    <t>TT</t>
  </si>
  <si>
    <t>TL</t>
  </si>
  <si>
    <t>II</t>
  </si>
  <si>
    <t>III</t>
  </si>
  <si>
    <t>MHĐM</t>
  </si>
  <si>
    <t>HẠNG MỤC CÔNG VIỆC</t>
  </si>
  <si>
    <t>KHỐI</t>
  </si>
  <si>
    <t xml:space="preserve">ĐƠN GIÁ </t>
  </si>
  <si>
    <t xml:space="preserve">THÀNH TIỀN </t>
  </si>
  <si>
    <t xml:space="preserve">LƯỢNG </t>
  </si>
  <si>
    <t xml:space="preserve"> VẬT LIỆU </t>
  </si>
  <si>
    <t xml:space="preserve"> NHÂN CÔNG </t>
  </si>
  <si>
    <t xml:space="preserve"> MTC </t>
  </si>
  <si>
    <t xml:space="preserve">KẾT CẤU PHẦN DƯỚI </t>
  </si>
  <si>
    <t>m</t>
  </si>
  <si>
    <t>100m3</t>
  </si>
  <si>
    <t>m3</t>
  </si>
  <si>
    <t>100m</t>
  </si>
  <si>
    <t>100m2</t>
  </si>
  <si>
    <t>m2</t>
  </si>
  <si>
    <t>Mố nhô</t>
  </si>
  <si>
    <t>SỐ ĐM</t>
  </si>
  <si>
    <t>ĐVỊ</t>
  </si>
  <si>
    <t>công</t>
  </si>
  <si>
    <t>Máy khác</t>
  </si>
  <si>
    <t>%</t>
  </si>
  <si>
    <t>Vật liệu khác</t>
  </si>
  <si>
    <t>Sà lan 400T</t>
  </si>
  <si>
    <t>tấn</t>
  </si>
  <si>
    <t>kg</t>
  </si>
  <si>
    <t>Que hàn</t>
  </si>
  <si>
    <t>Máy hàn 23kw</t>
  </si>
  <si>
    <t>Sà lan 200T</t>
  </si>
  <si>
    <t>Thép tấm</t>
  </si>
  <si>
    <t>Thép hình</t>
  </si>
  <si>
    <t>Ô xy</t>
  </si>
  <si>
    <t>chai</t>
  </si>
  <si>
    <t>Đất đèn</t>
  </si>
  <si>
    <t>cái</t>
  </si>
  <si>
    <t>Vữa không co ngót</t>
  </si>
  <si>
    <t>Thành tiền</t>
  </si>
  <si>
    <t>Cáp dự ứng lực dầm đúc hẫng trên cạn</t>
  </si>
  <si>
    <t xml:space="preserve">Thép cường độ cao </t>
  </si>
  <si>
    <t xml:space="preserve">Đá cắt </t>
  </si>
  <si>
    <t>viên</t>
  </si>
  <si>
    <t>Cáp dự ứng lực dầm đúc hẫng trên mặt nước</t>
  </si>
  <si>
    <t xml:space="preserve">Lưỡi cưa cắt </t>
  </si>
  <si>
    <t>Máy trộn vữa 80l</t>
  </si>
  <si>
    <t>Tạm tính bằng giá cát vàng</t>
  </si>
  <si>
    <t>Tạm tính giá êcu D36</t>
  </si>
  <si>
    <t>Nhu cầu</t>
  </si>
  <si>
    <t>Máy bơm nước 20kw</t>
  </si>
  <si>
    <t>Nhân công 3.5/7</t>
  </si>
  <si>
    <t>Máy trộn 250l</t>
  </si>
  <si>
    <t>tấm</t>
  </si>
  <si>
    <t>VD</t>
  </si>
  <si>
    <t>Sản xuất lan can mạ kẽm</t>
  </si>
  <si>
    <t>Gia công mạ kẽm</t>
  </si>
  <si>
    <t>Xi măng PC30</t>
  </si>
  <si>
    <t>Cát vàng</t>
  </si>
  <si>
    <t>Nước</t>
  </si>
  <si>
    <t>Nhựa đường</t>
  </si>
  <si>
    <t>Giấy dầu</t>
  </si>
  <si>
    <t>Bột đá</t>
  </si>
  <si>
    <t>Củi</t>
  </si>
  <si>
    <t>Khe co giãn 10cm</t>
  </si>
  <si>
    <t>Sản xuất biển báo hiệu đường sông</t>
  </si>
  <si>
    <t>Sơn chống rỉ</t>
  </si>
  <si>
    <t>Bu lông M14</t>
  </si>
  <si>
    <t>VLK</t>
  </si>
  <si>
    <t>Đá hộc</t>
  </si>
  <si>
    <t>Đào đất hố móng trên cạn</t>
  </si>
  <si>
    <t>AF.35110</t>
  </si>
  <si>
    <t>Cát đen</t>
  </si>
  <si>
    <t>Bơm dung dịch Bentônít lỗ khoan trên cạn</t>
  </si>
  <si>
    <t>Ben tô nít</t>
  </si>
  <si>
    <t>Phụ gia CMC</t>
  </si>
  <si>
    <t>AD.82310</t>
  </si>
  <si>
    <t>Lắp đặt biển báo hiệu đường sông</t>
  </si>
  <si>
    <t>Bu lông M16</t>
  </si>
  <si>
    <t>AI.64111</t>
  </si>
  <si>
    <t>Máy nén khí 600m3/h</t>
  </si>
  <si>
    <t>Tàu kéo 150cv</t>
  </si>
  <si>
    <t>Bộ kích 50T</t>
  </si>
  <si>
    <t>Bộ kích 60T</t>
  </si>
  <si>
    <t>Tời điện 3T</t>
  </si>
  <si>
    <t>Dầu CS46</t>
  </si>
  <si>
    <t>Mỡ bôi trơn</t>
  </si>
  <si>
    <t>Tăng đơ D38mm dài 7m</t>
  </si>
  <si>
    <t>Máy cắt cáp 10kw</t>
  </si>
  <si>
    <t>Kích 250T</t>
  </si>
  <si>
    <t>Máy đầm dùi 1.5kw</t>
  </si>
  <si>
    <t>Ống nhựa, ống thép, phụ tùng nối ống các loại</t>
  </si>
  <si>
    <t xml:space="preserve"> kg </t>
  </si>
  <si>
    <t>Bu lông M20</t>
  </si>
  <si>
    <t>Máy ủi 110cv</t>
  </si>
  <si>
    <t>Ván khuôn</t>
  </si>
  <si>
    <t>Băng dính</t>
  </si>
  <si>
    <t xml:space="preserve"> cuộn </t>
  </si>
  <si>
    <t xml:space="preserve"> m </t>
  </si>
  <si>
    <t>Đóng cọc ván thép dưới nước, L&gt;12m</t>
  </si>
  <si>
    <t>Cần cẩu bánh hơi 25T</t>
  </si>
  <si>
    <t>Măng sông D60</t>
  </si>
  <si>
    <t>Măng sông D114</t>
  </si>
  <si>
    <t>Sikament 2000AT</t>
  </si>
  <si>
    <t>Thanh cường độ cao D36 (để lại)</t>
  </si>
  <si>
    <t>Đai ốc cầu D36 (để lại)</t>
  </si>
  <si>
    <t>Trụ đỡ biển báo D90</t>
  </si>
  <si>
    <t>Như trên</t>
  </si>
  <si>
    <t>Cọc ván thép</t>
  </si>
  <si>
    <t>Nhổ cọc ván thép dưới nước</t>
  </si>
  <si>
    <t>Nhổ cọc ván thép trên cạn</t>
  </si>
  <si>
    <t>Đóng cọc thép hình trên mặt nước L&gt;10m, đất C1</t>
  </si>
  <si>
    <t>Nhổ cọc thép hình, thép ống dưới nước</t>
  </si>
  <si>
    <t>hệ</t>
  </si>
  <si>
    <t>Đá hộc xếp khan</t>
  </si>
  <si>
    <t>(KL=1.4kg/lít)</t>
  </si>
  <si>
    <t>Tháo dỡ ống cống BTCT D1500, HS=0.6</t>
  </si>
  <si>
    <t>=(214+269.51)/2*0.6</t>
  </si>
  <si>
    <t>=1.71*0.6</t>
  </si>
  <si>
    <t>Neo cáp</t>
  </si>
  <si>
    <t>Phụ gia</t>
  </si>
  <si>
    <t>Sika grout 214-11</t>
  </si>
  <si>
    <t>Đinh mũ</t>
  </si>
  <si>
    <t>Dầu diesel</t>
  </si>
  <si>
    <t>Giá XDCB</t>
  </si>
  <si>
    <t>BẢNG GIÁ VẬT LIỆU ĐẾN CHÂN CÔNG TRÌNH</t>
  </si>
  <si>
    <t>AL.55120</t>
  </si>
  <si>
    <t>(0.5công/ca*30ca)</t>
  </si>
  <si>
    <t>Lưới thép B40</t>
  </si>
  <si>
    <t xml:space="preserve"> m2 </t>
  </si>
  <si>
    <t>Nhựa bitum</t>
  </si>
  <si>
    <t>Dầu hỏa</t>
  </si>
  <si>
    <t xml:space="preserve"> m3 </t>
  </si>
  <si>
    <t>Kích 500T</t>
  </si>
  <si>
    <t>Thép tròn D&gt;18</t>
  </si>
  <si>
    <t>Neo chủ động 12 sợi D15.2</t>
  </si>
  <si>
    <t>Lắp dựng ống thép tạo lỗ D69/72</t>
  </si>
  <si>
    <t>Ống dẫn cáp điện PVC D60mm</t>
  </si>
  <si>
    <t>Ống nhựa D60</t>
  </si>
  <si>
    <t xml:space="preserve">Ống đổ D300 </t>
  </si>
  <si>
    <t>AI.64211</t>
  </si>
  <si>
    <t>Thép tròn D&lt;=18</t>
  </si>
  <si>
    <t>AI.13111vd</t>
  </si>
  <si>
    <t>Sản xuất mũ neo bằng tôn dày 2mm</t>
  </si>
  <si>
    <t>Bitum chèn mũ neo</t>
  </si>
  <si>
    <t>Ống thép D60</t>
  </si>
  <si>
    <t>Ống thép D114</t>
  </si>
  <si>
    <t>Sản xuất lắp đặt cóc nối, D16,L=360</t>
  </si>
  <si>
    <t>AF.37421</t>
  </si>
  <si>
    <t>AF.11410</t>
  </si>
  <si>
    <t>AF.82411</t>
  </si>
  <si>
    <t>AK.94311</t>
  </si>
  <si>
    <t>Bao tải</t>
  </si>
  <si>
    <t>Quét nhựa bitum, dán bao tải 1 lớp</t>
  </si>
  <si>
    <t>Cốt thép mố trụ cầu dưới nước các loại</t>
  </si>
  <si>
    <t>CQ.18001</t>
  </si>
  <si>
    <t>mặt cắt</t>
  </si>
  <si>
    <t>122</t>
  </si>
  <si>
    <t>AD.11222</t>
  </si>
  <si>
    <t>AB.13123</t>
  </si>
  <si>
    <t>AC.11221</t>
  </si>
  <si>
    <t>AG.11410</t>
  </si>
  <si>
    <t>AG.13221</t>
  </si>
  <si>
    <t>AE.11920</t>
  </si>
  <si>
    <t>AF.11110</t>
  </si>
  <si>
    <t>AB.24141</t>
  </si>
  <si>
    <t>AL.16121</t>
  </si>
  <si>
    <t>AD.11212</t>
  </si>
  <si>
    <t>AD.23225</t>
  </si>
  <si>
    <t>AD.25112</t>
  </si>
  <si>
    <t>AD.34130</t>
  </si>
  <si>
    <t>AD.31111</t>
  </si>
  <si>
    <t>AK.91121</t>
  </si>
  <si>
    <t>AD.32131</t>
  </si>
  <si>
    <t>AF.81311</t>
  </si>
  <si>
    <t>AB.66143</t>
  </si>
  <si>
    <t>Xúc vận chuyển đất đổ đi</t>
  </si>
  <si>
    <t>AL.17111</t>
  </si>
  <si>
    <t xml:space="preserve">Trồng cỏ </t>
  </si>
  <si>
    <t>Ván khuôn mối nối cống (ván khuôn tường)</t>
  </si>
  <si>
    <t>Bê tông C42 dầm hộp đúc hẫng trên mặt nước</t>
  </si>
  <si>
    <t xml:space="preserve">Cáp </t>
  </si>
  <si>
    <t>Lắp dựng ống thép tạo lỗ D84/89</t>
  </si>
  <si>
    <t>Nhịp dẫn</t>
  </si>
  <si>
    <t>AK.92111vd</t>
  </si>
  <si>
    <t>Êcu cường độ cao M32</t>
  </si>
  <si>
    <t>AL.25112</t>
  </si>
  <si>
    <t>AI.13141</t>
  </si>
  <si>
    <t>Sản xuất bản thép đệm chôn sẵn chờ lắp gối cầu</t>
  </si>
  <si>
    <t>Lắp đặt bản thép đệm chôn sẵn chờ lắp gối cầu</t>
  </si>
  <si>
    <t>Dầm ngang</t>
  </si>
  <si>
    <t>Bản mặt cầu</t>
  </si>
  <si>
    <t>Tấm cao su dày 20mm</t>
  </si>
  <si>
    <t>Tấm nắp dầm đúc sẵn</t>
  </si>
  <si>
    <t>AG.11320</t>
  </si>
  <si>
    <t>Lan can tay vịn</t>
  </si>
  <si>
    <t>AE.34210</t>
  </si>
  <si>
    <t>Xây gạch đỡ rãnh thoát nước</t>
  </si>
  <si>
    <t>Lát gạch lề bộ hành</t>
  </si>
  <si>
    <t>Bu lông M27</t>
  </si>
  <si>
    <t>Đèn báo hiệu sáng liên tục</t>
  </si>
  <si>
    <t>AF.11310</t>
  </si>
  <si>
    <t>Đường công vụ phục vụ thi công</t>
  </si>
  <si>
    <t>AI.12111</t>
  </si>
  <si>
    <t>Thi công kết cấu nhịp</t>
  </si>
  <si>
    <t>AC.32122</t>
  </si>
  <si>
    <t>Khoan vào đất trên cạn D100 phản tuần hoàn, L&lt;=30m</t>
  </si>
  <si>
    <t>AC.34522</t>
  </si>
  <si>
    <t>B12-3b*</t>
  </si>
  <si>
    <t>Ray</t>
  </si>
  <si>
    <t>dầm</t>
  </si>
  <si>
    <t>Lập lách</t>
  </si>
  <si>
    <t>Đinh crămpông</t>
  </si>
  <si>
    <t>AF.31320</t>
  </si>
  <si>
    <t>AI.11211</t>
  </si>
  <si>
    <t>AI.61142</t>
  </si>
  <si>
    <t>Giá đỡ biển báo</t>
  </si>
  <si>
    <t>Máy đầm bàn 1KW</t>
  </si>
  <si>
    <t>Máy cắt thép</t>
  </si>
  <si>
    <t>Lắp dựng ống thép tạo lỗ D75/80</t>
  </si>
  <si>
    <t>Đá 1x2</t>
  </si>
  <si>
    <t>BẢNG TÍNH ĐƠN GIÁ MÁY THI CÔNG</t>
  </si>
  <si>
    <t>Diesel (lít)</t>
  </si>
  <si>
    <t>Hệ số chi phí nhiên liệu phụ (ip)</t>
  </si>
  <si>
    <t>Giá nhiên liệu theo QĐ</t>
  </si>
  <si>
    <t>Giá nhiên liệu hiện tại</t>
  </si>
  <si>
    <t>Chênh lệch (cl)</t>
  </si>
  <si>
    <t>Loại máy và thiết bị</t>
  </si>
  <si>
    <t>Giá ca máy</t>
  </si>
  <si>
    <t>Máy đào một gầu, bánh xích -dung tích gầu:</t>
  </si>
  <si>
    <t xml:space="preserve"> 0,22 m3</t>
  </si>
  <si>
    <t xml:space="preserve"> 0,30 m3</t>
  </si>
  <si>
    <t xml:space="preserve"> 0,40 m3</t>
  </si>
  <si>
    <t>Máy đào một gầu, bánh xích - dung tích gầu 0,4m3</t>
  </si>
  <si>
    <t>Máy đào 0.4m3</t>
  </si>
  <si>
    <t xml:space="preserve"> 0,50 m3</t>
  </si>
  <si>
    <t>Máy đào một gầu, bánh xích - dung tích gầu 0,5m3</t>
  </si>
  <si>
    <t>Máy đào 0.5m3</t>
  </si>
  <si>
    <t xml:space="preserve"> 0,65 m3</t>
  </si>
  <si>
    <t>Máy đào một gầu, bánh xích - dung tích gầu 0,6m3</t>
  </si>
  <si>
    <t>Máy đào 0.65m3</t>
  </si>
  <si>
    <t xml:space="preserve"> 0,80 m3</t>
  </si>
  <si>
    <t>Máy đào một gầu, bánh xích - dung tích gầu 0,8m3</t>
  </si>
  <si>
    <t>Máy đào 0.8m3</t>
  </si>
  <si>
    <t xml:space="preserve"> 1,00 m3</t>
  </si>
  <si>
    <t xml:space="preserve"> 1,20 m3</t>
  </si>
  <si>
    <t xml:space="preserve"> 1,25 m3</t>
  </si>
  <si>
    <t>Máy đào một gầu, bánh xích - dung tích gầu 1,25m3</t>
  </si>
  <si>
    <t xml:space="preserve"> 1,60 m3</t>
  </si>
  <si>
    <t>Máy đào một gầu, bánh xích - dung tích gầu 1,6m3</t>
  </si>
  <si>
    <t>Máy đào 1 gàu 1.6m3</t>
  </si>
  <si>
    <t xml:space="preserve"> 2,00 m3</t>
  </si>
  <si>
    <t xml:space="preserve"> 2,30 m3</t>
  </si>
  <si>
    <t>Máy đào một gầu, bánh xích - dung tích gầu 2,3m3</t>
  </si>
  <si>
    <t>Máy đào 1 gàu 2.3m3</t>
  </si>
  <si>
    <t xml:space="preserve"> 2,50 m3</t>
  </si>
  <si>
    <t xml:space="preserve"> 3,50 m3</t>
  </si>
  <si>
    <t xml:space="preserve"> 3,60 m3</t>
  </si>
  <si>
    <t>Máy đào một gầu, bánh xích - dung tích gầu 3,6m3</t>
  </si>
  <si>
    <t>Máy đào 1 gàu 3.6m3</t>
  </si>
  <si>
    <t xml:space="preserve"> 5,40 m3</t>
  </si>
  <si>
    <t xml:space="preserve"> 6,50 m3</t>
  </si>
  <si>
    <t xml:space="preserve"> 9,50 m3</t>
  </si>
  <si>
    <t>10,40 m3</t>
  </si>
  <si>
    <t xml:space="preserve">Máy đào một gầu, bánh xích, động cơ điện - dung tích gầu: </t>
  </si>
  <si>
    <t xml:space="preserve"> 4,00 m3</t>
  </si>
  <si>
    <t xml:space="preserve"> 4,60 m3</t>
  </si>
  <si>
    <t xml:space="preserve"> 5,00 m3</t>
  </si>
  <si>
    <t xml:space="preserve"> 8,00 m3</t>
  </si>
  <si>
    <t>Máy đào một gầu, bánh hơi - dung tích gầu:</t>
  </si>
  <si>
    <t xml:space="preserve"> 0,15 m3</t>
  </si>
  <si>
    <t xml:space="preserve"> 0,75 m3</t>
  </si>
  <si>
    <t>Máy xúc lật - dung tích gầu:</t>
  </si>
  <si>
    <t xml:space="preserve"> 1,65 m3</t>
  </si>
  <si>
    <t>Máy xúc lật - dung tích gầu 1,65 m3</t>
  </si>
  <si>
    <t>Máy xúc lật 1.6m3</t>
  </si>
  <si>
    <t xml:space="preserve"> 2,80 m3</t>
  </si>
  <si>
    <t xml:space="preserve"> 3,20 m3</t>
  </si>
  <si>
    <t xml:space="preserve"> 4,20 m3</t>
  </si>
  <si>
    <t>Máy xúc chuyên dùng trong hầm - dung tích gầu:</t>
  </si>
  <si>
    <t xml:space="preserve"> 0,90 m3</t>
  </si>
  <si>
    <t>Máy cào đá, động cơ điện - năng suất:</t>
  </si>
  <si>
    <t xml:space="preserve"> 2 m3/ph</t>
  </si>
  <si>
    <t>Máy cào đá, dộng cơ điện - năng suất 2m3/ph</t>
  </si>
  <si>
    <t xml:space="preserve"> 3 m3/ph</t>
  </si>
  <si>
    <t xml:space="preserve"> 8 m3/ph</t>
  </si>
  <si>
    <t>Máy ủi - công suất:</t>
  </si>
  <si>
    <t xml:space="preserve"> 45,0 CV</t>
  </si>
  <si>
    <t xml:space="preserve"> 54,0 CV</t>
  </si>
  <si>
    <t xml:space="preserve"> 75,0 CV</t>
  </si>
  <si>
    <t>Máy ủi - công suất 75CV</t>
  </si>
  <si>
    <t>Máy ủi 75cv</t>
  </si>
  <si>
    <t xml:space="preserve"> 105,0 CV</t>
  </si>
  <si>
    <t>Máy ủi - công suất 105CV</t>
  </si>
  <si>
    <t xml:space="preserve"> 108,0 CV</t>
  </si>
  <si>
    <t>Máy ủi - công suất 108CV</t>
  </si>
  <si>
    <t xml:space="preserve"> 130,0 CV</t>
  </si>
  <si>
    <t xml:space="preserve"> 140,0 CV</t>
  </si>
  <si>
    <t>Máy ủi - công suất 140CV</t>
  </si>
  <si>
    <t xml:space="preserve"> 160,0 CV</t>
  </si>
  <si>
    <t xml:space="preserve"> 180,0 CV</t>
  </si>
  <si>
    <t>Máy ủi - công suất 180CV</t>
  </si>
  <si>
    <t>Máy ủi 180cv</t>
  </si>
  <si>
    <t xml:space="preserve"> 250,0 CV</t>
  </si>
  <si>
    <t>Máy ủi - công suất 240CV</t>
  </si>
  <si>
    <t>Máy ủi 240cv</t>
  </si>
  <si>
    <t xml:space="preserve"> 271,0 CV</t>
  </si>
  <si>
    <t xml:space="preserve"> 320,0 CV</t>
  </si>
  <si>
    <t>Máy ủi - công suất 320CV</t>
  </si>
  <si>
    <t>Máy ủi 320cv</t>
  </si>
  <si>
    <t xml:space="preserve">Thùng cạp + đầu kéo bánh xích - dung tích thùng: </t>
  </si>
  <si>
    <t xml:space="preserve"> 2,75 m3</t>
  </si>
  <si>
    <t xml:space="preserve"> 3,00 m3</t>
  </si>
  <si>
    <t xml:space="preserve"> 4,50 m3</t>
  </si>
  <si>
    <t xml:space="preserve"> 9,00 m3</t>
  </si>
  <si>
    <t xml:space="preserve">Máy cạp tự hành - dung tích thùng: </t>
  </si>
  <si>
    <t xml:space="preserve"> 9,0 m3</t>
  </si>
  <si>
    <t>Máy cạp tự hành - dung tích thùng 9m3</t>
  </si>
  <si>
    <t>Máy cạp 9m3</t>
  </si>
  <si>
    <t xml:space="preserve"> 10,0 m3</t>
  </si>
  <si>
    <t xml:space="preserve"> 16,0 m3</t>
  </si>
  <si>
    <t>Máy cạp tự hành - dung tích thùng 16m3</t>
  </si>
  <si>
    <t>Máy cạp 16m3</t>
  </si>
  <si>
    <t xml:space="preserve"> 25,0 m3</t>
  </si>
  <si>
    <t>Máy san tự hành - công suất:</t>
  </si>
  <si>
    <t xml:space="preserve"> 54,00 CV</t>
  </si>
  <si>
    <t xml:space="preserve"> 90,00 CV</t>
  </si>
  <si>
    <t>Máy san tự hành - công suất 108CV</t>
  </si>
  <si>
    <t>Máy san 108CV</t>
  </si>
  <si>
    <t xml:space="preserve">Máy đầm đất cầm tay - trọng lượng: </t>
  </si>
  <si>
    <t xml:space="preserve"> 50 kg</t>
  </si>
  <si>
    <t xml:space="preserve"> 60 kg</t>
  </si>
  <si>
    <t xml:space="preserve"> 70 kg</t>
  </si>
  <si>
    <t xml:space="preserve"> 80 kg</t>
  </si>
  <si>
    <t>Đầm bánh hơi + đầu kéo bánh xích - trọng lượng:</t>
  </si>
  <si>
    <t xml:space="preserve"> 9,0 T</t>
  </si>
  <si>
    <t xml:space="preserve"> 12,5 T</t>
  </si>
  <si>
    <t xml:space="preserve"> 18,0 T</t>
  </si>
  <si>
    <t>Đầm bánh hơi + đầu kéo bánh xích - trọng lượng 18T</t>
  </si>
  <si>
    <t>Máy đầm 18T</t>
  </si>
  <si>
    <t xml:space="preserve"> 25,0 T</t>
  </si>
  <si>
    <t xml:space="preserve"> 26,5 T</t>
  </si>
  <si>
    <t>Đầm bánh hơi tự hành - trọng lượng:</t>
  </si>
  <si>
    <t xml:space="preserve"> 16,0 T </t>
  </si>
  <si>
    <t>Đầm bánh hơi tự hành - trọng lượng 16T</t>
  </si>
  <si>
    <t>Lu bánh lốp 16T</t>
  </si>
  <si>
    <t xml:space="preserve"> 17,5 T</t>
  </si>
  <si>
    <t>Đầm bánh hơi tự hành - trọng lượng 25T</t>
  </si>
  <si>
    <t>Máy đầm 25T</t>
  </si>
  <si>
    <t>Máy đầm rung tự hành - trọng lượng:</t>
  </si>
  <si>
    <t xml:space="preserve"> 8 T</t>
  </si>
  <si>
    <t xml:space="preserve"> 15T</t>
  </si>
  <si>
    <t xml:space="preserve"> 18T</t>
  </si>
  <si>
    <t xml:space="preserve"> 25T</t>
  </si>
  <si>
    <t>Máy đầm rung tự hành - trọng lượng 25T</t>
  </si>
  <si>
    <t xml:space="preserve">Đầm chân cừu + đầu kéo - trọng lượng: </t>
  </si>
  <si>
    <t xml:space="preserve"> 5,5 T</t>
  </si>
  <si>
    <t>Đầm bánh thép tự hành - trọng lượng:</t>
  </si>
  <si>
    <t xml:space="preserve"> 8,50 T</t>
  </si>
  <si>
    <t>Đầm bánh thép tự hành - trọng lượng 9T</t>
  </si>
  <si>
    <t>Máy lu 8.5T</t>
  </si>
  <si>
    <t xml:space="preserve"> 10,0 T</t>
  </si>
  <si>
    <t>Đầm bánh thép tự hành - trọng lượng 10T</t>
  </si>
  <si>
    <t>Máy lu bánh thép 10T</t>
  </si>
  <si>
    <t xml:space="preserve"> 12,2 T</t>
  </si>
  <si>
    <t xml:space="preserve"> 13,0 T</t>
  </si>
  <si>
    <t xml:space="preserve"> 14,5 T</t>
  </si>
  <si>
    <t xml:space="preserve"> 15,5 T</t>
  </si>
  <si>
    <t>Máy lu rung không tự hành (quả đầm 16 T) - trọng lượng:</t>
  </si>
  <si>
    <t>10 T</t>
  </si>
  <si>
    <t>Máy lu rung không tự hành (quả đầm 16T) - trọng lượng 10T</t>
  </si>
  <si>
    <t>Ô tô vận tải thùng - trọng tải:</t>
  </si>
  <si>
    <t xml:space="preserve"> 2,0 T</t>
  </si>
  <si>
    <t xml:space="preserve"> 2,5 T</t>
  </si>
  <si>
    <t xml:space="preserve"> 4,0 T</t>
  </si>
  <si>
    <t xml:space="preserve"> 5,0 T</t>
  </si>
  <si>
    <t>Ôtô vận tải thùng - trọng tải 5T</t>
  </si>
  <si>
    <t>Ôtô vận tải thùng 5T</t>
  </si>
  <si>
    <t xml:space="preserve"> 6,0 T</t>
  </si>
  <si>
    <t xml:space="preserve"> 7,0 T</t>
  </si>
  <si>
    <t>Ôtô vận tải thùng - trọng tải 7T</t>
  </si>
  <si>
    <t>Ôtô vận tải thùng 7T</t>
  </si>
  <si>
    <t xml:space="preserve"> 12,0 T</t>
  </si>
  <si>
    <t xml:space="preserve"> 20,0 T</t>
  </si>
  <si>
    <t xml:space="preserve">Ô tô tự đổ - trọng tải: </t>
  </si>
  <si>
    <t>Ôtô tự đổ - trọng tải 2.5T</t>
  </si>
  <si>
    <t>Ôtô tự đổ 2.5T</t>
  </si>
  <si>
    <t xml:space="preserve"> 3,5 T</t>
  </si>
  <si>
    <t>Ôtô tự đổ - trọng tải 5T</t>
  </si>
  <si>
    <t>Ôtô tự đổ 5T</t>
  </si>
  <si>
    <t>Ôtô tự đổ - trọng tải 7T</t>
  </si>
  <si>
    <t>Ôtô tự đổ 7T</t>
  </si>
  <si>
    <t>Ôtô tự đổ - trọng tải 10T</t>
  </si>
  <si>
    <t>Ôtô tự đổ 10T</t>
  </si>
  <si>
    <t>Ôtô tự đổ - trọng tải 12T</t>
  </si>
  <si>
    <t>Ôtô tự đổ 12T</t>
  </si>
  <si>
    <t xml:space="preserve"> 15,0 T</t>
  </si>
  <si>
    <t>Ôtô tự đổ - trọng tải 15T</t>
  </si>
  <si>
    <t>Ôtô tự đổ 15T</t>
  </si>
  <si>
    <t xml:space="preserve"> 22,0 T</t>
  </si>
  <si>
    <t>Ôtô tự đổ - trọng tải 22T</t>
  </si>
  <si>
    <t>Ôtô tự đổ 22T</t>
  </si>
  <si>
    <t xml:space="preserve"> 27,0 T</t>
  </si>
  <si>
    <t>Ôtô tự đổ - trọng tải 27T</t>
  </si>
  <si>
    <t>Ôtô tự đổ 27T</t>
  </si>
  <si>
    <t xml:space="preserve"> 32,0 T</t>
  </si>
  <si>
    <t xml:space="preserve"> 36,0 T</t>
  </si>
  <si>
    <t xml:space="preserve"> 42,0 T</t>
  </si>
  <si>
    <t xml:space="preserve"> 55,0 T</t>
  </si>
  <si>
    <t>Ô tô đầu kéo - công suất:</t>
  </si>
  <si>
    <t xml:space="preserve"> 150,0 CV</t>
  </si>
  <si>
    <t xml:space="preserve"> 200,0 CV</t>
  </si>
  <si>
    <t xml:space="preserve"> 240,0 CV</t>
  </si>
  <si>
    <t xml:space="preserve"> 255,0 CV</t>
  </si>
  <si>
    <t xml:space="preserve"> 272,0 CV</t>
  </si>
  <si>
    <t xml:space="preserve">Ô tô chuyển trộn bê tông - dung tích thùng trộn: </t>
  </si>
  <si>
    <t xml:space="preserve"> 5,0 m3 </t>
  </si>
  <si>
    <t xml:space="preserve"> 6,0 m3 </t>
  </si>
  <si>
    <t>Ôtô chuyển trộn bêtông - dung tích thùng trộn 6m3</t>
  </si>
  <si>
    <t>Ôtô chuyển trộn 6m3</t>
  </si>
  <si>
    <t xml:space="preserve"> 8,0 m3 </t>
  </si>
  <si>
    <t xml:space="preserve"> 8,7 m3 </t>
  </si>
  <si>
    <t xml:space="preserve"> 10,7 m3 </t>
  </si>
  <si>
    <t>Ôtô chuyển trộn bêtông - dung tích thùng trộn 10,7m3</t>
  </si>
  <si>
    <t>Ôtô chuyển trộn 10.7m3</t>
  </si>
  <si>
    <t xml:space="preserve"> 14,5 m3 </t>
  </si>
  <si>
    <t>Ôtô chuyển trộn bêtông - dung tích thùng trộn 14,5m3</t>
  </si>
  <si>
    <t>Ôtô chuyển trộn 14.5m3</t>
  </si>
  <si>
    <t>Ô tô tưới nước - dung tích:</t>
  </si>
  <si>
    <t xml:space="preserve"> 4,0 m3</t>
  </si>
  <si>
    <t xml:space="preserve"> 5,0 m3</t>
  </si>
  <si>
    <t>Ôtô tưới nước - dung tích 5m3</t>
  </si>
  <si>
    <t>Ôtô tưới nước 5m3</t>
  </si>
  <si>
    <t xml:space="preserve"> 6,0 m3</t>
  </si>
  <si>
    <t xml:space="preserve"> 7,0 m3</t>
  </si>
  <si>
    <t>Ôtô tưới nước - dung tích 9m3</t>
  </si>
  <si>
    <t xml:space="preserve">Xe ô tô tải có gắn cần trục - trọng tải xe: </t>
  </si>
  <si>
    <t xml:space="preserve"> 5,0 T </t>
  </si>
  <si>
    <t>Rơ mooc - trọng tải:</t>
  </si>
  <si>
    <t xml:space="preserve"> 7,5 T</t>
  </si>
  <si>
    <t xml:space="preserve"> 14,0 T</t>
  </si>
  <si>
    <t xml:space="preserve"> 21,0 T</t>
  </si>
  <si>
    <t xml:space="preserve"> 40,0 T</t>
  </si>
  <si>
    <t xml:space="preserve"> 100,0 T</t>
  </si>
  <si>
    <t xml:space="preserve"> 125,0 T</t>
  </si>
  <si>
    <t xml:space="preserve">Máy kéo bánh xích - công suất: </t>
  </si>
  <si>
    <t xml:space="preserve"> 110,0 CV</t>
  </si>
  <si>
    <t>Máy kéo bánh hơi - công suất:</t>
  </si>
  <si>
    <t>28,0 CV</t>
  </si>
  <si>
    <t>40,0 CV</t>
  </si>
  <si>
    <t>50,0 CV</t>
  </si>
  <si>
    <t>60,0 CV</t>
  </si>
  <si>
    <t>80,0 CV</t>
  </si>
  <si>
    <t>165,0 CV</t>
  </si>
  <si>
    <t>215,0 CV</t>
  </si>
  <si>
    <t>Thiết bị phục vụ vận chuyển đá nổ mìn trong hầm:</t>
  </si>
  <si>
    <t>Tời ma nơ - 13 kW</t>
  </si>
  <si>
    <t>Tời manơ 13kW</t>
  </si>
  <si>
    <t>Xe goòng 3 T</t>
  </si>
  <si>
    <t>Xe goòng 3T</t>
  </si>
  <si>
    <t>Xe goòng 5,8m3</t>
  </si>
  <si>
    <t>Xe goòng 5.8m3</t>
  </si>
  <si>
    <t>Đầu kéo 30 T</t>
  </si>
  <si>
    <t>Đầu kéo 30T</t>
  </si>
  <si>
    <t>Quang lật 360 T/h</t>
  </si>
  <si>
    <t>Quang lật 360T/h</t>
  </si>
  <si>
    <t>Cần trục máy kéo - sức nâng:</t>
  </si>
  <si>
    <t>5,0 T</t>
  </si>
  <si>
    <t>6,0 T.</t>
  </si>
  <si>
    <t>7,0 T</t>
  </si>
  <si>
    <t>8,0 T</t>
  </si>
  <si>
    <t xml:space="preserve">Cần trục ô tô - sức nâng: </t>
  </si>
  <si>
    <t>1,0 T</t>
  </si>
  <si>
    <t>3,0 T</t>
  </si>
  <si>
    <t>4,0 T</t>
  </si>
  <si>
    <t>Cần trục ôtô - sức nâng 5T</t>
  </si>
  <si>
    <t>6,0 T</t>
  </si>
  <si>
    <t>Cần trục ôtô - sức nâng 6T</t>
  </si>
  <si>
    <t>Cần trục ôtô 6T</t>
  </si>
  <si>
    <t>10,0 T</t>
  </si>
  <si>
    <t>Cần trục ôtô - sức nâng 10T</t>
  </si>
  <si>
    <t>Cần trục ôtô 10T</t>
  </si>
  <si>
    <t>16,0 T</t>
  </si>
  <si>
    <t>Cần trục ôtô - sức nâng 16T</t>
  </si>
  <si>
    <t>Cần trục ôtô 16T</t>
  </si>
  <si>
    <t>20,0 T</t>
  </si>
  <si>
    <t>25,0 T</t>
  </si>
  <si>
    <t>Cần trục ôtô - sức nâng 25T</t>
  </si>
  <si>
    <t>Cần trục ôtô 25T</t>
  </si>
  <si>
    <t>30,0 T</t>
  </si>
  <si>
    <t>Cần trục ôtô - sức nâng 30T</t>
  </si>
  <si>
    <t>Cần trục ôtô 30T</t>
  </si>
  <si>
    <t>35,0 T</t>
  </si>
  <si>
    <t>40,0 T</t>
  </si>
  <si>
    <t>45,0 T</t>
  </si>
  <si>
    <t>50,0 T</t>
  </si>
  <si>
    <t>Cần trục ôtô - sức nâng 50T</t>
  </si>
  <si>
    <t>Cần trục ôtô 50T</t>
  </si>
  <si>
    <t xml:space="preserve">Cần trục bánh hơi - sức nâng: </t>
  </si>
  <si>
    <t>Cần trục bánh hơi - sức nâng 16T</t>
  </si>
  <si>
    <t>Cần trục bánh hơi - sức nâng 25T</t>
  </si>
  <si>
    <t>63,0 T</t>
  </si>
  <si>
    <t>90,0 T</t>
  </si>
  <si>
    <t>100,0 T</t>
  </si>
  <si>
    <t>110,0 T</t>
  </si>
  <si>
    <t>130,0 T</t>
  </si>
  <si>
    <t>Cần trục bánh xích - sức nâng:</t>
  </si>
  <si>
    <t>Cần trục bánh xích - sức nâng 10T</t>
  </si>
  <si>
    <t>Cần cẩu bánh xích 10T</t>
  </si>
  <si>
    <t>Cần trục bánh xích - sức nâng 16T</t>
  </si>
  <si>
    <t>Cần trục bánh xích - sức nâng 25T</t>
  </si>
  <si>
    <t>28,0 T</t>
  </si>
  <si>
    <t>Cần trục bánh xích - sức nâng 30T</t>
  </si>
  <si>
    <t>Cần cẩu bánh xích 30T</t>
  </si>
  <si>
    <t>Cần trục bánh xích - sức nâng 40T</t>
  </si>
  <si>
    <t>Cần cẩu bánh xích 40T</t>
  </si>
  <si>
    <t>Cần trục bánh xích - sức nâng 50T</t>
  </si>
  <si>
    <t>Cần trục bánh xích - sức nâng 63T</t>
  </si>
  <si>
    <t>Cần cẩu bánh xích 63T</t>
  </si>
  <si>
    <t>150,0 T</t>
  </si>
  <si>
    <t>Cần trục tháp - sức nâng:</t>
  </si>
  <si>
    <t>12,0 T</t>
  </si>
  <si>
    <t>15,0 T</t>
  </si>
  <si>
    <t>Cần trục tháp - sức nâng 16T</t>
  </si>
  <si>
    <t>Cần trục tháp 16T</t>
  </si>
  <si>
    <t>Cần trục tháp - sức nâng 25T</t>
  </si>
  <si>
    <t>Cần trục tháp 25T</t>
  </si>
  <si>
    <t>Cần trục tháp - sức nâng 40T</t>
  </si>
  <si>
    <t>Cần trục tháp 40T</t>
  </si>
  <si>
    <t>Cần trục tháp - sức nâng 50T</t>
  </si>
  <si>
    <t>Cần trục tháp 50T</t>
  </si>
  <si>
    <t>60,0 T</t>
  </si>
  <si>
    <t>Cần trục tháp - sức nâng 80T</t>
  </si>
  <si>
    <t>Cần trục tháp 80T</t>
  </si>
  <si>
    <t>Cẩu tháp MD 900</t>
  </si>
  <si>
    <t>Cần cẩu nổi, kéo theo - sức nâng:</t>
  </si>
  <si>
    <t>30T</t>
  </si>
  <si>
    <t>Cần cẩu nổi kéo theo - sức nâng 30T</t>
  </si>
  <si>
    <t>Cần cẩu nổi 30T</t>
  </si>
  <si>
    <t>Cần cẩu nổi, tự hành - sức nâng:</t>
  </si>
  <si>
    <t xml:space="preserve">100T </t>
  </si>
  <si>
    <t xml:space="preserve">Cẩu lao dầm: </t>
  </si>
  <si>
    <t>CẩuK33-60</t>
  </si>
  <si>
    <t>Cẩu lao dầm K33-60 (cẩu long môn)</t>
  </si>
  <si>
    <t>Cẩu long môn</t>
  </si>
  <si>
    <t>Cổng trục - sức nâng:</t>
  </si>
  <si>
    <t>10T</t>
  </si>
  <si>
    <t>Giá long môn (cổng trục - sức nâng 10T)</t>
  </si>
  <si>
    <t>Cẩu long môn 10T</t>
  </si>
  <si>
    <t>25T</t>
  </si>
  <si>
    <t>Cần cẩu cổng 30T (cổng trục - sức nâng 30T)</t>
  </si>
  <si>
    <t>Cần cẩu cổng 30T</t>
  </si>
  <si>
    <t>60T</t>
  </si>
  <si>
    <t xml:space="preserve">Cầu trục - sức nâng: </t>
  </si>
  <si>
    <t>30 T</t>
  </si>
  <si>
    <t>40 T</t>
  </si>
  <si>
    <t>50 T</t>
  </si>
  <si>
    <t>60 T</t>
  </si>
  <si>
    <t>90 T</t>
  </si>
  <si>
    <t>110 T</t>
  </si>
  <si>
    <t>125 T</t>
  </si>
  <si>
    <t>180 T</t>
  </si>
  <si>
    <t>250 T</t>
  </si>
  <si>
    <t>Máy vận thăng - sức nâng:</t>
  </si>
  <si>
    <t>0,3 T - H nâng 30 m</t>
  </si>
  <si>
    <t>0,5 T - H nâng 50 m</t>
  </si>
  <si>
    <t>0,8 T - H nâng 80 m</t>
  </si>
  <si>
    <t>Máy vận thăng - sức nâng 0.8T - H nâng 80m</t>
  </si>
  <si>
    <t>Vận thăng 0.8T</t>
  </si>
  <si>
    <t>2,0 T - H nâng 100 m</t>
  </si>
  <si>
    <t>Cần trục thiếu nhi - sức nâng:</t>
  </si>
  <si>
    <t>0,5 T</t>
  </si>
  <si>
    <t>Tời điện - sức kéo:</t>
  </si>
  <si>
    <t>1,5 T</t>
  </si>
  <si>
    <t>Tời điện - sức kéo 1,5T</t>
  </si>
  <si>
    <t>2,0 T</t>
  </si>
  <si>
    <t>2,5 T</t>
  </si>
  <si>
    <t>Tời điện - sức kéo 3T</t>
  </si>
  <si>
    <t>Tời điện - sức kéo 5T</t>
  </si>
  <si>
    <t>Tời điện 5T</t>
  </si>
  <si>
    <t>Kích thông tâm YCW - 150 T</t>
  </si>
  <si>
    <t>Kích thông tâm YCW - 250 T</t>
  </si>
  <si>
    <t>Kích thông tâm YCW - 250T</t>
  </si>
  <si>
    <t>Kích đẩy liên tục tự động ZLD-60 (60T,6c)</t>
  </si>
  <si>
    <t>Kích thông tâm YCW - 500 T</t>
  </si>
  <si>
    <t>Kích thông tâm YCW - 500T</t>
  </si>
  <si>
    <t>Kích sợi đơn YDC - 500 T</t>
  </si>
  <si>
    <t xml:space="preserve">Kích thông tâm RRH - 100 T </t>
  </si>
  <si>
    <t xml:space="preserve">Kích thông tâm RRH - 300 T </t>
  </si>
  <si>
    <t>Máy luồn cáp - công suất:</t>
  </si>
  <si>
    <t>15 kW</t>
  </si>
  <si>
    <t>Máy luồn cáp - công suất 15kW</t>
  </si>
  <si>
    <t>Máy luồn cáp 15KW</t>
  </si>
  <si>
    <t>Trạm bơm dầu áp lực- công suất:</t>
  </si>
  <si>
    <t>40 MPa (HCP-400)</t>
  </si>
  <si>
    <t>50 MPa (ZB4 - 500)</t>
  </si>
  <si>
    <t>Xe nâng hàng - sức nâng:</t>
  </si>
  <si>
    <t>3,2 T</t>
  </si>
  <si>
    <t>3,5 T</t>
  </si>
  <si>
    <t>Máy nâng phục vụ thi công hầm - công suất:</t>
  </si>
  <si>
    <t>135 CV</t>
  </si>
  <si>
    <t>Máy nâng (thuỷ lực) phục vụ thi công hầm - công suất 135CV</t>
  </si>
  <si>
    <t>Máy trộn bê tông - dung tích:</t>
  </si>
  <si>
    <t>100,0 lít</t>
  </si>
  <si>
    <t>150,0 lít</t>
  </si>
  <si>
    <t>200,0 lít</t>
  </si>
  <si>
    <t>250,0 lít</t>
  </si>
  <si>
    <t>Máy trộn bêtông - dung tích 250 lít</t>
  </si>
  <si>
    <t>425,0 lít</t>
  </si>
  <si>
    <t>500,0 lít</t>
  </si>
  <si>
    <t>Máy trộn bêtông - dung tích 500 lít</t>
  </si>
  <si>
    <t>Máy trộn 500L</t>
  </si>
  <si>
    <t>800,0 lít</t>
  </si>
  <si>
    <t>1150,0 lít</t>
  </si>
  <si>
    <t>1600,0 lít</t>
  </si>
  <si>
    <t xml:space="preserve">Máy trộn vữa - dung tích: </t>
  </si>
  <si>
    <t>80,0 lít</t>
  </si>
  <si>
    <t>Máy trộn vữa - dung tích 80 lít</t>
  </si>
  <si>
    <t>110,0 lít</t>
  </si>
  <si>
    <t>325,0 lít</t>
  </si>
  <si>
    <t xml:space="preserve">Trạm trộn bê tông - năng suất: </t>
  </si>
  <si>
    <t>20,0m3/h</t>
  </si>
  <si>
    <t>22,0m3/h</t>
  </si>
  <si>
    <t>Trạm trộn bêtông - năng suất 22m3/h</t>
  </si>
  <si>
    <t>Trạm trộn bêtông 22m3/h</t>
  </si>
  <si>
    <t>25,0m3/h</t>
  </si>
  <si>
    <t>Trạm trộn bêtông - năng suất 25m3/h</t>
  </si>
  <si>
    <t>Trạm trộn bêtông 25m3/h</t>
  </si>
  <si>
    <t>30,0m3/h</t>
  </si>
  <si>
    <t>Trạm trộn bêtông - năng suất 30m3/h</t>
  </si>
  <si>
    <t>Trạm trộn bêtông 30m3/h</t>
  </si>
  <si>
    <t>50,0m3/h</t>
  </si>
  <si>
    <t>Trạm trộn bêtông - năng suất 50m3/h</t>
  </si>
  <si>
    <t>Trạm trộn bêtông 50m3/h</t>
  </si>
  <si>
    <t>60,0m3/h</t>
  </si>
  <si>
    <t>75,0m3/h</t>
  </si>
  <si>
    <t>125,0m3/h</t>
  </si>
  <si>
    <t>Trạm trộn bêtông - năng suất 125m3/h</t>
  </si>
  <si>
    <t>Trạm trộn bêtông 125m3/h</t>
  </si>
  <si>
    <t>Máy bơm vữa - năng suất:</t>
  </si>
  <si>
    <t>2,0m3/h</t>
  </si>
  <si>
    <t>Máy bơm vữa - năng suất 2m3/h</t>
  </si>
  <si>
    <t>Máy bơm vữa ximăng</t>
  </si>
  <si>
    <t>4,0m3/h</t>
  </si>
  <si>
    <t>6,0m3/h</t>
  </si>
  <si>
    <t>9,0m3/h</t>
  </si>
  <si>
    <t>Máy bơm vữa - năng suất 9m3/h</t>
  </si>
  <si>
    <t>32 - 50m3/h</t>
  </si>
  <si>
    <t>Máy bơm vữa - năng suất 32 - 50m3/h</t>
  </si>
  <si>
    <t>Xe bơm bê tông, tự hành - năng suất:</t>
  </si>
  <si>
    <t>50 m3/h</t>
  </si>
  <si>
    <t>Xe bơm bêtông tự hành - năng suất 50m3/h</t>
  </si>
  <si>
    <t>Máy bơm BT 50m3/h</t>
  </si>
  <si>
    <t xml:space="preserve"> 60 m3/h</t>
  </si>
  <si>
    <t>Máy bơm bê tông - năng suất:</t>
  </si>
  <si>
    <t>40 - 60m3/h</t>
  </si>
  <si>
    <t>Máy bơm bêtông - năng suất 50m3/h</t>
  </si>
  <si>
    <t>60 - 90m3/h</t>
  </si>
  <si>
    <t>Máy phun vẩy - năng suất:</t>
  </si>
  <si>
    <t>9m3/h (AL 285)</t>
  </si>
  <si>
    <t>Máy phun vẩy - năng suất 9m3/h</t>
  </si>
  <si>
    <t>16m3/h (AL 500)</t>
  </si>
  <si>
    <t>Máy phun vẩy - năng suất 16m3/h</t>
  </si>
  <si>
    <t>Máy trải bê tông SP.500</t>
  </si>
  <si>
    <t>Máy trải bêtông SP.500</t>
  </si>
  <si>
    <t>Máy đầm bê tông, đầm bàn - công suất:</t>
  </si>
  <si>
    <t>0,4 kW</t>
  </si>
  <si>
    <t>0,6 kW</t>
  </si>
  <si>
    <t>0,8 kW</t>
  </si>
  <si>
    <t>1,0 kW</t>
  </si>
  <si>
    <t>Máy đầm bê tông, đầm cạnh - công suất:</t>
  </si>
  <si>
    <t xml:space="preserve">Máy đầm bê tông, dầm dùi - công suất: </t>
  </si>
  <si>
    <t>Máy đầm bêtông, đầm bàn - công suất 1kW</t>
  </si>
  <si>
    <t>1,5 kW</t>
  </si>
  <si>
    <t>Máy đầm bêtông, đầm dùi - công suất 1,5kW</t>
  </si>
  <si>
    <t>Máy đầm dùi 1.5KW</t>
  </si>
  <si>
    <t>2,8 kW</t>
  </si>
  <si>
    <t>3,5 kW</t>
  </si>
  <si>
    <t>Máy đầm bêtông, đầm dùi - công suất 3,5kW</t>
  </si>
  <si>
    <t>Máy sàng rửa đá, sỏi - năng suất:</t>
  </si>
  <si>
    <t>11,0m3/h</t>
  </si>
  <si>
    <t>35,0m3/h</t>
  </si>
  <si>
    <t>45,0m3/h</t>
  </si>
  <si>
    <t xml:space="preserve">Máy nghiền sàng đá di động - năng suất: </t>
  </si>
  <si>
    <t>Máy nghiền đá thô - năng suất:</t>
  </si>
  <si>
    <t>14,0m3/h</t>
  </si>
  <si>
    <t>200,0m3/h</t>
  </si>
  <si>
    <t xml:space="preserve">Trạm trộn bê tông asphan - năng suất: </t>
  </si>
  <si>
    <t>25,0 T/h (140 m3/ca)</t>
  </si>
  <si>
    <t>Trạm trộn bêtông asphan - năng suất 25T/h</t>
  </si>
  <si>
    <t>Trạm trộn BTN 25T/h</t>
  </si>
  <si>
    <t>30,0 T/h (156 m3/ca)</t>
  </si>
  <si>
    <t>40,0 T/h (176 m3/ca)</t>
  </si>
  <si>
    <t>50,0 T/h (200 (m3/ca)</t>
  </si>
  <si>
    <t>60,0 T/h (216 m3/ca)</t>
  </si>
  <si>
    <t>Trạm trộn bêtông asphan - năng suất 60T/h</t>
  </si>
  <si>
    <t>Trạm trộn BTN 50-60T/h</t>
  </si>
  <si>
    <t>80,0 T/h (256 m3/ca)</t>
  </si>
  <si>
    <t>Trạm trộn bêtông asphan - năng suất 80T/h</t>
  </si>
  <si>
    <t>Trạm trộn BTN 80-90T/h</t>
  </si>
  <si>
    <t>Máy phun nhựa đường - công suất:</t>
  </si>
  <si>
    <t>190 CV</t>
  </si>
  <si>
    <t>Máy phun nhựa đường - công suất 190CV</t>
  </si>
  <si>
    <t>Máy rải hỗn hợp bê tông nhựa - năng suất:</t>
  </si>
  <si>
    <t>65,0 T/h</t>
  </si>
  <si>
    <t>100,0 T/h</t>
  </si>
  <si>
    <t xml:space="preserve">Máy cào bóc đường Wirtgen - 1000C </t>
  </si>
  <si>
    <t>Máy cào bóc đường Wirtgen - 1000C</t>
  </si>
  <si>
    <t>Máy cào bóc</t>
  </si>
  <si>
    <t xml:space="preserve">Thiết bị sơn kẻ vạch YHK 10A </t>
  </si>
  <si>
    <t>Thiết bị sơn kẻ vạch YHK10A</t>
  </si>
  <si>
    <t>Lò nấu sơn YHK 3A</t>
  </si>
  <si>
    <t>Nồi nấu nhựa</t>
  </si>
  <si>
    <t>Máy bơm nước, động cơ điện - công suất:</t>
  </si>
  <si>
    <t>0,55 kW</t>
  </si>
  <si>
    <t>0,75 kW</t>
  </si>
  <si>
    <t>1,10 kW</t>
  </si>
  <si>
    <t>Máy bơm nước, động cơ điện - công suất 1,1kW</t>
  </si>
  <si>
    <t>Máy bơm nước 1.1kW</t>
  </si>
  <si>
    <t>1,50 kW</t>
  </si>
  <si>
    <t>2,00 kW</t>
  </si>
  <si>
    <t>Máy bơm nước động cơ điện  - công suất 2kW</t>
  </si>
  <si>
    <t>2,80 kW</t>
  </si>
  <si>
    <t>4,00 kW</t>
  </si>
  <si>
    <t>4,50 kW</t>
  </si>
  <si>
    <t>7,00 kW</t>
  </si>
  <si>
    <t>10,00 kW</t>
  </si>
  <si>
    <t>14,00 kW</t>
  </si>
  <si>
    <t>20,00 kW</t>
  </si>
  <si>
    <t>Máy bơm nước, động cơ điện - công suất 20kW</t>
  </si>
  <si>
    <t>Máy bơm nước 20KW</t>
  </si>
  <si>
    <t>22,00 kW</t>
  </si>
  <si>
    <t>28,00 kW</t>
  </si>
  <si>
    <t>30,00 kW</t>
  </si>
  <si>
    <t>40,00 kW</t>
  </si>
  <si>
    <t>50,00 kW</t>
  </si>
  <si>
    <t>55,00 kW</t>
  </si>
  <si>
    <t>75,00 kW</t>
  </si>
  <si>
    <t>113,00 kW</t>
  </si>
  <si>
    <t>Máy bơm nước, động cơ diezel - công suất:</t>
  </si>
  <si>
    <t>5,0 CV</t>
  </si>
  <si>
    <t>Máy bơm nước, động cơ diezel - công suất 5CV</t>
  </si>
  <si>
    <t>Máy bơm nước 5CV</t>
  </si>
  <si>
    <t>5,5 CV</t>
  </si>
  <si>
    <t>7,0 CV</t>
  </si>
  <si>
    <t>7,5 CV</t>
  </si>
  <si>
    <t>10,0 CV</t>
  </si>
  <si>
    <t>15,0 CV</t>
  </si>
  <si>
    <t>20,0 CV</t>
  </si>
  <si>
    <t>Máy bơm nước, động cơ diezel - công suất 20CV</t>
  </si>
  <si>
    <t>Máy bơm nước 20CV</t>
  </si>
  <si>
    <t>37,0 CV</t>
  </si>
  <si>
    <t>45,0 CV</t>
  </si>
  <si>
    <t>75,0 CV</t>
  </si>
  <si>
    <t>100,0 CV</t>
  </si>
  <si>
    <t>Máy bơm nước, động cơ diezel - công suất 100CV (200m3/h)</t>
  </si>
  <si>
    <t>Máy bơm nước 37CV (200m3/h)</t>
  </si>
  <si>
    <t>150,0 CV</t>
  </si>
  <si>
    <t>Máy bơm nước, động cơ xăng - công suất:</t>
  </si>
  <si>
    <t>3,0 CV</t>
  </si>
  <si>
    <t>4,0 CV</t>
  </si>
  <si>
    <t>6,0 CV</t>
  </si>
  <si>
    <t>8,0 CV</t>
  </si>
  <si>
    <t xml:space="preserve">Máy phát điện lưu động - công suất: </t>
  </si>
  <si>
    <t>5,2 kW</t>
  </si>
  <si>
    <t>8,0 kW</t>
  </si>
  <si>
    <t>10,0 kW</t>
  </si>
  <si>
    <t>15,0 kW</t>
  </si>
  <si>
    <t>20,0 kW</t>
  </si>
  <si>
    <t>25,0 kW</t>
  </si>
  <si>
    <t>30,0 kW</t>
  </si>
  <si>
    <t>Máy phát điện lưu động - công suất 30kW</t>
  </si>
  <si>
    <t>Máy phát điện lưu động 30kW</t>
  </si>
  <si>
    <t>38,0 kW</t>
  </si>
  <si>
    <t>45,0 kW</t>
  </si>
  <si>
    <t>50,0 kW</t>
  </si>
  <si>
    <t>Máy phát điện lưu động - công suất 50kW</t>
  </si>
  <si>
    <t>Máy phát điện lưu động 50kW</t>
  </si>
  <si>
    <t>60,0 kW</t>
  </si>
  <si>
    <t>75,0 kW</t>
  </si>
  <si>
    <t>Máy phát điện lưu động - công suất 75kW</t>
  </si>
  <si>
    <t>Máy phát điện lưu động 75kW</t>
  </si>
  <si>
    <t>112,0 kW</t>
  </si>
  <si>
    <t>122,0 kW</t>
  </si>
  <si>
    <t xml:space="preserve">Máy nén khí, động cơ xăng - năng suất: </t>
  </si>
  <si>
    <t>3,0m3/h</t>
  </si>
  <si>
    <t>40,0m3/h</t>
  </si>
  <si>
    <t>120,0m3/h</t>
  </si>
  <si>
    <t>300,0m3/h</t>
  </si>
  <si>
    <t>600,0m3/h</t>
  </si>
  <si>
    <t xml:space="preserve">Máy nén khí, động cơ diezel - năng suất: </t>
  </si>
  <si>
    <t>5,50m3/h</t>
  </si>
  <si>
    <t>75,00m3/h</t>
  </si>
  <si>
    <t>102,00m3/h</t>
  </si>
  <si>
    <t>120,00m3/h</t>
  </si>
  <si>
    <t>200,00m3/h</t>
  </si>
  <si>
    <t>240,00m3/h</t>
  </si>
  <si>
    <t>Máy nén khí, động cơ diezel - năng suất 240m3/h</t>
  </si>
  <si>
    <t>300,00m3/h</t>
  </si>
  <si>
    <t>360,00m3/h</t>
  </si>
  <si>
    <t>Máy nén khí, động cơ diezel - năng suất 360m3/h</t>
  </si>
  <si>
    <t>420,00m3/h</t>
  </si>
  <si>
    <t>Máy nén khí, động cơ diezel - năng suất 420m3/h</t>
  </si>
  <si>
    <t>Máy nén khí 420m3/h</t>
  </si>
  <si>
    <t>540,00m3/h</t>
  </si>
  <si>
    <t>Máy nén khí, động cơ diezel - năng suất 540m3/h</t>
  </si>
  <si>
    <t>Máy nén khí 540m3/h</t>
  </si>
  <si>
    <t>600,00m3/h</t>
  </si>
  <si>
    <t>Máy nén khí, động cơ diezel - năng suất 600m3/h</t>
  </si>
  <si>
    <t>660,00m3/h</t>
  </si>
  <si>
    <t>Máy nén khí, động cơ diezel - năng suất 660m3/h</t>
  </si>
  <si>
    <t>Máy nén khí 660m3/h</t>
  </si>
  <si>
    <t>1200,00m3/h</t>
  </si>
  <si>
    <t>Máy nén khí, động cơ diezel - năng suất 1200m3/h</t>
  </si>
  <si>
    <t>Máy nén khí 1200m3/h</t>
  </si>
  <si>
    <t>Máy nén khí, động cơ điện - năng suất:</t>
  </si>
  <si>
    <t>5,0m3/h</t>
  </si>
  <si>
    <t>10,0m3/h</t>
  </si>
  <si>
    <t>56,0m3/h</t>
  </si>
  <si>
    <t>150,0m3/h</t>
  </si>
  <si>
    <t>216,0m3/h</t>
  </si>
  <si>
    <t>270,0m3/h</t>
  </si>
  <si>
    <t>Máy nén khí, động cơ điện- năng suất 600m3/h</t>
  </si>
  <si>
    <t>Máy biến thế hàn một chiều - công suất:</t>
  </si>
  <si>
    <t>40,0 kW</t>
  </si>
  <si>
    <t>Biến thế hàn xoay chiều - công suất:</t>
  </si>
  <si>
    <t>4,0 kW</t>
  </si>
  <si>
    <t>7,0 kW</t>
  </si>
  <si>
    <t>14,0 kW</t>
  </si>
  <si>
    <t>Máy biến thế hàn xoay chiều - công suất 14kW</t>
  </si>
  <si>
    <t>23,0 kW</t>
  </si>
  <si>
    <t>Máy biến thế hàn xoay chiều - công suất 23kW</t>
  </si>
  <si>
    <t>27,5 kW</t>
  </si>
  <si>
    <t>29,2 kW</t>
  </si>
  <si>
    <t>33,5 kW</t>
  </si>
  <si>
    <t xml:space="preserve">Máy hàn điện, động cơ xăng - công suất: </t>
  </si>
  <si>
    <t>9,0 CV</t>
  </si>
  <si>
    <t xml:space="preserve">Máy hàn điện, động cơ diezel - công suất: </t>
  </si>
  <si>
    <t>10,2 CV</t>
  </si>
  <si>
    <t>27,5 CV</t>
  </si>
  <si>
    <t>Máy hàn hơi - công suất:</t>
  </si>
  <si>
    <t>1000 l/h</t>
  </si>
  <si>
    <t>2000 l/h</t>
  </si>
  <si>
    <t>Máy hàn hơi - công suất 2000l/h</t>
  </si>
  <si>
    <t>Máy hàn cắt dưới nước</t>
  </si>
  <si>
    <t xml:space="preserve">Máy phun sơn (chưa tính khí nén) - năng suất: </t>
  </si>
  <si>
    <t>400,0 m2/h</t>
  </si>
  <si>
    <t>Máy phun sơn (chưa tính khí nén) - năng suất 400m2/h</t>
  </si>
  <si>
    <t>Máy phun sơn 400m2/h</t>
  </si>
  <si>
    <t>Máy phun cát (chưa tính khí nén)</t>
  </si>
  <si>
    <t>Thiết bị phun cát</t>
  </si>
  <si>
    <t xml:space="preserve">Máy khoan đứng - công suất: </t>
  </si>
  <si>
    <t>4,5 kW</t>
  </si>
  <si>
    <t>Máy khoan đứng - công suất 4,5kW</t>
  </si>
  <si>
    <t>Máy khoan 4.5kW</t>
  </si>
  <si>
    <t>Máy khoan sắt cầm tay, đường kính khoan:</t>
  </si>
  <si>
    <t xml:space="preserve">13 mm </t>
  </si>
  <si>
    <t>Máy cắt sắt cầm tay - công suất:</t>
  </si>
  <si>
    <t xml:space="preserve">1,0 kW </t>
  </si>
  <si>
    <t>Máy cắt sắt cầm tay - công suất 1kW</t>
  </si>
  <si>
    <t>Máy khoan bê tông cầm tay - công suất:</t>
  </si>
  <si>
    <t xml:space="preserve">0,62 kW </t>
  </si>
  <si>
    <t xml:space="preserve">0,75 kW </t>
  </si>
  <si>
    <t xml:space="preserve">0,85 kW </t>
  </si>
  <si>
    <t xml:space="preserve">1,05 kW </t>
  </si>
  <si>
    <t xml:space="preserve">1,50 kW </t>
  </si>
  <si>
    <t xml:space="preserve">Máy khoan bêtông cầm tay - công suất 1,5kW </t>
  </si>
  <si>
    <t>Máy cắt gạch đá - công suất:</t>
  </si>
  <si>
    <t>1,7 kW</t>
  </si>
  <si>
    <t>Máy cắt gạch đá - công suất 1,7kW</t>
  </si>
  <si>
    <t>Máy cắt gạch đá 1.7KW</t>
  </si>
  <si>
    <t>Máy cắt bê tông - công suất:</t>
  </si>
  <si>
    <t xml:space="preserve">12 CV (MCD 218) </t>
  </si>
  <si>
    <t>Máy cắt bêtông  - công suất 12CV (MCD 218)</t>
  </si>
  <si>
    <t>Máy cắt khe MCD</t>
  </si>
  <si>
    <t xml:space="preserve">Búa căn khí nén (chưa tính khí nén) - tiêu hao khí nén: </t>
  </si>
  <si>
    <t>1,5m3/ph</t>
  </si>
  <si>
    <t>Búa căn khí nén (chưa tính khí nén) - tiêu hao khí nén 1,5m3/ph</t>
  </si>
  <si>
    <t>Búa căn khí nén 1.5m3/ph</t>
  </si>
  <si>
    <t>3,0m3/ph</t>
  </si>
  <si>
    <t>Máy uốn ống - công suất:</t>
  </si>
  <si>
    <t>Máy cuốn ống - công suất 2,8kW</t>
  </si>
  <si>
    <t>Máy cuốn ống 2.8kW</t>
  </si>
  <si>
    <t>Máy cắt ống - công suất:</t>
  </si>
  <si>
    <t>5,0 kW</t>
  </si>
  <si>
    <t xml:space="preserve">Máy cắt tôn - công suất: </t>
  </si>
  <si>
    <t>Máy cắt tôn - công suất 15kW</t>
  </si>
  <si>
    <t>Máy cắt tôn</t>
  </si>
  <si>
    <t>Máy cắt đột - công suất:</t>
  </si>
  <si>
    <t>Máy cắt đột - công suất 2,8kW</t>
  </si>
  <si>
    <t>Máy cắt đột 2.8kW</t>
  </si>
  <si>
    <t>Máy cắt uốn cốt thép - công suất:</t>
  </si>
  <si>
    <t xml:space="preserve">5,0 kW </t>
  </si>
  <si>
    <t>Máy cắt uốn cốt thép - công suất 5kW</t>
  </si>
  <si>
    <t>Máy cắt uốn</t>
  </si>
  <si>
    <t>Máy cưa kim loại - công suất:</t>
  </si>
  <si>
    <t xml:space="preserve"> 1,7 kW</t>
  </si>
  <si>
    <t>Máy cưa kim loại - công suất 1,7kW</t>
  </si>
  <si>
    <t>Máy cưa kim loại 1.7kW</t>
  </si>
  <si>
    <t>Máy tiện - công suất:</t>
  </si>
  <si>
    <t xml:space="preserve"> 4,5 kW</t>
  </si>
  <si>
    <t>Máy mài - công suất:</t>
  </si>
  <si>
    <t xml:space="preserve"> 1,0 kW</t>
  </si>
  <si>
    <t>Máy mài - công suất 1kW</t>
  </si>
  <si>
    <t>Máy mài 1kW</t>
  </si>
  <si>
    <t xml:space="preserve"> 2,7 kW</t>
  </si>
  <si>
    <t>Máy mài - công suất 2,7kW</t>
  </si>
  <si>
    <t>Máy mài 2.7kW</t>
  </si>
  <si>
    <t xml:space="preserve">Máy cưa gỗ cầm tay - công suất: </t>
  </si>
  <si>
    <t xml:space="preserve"> 1,3 kW</t>
  </si>
  <si>
    <t>Máy cắt cỏ cầm tay - công suất:</t>
  </si>
  <si>
    <t xml:space="preserve"> 0,8 kW</t>
  </si>
  <si>
    <t>Máy khoan đấtđá, cầm tay - đường kính khoan:</t>
  </si>
  <si>
    <t>F[ 42mm (động cơ điện - 1,2 kW)</t>
  </si>
  <si>
    <t>Máy khoan đá đất đá cầm tay - đường kính khoan &lt;=42mm (động cơ điện)</t>
  </si>
  <si>
    <t>F[ 42 mm (truyền động khí nén - chưa tính khí nén)</t>
  </si>
  <si>
    <t>Máy khoan đá đất đá cầm tay - đường kính khoan &lt;=42mm (truyền động khí nén - chưa tính khí nén)</t>
  </si>
  <si>
    <t xml:space="preserve">Máy khoan đất đá &lt;=42mm </t>
  </si>
  <si>
    <t>F[ 42mm (khoan SIG - chưa tính khí nén)</t>
  </si>
  <si>
    <t>Búa chèn (truyền động khí nén - chưa tính khí nén)</t>
  </si>
  <si>
    <t>Máy khoan xoay đập tự hành, khí nén (chưa tính khí nén) - đường kính khoan:</t>
  </si>
  <si>
    <t>F 75 - 95 mm</t>
  </si>
  <si>
    <t>Máy khoan xoay đập tự hành, khí nén (chưa tính khí nén) - đường kính khoan 76-95mm</t>
  </si>
  <si>
    <t>Máy khoan xoay đập D76mm</t>
  </si>
  <si>
    <t>F 105 - 110 mm</t>
  </si>
  <si>
    <t>Máy khoan xoay đập tự hành, khí nén (chưa tính khí nén) - đường kính khoan 105-110mm</t>
  </si>
  <si>
    <t>Máy khoan xoay đập D105mm</t>
  </si>
  <si>
    <t xml:space="preserve">Máy khoan xoay đập tự hành, động cơ điện - đường kính khoan: </t>
  </si>
  <si>
    <t xml:space="preserve"> F 150 (56 kW)</t>
  </si>
  <si>
    <t xml:space="preserve">Máy khoan đập cáp - đường kính khoan: </t>
  </si>
  <si>
    <t xml:space="preserve"> F 200 - 260 (20 kW)</t>
  </si>
  <si>
    <t xml:space="preserve">Máy khoan đập xoay tự hành, động cơ điện - đường kính khoan: </t>
  </si>
  <si>
    <t xml:space="preserve"> F 160 - 200 (90 kW)</t>
  </si>
  <si>
    <t>Máy khoan đập xoay tự hành, động cơ diezel - đường kính khoan:</t>
  </si>
  <si>
    <t xml:space="preserve"> F 51 - 76 (310 CV)</t>
  </si>
  <si>
    <t>Máy khoan đập xoay tự hành, động cơ diezel 310CV</t>
  </si>
  <si>
    <t>Máy khoan xoay đập tự hành</t>
  </si>
  <si>
    <t xml:space="preserve"> F 76 - 89 (145 CV)</t>
  </si>
  <si>
    <t xml:space="preserve"> F 89 - 102 (220 CV)</t>
  </si>
  <si>
    <t xml:space="preserve"> F 102 - 115 (300 CV)</t>
  </si>
  <si>
    <t xml:space="preserve"> F 115 - 127 (144 CV)</t>
  </si>
  <si>
    <t xml:space="preserve"> F 127 - 152 (335 CV)</t>
  </si>
  <si>
    <t>Máy khoan xoay cầu, động cơ điện - đường kính khoan:</t>
  </si>
  <si>
    <t xml:space="preserve"> F 243 - 269 (322 kW)</t>
  </si>
  <si>
    <t>Máy khoan xoay cầu, động cơ điezel - đường kính khoan:</t>
  </si>
  <si>
    <t xml:space="preserve"> F 152 - 228 (450 CV)</t>
  </si>
  <si>
    <t>Máy khoan hầm tự hành, động cơ điezel - đường kính khoan:</t>
  </si>
  <si>
    <t xml:space="preserve"> F 45 (2 cần - 147 CV)</t>
  </si>
  <si>
    <t xml:space="preserve">Máy khoan hầm tự hành, động cơ diezel -đk khoan 45 (2 cần - 147CV) </t>
  </si>
  <si>
    <t xml:space="preserve"> F 45 (3 cần - 255 CV)</t>
  </si>
  <si>
    <t>Máy khoan hầm tự hành, động cơ diezel -đk khoan 45 (3 cần - 255CV) (máy khoan Robbin)</t>
  </si>
  <si>
    <t xml:space="preserve">Máy khoan néo - độ sâu khoan: </t>
  </si>
  <si>
    <t>H [ 3,5 m (80 CV)</t>
  </si>
  <si>
    <t>Máy khoan ngược (toàn tiết diện), đường kính khoan:</t>
  </si>
  <si>
    <t xml:space="preserve"> F 2,40 m (250 kW)</t>
  </si>
  <si>
    <t xml:space="preserve">Tổ hợp dàn khoan leo, công suất: </t>
  </si>
  <si>
    <t xml:space="preserve"> 9,0kW</t>
  </si>
  <si>
    <t>Tổ hợp dàn khoan leo, công suất 9kW</t>
  </si>
  <si>
    <t>Máy khoan giếng khai thác nước ngầm, khoan đập cáp - công suất:</t>
  </si>
  <si>
    <t xml:space="preserve"> 40 kW </t>
  </si>
  <si>
    <t>Máy khoan đập cáp - cống suất 40kW</t>
  </si>
  <si>
    <t xml:space="preserve">Máy khoan giếng khai thác nước ngầm, khoan xoay - công suất: </t>
  </si>
  <si>
    <t xml:space="preserve"> 54 CV</t>
  </si>
  <si>
    <t>Máy khoan xoay - công suất 54CV</t>
  </si>
  <si>
    <t xml:space="preserve"> 300 CV</t>
  </si>
  <si>
    <t>Máy khoan xoay - công suất 300CV</t>
  </si>
  <si>
    <t>Búa diezel ,tự hành, bánh xích - trọng lượng đầu búa:</t>
  </si>
  <si>
    <t xml:space="preserve"> 0,6 T</t>
  </si>
  <si>
    <t xml:space="preserve"> 1,2 T</t>
  </si>
  <si>
    <t xml:space="preserve"> 1,8 T</t>
  </si>
  <si>
    <t>Búa diezel tự hành bánh xích - trọng lượng đầu búa 1,8T</t>
  </si>
  <si>
    <t>Máy đóng cọc tự hành 1.8T</t>
  </si>
  <si>
    <t xml:space="preserve"> 4,5 T</t>
  </si>
  <si>
    <t>Búa diezel chạy trên ray - trọng lượng đầu búa:</t>
  </si>
  <si>
    <t>1,2 T</t>
  </si>
  <si>
    <t>Búa diezel chạy trên ray - trọng lượng đầu búa 1,2T</t>
  </si>
  <si>
    <t>1,8 T</t>
  </si>
  <si>
    <t>Búa diezel chạy trên ray - trọng lượng đầu búa 1,8T</t>
  </si>
  <si>
    <t>2,2 T</t>
  </si>
  <si>
    <t>Búa diezel chạy trên ray - trọng lượng đầu búa 2,5T</t>
  </si>
  <si>
    <t>Búa diezel chạy trên ray - trọng lượng đầu búa 3,5T</t>
  </si>
  <si>
    <t>Máy đóng cọc 3.5T</t>
  </si>
  <si>
    <t>4,5 T</t>
  </si>
  <si>
    <t>5,5 T</t>
  </si>
  <si>
    <t xml:space="preserve">Búa rung cọc cát, tự hành, bánh xích - công suất: </t>
  </si>
  <si>
    <t>Búa rung cọc cát, tự hành bánh xích - công suất 60kW</t>
  </si>
  <si>
    <t>Búa rung cọc cát 60kW</t>
  </si>
  <si>
    <t>Búa rung - công suất:</t>
  </si>
  <si>
    <t>Búa rung - công suất 40kW</t>
  </si>
  <si>
    <t>Búa rung 40kW</t>
  </si>
  <si>
    <t>170,0 kW</t>
  </si>
  <si>
    <t>Búa rung - công suất 170kW</t>
  </si>
  <si>
    <t>Búa rung 170kW</t>
  </si>
  <si>
    <t>Búa đóng cọc nổi (cả sà lan và máy phụ trợ) - trọng lượng búa:</t>
  </si>
  <si>
    <t xml:space="preserve"> [ 3,5 T</t>
  </si>
  <si>
    <t>Búa đóng cọc nổi (cả sà lan và máy phụ trợ) - trọng lượng búa &lt;= 3,5T</t>
  </si>
  <si>
    <t>Tàu đóng cọc &lt;=3.5T</t>
  </si>
  <si>
    <t>Tàu đóng cọc C 96-búa thuỷ lực, trọng lượng đầu búa:</t>
  </si>
  <si>
    <t>7,5 T</t>
  </si>
  <si>
    <t>Tàu đóng cọc C96 - búa thủy lực, trọng luợng đầu búa 7,5T</t>
  </si>
  <si>
    <t>Tàu đóng cọc C96 - búa thủy lực 7.5T</t>
  </si>
  <si>
    <t xml:space="preserve">Máy ép cọc trước - lực ép: </t>
  </si>
  <si>
    <t>100 T</t>
  </si>
  <si>
    <t>150 T</t>
  </si>
  <si>
    <t>Máy ép cọc trước - lực ép 150T</t>
  </si>
  <si>
    <t>Máy ép cọc trước 150T</t>
  </si>
  <si>
    <t>200 T</t>
  </si>
  <si>
    <t>Máy ép cọc trước - lực ép 200T</t>
  </si>
  <si>
    <t>Máy ép cọc trước 200T</t>
  </si>
  <si>
    <t>Máy ép cọc sau</t>
  </si>
  <si>
    <t>Máy cắm bấc thấm</t>
  </si>
  <si>
    <t>Máy khoan cọc nhồi:</t>
  </si>
  <si>
    <t>Búa khoan VRM 1500/800HD</t>
  </si>
  <si>
    <t>Máy khoan cọc nhồi - Búa khoan VRM 1500/800HD</t>
  </si>
  <si>
    <t>Máy khoan cọc nhồi VRM HD</t>
  </si>
  <si>
    <t>Bộ thiết bị khoan nhồi TRC-15</t>
  </si>
  <si>
    <t>Máy khoan cọc nhồi TRC-15</t>
  </si>
  <si>
    <t>Máy khoan cọc nhồi GPS 15</t>
  </si>
  <si>
    <t>Máy khoan cọc nhồi GPS-15</t>
  </si>
  <si>
    <t>Máy khoan cọc nhồi QJ 250</t>
  </si>
  <si>
    <t>Máy khoan cọc nhồi VRM 2000</t>
  </si>
  <si>
    <t>Máy trộn dung dịch khoan - dung tích:</t>
  </si>
  <si>
    <t>[ 750 lít</t>
  </si>
  <si>
    <t>Máy trộn dung dịch khoan - dung tích &lt;= 750 lít</t>
  </si>
  <si>
    <t>Máy trộn dung dịch</t>
  </si>
  <si>
    <t xml:space="preserve">1000 lít </t>
  </si>
  <si>
    <t xml:space="preserve">Máy sàng lọc Bentonit BE100 - năng suất: </t>
  </si>
  <si>
    <t>100 m3/h</t>
  </si>
  <si>
    <t>Máy sàng lọc Bentonit BE100 - năng suất 100m3/h</t>
  </si>
  <si>
    <t>Máy sàng rung</t>
  </si>
  <si>
    <t xml:space="preserve">Sà lan công trình - trọng tải: </t>
  </si>
  <si>
    <t>200,0 T</t>
  </si>
  <si>
    <t>Sà lan công trình - trọng tải 200T</t>
  </si>
  <si>
    <t>250,0 T</t>
  </si>
  <si>
    <t>Sà lan công trình - trọng tải 250T</t>
  </si>
  <si>
    <t>Sà lan 250T</t>
  </si>
  <si>
    <t>300,0 T</t>
  </si>
  <si>
    <t>Sà lan công trình - trọng tải 300T</t>
  </si>
  <si>
    <t>Sà lan 300T</t>
  </si>
  <si>
    <t>400,0 T</t>
  </si>
  <si>
    <t>Sà lan công trình - trọng tải 400T</t>
  </si>
  <si>
    <t>600,0 T</t>
  </si>
  <si>
    <t>Sà lan công trình - trọng tải 600T</t>
  </si>
  <si>
    <t>Sà lan 600T</t>
  </si>
  <si>
    <t>800,0 T</t>
  </si>
  <si>
    <t>Sà lan công trình - trọng tải 800T</t>
  </si>
  <si>
    <t>1000,0 T</t>
  </si>
  <si>
    <t>Phà chuyên dùng, trọng tải:</t>
  </si>
  <si>
    <t>Phao thép, trọng tải:</t>
  </si>
  <si>
    <t>15 T</t>
  </si>
  <si>
    <t>Phao thép - trọng tải 60T</t>
  </si>
  <si>
    <t>Phao thép - trọng tải 200T</t>
  </si>
  <si>
    <t>Ca nô - công suất:</t>
  </si>
  <si>
    <t>15 CV</t>
  </si>
  <si>
    <t>23 CV</t>
  </si>
  <si>
    <t>Ca nô - công suất 23CV</t>
  </si>
  <si>
    <t>Canô 23CV</t>
  </si>
  <si>
    <t>30 CV</t>
  </si>
  <si>
    <t>Ca nô - công suất 30CV</t>
  </si>
  <si>
    <t>Canô 30CV</t>
  </si>
  <si>
    <t>55 CV</t>
  </si>
  <si>
    <t>Ca nô - công suất 55CV</t>
  </si>
  <si>
    <t>Canô 55CV</t>
  </si>
  <si>
    <t>75 CV</t>
  </si>
  <si>
    <t>Ca nô - công suất 75CV</t>
  </si>
  <si>
    <t>Canô 75CV</t>
  </si>
  <si>
    <t>90 CV</t>
  </si>
  <si>
    <t>120 CV</t>
  </si>
  <si>
    <t>Ca nô - công suất 120CV</t>
  </si>
  <si>
    <t>Canô 120CV</t>
  </si>
  <si>
    <t>Tầu kéo và phục vụ thi công thuỷ (làm neo, cấp dầu,...) - công suất:</t>
  </si>
  <si>
    <t>Tàu kéo và phục vụ thi công thủy (làm neo, cấp dầu …) - công suất 75CV</t>
  </si>
  <si>
    <t>150 CV</t>
  </si>
  <si>
    <t>Tàu kéo và phục vụ thi công thủy (làm neo, cấp dầu …) - công suất 150CV</t>
  </si>
  <si>
    <t>Tàu kéo 150CV</t>
  </si>
  <si>
    <t>360 CV</t>
  </si>
  <si>
    <t>Tàu kéo và phục vụ thi công thủy (làm neo, cấp dầu …) - công suất 360CV</t>
  </si>
  <si>
    <t>Tàu kéo 360CV</t>
  </si>
  <si>
    <t>600 CV</t>
  </si>
  <si>
    <t>Tàu kéo và phục vụ thi công thủy (làm neo, cấp dầu …) - công suất 600CV</t>
  </si>
  <si>
    <t>Tàu kéo 600CV</t>
  </si>
  <si>
    <t>1200 CV (tầu kéo biển)</t>
  </si>
  <si>
    <t>Tàu kéo và phục vụ thi công thủy (làm neo, cấp dầu …) - công suất 1200CV</t>
  </si>
  <si>
    <t>Tàu kéo 1200CV</t>
  </si>
  <si>
    <t>Xe nâng - chiều cao nâng:</t>
  </si>
  <si>
    <t>12 m</t>
  </si>
  <si>
    <t>18 m</t>
  </si>
  <si>
    <t>24 m</t>
  </si>
  <si>
    <t xml:space="preserve">Xe thang - chiều dài thang: </t>
  </si>
  <si>
    <t>9 m</t>
  </si>
  <si>
    <t>Bộ phao thả kè - Loại trọng tải, cự ly:</t>
  </si>
  <si>
    <t>95 TL [ 30 m</t>
  </si>
  <si>
    <t>137 T - 30 &lt; L [70 m</t>
  </si>
  <si>
    <t>190 T -L &gt; 70 m</t>
  </si>
  <si>
    <t>Tàu cuốc sông- công suất:</t>
  </si>
  <si>
    <t>495 CV</t>
  </si>
  <si>
    <t>Tàu cuốc sông - công suất 495CV</t>
  </si>
  <si>
    <t>Tàu cuốc biển - công suất:</t>
  </si>
  <si>
    <t>2085 CV</t>
  </si>
  <si>
    <t>Tàu cuốc biển - công suất 2085CV</t>
  </si>
  <si>
    <t>Tàu hút bùn- công suất:</t>
  </si>
  <si>
    <t>300 CV</t>
  </si>
  <si>
    <t>585 CV</t>
  </si>
  <si>
    <t>Tàu hút bùn - công suất 585CV</t>
  </si>
  <si>
    <t>900 CV</t>
  </si>
  <si>
    <t>1200 CV</t>
  </si>
  <si>
    <t>Tàu hút bùn - công suất 1200CV</t>
  </si>
  <si>
    <t>4170 CV</t>
  </si>
  <si>
    <t>Tàu hút bùn - công suất 4170CV</t>
  </si>
  <si>
    <t xml:space="preserve">Tàu hút bụng tự hành - công suất: </t>
  </si>
  <si>
    <t>1390 CV</t>
  </si>
  <si>
    <t>Tàu hút bụng tự hành - công suất 1390CV</t>
  </si>
  <si>
    <t>5945 CV</t>
  </si>
  <si>
    <t>Tàu hút bụng tự hành - công suất 5945CV</t>
  </si>
  <si>
    <t>Tầu ngoạm (có tính năng phá đá ngầm), công suất 3170 CV - dung tích gầu:</t>
  </si>
  <si>
    <t>17,00 m3</t>
  </si>
  <si>
    <t>Tàu ngoạm (có tính năng phá đá ngầm), công suất 3170CV - dung tích gầu 17m3</t>
  </si>
  <si>
    <t>Xáng cạp - dung tích gầu:</t>
  </si>
  <si>
    <t>0,65m3</t>
  </si>
  <si>
    <t>1,00m3</t>
  </si>
  <si>
    <t>1,25m3</t>
  </si>
  <si>
    <t>Xáng cạp - dung tích gầu 1,25m3</t>
  </si>
  <si>
    <t>Xáng cạp 1.25m3</t>
  </si>
  <si>
    <t>Máy đào gầu ngoạm (gầu dây) -dung tích gầu:</t>
  </si>
  <si>
    <t>Máy đào gầu ngoạm (gầu dây) - dung tích gầu 0,4m3</t>
  </si>
  <si>
    <t>Máy đào gầu ngoặm 0.4m3</t>
  </si>
  <si>
    <t>Máy đào gầu ngoạm (gầu dây) - dung tích gầu 0,65m3</t>
  </si>
  <si>
    <t>Máy đào gầu ngoặm 0.65m3</t>
  </si>
  <si>
    <t>Máy đào gầu ngoạm (gầu dây) - dung tích gầu 1m3</t>
  </si>
  <si>
    <t>Máy xúc gầu dây 1m3</t>
  </si>
  <si>
    <t>Máy đào gầu ngoạm (gầu dây) - dung tích gầu 1,2m3</t>
  </si>
  <si>
    <t>Máy đào gầu ngoặm 1.2m3</t>
  </si>
  <si>
    <t>Máy đào gầu ngoạm (gầu dây) - dung tích gầu 1,6m3</t>
  </si>
  <si>
    <t>Máy xúc 1.6m3</t>
  </si>
  <si>
    <t>Máy đào gầu ngoạm (gầu dây) - dung tích gầu 2,3m3</t>
  </si>
  <si>
    <t xml:space="preserve"> 0,60 m3</t>
  </si>
  <si>
    <t>Gầu đào (thi công móng cọc, tường Barrette)</t>
  </si>
  <si>
    <t>Gầu đào (thi công móng cọc, tường barette)</t>
  </si>
  <si>
    <t>Gầu đào 125CV</t>
  </si>
  <si>
    <t xml:space="preserve"> 9,0 T </t>
  </si>
  <si>
    <t>Đầm bánh hơi tự hành - trọng lượng 9T</t>
  </si>
  <si>
    <t>3,0 T - H nâng 100 m</t>
  </si>
  <si>
    <t>Máy vận thăng lồng - sức nâng:</t>
  </si>
  <si>
    <t>Máy vận thăng lồng - sức nâng 3T - H nâng 100m</t>
  </si>
  <si>
    <t>Vận thăng lồng 3T</t>
  </si>
  <si>
    <t>Tời điện - sức kéo 3,5T</t>
  </si>
  <si>
    <t>Pa lăng xích - sức nâng:</t>
  </si>
  <si>
    <t>Palăng xích - sức nâng 3T</t>
  </si>
  <si>
    <t>Palăng xích 3T</t>
  </si>
  <si>
    <t>Palăng xích - sức nâng 5T</t>
  </si>
  <si>
    <t>Palăng xích 5T</t>
  </si>
  <si>
    <t>Kích nâng - sức nâng (T):</t>
  </si>
  <si>
    <t>Bộ thiết bị trượt (60 kích loại 6T)</t>
  </si>
  <si>
    <t>Bộ kích 10 T (6 kích 10 T)</t>
  </si>
  <si>
    <t>Bộ kích lắp dựng tháo dỡ ván khuôn 50T</t>
  </si>
  <si>
    <t>Bộ kích lắp dựng tháo dỡ ván khuôn 60T</t>
  </si>
  <si>
    <t>Kích nâng - 10 T</t>
  </si>
  <si>
    <t>Bộ kích 10T</t>
  </si>
  <si>
    <t>Kích nâng - 30T</t>
  </si>
  <si>
    <t>Kích -sức nâng 30T</t>
  </si>
  <si>
    <t>Kích 50T</t>
  </si>
  <si>
    <t>Kích nâng - 50T</t>
  </si>
  <si>
    <t>Kích nâng - 100T</t>
  </si>
  <si>
    <t>Kích nâng - 200T</t>
  </si>
  <si>
    <t>Kích nâng - 250T</t>
  </si>
  <si>
    <t>Kích -sức nâng 250T</t>
  </si>
  <si>
    <t>Kích nâng - 500T</t>
  </si>
  <si>
    <t>Kích -sức nâng 500T</t>
  </si>
  <si>
    <t>16,0m3/h</t>
  </si>
  <si>
    <t>Trạm trộn bêtông - năng suất 16m3/h</t>
  </si>
  <si>
    <t>Trạm trộn bêtông 16m3/h</t>
  </si>
  <si>
    <t>160,0m3/h</t>
  </si>
  <si>
    <t>Trạm trộn bêtông - năng suất 160m3/h</t>
  </si>
  <si>
    <t>Trạm trộn bêtông 160m3/h</t>
  </si>
  <si>
    <t>Máy rải hỗn hợp bê tông nhựa - công suất:</t>
  </si>
  <si>
    <t>130 CV đến 140 CV</t>
  </si>
  <si>
    <t>Máy rải hỗn hợp bêtông nhựa - công suất 130-140CV</t>
  </si>
  <si>
    <t>Máy rải 130-140CV</t>
  </si>
  <si>
    <t>Máy rải cấp phối đá dăm - năng suất:</t>
  </si>
  <si>
    <t>60 m3/h</t>
  </si>
  <si>
    <t>Máy rải cấp phối đá dăm - năng suất 50-60m3/h</t>
  </si>
  <si>
    <t>Thiết bị đun rót mastic</t>
  </si>
  <si>
    <t>Thiết bị đun rót (mastic)</t>
  </si>
  <si>
    <t>Thiết bị đun rót</t>
  </si>
  <si>
    <t>2,5 kW</t>
  </si>
  <si>
    <t>Máy khoan đứng - công suất 2,5kW</t>
  </si>
  <si>
    <t>Máy khoan 2.5kW</t>
  </si>
  <si>
    <t xml:space="preserve">1,7 kW </t>
  </si>
  <si>
    <t xml:space="preserve">7,50 kW </t>
  </si>
  <si>
    <t>Máy cắt bêtông (cắt khe) - công suất 7,5kW</t>
  </si>
  <si>
    <t>Máy cắt bêtông 7.5kW</t>
  </si>
  <si>
    <t>Máy cắt thép Plaxma</t>
  </si>
  <si>
    <t>Máy cắt thép plasma</t>
  </si>
  <si>
    <t xml:space="preserve">Máy lốc tôn - công suất: </t>
  </si>
  <si>
    <t>Máy lốc tôn - công suất 5kW</t>
  </si>
  <si>
    <t>2,7 kW</t>
  </si>
  <si>
    <t>Máy cưa kim loại - công suất 2,7kW</t>
  </si>
  <si>
    <t>Máy cưa kim loại 2.7kW</t>
  </si>
  <si>
    <t>10, kW</t>
  </si>
  <si>
    <t>Máy tiện - công suất 10kW</t>
  </si>
  <si>
    <t>Máy bào thép - công suất:</t>
  </si>
  <si>
    <t>7,5 kW</t>
  </si>
  <si>
    <t>Máy bào thép - công suất 7,5kW</t>
  </si>
  <si>
    <t>Máy bào</t>
  </si>
  <si>
    <t>Máy phay - công suất:</t>
  </si>
  <si>
    <t>Máy phay - công suất 7kW</t>
  </si>
  <si>
    <t>Máy phay 7kW</t>
  </si>
  <si>
    <t>Máy ghép mí - công suất:</t>
  </si>
  <si>
    <t xml:space="preserve">1,1 kW </t>
  </si>
  <si>
    <t>Máy ghép mí - công suất 1.1kW</t>
  </si>
  <si>
    <t>Máy cắt cáp - công suất:</t>
  </si>
  <si>
    <t>Máy cắt cáp - công suất 10kW</t>
  </si>
  <si>
    <t>Máy cắt cáp 10KW</t>
  </si>
  <si>
    <t>Máy phát điện</t>
  </si>
  <si>
    <t>Máy phát điện 2,5-3kw</t>
  </si>
  <si>
    <t>Biến thế hàn - công suất:</t>
  </si>
  <si>
    <t xml:space="preserve"> 7,5KW</t>
  </si>
  <si>
    <t>Máy và thiết bị khoan đặt đường cáp ngầm:</t>
  </si>
  <si>
    <t xml:space="preserve"> Máy khoan ngầm có định hướng</t>
  </si>
  <si>
    <t>Máy khoan ngầm có định hướng</t>
  </si>
  <si>
    <t xml:space="preserve"> Hệ thống STS (phục vụ khoan ngầm có định hướng khi khoan qua sông nước)</t>
  </si>
  <si>
    <t>Hệ thống STS (phục vụ khoan ngầm có định hướng)</t>
  </si>
  <si>
    <t>Hệ thống STS</t>
  </si>
  <si>
    <t>Máy khoan đặt đường ống ngầm:</t>
  </si>
  <si>
    <t>Bộ thiết bị khoan đặt đường ống ngầm đường kính ống ngầm &lt;=600 mm</t>
  </si>
  <si>
    <t>Máy khoan ngang UĐB-4</t>
  </si>
  <si>
    <t>Máy khoan ngang UĐB4</t>
  </si>
  <si>
    <t>Máy khoan tạo lỗ neo gia cố mái ta luy:</t>
  </si>
  <si>
    <t>Máy khoan YG 60</t>
  </si>
  <si>
    <t>Máy khoan tạo lỗ neo gia cố mái taluy YG60</t>
  </si>
  <si>
    <t>Máy ép thuỷ lực (KGK-130C4) - lực ép:</t>
  </si>
  <si>
    <t>Máy ép thủy lực (KGK - 130C4) - lực ép 130T</t>
  </si>
  <si>
    <t>Máy ép thủy lực 130T</t>
  </si>
  <si>
    <t>130 T</t>
  </si>
  <si>
    <t>Búa đóng cọc nổi (cả xà lan và máy phụ trợ) - trọng lượng búa:</t>
  </si>
  <si>
    <t>&lt;= 1,8 T</t>
  </si>
  <si>
    <t>Búa đóng cọc nổi (cả sà lan và máy phụ trợ) - trọng lượng búa &lt;= 1,8T</t>
  </si>
  <si>
    <t>Tàu đóng cọc &lt;=1.8T</t>
  </si>
  <si>
    <t xml:space="preserve"> &lt;= 2,5 T</t>
  </si>
  <si>
    <t>Búa đóng cọc nổi (cả sà lan và máy phụ trợ) - trọng lượng búa &lt;= 2,5T</t>
  </si>
  <si>
    <t>Tàu đóng cọc &lt;=2.5T</t>
  </si>
  <si>
    <t xml:space="preserve"> Máy khoan cọc nhồi ED</t>
  </si>
  <si>
    <t xml:space="preserve"> Máy khoan có mô men xoay &gt;200 kNm</t>
  </si>
  <si>
    <t>Máy khoan có mômen xoay &gt; 200KNm</t>
  </si>
  <si>
    <t>Phao thép - trọng tải 250T</t>
  </si>
  <si>
    <t>Ca nô - công suất 150CV</t>
  </si>
  <si>
    <t>Canô 150CV</t>
  </si>
  <si>
    <t xml:space="preserve">Tàu công tác sông - công suất: </t>
  </si>
  <si>
    <t>12 CV</t>
  </si>
  <si>
    <t>25 CV</t>
  </si>
  <si>
    <t>33 CV</t>
  </si>
  <si>
    <t>50 CV</t>
  </si>
  <si>
    <t>Xuồng cao tốc - công suất:</t>
  </si>
  <si>
    <t>225 CV</t>
  </si>
  <si>
    <t>Xuồng vớt rác - công suất:</t>
  </si>
  <si>
    <t>4 CV</t>
  </si>
  <si>
    <t>24 CV</t>
  </si>
  <si>
    <t>Thiết bị lặn</t>
  </si>
  <si>
    <t>Trạm lặn</t>
  </si>
  <si>
    <t>Máy quạt gió - công suất:</t>
  </si>
  <si>
    <t>Máy quạt gió - công suất 2.5kW</t>
  </si>
  <si>
    <t>4,5 kW (CBM - 5)</t>
  </si>
  <si>
    <t>Ô tô bán tải - trọng tải:</t>
  </si>
  <si>
    <t>16 m3</t>
  </si>
  <si>
    <t>Xe bồn hút bùn, hút mùn khoan, dung tích:</t>
  </si>
  <si>
    <t>2,0 m3 (3 T)</t>
  </si>
  <si>
    <t>3,0 m3 (4.5 T)</t>
  </si>
  <si>
    <t>Xe bồn hút bùn, hút mùn khoan 3m3 (4.5T)</t>
  </si>
  <si>
    <t>Xe ép rác - trọng tải:</t>
  </si>
  <si>
    <t>Xe ép rác kín (xe hooklip)</t>
  </si>
  <si>
    <t>Xe tải thùng kín - tải trọng 1,5 tấn</t>
  </si>
  <si>
    <t xml:space="preserve">Xe nhặt xác </t>
  </si>
  <si>
    <t>Máy nối ống nhựa:</t>
  </si>
  <si>
    <t>Máy hàn nhiệt</t>
  </si>
  <si>
    <t>Máy hàn nhiệt (máy nối ống)</t>
  </si>
  <si>
    <t>Máy đặt đường ống:</t>
  </si>
  <si>
    <t xml:space="preserve"> Cần trục TO-12-24 - sức nâng: 15 T</t>
  </si>
  <si>
    <t xml:space="preserve"> Tời kéo ống trên xe xích - sức kéo: 7,5 T</t>
  </si>
  <si>
    <t>Máy bơm rửa đường ống - công suất:</t>
  </si>
  <si>
    <t xml:space="preserve">300 CV (AH-151) </t>
  </si>
  <si>
    <t>280 CV (A-206)</t>
  </si>
  <si>
    <t>90 CV (AH-2)</t>
  </si>
  <si>
    <t>Máy kiểm tra mối hàn đường ống:</t>
  </si>
  <si>
    <t>Máy hút chân không thử đường hàn</t>
  </si>
  <si>
    <t>Máy siêu âm kiểm tra mối hàn đường ống</t>
  </si>
  <si>
    <t>Vi kế đo áp lực đường ống</t>
  </si>
  <si>
    <t>Vi áp kế đo áp lực đường ống</t>
  </si>
  <si>
    <t>Máy nén thử đường ống - công suất:</t>
  </si>
  <si>
    <t>170 Cv (lắp trên xe ZIL - 130)</t>
  </si>
  <si>
    <t>75 CV (AHO-201)</t>
  </si>
  <si>
    <t>Lò đốt rác y tế bằng gaz (chưa tính gaz) - công suất:</t>
  </si>
  <si>
    <t>7 Tấn/ngày</t>
  </si>
  <si>
    <t>Máy - thiết bị khoan và thăm dò khảo sát:</t>
  </si>
  <si>
    <t>Bộ khoan tay</t>
  </si>
  <si>
    <t>Bộ máy khoan cby-150-zub</t>
  </si>
  <si>
    <t>Bộ nén ngang GA</t>
  </si>
  <si>
    <t>Búa căn MO - 10 (chưa tính khí nén)</t>
  </si>
  <si>
    <t>Búa khoan tay P30 (2,02 kW)</t>
  </si>
  <si>
    <t xml:space="preserve">Thùng trục 0,5 m3 </t>
  </si>
  <si>
    <t>Máy khoan F-60L</t>
  </si>
  <si>
    <t>Máy xuyên động RA-50</t>
  </si>
  <si>
    <t>Bộ dụng cụ đo độ xuyên động hình côn DCP</t>
  </si>
  <si>
    <t>Máy xuyên tĩnh Gouda</t>
  </si>
  <si>
    <t>Thiết bị đo ngẫu lực</t>
  </si>
  <si>
    <t>Bộ dụng cụ thí nghiệm SPT</t>
  </si>
  <si>
    <t xml:space="preserve"> Biến thế thắp sáng</t>
  </si>
  <si>
    <t>Máy bơm nước:</t>
  </si>
  <si>
    <t xml:space="preserve"> Máy bơm b48 (0,46 kW)</t>
  </si>
  <si>
    <t xml:space="preserve"> Máy bơm xói 4MC (75 kW)</t>
  </si>
  <si>
    <t>Máy bơm xói 4MC (75kW)</t>
  </si>
  <si>
    <t>Máy bơm xói 4MC</t>
  </si>
  <si>
    <t xml:space="preserve"> Máy bơm 250/50, b100 (25 CV)</t>
  </si>
  <si>
    <t xml:space="preserve"> Máy bơm áp lực xói nước đầu cọc (300 CV)</t>
  </si>
  <si>
    <t>Máy bơm áp lực xói nước đầu cọc (300CV)</t>
  </si>
  <si>
    <t>Máy nén khí hút nước thí nghiệm, thổi rửa lỗ khoan:</t>
  </si>
  <si>
    <t>Máy nén khí DK9</t>
  </si>
  <si>
    <t>Máy nén khí 660 m3/h</t>
  </si>
  <si>
    <t>Máy nén khí 1260 m3/h</t>
  </si>
  <si>
    <t>Máy thăm dò địa vật lý:</t>
  </si>
  <si>
    <t>Máy UJ-18</t>
  </si>
  <si>
    <t>Máy MF-2-100</t>
  </si>
  <si>
    <t>Máy, thiết bị trắc đạc:</t>
  </si>
  <si>
    <t>Theo 020</t>
  </si>
  <si>
    <t>Theo 010</t>
  </si>
  <si>
    <t>Đitomát</t>
  </si>
  <si>
    <t>Ni 030</t>
  </si>
  <si>
    <t>Ni 004</t>
  </si>
  <si>
    <t>Dalta 020</t>
  </si>
  <si>
    <t>Bộ đo Mia bala</t>
  </si>
  <si>
    <t>Máy thuỷ bình NA 720</t>
  </si>
  <si>
    <t>Máy toàn đạc điện tử</t>
  </si>
  <si>
    <t>Máy trắc đạc (toàn đạc điện tử)</t>
  </si>
  <si>
    <t>Bộ thiết bị không chế mặt bằng GPS (3 máy)</t>
  </si>
  <si>
    <t>Xe chuyên dùng (Pajero)</t>
  </si>
  <si>
    <t>Máy, thiết bị quang học:</t>
  </si>
  <si>
    <t>ống nhòm</t>
  </si>
  <si>
    <t>Kính hiển vi</t>
  </si>
  <si>
    <t>Kính hiển vi điện tử quét</t>
  </si>
  <si>
    <t>Máy ảnh</t>
  </si>
  <si>
    <t>Máy, thiết bị kiểm tra nền, mặt đường bộ:</t>
  </si>
  <si>
    <t>Cần Belkenman</t>
  </si>
  <si>
    <t>Thiết bị đếm phóng xạ</t>
  </si>
  <si>
    <t>TRL Profile Beam</t>
  </si>
  <si>
    <t>Máy FWD</t>
  </si>
  <si>
    <t>Thiết bị đo phản ứng Romdas</t>
  </si>
  <si>
    <t>Thiết bị kiểm tra chất lượng cọc khoan nhồi:</t>
  </si>
  <si>
    <t>Bộ thiết bị PIT (đo biến dạng nhỏ)</t>
  </si>
  <si>
    <t>Bộ thiết bị đo PDA (đo biến dạng lớn)</t>
  </si>
  <si>
    <t>Bộ thiết bị siêu âm</t>
  </si>
  <si>
    <t>Máy, thiết bị thăm dò địa chấn:</t>
  </si>
  <si>
    <t>Loại 1 mạch (ES-125)</t>
  </si>
  <si>
    <t>Loại 12 mạch (Triosx-12)</t>
  </si>
  <si>
    <t>Loại 24 mạch (Triosx-24)</t>
  </si>
  <si>
    <t>Máy, thiết bị đo lường, thí nghiệm:</t>
  </si>
  <si>
    <t>Cân điện tử</t>
  </si>
  <si>
    <t>Cân phân tích</t>
  </si>
  <si>
    <t>Cân bàn</t>
  </si>
  <si>
    <t>Cân thuỷ tĩnh</t>
  </si>
  <si>
    <t>Lò nung</t>
  </si>
  <si>
    <t>Tủ sấy</t>
  </si>
  <si>
    <t>Tủ hút độc</t>
  </si>
  <si>
    <t>Tủ lạnh</t>
  </si>
  <si>
    <t>Máy hút chân không</t>
  </si>
  <si>
    <t>Máy hút ẩm OASIS-America</t>
  </si>
  <si>
    <t>Bếp điện (0,6 kW)</t>
  </si>
  <si>
    <t>Bếp cát</t>
  </si>
  <si>
    <t>Máy chưng cất nước</t>
  </si>
  <si>
    <t>Máy trộn đất</t>
  </si>
  <si>
    <t>Máy trộn xi măng, dung</t>
  </si>
  <si>
    <t>Máy trộn dung dịch lỏng (máy đo độ rung vữa)</t>
  </si>
  <si>
    <t>Máy đầm tiêu chuẩn (đầm rung)</t>
  </si>
  <si>
    <t>Máy cắt đất</t>
  </si>
  <si>
    <t>Máy cắt mẫu lớn (30x30)cm</t>
  </si>
  <si>
    <t>Máy cắt ứng biến</t>
  </si>
  <si>
    <t>Máy ép 3 trục</t>
  </si>
  <si>
    <t>Máy ép litvinốp</t>
  </si>
  <si>
    <t>Kích tháo mẫu</t>
  </si>
  <si>
    <t>Máy ép mẫu đá, bê tông</t>
  </si>
  <si>
    <t>Máy cắt mẫu vật liệu (bê tông, gạch, đá)</t>
  </si>
  <si>
    <t>Máy khoan mẫu đá</t>
  </si>
  <si>
    <t>Máy mài thử độ mài mòn</t>
  </si>
  <si>
    <t xml:space="preserve">Máy nén một trục </t>
  </si>
  <si>
    <t>Máy nén Marshall</t>
  </si>
  <si>
    <t>Máy CBR</t>
  </si>
  <si>
    <t>Máy thí nghiệm thuỷ lực quay tay</t>
  </si>
  <si>
    <t>Máy nén 4t quay tay</t>
  </si>
  <si>
    <t>Máy nén thuỷ lực 10t</t>
  </si>
  <si>
    <t>Máy nén thuỷ lực 50t</t>
  </si>
  <si>
    <t>Máy nén thuỷ lực 125t</t>
  </si>
  <si>
    <t>Máy kéo nén thuỷ lực 100t</t>
  </si>
  <si>
    <t>Máy kéo nén uốn thuỷ lực 25t</t>
  </si>
  <si>
    <t>Máy kéo nén uốn thuỷ lực 100t</t>
  </si>
  <si>
    <t>Máy gia tải 20t</t>
  </si>
  <si>
    <t>Máy caragrang (làm thí nghiệm chảy)</t>
  </si>
  <si>
    <t>Máy xác định hệ số thấm</t>
  </si>
  <si>
    <t>Máy đo PH</t>
  </si>
  <si>
    <t>Máy đo âm thanh</t>
  </si>
  <si>
    <t>Máy đo chiều dày màng sơn</t>
  </si>
  <si>
    <t>Máy đo điện thế thí nghiệm ăn mòn cốt thép trong bê tông</t>
  </si>
  <si>
    <t>Máy đo vết nứt</t>
  </si>
  <si>
    <t>Máy đo tốc độ ăn mòn cốt thép trong bê tông</t>
  </si>
  <si>
    <t>Máy đo độ thấm của Ion Clo</t>
  </si>
  <si>
    <t>Dụng cụ đo độ cháy của than</t>
  </si>
  <si>
    <t>Máy đo gia tốc</t>
  </si>
  <si>
    <t>Máy ghi nhiệt ổn định</t>
  </si>
  <si>
    <t>Máy đo chuyển vị</t>
  </si>
  <si>
    <t>Máy xác định môđun</t>
  </si>
  <si>
    <t>Máy so màu ngọn lửa</t>
  </si>
  <si>
    <t>Máy so màu quang điện</t>
  </si>
  <si>
    <t>Máy đo độ dãn dài Bitum</t>
  </si>
  <si>
    <t>Máy chiết nhựa (Xốc lét)</t>
  </si>
  <si>
    <t>Bộ thí nghiệm độ co ngót, trương nở</t>
  </si>
  <si>
    <t>Thiết bị thử tỷ diện</t>
  </si>
  <si>
    <t>Bàn dằn</t>
  </si>
  <si>
    <t>Bàn rung</t>
  </si>
  <si>
    <t>Máy khuấy bằng từ</t>
  </si>
  <si>
    <t>Máy khuấy cầm tay NAG-2</t>
  </si>
  <si>
    <t>Máy nghiền bi sứ LE1</t>
  </si>
  <si>
    <t>Máy phân tích hạt LAZER</t>
  </si>
  <si>
    <t>Máy phân tích vi nhiệt</t>
  </si>
  <si>
    <t>Tenxômét</t>
  </si>
  <si>
    <t>Máy đo độ giãn nở bê tông</t>
  </si>
  <si>
    <t>Máy đo hệ số dẫn nhiệt</t>
  </si>
  <si>
    <t>Máy nhiễu xạ Rơnghen (phân tích thành phần hoá lý của vật liệu)</t>
  </si>
  <si>
    <t>Cần ép mẫu thử gạch chịu lửa</t>
  </si>
  <si>
    <t>Côn thử độ sụt</t>
  </si>
  <si>
    <t>Dụng cụ xác định độ chịu lực va đập xung kích gạch lát xi măng (viên bi sắt)</t>
  </si>
  <si>
    <t>Dụng cụ xác định giới hạn bền liên kết</t>
  </si>
  <si>
    <t>Chén bạch kim</t>
  </si>
  <si>
    <t>Kẹp niken</t>
  </si>
  <si>
    <t>Máy siêu âm đo chiều dầy kim loại</t>
  </si>
  <si>
    <t>Máy dò vị trí cốt thép</t>
  </si>
  <si>
    <t>Máy siêu âm kiểm tra chất lượng mối hàn</t>
  </si>
  <si>
    <t>Máy siêu âm kiểm tra cường độ bê tông của cấu kiện bê tông, bê tông cốt thép tại hiện trường</t>
  </si>
  <si>
    <t>Súng bi</t>
  </si>
  <si>
    <t>Máy tính chuyên dùng:</t>
  </si>
  <si>
    <t xml:space="preserve">Máy scanner (khổ Ao) </t>
  </si>
  <si>
    <t>Máy vẽ plotter</t>
  </si>
  <si>
    <t>Máy vi tính</t>
  </si>
  <si>
    <t>Máy tính xách tay</t>
  </si>
  <si>
    <t>Phần máy thiết bị tham khảo :</t>
  </si>
  <si>
    <t>Bộ kích 10T (6 kích nâng - 10T)</t>
  </si>
  <si>
    <t>Máy cắt 3 trục</t>
  </si>
  <si>
    <t>Máy cắt nước</t>
  </si>
  <si>
    <t>Máy khoan phục vụ ép nước &amp; hút nước thí nghiệm trong lỗ khoan</t>
  </si>
  <si>
    <t>Máy bơm nước (phục vụ thí nghiệm ngoài trời)</t>
  </si>
  <si>
    <t>Máy khoan tạo lỗ (phục vụSPT)</t>
  </si>
  <si>
    <t>Cần trục bánh hơi sức nâng 6T</t>
  </si>
  <si>
    <t>Máy hàn 23KW</t>
  </si>
  <si>
    <t>Máy nén khí 300m3/h</t>
  </si>
  <si>
    <t>Máy đầm dùi 2.8KW</t>
  </si>
  <si>
    <t>Ôtô vận tải thùng 2.5T</t>
  </si>
  <si>
    <t>Máy nén khí 11m3/ph</t>
  </si>
  <si>
    <t>Máy bơm nước 7.0kW</t>
  </si>
  <si>
    <t>Trạm trộn BTN 30T/h</t>
  </si>
  <si>
    <t>Máy mài 1kw</t>
  </si>
  <si>
    <t>Canô 120cv</t>
  </si>
  <si>
    <t>Máy khoan đất đá &lt;=42mm động cơ điện</t>
  </si>
  <si>
    <t>Máy bơm nước 113kw</t>
  </si>
  <si>
    <t>Tàu kéo 75CV</t>
  </si>
  <si>
    <t>Ôtô vận tải thùng 4T</t>
  </si>
  <si>
    <t>Ôtô tự đổ 4T</t>
  </si>
  <si>
    <t>Máy cắt đột 2.8kw</t>
  </si>
  <si>
    <t>Máy mài 1Kw</t>
  </si>
  <si>
    <t>Phụ lục vữa</t>
  </si>
  <si>
    <t>Công bố Tỉnh</t>
  </si>
  <si>
    <t>Tham khảo</t>
  </si>
  <si>
    <t>ĐGCB</t>
  </si>
  <si>
    <t>ĐGTH</t>
  </si>
  <si>
    <t>DỰ ÁN ĐẦU TƯ XÂY DỰNG CẦU LONG BÌNH – CHREY THOM</t>
  </si>
  <si>
    <t>NỐI HAI TỈNH AN GIANG (VIỆT NAM) – TỈNH KANDAL (CAMPUCHIA)</t>
  </si>
  <si>
    <t>Hàng bậc 1 : than các loại; đất, cát, sỏi, gạch xây các loại; sắt thép; gỗ.</t>
  </si>
  <si>
    <t>Hàng bậc 2 : Ngói; xăng dầu, nhựa đường; đá các loại; gạch ốp, lát các loại.</t>
  </si>
  <si>
    <t>Hàng bậc 3 : Xi măng các loại; cột điện; ống nước</t>
  </si>
  <si>
    <t>vận chuyển đường sông</t>
  </si>
  <si>
    <t>công trình</t>
  </si>
  <si>
    <t xml:space="preserve">Tên </t>
  </si>
  <si>
    <t>Sông Hậu</t>
  </si>
  <si>
    <t>Tân Châu</t>
  </si>
  <si>
    <t>Nhà máy XM An Giang</t>
  </si>
  <si>
    <t>Long Xuyên</t>
  </si>
  <si>
    <t>Mỏ</t>
  </si>
  <si>
    <t>Mỏ cát xã Vĩnh Trường</t>
  </si>
  <si>
    <t>Giá ca máy hiện tại C2</t>
  </si>
  <si>
    <t>Chênh lệch nhân công C2 (HS=730/350)</t>
  </si>
  <si>
    <t>bù nhiên liệu</t>
  </si>
  <si>
    <t>Thành tiền
bù nhiên liệu</t>
  </si>
  <si>
    <t>TÊN VẬT TƯ</t>
  </si>
  <si>
    <t>ĐG</t>
  </si>
  <si>
    <t>Ximăng Holcim</t>
  </si>
  <si>
    <t>Báo giá C.ty DMC</t>
  </si>
  <si>
    <t>Ống nhựa D114</t>
  </si>
  <si>
    <t>Gia cố đầu mố</t>
  </si>
  <si>
    <t>ống</t>
  </si>
  <si>
    <t>Neo chủ động 27S 15.2mm</t>
  </si>
  <si>
    <t>Khe co giãn 24cm</t>
  </si>
  <si>
    <t>Đào đất</t>
  </si>
  <si>
    <t>Biển báo tam giác cạnh 0.87m</t>
  </si>
  <si>
    <t>Cọc tiêu</t>
  </si>
  <si>
    <t>Đá dăm đệm 1x2</t>
  </si>
  <si>
    <t>Đắp cát bằng đầm cóc K95</t>
  </si>
  <si>
    <t>Đào hố móng</t>
  </si>
  <si>
    <t xml:space="preserve">  A - Vật liệu</t>
  </si>
  <si>
    <t xml:space="preserve">  C - Máy thi công</t>
  </si>
  <si>
    <t>Vật liệu phụ</t>
  </si>
  <si>
    <t xml:space="preserve">Vật liệu phụ </t>
  </si>
  <si>
    <r>
      <t>m</t>
    </r>
    <r>
      <rPr>
        <vertAlign val="superscript"/>
        <sz val="10"/>
        <rFont val="Times New Roman"/>
        <family val="1"/>
      </rPr>
      <t>3</t>
    </r>
  </si>
  <si>
    <t xml:space="preserve">  B - Nhân công 3.5/7</t>
  </si>
  <si>
    <t xml:space="preserve">  B - Nhân công 3.0/7</t>
  </si>
  <si>
    <t xml:space="preserve">  B - Nhân công 4.0/7</t>
  </si>
  <si>
    <t xml:space="preserve">  B - Nhân công 4.5/7</t>
  </si>
  <si>
    <t xml:space="preserve">  B - Nhân công 3.7/7</t>
  </si>
  <si>
    <t xml:space="preserve">  B - Nhân công 2.7/7</t>
  </si>
  <si>
    <t xml:space="preserve">  B - Nhân công 5.0/7</t>
  </si>
  <si>
    <t xml:space="preserve">  B - Nhân công 4.3/7</t>
  </si>
  <si>
    <t xml:space="preserve">  B - Nhân công 3.3/7</t>
  </si>
  <si>
    <t xml:space="preserve">  B - Nhân công 2.5/7</t>
  </si>
  <si>
    <t xml:space="preserve">  B - Nhân công 3.2/7</t>
  </si>
  <si>
    <t>% KHÁC</t>
  </si>
  <si>
    <t xml:space="preserve">Lắp dựng ống vách cọc khoan nhồi trên cạn D&lt;=1500 </t>
  </si>
  <si>
    <t>Biển báo chữ nhật 2.4x1.5m</t>
  </si>
  <si>
    <t>ĐM77</t>
  </si>
  <si>
    <t>Lao lắp dầm Super-T bằng phương pháp đấu cẩu</t>
  </si>
  <si>
    <t>AI.11912</t>
  </si>
  <si>
    <t>AK.98120</t>
  </si>
  <si>
    <t>AK.98110</t>
  </si>
  <si>
    <t>AG.32122</t>
  </si>
  <si>
    <t>AE.11910</t>
  </si>
  <si>
    <t>Xây mặt bằng đá hộc C10</t>
  </si>
  <si>
    <t>BB.19108</t>
  </si>
  <si>
    <t>Lắp đặt ống nhựa PVC D100</t>
  </si>
  <si>
    <t>Ống nhựa D100</t>
  </si>
  <si>
    <t>Sản xuất thép ống/thép bản</t>
  </si>
  <si>
    <t>Lắp đặt neo chủ động 27S 15.2mm</t>
  </si>
  <si>
    <t>Lắp đặt neo chủ động 12S 15.2mm</t>
  </si>
  <si>
    <t>Lắp dựng ống thép xoắn tạo lỗ D110/117</t>
  </si>
  <si>
    <t>Ống thép luồn cáp D110/117</t>
  </si>
  <si>
    <t>Ống gen dẹp 20x75</t>
  </si>
  <si>
    <t>Lắp đặt gối cố định 4000T</t>
  </si>
  <si>
    <t>Bu lông D16mm</t>
  </si>
  <si>
    <t>Ống gang thoát nước D170/150</t>
  </si>
  <si>
    <t>Sản xuất hàng rào lưới thép (tạm tính khấu hao vật liệu chính 50%)</t>
  </si>
  <si>
    <t>AC.22000</t>
  </si>
  <si>
    <t>Chất tải khử lún hệ 1000 tấn</t>
  </si>
  <si>
    <t>Bê tông C40 ụ neo trên khối hợp long</t>
  </si>
  <si>
    <t>Vữa bê tông đá 1x2 C25 SN 6-8</t>
  </si>
  <si>
    <t>Cốt thép tường các loại</t>
  </si>
  <si>
    <t>Bu lông M10</t>
  </si>
  <si>
    <t>AF.61711</t>
  </si>
  <si>
    <t>Thép nẹp D10</t>
  </si>
  <si>
    <t>Bu lông M6</t>
  </si>
  <si>
    <t>Sử dụng cọc ván thép (KHVL=(1.17%/tháng*24 tháng +3.5%/đóng nhổ)</t>
  </si>
  <si>
    <t>Vữa xi măng C10</t>
  </si>
  <si>
    <t>Gỗ tẩm nhựa</t>
  </si>
  <si>
    <t>không tính</t>
  </si>
  <si>
    <t>III.3</t>
  </si>
  <si>
    <t>Đào đường cũ</t>
  </si>
  <si>
    <t>AB.31143</t>
  </si>
  <si>
    <t>AB.54121vd</t>
  </si>
  <si>
    <t>Vận chuyển xà bần 2km</t>
  </si>
  <si>
    <t>AB.53421</t>
  </si>
  <si>
    <t>AB.54121</t>
  </si>
  <si>
    <t>III.4</t>
  </si>
  <si>
    <t>Đắp đất sét</t>
  </si>
  <si>
    <t>Cỏ</t>
  </si>
  <si>
    <t>AB.66142</t>
  </si>
  <si>
    <t>Đắp cát bằng đầm cóc K90</t>
  </si>
  <si>
    <t>VII</t>
  </si>
  <si>
    <t>Sơn gờ giảm tốc dày 6mm</t>
  </si>
  <si>
    <t>AK.91141vd</t>
  </si>
  <si>
    <t>AD.32441vd</t>
  </si>
  <si>
    <t>AD.32431vd</t>
  </si>
  <si>
    <t>AD.32421vd</t>
  </si>
  <si>
    <t>Biển báo tròn đường kính 0.87m</t>
  </si>
  <si>
    <t>Sản xuất lắp đặt trụ đỡ biển báo D80, L=3m</t>
  </si>
  <si>
    <t>Sản xuất lắp đặt trụ đỡ biển báo D80, L=4m</t>
  </si>
  <si>
    <t>tính riêng</t>
  </si>
  <si>
    <t>VIII</t>
  </si>
  <si>
    <t>=(214/2+269.51/2)*1.15</t>
  </si>
  <si>
    <t>Joint cao su cống D1500</t>
  </si>
  <si>
    <t>Joint cao su D1500</t>
  </si>
  <si>
    <t>AG.42131vd</t>
  </si>
  <si>
    <t>Gối cống D1500</t>
  </si>
  <si>
    <t>C2121</t>
  </si>
  <si>
    <t>AF.12110</t>
  </si>
  <si>
    <t>Cầu công tác</t>
  </si>
  <si>
    <t>AE.12110</t>
  </si>
  <si>
    <t>AF.13410</t>
  </si>
  <si>
    <t>AF.63320</t>
  </si>
  <si>
    <t>AF.63120</t>
  </si>
  <si>
    <t>Cung cấp bao tải</t>
  </si>
  <si>
    <t>AF.61110</t>
  </si>
  <si>
    <t>AK.91211</t>
  </si>
  <si>
    <t>Sơn cọc tiêu</t>
  </si>
  <si>
    <t>Lắp đặt trụ đỡ tôn sóng</t>
  </si>
  <si>
    <t>Cung cấp đầu tôn sóng</t>
  </si>
  <si>
    <t>Biển báo chữ nhật 1.6x1.2m</t>
  </si>
  <si>
    <t>Tiêu quan trắc lún</t>
  </si>
  <si>
    <t>AI.13131</t>
  </si>
  <si>
    <t>AI.64231</t>
  </si>
  <si>
    <t>Lắp đặt thép bản cọc tiêu</t>
  </si>
  <si>
    <t>Sản xuất ống thép D40</t>
  </si>
  <si>
    <t>Lắp đặt ống thép D40</t>
  </si>
  <si>
    <t>Cấp phối đất chọn lọc</t>
  </si>
  <si>
    <t>AC.11211</t>
  </si>
  <si>
    <t>Đóng cọc tràm L&lt;= 2.5m, đất C1</t>
  </si>
  <si>
    <t>BẢNG PHÂN TÍCH ĐƠN GIÁ CHI TIẾT</t>
  </si>
  <si>
    <t>Vữa bê tông đá 1x2, C10 SN 2-4</t>
  </si>
  <si>
    <t>AB.31131</t>
  </si>
  <si>
    <t>Đất</t>
  </si>
  <si>
    <t>Trải bê tông nhựa hạt mịn dày 5cm</t>
  </si>
  <si>
    <t>Đào đất để đắp</t>
  </si>
  <si>
    <t>Ống cống bê tông D1500</t>
  </si>
  <si>
    <t>Thành tiền (tr.đồng)</t>
  </si>
  <si>
    <t>lệch</t>
  </si>
  <si>
    <t>Kiên Lương, Kiên Giang</t>
  </si>
  <si>
    <t>Đóng cọc ván thép trên cạn, L&gt;12m (ngập đất)</t>
  </si>
  <si>
    <t>Đóng cọc ván thép trên cạn, L&gt;12m ( không ngập đất, HS=0,75)</t>
  </si>
  <si>
    <t>Đóng cọc thép hình trên cạn L&gt;10m, đất C1 (ngập đất)</t>
  </si>
  <si>
    <t>Đóng cọc thép hình trên cạn L&gt;10m, đất C1 ( không ngập đất, HS=0,75)</t>
  </si>
  <si>
    <t>Sản xuất thép hình, thép tấm ván khuôn dầm, HS=34/250</t>
  </si>
  <si>
    <t>Vữa không co ngót (kg)</t>
  </si>
  <si>
    <t>Ống nối D110/117</t>
  </si>
  <si>
    <t>Ống nối D80/87</t>
  </si>
  <si>
    <t>Ống nối 20x75</t>
  </si>
  <si>
    <t>Ống nối D69/72</t>
  </si>
  <si>
    <t>Ống nối D84/89</t>
  </si>
  <si>
    <t>Ống nối D75/80</t>
  </si>
  <si>
    <t>AG.42121vd</t>
  </si>
  <si>
    <t>Lắp đặt các tấm nắp dầm (&lt;=100kg)</t>
  </si>
  <si>
    <t>lech</t>
  </si>
  <si>
    <t>Đắp đất</t>
  </si>
  <si>
    <t>AC.22111vd</t>
  </si>
  <si>
    <t>AC.22521vd</t>
  </si>
  <si>
    <t>AC.22121vd</t>
  </si>
  <si>
    <t>Đóng cọc ván thép trên cạn, L≤12m (phần ngập đất)</t>
  </si>
  <si>
    <t>Bộ nối cốt thép</t>
  </si>
  <si>
    <t>AG.11110</t>
  </si>
  <si>
    <t>Lắp đặt kết cấu đúc sẵn, trọng lượng &lt;=250kg (không tính vật liệu)</t>
  </si>
  <si>
    <t>AB.13111</t>
  </si>
  <si>
    <t>Đắp đất trồng cỏ (đất tận dụng)</t>
  </si>
  <si>
    <t>AD.23225vd</t>
  </si>
  <si>
    <t>Trải bê tông nhựa hạt trung tăng cường (HS=1/0,07)</t>
  </si>
  <si>
    <t>Thép tấm phản quang 40x180x5</t>
  </si>
  <si>
    <t>cấu kiện</t>
  </si>
  <si>
    <t>=(7,87-5,19)*(6-3)/(3-2)+5,19</t>
  </si>
  <si>
    <t>=(0,18-0,152)*(6-3)/(3-2)+0,152</t>
  </si>
  <si>
    <t>=(0,23-0,19)*(6-3)/(3-2)+0,19</t>
  </si>
  <si>
    <t>AC.32124vd</t>
  </si>
  <si>
    <t>Sản xuất và vận chuyển vữa bê tông 0,5Km</t>
  </si>
  <si>
    <t>C3122</t>
  </si>
  <si>
    <t>C3123</t>
  </si>
  <si>
    <t>C3124</t>
  </si>
  <si>
    <t>C3125</t>
  </si>
  <si>
    <t>C3126</t>
  </si>
  <si>
    <t>C3225</t>
  </si>
  <si>
    <t>C3226</t>
  </si>
  <si>
    <t>C3326</t>
  </si>
  <si>
    <t>C2141</t>
  </si>
  <si>
    <t>C3244</t>
  </si>
  <si>
    <t>B2215</t>
  </si>
  <si>
    <t>C3223</t>
  </si>
  <si>
    <t>C3227</t>
  </si>
  <si>
    <t>Máy đầm cạnh 3Kw</t>
  </si>
  <si>
    <t>BẢNG CỰ LY VẬN CHUYỂN VẬT LIỆU</t>
  </si>
  <si>
    <t>AF.33410</t>
  </si>
  <si>
    <t>Bơm vữa xi măng trong ống luồn cáp</t>
  </si>
  <si>
    <t>Đai ốc cầu D36 thu hồi (KH=2%*9tháng)</t>
  </si>
  <si>
    <t>Lưỡi cắt bêtông loại 356mm</t>
  </si>
  <si>
    <t>Lắp đặt lưới chắn rác (chỉ tính công lắp)</t>
  </si>
  <si>
    <t>AG.42111vd</t>
  </si>
  <si>
    <t>Đắp đê bao bằng bao tải đất</t>
  </si>
  <si>
    <t>AA.22211</t>
  </si>
  <si>
    <t>Lắp đặt gối cao su dầm Super-T</t>
  </si>
  <si>
    <t>Tạm tính bằng giá nhựa đường</t>
  </si>
  <si>
    <r>
      <rPr>
        <b/>
        <u/>
        <sz val="10"/>
        <rFont val="Times New Roman"/>
        <family val="1"/>
      </rPr>
      <t>Ghi chú:</t>
    </r>
    <r>
      <rPr>
        <sz val="10"/>
        <rFont val="Times New Roman"/>
        <family val="1"/>
      </rPr>
      <t xml:space="preserve"> Các báo giá trên chỉ mang tính chất tham khảo.</t>
    </r>
  </si>
  <si>
    <t>Bê tông nhựa hạt mịn (thương phẩm)</t>
  </si>
  <si>
    <t>Bê tông nhựa hạt trung (thương phẩm)</t>
  </si>
  <si>
    <t>CP tham khảo</t>
  </si>
  <si>
    <t>Đá 0x0.5 bê tông nhựa</t>
  </si>
  <si>
    <t>Đá 1x1.6 bê tông nhựa</t>
  </si>
  <si>
    <t>16%</t>
  </si>
  <si>
    <t>=(5,24-5)/(5,5-5)*(55,79-50,953)+50,953</t>
  </si>
  <si>
    <t>=16*0,128/20</t>
  </si>
  <si>
    <t>=14*0,128/20</t>
  </si>
  <si>
    <t>=(64-60)/(65-60)*(0,415-0,383)+0,383</t>
  </si>
  <si>
    <t>=(6-5)/(10-5)*(94,47-47,235)+47,235</t>
  </si>
  <si>
    <t>=(5,74-5,5)/(6-5,5)*(60,573-55,79)+55,79</t>
  </si>
  <si>
    <t>Bản thép neo 180x180x45 (để lại)</t>
  </si>
  <si>
    <t>Bản quá độ</t>
  </si>
  <si>
    <t>Sản xuất và vận chuyển vữa bê tông 1Km</t>
  </si>
  <si>
    <t>Vận chuyển bê tông 1km</t>
  </si>
  <si>
    <r>
      <t>CP
nhiên liệu
(C</t>
    </r>
    <r>
      <rPr>
        <vertAlign val="subscript"/>
        <sz val="10"/>
        <rFont val="Times New Roman"/>
        <family val="1"/>
      </rPr>
      <t>NL</t>
    </r>
    <r>
      <rPr>
        <sz val="10"/>
        <rFont val="Times New Roman"/>
        <family val="1"/>
      </rPr>
      <t>)</t>
    </r>
  </si>
  <si>
    <r>
      <t>CP
tiền lương
(C</t>
    </r>
    <r>
      <rPr>
        <vertAlign val="subscript"/>
        <sz val="10"/>
        <rFont val="Times New Roman"/>
        <family val="1"/>
      </rPr>
      <t>TL</t>
    </r>
    <r>
      <rPr>
        <sz val="10"/>
        <rFont val="Times New Roman"/>
        <family val="1"/>
      </rPr>
      <t>)</t>
    </r>
  </si>
  <si>
    <r>
      <t>(C</t>
    </r>
    <r>
      <rPr>
        <vertAlign val="subscript"/>
        <sz val="10"/>
        <rFont val="Times New Roman"/>
        <family val="1"/>
      </rPr>
      <t>CM</t>
    </r>
    <r>
      <rPr>
        <sz val="10"/>
        <rFont val="Times New Roman"/>
        <family val="1"/>
      </rPr>
      <t>)</t>
    </r>
  </si>
  <si>
    <t>AF.67120</t>
  </si>
  <si>
    <t>HS=0.5</t>
  </si>
  <si>
    <t>Rút ống vách cọc khoan nhồi trên cạn D&lt;=1500, HS=0.6</t>
  </si>
  <si>
    <t>AC.34524vd</t>
  </si>
  <si>
    <t>Ống nhựa D75</t>
  </si>
  <si>
    <t>AF.87310</t>
  </si>
  <si>
    <t>Ván khuôn dầm cầu đúc trên đà giáo</t>
  </si>
  <si>
    <t>AF.65420</t>
  </si>
  <si>
    <t>AF.65520</t>
  </si>
  <si>
    <t>AF.65530</t>
  </si>
  <si>
    <t>AF.66210</t>
  </si>
  <si>
    <t>Thép dự ứng lực kéo sau dầm cầu đổ tại chỗ</t>
  </si>
  <si>
    <t>AG.12140</t>
  </si>
  <si>
    <t>6.5kW</t>
  </si>
  <si>
    <t>AG.13513</t>
  </si>
  <si>
    <t>Thép dự ứng lực dầm super T</t>
  </si>
  <si>
    <t>AG.13441</t>
  </si>
  <si>
    <t>AG.13442</t>
  </si>
  <si>
    <t>AG.32910</t>
  </si>
  <si>
    <t>Sữa chữa ván khuôn trong dầm super T</t>
  </si>
  <si>
    <t>Gỗ kê</t>
  </si>
  <si>
    <t>AG.52521</t>
  </si>
  <si>
    <t>Lắp dựng dầm super T bằng thiết bị nâng hạ dầm</t>
  </si>
  <si>
    <t>Tà vẹt 14x22x180</t>
  </si>
  <si>
    <t>thanh</t>
  </si>
  <si>
    <t>Thiết bị nâng hạ dầm 75T</t>
  </si>
  <si>
    <t>AG.52511</t>
  </si>
  <si>
    <t>Đào nền đường (vét hữu cơ)</t>
  </si>
  <si>
    <t>AB.21131</t>
  </si>
  <si>
    <t>Máy ủi 110CV</t>
  </si>
  <si>
    <t>KH</t>
  </si>
  <si>
    <t>Hệ số đchỉnh giá ca máy theo VB 3833/UBND-ĐTXD   (HS)</t>
  </si>
  <si>
    <r>
      <t xml:space="preserve">       UBND TỈNH AN GIANG                                            </t>
    </r>
    <r>
      <rPr>
        <b/>
        <sz val="14"/>
        <color indexed="10"/>
        <rFont val="Times New Roman"/>
        <family val="1"/>
      </rPr>
      <t>CỘNG HOÀ XÃ HỘI CHỦ NGHĨA VIỆT NAM</t>
    </r>
  </si>
  <si>
    <t xml:space="preserve">        CÔNG BỐ</t>
  </si>
  <si>
    <t xml:space="preserve">TRÊN ĐỊA BÀN TỈNH AN GIANG </t>
  </si>
  <si>
    <t xml:space="preserve">            Căn cứ Công văn số 487/UBND-XDCB ngày 22/02/2011 của UBND tỉnh An Giang về việc giao nhiệm vụ chủ trì thực hiện công bố giá vật liệu xây dựng hàng tháng cho Sở Xây dựng.</t>
  </si>
  <si>
    <t xml:space="preserve"> TÊN VÀ QUY CÁCH VẬT LIỆU </t>
  </si>
  <si>
    <t>ĐVT</t>
  </si>
  <si>
    <t>Giá bán chưa bao gồm thuế VAT</t>
  </si>
  <si>
    <t>Giá bán tại các huyện, TX, TP     trong phạm vi bán kính 3 km</t>
  </si>
  <si>
    <t>TP.Long Xuyên</t>
  </si>
  <si>
    <t>Các huyện, TX</t>
  </si>
  <si>
    <t xml:space="preserve"> ĐÁ CÁC LOẠI : (đã bao gồm phí bảo vệ môi trường)</t>
  </si>
  <si>
    <t>* Đá khu vực Bà Đội:</t>
  </si>
  <si>
    <t xml:space="preserve"> - Giá bán tại bãi đá Láng Cháy thuộc xã Tân Lợi, huyện Tịnh Biên (chưa bốc xuống ghe)</t>
  </si>
  <si>
    <t xml:space="preserve"> Đá 1 x 2 (lưới 29)</t>
  </si>
  <si>
    <t xml:space="preserve"> Đá 4 x 6 xay</t>
  </si>
  <si>
    <t xml:space="preserve"> Đá 5 x 7 xay </t>
  </si>
  <si>
    <t xml:space="preserve"> Đá (0x4) xương (lưới 40)</t>
  </si>
  <si>
    <t xml:space="preserve"> Đá cấp phối (0x4) loại I</t>
  </si>
  <si>
    <t>Bụi (còn gọi là mi bụi)</t>
  </si>
  <si>
    <t xml:space="preserve"> Bụi mè hồng</t>
  </si>
  <si>
    <t>Đá cát dơ (bụi vệ sinh máy 4, 5, 6)</t>
  </si>
  <si>
    <t xml:space="preserve"> Xô bồ (cát núi, vệ sinh hầm, đầu vồ) </t>
  </si>
  <si>
    <t>* Đá khu vực Cô Tô:</t>
  </si>
  <si>
    <t xml:space="preserve"> - Giá bán tại bãi đá Cô Tô thuộc xã Cô Tô, huyện Tri Tôn (chưa bốc xuống ghe)</t>
  </si>
  <si>
    <t xml:space="preserve"> Đá 1 x 2 (lưới 25)</t>
  </si>
  <si>
    <t xml:space="preserve"> Đá 1 x 2 loại I (lưới 29)</t>
  </si>
  <si>
    <t xml:space="preserve"> Đá (0 x 4) xương (lưới 40)</t>
  </si>
  <si>
    <t xml:space="preserve"> Đá mi (còn gọi là mi sàng)</t>
  </si>
  <si>
    <t xml:space="preserve"> Đá 2 x 3 dơ</t>
  </si>
  <si>
    <t xml:space="preserve"> Bụi (còn gọi là mi bụi)</t>
  </si>
  <si>
    <t xml:space="preserve"> Bụi sàng nhuyễn</t>
  </si>
  <si>
    <t xml:space="preserve"> Đá cát dơ (vệ sinh máy nghiền)</t>
  </si>
  <si>
    <t xml:space="preserve"> Xô bồ (cát núi, vệ sinh hầm, đầu vồ)</t>
  </si>
  <si>
    <t>* Đá ANTRACO: Giao tại bến cảng đá bên kênh Tám Ngàn, xã Lương phi, huyện Tri Tôn (chưa bốc xuống ghe)</t>
  </si>
  <si>
    <t xml:space="preserve"> Đá 1 x 2 qui cách </t>
  </si>
  <si>
    <t xml:space="preserve"> Đá 1 x 2 thường</t>
  </si>
  <si>
    <t xml:space="preserve"> Đá 2 x 4</t>
  </si>
  <si>
    <t xml:space="preserve"> Đá 4 x 6</t>
  </si>
  <si>
    <t xml:space="preserve"> Đá 5 x 7 </t>
  </si>
  <si>
    <t xml:space="preserve"> Cấp phối loại 1 (0x4)</t>
  </si>
  <si>
    <t xml:space="preserve"> Cấp phối loại 2 (0x4)</t>
  </si>
  <si>
    <t xml:space="preserve"> Cấp phối (0x4) sàng 25 </t>
  </si>
  <si>
    <t xml:space="preserve"> Cấp phối (0x4) sàng 37,5</t>
  </si>
  <si>
    <t xml:space="preserve"> Đá mi bụi</t>
  </si>
  <si>
    <t xml:space="preserve"> Đá mi sàng</t>
  </si>
  <si>
    <t xml:space="preserve"> Đá (0,5 - 1,90) </t>
  </si>
  <si>
    <t xml:space="preserve"> Cát đen tại xã Vĩnh Trường, huyện An Phú (bán tại nơi khai thác)</t>
  </si>
  <si>
    <t xml:space="preserve"> Cát vàng Vĩnh Xương (bán tại nơi khai thác)</t>
  </si>
  <si>
    <t>NHỰA ĐƯỜNG, BÊ TÔNG NHỰA VÀ BÊ TÔNG TƯƠI :</t>
  </si>
  <si>
    <t>Nhựa đường đặc 60/70 (190kg/phuy) giao hàng tại Long Xuyên</t>
  </si>
  <si>
    <t>đ/kg</t>
  </si>
  <si>
    <t>Nhựa đường đặc 60/70 (nhựa nóng 10 tấn/xe) giao hàng tại Long Xuyên</t>
  </si>
  <si>
    <t>Bê tông nhựa nóng hạt mịn C10</t>
  </si>
  <si>
    <t>đ/tấn</t>
  </si>
  <si>
    <t>Bê tông nhựa nóng hạt trung C15</t>
  </si>
  <si>
    <t xml:space="preserve">Bê tông nhựa nóng hạt trung C20 </t>
  </si>
  <si>
    <t xml:space="preserve"> *Công ty Xây lắp An Giang (Trạm trộn tại phường Mỹ Thạnh, Long Xuyên) :</t>
  </si>
  <si>
    <t>Bê tông tươi, mác 200 (đã bao gồm chi phí bơm)</t>
  </si>
  <si>
    <t>Bê tông tươi, mác 250 (đã bao gồm chi phí bơm)</t>
  </si>
  <si>
    <t>Bê tông tươi, mác 300 (đã bao gồm chi phí bơm)</t>
  </si>
  <si>
    <t>GỖ XẺ CÁC LOẠI:</t>
  </si>
  <si>
    <t>Gỗ ván cốp pha (tạp vườn)</t>
  </si>
  <si>
    <t>Gỗ dầu đỏ đố</t>
  </si>
  <si>
    <t>Gỗ dầu đỏ ván</t>
  </si>
  <si>
    <t>Gỗ chò chỉ đố</t>
  </si>
  <si>
    <t>Gỗ cà chất đố</t>
  </si>
  <si>
    <t>CỪ TRÀM:</t>
  </si>
  <si>
    <t>Cừ dài 4,7m (đầu ngọn 4,5cm)</t>
  </si>
  <si>
    <t>đ/cây</t>
  </si>
  <si>
    <t>Cừ dài 4,7m (đầu ngọn 5,0cm)</t>
  </si>
  <si>
    <t>TRỤ, CỌC VÀ ỐNG CỐNG BÊ TÔNG LY TÂM CÁC LOẠI:</t>
  </si>
  <si>
    <t xml:space="preserve"> * Công ty Cổ phần Bê tông ly tâm An Giang: giao hàng tại Công ty (bốc lên phương tiện bên mua)</t>
  </si>
  <si>
    <t xml:space="preserve"> Trụ BTLT 14 A - PC 900</t>
  </si>
  <si>
    <t>đ/trụ</t>
  </si>
  <si>
    <t xml:space="preserve"> Trụ BTLT 14 A - PC 650</t>
  </si>
  <si>
    <t xml:space="preserve"> Trụ BTLT 12 A - PC 540</t>
  </si>
  <si>
    <t xml:space="preserve"> Trụ BTLT 10,5 A - PC 480</t>
  </si>
  <si>
    <t xml:space="preserve"> Trụ BTLT 10,5 A - PC 350</t>
  </si>
  <si>
    <t xml:space="preserve"> Trụ BTLT 8,5 B - PC 300</t>
  </si>
  <si>
    <t xml:space="preserve"> Trụ BTLT 8,5 A - PC 200</t>
  </si>
  <si>
    <t xml:space="preserve"> Đà cản 2,5m</t>
  </si>
  <si>
    <t>đ/cái</t>
  </si>
  <si>
    <t xml:space="preserve"> Đà cản 1,5m</t>
  </si>
  <si>
    <t xml:space="preserve"> Đà cản 1,2m</t>
  </si>
  <si>
    <t xml:space="preserve"> Móng neo  (0,4  x 1,2) m</t>
  </si>
  <si>
    <t xml:space="preserve"> Móng neo  (0,2  x 1,2) m</t>
  </si>
  <si>
    <t xml:space="preserve">Cọc BTLT ƯLT PCA fi 400 </t>
  </si>
  <si>
    <t>đ/m</t>
  </si>
  <si>
    <t>Cọc BTLT ƯLT PCA fi 350</t>
  </si>
  <si>
    <t>Cọc BTLT ƯLT PCA fi 300</t>
  </si>
  <si>
    <t>Cọc BTLT ƯLT PCA fi 250</t>
  </si>
  <si>
    <t>Ống cống BTLT ƯLT 4m fi 600 VH miệng loe</t>
  </si>
  <si>
    <t>Ống cống BTLT ƯLT 4m fi 600 H10 miệng loe</t>
  </si>
  <si>
    <t>Ống cống BTLT ƯLT 4m fi 600 H30 miệng loe</t>
  </si>
  <si>
    <t>Ống cống BTLT ƯLT 4m fi 400 VH miệng loe</t>
  </si>
  <si>
    <t>Ống cống BTLT ƯLT 4m fi 400 H10 miệng loe</t>
  </si>
  <si>
    <t>Ống cống BTLT ƯLT 4m fi 400 H30 miệng loe</t>
  </si>
  <si>
    <t>Ống cống BTLT ƯLT 4m fi 300 VH miệng loe</t>
  </si>
  <si>
    <t>Ống cống BTLT ƯLT 4m fi 300 H10 miệng loe</t>
  </si>
  <si>
    <t>Ống cống BTLT ƯLT 4m fi 300 H30 miệng loe</t>
  </si>
  <si>
    <t xml:space="preserve"> * Công ty Cổ phần Địa ốc An Giang sản xuất (giao hàng tại Nhà máy cấu kiện bê tông An Giang, xã Vĩnh Thạnh Trung, huyện Châu Phú)</t>
  </si>
  <si>
    <t xml:space="preserve"> - Cống bê tông ly tâm sản xuất theo tiêu chuẩn 22TCN 272 -05</t>
  </si>
  <si>
    <t>Cống fi 400mm, D = 50mm, M = 28Mpa</t>
  </si>
  <si>
    <t>Hoạt tải 65% HL93 (cống qua đường &gt; H10), cấp tải tiêu chuẩn</t>
  </si>
  <si>
    <t>Hoạt tải 100% HL93 (cống qua đường &gt; H30), cấp tải cao</t>
  </si>
  <si>
    <t>Cống fi 600mm, D = 63mm, M = 28Mpa</t>
  </si>
  <si>
    <t>Cống fi 800mm, D = 80mm, M = 28Mpa</t>
  </si>
  <si>
    <t>Cống fi 1000mm, D = 100mm</t>
  </si>
  <si>
    <t>Cống fi 1200mm, D = 120mm</t>
  </si>
  <si>
    <t>Cống fi 1500mm, D = 150mm</t>
  </si>
  <si>
    <t>Gối cống các loại M200 :</t>
  </si>
  <si>
    <t>Gối cống fi 400</t>
  </si>
  <si>
    <t>Gối cống fi 600</t>
  </si>
  <si>
    <t>Gối cống fi 800</t>
  </si>
  <si>
    <t>Gối cống fi 1000</t>
  </si>
  <si>
    <t>Gioăng (jiont) cao su các loại:</t>
  </si>
  <si>
    <t>Cống fi 300</t>
  </si>
  <si>
    <t>đ/sợi</t>
  </si>
  <si>
    <t>Cống fi 400</t>
  </si>
  <si>
    <t>Cống fi 500</t>
  </si>
  <si>
    <t>Cống fi 600</t>
  </si>
  <si>
    <t>Cống fi 800</t>
  </si>
  <si>
    <t>Cống fi 1000</t>
  </si>
  <si>
    <t>Cống fi 1500</t>
  </si>
  <si>
    <t>Cống fi 1800</t>
  </si>
  <si>
    <t>Cống fi 2000</t>
  </si>
  <si>
    <t>Cọc bê tông DƯL 100 x 100, M400</t>
  </si>
  <si>
    <t>Cọc bê tông DƯL 120 x 120, M400</t>
  </si>
  <si>
    <t>Cọc bê tông DƯL 150 x 150, M400</t>
  </si>
  <si>
    <t>Cọc bê tông DƯL, tiết diện 100 x 100, mác 400</t>
  </si>
  <si>
    <t>Cọc bê tông DƯL, tiết diện 120 x 120, mác 400</t>
  </si>
  <si>
    <t>Cọc bê tông DƯL, tiết diện 150 x 150, mác 400</t>
  </si>
  <si>
    <t>Cọc bê tông DƯL, tiết diện 200 x 200, mác 400</t>
  </si>
  <si>
    <t>Cọc bê tông ly tâm fi 100, BT mác 250, dài từ 2m đến 4m</t>
  </si>
  <si>
    <t>Cọc bê tông ly tâm fi 150, BT mác 250, dài từ 3m đến 4m</t>
  </si>
  <si>
    <t>đ/md</t>
  </si>
  <si>
    <t xml:space="preserve"> DẦM BÊ TÔNG CỐT THÉP : (bán tại Công ty Cổ phần Bê tông 6, huyện Dĩ An, tỉnh Bình Dương)</t>
  </si>
  <si>
    <t>Dầm BTCT DƯL I.33m</t>
  </si>
  <si>
    <t>đ/dầm</t>
  </si>
  <si>
    <t>Dầm BTCT DƯL I.24,54m</t>
  </si>
  <si>
    <t>Dầm BTCT DƯL T.18,60m cải tiến</t>
  </si>
  <si>
    <t>Dầm BTCT DƯL T.12,50m cải tiến</t>
  </si>
  <si>
    <t>Gối cao su cốt bản thép kê dầm 600x300x65 (I.33m)</t>
  </si>
  <si>
    <t>đ/gối</t>
  </si>
  <si>
    <t>Gối cao su cốt bản thép kê dầm 560x203x50 (I.24,54m)</t>
  </si>
  <si>
    <t>Gối cao su cốt bản thép kê dầm 300x150x50 (hộp 20m)</t>
  </si>
  <si>
    <t>Gối cao su cốt bản thép kê dầm 350x150x25(T18,6m &amp; T12,5m)</t>
  </si>
  <si>
    <t xml:space="preserve">Gối cao su cốt bản thép kê dầm 200x150x25 (dầm nông thôn)  </t>
  </si>
  <si>
    <t xml:space="preserve">Gối cao su cốt bản thép kê dầm 350x150x50  </t>
  </si>
  <si>
    <t xml:space="preserve">Gối cao su cốt bản thép kê dầm 400x300x50  </t>
  </si>
  <si>
    <t>Khe co giãn cốt bản thép 1000x260x50</t>
  </si>
  <si>
    <t>XI MĂNG CÁC LOẠI :</t>
  </si>
  <si>
    <t xml:space="preserve"> * Xi măng An Giang : (giao tại Nhà máy xi măng An Giang)</t>
  </si>
  <si>
    <t xml:space="preserve"> Xi măng ACIFA PCB 30 (bao 50kg)</t>
  </si>
  <si>
    <t>đ/bao</t>
  </si>
  <si>
    <t xml:space="preserve"> Xi măng ACIFA PCB 40 (bao 50kg)</t>
  </si>
  <si>
    <t xml:space="preserve"> * Xi măng các loại :</t>
  </si>
  <si>
    <t>Xi măng FICO PCB 40 (Cty CP Xi măng FICO Tây Ninh) bao 50kg</t>
  </si>
  <si>
    <t>Xi măng Hạ Long PCB 40 (bao 50kg)</t>
  </si>
  <si>
    <t>Xi măng Tây Đô (tại Cần Thơ) PCB30 (bao 50kg)</t>
  </si>
  <si>
    <t>Xi măng Tây Đô (tại Cần Thơ) PCB40 (bao 50kg)</t>
  </si>
  <si>
    <t>Xi măng trắng  (1 bao = 40kg)</t>
  </si>
  <si>
    <t>Xi măng Holcim PCB 40 (bao 50kg)</t>
  </si>
  <si>
    <t>Xi măng Vicem Hà Tiên PCB 40 (bao 50kg)</t>
  </si>
  <si>
    <t>IX</t>
  </si>
  <si>
    <t>THÉP CÁC LOẠI :</t>
  </si>
  <si>
    <t xml:space="preserve"> * Công ty Thép Miền Nam: giao hàng tại các kho trung chuyển ( Cửa hàng 195 tại Vịnh Tre và cửa hàng Bình Đức Anh gần cầu Trà Ôn) hoặc công ty sản xuất trực thuộc</t>
  </si>
  <si>
    <t>Thép cuộn  6mm CT2</t>
  </si>
  <si>
    <t>Thép cuộn  8mm CT2</t>
  </si>
  <si>
    <t xml:space="preserve">Thép cuộn  5,5mm CT3 </t>
  </si>
  <si>
    <t xml:space="preserve">Thép cuộn  6mm CT3 </t>
  </si>
  <si>
    <t>Thép cuộn  7 - 8mm CT3</t>
  </si>
  <si>
    <t xml:space="preserve">Thép cuộn 10 - 20mm CT3 </t>
  </si>
  <si>
    <t xml:space="preserve">Thép thanh vằn D10 SD295 CT5 </t>
  </si>
  <si>
    <t>Thép tròn trơn D10 - D25  CT3</t>
  </si>
  <si>
    <t xml:space="preserve">* Công ty TNHH Thương mại thép Pomina, giao hàng trên phương tiện bên mua tại Nhà máy, đường 27, KCN Sóng Thần II, </t>
  </si>
  <si>
    <t>huyện Dĩ An, tỉnh Bình Dương</t>
  </si>
  <si>
    <t>Thép cuộn fi 6mm SWRM 20</t>
  </si>
  <si>
    <t xml:space="preserve">Thép cuộn fi 10mm SWRM 20 </t>
  </si>
  <si>
    <t>* Công ty Thép Tây Đô: giao hàng trên phương tiện bên mua tại Nhà máy, khu công nghiệp Trà Nóc, TP. Cần Thơ</t>
  </si>
  <si>
    <t>Thép cuộn  fi 6 CT3</t>
  </si>
  <si>
    <t>* Xí nghiệp Cơ khí Long Xuyên:</t>
  </si>
  <si>
    <t xml:space="preserve"> - Thép tấm các loại:</t>
  </si>
  <si>
    <t xml:space="preserve"> 3 ly x 1,5m x 6m (SS400 - Trung Quốc)</t>
  </si>
  <si>
    <t xml:space="preserve"> 4 ly x 1,5m x 6m (SS400 - Trung Quốc)</t>
  </si>
  <si>
    <t xml:space="preserve"> 5 ly x 1,5m x 6m (SS400 - Trung Quốc)</t>
  </si>
  <si>
    <t xml:space="preserve"> 6 ly x 1,5m x 6m (SS400 - Trung Quốc)</t>
  </si>
  <si>
    <t xml:space="preserve"> 8 ly x 1,5m x 6m (SS400 - Trung Quốc)</t>
  </si>
  <si>
    <t xml:space="preserve"> 10 ly x 1,5m x 6m (SS400 - Trung Quốc)</t>
  </si>
  <si>
    <t xml:space="preserve"> 12 ly x 1,5m x 6m (SS400 - Trung Quốc)</t>
  </si>
  <si>
    <t xml:space="preserve"> - Thép hình chữ I:</t>
  </si>
  <si>
    <t xml:space="preserve"> Thép hình I 100 dài 6m (SS400 - Trung Quốc)</t>
  </si>
  <si>
    <t xml:space="preserve"> Thép hình I 120 dài 6m (SS400 - Trung Quốc)</t>
  </si>
  <si>
    <t xml:space="preserve"> Thép hình I 150 dài 6m (SS400 - Trung Quốc)</t>
  </si>
  <si>
    <t xml:space="preserve"> Thép hình I 200 dài 6m (SS400 - Trung Quốc)</t>
  </si>
  <si>
    <t xml:space="preserve"> Thép hình I 250 dài 6m (SS400 - Trung Quốc)</t>
  </si>
  <si>
    <t xml:space="preserve"> Thép hình I 300 dài 6m (SS400 - Trung Quốc)</t>
  </si>
  <si>
    <t xml:space="preserve"> - Thép hộp các loại (cây dài 6m):</t>
  </si>
  <si>
    <t>Thép hộp 13 x 26 x 1,2 (Trung Quốc)</t>
  </si>
  <si>
    <t>Thép hộp 20 x 40 x 1,2 (Trung Quốc)</t>
  </si>
  <si>
    <t>Thép hộp 25 x 50 x 1,2 (Trung Quốc)</t>
  </si>
  <si>
    <t>Thép hộp 30 x 60 x 1,2 (Trung Quốc)</t>
  </si>
  <si>
    <t>Thép hộp 40 x 80 x 1,2 (Trung Quốc)</t>
  </si>
  <si>
    <t>Thép hộp 45 x 90 x 1,4 (Trung Quốc)</t>
  </si>
  <si>
    <t>Thép hộp 50 x 100 x 1,4 (Trung Quốc)</t>
  </si>
  <si>
    <t>Thép hộp 60 x 120 x 1,4 (Trung Quốc)</t>
  </si>
  <si>
    <t xml:space="preserve"> - Thép ống kẽm mạ một mặt (ống dài 6m):</t>
  </si>
  <si>
    <t xml:space="preserve">Ống kẽm fi 21 x 1,4 ly </t>
  </si>
  <si>
    <t>đ/ống</t>
  </si>
  <si>
    <t xml:space="preserve">Ống kẽm fi 27 x 1,4 ly </t>
  </si>
  <si>
    <t xml:space="preserve">Ống kẽm fi 34 x 1,4 ly </t>
  </si>
  <si>
    <t xml:space="preserve">Ống kẽm fi 42 x 1,4 ly </t>
  </si>
  <si>
    <t xml:space="preserve">Ống kẽm fi 49 x 1,4 ly </t>
  </si>
  <si>
    <t xml:space="preserve">Ống kẽm fi 60 x 1,4 ly </t>
  </si>
  <si>
    <t xml:space="preserve">Ống kẽm fi 76 x 1,4 ly </t>
  </si>
  <si>
    <t xml:space="preserve">Ống kẽm fi 90 x 1,4 ly </t>
  </si>
  <si>
    <t xml:space="preserve">Ống kẽm fi 114 x 1,4 ly </t>
  </si>
  <si>
    <t xml:space="preserve"> - Thép ống kẽm mạ hai mặt (ống dài 6m):</t>
  </si>
  <si>
    <t xml:space="preserve">Ống kẽm fi 21 x 1,9 ly </t>
  </si>
  <si>
    <t xml:space="preserve">Ống kẽm fi 27 x 2,1 ly </t>
  </si>
  <si>
    <t xml:space="preserve">Ống kẽm fi 34 x 2,1 ly </t>
  </si>
  <si>
    <t xml:space="preserve">Ống kẽm fi 42 x 2,1 ly </t>
  </si>
  <si>
    <t xml:space="preserve">Ống kẽm fi 49 x 2,3 ly </t>
  </si>
  <si>
    <t xml:space="preserve">Ống kẽm fi 76 x 2,3 ly </t>
  </si>
  <si>
    <t xml:space="preserve">Ống kẽm fi 114 x 2,1 ly </t>
  </si>
  <si>
    <t xml:space="preserve">Ống kẽm fi 114 x 2,6 ly </t>
  </si>
  <si>
    <t xml:space="preserve"> - Ống thép mạ kẽm (BS 1387 hoặc ASTM A53):</t>
  </si>
  <si>
    <t xml:space="preserve">Ống thép mạ kẽm  fi 15 - fi 114 dày 1,5-1,6 ly </t>
  </si>
  <si>
    <t xml:space="preserve">Ống thép mạ kẽm fi 15 - fi 114 dày 1,7-1,9 ly </t>
  </si>
  <si>
    <t xml:space="preserve">Ống thép mạ kẽm fi 15 - fi 114 dày 2,0-6,35 ly </t>
  </si>
  <si>
    <t xml:space="preserve">Ống thép mạ kẽm fi 114 - fi 219 dày  trên 6,35 ly </t>
  </si>
  <si>
    <t xml:space="preserve"> - Ống tôn kẽm (tròn, vuông, hộp),  mã hiệu BS 1387 hoặc ASTM A53. </t>
  </si>
  <si>
    <t>X</t>
  </si>
  <si>
    <t>Lysaght Smartruss C4048, dày 0.53mm TCT (Bề dày sau mạ 0.53mm)</t>
  </si>
  <si>
    <t>Lysaght Smartruss C4060, dày 0.65mm TCT (Bề dày sau mạ 0.65mm)</t>
  </si>
  <si>
    <t>Lysaght Smartruss C4075, dày 0.75mm TCT (Bề dày sau mạ 0.75mm)</t>
  </si>
  <si>
    <t>Lysaght Smartruss C7650, dày 0.65mm TCT (Bề dày sau mạ 0.65mm)</t>
  </si>
  <si>
    <t>Lysaght Smartruss C7575, dày 0.8mm TCT (Bề dày sau mạ 0.8mm)</t>
  </si>
  <si>
    <t>Lysaght Smartruss C7510, dày 1.05mm TCT (Bề dày sau mạ 1.05mm)</t>
  </si>
  <si>
    <t>Lysaght Smartruss C10075, dày 0.8mm TCT (Bề dày sau mạ 0.8mm)</t>
  </si>
  <si>
    <t>Lysaght Smartruss C10010, dày 1.05mm TCT (Bề dày sau mạ 1.05mm)</t>
  </si>
  <si>
    <t>Lysaght Smartruss TS4048, dày 0.53mmTCT (Bề dày sau mạ 0.53mm)</t>
  </si>
  <si>
    <t>Lysaght Smartruss TS4060, dày 0.65mmTCT (Bề dày sau mạ 0.65mm)</t>
  </si>
  <si>
    <t>Lysaght Smartruss TS6175, dày 0.8mmTCT (Bề dày sau mạ 0.8mm)</t>
  </si>
  <si>
    <t>Lysaght Smartruss TS6110,  dày 1.05mmTCT (Bề dày sau mạ 1.05mm)</t>
  </si>
  <si>
    <t xml:space="preserve"> - Phụ kiện đi kèm thép mạ hợp kim nhôm kẽm:</t>
  </si>
  <si>
    <t>Vít liên kết ITW BTEK 12-14x20</t>
  </si>
  <si>
    <t>đ/con</t>
  </si>
  <si>
    <t>Vít liên kết TRUSSTITE (d=6mm)</t>
  </si>
  <si>
    <t>Bulon đạn M12 và ty răng 8.8 - M12x150mm, 2 long đền, 2 tán</t>
  </si>
  <si>
    <t>Bulon đạn M12 và ty răng 8.8 - M12x200mm, 2 long đền, 2 tán</t>
  </si>
  <si>
    <t>Bát liên kết đỉnh kèo mạ nhôm kẽm, dày 1.0mm - BM3</t>
  </si>
  <si>
    <t>Bát liên kết kèo và wall plate mạ kẽm, dày 1.9mm - BM1</t>
  </si>
  <si>
    <t>Thanh valley rafter U40/U61, mạ nhôm kẽm, dày 0.75mm, màu xanh-AZ150</t>
  </si>
  <si>
    <t>Thanh valley rafter U40/U61, mạ nhôm kẽm, dày 0.53mm, màu xanh-AZ150</t>
  </si>
  <si>
    <t xml:space="preserve">Máng xối thung lũng, Apex, dày 0,46mm APT,khổ 300mm, màu Sydney White hoặc </t>
  </si>
  <si>
    <t>Phoenic Red</t>
  </si>
  <si>
    <t>Máng xối thung lũng, thép Zincalume,khổ 300mm</t>
  </si>
  <si>
    <t>Thanh giằng mái khổ 50mm, mạ nhôm kẽm, D 0.75mm, xanh AZ150, dài 50m</t>
  </si>
  <si>
    <t>C &amp; Z 10012 (dày 1,2mm), trọng lượng 2,10kg/m</t>
  </si>
  <si>
    <t>C &amp; Z 10015 (dày 1,5mm), trọng lượng 2,58kg/m</t>
  </si>
  <si>
    <t>C &amp; Z 10019 (dày 1,9mm), trọng lượng 3,25kg/m</t>
  </si>
  <si>
    <t>C &amp; Z 15012 (dày 1,2mm), trọng lượng 2,89kg/m</t>
  </si>
  <si>
    <t>C &amp; Z 15015 (dày 1,5mm), trọng lượng 3,54kg/m</t>
  </si>
  <si>
    <t>C &amp; Z 15019 (dày 1,9mm), trọng lượng 4,46kg/m</t>
  </si>
  <si>
    <t>C &amp; Z 20015 (dày 1,5mm), trọng lượng 4,44kg/m</t>
  </si>
  <si>
    <t>C &amp; Z 20019 (dày 1,9mm), trọng lượng 5,68kg/m</t>
  </si>
  <si>
    <t>C &amp; Z 20024 (dày 2,4mm), trọng lượng 7,15kg/m</t>
  </si>
  <si>
    <t>C &amp; Z 25019 (dày 1,9mm), trọng lượng 6,35kg/m</t>
  </si>
  <si>
    <t>C &amp; Z 25024 (dày 2,4mm), trọng lượng 8,0kg/m</t>
  </si>
  <si>
    <t>C &amp; Z 30024 (dày 2,4mm), trọng lượng 9,84kg/m</t>
  </si>
  <si>
    <t xml:space="preserve">Thanh giằng xà gồ 51 x 28 x 1,5mm (chưa tính bulông) </t>
  </si>
  <si>
    <t xml:space="preserve">Bu lông cho xà gồ M12 - G4.6 </t>
  </si>
  <si>
    <t>đ/bộ</t>
  </si>
  <si>
    <t xml:space="preserve"> * Công ty TNHH TM&amp;TTNT Trường Phong:</t>
  </si>
  <si>
    <t xml:space="preserve">  - Thanh dàn Visiontruss</t>
  </si>
  <si>
    <t>Thanh C75.60, dày 0,60mm BMT, thanh dài 6m</t>
  </si>
  <si>
    <t>Thanh C75.75, dày 0,75mm BMT,thanh dài 6m</t>
  </si>
  <si>
    <t>Thanh C75.100, dày 1,00mm BMT, thanh dài 6m</t>
  </si>
  <si>
    <t>Thanh C100.75, dày 0,75mm BMT, thanh dài 6m</t>
  </si>
  <si>
    <t>Thanh C100.100, dày 1,00mm BMT, thanh dài 6m</t>
  </si>
  <si>
    <t>Thanh TS35.48, dày 0,48mm BMT, thanh dài 6m</t>
  </si>
  <si>
    <t>Thanh TS40.48, dày 0,60mm BMT, thanh dài 6m</t>
  </si>
  <si>
    <t>Thanh TS60.60, dày 0,75mm BMT, thanh dài 6m</t>
  </si>
  <si>
    <t>Thanh TS60,75, dày 1,00mm BMT, thanh dài 6m</t>
  </si>
  <si>
    <t xml:space="preserve"> - Phụ kiện :</t>
  </si>
  <si>
    <t>Vít liên kết 12-14x20mm, loại KH-Đìa loan</t>
  </si>
  <si>
    <t>Vít liên kết ITW BTEK 12-14x20mm, class 2</t>
  </si>
  <si>
    <t>Vít liên kết ITW BTEK 12-14x20mm, class 3</t>
  </si>
  <si>
    <t>Vít liên kết (d=6mm)</t>
  </si>
  <si>
    <t>Bulon đạn M12 và ty răng 8.8 - M12x100mm, 2 long đền, 2 tán</t>
  </si>
  <si>
    <t>Bulon đạn dùng cho thanh la-hệ mái bê tông</t>
  </si>
  <si>
    <t>Bas liên kết đỉnh kèo mạ nhôm kẽm, dày 1.0mm</t>
  </si>
  <si>
    <t>Bas liên kết kèo và đà, dày 2.0mm</t>
  </si>
  <si>
    <t xml:space="preserve">Máng xối thung lũng đở ngói khổ 400mm, mạ nhôm kẽm 0.45mm </t>
  </si>
  <si>
    <t>Diềm mái dày 0.45mm</t>
  </si>
  <si>
    <t>Thanh valley rafter U40, mạ nhôm kẽm, dày 0.75mm</t>
  </si>
  <si>
    <t>Thanh la mạ kẽm, dày 2.00mm</t>
  </si>
  <si>
    <t>Thanh giằng mái khổ 50mm, mạ nhôm kẽm, dày 0.75mm</t>
  </si>
  <si>
    <t>XI</t>
  </si>
  <si>
    <t>TOLE CÁC LOẠI :</t>
  </si>
  <si>
    <t>Đai kẹp mạ kẽm KL65</t>
  </si>
  <si>
    <t>Vít gắn đai Klip-Lok vào xà thép &lt; 5mm, 10 - 24 x 22mm</t>
  </si>
  <si>
    <t>Vít gắn đai Klip-Lok vào xà thép &gt; 5mm, 2 - 24 x 32mm</t>
  </si>
  <si>
    <t>Vít gắn mối nối Klip-Lok vào xà thép &lt; 5mm, 12 - 14 x 68mm</t>
  </si>
  <si>
    <t xml:space="preserve"> * Công ty TNHH BLUESCOPE STEEL Việt Nam:</t>
  </si>
  <si>
    <t>Tole dày 0,41mm khổ 1,07m</t>
  </si>
  <si>
    <t>Tole dày 0,44mm khổ 1,07m</t>
  </si>
  <si>
    <t>Tole dày 0,46mm khổ 1,07m</t>
  </si>
  <si>
    <t>Tole dày 0,49mm khổ 1,07m</t>
  </si>
  <si>
    <t>Tole dày 0,52mm khổ 1,07m</t>
  </si>
  <si>
    <t xml:space="preserve"> *Tole Cty Motilen Cần Thơ (1/2B, đường 30/4, phường Xuân Khánh, Q.Ninh Kiều-Tp.Cần Thơ)</t>
  </si>
  <si>
    <t>- Tole lạnh mạ hợp kim cán sóng vuông</t>
  </si>
  <si>
    <t>Tole lạnh dày 0,30mm khổ 1,07m</t>
  </si>
  <si>
    <t>Tole lạnh dày 0,40mm khổ 1,07m</t>
  </si>
  <si>
    <t>Tole lạnh dày 0,42mm khổ 1,07m</t>
  </si>
  <si>
    <t>Tole lạnh dày 0,45mm khổ 1,07m</t>
  </si>
  <si>
    <t>- Tole mạ kẽm cán sóng vuông</t>
  </si>
  <si>
    <t>Tole lạnh dày 0,26mm khổ 1,07m</t>
  </si>
  <si>
    <t>Tole lạnh dày 0,35mm khổ 1,07m</t>
  </si>
  <si>
    <t>Tole lạnh dày 0,38mm khổ 1,07m</t>
  </si>
  <si>
    <t>- Tole mạ màu cán sóng vuông (màu xanh ngọc)</t>
  </si>
  <si>
    <t>Tole lạnh dày 0,33mm khổ 1,07m</t>
  </si>
  <si>
    <t>Tole lạnh dày 0,37mm khổ 1,07m</t>
  </si>
  <si>
    <t>- Tấm trần Ceidek dày 0,41mm APT (thép Apex,AZ100;G550;Khổ rộng 150mm)</t>
  </si>
  <si>
    <t>- Khung treo trần Ceidek -C43x27-0.05mmTCT-cây 3m</t>
  </si>
  <si>
    <t>- Dây treo trần đk 4mm-dài 3m</t>
  </si>
  <si>
    <t>- Tăng đơ cho dây treo đk 4mm</t>
  </si>
  <si>
    <t>-Thanh chính FirelockTee 3660x24x38 mm</t>
  </si>
  <si>
    <t>-Thanh phụ dài FirelockTee 1220x24x28 mm</t>
  </si>
  <si>
    <t>-Thanh góc 3660x24x24 mm</t>
  </si>
  <si>
    <t>-Thanh phụ ngắn FirelockTee 610x24x28 mm</t>
  </si>
  <si>
    <t>Trần khung chìm Boral, tấm tiêu chuẩn 9 mm, khung SupraCeil mạ nhôm kẽm</t>
  </si>
  <si>
    <t>-Thanh chính và thanh phụ 37x15x0.5x 4,000 mm</t>
  </si>
  <si>
    <t>-Thanh góc 20x20x0.5x2400 mm</t>
  </si>
  <si>
    <t>Khoảng cách khung 407x1200. Bộ treo Lagyp Supra Khoảng cách 1200x1200 mm</t>
  </si>
  <si>
    <t>Xử lý mối nối bẳng băng keo giấy và bột Easy Joint 90.</t>
  </si>
  <si>
    <t>Trần khung chìm Boral, tấm tiêu chuẩn 9 mm, khung PTCeil mạ kẽm</t>
  </si>
  <si>
    <t>-Thanh chính và thanh phụ 35x14x0.32x4,000 mm.</t>
  </si>
  <si>
    <t>-Thanh góc 20x20x0.32x2400 mm.</t>
  </si>
  <si>
    <t xml:space="preserve">Khoảng cách khung 407x1000 mm. </t>
  </si>
  <si>
    <t>Nhựa Đài Loan ốp trần rộng 0,25m hữu dụng</t>
  </si>
  <si>
    <t>GẠCH, NGÓI CÁC LOẠI:</t>
  </si>
  <si>
    <t>* Cty CP Địa ốc An Giang SX (giao hàng tại Nhà máy cấu kiện bê tông An Giang, xã Vĩnh Thạnh Trung, Châu Phú)</t>
  </si>
  <si>
    <t>Gạch Terrazzo - lát vĩa hè</t>
  </si>
  <si>
    <t>Quy cách (400 x 400)mm, dày 30mm (+/-1.3) màu đỏ, vàng, tím</t>
  </si>
  <si>
    <t>Quy cách (400 x 400)mm, dày 30mm (+/-1.3) màu xám, xám tro</t>
  </si>
  <si>
    <t>Gạch Block bê tông nhẹ:</t>
  </si>
  <si>
    <t>đ/viên</t>
  </si>
  <si>
    <t xml:space="preserve"> *Cơ sở gạch huyện Châu Thành (cách cầu Chắc Cà Đao 2 km)</t>
  </si>
  <si>
    <t>Gạch ống loại 1 (7,5 x 7,5 x 17,5)</t>
  </si>
  <si>
    <t>Gạch ống loại 2 (7,5 x 7,5 x 17,5)</t>
  </si>
  <si>
    <t>Gạch thẻ loại 1 (3,5 x 7,5 x 17,5)</t>
  </si>
  <si>
    <t>Gạch thẻ loại 2 (3,5 x 7,5 x 17,5)</t>
  </si>
  <si>
    <t xml:space="preserve"> * Cơ sở gạch huyện Châu Phú (cách thị trấn Cái Dầu 2,5 km)</t>
  </si>
  <si>
    <t xml:space="preserve"> * Cơ sở gạch huyện Chợ Mới (cách thị trấn Chợ Mới 5 km)</t>
  </si>
  <si>
    <t xml:space="preserve"> * Cơ sở gạch huyện Phú Tân (cách thị trấn Phú Tân 3 km)</t>
  </si>
  <si>
    <t xml:space="preserve"> *Giá bán tại nhà máy gạch ngói Tuynel Long Xuyên (giá xuất xưởng)</t>
  </si>
  <si>
    <t xml:space="preserve"> Gạch ống 9 x 9 x 19</t>
  </si>
  <si>
    <t xml:space="preserve"> Gạch thẻ 9 x 19</t>
  </si>
  <si>
    <t>Gạch cẩn (hóa chất)</t>
  </si>
  <si>
    <t>Gạch trang trí (Hauydi)</t>
  </si>
  <si>
    <t xml:space="preserve"> Ngói âm (hoá chất)</t>
  </si>
  <si>
    <t xml:space="preserve"> Ngói dương (hoá chất)</t>
  </si>
  <si>
    <t xml:space="preserve"> Ngói diềm âm (hóa chất)</t>
  </si>
  <si>
    <t xml:space="preserve"> Ngói diềm dương (hóa chất)</t>
  </si>
  <si>
    <t xml:space="preserve"> Ngói mũi hài (hoá chất)</t>
  </si>
  <si>
    <t xml:space="preserve"> Ngói vẫy rồng (hoá chất)</t>
  </si>
  <si>
    <t xml:space="preserve"> Ngói sắp nóc (hoá chất)</t>
  </si>
  <si>
    <t xml:space="preserve"> Ngói sắp nóc nhỏ (hoá chất)</t>
  </si>
  <si>
    <t xml:space="preserve"> * Giá gạch Cty CP Gạch ngói Đồng Nai  (Cty TNHH 195 Long Xuyên, số 197-199, phường Mỹ Bình - Tp.LX) : Theo bảng báo giá số 530/BG-GNĐN-KD ngày 13/5/2011)</t>
  </si>
  <si>
    <t xml:space="preserve">Gạch ống 9 x 9 x 19 </t>
  </si>
  <si>
    <t>Gạch thẻ 4,5 x 9 x 19</t>
  </si>
  <si>
    <t>Gạch tàu  2x30x30</t>
  </si>
  <si>
    <t>Gạch tàu  2x20x20</t>
  </si>
  <si>
    <t>Gạch lục giác  2x20x20</t>
  </si>
  <si>
    <t>Ngói 22 viên/m2</t>
  </si>
  <si>
    <t xml:space="preserve">Ngói vải cá </t>
  </si>
  <si>
    <t xml:space="preserve">Ngói con sò </t>
  </si>
  <si>
    <t xml:space="preserve">Ngói âm dương  </t>
  </si>
  <si>
    <t>Ngói mũi hài lớn</t>
  </si>
  <si>
    <t xml:space="preserve">Ngói mũi hài </t>
  </si>
  <si>
    <t>Ngói nóc</t>
  </si>
  <si>
    <t>Ngói chạc 3</t>
  </si>
  <si>
    <t>Ngói chạc 4</t>
  </si>
  <si>
    <t>Ngói nóc cuối</t>
  </si>
  <si>
    <t>Ngói nóc 2 đầu</t>
  </si>
  <si>
    <t>Ngói nóc nhỏ</t>
  </si>
  <si>
    <t>Ngói nóc (3kg), mã hiệu M001, 002, 004, 005</t>
  </si>
  <si>
    <t>Ngói rìa (3,1kg), mã hiệu M001, 002, 004, 005</t>
  </si>
  <si>
    <t>Ngói cuối nóc (4,8kg), mã hiệu M001, 002, 004, 005</t>
  </si>
  <si>
    <t>Ngói cuối mái (4kg), mã hiệu M001, 002, 004, 005</t>
  </si>
  <si>
    <t>Ngói ghép hai (3,5kg), mã hiệu M001, 002, 004, 005</t>
  </si>
  <si>
    <t>Ngói ghép ba (5,1kg), mã hiệu M001, 002, 004, 005</t>
  </si>
  <si>
    <t>Ngói ghép bốn (6,4kg), mã hiệu M001, 002, 004, 005</t>
  </si>
  <si>
    <t>Phụ kiện</t>
  </si>
  <si>
    <t xml:space="preserve">Vít thanh mè </t>
  </si>
  <si>
    <t>Tấm cach nhiệt 1,25x20m</t>
  </si>
  <si>
    <t>Ngói lợp LOPNL B608, L608, N608,..</t>
  </si>
  <si>
    <t>Ngói nóc có gờ, NOCGCL601QN, B801, D502QN,..</t>
  </si>
  <si>
    <t>Ngói ốp cuối nóc phải NNP608, 205, 206,..</t>
  </si>
  <si>
    <t>Ngói ốp cuối nóc trái NNT608, 205, 206,..</t>
  </si>
  <si>
    <t>Ngói ốp cuối rìa 205, 607, 805,..</t>
  </si>
  <si>
    <t xml:space="preserve"> * Giá bán gạch Tuynel tại nhà máy gạch Tri Tôn An Giang (giá xuất xưởng)</t>
  </si>
  <si>
    <t>Gạch ống 9 x 9 x 19</t>
  </si>
  <si>
    <t>Gạch ống 8 x 8 x 18</t>
  </si>
  <si>
    <t>Gạch thẻ 4 x 8 x 18</t>
  </si>
  <si>
    <t xml:space="preserve"> Gạch ống 8 x 8 x 18</t>
  </si>
  <si>
    <t xml:space="preserve"> Gạch thẻ 4 x 8 x 18</t>
  </si>
  <si>
    <t xml:space="preserve"> * Giá gạch men cao cấp ACERA giao tại nhà máy gạch ACERA An Giang : TCVN 6415</t>
  </si>
  <si>
    <t>số mới: 4069, 4073, 4080, 4081, 4082, 4086, 4087, 4089, 4092, 4093, 4094, 4106</t>
  </si>
  <si>
    <t>4107, 4108, 4110</t>
  </si>
  <si>
    <t xml:space="preserve"> Loại A</t>
  </si>
  <si>
    <t>đ/thùng</t>
  </si>
  <si>
    <t xml:space="preserve"> Loại A A</t>
  </si>
  <si>
    <t>Gạch thạch anh 30cm x 30cm (11 viên/thùng):</t>
  </si>
  <si>
    <t xml:space="preserve"> - Màu nhạt</t>
  </si>
  <si>
    <t xml:space="preserve"> - Màu đậm</t>
  </si>
  <si>
    <t>F25011, F25022, F250033 F25044,,,,</t>
  </si>
  <si>
    <t>F44001, F44002, F44003, F44004, F45001, F45002, F45003, …</t>
  </si>
  <si>
    <t>W24001, W24002, W24003, W24004, W24011, W24022, W24036, …</t>
  </si>
  <si>
    <t>- loại 1</t>
  </si>
  <si>
    <t>- loại 2</t>
  </si>
  <si>
    <t>Gạch bê tông 30cm x 30cm (loại 1) màu đỏ</t>
  </si>
  <si>
    <t>Gạch bê tông 30cm x 30cm (loại 1) màu vàng</t>
  </si>
  <si>
    <t>XIV</t>
  </si>
  <si>
    <t>THIẾT BỊ VỆ SINH:</t>
  </si>
  <si>
    <t xml:space="preserve">       </t>
  </si>
  <si>
    <t xml:space="preserve">Bàn cầu 2 khối TOTO CST660D1 </t>
  </si>
  <si>
    <t>Bàn cầu 2 khối TOTO CST744S3</t>
  </si>
  <si>
    <t>Sen tắm TOTO (TX432SH)</t>
  </si>
  <si>
    <t>Bàn cầu hai khối CARAVELLE PLUS, mã số VF-2321</t>
  </si>
  <si>
    <t>Bàn cầu hai khối WINSTON Plus, mã số VF-2396</t>
  </si>
  <si>
    <t>Bàn cầu hai khối SUPER CARAVELLE, mã số VF-2322</t>
  </si>
  <si>
    <t>Bàn cầu hai khối WINSTON, mã số VF-2395</t>
  </si>
  <si>
    <t>Xí xổm SQUAT, mã số VF-100</t>
  </si>
  <si>
    <t>Thùng xả SQUAT, mã số VF-100T</t>
  </si>
  <si>
    <t>Lavabo đặt trên bàn AQUALYN 520mm, mã số VF-0476</t>
  </si>
  <si>
    <t>Lavabo đặt dưới bàn OVALYN 535mm, mã số VF-0470</t>
  </si>
  <si>
    <t>Lavabo treo tường CASABLANCA 500mm, mã số VF-0969</t>
  </si>
  <si>
    <t>Lavabo treo tường GALA 465mm, mã số VF-0940</t>
  </si>
  <si>
    <t>Chân treo Lavabo CASABLANCA, mã số VF-0912</t>
  </si>
  <si>
    <t>Bồn tiểu nam MINI-WASHBROOK, mã số VF-6401</t>
  </si>
  <si>
    <t>Bồn tiểu nam WALL-URINAL, mã số VF-0412</t>
  </si>
  <si>
    <t>Bồn tiểu nam ECO, mã số VF-0414</t>
  </si>
  <si>
    <t>Vòi xịt TD-401</t>
  </si>
  <si>
    <t>Bộ cầu dài Ruby (nắp nhựa, phụ kiện gạt) - B0707TGTT</t>
  </si>
  <si>
    <t>Bộ cầu dài King (nắp nhựa, phụ kiện 2 nhấn) - B4829TS2T</t>
  </si>
  <si>
    <t>Thùng treo 06 (phụ kiện gạt treo) -TT06PKHAT</t>
  </si>
  <si>
    <t>Bồn tiểu 01 (chỉ tính  phần sứ) - UT01XVT</t>
  </si>
  <si>
    <t>XV</t>
  </si>
  <si>
    <t xml:space="preserve"> * Vải địa kỹ thuật không dệt, sợi dài liên tục, 100% PP chính phẩm, ổn định hóa UV; nơi sản xuất : Malaysia</t>
  </si>
  <si>
    <t>Polyfelt TS 10 (4m x 300m)</t>
  </si>
  <si>
    <t>Polyfelt TS 20 (4m x 250m)</t>
  </si>
  <si>
    <t>Polyfelt TS 30 (4m x 225m)</t>
  </si>
  <si>
    <t>Polyfelt TS 40 (4m x 200m)</t>
  </si>
  <si>
    <t>Polyfelt TS 50 (4m x 175m)</t>
  </si>
  <si>
    <t>Polyfelt TS 60 (4m x 135m)</t>
  </si>
  <si>
    <t>Polyfelt TS 65 (4m x 125m)</t>
  </si>
  <si>
    <t>Polyfelt TS 70 (4m x 100m)</t>
  </si>
  <si>
    <t>Polyfelt TS 80 (4m x 90m)</t>
  </si>
  <si>
    <t xml:space="preserve"> * Rọ đá bọc nhựa PVC: Thép mạ kẽm trung bình &gt;50g/m2 (TCVN 2053:1993)</t>
  </si>
  <si>
    <t xml:space="preserve">  - Rọ và thảm đá bọc nhựa PVC, loại P8 (8 x 10)cm: </t>
  </si>
  <si>
    <t>Dây đan 2,2 - 3,2mm; dây viền 2,7 - 3,7mm</t>
  </si>
  <si>
    <t>Dây đan 2,4 - 3mm; dây viền 2,7 - 3,7mm</t>
  </si>
  <si>
    <t>Dây đan 2,7 - 3,7mm; dây viền 3,4 - 4,4mm</t>
  </si>
  <si>
    <t xml:space="preserve">  - Rọ và thảm đá bọc nhựa PVC, loại P10 (10 x 12)cm: </t>
  </si>
  <si>
    <t>Dây đan 2,4 - 3,4mm; dây viền 2,7 - 3,7mm</t>
  </si>
  <si>
    <t>XVI</t>
  </si>
  <si>
    <t>MÁY LẠNH CÁC LOẠI : không bao gồm vật tư và nhân công lắp đặt</t>
  </si>
  <si>
    <t>Công suất: 1HP</t>
  </si>
  <si>
    <t>Công suất: 1,5HP</t>
  </si>
  <si>
    <t>Công suất: 2HP</t>
  </si>
  <si>
    <t xml:space="preserve"> - Máy lạnh hiệu Aikibi (loại treo tường cao cấp - LUXURIOUS) tiết kiệm 30% điện năng</t>
  </si>
  <si>
    <t>Công suất: 2,5HP</t>
  </si>
  <si>
    <t xml:space="preserve"> - Máy lạnh hiệu Toshiba :</t>
  </si>
  <si>
    <t xml:space="preserve"> - Máy lạnh hiệu Panasonic (loại thường) :</t>
  </si>
  <si>
    <t xml:space="preserve"> - Máy lạnh hiệu Panasonic (loại ion) :</t>
  </si>
  <si>
    <t xml:space="preserve"> - Máy lạnh hiệu Mitsubishi Heavy (loại ion) :</t>
  </si>
  <si>
    <t xml:space="preserve"> - Máy lạnh hiệu LG :</t>
  </si>
  <si>
    <t>XVII</t>
  </si>
  <si>
    <t>QUẠT ĐIỆN CÁC LOẠI :</t>
  </si>
  <si>
    <t>Quạt đảo Dowin</t>
  </si>
  <si>
    <t>Quạt treo 2 dây</t>
  </si>
  <si>
    <t>Quạt treo công nghiệp 2 dây</t>
  </si>
  <si>
    <t>Quạt hút 2,5 tấc Dowin</t>
  </si>
  <si>
    <t>Quạt hút trần 2,5T Dowin</t>
  </si>
  <si>
    <t>Quạt treo Sankyo</t>
  </si>
  <si>
    <t>Quạt đứng CN Sakyo</t>
  </si>
  <si>
    <t>Quạt trần MIDIE điện quang 1,2m</t>
  </si>
  <si>
    <t>Quạt trần MIDIE điện quang 1,4m</t>
  </si>
  <si>
    <t>XVIII</t>
  </si>
  <si>
    <t>SƠN TƯỜNG, BỘT TRÉT TƯỜNG CÁC LOẠI :</t>
  </si>
  <si>
    <t>Sơn Bạch Tuyết màu trắng (thùng 3kg)</t>
  </si>
  <si>
    <t>Sơn Bạch Tuyết màu xanh (thùng 3kg)</t>
  </si>
  <si>
    <t xml:space="preserve"> * Sơn NIPPON các loại: </t>
  </si>
  <si>
    <t>Sơn lót nội thất chống kềm VINILEX 5101 (thùng 18lít)</t>
  </si>
  <si>
    <t>Sơn lót ngoại thất chống kềm SUMO SEALER (thùng 18lít)</t>
  </si>
  <si>
    <t>Sơn nước nội thất NIPPON SUPPER EASY WASH (thùng 17 lít)</t>
  </si>
  <si>
    <t>Sơn nước nội thất NIPPON MATEX (thùng 18 lít)</t>
  </si>
  <si>
    <t>Sơn nước nội thất MATEX SUPPER WHITE (thùng 18 lít)</t>
  </si>
  <si>
    <t>Sơn nước nội thất VATEX (thùng 17 lít)</t>
  </si>
  <si>
    <t>Sơn nước nội thất ODOURLESS (thùng 5 lít)</t>
  </si>
  <si>
    <t>Sơn nước nội thất NIPPON METEX LIGHT (thùng 18 lít)</t>
  </si>
  <si>
    <t>Sơn ngoại thất HITEX chống nóng (thùng 18 lít )</t>
  </si>
  <si>
    <t>Sơn ngoại thất SUPER MATEX (thùng 18 lít)</t>
  </si>
  <si>
    <t>Sơn ngoại thất WEATHERGERD(thùng 5 lít)</t>
  </si>
  <si>
    <t>Sơn dầu TILAC (lon 5 lít )</t>
  </si>
  <si>
    <t>Sơn chống sét BILAC METAL PRIMER RED OXIDE (thùng 5 lít)</t>
  </si>
  <si>
    <t>Bột trét trong nhà SKIMCOAT SINGLE STAR (bao 40kg)</t>
  </si>
  <si>
    <t>Bột trét ngoài trời SKIMCOAT DOUBLE STAR (bao 40kg)</t>
  </si>
  <si>
    <t>Bột trét ngoài trời SKIMCOAT chống nóng</t>
  </si>
  <si>
    <t>Bột trét tường trong nhà SPRING (bao 40kg)</t>
  </si>
  <si>
    <t>Bột trét tường ngoài nhà SPRING (bao 40kg)</t>
  </si>
  <si>
    <t>Bột trét nội thất BOSS (bao 40kg)</t>
  </si>
  <si>
    <t>Bột trét nội và ngoại thất BOSS (bao 40kg)</t>
  </si>
  <si>
    <t>Chống thấm BOSS STOP ONE (lon 5 lít - 4,5kg)</t>
  </si>
  <si>
    <t>Chống thấm BOSS STOP ONE (thùng 18 lít - 20,5kg)</t>
  </si>
  <si>
    <t>Sơn nước trong nhà SPRING (thùng 18 lít - 26,3kg)</t>
  </si>
  <si>
    <t>Sơn nước nội thất MATT FINISH (thùng 18 lít -26,3kg)</t>
  </si>
  <si>
    <t>Sơn nước nội thất CLEAN MAX - lau chùi dễ dàng (thùng 18 lít - 26,6kg)</t>
  </si>
  <si>
    <t>Sơn nước ngoài nhà SPRING  - màu thường (thùng 18 lít - 24,6kg)</t>
  </si>
  <si>
    <t>Sơn nước ngoại thất SHELL SHINE-màu thường (thùng 18 lít-22kg)</t>
  </si>
  <si>
    <t>Sơn phủ gốc dầu chống ố vàng SOLVENTMORE (lon 5 lít-6,13kg)</t>
  </si>
  <si>
    <t xml:space="preserve"> * Sơn Kim Cương các loại: </t>
  </si>
  <si>
    <t xml:space="preserve"> Sơn nội thất DIVA INTERIOR, loại 18 lít (26kg)</t>
  </si>
  <si>
    <t>Sơn nội thất KITTY INTERIOR, loại 18 lít (25,5kg)</t>
  </si>
  <si>
    <t xml:space="preserve"> Sơn ngoại thất DIVA EXTERIOR, loại 18 lít (26kg)</t>
  </si>
  <si>
    <t>Sơn ngoại thất KITTY EXTERIOR, loại 18 lít (23kg)</t>
  </si>
  <si>
    <t>Sơn bóng nội và ngoại thất SAPPHIRE HIGH SHEEN</t>
  </si>
  <si>
    <t xml:space="preserve"> - Loại 18 lít (22kg)</t>
  </si>
  <si>
    <t xml:space="preserve"> - Loại 5 lít (6kg)</t>
  </si>
  <si>
    <t>Sơn ngoại thất Sapphire (5 trong 1) siêu bóng</t>
  </si>
  <si>
    <t>Sơn chống kiềm 100% ACRYLIC Sapphire, loại 18 lít (17kg)</t>
  </si>
  <si>
    <t>Phụ gia chống thấm (keo DGD 501) loại 10 lít (10kg)</t>
  </si>
  <si>
    <t>Dầu bóng chống thấm, rong rêu, loại 18 lít (19,5kg)</t>
  </si>
  <si>
    <t>Bột trét tường KIMCOAT (nội thất) bao 40kg</t>
  </si>
  <si>
    <t>Bột trét tường KIMCOAT ngoại thất) bao 40kg</t>
  </si>
  <si>
    <t>Bột trét tường DIVA (nội thất) bao 40kg</t>
  </si>
  <si>
    <t>Bột trét tường DIVA (ngoại thất) bao 40kg</t>
  </si>
  <si>
    <t>Bột trét tường KITTY (nội thất) bao 40kg</t>
  </si>
  <si>
    <t>Bột trét tường KITTY (ngoại thất) bao 40kg</t>
  </si>
  <si>
    <t>Bột trét tường SAPPHIRE siêu mịn bao 40kg</t>
  </si>
  <si>
    <t>Bột gấm (thùng 20kg)</t>
  </si>
  <si>
    <t>Sơn trong nhà ALEX (3in1)  thùng/25 kg</t>
  </si>
  <si>
    <t>Sơn ngoài trời ALEX (5in1)  thùng/20 kg</t>
  </si>
  <si>
    <t>Sơn bóng trong nhà ALEX (satin) thùng/25 kg</t>
  </si>
  <si>
    <t>Sơn bóng ngoài trời ALEX (Super)  lon/7 kg</t>
  </si>
  <si>
    <t>Sơn lót chống kềm ngoài trời ALEX (Sealer 6000) thùng/25kg</t>
  </si>
  <si>
    <t>Sơn lót chống kềm trong nhà ALEX (Chống kềm) thùng/25kg</t>
  </si>
  <si>
    <t>Sơn chống nóng ALEX (PRO) lon/7kg</t>
  </si>
  <si>
    <t>Sơn chống thấm ALEX (Prevent) thùng/20kg</t>
  </si>
  <si>
    <t>Sơn trong nhà BASIS INTERIOR (thùng/18lít)</t>
  </si>
  <si>
    <t>Bột trét Basis (bao/40kg)</t>
  </si>
  <si>
    <t xml:space="preserve"> * Sơn EXPO : DNTH Hải Viễn (khóm I, TT Chi Lăng huyện Tịnh Biên-AG) : Theo báo giá ngày 01/01/2012</t>
  </si>
  <si>
    <t>Sơn ngoài trời EXPO SATIN 6+1 FOR EXTERIOR (loại 18 lít)</t>
  </si>
  <si>
    <t>Sơn trong nhà EXPO SATIN 6+1 FOR EXTERIOR (loại 18 lít)</t>
  </si>
  <si>
    <t>Sơn lót EXPO ALKALI FOR EXTERIOR ngoài trời (thùng/18lít)</t>
  </si>
  <si>
    <t>Sơn lót EXPO ALKALI FOR INTERIOR trong nhà  (thùng/18lít)</t>
  </si>
  <si>
    <t>Bột trét trong và ngoài EXPO POWDER PUTTY FOR INTERIOR &amp; EXTIERIOR (bao/40kg)</t>
  </si>
  <si>
    <t>XIX</t>
  </si>
  <si>
    <t>CHUYÊN NGÀNH NƯỚC:</t>
  </si>
  <si>
    <t xml:space="preserve">  - Ống PVC Đệ Nhất ISO 4422 # TCVN 6151:</t>
  </si>
  <si>
    <t xml:space="preserve">  fi 16    (dày 1,5 mm) </t>
  </si>
  <si>
    <t xml:space="preserve">  fi 20    (dày 1,5 mm)</t>
  </si>
  <si>
    <t xml:space="preserve">  fi 25    (dày 1,5 mm)</t>
  </si>
  <si>
    <t xml:space="preserve">  fi 32    (dày 1,6 mm)</t>
  </si>
  <si>
    <t xml:space="preserve">  fi 40    (dày 1,9 mm)</t>
  </si>
  <si>
    <t xml:space="preserve">  fi 50    (dày 2,4 mm)</t>
  </si>
  <si>
    <t xml:space="preserve">  fi 63    (dày 1,9 mm)</t>
  </si>
  <si>
    <t xml:space="preserve">  fi 75    (dày 2,2 mm)</t>
  </si>
  <si>
    <t xml:space="preserve">  fi 90    (dày 2,2 mm)</t>
  </si>
  <si>
    <t xml:space="preserve">  fi 110  (dày 2,7 mm)</t>
  </si>
  <si>
    <t xml:space="preserve">  fi 140  (dày 4,1 mm)</t>
  </si>
  <si>
    <t xml:space="preserve">  fi 160  (dày 4,0 mm)</t>
  </si>
  <si>
    <t xml:space="preserve">  fi 200  (dày 4,9 mm) </t>
  </si>
  <si>
    <t xml:space="preserve"> - Ống PVC Đệ Nhất ASTM 2241 # BS 3505 và B908:</t>
  </si>
  <si>
    <t xml:space="preserve">  fi 21    (dày 1,7 mm)</t>
  </si>
  <si>
    <t xml:space="preserve">  fi 27    (dày 1,9 mm)</t>
  </si>
  <si>
    <t xml:space="preserve">  fi 34    (dày 2,1 mm)</t>
  </si>
  <si>
    <t xml:space="preserve">  fi 42    (dày 2,1 mm)</t>
  </si>
  <si>
    <t xml:space="preserve">  fi 49    (dày 2,5 mm)</t>
  </si>
  <si>
    <t xml:space="preserve">  fi 60    (dày 2,5 mm)</t>
  </si>
  <si>
    <t xml:space="preserve">  fi 60    (dày 3,0 mm)</t>
  </si>
  <si>
    <t xml:space="preserve">  fi 73    (dày 3,0 mm)</t>
  </si>
  <si>
    <t xml:space="preserve">  fi 76    (dày 3,0 mm)</t>
  </si>
  <si>
    <t xml:space="preserve">  fi  90   (dày 3,0 mm)</t>
  </si>
  <si>
    <t xml:space="preserve">  fi 114  (dày 3,5 mm)</t>
  </si>
  <si>
    <t xml:space="preserve">  fi 114  (dày 5,0 mm)</t>
  </si>
  <si>
    <t xml:space="preserve">  fi 140  (dày 3,5 mm)</t>
  </si>
  <si>
    <t xml:space="preserve">  fi 140  (dày 5,0 mm)</t>
  </si>
  <si>
    <t xml:space="preserve">  fi 168  (dày 4,5 mm)</t>
  </si>
  <si>
    <t xml:space="preserve"> - Phụ kiện Đệ Nhất tiêu chuẩn ASTM hệ inch - loại dày:</t>
  </si>
  <si>
    <t xml:space="preserve"> Nối fi 42 (1-1/4")</t>
  </si>
  <si>
    <t xml:space="preserve"> Nối fi 49 (1-1/2")</t>
  </si>
  <si>
    <t xml:space="preserve"> Nối fi 60 (2")</t>
  </si>
  <si>
    <t xml:space="preserve"> Nối fi 76 (2-1/2")</t>
  </si>
  <si>
    <t xml:space="preserve"> Nối fi 90 (3") </t>
  </si>
  <si>
    <t xml:space="preserve"> Nối fi 114 (4")</t>
  </si>
  <si>
    <t xml:space="preserve"> Nối fi 168 (6")</t>
  </si>
  <si>
    <t xml:space="preserve"> Chữ  T fi 21 (1/2") </t>
  </si>
  <si>
    <t xml:space="preserve"> Chữ  T fi 27 (3/4") </t>
  </si>
  <si>
    <t xml:space="preserve"> Chữ  T fi 34 (1") </t>
  </si>
  <si>
    <t xml:space="preserve"> Chữ  T fi 42 (1-1/4") </t>
  </si>
  <si>
    <t xml:space="preserve"> Chữ  T fi 49 (1-1/2") </t>
  </si>
  <si>
    <t xml:space="preserve"> Chữ  T fi 60 (2") </t>
  </si>
  <si>
    <t xml:space="preserve"> Chữ  T fi 76 (2 - 1/2") </t>
  </si>
  <si>
    <t xml:space="preserve"> Chữ  T fi 90 (3") </t>
  </si>
  <si>
    <t xml:space="preserve"> Chữ  T fi 114 (4") </t>
  </si>
  <si>
    <t xml:space="preserve"> Chữ  T fi 168 (6") </t>
  </si>
  <si>
    <t xml:space="preserve"> - Phụ kiện Đệ Nhất tiêu chuẩn ISO hệ mét - loại dày:</t>
  </si>
  <si>
    <t xml:space="preserve"> Nối fi 75</t>
  </si>
  <si>
    <t xml:space="preserve"> Nối fi 90</t>
  </si>
  <si>
    <t xml:space="preserve"> Nối fi 110</t>
  </si>
  <si>
    <t xml:space="preserve"> Nối fi 140  </t>
  </si>
  <si>
    <t xml:space="preserve"> Nối fi 160  </t>
  </si>
  <si>
    <t xml:space="preserve"> Nối fi 200  </t>
  </si>
  <si>
    <t xml:space="preserve"> Chữ T fi 50 </t>
  </si>
  <si>
    <t xml:space="preserve"> Chữ T fi 63 </t>
  </si>
  <si>
    <t xml:space="preserve"> Chữ T fi 75 </t>
  </si>
  <si>
    <t xml:space="preserve"> Chữ T fi 90 </t>
  </si>
  <si>
    <t xml:space="preserve"> Chữ T fi 110 </t>
  </si>
  <si>
    <t xml:space="preserve"> Chữ T fi 140</t>
  </si>
  <si>
    <t xml:space="preserve"> Chữ T fi 160</t>
  </si>
  <si>
    <t xml:space="preserve"> Chữ T fi 200</t>
  </si>
  <si>
    <t xml:space="preserve"> Keo dán ống Đệ Nhất (loại 1kg)</t>
  </si>
  <si>
    <t>đ/lon</t>
  </si>
  <si>
    <t xml:space="preserve"> - Ống uPVC - Ống gân Bình Minh: Tiêu chuẩn BS 3505:1968 (hệ Inch)</t>
  </si>
  <si>
    <t xml:space="preserve">  fi  21    (dày 1,6 mm) PN 15 bar</t>
  </si>
  <si>
    <t xml:space="preserve">  fi  27    (dày 1,8 mm) PN 12 bar</t>
  </si>
  <si>
    <t xml:space="preserve">  fi  34    (dày 2,0 mm) PN 12 bar</t>
  </si>
  <si>
    <t xml:space="preserve">  fi  42    (dày 2,1 mm) PN 9 bar</t>
  </si>
  <si>
    <t xml:space="preserve">  fi  49    (dày 2,4 mm) PN 9 bar</t>
  </si>
  <si>
    <t xml:space="preserve">  fi  60    (dày 2,0 mm) PN 6 bar</t>
  </si>
  <si>
    <t xml:space="preserve">  fi  90    (dày 2,9 mm) PN 6 bar</t>
  </si>
  <si>
    <t xml:space="preserve">  fi  114  (dày 3,8 mm) PN 6 bar</t>
  </si>
  <si>
    <t xml:space="preserve">  fi  114  (dày 4,9 mm) PN 9 bar</t>
  </si>
  <si>
    <t xml:space="preserve">  fi  168  (dày 4,3 mm) PN 3 bar</t>
  </si>
  <si>
    <t xml:space="preserve">  fi  220  (dày 5,1 mm) PN 3bar</t>
  </si>
  <si>
    <t xml:space="preserve"> - Ống uPVC Bình Minh: TCVN 6151:1996 - ISO 4422: 1990 (hệ mét)</t>
  </si>
  <si>
    <t xml:space="preserve">  fi  63 x 1,6mm PN 5 bar</t>
  </si>
  <si>
    <t xml:space="preserve">  fi  63 x 1,9mm PN 6 bar</t>
  </si>
  <si>
    <t xml:space="preserve">  fi  75 x 2,2mm PN 6 bar</t>
  </si>
  <si>
    <t xml:space="preserve">  fi  90 x 2,7mm PN 6 bar</t>
  </si>
  <si>
    <t xml:space="preserve">  fi  110 x 3,2mm PN 6 bar</t>
  </si>
  <si>
    <t xml:space="preserve">  fi  140 x 4,1mm PN 6 bar</t>
  </si>
  <si>
    <t xml:space="preserve">  fi  160 x 4mm PN 4 bar</t>
  </si>
  <si>
    <t xml:space="preserve">  fi  160 x 7,7mm PN 10 bar</t>
  </si>
  <si>
    <t xml:space="preserve">  fi  200 x 5,9mm PN 6 bar</t>
  </si>
  <si>
    <t xml:space="preserve"> - Ống uPVC Bình Minh: Tiêu chuẩn AS 1477:1996 CIOD (nối với ống gang)</t>
  </si>
  <si>
    <t xml:space="preserve">  fi  100 x 6,7mm PN 12 bar</t>
  </si>
  <si>
    <t xml:space="preserve">  fi  150 x 9,7mm PN 12 bar</t>
  </si>
  <si>
    <t xml:space="preserve"> - Ống uPVC Bình Minh: Tiêu chuẩn CIOD ISO 2531 (nối với ống gang)</t>
  </si>
  <si>
    <t xml:space="preserve">  fi  200 x 9,7mm PN 10 bar</t>
  </si>
  <si>
    <t xml:space="preserve">  fi  200 x 11,4mm PN 12,5 bar</t>
  </si>
  <si>
    <t xml:space="preserve"> - Phụ tùng cho ống uPVC Bình Minh:</t>
  </si>
  <si>
    <t xml:space="preserve"> Nối trơn  21  dày</t>
  </si>
  <si>
    <t xml:space="preserve"> Nối trơn  27  dày</t>
  </si>
  <si>
    <t xml:space="preserve"> Nối trơn  34  dày</t>
  </si>
  <si>
    <t xml:space="preserve"> Nối trơn  42  dày</t>
  </si>
  <si>
    <t xml:space="preserve"> Nối trơn  49  dày</t>
  </si>
  <si>
    <t xml:space="preserve"> Nối trơn  60  dày</t>
  </si>
  <si>
    <t xml:space="preserve"> Nối trơn  75D TC </t>
  </si>
  <si>
    <t xml:space="preserve"> Nối trơn  90  dày</t>
  </si>
  <si>
    <t xml:space="preserve"> Nối trơn  110 TC </t>
  </si>
  <si>
    <t xml:space="preserve"> Nối trơn  114 dày</t>
  </si>
  <si>
    <t xml:space="preserve"> Nối trơn  140 TC </t>
  </si>
  <si>
    <t xml:space="preserve"> Nối trơn  160 TC </t>
  </si>
  <si>
    <t xml:space="preserve"> Nối trơn  168 TC </t>
  </si>
  <si>
    <t xml:space="preserve"> Chữ  T fi 21 dày</t>
  </si>
  <si>
    <t xml:space="preserve"> Chữ  T fi 27 dày</t>
  </si>
  <si>
    <t xml:space="preserve"> Chữ  T fi 34 dày</t>
  </si>
  <si>
    <t xml:space="preserve"> Chữ  T fi 42 dày</t>
  </si>
  <si>
    <t xml:space="preserve"> Chữ  T fi 49 dày</t>
  </si>
  <si>
    <t xml:space="preserve"> Chữ  T fi 60 dày</t>
  </si>
  <si>
    <t xml:space="preserve"> Chữ  T fi 75 dày</t>
  </si>
  <si>
    <t xml:space="preserve"> Chữ  T fi 90 dày</t>
  </si>
  <si>
    <t xml:space="preserve"> Chữ  T fi 110 dày</t>
  </si>
  <si>
    <t xml:space="preserve"> Chữ  T fi 114 dày</t>
  </si>
  <si>
    <t xml:space="preserve"> Chữ  T fi 140 dày</t>
  </si>
  <si>
    <t xml:space="preserve"> Keo dán ống Bình Minh (loại 1kg)</t>
  </si>
  <si>
    <t>Que hàn nhựa</t>
  </si>
  <si>
    <t xml:space="preserve"> - Ống HDPE Bình Minh: (tiêu chuẩn/Standard ISO 4427-2:2007)</t>
  </si>
  <si>
    <t xml:space="preserve"> D180 x 10,7mm  PN 10 bar</t>
  </si>
  <si>
    <t xml:space="preserve"> D180 x 13,3mm  PN 12,5 bar</t>
  </si>
  <si>
    <t xml:space="preserve"> D180 x 16,4m  PN 16 bar</t>
  </si>
  <si>
    <t xml:space="preserve"> D200 x 11,9mm  PN 10 bar</t>
  </si>
  <si>
    <t xml:space="preserve"> D200 x 14,7mm  PN 12,5 bar</t>
  </si>
  <si>
    <t xml:space="preserve"> D200 x 18,2m  PN 16 bar</t>
  </si>
  <si>
    <t xml:space="preserve"> D225 x 13,4mm  PN 10 bar</t>
  </si>
  <si>
    <t xml:space="preserve"> D225 x 16,6mm  PN 12,5 bar</t>
  </si>
  <si>
    <t xml:space="preserve"> D225 x 20,5m  PN 16 bar</t>
  </si>
  <si>
    <t xml:space="preserve"> D250 x 14,8mm  PN 10 bar</t>
  </si>
  <si>
    <t xml:space="preserve"> D250 x 18,4mm  PN 12,5 bar</t>
  </si>
  <si>
    <t xml:space="preserve"> D250 x 22,7m  PN 16 bar</t>
  </si>
  <si>
    <t xml:space="preserve"> D280 x 16,6mm  PN 10 bar</t>
  </si>
  <si>
    <t xml:space="preserve"> D280 x 20,6mm  PN 12,5 bar</t>
  </si>
  <si>
    <t xml:space="preserve"> D280 x 25,4m  PN 16 bar</t>
  </si>
  <si>
    <t xml:space="preserve"> D315 x 18,7mm  PN 10 bar</t>
  </si>
  <si>
    <t xml:space="preserve"> D315 x 23,2mm  PN 12,5 bar</t>
  </si>
  <si>
    <t xml:space="preserve"> D315 x 28,6m  PN 16 bar</t>
  </si>
  <si>
    <t xml:space="preserve"> - Ống uPVC Tân Tiến - tiêu chuẩn BS 3505: 1968 (hệ In)</t>
  </si>
  <si>
    <t>Ống uPVC Þ 21mm x 1,6mm</t>
  </si>
  <si>
    <t>đ/mét</t>
  </si>
  <si>
    <t>Ống uPVC Þ 21mm x 2,0mm</t>
  </si>
  <si>
    <t>Ống uPVC Þ 27mm x 1,8mm</t>
  </si>
  <si>
    <t>Ống uPVC Þ 34mm x 1,8mm</t>
  </si>
  <si>
    <t>Ống uPVC Þ 42mm x 2,1mm</t>
  </si>
  <si>
    <t>Ống uPVC Þ 42mm x 3,5mm</t>
  </si>
  <si>
    <t>Ống uPVC Þ 49mm x 2,4mm</t>
  </si>
  <si>
    <t>Ống uPVC Þ 49mm x 3,5mm</t>
  </si>
  <si>
    <t>Ống uPVC Þ 60mm x 2,5mm</t>
  </si>
  <si>
    <t>Ống uPVC Þ 90mm x 2,7mm</t>
  </si>
  <si>
    <t>Ống uPVC Þ 90mm x 2,9mm</t>
  </si>
  <si>
    <t>Ống uPVC Þ 114mm x 3,2mm</t>
  </si>
  <si>
    <t>Ống uPVC Þ 114mm x 3,8mm</t>
  </si>
  <si>
    <t>Ống uPVC Þ 168mm x 4,3mm</t>
  </si>
  <si>
    <t xml:space="preserve"> - Ống uPVC Tân Tiến - tiêu chuẩn TCVN 6151:1996  tương đương tiêu chuẩn ISO 4422:1990 (hệ mét)</t>
  </si>
  <si>
    <t>Ống uPVC Þ 75mm x 3,0mm</t>
  </si>
  <si>
    <t>Ống uPVC Þ 110mm x 3,2mm</t>
  </si>
  <si>
    <t>Ống uPVC Þ 140mm x 4,1mm</t>
  </si>
  <si>
    <t>Ống uPVC Þ 160mm x 4,7mm</t>
  </si>
  <si>
    <t>Ống uPVC Þ 200mm x 5,9mm</t>
  </si>
  <si>
    <t xml:space="preserve"> - Ống uPVC Tân Tiến - tiêu chuẩn AS 1477:1996 &amp; AS 2977: 1998 (CIOD - nối với ống gang) </t>
  </si>
  <si>
    <t>Ống uPVC Þ100 (121mm x 6,7mm)</t>
  </si>
  <si>
    <t>Ống uPVC Þ 150 (177mm x 9,7mm)</t>
  </si>
  <si>
    <t>Ống uPVC Þ 150 (177mm x 11,7mm)</t>
  </si>
  <si>
    <t xml:space="preserve"> - Ống uPVC Tân Tiến - tiêu chuẩn CIOD 2531 (nối với ống gang) </t>
  </si>
  <si>
    <t>Ống uPVC Þ 200 (222mm x 9,7mm)</t>
  </si>
  <si>
    <t>Ống uPVC Þ 200 (222mm x 11,5mm)</t>
  </si>
  <si>
    <t>Ống uPVC Þ 200 (222mm x 13,7mm)</t>
  </si>
  <si>
    <t>Phụ kiện ống uPVC (Co, tê, nối, chữ Y, mặt bích, nối giảm, ...) căn cứ bảng giá của Cty Cổ phần Nhựa Tân Tiến để áp dụng.</t>
  </si>
  <si>
    <t xml:space="preserve"> - Ống HDPE - PE 100 Tân Tiến - tiêu chuẩn ISO 4427: 2007 hoặc DIN 8074:1999 </t>
  </si>
  <si>
    <t>Ống HDPE  Þ 20 x 2.0mm, áp lực (PN) 16 bar</t>
  </si>
  <si>
    <t>Ống HDPE  Þ 25 x 2.3mm, áp lực (PN) 16 bar</t>
  </si>
  <si>
    <t>Ống HDPE  Þ 32 x 3.0mm, áp lực (PN) 16 bar</t>
  </si>
  <si>
    <t>Ống HDPE  Þ 40 x 3.7mm, áp lực (PN) 16 bar</t>
  </si>
  <si>
    <t>Ống HDPE  Þ 50 x 3.7mm, áp lực (PN) 12,5 bar</t>
  </si>
  <si>
    <t>Ống HDPE  Þ 63 x 4.7mm, áp lực (PN) 12,5 bar</t>
  </si>
  <si>
    <t>Ống HDPE  Þ 75 x 5.6mm, áp lực (PN) 12,5 bar</t>
  </si>
  <si>
    <t>Ống HDPE  Þ 90 x 5.4mm, áp lực (PN) 10 bar</t>
  </si>
  <si>
    <t>Ống HDPE  Þ 110 x 6.6mm, áp lực (PN) 10 bar</t>
  </si>
  <si>
    <t>Ống HDPE  Þ 125 x 7.4mm, áp lực (PN) 10 bar</t>
  </si>
  <si>
    <t>Ống HDPE  Þ 140 x 8.3mm, áp lực (PN) 10 bar</t>
  </si>
  <si>
    <t>Ống HDPE  Þ 160 x 9.5mm, áp lực (PN) 10 bar</t>
  </si>
  <si>
    <t>Ống HDPE  Þ 180 x 10.7mm, áp lực (PN) 10 bar</t>
  </si>
  <si>
    <t>Ống HDPE  Þ 200 x 11.9mm, áp lực (PN) 10 bar</t>
  </si>
  <si>
    <t>* Công ty Cổ phần Nhựa Thiếu Niên Tiền Phong Phía Nam:</t>
  </si>
  <si>
    <t xml:space="preserve"> - Ống uPVC  - tiêu chuẩn BS 3505</t>
  </si>
  <si>
    <t>Ống uPVC Þ 60mm x 2,0mm</t>
  </si>
  <si>
    <t>Ống uPVC Þ 220mm x 5,1mm</t>
  </si>
  <si>
    <t xml:space="preserve"> - Phụ tùng cho ống uPVC Thiếu Niên Tiền Phong Phía Nam:</t>
  </si>
  <si>
    <t xml:space="preserve"> - Ống uPVC Minh Hùng</t>
  </si>
  <si>
    <t xml:space="preserve">  fi  21    (dày 1,4 mm) 12 bar</t>
  </si>
  <si>
    <t xml:space="preserve">  fi  27    (dày 1,6 mm) 12 bar</t>
  </si>
  <si>
    <t xml:space="preserve">  fi  34    (dày 1,8 mm) 9 bar</t>
  </si>
  <si>
    <t xml:space="preserve">  fi  42    (dày 1,8 mm) 9 bar</t>
  </si>
  <si>
    <t xml:space="preserve">  fi  49    (dày 1,8 mm) 6 bar</t>
  </si>
  <si>
    <t xml:space="preserve">  fi  60    (dày 2,0 mm) 6 bar</t>
  </si>
  <si>
    <t xml:space="preserve">  fi  76    (dày 3,0 mm) 8 bar</t>
  </si>
  <si>
    <t xml:space="preserve">  fi  90    (dày 2,9 mm) 6 bar</t>
  </si>
  <si>
    <t xml:space="preserve">  fi  114    (dày 2,6 mm) 5 bar</t>
  </si>
  <si>
    <t xml:space="preserve">  fi  168    (dày 3,5 mm) 4 bar</t>
  </si>
  <si>
    <t xml:space="preserve">  fi  220   (dày 5,1 mm) 4bar</t>
  </si>
  <si>
    <t xml:space="preserve"> - Ống HDPE Minh Hùng</t>
  </si>
  <si>
    <t xml:space="preserve"> fi 25 x 2.0mm,12,5 bar</t>
  </si>
  <si>
    <t xml:space="preserve"> fi 63 x 3.8mm,10 bar</t>
  </si>
  <si>
    <t xml:space="preserve"> fi 110 x 6,6mm,10bar</t>
  </si>
  <si>
    <t xml:space="preserve"> fi 200 x 9,6mm,8 bar</t>
  </si>
  <si>
    <t xml:space="preserve"> - Ống PPR Minh Hùng</t>
  </si>
  <si>
    <t>fi  20 x 1,9mm,10 bar</t>
  </si>
  <si>
    <t>fi  32 x 2,9mm,10 bar</t>
  </si>
  <si>
    <t>fi  63 x 5,8mm,10 bar</t>
  </si>
  <si>
    <t>XX</t>
  </si>
  <si>
    <t>BỒN NƯỚC CÁC LOẠI:</t>
  </si>
  <si>
    <t xml:space="preserve"> * Bồn Inox Đại Sơn (kể cả chân bồn):</t>
  </si>
  <si>
    <t>Loại 1000 lít (bồn đứng) Inox dày 0,5mm</t>
  </si>
  <si>
    <t>Loại 1500 lít (bồn đứng) Inox dày 0,5mm</t>
  </si>
  <si>
    <t>Loại 2000 lít (bồn đứng) Inox dày 0,5mm</t>
  </si>
  <si>
    <t>Loại 1000 lít (bồn đứng) Inox dày 0,6mm</t>
  </si>
  <si>
    <t>Loại 1500 lít (bồn đứng)  Inox dày 0,6mm</t>
  </si>
  <si>
    <t>Loại 2000 lít (bồn đứng)  Inox dày 0,9mm</t>
  </si>
  <si>
    <t>Loại 3000 lít (bồn đứng) Inox dày 0,9mm</t>
  </si>
  <si>
    <t>Loại 4000 lít (bồn đứng) Inox dày 0,9mm</t>
  </si>
  <si>
    <t>Loại 5000 lít (bồn đứng) Inox dày 0,9mm</t>
  </si>
  <si>
    <t>XXI</t>
  </si>
  <si>
    <t>Boulon 22x500 (thân to) 2ĐR Mạ nhúng</t>
  </si>
  <si>
    <t>Boulon 22x650 (thân to) 2ĐR Mạ nhúng</t>
  </si>
  <si>
    <t>Boulon 22x500 (thân ốm) VRS</t>
  </si>
  <si>
    <t>Boulon 22x800 (thân ốm) VRS</t>
  </si>
  <si>
    <t>Boulon 22x650 (thân ốm) VRS</t>
  </si>
  <si>
    <t>Boulon 22x450 (thân to) VRS</t>
  </si>
  <si>
    <t>Boulon 16x250 mắt Nhúng Zn</t>
  </si>
  <si>
    <t>Boulon 16x300 mắt Nhúng Zn</t>
  </si>
  <si>
    <t>Boulon 16x300 VRS  Nhúng Zn</t>
  </si>
  <si>
    <t>Boulon 16x250  Nhúng Zn</t>
  </si>
  <si>
    <t>Boulon 16x300  Nhúng Zn</t>
  </si>
  <si>
    <t>Boulon 16x350  Nhúng Zn</t>
  </si>
  <si>
    <t>LB FCO 15/27kv - 200A (ABB - USA)</t>
  </si>
  <si>
    <t>FCO 15/27 kv - 100A (ABB - USA)</t>
  </si>
  <si>
    <t>Dây chảy từ 25 -30K (rise Sun -Đài Loan)</t>
  </si>
  <si>
    <t>Sứ chuỗi Polimer 25KV  HQ</t>
  </si>
  <si>
    <t>đ/chuỗi</t>
  </si>
  <si>
    <t>LA 18KV - 10KA - polimer (GE-US)+kn</t>
  </si>
  <si>
    <t>Rack 1 - 3mm</t>
  </si>
  <si>
    <t>Rack 2 - 3mm</t>
  </si>
  <si>
    <t>Rack 3 - 3mm</t>
  </si>
  <si>
    <t>Rack 4 - 3mm</t>
  </si>
  <si>
    <t>Sứ ống chỉ (Minh Long)</t>
  </si>
  <si>
    <t>Sứ  chằng</t>
  </si>
  <si>
    <t>Sứ đứng + ty không bọc chì (Minh Long)</t>
  </si>
  <si>
    <t>Chân sứ đỉnh cong dài 870 RC</t>
  </si>
  <si>
    <t>Chân sứ đỉnh thẳng dài 870 RC</t>
  </si>
  <si>
    <t>Giá treo MBT 1 pha 50 KVA</t>
  </si>
  <si>
    <t>Giá treo MBT 3 pha 50 KVA</t>
  </si>
  <si>
    <t>Codê fi 21 kẹp ống PVC</t>
  </si>
  <si>
    <t>Codê fi 34 kẹp ống PVC</t>
  </si>
  <si>
    <t>Codê fi 114 kẹp ống PVC</t>
  </si>
  <si>
    <t>Ốc xiết cáp 38mm2 (không chêm)</t>
  </si>
  <si>
    <t>Ốc xiết cáp 2/0</t>
  </si>
  <si>
    <t>Kẹp đồng chẽ 22mm2</t>
  </si>
  <si>
    <t>Cosse ép Cu  50mm2</t>
  </si>
  <si>
    <t>Cosse ép Cu 70mm2</t>
  </si>
  <si>
    <t>Cosse ép Cu 22mm2</t>
  </si>
  <si>
    <t>Cosse ép Cu 38mm2</t>
  </si>
  <si>
    <t>Ống nối dây AC 50 có lõi thép</t>
  </si>
  <si>
    <t xml:space="preserve">đ/ống </t>
  </si>
  <si>
    <t>Ống nối dây AC 70 có lõi thép</t>
  </si>
  <si>
    <t>Ống nối dây AC 120 có lõi thép</t>
  </si>
  <si>
    <t>Ống nối dây AC 240 có lõi thép</t>
  </si>
  <si>
    <t>Ống nối dây AC 120 không lõi thép</t>
  </si>
  <si>
    <t>Ống nối dây AC 240 không lõi thép</t>
  </si>
  <si>
    <t>Kẹp nhôm AC 50-70</t>
  </si>
  <si>
    <t xml:space="preserve">Kẹp nhôm AC 95 </t>
  </si>
  <si>
    <t>Kẹp quai 2/0</t>
  </si>
  <si>
    <t>Kẹp quai 4/0</t>
  </si>
  <si>
    <t>Kẹp quai 2/0 có ty</t>
  </si>
  <si>
    <t>Kẹp hotline 2/0</t>
  </si>
  <si>
    <t>Kẹp hotline 4/0</t>
  </si>
  <si>
    <t>Splitbolt Cu250mm2</t>
  </si>
  <si>
    <t>Kẹp đồng nhôm (SL1)</t>
  </si>
  <si>
    <t>Kẹp đồng nhôm (SL2)</t>
  </si>
  <si>
    <t>Kẹp đồng nhôm (SL3)</t>
  </si>
  <si>
    <t>Kẹp ngừng 3U-3mm (50-70mm)</t>
  </si>
  <si>
    <t>Móc treo chữ U fi 16</t>
  </si>
  <si>
    <t>Ống sắt tráng kẽm fi 21 Mạ nhúng-3m</t>
  </si>
  <si>
    <t>Kẹp chằng 3 boulon (B46) Nhúng Zn</t>
  </si>
  <si>
    <t>Bộ chằng lệch fi 60 (ống 1,2m) Nhúng Zn</t>
  </si>
  <si>
    <t>Bộ chằng lệch fi 60 (ống 1,5m) Nhúng Zn</t>
  </si>
  <si>
    <t>Cáp thép chằng 3/8" Nhúng Zn</t>
  </si>
  <si>
    <t>Máng che dây chằng (sơn vàng) Nhúng Zn</t>
  </si>
  <si>
    <t>Yếm cáp Nhúng Zn</t>
  </si>
  <si>
    <t>Cọc tiếp địa 16 x2400 mạ Cu</t>
  </si>
  <si>
    <t>Kẹp cọc tiếp địa cu</t>
  </si>
  <si>
    <t>Xà V75 x75 x6x2000-(2 ốp) Mạ nhúng</t>
  </si>
  <si>
    <t>Xà V75 x75 x6x2000-(3 ốp) Mạ nhúng</t>
  </si>
  <si>
    <t>Xà V75 x75 x6x2400-(4 ốp) Mạ nhúng</t>
  </si>
  <si>
    <t>Xà V75 x75 x8x2400-(4 ốp) Mạ nhúng</t>
  </si>
  <si>
    <t xml:space="preserve">Chống V50 x50x5x2100 </t>
  </si>
  <si>
    <t xml:space="preserve">Chống PLATE 5x50x920 </t>
  </si>
  <si>
    <t>Chống PLATE 6x60x920</t>
  </si>
  <si>
    <t>Giá U 80x600 bắt FCO và LA</t>
  </si>
  <si>
    <t>Đà U 100 - 800</t>
  </si>
  <si>
    <t>Đà U 100 - 1000</t>
  </si>
  <si>
    <t>Đà U 100 - 1130</t>
  </si>
  <si>
    <t>Đà U 160 - 1000</t>
  </si>
  <si>
    <t>Đà U 160 - 3000</t>
  </si>
  <si>
    <t>CB 3P - 600V-75A  (LG)</t>
  </si>
  <si>
    <t>CB 3P - 600V-125A  (LG)</t>
  </si>
  <si>
    <t>Ty neo fi 16 x 2400</t>
  </si>
  <si>
    <t>Ty neo fi 22 x 2400</t>
  </si>
  <si>
    <t>Ty neo fi 22 x 3000</t>
  </si>
  <si>
    <t>Lông đền vuông 18(50x50x2,5)</t>
  </si>
  <si>
    <t>Lông đền vuông 24 -80x80x5</t>
  </si>
  <si>
    <t>Dây dẫn</t>
  </si>
  <si>
    <t>Dây nhôm trần lõi thép As, ACKP&lt;=50mm2</t>
  </si>
  <si>
    <t>Dây nhôm trần lõi thép As, ACKP&gt;50mm2-95mm2</t>
  </si>
  <si>
    <t>Dây nhôm bọc AV -50-750V(19/1.8)</t>
  </si>
  <si>
    <t>Dây nhôm bọc AV -70-750V (19/2.4)</t>
  </si>
  <si>
    <t>Dây đồng bọc 24kv -M25mm2</t>
  </si>
  <si>
    <t>Dây đồng bọc CV - 25-750V (0,6/kv)</t>
  </si>
  <si>
    <t>Dây đồng bọc CV - 38-750V (19/1.8)</t>
  </si>
  <si>
    <t>Dây đồng bọc CV - 50-750V (19/1.8)</t>
  </si>
  <si>
    <t>Dây đồng bọc CV - 70-750V (19/2.14)</t>
  </si>
  <si>
    <t>Dây đồng bọc CV - 120-750V (19/2.14)</t>
  </si>
  <si>
    <t>Dây đồng bọc CV - 150-750V (19/2.6)</t>
  </si>
  <si>
    <t>Dây đồng bọc CV - 240-750V (61/2.25)</t>
  </si>
  <si>
    <t>Dây đồng mềm CVV 8x2,5 mm</t>
  </si>
  <si>
    <t>Dây đồng mềm CVV 4x2,5 mm</t>
  </si>
  <si>
    <t>Cáp đồng trần C-&gt;11 đến 38mm2</t>
  </si>
  <si>
    <t>Dây Duplex 2x38mm2</t>
  </si>
  <si>
    <t>Dây Duplex 2x22mm2</t>
  </si>
  <si>
    <t>Dây Duplex 2x11mm2</t>
  </si>
  <si>
    <t>Dây Duplex 2x7mm2</t>
  </si>
  <si>
    <t>Dây Muller 2x38mm2</t>
  </si>
  <si>
    <t>Dây Muller 2x22mm2</t>
  </si>
  <si>
    <t>Dây Muller 2x11mm2</t>
  </si>
  <si>
    <t>Dây Muller 2x7mm2</t>
  </si>
  <si>
    <t>DÂY VÀ CÁP ĐIỆN FADACO</t>
  </si>
  <si>
    <t>Dây đơn cứng ruột đồng VC-1.0  12/10</t>
  </si>
  <si>
    <t>Dây đơn cứng ruột đồng VC-2.0  16/10</t>
  </si>
  <si>
    <t>Dây đơn cứng ruột đồng VC-3.0  20/10</t>
  </si>
  <si>
    <t>Dây đơn cứng ruột đồng VC-5.0  26/10</t>
  </si>
  <si>
    <t>Dây đơn cứng ruột đồng VC-7  30/10</t>
  </si>
  <si>
    <t>Dây đôi mềm ruột đồng VCMD 2x0,5     2x16</t>
  </si>
  <si>
    <t>Dây đôi mềm ruột đồng VCMD 2x0,75   2x24</t>
  </si>
  <si>
    <t>Dây đôi mềm ruột đồng VCMD 2x1        2x32</t>
  </si>
  <si>
    <t>Dây đôi mềm ruột đồng VCMD 2x1,5     2x30</t>
  </si>
  <si>
    <t xml:space="preserve">Cáp đôi dẹp mềm ruột đồng VCMO 2x1,5    </t>
  </si>
  <si>
    <t xml:space="preserve">Cáp đôi dẹp mềm ruột đồng VCMO 2x2,5    </t>
  </si>
  <si>
    <t xml:space="preserve">Cáp đôi dẹp mềm ruột đồng VCMO 2x4,0  </t>
  </si>
  <si>
    <t xml:space="preserve">Cáp đôi dẹp mềm ruột đồng VCMO 2x6,0 </t>
  </si>
  <si>
    <t>Cáp đơn mềm ruột đồng VCM 1,5</t>
  </si>
  <si>
    <t>Cáp đơn mềm ruột đồng VCM 2,5</t>
  </si>
  <si>
    <t>Cáp đơn mềm ruột đồng VCM 4,0</t>
  </si>
  <si>
    <t>Cáp đơn mềm ruột đồng VCM 6,0</t>
  </si>
  <si>
    <t>DÂY VÀ CÁP ĐIỆN CADI-SUN</t>
  </si>
  <si>
    <t>Cáp nhôm trần  A10, 7 sợi, đ.k 1.35mm</t>
  </si>
  <si>
    <t>Cáp nhôm trần  A50, 7 sợi, đ.k 3.00mm</t>
  </si>
  <si>
    <t>Cáp nhôm trần A70, 7 sợi, đ.k 3.55mm</t>
  </si>
  <si>
    <t>Cáp nhôm trần A95, 7 sợi, đ.k 4.10mm</t>
  </si>
  <si>
    <t>Cáp nhôm trần A120, 19 sợi, đ.k 2.80mm</t>
  </si>
  <si>
    <t>Cáp nhôm trần lõi thép As 50/8.0, 7 sợi, đ.k 3.2mm</t>
  </si>
  <si>
    <t>C.nhôm trần lõi thép As 120/19 (thép 7 sợi, đ.k 1.85mm; nhôm 26 sợi, đ.k 2.4mm)</t>
  </si>
  <si>
    <t>C.nhôm trần lõi thép As 120/27 (thép 7 sợi, đ.k 2.2mm; nhôm 30 sợi, đ.k 2.2mm)</t>
  </si>
  <si>
    <t>C.nhôm trần lõi thép As 185/24 (thép 7 sợi, đ.k 2.1mm; nhôm 24 sợi, đ.k 3.15mm)</t>
  </si>
  <si>
    <t>C.nhôm lõi thép bọc cách điện PVC AsV 50/8.0, 7 sợi, đ.k 3.2mm</t>
  </si>
  <si>
    <t>C.nhôm lõi thép bọc cách điện PVC AsV 70/11, 7 sợi, đ.k 3.8mm</t>
  </si>
  <si>
    <t>C.nhôm lõi thép bọc cách điện PVC AsV 95/16, 7 sợi, đ.k 4.5mm</t>
  </si>
  <si>
    <t>C.nhôm lõi thép bọc cách điện PVC AsV 120/19 (thép 7 sợi, đ.k 1.85mm; nhôm 26 sợi, đ.k 2.4mm)</t>
  </si>
  <si>
    <t>C.nhôm đơn bọc cách điện PVC AV 50, 7 sợi, đ.k 3.00mm</t>
  </si>
  <si>
    <t>C.nhôm đơn bọc cách điện PVC AV 70, 7 sợi, đ.k 3.55mm</t>
  </si>
  <si>
    <t>C.nhôm đơn bọc cách điện PVC AV 95, 7 sợi, đ.k 4.1mm</t>
  </si>
  <si>
    <t>C.nhôm đơn bọc cách điện PVC AV 120, 19 sợi, đ.k 2.8mm</t>
  </si>
  <si>
    <t>C.nhôm đơn bọc cách điện XLPE, có vỏ bọc ngoài PVC AXV 25, 7 sợi, đ.k 2.13mm</t>
  </si>
  <si>
    <t>C.nhôm vặn xoắn 2 ruột ABC 2x70, 19 sợi, đ.k 2.16mm</t>
  </si>
  <si>
    <t>MÁNG BỘ SIÊU MỎNG T8/T10- GREENLIGHT (gồm: máng + tăng phô cơ)</t>
  </si>
  <si>
    <t>Máng đèn néon đơn 0,6m - T8/T10</t>
  </si>
  <si>
    <t>Máng đèn néon đơn 1,2m - T8/T10</t>
  </si>
  <si>
    <t>Máng đèn néon đôi 1,2m - đuôi hình Oval</t>
  </si>
  <si>
    <t>Máng đèn néon đơn 0,6m đuôi hình Oval (Xanh dương - Xanh lá)</t>
  </si>
  <si>
    <t>Máng đèn néon đơn 1,2m đuôi hình Oval (Xanh dương - Xanh lá)</t>
  </si>
  <si>
    <t>Máng đèn néon  đơn 0,6m dẹp đầu điện tử (có bóng T8) Rạng Đông</t>
  </si>
  <si>
    <t>Máng đèn néon  đơn 1,2m dẹp đầu điện tử (có bóng T8) Rạng Đông</t>
  </si>
  <si>
    <t>Bóng Compact 2U/5W Sáng trắng &amp; vàng (Philips)</t>
  </si>
  <si>
    <t>Bóng Compact 2U/8W Sáng trắng &amp; vàng (Philips)</t>
  </si>
  <si>
    <t>Bóng Compact 3U/14W Sáng trắng &amp; vàng (Philips)</t>
  </si>
  <si>
    <t>Bóng Compact xoắn 15W Sáng trắng &amp; vàng (Philips)</t>
  </si>
  <si>
    <t>Bóng Compact xoắn 20W Sáng trắng &amp; vàng (Philips)</t>
  </si>
  <si>
    <t>Bóng Compact xoắn 24W Sáng trắng &amp; vàng (Philips)</t>
  </si>
  <si>
    <t>Cầu dao tự động (BH) 2P 20A (DAFON)</t>
  </si>
  <si>
    <t>Cầu dao tự động (BH) 2P 30A (DAFON)</t>
  </si>
  <si>
    <t>Cầu dao tự động (BH) 2P 40A (DAFON)</t>
  </si>
  <si>
    <t>Cầu dao tự động (BH) 2P 50A (DAFON)</t>
  </si>
  <si>
    <t>Cầu dao tự động (BH) 2P 60A (DAFON)</t>
  </si>
  <si>
    <t>Cầu dao tự động (BH) 2P 75A (DAFON)</t>
  </si>
  <si>
    <t>Ống luồng dây điện vuông 2 cm, dài 1,7m (DUC UY)</t>
  </si>
  <si>
    <t>Ống luồng dây điện vuông 2,5cm, dài 1,7m (DUC UY)</t>
  </si>
  <si>
    <t>Ống luồng dây điện vuông 3cm, dài 1,7m (DUC UY)</t>
  </si>
  <si>
    <t>Ống luồng dây điện vuông 4cm, dài 1,7m (DUC UY)</t>
  </si>
  <si>
    <t xml:space="preserve"> * Đèn chiếu sáng công cộng (bao gồm bóng và linh kiện) Công ty Việtnam Schréder (TP.HCM) sản xuất.</t>
  </si>
  <si>
    <t>ONYX S 100W HPS T-E40, IP 66, chụp kính, mã chóa 1097</t>
  </si>
  <si>
    <t>ONYX S  150W HPS T-E40, IP 66, chụp kính, mã chóa 1097</t>
  </si>
  <si>
    <t>ONYX S 250W HPS T-E40, IP 66, chụp kính, mã chóa 1097</t>
  </si>
  <si>
    <t>ONYX S 100W HPS - IP 66, chụp kính, mã chóa 1419</t>
  </si>
  <si>
    <t>ONYX S 150W HPS - IP 66, chụp kính, mã chóa 1419</t>
  </si>
  <si>
    <t>ONYX S 250W HPS - IP 66, chụp kính, mã chóa 1419</t>
  </si>
  <si>
    <t>Z2 Super 100W HPS T-E40, IP 65, chụp kính, mã chóa 1093</t>
  </si>
  <si>
    <t>Z2 Super 150W HPS T-E40, IP 65, chụp kính, mã chóa 1093</t>
  </si>
  <si>
    <t>Z2 Super 250W HPS T-E40, IP 65, chụp kính, mã chóa 1093</t>
  </si>
  <si>
    <t>Z1 70W HQS, E27, IP 54, chụp nhựa, mã chóa 1659</t>
  </si>
  <si>
    <t>Z1 125W HQL E27, IP 54, chụp nhựa, mã chóa 1659</t>
  </si>
  <si>
    <t>CB LSE cóc 101 ( 10, 15, 20, 30A)</t>
  </si>
  <si>
    <t>CB LSE cóc 40A</t>
  </si>
  <si>
    <t>CB LSE chống giật 63A</t>
  </si>
  <si>
    <t>Dây điện 12/10 Cadivi</t>
  </si>
  <si>
    <t>Dây điện 16/10 Cadivi</t>
  </si>
  <si>
    <t>Dây điện 20/10 Cadivi</t>
  </si>
  <si>
    <t>Dây điện 30/10 Cadivi</t>
  </si>
  <si>
    <t>Dây điện CV 1.0 Cadivi</t>
  </si>
  <si>
    <t>Dây điện CV 2.0 Cadivi</t>
  </si>
  <si>
    <t>Dây điện CV 3.0 Cadivi</t>
  </si>
  <si>
    <t>Dây điện CV 4.0 Cadivi</t>
  </si>
  <si>
    <t>Dây điện CV 5.0 Cadivi</t>
  </si>
  <si>
    <t>Dây điện CV 7.0 Cadivi</t>
  </si>
  <si>
    <t>Dây điện CV 25 Cadivi</t>
  </si>
  <si>
    <t>Dây điện CV 38 Cadivi</t>
  </si>
  <si>
    <t>Dây điện CV 50 Cadivi</t>
  </si>
  <si>
    <t>Ống ruột gà fi16 màu  xám camel</t>
  </si>
  <si>
    <t>Ống ruột gà fi20 màu  xám camel</t>
  </si>
  <si>
    <t>Ống ruột gà fi25 màu xám camel</t>
  </si>
  <si>
    <t>Ống ruột gà fi16 màu trắng camel</t>
  </si>
  <si>
    <t>Ống ruột gà fi20 màu trắng camel</t>
  </si>
  <si>
    <t>Ống ruột gà fi25 màu trắng camel</t>
  </si>
  <si>
    <t>XXII</t>
  </si>
  <si>
    <t>CỬA VÀ KÍNH CÁC LOẠI :</t>
  </si>
  <si>
    <t xml:space="preserve">  - Cửa sổ, cửa đi, vách ngăn Viet Window  -TCVN 7451:2004 (bao gồm phần khuôn, cánh cửa và phụ kiện kim khí), kính trắng Việt-Nhật 5mm:</t>
  </si>
  <si>
    <t>Vách kính, kích thước 1mx1m</t>
  </si>
  <si>
    <t>Cửa sổ 2 cánh mở trượt, kích thước 1,4mx1,4m</t>
  </si>
  <si>
    <t>Cửa sổ 2 cánh mở quay lật vào trong, kích thước 1,4mx1,4m</t>
  </si>
  <si>
    <t>Cửa sổ 2 cánh mở quay ra ngoài, kích thước 1,4mx1,4m</t>
  </si>
  <si>
    <t>Cửa sổ 1 cánh mở hất ra ngoài, kích thước 0,6mx1,4m</t>
  </si>
  <si>
    <t xml:space="preserve">Cửa sổ 1 cánh mở quay lật vào trong, kích thước 0,6m x1,4m </t>
  </si>
  <si>
    <t>Cửa đi thông phòng/ban công 1 cánh,  kích thước 0,9mx2,2m</t>
  </si>
  <si>
    <t>Cửa đi thông phòng/ban công 2 cánh, kích thước 1,4mx2,2m</t>
  </si>
  <si>
    <t>Cửa đi 2 cánh mở quay ra ngoài, kích thước 1,4mx2,2m</t>
  </si>
  <si>
    <t xml:space="preserve">Cửa đi 2 cánh mở trượt, kích thước 1,6mx 2,2m </t>
  </si>
  <si>
    <t>- Sản phẩm nhựa TILA Window (gồm kính 5mm)</t>
  </si>
  <si>
    <t>Vách kính, kích thước 1,5mx3,0m</t>
  </si>
  <si>
    <t xml:space="preserve">Cửa sổ 1 cánh mở quay lật vào trong, kích thước 0,9m x2,2m </t>
  </si>
  <si>
    <t>Cửa đi thông phòng  0,9mx2,2m</t>
  </si>
  <si>
    <t>- Nhôm YNGHUA sơn tĩnh điện (gồm kính 5mm)</t>
  </si>
  <si>
    <t>Vách kính, kích thước 1,6mx2,2m</t>
  </si>
  <si>
    <t>Cửa đi chính 1 cánh mở quayi, kích thước 1,6mx2,2m, hệ 700</t>
  </si>
  <si>
    <t xml:space="preserve"> * Cơ khí Mê Linh sản xuất:</t>
  </si>
  <si>
    <t xml:space="preserve">  - Cửa sắt (bao gồm nhân công lắp đặt)</t>
  </si>
  <si>
    <t xml:space="preserve"> Cửa giả gỗ loại thường</t>
  </si>
  <si>
    <t xml:space="preserve"> Cửa giả gỗ có bông</t>
  </si>
  <si>
    <t>Khung cửa thường trơn</t>
  </si>
  <si>
    <t xml:space="preserve"> Cửa đi sắt kéo không lá</t>
  </si>
  <si>
    <t xml:space="preserve"> Cửa đi sắt kéo có lá</t>
  </si>
  <si>
    <t xml:space="preserve"> Cửa đi có khuôn bông (không kính)</t>
  </si>
  <si>
    <t xml:space="preserve"> Cửa sổ có khuôn bông (không kính)</t>
  </si>
  <si>
    <t xml:space="preserve">  - Cửa nhôm trắng Việt Nhật + kính 5 ly (bao gồm nhân công lắp đặt kính)</t>
  </si>
  <si>
    <t xml:space="preserve"> Cửa sổ nhôm lùa hệ 500</t>
  </si>
  <si>
    <t xml:space="preserve"> Cửa sổ nhôm lùa hệ 700</t>
  </si>
  <si>
    <t xml:space="preserve"> Cửa sổ bật kính 5 ly</t>
  </si>
  <si>
    <t xml:space="preserve"> Cửa đi kính 5 ly hệ 700</t>
  </si>
  <si>
    <t xml:space="preserve"> Cửa đi kính 5 ly hệ 1000</t>
  </si>
  <si>
    <t xml:space="preserve"> Cửa nhôm cuốn sơn tĩnh điện dày 6zem mạ Inox (bao gồm lắp đặt)</t>
  </si>
  <si>
    <t xml:space="preserve"> Cửa nhôm cuốn sơn tĩnh điện dày 8zem mạ Inox (bao gồm lắp đặt)</t>
  </si>
  <si>
    <t xml:space="preserve">  - Kính 5 ly các loại (bao gồm nhân công lắp đặt)</t>
  </si>
  <si>
    <t>Kính màu trắng</t>
  </si>
  <si>
    <t>XXIII</t>
  </si>
  <si>
    <t>CẦU THÉP CÁC LOẠI:</t>
  </si>
  <si>
    <t>Cầu thép nông thôn: Cty Cổ phần Cơ khí An Giang sản xuất (giao hàng tại Cty trên phương tiện bên mua)</t>
  </si>
  <si>
    <t>* Cầu thép NT 1.6, tải trọng xe đơn 1,2 tấn</t>
  </si>
  <si>
    <t xml:space="preserve"> - Sơn bảo vệ bề mặt:</t>
  </si>
  <si>
    <t>NT 1.6N (trọng lượng 167kg/mét dài)</t>
  </si>
  <si>
    <t>đ/mdài</t>
  </si>
  <si>
    <t>01 Đoạn nối nhịp (trọng lượng 15,5kg/mét dài)</t>
  </si>
  <si>
    <t>đ/đoạn</t>
  </si>
  <si>
    <t>01 Đoạn sàn đầu cầu (trọng lượng 146,5kg/mét dài)</t>
  </si>
  <si>
    <t xml:space="preserve"> - Mạ kẽm bảo vệ bề mặt:</t>
  </si>
  <si>
    <t>NT 1.6 N (trọng lượng 167kg/mét dài)</t>
  </si>
  <si>
    <t>* Cầu thép NT 2.2 bề rộng mặt cầu 2,0m, tải trọng xe đơn 2,8 tấn</t>
  </si>
  <si>
    <t>NT 2.2 K (trọng lượng 245kg/mét dài)</t>
  </si>
  <si>
    <t>01 Đoạn nối nhịp (trọng lượng 20kg/mét dài)</t>
  </si>
  <si>
    <t>01 Đoạn sàn đầu cầu (trọng lượng 211kg/mét dài)</t>
  </si>
  <si>
    <t>* Cầu thép NT 2.6 bề rộng mặt cầu 2,5m, tải trọng xe đơn 5 tấn; đoàn xe thô sơ H2.8</t>
  </si>
  <si>
    <t>NT 2.6 M (trọng lượng 370kg/mét dài)</t>
  </si>
  <si>
    <t>01 Đoạn nối nhịp (trọng lượng 32kg/mét dài)</t>
  </si>
  <si>
    <t>01 Đoạn sàn đầu cầu (trọng lượng 271kg/mét dài)</t>
  </si>
  <si>
    <t>01 Đoạn nối nhịp (trọng lượng 148,5kg/mét dài)</t>
  </si>
  <si>
    <t>01 Đoạn sàn đầu cầu (trọng lượng 749,5kg/mét dài)</t>
  </si>
  <si>
    <t>* Cầu thép NT 3.2 bề rộng mặt cầu 3,0m; tải trọng xe đơn 5 tấn; đoàn xe thô sơ H2.8</t>
  </si>
  <si>
    <t>01 Đoạn nối nhịp (trọng lượng 34kg/mét dài)</t>
  </si>
  <si>
    <t>01 Đoạn sàn đầu cầu (trọng lượng 290,5kg/mét dài)</t>
  </si>
  <si>
    <t>NT 3.2 MT (trọng lượng 510kg/mét dài)</t>
  </si>
  <si>
    <t>01 Đoạn nối nhịp (trọng lượng 183,5kg/mét dài)</t>
  </si>
  <si>
    <t>01 Đoạn sàn đầu cầu (trọng lượng 889kg/mét dài)</t>
  </si>
  <si>
    <t xml:space="preserve"> - Mạ kẽm bảo vệ bề mặt: </t>
  </si>
  <si>
    <t xml:space="preserve">* Đoạn nối nhịp cầu NT3.6 (trọng lượng 215kg/mét dài) - mạ kẽm  </t>
  </si>
  <si>
    <t>01 Đoạn nối nhịp - mạ kẽm (trọng lượng 183.5kg/mét dài)</t>
  </si>
  <si>
    <t>01 Đoạn sàn đầu cầu - mạ kẽm (trọng lượng 889kg/mét dài)</t>
  </si>
  <si>
    <t>01 Đoạn nối nhịp (trọng lượng 215kg/mét dài)</t>
  </si>
  <si>
    <t>01 Đoạn sàn đầu cầu (trọng lượng 1040kg/mét dài)</t>
  </si>
  <si>
    <t>* 01 gối cầu, mạ kẽm bảo vệ bề mặt:</t>
  </si>
  <si>
    <t>Loại N, K, M (trọng lượng 12kg/mét dài)</t>
  </si>
  <si>
    <t>Loại A (trọng lượng 26kg/mét dài)</t>
  </si>
  <si>
    <t>Loại H, HA, HB cố định (trọng lượng 31kg/mét dài)</t>
  </si>
  <si>
    <t xml:space="preserve">* Cầu thép NT 2.6 bề rộng mặt cầu 2,5m: </t>
  </si>
  <si>
    <t>NT 2.6 B kết cấu 2/1 (trọng lượng 749kg/mét dài)</t>
  </si>
  <si>
    <t>NT 2.6 A kết cấu 2/1 (trọng lượng 856kg/mét dài)</t>
  </si>
  <si>
    <t>NT 2.6 H kết cấu 2/1 (trọng lượng 1000kg/mét dài)</t>
  </si>
  <si>
    <t>NT 2.6 HA kết cấu 2/1 (trọng lượng 1064g/mét dài)</t>
  </si>
  <si>
    <t>NT 2.6 HB kết cấu 2/1 (trọng lượng 1169kg/mét dài)</t>
  </si>
  <si>
    <t>Đoạn nối nhịp - quá độ (trọng lượng 166kg/mét dài)</t>
  </si>
  <si>
    <t>Đoạn sàn đầu cầu (trọng lượng 724g/mét dài)</t>
  </si>
  <si>
    <t xml:space="preserve">* Cầu thép NT 3.2 bề rộng mặt cầu 3,0m: </t>
  </si>
  <si>
    <t>NT 3.2 A kết cấu 2/1 (trọng lượng 970kg/mét dài)</t>
  </si>
  <si>
    <t>NT 3.2 H kết cấu 2/1 (trọng lượng 1112kg/mét dài)</t>
  </si>
  <si>
    <t>NT 3.2 HA kết cấu 2/1 (trọng lượng 1178kg/mét dài)</t>
  </si>
  <si>
    <t>NT 3.2 HB kết cấu 2/1 (trọng lượng 1284kg/mét dài)</t>
  </si>
  <si>
    <t>Đoạn nối nhịp  (trọng lượng 225kg/mét dài)</t>
  </si>
  <si>
    <t>Đoạn sàn đầu cầu (trọng lượng 1155g/mét dài)</t>
  </si>
  <si>
    <t xml:space="preserve">* Cầu thép NT 4.2 bề rộng mặt cầu 4,0m: </t>
  </si>
  <si>
    <t>NT 4.2 B kết cấu 2/1 (trọng lượng 1066kg/mét dài)</t>
  </si>
  <si>
    <t>Đoạn nối nhịp - quá độ (trọng lượng 322kg/mét dài)</t>
  </si>
  <si>
    <t>Đoạn sàn đầu cầu (trọng lượng 1540g/mét dài)</t>
  </si>
  <si>
    <t xml:space="preserve">* Gối cầu NT mạ kẽm bảo vệ bề mặt: </t>
  </si>
  <si>
    <t>Loại cầu A (trọng lượng 26kg/cái)</t>
  </si>
  <si>
    <t>Loại cầu B (trọng lượng 18kg/cái)</t>
  </si>
  <si>
    <t>Loại cầu H, HB (trọng lượng 31kg/cái)</t>
  </si>
  <si>
    <t>Loại cầu HC (trọng lượng 55kg/cái)</t>
  </si>
  <si>
    <t>CẦU THÉP: Công ty TNHH một thành viên ADI - Cơ khí Giao thông sản xuất (giao hàng tại Xưởng trên phương tiện bên mua)</t>
  </si>
  <si>
    <t>* Cầu thép C400-E, tải trọng xe đơn 13 tấn</t>
  </si>
  <si>
    <t>Dàn cầu C400-E.M dài 30m (mạkẽm bề mặt)</t>
  </si>
  <si>
    <t>* Cầu thép C400-R, tải trọng xe đơn 18 tấn</t>
  </si>
  <si>
    <t>Dàn cầu C400-R.M dài 30m (mạ kẽm bề mặt)</t>
  </si>
  <si>
    <t>Gối cố định (mạ kẽm bề mặt)</t>
  </si>
  <si>
    <t>Gối di động (mạ kẽm bề mặt)</t>
  </si>
  <si>
    <t>Đoạn nối nhịp (mạ kẽm bề mặt)</t>
  </si>
  <si>
    <t>* Cầu thép C300-E, tải trọng xe đơn 13 tấn</t>
  </si>
  <si>
    <t>Gối cố định (sơn bề mặt)</t>
  </si>
  <si>
    <t>Gối di động (sơn bề mặt)</t>
  </si>
  <si>
    <t>Đoạn nối nhịp  0,5m x 3m (sơn bề mặt)</t>
  </si>
  <si>
    <t>Đoạn nối nhịp  0,5m x 3m (mạ kẽm bề mặt)</t>
  </si>
  <si>
    <t>XXIV</t>
  </si>
  <si>
    <t>CÁC LOẠI VẬT LIỆU KHÁC :</t>
  </si>
  <si>
    <t>Giấy nhám Trung Quốc (20cm x 30cm)</t>
  </si>
  <si>
    <t>đ/tấm</t>
  </si>
  <si>
    <t>Chổi bông cỏ</t>
  </si>
  <si>
    <t>Bột màu Trung Quốc màu xanh</t>
  </si>
  <si>
    <t>Bột màu Trung Quốc màu vàng</t>
  </si>
  <si>
    <t xml:space="preserve">Dây buộc </t>
  </si>
  <si>
    <t>Lưới B40 (khổ 0,8; 1,0; 1,2; 1,5; 1,8; 2,0; 2,2; 2,4m)</t>
  </si>
  <si>
    <t>Kẽm gai</t>
  </si>
  <si>
    <t>Vôi cục</t>
  </si>
  <si>
    <t>A dao Việt Nam</t>
  </si>
  <si>
    <t>Cửa nhựa Hân Vương có khóa, khuôn bao 0,75x1,9m</t>
  </si>
  <si>
    <t xml:space="preserve">Que hàn Việt Nam fi 3,2 và fi 4 (hộp 5kg) </t>
  </si>
  <si>
    <t>XXV</t>
  </si>
  <si>
    <t>Xăng không chì RON 83</t>
  </si>
  <si>
    <t>đ/lít</t>
  </si>
  <si>
    <t>Xăng không chì RON 92</t>
  </si>
  <si>
    <t xml:space="preserve">Xăng không chì RON 95 </t>
  </si>
  <si>
    <t>Dầu Diesel 0,05%S</t>
  </si>
  <si>
    <t>Dầu Diesel 0,25%S</t>
  </si>
  <si>
    <t>Dầu lửa</t>
  </si>
  <si>
    <r>
      <t xml:space="preserve">     * </t>
    </r>
    <r>
      <rPr>
        <b/>
        <u/>
        <sz val="12"/>
        <color indexed="10"/>
        <rFont val="Times New Roman"/>
        <family val="1"/>
      </rPr>
      <t>Ghi chú</t>
    </r>
    <r>
      <rPr>
        <b/>
        <sz val="12"/>
        <color indexed="10"/>
        <rFont val="Times New Roman"/>
        <family val="1"/>
      </rPr>
      <t>:</t>
    </r>
  </si>
  <si>
    <t xml:space="preserve">      - Chủ đầu tư và đơn vị Tư vấn xác định cự ly chi phí vận chuyển đến công trình đối với các loại vật liệu công bố giá bán nơi sản xuất.</t>
  </si>
  <si>
    <t xml:space="preserve">      - Đối với gói thầu sử dụng vốn nhà nước thuộc hình thức chỉ định thầu, nếu sản phẩm, vật liệu, vật tư có cùng tính năng kỹ thuật tương đương có giá công bố khác nhau thì ưu tiên sử dụng loại có chi phí thấp hơn được tính đến chân công trình (bao gồm vật liệu, vật tư, sản phẩm và chi phí vận chuyển)./.</t>
  </si>
  <si>
    <t xml:space="preserve">                    SỞ TÀI CHÍNH</t>
  </si>
  <si>
    <t>SỞ XÂY DỰNG</t>
  </si>
  <si>
    <t xml:space="preserve">                    KT. GIÁM ĐỐC </t>
  </si>
  <si>
    <t xml:space="preserve"> KT. GIÁM ĐỐC </t>
  </si>
  <si>
    <t xml:space="preserve">                   PHÓ GIÁM ĐỐC</t>
  </si>
  <si>
    <t>PHÓ GIÁM ĐỐC</t>
  </si>
  <si>
    <t xml:space="preserve">                  Phạm Hồng Huyên</t>
  </si>
  <si>
    <t>Mai Anh Dũng</t>
  </si>
  <si>
    <t xml:space="preserve">       Nơi nhận:</t>
  </si>
  <si>
    <t xml:space="preserve">       - Bộ Tài chính;</t>
  </si>
  <si>
    <t xml:space="preserve">       - Cục Quản lý Giá;</t>
  </si>
  <si>
    <t xml:space="preserve">       - VP.UBND tỉnh;</t>
  </si>
  <si>
    <t xml:space="preserve">       - Các Sở liên quan;</t>
  </si>
  <si>
    <t xml:space="preserve">       - Kho bạc Nhà nước tỉnh;</t>
  </si>
  <si>
    <t xml:space="preserve">       - Sở Tài chính các tỉnh;</t>
  </si>
  <si>
    <t xml:space="preserve">       - Lưu: VT Sở XD, Sở TC, Phòng KTXD.</t>
  </si>
  <si>
    <t>Báo giá SeaH</t>
  </si>
  <si>
    <t>Phụ gia hóa dẻo</t>
  </si>
  <si>
    <t>1% ximăng</t>
  </si>
  <si>
    <t>Vữa bê tông đá 1x2 C42 (độ sụt 8-12cm)</t>
  </si>
  <si>
    <t>Vữa bê tông đá 1x2 C40 (M450, độ sụt 12-16cm)</t>
  </si>
  <si>
    <t>Báo giá SeAH</t>
  </si>
  <si>
    <t>Báo giá C.ty Vingal Indus</t>
  </si>
  <si>
    <t>Giá XDCB, STT434</t>
  </si>
  <si>
    <t>Giá XDCB, STT438</t>
  </si>
  <si>
    <t>Giá XDCB, STT 328</t>
  </si>
  <si>
    <t>Giá XDCB, STT 57</t>
  </si>
  <si>
    <t>Giá XDCB, STT 63</t>
  </si>
  <si>
    <t>Giá XDCB, STT 76</t>
  </si>
  <si>
    <t>Giá XDCB, STT 50</t>
  </si>
  <si>
    <t>Bu lông M24x290</t>
  </si>
  <si>
    <t>Bu lông M8x50</t>
  </si>
  <si>
    <t>Giá XDCB, STT177</t>
  </si>
  <si>
    <t>Giá XDCB, STT181</t>
  </si>
  <si>
    <t>Giá XDCB, STT448</t>
  </si>
  <si>
    <t>Giá XDCB, STT270</t>
  </si>
  <si>
    <t>Giá XDCB, STT506</t>
  </si>
  <si>
    <t>Giá XDCB, STT214</t>
  </si>
  <si>
    <t>Giá XDCB, STT 10</t>
  </si>
  <si>
    <t>Giá XDCB, STT 394</t>
  </si>
  <si>
    <t>Giá XDCB, STT 405</t>
  </si>
  <si>
    <t>Giá XDCB, STT 327</t>
  </si>
  <si>
    <t>Giá XDCB, STT 353</t>
  </si>
  <si>
    <t>Giá XDCB, STT125</t>
  </si>
  <si>
    <t>Giá XDCB, STT123</t>
  </si>
  <si>
    <t xml:space="preserve">Cty TNHH XDCT Hùng Vương </t>
  </si>
  <si>
    <t>Định mức 77</t>
  </si>
  <si>
    <t>Kích căng cáp DUL 25T</t>
  </si>
  <si>
    <t>Thành phần</t>
  </si>
  <si>
    <t>Symbol</t>
  </si>
  <si>
    <t>Coefficients ( i )</t>
  </si>
  <si>
    <r>
      <t>P</t>
    </r>
    <r>
      <rPr>
        <sz val="10"/>
        <rFont val="VNI-Times"/>
      </rPr>
      <t>i</t>
    </r>
  </si>
  <si>
    <t>Nhân công phần tuyến</t>
  </si>
  <si>
    <t>NCT</t>
  </si>
  <si>
    <t>Nhân công phần cầu</t>
  </si>
  <si>
    <t>NCC</t>
  </si>
  <si>
    <t>Máy thi công</t>
  </si>
  <si>
    <t>Chi phí trực tiếp khác</t>
  </si>
  <si>
    <t>Chi phí chung</t>
  </si>
  <si>
    <t>CC</t>
  </si>
  <si>
    <t>Thu nhập chịu thuế tính trước</t>
  </si>
  <si>
    <t>Lán trại</t>
  </si>
  <si>
    <t>LT</t>
  </si>
  <si>
    <t>VAT</t>
  </si>
  <si>
    <t>HSNC</t>
  </si>
  <si>
    <t>Đầu tôn sóng dài 0.7m</t>
  </si>
  <si>
    <t>NỐI HAI TỈNH AN GIANG (VIỆT NAM) VÀ TỈNH KANDAL (CAMPUCHIA)</t>
  </si>
  <si>
    <t>Neo chủ động 5S 12.7mm</t>
  </si>
  <si>
    <t>Neo công tác</t>
  </si>
  <si>
    <t>Bản thép neo 180x180x45 (thu hồi, KH=2%*1tháng+7%)</t>
  </si>
  <si>
    <t>Bản thép neo 180x180x45 (thu hồi, KH=2%*9tháng+7%)</t>
  </si>
  <si>
    <t>Thanh cường độ cao D36 (thu hồi, KH=2%*9tháng+7%)</t>
  </si>
  <si>
    <t>Thanh cường độ cao D36 (thu hồi, KH=2%*1tháng+7%)</t>
  </si>
  <si>
    <t>Sản xuất thép hình, KH=(2%*8tháng+7%*1)</t>
  </si>
  <si>
    <t>Lắp đặt neo công tác bệ đúc dầm 15.2mm</t>
  </si>
  <si>
    <t>AA.22111</t>
  </si>
  <si>
    <t>SA.42210</t>
  </si>
  <si>
    <t>SA.41831</t>
  </si>
  <si>
    <t xml:space="preserve">Máy khoan bêtông cầm tay - công suất 0.6kW </t>
  </si>
  <si>
    <t>Mũi khoan D20</t>
  </si>
  <si>
    <t>Giá XDCB, STT 481</t>
  </si>
  <si>
    <t>Gối cao su dầm 350x450x84mm</t>
  </si>
  <si>
    <t>Báo giá C.ty CPSXTB Điều khiển &amp; báo hiệu</t>
  </si>
  <si>
    <t>Đắp cát hạt mịn K=0.95</t>
  </si>
  <si>
    <t>Cung cấp đai ốc M10</t>
  </si>
  <si>
    <t>Cung cấp vít nở thép M12</t>
  </si>
  <si>
    <t>Sản xuất thép bản cọc tiêu, KH=2%*8 tháng (8 tháng quan trắc)</t>
  </si>
  <si>
    <t>Báo giá Đông Dương</t>
  </si>
  <si>
    <t>Đắp cát (thủ công)</t>
  </si>
  <si>
    <t>AK.41120vd</t>
  </si>
  <si>
    <t>Phá dỡ bệ đúc dầm</t>
  </si>
  <si>
    <t>=1.71*1.15</t>
  </si>
  <si>
    <t>Sản xuất hệ liên kết khối hợp long K19</t>
  </si>
  <si>
    <t>Sản xuất hệ liên kết khối hợp long K19, KH=2%*1tháng+7%</t>
  </si>
  <si>
    <t>AB.25121</t>
  </si>
  <si>
    <t>AD.26222</t>
  </si>
  <si>
    <t>AD.26223</t>
  </si>
  <si>
    <t>Nhổ cọc thép hình trên cạn</t>
  </si>
  <si>
    <t>(3 ca/ngày x 10ngày x 4 phao)</t>
  </si>
  <si>
    <t>AB.13112</t>
  </si>
  <si>
    <t>Sản xuất đà giáo K0, K1 (KH=(2%/tháng*4tháng+7%)</t>
  </si>
  <si>
    <t>Đà giáo thi công cống hộp 2x3x3 (KHVL chính =(2%/*1 tháng +7%)</t>
  </si>
  <si>
    <t>Vành đai khung chống trụ P3,P4 (KHVL chính =(2%/tháng*8 tháng +7%)</t>
  </si>
  <si>
    <t>Đà giáo thi công (KHVL chính =(2%/tháng*3 tháng +7%)</t>
  </si>
  <si>
    <t>Thép hình làm gối tạm (KH=(2%/tháng*3tháng+7%)</t>
  </si>
  <si>
    <t>Đà giáo thi công mố + trụ trên cạn (KHVL chính =(2%/tháng*1tháng*2 lần +7%)</t>
  </si>
  <si>
    <t>Đai ốc cầu D36 thu hồi (KH=2%*1tháng+7%)</t>
  </si>
  <si>
    <t>Vành đai khung chống (KHVL chính =(2%/tháng*2 tháng*2 lần +7%)</t>
  </si>
  <si>
    <t>Sản xuất trụ tạm thép hình kê dầm (KHVL chính =(2%/tháng*0,5 tháng +7%)</t>
  </si>
  <si>
    <t>Hệ đà giáo thi công mố (KHVL chính =(2%*1 tháng*2 lần +7%)</t>
  </si>
  <si>
    <t xml:space="preserve"> Đá cấp phối (0 x 4) loại I (Dmax 37,5)</t>
  </si>
  <si>
    <t xml:space="preserve"> Đá cấp phối (0 x 4)            (Dmax 25)</t>
  </si>
  <si>
    <t xml:space="preserve"> Đá cấp phối (0 x 4) loại II</t>
  </si>
  <si>
    <t xml:space="preserve">Ống tôn kẽm (tròn, vuông, hộp) fi 15 - fi 60 dày 1.0-2.3 ly </t>
  </si>
  <si>
    <t>Cáp nhôm trần lõi thép As 70/11, 7 sợi, đ.k 3.8mm</t>
  </si>
  <si>
    <t>Cáp nhôm trần lõi thép As 95/16, 7 sợi, đ.k 4.5mm</t>
  </si>
  <si>
    <t>C.nhôm đơn bọc cách điện XLPE, có vỏ bọc ngoài PVC AXV 50, 7 sợi, đ.k3.0mm</t>
  </si>
  <si>
    <t>BẢNG SO SÁNH GIÁ MỘT SỐ VẬT  TƯ</t>
  </si>
  <si>
    <t>Vĩnh Hưng</t>
  </si>
  <si>
    <t>TRAMECO</t>
  </si>
  <si>
    <t>Gối chậu cố định 40GD</t>
  </si>
  <si>
    <t>Gối cao su bản thép GJZ350x450x84</t>
  </si>
  <si>
    <t>Neo 15-12</t>
  </si>
  <si>
    <t>Neo 15-27</t>
  </si>
  <si>
    <t>Neo công cụ 15-1</t>
  </si>
  <si>
    <t>Khe co giãn ray MF100</t>
  </si>
  <si>
    <t>Khe co giãn ray MF240</t>
  </si>
  <si>
    <t>Đai ốc D36</t>
  </si>
  <si>
    <t>Ống ghen D110/117</t>
  </si>
  <si>
    <t>Ống ghen D80/87</t>
  </si>
  <si>
    <t>Ống ghen D20/75</t>
  </si>
  <si>
    <t>Cáp cường độ cao 12.7 mm</t>
  </si>
  <si>
    <t>Cáp cường độ cao 15.2 mm</t>
  </si>
  <si>
    <t>Neo 12.7-5</t>
  </si>
  <si>
    <t>Lắp đặt neo chủ động 5S 12.7mm</t>
  </si>
  <si>
    <t>Dầm supper T</t>
  </si>
  <si>
    <t>Dầm supper T 38.2m</t>
  </si>
  <si>
    <t>BẢNG ĐƠN GIÁ NHÂN CÔNG/ KỸ SƯ</t>
  </si>
  <si>
    <t>BẬC LƯƠNG</t>
  </si>
  <si>
    <t>Lương tối thiểu</t>
  </si>
  <si>
    <t>350,000 đ/tháng</t>
  </si>
  <si>
    <t>Áp dụng tại tỉnh An Giang:</t>
  </si>
  <si>
    <t>Phụ cấp lưu động</t>
  </si>
  <si>
    <t>LTT</t>
  </si>
  <si>
    <t>Phụ cấp không ổn định sản xuất</t>
  </si>
  <si>
    <t>Lương phụ</t>
  </si>
  <si>
    <t>LCB</t>
  </si>
  <si>
    <t>Lương khoán cho công nhân</t>
  </si>
  <si>
    <t>Bê tông C42 dầm hộp đúc trên đà giáo trên cạn (K17)</t>
  </si>
  <si>
    <t>AG.41511vd</t>
  </si>
  <si>
    <t>lỗ</t>
  </si>
  <si>
    <t>Cung cấp thép hình (tạm tính khấu hao 50%)</t>
  </si>
  <si>
    <t>Đắp cát nền móng công trình K=0.85</t>
  </si>
  <si>
    <t>Chất tải khử lún hệ 900 tấn</t>
  </si>
  <si>
    <t xml:space="preserve">(Dùng 2 phao thép loại 250T và 2 phao thép loại 200T chứa đầy nước để chất tải, thời gian lưu tải 10 ngày) </t>
  </si>
  <si>
    <t xml:space="preserve">(Dùng 4 phao thép loại 250T chứa đầy nước để chất tải, thời gian lưu tải 10 ngày) </t>
  </si>
  <si>
    <t>Sản xuất ống vách cọc khoan nhồi (thu hồi) D1500, KH=1.17%*2tháng+3.5% đóng nhổ (4/30 tháng/cọc*12 lần=2 tháng, 4 ngày/cọc)</t>
  </si>
  <si>
    <t>Quét nhựa bitum nóng</t>
  </si>
  <si>
    <t>Khoan lỗ bê tông D20, L&lt;=20cm</t>
  </si>
  <si>
    <t>Cốt thép D&gt;18 (sàn, bản quá độ, bệ đúc dầm Super-T các loại…)</t>
  </si>
  <si>
    <t>Cốt thép D&lt;=10 (sàn, bản quá độ, bệ đúc dầm Super-T các loại…)</t>
  </si>
  <si>
    <t>Cốt thép D&lt;=18 (sàn, bản quá độ, bệ đúc dầm Super-T các loại…)</t>
  </si>
  <si>
    <t>AF.65130</t>
  </si>
  <si>
    <t>AF.65430</t>
  </si>
  <si>
    <t>AF.61521</t>
  </si>
  <si>
    <t>AF.61531</t>
  </si>
  <si>
    <t>AG.13211</t>
  </si>
  <si>
    <t>AF.61511</t>
  </si>
  <si>
    <t>Công bố giá Kiên Giang, PL3, STT4</t>
  </si>
  <si>
    <t>Dầm</t>
  </si>
  <si>
    <t>ô tô</t>
  </si>
  <si>
    <t>Đường nội bộ</t>
  </si>
  <si>
    <t>Bãi đúc dầm</t>
  </si>
  <si>
    <t>1 lần vc</t>
  </si>
  <si>
    <t>(73T/1 dầm)</t>
  </si>
  <si>
    <t>AG.52511vd</t>
  </si>
  <si>
    <t>Biển báo chữ nhật 2x1m</t>
  </si>
  <si>
    <t>Biển báo chữ nhật 1.2x0.25m</t>
  </si>
  <si>
    <t>KL=4.18+14.4</t>
  </si>
  <si>
    <t>Đèn báo hiệu</t>
  </si>
  <si>
    <t>Đèn báo hiệu buổi tối</t>
  </si>
  <si>
    <t>Cấp phối đá dăm loại 2</t>
  </si>
  <si>
    <t>Phụ lục 1</t>
  </si>
  <si>
    <t xml:space="preserve">BẢNG SO SÁNH GIÁ VẬT LIỆU ĐÁ </t>
  </si>
  <si>
    <t>Đvt</t>
  </si>
  <si>
    <t>Giá vật liệu tại mỏ Antraco</t>
  </si>
  <si>
    <t>Giá vật liệu tại mỏ Bà Đội</t>
  </si>
  <si>
    <t>Giá chọn để tính</t>
  </si>
  <si>
    <t>Địa điểm chọn để tính</t>
  </si>
  <si>
    <t>Giá gốc (Antraco - Tri Tôn)</t>
  </si>
  <si>
    <t>Giá
thành</t>
  </si>
  <si>
    <t>Giá gốc mỏ Bà Đội</t>
  </si>
  <si>
    <t>Giá gốc để tính</t>
  </si>
  <si>
    <t>VẬN CHUYỂN</t>
  </si>
  <si>
    <t>ĐỊA ĐiỂM</t>
  </si>
  <si>
    <t>AN GIANG-ANTRACO</t>
  </si>
  <si>
    <t>AN GIANG-BÀ ĐỘI</t>
  </si>
  <si>
    <t>AN GIANG-………</t>
  </si>
  <si>
    <t>Đá các loại</t>
  </si>
  <si>
    <t>bãi tập kết vật liệu</t>
  </si>
  <si>
    <t>Chi
phí
vc</t>
  </si>
  <si>
    <t>An Giang tháng 5/2012, STT 19</t>
  </si>
  <si>
    <t>An Giang tháng 5/2012, STT 20</t>
  </si>
  <si>
    <t>An Giang tháng 5/2012, STT 21</t>
  </si>
  <si>
    <t>An Giang tháng 5/2012, STT 22</t>
  </si>
  <si>
    <t>Tân Lợi</t>
  </si>
  <si>
    <t>BẢNG DỰ TOÁN CHI TIẾT ĐẢM BẢO GIAO THÔNG BỘ</t>
  </si>
  <si>
    <t>CP.051001</t>
  </si>
  <si>
    <t xml:space="preserve">Thí nghiệm nén mẫu bê tông (2m/mẫu) </t>
  </si>
  <si>
    <t>Rây dụng cụ đầm nện</t>
  </si>
  <si>
    <t>Rây địa chất công trình</t>
  </si>
  <si>
    <t>Bình hút ẩm</t>
  </si>
  <si>
    <t>Bình thủy tinh tam giác</t>
  </si>
  <si>
    <t>Chậu thủy tinh</t>
  </si>
  <si>
    <t>Bình tỷ trọng</t>
  </si>
  <si>
    <t>Khay men</t>
  </si>
  <si>
    <t>Cốc thủy tinh</t>
  </si>
  <si>
    <t>Hộp nhôm</t>
  </si>
  <si>
    <t>Cối chày đồng</t>
  </si>
  <si>
    <t>Dụng cụ xác định góc nghỉ của cát</t>
  </si>
  <si>
    <t>Ống đong thủy tinh 100ml</t>
  </si>
  <si>
    <t>Thước thép 5m</t>
  </si>
  <si>
    <t>Thước thép 42m</t>
  </si>
  <si>
    <t>Mũi xuyên cắt</t>
  </si>
  <si>
    <t>Ống mẫu</t>
  </si>
  <si>
    <t>Cần khoan</t>
  </si>
  <si>
    <t xml:space="preserve">Siêu âm cọc khoan nhồi </t>
  </si>
  <si>
    <t>m/cắt</t>
  </si>
  <si>
    <t>Thiết bị siêu âm</t>
  </si>
  <si>
    <t>Khoan kiểm tra mùn mũi cọc khoan nhồi</t>
  </si>
  <si>
    <t>Cần khoan L=1,5m</t>
  </si>
  <si>
    <t>Mũi khoan</t>
  </si>
  <si>
    <t>Lắp dựng ống ghen dẹp 20x75mm</t>
  </si>
  <si>
    <t>Cốt thép D&lt;=10</t>
  </si>
  <si>
    <t>Cốt thép D&lt;=18</t>
  </si>
  <si>
    <t>Cẩu dầm Super-T lên phương tiện vận chuyển, tạm tính HS=30%</t>
  </si>
  <si>
    <t>Lắp đặt kết cấu đúc sẵn, trọng lượng &lt;=3tấn (không tính vật liệu)</t>
  </si>
  <si>
    <t xml:space="preserve">Ghi chú: </t>
  </si>
  <si>
    <r>
      <t>Đơn giá tổng hợp được cấu thành như sau:</t>
    </r>
    <r>
      <rPr>
        <b/>
        <sz val="10"/>
        <rFont val="Arial"/>
        <family val="2"/>
      </rPr>
      <t xml:space="preserve"> ĐGTH=(VL+NC*1.171+M)*1.02*1.055*1.06*1.01*1.1</t>
    </r>
  </si>
  <si>
    <t>• VL: Chi phí vật liệu trực tiếp</t>
  </si>
  <si>
    <t>• NC: Chi phí nhân công trực tiếp</t>
  </si>
  <si>
    <t>• M: Chi phí máy thi công trực tiếp</t>
  </si>
  <si>
    <t>• 1.171: Hệ số chuyển đổi từ lương nhân công nhóm I sang nhóm III</t>
  </si>
  <si>
    <t>Theo Thông tư 04/2010/TT-BXD ngày 26/05/2010:</t>
  </si>
  <si>
    <t>• 1.02: hệ số xét đến chi phí trực tiếp khác 2%</t>
  </si>
  <si>
    <t>• 1.055: hệ số xét đến chi phí chung 5.5%</t>
  </si>
  <si>
    <t>• 1.06: hệ số xét đến thu nhập chịu thuế tính trước 6%</t>
  </si>
  <si>
    <t>• 1.01: hệ số xét đến chi phí lán trại 1%</t>
  </si>
  <si>
    <t>HS=1.2</t>
  </si>
  <si>
    <t>HS=1.015*1.2</t>
  </si>
  <si>
    <t>Ximăng An Giang</t>
  </si>
  <si>
    <t>Trong đó: Đơn giá tổng hợp ĐGTH=VL+NC+M</t>
  </si>
  <si>
    <t xml:space="preserve">2. Lương tối thiểu = 350,000 đ/tháng theo Nghị định 118/2005/NĐ-CP ngày 15/9/2005 của Chính phủ về việc điều chỉnh mức lương </t>
  </si>
  <si>
    <t xml:space="preserve"> tối thiểu chung</t>
  </si>
  <si>
    <t xml:space="preserve"> bảng lương và chế độ phụ cấp lương trong các Công ty Nhà Nước. Bảng lương A.1.8.</t>
  </si>
  <si>
    <t>1.  Hệ số bậc lương theo Nghị định 205/2004/NĐ-CP ngày 14/12/2004 của Chính phủ về việc quy định hệ thống thang lương,</t>
  </si>
  <si>
    <t>Thanh thải đường cũ (đào nền CPĐD)</t>
  </si>
  <si>
    <t>KH=0.5</t>
  </si>
  <si>
    <t>Biển báo chữ nhật 2x1m, tạm tính KHVL=0.5</t>
  </si>
  <si>
    <t>Biển báo chữ nhật 1.2x0.25m, tạm tính KHVL=0.5</t>
  </si>
  <si>
    <t>Mỏ đá núi Bà Đội (tại bãi đá Láng Cháy, xã Tân Lợi, huyện Tịnh Biên, tỉnh An Giang) (vận chuyển theo hướng kênh Tri Tôn)</t>
  </si>
  <si>
    <t>Mỏ đá núi Bà Đội (tại bãi đá Láng Cháy, xã Tân Lợi, huyện Tịnh Biên, tỉnh An Giang) (vận chuyển theo hướng kênh Vĩnh Tế)</t>
  </si>
  <si>
    <t>nt</t>
  </si>
  <si>
    <t>Ống ghen dẹp 20x75</t>
  </si>
  <si>
    <t>AB.64113</t>
  </si>
  <si>
    <t>(2 người/đảo x 2 đảo, 1 công/ca x 2 ca/ngày, thi công trong 30 ngày, KL=2x2x2*30)</t>
  </si>
  <si>
    <t>Công nhân cảnh giới ( bậc 2.5/7)</t>
  </si>
  <si>
    <t>Đá kê gối trụ dầm hộp</t>
  </si>
  <si>
    <t>Bitum chèn mũ neo</t>
  </si>
  <si>
    <t>Thép neo mạ kẽm</t>
  </si>
  <si>
    <t>Sản xuất mũ neo bằng tôn dày 2mm</t>
  </si>
  <si>
    <t>Sản xuất lắp đặt cóc nối D16, L=360</t>
  </si>
  <si>
    <t>Quét nhựa bitum, dán bao tải 1 lớp</t>
  </si>
  <si>
    <t>Ván khuôn (tường, cột, dầm, giằng…)</t>
  </si>
  <si>
    <t>Bê tông bản quá độ đổ tại  chỗ C25</t>
  </si>
  <si>
    <t>Cốt thép mố trụ cầu dưới nước các loại</t>
  </si>
  <si>
    <t>Vét hữu cơ và đào đất xử lý nền</t>
  </si>
  <si>
    <t>Sử dụng cọc ván thép L&gt;12m (KHVL=(1.17%/tháng * 8 tháng +3.5%/đóng nhổ)</t>
  </si>
  <si>
    <t>Sử dụng cọc thép hình H350x350 (KH=(1.17%/tháng*8 tháng +3.5%/lần đóng nhổ )</t>
  </si>
  <si>
    <t xml:space="preserve"> Đá (1,0 - 1,6); (1,0 x 1,9) </t>
  </si>
  <si>
    <t xml:space="preserve"> Đá hộc (20x20)</t>
  </si>
  <si>
    <t>*Công ty TNHH Trường Thắng (Nhà máy quay cống Bình Hòa, huyện Châu Thành) - Theo bảng báo giá ngày 04/10/2012</t>
  </si>
  <si>
    <t xml:space="preserve">*Công ty TNHH TM-SX-DV Tín Thịnh (số 102H, Nguyễn Xuân Khoát, phường Tân Thành, quận Tân Phú-Tp.HCM) - Theo bảng </t>
  </si>
  <si>
    <t>Nhựa đường thùng SHELL SINGAPORE 60/70</t>
  </si>
  <si>
    <t>Nhựa đường xá/lỏng SHELL 60/70</t>
  </si>
  <si>
    <t xml:space="preserve"> * Cọc bê tông dự ứng lực tiết diện vuông (Cty TNHH  Thái Sơn sản xuất; địa chỉ liên hệ: lô 5, KCN Phú Hòa-TT Phú Hòa huyện Thoại Sơn; Nơi sản xuất xã Mỹ Khánh, TP.Long Xuyên) - Theo báo giá ngày 27/9/2012.</t>
  </si>
  <si>
    <t>*Công ty TNHH Trường Thắng (Nhà máy quay cống Bình Hòa, huyện Châu Thành) : Theo bảng báo giá ngày 04/10/2012</t>
  </si>
  <si>
    <t>Cống  BTLT D400 cấp tải thấp</t>
  </si>
  <si>
    <t>Cống  BTLT D400 cấp tải tiêu chuẩn</t>
  </si>
  <si>
    <t>Cống  BTLT D400 cấp tải cao</t>
  </si>
  <si>
    <t>Cống  BTLT D600 cấp tải thấp</t>
  </si>
  <si>
    <t>Cống  BTLT D600 cấp tải tiêu chuẩn</t>
  </si>
  <si>
    <t>Cống  BTLT D600 cấp tải cao</t>
  </si>
  <si>
    <t>Cống  BTLT D800 cấp tải thấp</t>
  </si>
  <si>
    <t>Cống  BTLT D800 cấp tải tiêu chuẩn</t>
  </si>
  <si>
    <t>Cống  BTLT D800 cấp tải cao</t>
  </si>
  <si>
    <t>Cống  BTLT D1000 cấp tải thấp</t>
  </si>
  <si>
    <t>Cống  BTLT D1000 cấp tải tiêu chuẩn</t>
  </si>
  <si>
    <t>Cống  BTLT D1000 cấp tải cao</t>
  </si>
  <si>
    <t>Cống  BTLT D1200 cấp tải thấp</t>
  </si>
  <si>
    <t>Cống  BTLT D1200 cấp tải tiêu chuẩn</t>
  </si>
  <si>
    <t>Cống  BTLT D1200 cấp tải cao</t>
  </si>
  <si>
    <t>Cống  BTLT D1500 cấp tải thấp</t>
  </si>
  <si>
    <t>Cống  BTLT D1500 cấp tải tiêu chuẩn</t>
  </si>
  <si>
    <t>Cống  BTLT D1500 cấp tải cao</t>
  </si>
  <si>
    <t>Xi măng Thăng Long PCB40  (bao 50kg)</t>
  </si>
  <si>
    <t>Xi măng Vicem Hà Tiên chịu mặn/phèn (bao 50kg)</t>
  </si>
  <si>
    <t>Xi măng đa dụng Vicem Hà Tiên (bao 50kg)</t>
  </si>
  <si>
    <t>Xi măng xây tô Vicem Hà Tiên (bao 50kg)</t>
  </si>
  <si>
    <t xml:space="preserve">Thép thanh vằn D12-32  SD295 CT5 </t>
  </si>
  <si>
    <t xml:space="preserve">Thép thanh vằn D36 SD295 CT5 </t>
  </si>
  <si>
    <t xml:space="preserve">Thép thanh vằn D10 SD490 </t>
  </si>
  <si>
    <t xml:space="preserve">Thép thanh vằn D12 - D32 SD490 </t>
  </si>
  <si>
    <t xml:space="preserve">Thép cuộn fi 8mm SWRM 20 </t>
  </si>
  <si>
    <t>Thép cây vằn  fi 10 SD390</t>
  </si>
  <si>
    <t xml:space="preserve">Thép cây vằn fi 12-32  SD390 </t>
  </si>
  <si>
    <t xml:space="preserve">Thép cây vằn fi 36-40 SD390 </t>
  </si>
  <si>
    <t>Thép cây vằn  fi 10 Grade 60</t>
  </si>
  <si>
    <t xml:space="preserve">Thép cây vằn fi 12-32  Grade 60 </t>
  </si>
  <si>
    <t xml:space="preserve">Thép cây vằn fi 36-40  Grade 60 </t>
  </si>
  <si>
    <t>Thép cây vằn  fi 10 SD490</t>
  </si>
  <si>
    <t xml:space="preserve">Thép cây vằn fi 12-32  SD490 </t>
  </si>
  <si>
    <t xml:space="preserve">Thép cây vằn fi 36-40 SD490 </t>
  </si>
  <si>
    <t>Thép cây vằn  fi 10 BS460B</t>
  </si>
  <si>
    <t>Thép cây vằn fi 12-32  BS460B</t>
  </si>
  <si>
    <t xml:space="preserve">Thép cây vằn fi 36-40 BS460B </t>
  </si>
  <si>
    <t>Thép cuộn  fi 8 CT3</t>
  </si>
  <si>
    <t>Thép cuộn  fi 10 CT3</t>
  </si>
  <si>
    <t>SẢN PHẨM HỆ GIÀN VÀ XÀ GỒ THÉP MẠ :</t>
  </si>
  <si>
    <t>C &amp; Z 40024 (dày 2,4mm), trọng lượng 9,84kg/m</t>
  </si>
  <si>
    <t>XII</t>
  </si>
  <si>
    <t>Trần khung nổi Boral, tấm tiêu chuẩn, kích thước 605*1210 mm:</t>
  </si>
  <si>
    <t>Trần khung nổi Boral, tấm tiêu chuẩn, kích thước 605*605 mm:</t>
  </si>
  <si>
    <t>XIII</t>
  </si>
  <si>
    <t xml:space="preserve"> * Gạch lót vỉa hè: Sản xuất tại Công ty TNHH MTV Môi trường đô thị An Giang</t>
  </si>
  <si>
    <t xml:space="preserve"> * Gạch block - Cty TNHH MTV Hòa Phúc Nguyên (số 16G3 Hồ Biểu Chánh, B.Khánh - Tp.Long Xuyên) :</t>
  </si>
  <si>
    <t>Gạch 2 lổ (ống) : 390x190x190</t>
  </si>
  <si>
    <t>Gạch 3 lổ (ống) : 390x90x190</t>
  </si>
  <si>
    <t>Gạch thẻ : 200x100x60</t>
  </si>
  <si>
    <t>* Sứ TOTO - JAPAN (CTy TNHH Thuận Phát, số 327/5-327/1 Hùng Vương, Tp.LX)</t>
  </si>
  <si>
    <t>Bàn cầu 2 khối TOTO CST945DRS</t>
  </si>
  <si>
    <t>Chậu treo tường TOTO LT236C</t>
  </si>
  <si>
    <t>Vòi Lavabo TOTO nóng lạnh (TX108LH+THX1A - 3N)</t>
  </si>
  <si>
    <t xml:space="preserve"> * Vòi, sen tắm FICO các loại : Cty TNHH TM Hiển Nga - Tổng đại lý phân phối tại An Giang (Theo bảng báo giá ngày 01/9/2012)</t>
  </si>
  <si>
    <t xml:space="preserve">Bộ sen nhựa T2 </t>
  </si>
  <si>
    <t xml:space="preserve">Bộ sen inox T1, T3, T5 </t>
  </si>
  <si>
    <t>Sen tắm lạnh TD-263C</t>
  </si>
  <si>
    <t>Sen nóng lạnh FC-7130</t>
  </si>
  <si>
    <t>Vòi lavabo lạnh TD-705</t>
  </si>
  <si>
    <t>Vòi lavabo nóng lạnh TD-7111</t>
  </si>
  <si>
    <t xml:space="preserve">   Cty TNHH Cơ điện lạnh và Xây dựng An Phát (327/2 Hùng Vương P.Mỹ Long, Tp.Long Xuyên).</t>
  </si>
  <si>
    <t>Theo bảng báo giá của Cty TNHH  MTV Mười Xê (số 206A Trần Hưng Đạo, phường Mỹ Bình - Tp.LX)</t>
  </si>
  <si>
    <t>Sơn ngoài trời BASIS EXTERIOR (thùng/18lít)</t>
  </si>
  <si>
    <t>* Công ty Cổ phần Nhựa Bình Minh: Theo bảng báo giá ngày 15/9/2012</t>
  </si>
  <si>
    <t>* Chi nhánh Công ty Cổ phần Tập đoàn Hoa Sen, tổ 12 khóm Bình Đức, Tp.Long Xuyên : Theo bảng báo giá ngày 22/5/2012</t>
  </si>
  <si>
    <t xml:space="preserve">  fi  27    (dày 1,6 mm) 12.5 bar</t>
  </si>
  <si>
    <t xml:space="preserve">  fi  34    (dày 1,8 mm) 10 bar</t>
  </si>
  <si>
    <t xml:space="preserve">  fi  42    (dày 1,8 mm) 8 bar</t>
  </si>
  <si>
    <t xml:space="preserve">  fi  49    (dày 1,8 mm) 6.3 bar</t>
  </si>
  <si>
    <t xml:space="preserve">  fi  60    (dày 2,0 mm) 6.3 bar</t>
  </si>
  <si>
    <t xml:space="preserve">  fi  114    (dày 3,0mm) 4 bar</t>
  </si>
  <si>
    <t xml:space="preserve">  fi  200   (dày 5,0 mm) 5 bar</t>
  </si>
  <si>
    <t xml:space="preserve"> - Ống dùng cho cáp điện lực</t>
  </si>
  <si>
    <t xml:space="preserve"> fi 42 x 2.1mm</t>
  </si>
  <si>
    <t xml:space="preserve"> fi 60 x 2.0mm</t>
  </si>
  <si>
    <t xml:space="preserve"> fi 90 x 2.9mm</t>
  </si>
  <si>
    <t xml:space="preserve"> fi 114 x 3.2mm</t>
  </si>
  <si>
    <t xml:space="preserve"> fi 168 x 4.3mm</t>
  </si>
  <si>
    <t xml:space="preserve"> fi 200 x 5.0mm</t>
  </si>
  <si>
    <t>CÁC LOẠI VẬT TƯ ĐIỆN : Theo bảng báo giá ngày 10/02/2012 của Cty TNHH Xây dựng Điện BK</t>
  </si>
  <si>
    <t>* Dây dẫn, CB , ống  theo bảng báo giá của Cty TNHH  MTV Mười Xê (số 206A Trần Hưng Đạo, phường Mỹ Bình - Tp.LX)</t>
  </si>
  <si>
    <t xml:space="preserve"> * Chi nhánh Cty CP bóng đèn phích nước Rạng Đông tại Cần Thơ (số 39B1 Ung Văn Khiên, Q.Ninh Kiều,Tp.Cần Thơ).</t>
  </si>
  <si>
    <t>Đèn huỳnh quang T8-18W Galaxy (S)-Daylight</t>
  </si>
  <si>
    <t>Đèn huỳnh quang T8-36W Galaxy (S)-Daylight</t>
  </si>
  <si>
    <t>Balát điện tử hộp 6000h EBH-1x18/20 FL-SM</t>
  </si>
  <si>
    <t>Balát điện tử hộp 6000h EBH-1x36/40 FL-SM</t>
  </si>
  <si>
    <t>Đèn HQ compact T3 2U 5W Galaxy (E27, B32)</t>
  </si>
  <si>
    <t>Đèn HQ compact T3 3U 11W Galaxy (E27, B32)</t>
  </si>
  <si>
    <t xml:space="preserve">Compact 2U T4 6000h 11W (E27, B22) </t>
  </si>
  <si>
    <t xml:space="preserve">Compact 3U T4 6000h 15W (E27, B22) </t>
  </si>
  <si>
    <t>Máng đèn HQ PQ  FS-20/18x1-M2 Balát điện tử</t>
  </si>
  <si>
    <t>Máng đèn HQ PQ  FS-20/18x2-M2 Balát điện tử</t>
  </si>
  <si>
    <t>Đèn cao áp METAL HALIDE (MH-TD 70W/742)R7s</t>
  </si>
  <si>
    <t>Đèn cao áp METAL HALIDE (MH-TD 150W/742)R7s</t>
  </si>
  <si>
    <t>Đèn cao áp NATRI  (HPS-T 70W/220) E27</t>
  </si>
  <si>
    <t>Đèn cao áp NATRI  (HPS-T 150W/220) E40</t>
  </si>
  <si>
    <t>Bộ đèn HQ T8 18Wx1 M9G - Balát điện tử (bao gồm bóng)</t>
  </si>
  <si>
    <t>Bộ đèn HQ T8 36Wx1 M9G - Balát điện tử (bao gồm bóng)</t>
  </si>
  <si>
    <t>Bộ đèn chiếu sáng lớp học FS40/36x1 CM1*E (trọn bộ)</t>
  </si>
  <si>
    <t>Bộ đèn chiếu sáng lớp học FS40/36x2 CM1*E (trọn bộ)</t>
  </si>
  <si>
    <t>* Chi nhánh công ty TNHH cửa sổ nhựa Châu Âu, số 39Bis-Mạc Đỉnh Chi, Tp.HCM</t>
  </si>
  <si>
    <t>Kính màu trà, màu xanh, màu khói</t>
  </si>
  <si>
    <t>*Cty TNHH TM Vinh Hoa (nhôm thanh YNGHUA), 54A Thuận Kiều, P4, Q11-Tp.HCM : Theo báo giá ngày 28/9/2012.</t>
  </si>
  <si>
    <t>Cửa sổ lùa (hệ 898), màu sơn tĩnh điện trắng sữa, kính 8mm, phụ kiện khóa,…</t>
  </si>
  <si>
    <t>Cửa sổ lùa (hệ 1088), màu sơn tĩnh điện trắng sữa, kính 8mm, phụ kiện khóa,…</t>
  </si>
  <si>
    <t>Cửa đi (hệ 1000-3cm), màu sơn tĩnh điện trắng sữa, kính 8mm, phụ kiện khóa,…</t>
  </si>
  <si>
    <t>Cửa sổ lùa (hệ 898), màu sơn vân gỗ, kính 8mm, phụ kiện khóa,…</t>
  </si>
  <si>
    <t>Cửa sổ lùa (hệ 1088), màu sơn vân gỗ, kính 8mm, phụ kiện khóa,…</t>
  </si>
  <si>
    <t>Cửa sổ lùa (hệ 1000-3cm), màu sơn vân gỗ, kính 8mm, phụ kiện khóa,…</t>
  </si>
  <si>
    <t>Cửa sổ lùa (hệ 1000-4,5cm), màu sơn vân gỗ, kính 8mm, phụ kiện khóa,…</t>
  </si>
  <si>
    <t>Loại M F(trọng lượng 47kg/mét dài)</t>
  </si>
  <si>
    <t>NT 2.6 B-8 kết cấu 1/1 (trọng lượng 500kg/mét dài)</t>
  </si>
  <si>
    <t>NT 2.6 A-8 kết cấu 1/1 (trọng lượng 622kg/mét dài)</t>
  </si>
  <si>
    <t>NT 2.6 H-8 kết cấu 1/1 (trọng lượng 653kg/mét dài)</t>
  </si>
  <si>
    <t>NT 2.6 HA-8 kết cấu 1/1 (trọng lượng 682g/mét dài)</t>
  </si>
  <si>
    <t>NT 2.6 HB-8 kết cấu 1/1 (trọng lượng 737kg/mét dài)</t>
  </si>
  <si>
    <t>NT 3.2 B kết cấu 2/1 (trọng lượng 863kg/mét dài)</t>
  </si>
  <si>
    <t>NT 4.2 A-18 kết cấu 2/1 (trọng lượng 1173kg/mét dài)</t>
  </si>
  <si>
    <t>NT 4.2 H-18 kết cấu 2/1 (trọng lượng 1317kg/mét dài)</t>
  </si>
  <si>
    <t>NT 4.2 HA-18 kết cấu 2/1 (trọng lượng 1384kg/mét dài)</t>
  </si>
  <si>
    <t>NT 4.2 HB-18 kết cấu 2/1 (trọng lượng 1491kg/mét dài)</t>
  </si>
  <si>
    <t>NT 4.2 HC-30 kết cấu 2/1 (trọng lượng 2742kg/mét dài)</t>
  </si>
  <si>
    <t>Dàn cầu C300-E.S dài 9m - 30m (sơn bề mặt)</t>
  </si>
  <si>
    <t>Dàn cầu C300-E.M dài 9m-30m (mạ kẽm bề mặt)</t>
  </si>
  <si>
    <t>(9)=(2)*ip*cl</t>
  </si>
  <si>
    <t>(10)=(7)*(nc-1)</t>
  </si>
  <si>
    <t>LIÊN SỞ XÂY DỰNG -TÀI CHÍNH                                                     Độc lập - Tự do - Hạnh phúc</t>
  </si>
  <si>
    <t xml:space="preserve">               ___________                                                                               ________________________</t>
  </si>
  <si>
    <t xml:space="preserve"> Đá 2 x 4 </t>
  </si>
  <si>
    <t xml:space="preserve"> Đá 4 x 6; 5 x 7 xay </t>
  </si>
  <si>
    <t xml:space="preserve">Thép thanh vằn D10 SD390 </t>
  </si>
  <si>
    <t xml:space="preserve">Thép thanh vằn D12-32 SD390 </t>
  </si>
  <si>
    <t>Thép thanh vằn D36-43 SD390</t>
  </si>
  <si>
    <t>Thép thanh vằn D10 - Gr60-VKH</t>
  </si>
  <si>
    <t>Thép thanh vằn D12 - D32  Gr60-VKH</t>
  </si>
  <si>
    <t xml:space="preserve"> * Công ty TNHH một thành viên Thương mại và Xây dựng Tài Nhân: giá bán tại nhà máy gạch Tuynel Tịnh Biên - xã An Nông </t>
  </si>
  <si>
    <t xml:space="preserve"> * Sơn ASEE : Cty TNHH Tư vấn Xây dựng Vĩnh Minh (1510A/76 Trần Hưng Đạo, phường Bình Đức - Tp.LX) : </t>
  </si>
  <si>
    <t xml:space="preserve"> * Sơn LOTUS : Cty CP sản xuất thương mại dịch vụ LOTUS (số 8 lô A KDC Bắc Sơn, TT Núi Sập huyện T.Sơn-AG) : </t>
  </si>
  <si>
    <t>RUBY sơn bóng  (thùng/5lít)</t>
  </si>
  <si>
    <t>Sơn dầu (thùng/3kg)</t>
  </si>
  <si>
    <t xml:space="preserve"> * Công ty TNHH Hoá nhựa Đệ Nhất: </t>
  </si>
  <si>
    <t xml:space="preserve">* Công ty Cổ phần Nhựa Tân Tiến: </t>
  </si>
  <si>
    <t xml:space="preserve">* Công ty Cổ phần Nhựa Minh Hùng : </t>
  </si>
  <si>
    <t xml:space="preserve"> * Bồn Inox Hồng Giao: giao hàng tại Cty TNHH TM Hiển Nga - Tổng đại lý phân phối tại AG;</t>
  </si>
  <si>
    <t>*Cty TNHH XD và DV TILA (đại lý tại số 05/10, phường Mỹ Bình - Tp.LX).</t>
  </si>
  <si>
    <t>Khoan vào cát chặt trên cạn D1500 phản tuần hoàn, L&lt;=30m, HS=1.2</t>
  </si>
  <si>
    <t>Khoan vào cát chặt trên cạn D1500 phản tuần hoàn, L&gt;30m, HS VL=1,2; HS nhân công, MTC=1.015*1.2</t>
  </si>
  <si>
    <t>BB.14107</t>
  </si>
  <si>
    <t>Lắp đặt ống siêu âm D60 (phương pháp hàn)</t>
  </si>
  <si>
    <t>Lắp đặt ống siêu âm D114 (phương pháp hàn)</t>
  </si>
  <si>
    <t>AF.21110</t>
  </si>
  <si>
    <t>C3222</t>
  </si>
  <si>
    <t>AL.25223vd</t>
  </si>
  <si>
    <t>Lắp đặt khe co giãn 24cm</t>
  </si>
  <si>
    <t>Chổi cáp</t>
  </si>
  <si>
    <t>Lưỡi cắt bêtông</t>
  </si>
  <si>
    <t>Lắp đặt, tháo dỡ ván khuôn ngoài bằng thép vào trong bệ đúc dầm super T, hs=1,4</t>
  </si>
  <si>
    <t>Vận chuyển bê tông nhựa 2km</t>
  </si>
  <si>
    <t>Cốt thép cọc tiêu</t>
  </si>
  <si>
    <t>AG.13111</t>
  </si>
  <si>
    <t>Bê tông C15 cọc tiêu</t>
  </si>
  <si>
    <t>Giá bán nơi sản xuất</t>
  </si>
  <si>
    <t>*Công ty TNHH Thành Giao (S34-1 Sky garden, Phú Mỹ Hưng, P.Tân Phong, Q7-Tp.HCM) - Theo bảng ngày 28/12/2012</t>
  </si>
  <si>
    <t>Vật liệu carboncor asphalt trong xây dựng và sửa chữa kết cấu áo đường ôtô</t>
  </si>
  <si>
    <t xml:space="preserve">Gỗ thao lao đố </t>
  </si>
  <si>
    <t xml:space="preserve">Gỗ thao lao ván </t>
  </si>
  <si>
    <t xml:space="preserve"> * Cọc bê tông ly tâm (Công ty TNHH Lê Giang sản xuất; địa chỉ liên hệ: Số 613C/31 Hàm Nghi, phường Bình Khánh, TP.Long Xuyên) : Theo bảng báo giá ngày 05/3/2013</t>
  </si>
  <si>
    <t>* Cty TNHH thép SeAH Việt Nam (số 7, đường 3A, KCN Biên Hòa II, Đồng Nai) : Theo báo giá ngày 01/4/2013</t>
  </si>
  <si>
    <t xml:space="preserve">  - Thanh đòn tay (batten - làm rui hoặc mè)</t>
  </si>
  <si>
    <t xml:space="preserve"> *Tole  Lysaght Trimdek Optima - rộng 1015mm  (Cty TNHH TNHH Bluescope BuidingVN) :</t>
  </si>
  <si>
    <t>Lysaght Trimdek dày 0,45mm-TCT-Zincalume-G550AZ150</t>
  </si>
  <si>
    <t>Lysaght Trimdek dày 0,48mm-TCT-Colorbondxrw-G550AZ150</t>
  </si>
  <si>
    <t>Trimdek dày 0,41mm-APT-APEX-G550AZ100</t>
  </si>
  <si>
    <t>Tole dày 0,42mm khổ 1,07m</t>
  </si>
  <si>
    <t>Tole dày 0,45mm khổ 1,07m</t>
  </si>
  <si>
    <t>Tole dày 0,48mm khổ 1,07m</t>
  </si>
  <si>
    <t>Tole dày 0,40mm khổ 1,07m</t>
  </si>
  <si>
    <t>Tole dày 0,50mm khổ 1,07m</t>
  </si>
  <si>
    <t xml:space="preserve"> * Hệ giàn thép (Cty TNHH TNHH Bluescope BuidingVN): </t>
  </si>
  <si>
    <t>Hệ giàn thép Smartruss-Bluscope lysaght cho mái ngói</t>
  </si>
  <si>
    <t>Vật tư hệ vì kèo thép 2 lớp (bảo hành 20 măm)</t>
  </si>
  <si>
    <t>Hệ giàn thép Smartruss-Bluscope lysaght cho mái đổ bêtông</t>
  </si>
  <si>
    <t>Vật tư hệ vì kèo thép mái bêtông (bảo hành 20 măm)</t>
  </si>
  <si>
    <t>Hệ giàn thép Smartruss-Bluscope lysaght cho lôp tôn</t>
  </si>
  <si>
    <t xml:space="preserve"> * Giá ngói màu Cty TNHH MTV Đồng Tâm (tại Công ty TNHH Thương mại Hiển Nga) : Theo bảng báo giá ngày 28/02/2013.</t>
  </si>
  <si>
    <t>HM40104,  HM40204</t>
  </si>
  <si>
    <t xml:space="preserve">  các mã số: HG40304, HG40307</t>
  </si>
  <si>
    <t>HG50304, HG50307</t>
  </si>
  <si>
    <t>* Sứ vệ sinh AMERICAN STANDARD (màu trắng): Cty TNHH TM Hiển Nga - Tổng đại lý phân phối tại An Giang (Theo bảng báo giá ngày 01/12/2012)</t>
  </si>
  <si>
    <t xml:space="preserve"> * Sứ vệ sinh Thiên Thanh - loại AA : Cty TNHH TM Hiển Nga - Tổng đại lý phân phối tại An Giang (Theo bảng báo giá ngày 22/12/2012)</t>
  </si>
  <si>
    <t>Bộ cầu 1 khối Gold (nắp nhựa rơi êm, phụ kiện 2 nhấn) - K3130HS2T</t>
  </si>
  <si>
    <t>Chậu tròn 04 - LT04L1T</t>
  </si>
  <si>
    <t>Chậu vuông 52 - LV52L1T</t>
  </si>
  <si>
    <t>Thân cầu thấp 04 (cầu xỏm) - CT0400T</t>
  </si>
  <si>
    <t xml:space="preserve"> - Máy lạnh hiệu Aikibi (loại treo tường biến tần toàn phần - DC INVERTER) tiết kiệm 60% điện năng</t>
  </si>
  <si>
    <t>Sơn lót chống kiềm nội thất BOSS ALKALI (thùng 18 lít-24,1kg)</t>
  </si>
  <si>
    <t>Sơn nước ngoại thất FUTURE (NEW) (lon 18 lít-24,6kg)</t>
  </si>
  <si>
    <t>Sơn chống kiềm KITTY, loại 18 lít (17kg)</t>
  </si>
  <si>
    <t>ĐÈN SIÊU TIẾT KIỆM ĐIỆN T5 - GREENLIGHT (gồm: máng+ bóng T5+ tăng phô điện tử) - Cty TNHH Cơ điện lạnh An Phát</t>
  </si>
  <si>
    <t xml:space="preserve">Máng đèn néon đơn 0,6m - 14W </t>
  </si>
  <si>
    <t xml:space="preserve">Máng đèn néon đôi 0,6m - 14W </t>
  </si>
  <si>
    <t xml:space="preserve">Máng đèn néon đơn 1,2m - 28W </t>
  </si>
  <si>
    <t xml:space="preserve">Máng đèn néon đôi 1,2m - 28W </t>
  </si>
  <si>
    <t>Cửa sổ lùa 2 cánh, kích thước 1,6m x2,2m, hệ 500</t>
  </si>
  <si>
    <t xml:space="preserve">      - Giá đá, cát đã bao gồm phí bảo vệ môi trường (căn cứ Quyết định số 33/2012/QĐ-UBND ngày 04/10/2012 của UBND tỉnh về mức thu phí bảo vệ môi trường đối với khai thác khoáng sản không kim loại trên địa bàn tỉnh An Giang).</t>
  </si>
  <si>
    <t>Saigon Petro</t>
  </si>
  <si>
    <t xml:space="preserve"> * Sơn TOA : Cty TNHH MTV Thúy Nga (11 Lê Minh ngươn ) : Theo báo giá ngày 01/3/2013</t>
  </si>
  <si>
    <t>Sơn phủ nội &amp; ngoại thất TOA SUPERTECH PRO (18 lít)</t>
  </si>
  <si>
    <t>Sơn lót chống kiềm SUPERTECH PRO (18 lít)</t>
  </si>
  <si>
    <t>Sơn chống thấm đa năng (18 kg)</t>
  </si>
  <si>
    <t>Bột trét tường nội &amp; ngoại thất TOA WALL MASTIC (bao 40 kg)</t>
  </si>
  <si>
    <t>Sơn phủ nội thất SEAMASTER WALL TEX EMULSION PAINT (18 lít)</t>
  </si>
  <si>
    <t>Sơn phủ ngoại thất SEAMASTER ACRYLIC MATT WALL FINISH - màu chuẩn - C  (18 lít)</t>
  </si>
  <si>
    <t>Sơn dầu SUPERJET SYNTHETIC HIGH GLOSS ENAMEL  (3 lít)</t>
  </si>
  <si>
    <t>Mỏ đá Antraco</t>
  </si>
  <si>
    <t>Công bố An Giang tháng 5/2013, STT 25</t>
  </si>
  <si>
    <t>Công bố An Giang tháng 5/2013, STT 27</t>
  </si>
  <si>
    <t>Công bố An Giang tháng 5/2013, STT 28</t>
  </si>
  <si>
    <t>Công bố An Giang tháng 5/2013, STT 29</t>
  </si>
  <si>
    <t>Công bố An Giang tháng 5/2013, STT 1</t>
  </si>
  <si>
    <t>Công bố An Giang tháng 5/2013, STT 2</t>
  </si>
  <si>
    <t>Công bố An Giang tháng 5/2013, STT 3</t>
  </si>
  <si>
    <t>Công bố An Giang tháng 5/2013, STT 5</t>
  </si>
  <si>
    <t>Báo giá Sika ngày 21/05/2013</t>
  </si>
  <si>
    <t>Báo giá Ngọc Linh ngày 18/01/2013</t>
  </si>
  <si>
    <t>Báo giá Việt Phú 20/5/2013</t>
  </si>
  <si>
    <t>Báo giá Sika ngày 21/05/2013, Sikadur 732</t>
  </si>
  <si>
    <t>Cẩu lắp gối cầu</t>
  </si>
  <si>
    <t>AB.64112</t>
  </si>
  <si>
    <t>Cấp phối chọn lọc K=0.98</t>
  </si>
  <si>
    <t>Siêu âm cọc khoan nhồi</t>
  </si>
  <si>
    <t>HS=1.16*1.14</t>
  </si>
  <si>
    <t>Nhật Quang</t>
  </si>
  <si>
    <t>Ống ghen nối D110/117</t>
  </si>
  <si>
    <t>Ống ghen nối D80/87</t>
  </si>
  <si>
    <t>EID</t>
  </si>
  <si>
    <t>Móng cột biển báo</t>
  </si>
  <si>
    <t>Khoan vào cát chặt trên cạn D1200 phản tuần hoàn, L&lt;=30m, HS=1.2</t>
  </si>
  <si>
    <t>AC.32122vd</t>
  </si>
  <si>
    <t>AC.32113</t>
  </si>
  <si>
    <t>Khoan vào cát chặt trên cạn D1200 phản tuần hoàn, L&gt;30m, HS VL=1,2; HS nhân công, MTC=1.015*1.2</t>
  </si>
  <si>
    <t xml:space="preserve">Lắp dựng ống vách cọc khoan nhồi trên cạn D&lt;=1300 </t>
  </si>
  <si>
    <t>AC.34523</t>
  </si>
  <si>
    <t>AC.34523vd</t>
  </si>
  <si>
    <t>Rút ống vách cọc khoan nhồi trên cạn D&lt;=1300, HS=0.6</t>
  </si>
  <si>
    <t>AL.16210</t>
  </si>
  <si>
    <t>Sản xuất, lắp đặt cột biển báo D168, dày 7.1 m, L=8m</t>
  </si>
  <si>
    <t>Trụ đỡ biển báo D168</t>
  </si>
  <si>
    <t>Báo giá Seah</t>
  </si>
  <si>
    <t>(Chiều cao cột là 8m)</t>
  </si>
  <si>
    <t>Sơn sắt thép chống rỉ (2 nước)</t>
  </si>
  <si>
    <t>Sơn màu 2 lớp</t>
  </si>
  <si>
    <t>Đào cấp phối đá dăm</t>
  </si>
  <si>
    <t>AB.31144</t>
  </si>
  <si>
    <t>Đào đất nền đường</t>
  </si>
  <si>
    <t>AB.31141</t>
  </si>
  <si>
    <t>Cẩu ống cống BTCT D1500 nối joint cao su (H10), L=3m, HS=1.15*0.6 (tháo dỡ= 60% lắp dựng)</t>
  </si>
  <si>
    <t>Báo giá vinaconex Sài Gòn</t>
  </si>
  <si>
    <t>Việt Nhật</t>
  </si>
  <si>
    <t>Vữa bê tông đá 1x2 C42 SN 12-16</t>
  </si>
  <si>
    <t>Vữa bê tông đá 1x2 C25 SN 12-16</t>
  </si>
  <si>
    <t>Vữa bê tông đá 1x2 C20 SN 12-16</t>
  </si>
  <si>
    <t>Vữa bê tông đá 1x2 C35 SN 12-16</t>
  </si>
  <si>
    <t>Vữa bê tông đá 1x2 C10 SN 12-16</t>
  </si>
  <si>
    <t>Vữa bê tông đá 1x2 C20 (độ sụt 14-17cm)</t>
  </si>
  <si>
    <t>C3324</t>
  </si>
  <si>
    <t>Vữa bê tông đá 1x2 C25 (độ sụt 14-17cm)</t>
  </si>
  <si>
    <t>Vữa bê tông đá 1x2 C35 (độ sụt 14-17cm)</t>
  </si>
  <si>
    <t>C3325</t>
  </si>
  <si>
    <t>C3327</t>
  </si>
  <si>
    <t>Vữa bê tông đá 1x2 C50 (độ sụt 16-18cm)</t>
  </si>
  <si>
    <t>C3344</t>
  </si>
  <si>
    <t>Biển báo chữ nhật 1.6x1.0m</t>
  </si>
  <si>
    <t>Biển báo chữ nhật 0.9x0.45m</t>
  </si>
  <si>
    <t>Biển báo hình vuông 0.6x0.6m</t>
  </si>
  <si>
    <t>Biển báo chữ nhật 0.7x0.3m</t>
  </si>
  <si>
    <t>Biển báo tam giác cạnh 0.7m</t>
  </si>
  <si>
    <t>Biển báo tròn đường kính 0.7m</t>
  </si>
  <si>
    <t>Cung cấp trụ đỡ tôn lượn sóng L=1.3m</t>
  </si>
  <si>
    <t>Trụ đỡ tôn lượn sóng L=1.3m</t>
  </si>
  <si>
    <t>Đắp đất công trình (đất tận dụng)</t>
  </si>
  <si>
    <t>(đồng/tấn/km)</t>
  </si>
  <si>
    <t>(đồng/tấn*50%)</t>
  </si>
  <si>
    <t>cầu Kênh số 1</t>
  </si>
  <si>
    <t>cầu Kênh số 2</t>
  </si>
  <si>
    <t>Sản xuất ống vách cọc khoan nhồi (thu hồi), KH=1.17%*1.5tháng+3.5% đóng nhổ (4/30 tháng/cọc*10 lần=1.5 tháng, 4 ngày/cọc)</t>
  </si>
  <si>
    <t>Sản xuất ống vách cọc khoan nhồi (thu hồi), KH=1.17%*1.5tháng+3.5% đóng nhổ (4/30 tháng/cọc*11 lần=1.5 tháng, 4 ngày/cọc)</t>
  </si>
  <si>
    <t>Sản xuất ống vách cọc khoan nhồi (thu hồi), KH=1.17%*2tháng+3.5% đóng nhổ (4/30 tháng/cọc*12 lần=2 tháng, 4 ngày/cọc)</t>
  </si>
  <si>
    <t>Sản xuất ống vách cọc khoan nhồi (để lại)</t>
  </si>
  <si>
    <t>bên bờ sông Bình Di phía Campuchia</t>
  </si>
  <si>
    <t>bên bờ sông Bình Di phía VN</t>
  </si>
  <si>
    <t>bên bờ sông Bình Di phía Camp</t>
  </si>
  <si>
    <t>&lt;30km</t>
  </si>
  <si>
    <t>huy động</t>
  </si>
  <si>
    <t>phương tiện</t>
  </si>
  <si>
    <t>AI.62211vd</t>
  </si>
  <si>
    <t>Lắp ráp cấu kiện thép</t>
  </si>
  <si>
    <t>BB.14111</t>
  </si>
  <si>
    <t>Thép hình hệ khung treo đỡ</t>
  </si>
  <si>
    <t>Thép hình hệ ván khuôn</t>
  </si>
  <si>
    <t>Thép tấm hệ khung treo đỡ</t>
  </si>
  <si>
    <t>Thép tấm hệ ván khuôn</t>
  </si>
  <si>
    <t>Cty Vinh Thành</t>
  </si>
  <si>
    <t>ĐGXDCB</t>
  </si>
  <si>
    <t>Báo giá Phương Nam</t>
  </si>
  <si>
    <t>Cung cấp và lắp đặt ống cống BTCT D1500 nối joint cao su (H10), L=3m, HS=1.15</t>
  </si>
  <si>
    <t>Cung cấp và lắp đặt ống cống BTCT D1500 nối joint cao su (H10), L=3m, HS=1.15, tạm tính KH=50%</t>
  </si>
  <si>
    <t>KH=50%</t>
  </si>
  <si>
    <t>Thử tĩnh cọc khoan nhồi</t>
  </si>
  <si>
    <t>Báo giá Hưng Nghiệp</t>
  </si>
  <si>
    <t>Thử tải cọc bằng phương pháp PDA trên cạn</t>
  </si>
  <si>
    <t>Công ty CPKT nền móng Sài Gòn</t>
  </si>
  <si>
    <t>Giá tài nguyên môi trường An Giang</t>
  </si>
  <si>
    <t>Nam Anh</t>
  </si>
  <si>
    <t>Đền bù tài nguyên (đất sét)</t>
  </si>
  <si>
    <t>Khai thác đất để đắp</t>
  </si>
  <si>
    <t>bảng tính bốc dỡ</t>
  </si>
  <si>
    <t>*Cầu Kênh số 1</t>
  </si>
  <si>
    <t>*Cầu Kênh số 2</t>
  </si>
  <si>
    <t>cẩu dầm qua Kênh số 1</t>
  </si>
  <si>
    <t>Cẩu dầm Super-T, tạm tính HS=30%</t>
  </si>
  <si>
    <t>*Cầu Long Bình</t>
  </si>
  <si>
    <t>Chi phí kê lót, chống nghiêng lật, chằng buộc, bốc dỡ đường bộ</t>
  </si>
  <si>
    <t>Chi phí kê lót, chống nghiêng lật, chằng buộc, bốc dỡ đường sông</t>
  </si>
  <si>
    <t>cước vận chuyển đường sông</t>
  </si>
  <si>
    <t>cước vận chuyển đường bộ</t>
  </si>
  <si>
    <t>BẢNG TÍNH CHI PHÍ VẬN CHUYỂN DẦM SUPER_T</t>
  </si>
  <si>
    <t>Đắp đất bao (tận dụng 80% đất đào xử lý nền)</t>
  </si>
  <si>
    <t>Đắp đất bao (đất khai thác)</t>
  </si>
  <si>
    <t>Bê tông C25 bản quá độ</t>
  </si>
  <si>
    <t>Bê tông C25 bản quá độ đổ tại chỗ</t>
  </si>
  <si>
    <t>Bê tông C35 bệ đúc dầm</t>
  </si>
  <si>
    <t>Bê tông C20 bịt đáy đá 4x6 trên cạn</t>
  </si>
  <si>
    <t>Bê tông C30 cọc khoan nhồi trên cạn D&lt;=1000</t>
  </si>
  <si>
    <t>Bê tông C30 cọc khoan nhồi trên cạn D&gt;1000</t>
  </si>
  <si>
    <t>Bê tông C30 cống hộp đổ tại chỗ</t>
  </si>
  <si>
    <t>Bê tông C20 đá 1x2 bó vỉa</t>
  </si>
  <si>
    <t>Bê tông C10 đá 1x2</t>
  </si>
  <si>
    <t>Vữa Bê tông C10 đá 1x2 SN 2-4</t>
  </si>
  <si>
    <t>Vữa Bê tông C10 đá 1x2 SN 6-8</t>
  </si>
  <si>
    <t>Bê tông C20 đá 1x2 (M250) (tường đầu, tường cánh, tường chắn...)</t>
  </si>
  <si>
    <t>Bê tông C20 đá 4x6</t>
  </si>
  <si>
    <t>Vữa Bê tông C20 đá 4x6 (độ sụt 14-17cm)</t>
  </si>
  <si>
    <t>Vữa Bê tông C20 đá 4x6 SN 6-8</t>
  </si>
  <si>
    <t>Bê tông C30 lan can phần đúc sẵn</t>
  </si>
  <si>
    <t>Bê tông C30 lan can, lề bộ hành phần đổ tại chỗ</t>
  </si>
  <si>
    <t>Bê tông C10 lót móng đá 1x2, R&gt;250cm</t>
  </si>
  <si>
    <t>Bê tông C10 lót móng đá 1x2, R&lt;250cm</t>
  </si>
  <si>
    <t>Bê tông C10 lót móng đá 4x6, R&lt;250cm</t>
  </si>
  <si>
    <t>Bê tông C40 mố/trụ</t>
  </si>
  <si>
    <t>Bê tông C35 mố/trụ trên cạn</t>
  </si>
  <si>
    <t>Bê tông C15 móng</t>
  </si>
  <si>
    <t>Bê tông C20 móng</t>
  </si>
  <si>
    <t>Bê tông C35 mũ mố trụ trên cạn</t>
  </si>
  <si>
    <t>Bê tông C40 mũ mố trụ trên cạn</t>
  </si>
  <si>
    <t>Bê tông C42 mũ mố trụ trên cạn</t>
  </si>
  <si>
    <t>Bê tông C15 nền</t>
  </si>
  <si>
    <t>Bê tông C20 nền</t>
  </si>
  <si>
    <t>Bê tông C20 sân cống</t>
  </si>
  <si>
    <t>Bê tông C30 sàn giảm tải</t>
  </si>
  <si>
    <t>Bêtông C15 đá 1x2 tấm đan đúc sẵn</t>
  </si>
  <si>
    <t>Bêtông C30 cọc BTCT đá 1x2</t>
  </si>
  <si>
    <t>Bêtông C30 cọc BTCT đá 1x2 bệ đúc dầm</t>
  </si>
  <si>
    <t>Bêtông C15 đá 1x2</t>
  </si>
  <si>
    <t>Bêtông C20 đá 1x2</t>
  </si>
  <si>
    <t>Bêtông C25 thân, tường</t>
  </si>
  <si>
    <t>Bêtông C30 thân, tường đá 1x2</t>
  </si>
  <si>
    <t>Cốt thép D&lt;=10 bản mặt cầu</t>
  </si>
  <si>
    <t>Cốt thép D&lt;=18 bản mặt cầu</t>
  </si>
  <si>
    <t>Cốt thép D&gt;18 bản mặt cầu</t>
  </si>
  <si>
    <t>Cốt thép D&lt;=18 cọc khoan nhồi trên cạn</t>
  </si>
  <si>
    <t>Cốt thép D&gt;18 cọc khoan nhồi trên cạn</t>
  </si>
  <si>
    <t>Cốt thép D6 cọc tiêu</t>
  </si>
  <si>
    <t>Cốt thép D&lt;=18 cống</t>
  </si>
  <si>
    <t>Cốt thép D&lt;=18 dầm cầu dưới nước (đổ tại chỗ)</t>
  </si>
  <si>
    <t>Cốt thép D&gt;18 dầm cầu dưới nước (đổ tại chỗ)</t>
  </si>
  <si>
    <t>Cốt thép D&lt;=18 dầm cầu trên cạn (đổ tại chỗ)</t>
  </si>
  <si>
    <t>Cốt thép D&gt;18 dầm cầu trên cạn (đổ tại chỗ)</t>
  </si>
  <si>
    <t>Cốt thép D&lt;=18 dầm super T</t>
  </si>
  <si>
    <t>Cốt thép D&gt;18 dầm super T</t>
  </si>
  <si>
    <t>Cốt thép D&lt;=10 dầm, giằng</t>
  </si>
  <si>
    <t>Cốt thép D&lt;=18 dầm, giằng</t>
  </si>
  <si>
    <t>Cốt thép D&gt;18 dầm, giằng</t>
  </si>
  <si>
    <t>Cốt thép D&lt;=10 đúc sẵn</t>
  </si>
  <si>
    <t>Cốt thép D&lt;18 đúc sẵn</t>
  </si>
  <si>
    <t>Cốt thép D&lt;=18 giếng</t>
  </si>
  <si>
    <t>Cốt thép D&lt;=18 móng, mũ mố trụ cầu trên cạn</t>
  </si>
  <si>
    <t>Cốt thép D&gt;18 móng, mũ mố trụ cầu trên cạn</t>
  </si>
  <si>
    <t>Đóng cọc ván thép trên cạn, L≤12m (phần không ngập đất, HS=0,75)</t>
  </si>
  <si>
    <t xml:space="preserve">  A - Material</t>
  </si>
  <si>
    <t xml:space="preserve">  B - Labour 2.5/7</t>
  </si>
  <si>
    <t xml:space="preserve">  B - Labour 2.7/7</t>
  </si>
  <si>
    <t xml:space="preserve">  B - Labour 3.0/7</t>
  </si>
  <si>
    <t xml:space="preserve">  B - Labour 3.3/7</t>
  </si>
  <si>
    <t xml:space="preserve">  B - Labour 3.5/7</t>
  </si>
  <si>
    <t xml:space="preserve">  B - Labour 3.7/7</t>
  </si>
  <si>
    <t xml:space="preserve">  B - Labour 4.0/7</t>
  </si>
  <si>
    <t xml:space="preserve">  B - Labour 4.3/7</t>
  </si>
  <si>
    <t xml:space="preserve">  B - Labour 4.5/7</t>
  </si>
  <si>
    <t xml:space="preserve">  B - Labour 5.0/7</t>
  </si>
  <si>
    <t xml:space="preserve">  C - Machine</t>
  </si>
  <si>
    <t xml:space="preserve">(=1709776 -46,64kg diezel *7818/0,87đ-18Kwh electric*1000đ) </t>
  </si>
  <si>
    <t>(3 shift/day x 10days x 2 buoy)</t>
  </si>
  <si>
    <t>(3 shift/day x 10days x 4 buoy)</t>
  </si>
  <si>
    <t>Pole hight 8m</t>
  </si>
  <si>
    <t>Using 2 buoy 250 ton and 2 buoy 200 ton in 10 days</t>
  </si>
  <si>
    <t>Using 2 buoy 250 ton in 10 days</t>
  </si>
  <si>
    <t>Using 4 buoy 250 ton in 10 days</t>
  </si>
  <si>
    <t>(calculating 70% salary)</t>
  </si>
  <si>
    <t>(not included shaped steel)</t>
  </si>
  <si>
    <t>Acetylene</t>
  </si>
  <si>
    <t>Steel plate 180x180x45</t>
  </si>
  <si>
    <t>Steel plate 180x180x45 (permanent)</t>
  </si>
  <si>
    <t>Adhesive tape</t>
  </si>
  <si>
    <t>Bag</t>
  </si>
  <si>
    <t>Lean concrete C10, stone 1x2</t>
  </si>
  <si>
    <t>Lean concrete C10, R&lt;250cm (stone 1x2)</t>
  </si>
  <si>
    <t>Lean concrete C10, R&gt;250cm (stone 1x2)</t>
  </si>
  <si>
    <t>Lean concrete C10, R&lt;250cm (stone 4x6)</t>
  </si>
  <si>
    <t>Concrete C15 of pole</t>
  </si>
  <si>
    <t>Concrete C15 of foundation</t>
  </si>
  <si>
    <t>Blinding concrete C20 (stone 4x6) on land</t>
  </si>
  <si>
    <t>Concrete C20, stone 1x2 of headwall/ wingwall</t>
  </si>
  <si>
    <t>Concrete C20, stone 1x2 of kerb</t>
  </si>
  <si>
    <t>Concrete C20, stone 4x6</t>
  </si>
  <si>
    <t>Concrete C20 of foundation</t>
  </si>
  <si>
    <t>Concrete C20 of apron</t>
  </si>
  <si>
    <t>Concrete C30</t>
  </si>
  <si>
    <t>Concrete C30 of box culvert (in situ)</t>
  </si>
  <si>
    <t>Concrete C30 of precast railing</t>
  </si>
  <si>
    <t>Concrete C30 of railling/ side walk</t>
  </si>
  <si>
    <t>Concrete C35 (girder, deck slab…)</t>
  </si>
  <si>
    <t>Concrete C25</t>
  </si>
  <si>
    <t>Concrete C35 of casting bed</t>
  </si>
  <si>
    <t>Concrete C35 of abutment-pier on land</t>
  </si>
  <si>
    <t>Concrete C40 of abutment-pier</t>
  </si>
  <si>
    <t>Concrete C40 of abutment-pier on land</t>
  </si>
  <si>
    <t>Concrete C40 of blister</t>
  </si>
  <si>
    <t>Concrete C42 of box girder casted on scaffolding (land) (K17)</t>
  </si>
  <si>
    <t>Concrete C42 of cantilever box girder (land)</t>
  </si>
  <si>
    <t>Concrete C42 of cantilever box girder (water)</t>
  </si>
  <si>
    <t>Concrete C42 of pier cap (land)</t>
  </si>
  <si>
    <t>Concrete of brick</t>
  </si>
  <si>
    <t>Bentonite</t>
  </si>
  <si>
    <t>Electric cooker (0,6 kW)</t>
  </si>
  <si>
    <t>Concrete C15 (stone 1x2)</t>
  </si>
  <si>
    <t>Concrete C15 of cover plate (in situ)</t>
  </si>
  <si>
    <t>Concrete C20 (stone 1x2)</t>
  </si>
  <si>
    <t>Concrete C30 of R.C driven pile (stone 1x2)</t>
  </si>
  <si>
    <t>Rectangular traffic sign 0.7x0.3m</t>
  </si>
  <si>
    <t>Rectangular traffic sign 0.9x0.45m</t>
  </si>
  <si>
    <t>Rectangular traffic sign 1.2x0.25m</t>
  </si>
  <si>
    <t>Rectangular traffic sign 1.6x1.0m</t>
  </si>
  <si>
    <t>Rectangular traffic sign 1.6x1.2m</t>
  </si>
  <si>
    <t>Rectangular traffic sign 2.4x1.5m</t>
  </si>
  <si>
    <t>Rectangular traffic sign 2x1m</t>
  </si>
  <si>
    <t>Circlar traffic sign D70</t>
  </si>
  <si>
    <t>Square traffic sign 0.6x0.6m</t>
  </si>
  <si>
    <t>Triangle traffic sign 0.7m</t>
  </si>
  <si>
    <t>Triangle traffic sign 0.87m</t>
  </si>
  <si>
    <t>Circlar traffic sign 0.7m</t>
  </si>
  <si>
    <t>Circlar traffic sign 0.87m</t>
  </si>
  <si>
    <t>Exsiccator</t>
  </si>
  <si>
    <t xml:space="preserve"> Triangle glass jar</t>
  </si>
  <si>
    <t>Density vase</t>
  </si>
  <si>
    <t xml:space="preserve">Bitumment </t>
  </si>
  <si>
    <t>jack 50T</t>
  </si>
  <si>
    <t>Pumping bentonite (on land)</t>
  </si>
  <si>
    <t>Pumping mortar cement in cable pipe</t>
  </si>
  <si>
    <t>Stone powder</t>
  </si>
  <si>
    <t>Bbolt D16mmm</t>
  </si>
  <si>
    <t>Bbolt M10</t>
  </si>
  <si>
    <t>Bbolt M14</t>
  </si>
  <si>
    <t>Bbolt M16</t>
  </si>
  <si>
    <t>Bbolt M20</t>
  </si>
  <si>
    <t>Bbolt M24x290</t>
  </si>
  <si>
    <t>Bbolt M27</t>
  </si>
  <si>
    <t>Bbolt M6</t>
  </si>
  <si>
    <t>Bbolt M8x50</t>
  </si>
  <si>
    <t>Air compressed hammer 1.5m3/min</t>
  </si>
  <si>
    <t>Vibrator hammer 170kW</t>
  </si>
  <si>
    <t>Vibrator hammer 60kW for sand pile</t>
  </si>
  <si>
    <t>Bbolt D22</t>
  </si>
  <si>
    <t>Bbolt M25x105</t>
  </si>
  <si>
    <t>Bascule balance</t>
  </si>
  <si>
    <t>Tyre crane 16T</t>
  </si>
  <si>
    <t>Tyre crane 25T</t>
  </si>
  <si>
    <t>caterpillar crane 16T</t>
  </si>
  <si>
    <t>caterpillar crane 10T</t>
  </si>
  <si>
    <t>caterpillar crane 25T</t>
  </si>
  <si>
    <t>caterpillar crane 30T</t>
  </si>
  <si>
    <t>caterpillar crane 50T</t>
  </si>
  <si>
    <t>caterpillar crane 80T</t>
  </si>
  <si>
    <t>Crane barge 30T</t>
  </si>
  <si>
    <t>Drill rods L=1.5m</t>
  </si>
  <si>
    <t>Analytic balance</t>
  </si>
  <si>
    <t>Truck-mounted crane 10T</t>
  </si>
  <si>
    <t>Truck-mounted crane 25T</t>
  </si>
  <si>
    <t>Canoe 120CV</t>
  </si>
  <si>
    <t>Canoe 150CV</t>
  </si>
  <si>
    <t>Cable of cantilever beam (land)</t>
  </si>
  <si>
    <t>Cable of cantilever beam (water)</t>
  </si>
  <si>
    <t>Selective aggregate</t>
  </si>
  <si>
    <t>Selective aggregate, K=0.98</t>
  </si>
  <si>
    <t>stone aggregate 0x4 (type 1)</t>
  </si>
  <si>
    <t>stone aggregate 0x4 (type 2)</t>
  </si>
  <si>
    <t>Find sand</t>
  </si>
  <si>
    <t>Cutting asphanlt concrete</t>
  </si>
  <si>
    <t>Medium sand</t>
  </si>
  <si>
    <t>Gangway</t>
  </si>
  <si>
    <t>Crane girder super-T onto transported vehicle, HS=30%</t>
  </si>
  <si>
    <t>Craning bearing</t>
  </si>
  <si>
    <t>Beam-launch crane</t>
  </si>
  <si>
    <t>Strut</t>
  </si>
  <si>
    <r>
      <t>Ploughing</t>
    </r>
    <r>
      <rPr>
        <sz val="10"/>
        <rFont val="Arial"/>
        <family val="2"/>
      </rPr>
      <t xml:space="preserve"> the old pavement</t>
    </r>
  </si>
  <si>
    <t>Charging for de-settlement 1000 ton system</t>
  </si>
  <si>
    <t>Charging for de-settlement 500 ton system</t>
  </si>
  <si>
    <t>Charging for de-settlement 900 ton system</t>
  </si>
  <si>
    <t>Glass bowl</t>
  </si>
  <si>
    <t>Waiting 7 days</t>
  </si>
  <si>
    <t>broom</t>
  </si>
  <si>
    <t>Grass</t>
  </si>
  <si>
    <t>pup joint PVC D60</t>
  </si>
  <si>
    <t>Plastic cup</t>
  </si>
  <si>
    <t>Glass</t>
  </si>
  <si>
    <t>Wooden pile</t>
  </si>
  <si>
    <t>Steel sheet stake</t>
  </si>
  <si>
    <t xml:space="preserve"> plastic cudgel </t>
  </si>
  <si>
    <t>Alcohol for washing</t>
  </si>
  <si>
    <t>Stell of pole</t>
  </si>
  <si>
    <t>Reinforcement of R.C pile</t>
  </si>
  <si>
    <t>Reinforcement D&lt;=10 of slab, approach slab, casting bed super T…</t>
  </si>
  <si>
    <t>Reinforcement D&lt;=10 of deck slab</t>
  </si>
  <si>
    <t>Reinforcement D&lt;=10 of cross beam</t>
  </si>
  <si>
    <t>Reinforcement D&lt;=18 of slab, approach slab, casting bed super T…</t>
  </si>
  <si>
    <t>Reinforcement D&lt;=18 of deck slab</t>
  </si>
  <si>
    <t>Reinforcement D&lt;=18 of bored pile (land)</t>
  </si>
  <si>
    <t>Reinforcement D&lt;=18 of culvert</t>
  </si>
  <si>
    <t>Reinforcement D&lt;=18 of girder in water (precast)</t>
  </si>
  <si>
    <t>Reinforcement D&lt;=18 of girder on land (precast)</t>
  </si>
  <si>
    <t>Reinforcement D&lt;=18 of girder super T</t>
  </si>
  <si>
    <t>Reinforcement D&lt;=18 of cross beam</t>
  </si>
  <si>
    <t>Reinforcement D&lt;=18 of manhole</t>
  </si>
  <si>
    <t>Reinforcement D&lt;=18 of foundation, head of abutment/pier on land</t>
  </si>
  <si>
    <t>Reinforcement D&lt;=10 (precast)</t>
  </si>
  <si>
    <t>Reinforcement D&lt;=18 (precast)</t>
  </si>
  <si>
    <t>Reinforcement D&gt;18 of slab, approach slab, casting bed super T…</t>
  </si>
  <si>
    <t>Reinforcement D&gt;18 of deck slab</t>
  </si>
  <si>
    <t>Reinforcement D&gt;18 of bored pile (land)</t>
  </si>
  <si>
    <t>Reinforcement D&gt;18 of girder in water (precast)</t>
  </si>
  <si>
    <t>Reinforcement D&gt;18 of girder on land (precast)</t>
  </si>
  <si>
    <t>Reinforcement D&gt;18 of girder super T</t>
  </si>
  <si>
    <t>Reinforcement D&gt;18 of cross beam</t>
  </si>
  <si>
    <t>Reinforcement D&gt;18 of foundation, head of abutment/pier on land</t>
  </si>
  <si>
    <t>Reinforcement D6 of pole</t>
  </si>
  <si>
    <t>Reinforcement of abutment/pier in water</t>
  </si>
  <si>
    <t>Reinforcement of wall</t>
  </si>
  <si>
    <t>Firewood</t>
  </si>
  <si>
    <t>Supply bag</t>
  </si>
  <si>
    <t>Supply scew nut M10</t>
  </si>
  <si>
    <t>Supply end of corrugated sheet iron</t>
  </si>
  <si>
    <t>Cast iron grid</t>
  </si>
  <si>
    <t>Pole L=1.3m</t>
  </si>
  <si>
    <t>Supply &amp; install cluvert pipe D1500 (H10), L=3m, HS=1.15</t>
  </si>
  <si>
    <t>Supply steel tacke M12</t>
  </si>
  <si>
    <t>Stone 0.5-1.0</t>
  </si>
  <si>
    <t>Stone 0.5-1.6</t>
  </si>
  <si>
    <t>Stone 0.5-2</t>
  </si>
  <si>
    <t>Stone 0.5x1 asphalt concrete</t>
  </si>
  <si>
    <t>Stone 0x0.5 asphalt concrete</t>
  </si>
  <si>
    <t>Stone 1x1.6 asphalt concrete</t>
  </si>
  <si>
    <t>Stone 1x2</t>
  </si>
  <si>
    <t>Stone 4x6</t>
  </si>
  <si>
    <t>Bedding stone 1x2</t>
  </si>
  <si>
    <t>Bedding stone 4x6</t>
  </si>
  <si>
    <t>Masory</t>
  </si>
  <si>
    <t>Grouted - rip - rap</t>
  </si>
  <si>
    <t>Split stone</t>
  </si>
  <si>
    <t>Gravel</t>
  </si>
  <si>
    <t xml:space="preserve">Grinding stone </t>
  </si>
  <si>
    <t>Scew nut D36</t>
  </si>
  <si>
    <t>Scew nut D36 (permanent)</t>
  </si>
  <si>
    <t>Check nut D36</t>
  </si>
  <si>
    <t>Scew nut M10</t>
  </si>
  <si>
    <t>Tamping rammer</t>
  </si>
  <si>
    <t>Supper - T girder</t>
  </si>
  <si>
    <t>Supper - T girder 38.2m</t>
  </si>
  <si>
    <t>Excavating aggregate base course</t>
  </si>
  <si>
    <t>Excavating asphalt concrete</t>
  </si>
  <si>
    <t>Excavating soil</t>
  </si>
  <si>
    <t>Excavating</t>
  </si>
  <si>
    <t>Excavating foundation on land</t>
  </si>
  <si>
    <t>Excavating foundation, soil C1</t>
  </si>
  <si>
    <t>Excavating old pavement</t>
  </si>
  <si>
    <t>Excavating foundation hole</t>
  </si>
  <si>
    <t>Excavating foundation (organic soil)</t>
  </si>
  <si>
    <t>Excavating stone</t>
  </si>
  <si>
    <t>Embankment backfill by fine sand, K=0.85</t>
  </si>
  <si>
    <t>Embankment backfill by fine sand (by hand)</t>
  </si>
  <si>
    <t>Embankment backfill by fine sand, K=0.95 (tamping rammer)</t>
  </si>
  <si>
    <t>Embankment backfill by fine sand, K=0.90 (tamping rammer)</t>
  </si>
  <si>
    <t>Embankment backfill by fine sand</t>
  </si>
  <si>
    <t>Embankment backfill by fine sand, K=0.95</t>
  </si>
  <si>
    <t>Embankment backfill by fine sand, K=0.98</t>
  </si>
  <si>
    <t>Embankment backfill by medium sand, K=0.95</t>
  </si>
  <si>
    <t>Embanking clay to protect talus</t>
  </si>
  <si>
    <t>Embanking clay to protect talus (take advantage of 80% excavation soil of treatment))</t>
  </si>
  <si>
    <t>Embanking clay to protect talus (excavation soil)</t>
  </si>
  <si>
    <t>Embanking soil (by hand)</t>
  </si>
  <si>
    <t>Embanking soil</t>
  </si>
  <si>
    <t>Embanking soil (use capability)</t>
  </si>
  <si>
    <t>Embanking soil to grassing (use capability)</t>
  </si>
  <si>
    <t>Breaking concrete piercing pile (land)</t>
  </si>
  <si>
    <t>Embanking dikes by sand bag</t>
  </si>
  <si>
    <t>Calcium carbide</t>
  </si>
  <si>
    <t xml:space="preserve">Safe oil </t>
  </si>
  <si>
    <t>Lubricant grease</t>
  </si>
  <si>
    <t>Oil CS46</t>
  </si>
  <si>
    <t>Diesel</t>
  </si>
  <si>
    <t>Petroleum</t>
  </si>
  <si>
    <t>Mazut</t>
  </si>
  <si>
    <t xml:space="preserve">Separol oil </t>
  </si>
  <si>
    <t>End of corrugated sheet iron 0.7m</t>
  </si>
  <si>
    <t>Steel ware</t>
  </si>
  <si>
    <t>Rubber pad</t>
  </si>
  <si>
    <t>Signal light</t>
  </si>
  <si>
    <t>Signal light in night</t>
  </si>
  <si>
    <t>Compensation resources</t>
  </si>
  <si>
    <t>Moving girder, L&gt;35m</t>
  </si>
  <si>
    <t>Nail</t>
  </si>
  <si>
    <t>Crampong nail</t>
  </si>
  <si>
    <t>Casing nail</t>
  </si>
  <si>
    <t>Thumbtack</t>
  </si>
  <si>
    <t>Clinch-nail D22</t>
  </si>
  <si>
    <t>Pouring concrete girder super T, C50</t>
  </si>
  <si>
    <t>Pilling vertical RC pile 30x30, L&gt;24m (land)</t>
  </si>
  <si>
    <t>Driven steel pile on land, L&gt;10m, soil C1 (not on land, HS=0.75)</t>
  </si>
  <si>
    <t>Driven steel pile on land, L&gt;10m, soil C1 (on land)</t>
  </si>
  <si>
    <t>Driven steel pile in water, L&gt;10m, soil C1</t>
  </si>
  <si>
    <t>Pilling vertical testing RC pile 30x30, L&gt;24m, C1 (land)</t>
  </si>
  <si>
    <t>Pilling wooden pile L&lt;=2.5m, C1</t>
  </si>
  <si>
    <t>Pilling wooden pile L&gt;2.5m, C1</t>
  </si>
  <si>
    <t>Driving steel sheet pile (water), L&gt;12m, soil C1</t>
  </si>
  <si>
    <t>Driving steel sheet pile (land), L&gt;12m, soil C1 (on land)</t>
  </si>
  <si>
    <t>Driving steel sheet pile (land), L&gt;12m, soil C1 (not on land, HS=0.75)</t>
  </si>
  <si>
    <t>Driving steel sheet pile (land), L&lt;=12m, soil C1 (not on land, HS=0.75)</t>
  </si>
  <si>
    <t>Driving steel sheet pile (land), L&lt;=12m, soil C1 (on land)</t>
  </si>
  <si>
    <t>Beating temporary bearing concrete</t>
  </si>
  <si>
    <t>High strengthen scew nut M32</t>
  </si>
  <si>
    <t>Brick 40x80x190</t>
  </si>
  <si>
    <t xml:space="preserve">Bucket of drill </t>
  </si>
  <si>
    <t>Handling steel</t>
  </si>
  <si>
    <t>Joint for R.C pile</t>
  </si>
  <si>
    <t>Zinc steel</t>
  </si>
  <si>
    <t>Sign support</t>
  </si>
  <si>
    <t>Oilpaper</t>
  </si>
  <si>
    <t>Rubber joint</t>
  </si>
  <si>
    <t>Rubber joint D1500</t>
  </si>
  <si>
    <t>Wooden</t>
  </si>
  <si>
    <t>Wooden chock</t>
  </si>
  <si>
    <r>
      <rPr>
        <sz val="10"/>
        <rFont val="Arial"/>
        <family val="2"/>
      </rPr>
      <t>B</t>
    </r>
    <r>
      <rPr>
        <sz val="10"/>
        <rFont val="Arial"/>
        <family val="2"/>
      </rPr>
      <t>itumen soaking wood</t>
    </r>
  </si>
  <si>
    <t>Elastomeric bearing for girder 350x450x84mm</t>
  </si>
  <si>
    <t>Fixed bearing 4000 ton</t>
  </si>
  <si>
    <t>Aluminium box</t>
  </si>
  <si>
    <t>Glue epoxy cover</t>
  </si>
  <si>
    <t>Excavating soild</t>
  </si>
  <si>
    <t>Expansion joint 10cm</t>
  </si>
  <si>
    <t>Expansion joint 24cm</t>
  </si>
  <si>
    <t>Drilling to check pile tip quanlity</t>
  </si>
  <si>
    <t>Drilling concrete hole</t>
  </si>
  <si>
    <t>Drilling bored pile D1200 on land, L&lt;=30m, co=1.2</t>
  </si>
  <si>
    <t>Drilling bored pile D1200 on land, L&gt;30m, co mater =1.2, co labour and mac=1.015*1.2</t>
  </si>
  <si>
    <t>Drilling bored pile D1500 on land, L&lt;=30m, co=1.2</t>
  </si>
  <si>
    <t>Drilling bored pile D1500 on land, L&gt;30m, co mater =1.2, co labour and mac=1.015*1.2</t>
  </si>
  <si>
    <t>Jack 250T</t>
  </si>
  <si>
    <t>Jack 30T</t>
  </si>
  <si>
    <t>Jack 500T</t>
  </si>
  <si>
    <t>R.C pile 0.12x0.12x1.02m</t>
  </si>
  <si>
    <t>Sand pile D40cm, L&gt;7m, soil C1</t>
  </si>
  <si>
    <t>Making and droping stone cage in water (1cage=1m3)</t>
  </si>
  <si>
    <t>Bituminous coat  4.5kg/m2</t>
  </si>
  <si>
    <t>Installing sign of waterway</t>
  </si>
  <si>
    <t>Installing high strengthen coupler D36</t>
  </si>
  <si>
    <t>Installing elastomeric bearing of super T beam</t>
  </si>
  <si>
    <t>Installing fixed bearing 4000 ton</t>
  </si>
  <si>
    <t>Installing RC block, weight &lt;250kg/ea</t>
  </si>
  <si>
    <t>Installing RC block, weight &lt;3tons/ea</t>
  </si>
  <si>
    <t>Installing expansion joint 24cm</t>
  </si>
  <si>
    <t>Installing expansion joint 10cm</t>
  </si>
  <si>
    <t>Installing filter rubbish grid</t>
  </si>
  <si>
    <t>Installing active cable anchorage 12s 15.2mm</t>
  </si>
  <si>
    <t>Installing active cable anchorage 27s 15.2mm</t>
  </si>
  <si>
    <t>Installing active cable anchorage 5s 15.2mm</t>
  </si>
  <si>
    <t>Installing temporary cable anchorage</t>
  </si>
  <si>
    <t>Installing PVC D20/24</t>
  </si>
  <si>
    <t>Installing PVC D25/30</t>
  </si>
  <si>
    <t>Installing PVC D100</t>
  </si>
  <si>
    <t>Installing PVC D80</t>
  </si>
  <si>
    <t>Installing ulltrasonic pipe D114 (by welding)</t>
  </si>
  <si>
    <t>Installing ulltrasonic pipe D60 (by welding)</t>
  </si>
  <si>
    <t>Installing ulltrasonic pipe D114</t>
  </si>
  <si>
    <t>Installing ulltrasonic pipe D60</t>
  </si>
  <si>
    <t>Installing corrugated sheet iron</t>
  </si>
  <si>
    <t>Installing plate steel of marked post</t>
  </si>
  <si>
    <t>Install &amp; remove steel structure (co=1.6)</t>
  </si>
  <si>
    <t>Install &amp; remove outer formwork by steel super T beam, co=1.4</t>
  </si>
  <si>
    <t>Install $ remove casting pipe D&lt;=1000 on land (co=1.6)</t>
  </si>
  <si>
    <t>Install steel columns</t>
  </si>
  <si>
    <t>Launching super T girder by two cranes</t>
  </si>
  <si>
    <t>Install super T girder by launching eqipment</t>
  </si>
  <si>
    <t>Install railing</t>
  </si>
  <si>
    <t>Install duct 20x75mm</t>
  </si>
  <si>
    <t>Install duct D69/72</t>
  </si>
  <si>
    <t>Install duct D75/80</t>
  </si>
  <si>
    <t>Install duct D84/89</t>
  </si>
  <si>
    <t>Install duct D110/117</t>
  </si>
  <si>
    <t>Install duct D80/87</t>
  </si>
  <si>
    <t>Install casting pipe D&lt;=1300 (land)</t>
  </si>
  <si>
    <t>Install casting pipe D&lt;=1500 (land)</t>
  </si>
  <si>
    <t>Install $ remove scaffolding system of K19 (co=1.6)</t>
  </si>
  <si>
    <t>Install $ remove scaffolding system of K19 in water (co=1.6)</t>
  </si>
  <si>
    <t>Install $ remove scaffolding system of K19 on land (co=1.6)</t>
  </si>
  <si>
    <t>lap lunch</t>
  </si>
  <si>
    <t>Install steel structure</t>
  </si>
  <si>
    <t>Paving brick</t>
  </si>
  <si>
    <t>Paving brick on side walk</t>
  </si>
  <si>
    <t>Paint furnace YHK 3A</t>
  </si>
  <si>
    <t>Water-proof membrane layer</t>
  </si>
  <si>
    <t>tyre crane 16T</t>
  </si>
  <si>
    <t>Concrete cutting blades</t>
  </si>
  <si>
    <t>Concrete cutting blades D356mm</t>
  </si>
  <si>
    <t>Saw</t>
  </si>
  <si>
    <t>Temporary railling B40</t>
  </si>
  <si>
    <t>Stell pipe nipple D60</t>
  </si>
  <si>
    <t>Stell pipe nipple D114</t>
  </si>
  <si>
    <t>Plane machine</t>
  </si>
  <si>
    <t>Concrete pump truck 50m3/h</t>
  </si>
  <si>
    <t>Water pump 1.1kW</t>
  </si>
  <si>
    <t>Water pump 20kW</t>
  </si>
  <si>
    <t>Water pump 100CV</t>
  </si>
  <si>
    <t>Water pump 7.0kW</t>
  </si>
  <si>
    <t>Mortar pump</t>
  </si>
  <si>
    <t>Cable-cutting machine 10kW</t>
  </si>
  <si>
    <t>Cutting machine 2.8Kw</t>
  </si>
  <si>
    <t>Concrete cutter 12CV</t>
  </si>
  <si>
    <t xml:space="preserve">Plasma cutting machine </t>
  </si>
  <si>
    <t>Cutting machine 15Kw</t>
  </si>
  <si>
    <t>bender cutter 5Kw</t>
  </si>
  <si>
    <t>Metal sawer 1.7kW</t>
  </si>
  <si>
    <t>Tip for drill</t>
  </si>
  <si>
    <t>Tip for drill D20</t>
  </si>
  <si>
    <t>Lifting and lowering beam, L&gt;35m</t>
  </si>
  <si>
    <t>Plastic cover D80</t>
  </si>
  <si>
    <t>Cover</t>
  </si>
  <si>
    <t>cable anchorage</t>
  </si>
  <si>
    <t xml:space="preserve"> Active cable anchorage 12s D15.2</t>
  </si>
  <si>
    <t xml:space="preserve"> Active cable anchorage 27s D15.2</t>
  </si>
  <si>
    <t xml:space="preserve"> Active cable anchorage 5s D15.2</t>
  </si>
  <si>
    <t xml:space="preserve"> Temporary cable anchorage</t>
  </si>
  <si>
    <t xml:space="preserve">  B - Labour</t>
  </si>
  <si>
    <t>Labour waiting 7 days</t>
  </si>
  <si>
    <t>Removing shaped steel pile/ casing (on land)</t>
  </si>
  <si>
    <t>Removing shaped steel pile/ casing (on water)</t>
  </si>
  <si>
    <t>Remove sheet pile (water)</t>
  </si>
  <si>
    <t>Remove sheet pile (land)</t>
  </si>
  <si>
    <t>bitumen</t>
  </si>
  <si>
    <t>glue</t>
  </si>
  <si>
    <t>water</t>
  </si>
  <si>
    <t>oxygen</t>
  </si>
  <si>
    <t>Pipe culvert D1500</t>
  </si>
  <si>
    <t>Cable pipe PVC D60mm</t>
  </si>
  <si>
    <t>pouring pipe D300</t>
  </si>
  <si>
    <t>Install cast  pipe D170/150</t>
  </si>
  <si>
    <t>Duct 20x75</t>
  </si>
  <si>
    <t>Pipe PVC D100</t>
  </si>
  <si>
    <t>Pipe PVC D114</t>
  </si>
  <si>
    <t>Pipe PVC D20/24</t>
  </si>
  <si>
    <t>Pipe PVC D25/30</t>
  </si>
  <si>
    <t>Pipe PVC D60</t>
  </si>
  <si>
    <t>Pipe PVC D75</t>
  </si>
  <si>
    <t>Pipe PVC D80</t>
  </si>
  <si>
    <t>joint duct 20x75</t>
  </si>
  <si>
    <t>joint pipe PVC D110/117</t>
  </si>
  <si>
    <t>joint pipe PVC D69/72</t>
  </si>
  <si>
    <t>joint pipe PVC D75/80</t>
  </si>
  <si>
    <t>joint pipe PVC D80/87</t>
  </si>
  <si>
    <t>joint pipe PVC D84/89</t>
  </si>
  <si>
    <t>Steel pipe D114</t>
  </si>
  <si>
    <t>Steel pipe D60</t>
  </si>
  <si>
    <t>Steel pipe D75/80</t>
  </si>
  <si>
    <t>Steel pipe D84/89</t>
  </si>
  <si>
    <t>Steel pipe D69/72</t>
  </si>
  <si>
    <t>Cable steel pipe D110/117</t>
  </si>
  <si>
    <t>Cable steel pipe D80/87</t>
  </si>
  <si>
    <t>Demolishing casting bed</t>
  </si>
  <si>
    <t>Antisole (additive)</t>
  </si>
  <si>
    <t>admixture CMC</t>
  </si>
  <si>
    <t>Rugasol C (additive)</t>
  </si>
  <si>
    <t>welding electrode</t>
  </si>
  <si>
    <t>Bituminous cover</t>
  </si>
  <si>
    <t>Bituminous cover, pasting bag 1 class</t>
  </si>
  <si>
    <t>Bituminous cover, pasting oilpaper 2 class</t>
  </si>
  <si>
    <t xml:space="preserve">alloy bucket teeth </t>
  </si>
  <si>
    <t xml:space="preserve">rail </t>
  </si>
  <si>
    <t>Lifting casting pipe D&lt;=1300 (land)</t>
  </si>
  <si>
    <t>Producting plate steel</t>
  </si>
  <si>
    <t>Producing sign of waterway</t>
  </si>
  <si>
    <t>Producing closure segment lingking system K19</t>
  </si>
  <si>
    <t>Producing zinc steel railling</t>
  </si>
  <si>
    <t>Coupler</t>
  </si>
  <si>
    <t>Signal column D80, L=3.0m</t>
  </si>
  <si>
    <t>Signal column D80, L=4.0m</t>
  </si>
  <si>
    <t>Signal column D90, L=4.0m</t>
  </si>
  <si>
    <t>Anchor capby tole, 2mm thicknees</t>
  </si>
  <si>
    <t>Product casting pipe (permanent)</t>
  </si>
  <si>
    <t>Product shaped steel, plate steel of beam formwork, co=34/250</t>
  </si>
  <si>
    <t>Product shaped steel, plate steel</t>
  </si>
  <si>
    <t>Producing and transporting concrete mortar 0.5km</t>
  </si>
  <si>
    <t>Producing and transporting concrete mortar 1km</t>
  </si>
  <si>
    <t>Producing formwork, supporting system of cantilever girder</t>
  </si>
  <si>
    <t>Producing and installing sign column D168, thickness 7.1mm, L=8m</t>
  </si>
  <si>
    <t>Steel pipe D80</t>
  </si>
  <si>
    <t>sonic test for drilling pile</t>
  </si>
  <si>
    <t>Antirust paint</t>
  </si>
  <si>
    <t>Paint</t>
  </si>
  <si>
    <t>Marking post</t>
  </si>
  <si>
    <t xml:space="preserve">Heat viscid paint </t>
  </si>
  <si>
    <t>Road marking, thick 1.5mm</t>
  </si>
  <si>
    <t>Road marking, thickness 6mm</t>
  </si>
  <si>
    <t>Anti-rusty painting (2 layers)</t>
  </si>
  <si>
    <t>Railing marking, 2 layers</t>
  </si>
  <si>
    <t>Marking railing, kerb</t>
  </si>
  <si>
    <t>Priming paint</t>
  </si>
  <si>
    <t>Steel pile H350x350, amor=1.17%*8 months +3.5%</t>
  </si>
  <si>
    <t>Steel pile, amor=1.17%*24 months +3.5%</t>
  </si>
  <si>
    <t>Sheet pile L=8m, amor=(1.17%*2 months +3.5%)*2 times</t>
  </si>
  <si>
    <t>Sheet pile L&gt;8m, amor=1.17%*8 months +3.5%</t>
  </si>
  <si>
    <t>wooden tie 14x22x180</t>
  </si>
  <si>
    <t>rubber plate, thickness 20mm</t>
  </si>
  <si>
    <t>Plastic plate preventing water</t>
  </si>
  <si>
    <t>Plastic plate, thickness 2mm</t>
  </si>
  <si>
    <t>turn buckle</t>
  </si>
  <si>
    <t>turn buckle D38mm</t>
  </si>
  <si>
    <t>High strengthen bar D36 (permanent)</t>
  </si>
  <si>
    <t>High strengthen bar D36 (kg)</t>
  </si>
  <si>
    <t>Install &amp; remove inter formwork by steel super T beam, co=1.4</t>
  </si>
  <si>
    <t>Repairing inter formwork of super T girder</t>
  </si>
  <si>
    <t>Steel plate 180x180x45 (taken back, amor=2%*1tháng+7%)</t>
  </si>
  <si>
    <t>Steel plate 180x180x45 (taken back, amor=2%*9tháng+7%)</t>
  </si>
  <si>
    <t>Rectangular traffic sign 1.2x0.25m, amorM=0.5</t>
  </si>
  <si>
    <t>Rectangular traffic sign 2x1m, amorM=0.5</t>
  </si>
  <si>
    <t>Supply shape steel (amor=50%)</t>
  </si>
  <si>
    <t>Supply &amp; install cluvert pipe D1500 (H10), L=3m, HS=1.15, amor=50%</t>
  </si>
  <si>
    <t>Scaffolding (amor main material=2%*3 months+7%)</t>
  </si>
  <si>
    <t>Scaffolding constructing box culvert 2x3x3 (amor main material=2%*1 months+7%)</t>
  </si>
  <si>
    <t>Scaffolding constructing abutment/pier on land (amor main material=2%*1 months *2 times+7%)</t>
  </si>
  <si>
    <t>Scew nut D36 taken back (amor=2%*1 month+7%)</t>
  </si>
  <si>
    <t>Scew nut D36 taken back (amor=2%*9 months)</t>
  </si>
  <si>
    <t>Scaffolding construction abutment (amor main material=2%*1month*2times+7%)</t>
  </si>
  <si>
    <t>Producing scaffolding K0, K1 (amor=2%/month*4months+7%)</t>
  </si>
  <si>
    <t>Temporary railling B40 (amor main material=50%)</t>
  </si>
  <si>
    <t>Producing closure segment lingking system K19, amor=2%*1month+7%</t>
  </si>
  <si>
    <t>Product casting pipe (taken back) D1500, amor=1.17%*2months+3.5%driving,moving (4/30month/pile*12times=2months, 4days/pile)</t>
  </si>
  <si>
    <t>Product casting pipe (taken back), amor=1.17%*1.5months+3.5%driving,moving (4/30month/pile*10times=1.5months, 4days/pile)</t>
  </si>
  <si>
    <t>Product casting pipe (taken back), amor=1.17%*1.5months+3.5%driving,moving (4/30month/pile*11times=1.5months, 4days/pile)</t>
  </si>
  <si>
    <t>Product casting pipe (taken back), amor=1.17%*2months+3.5%driving,moving (4/30month/pile*12times=2months, 4days/pile)</t>
  </si>
  <si>
    <t>Product plate steel of marked post, amor=2%*8months</t>
  </si>
  <si>
    <t>Product shaped steel, amor=2%*2months+7%</t>
  </si>
  <si>
    <t>Product shaped steel, amor=2%*8months+7%</t>
  </si>
  <si>
    <t>Product temporary pier by shaped steel (amor main material=2%/month*0.5month+7%)</t>
  </si>
  <si>
    <t>High strengthen bar D36 taken back (amor=2%*9months+7%)</t>
  </si>
  <si>
    <t>High strengthen bar D36 taken back (amor=2%*1months+7%)</t>
  </si>
  <si>
    <t>Dismouting pipe culvert D1500, co=0.6</t>
  </si>
  <si>
    <t>Removing, transpotring formwork, formwork supporting system of cantilever girder in water</t>
  </si>
  <si>
    <t>Removing, transpotring formwork, formwork supporting system of cantilever girder on land</t>
  </si>
  <si>
    <t>high strength cable</t>
  </si>
  <si>
    <t>Prestressed steel for post- pulling bridge beam</t>
  </si>
  <si>
    <t>Prestressed steel of super T girder</t>
  </si>
  <si>
    <t>Shaped steel</t>
  </si>
  <si>
    <t>Shaped steel of supporting frame system</t>
  </si>
  <si>
    <t>Shaped steel of formwork system</t>
  </si>
  <si>
    <t>Shaped steel of temporary bearing (amor=2%/month*3 month+7%)</t>
  </si>
  <si>
    <t>pipe steel</t>
  </si>
  <si>
    <t>pipe steel D20</t>
  </si>
  <si>
    <t>Plate steel</t>
  </si>
  <si>
    <t>plate steel of supporting frame system</t>
  </si>
  <si>
    <t>plate steel of formwork system</t>
  </si>
  <si>
    <t>reflected light plate steel 40x180x5</t>
  </si>
  <si>
    <t>steel bar D&lt;=18</t>
  </si>
  <si>
    <t>steel bar D&gt;18</t>
  </si>
  <si>
    <t>steel bar</t>
  </si>
  <si>
    <t>steel bar D&lt;=10</t>
  </si>
  <si>
    <t>PDA test on land</t>
  </si>
  <si>
    <t>Static loading test</t>
  </si>
  <si>
    <t>steel ruler 42m</t>
  </si>
  <si>
    <t>steel ruler 5m</t>
  </si>
  <si>
    <t>Lateral displacement observing stake</t>
  </si>
  <si>
    <t>settlement observing stake</t>
  </si>
  <si>
    <t>Installing formwork, formwork supporting system of cantilever girder in water</t>
  </si>
  <si>
    <t>Installing formwork, formwork supporting system of cantilever girder on land</t>
  </si>
  <si>
    <t>Tole thicknees 2mm</t>
  </si>
  <si>
    <t>Corrugated sheet iron</t>
  </si>
  <si>
    <t>Paving fine asphanlt concrete, thicknees 5cm</t>
  </si>
  <si>
    <t>Paving coarse asphanlt concrete, thicknees 7cm</t>
  </si>
  <si>
    <t>Paving strengthen coarse asphanlt concrete (co=1/0.07)</t>
  </si>
  <si>
    <t xml:space="preserve"> Paving geotextile 200KN/m</t>
  </si>
  <si>
    <t xml:space="preserve"> Paving geotextile 12KN/m</t>
  </si>
  <si>
    <t>Signal column D168</t>
  </si>
  <si>
    <t>Signal column D90</t>
  </si>
  <si>
    <t>Column of corrugated sheet iron</t>
  </si>
  <si>
    <t>Column of corrugated sheet iron, L=1.3m</t>
  </si>
  <si>
    <t>Bituminous tack coat 0.5kg/m2</t>
  </si>
  <si>
    <t>Bituminous prime coat 1.0kg/m2</t>
  </si>
  <si>
    <t>geotextile 200KN/m</t>
  </si>
  <si>
    <t>geotextile 12KN/m</t>
  </si>
  <si>
    <t>Transport concrete 0.5km</t>
  </si>
  <si>
    <t>Transport concrete 1km</t>
  </si>
  <si>
    <t>Transport asphalt concrete 2km</t>
  </si>
  <si>
    <t>Transport asphalt concrete 41km next</t>
  </si>
  <si>
    <t>Transport asphalt concrete 45km</t>
  </si>
  <si>
    <t>Transport asphalt concrete 4km</t>
  </si>
  <si>
    <t>Transport debris 2km</t>
  </si>
  <si>
    <t>Formwork</t>
  </si>
  <si>
    <t>Formwork for abutment/ pier (land)</t>
  </si>
  <si>
    <t>Formwork (wall,pole, girder…)</t>
  </si>
  <si>
    <t>Formwork of girder</t>
  </si>
  <si>
    <t>Formwork of girder casted on scaffolding</t>
  </si>
  <si>
    <t>Formwork of precast structure</t>
  </si>
  <si>
    <t>Formwork of slab</t>
  </si>
  <si>
    <t>Brace (amor main material=2%/month*2 months*2times+7%)</t>
  </si>
  <si>
    <t>Brace for pier P3, P4 (amor main material=2%/month*8 months+7%)</t>
  </si>
  <si>
    <t>Other material</t>
  </si>
  <si>
    <t>Steel tacke M12</t>
  </si>
  <si>
    <t>Concrete motar C10 stone 1x2 slump 2-4</t>
  </si>
  <si>
    <t>Concrete motar C10 stone 1x2 slump 6-8</t>
  </si>
  <si>
    <t>Concrete motar C20 stone 4x6 slump 14-17</t>
  </si>
  <si>
    <t>Concrete motar C20 stone 4x6 slump 6-8</t>
  </si>
  <si>
    <t>Concrete motar C15 stone 1x2 slump 2-4</t>
  </si>
  <si>
    <t>Concrete motar C15 stone 1x2 slump 6-8</t>
  </si>
  <si>
    <t>Concrete motar C20 stone 1x2 slump 2-4</t>
  </si>
  <si>
    <t>Concrete motar C25 stone 1x2 slump 14-17</t>
  </si>
  <si>
    <t>Concrete motar C25 stone 1x2 slump 2-4</t>
  </si>
  <si>
    <t>Concrete motar C30 stone 1x2 slump 14-17</t>
  </si>
  <si>
    <t>Concrete motar C30 stone 1x2 slump 2-4</t>
  </si>
  <si>
    <t>Concrete motar C35 stone 1x2 slump 14-17</t>
  </si>
  <si>
    <t>Concrete motar C40 stone 1x2 slump 12-16</t>
  </si>
  <si>
    <t>Concrete motar C42 stone 1x2 slump 8-12</t>
  </si>
  <si>
    <t>Concrete motar C50 stone 1x2 slump 16-18</t>
  </si>
  <si>
    <t>Concrete motar C10 stone 4x6 slump 2-4</t>
  </si>
  <si>
    <t>Non-shringkage mortar</t>
  </si>
  <si>
    <t>Non-shringkage mortar (kg)</t>
  </si>
  <si>
    <t>Non - shringkage motar covering ultrasonic pipe</t>
  </si>
  <si>
    <t>Non - shringkage motar covering steel pipe</t>
  </si>
  <si>
    <t>Motar C10</t>
  </si>
  <si>
    <t>Cement motar C10</t>
  </si>
  <si>
    <t xml:space="preserve">Petrol -oil </t>
  </si>
  <si>
    <t>masonry with mortar, C10 (plane)</t>
  </si>
  <si>
    <t>masonry, C10</t>
  </si>
  <si>
    <t>cement PC30</t>
  </si>
  <si>
    <t>cement PC40</t>
  </si>
  <si>
    <t>Transporting soil</t>
  </si>
  <si>
    <t>Other machine</t>
  </si>
  <si>
    <t>Secondary material</t>
  </si>
  <si>
    <t>Clay</t>
  </si>
  <si>
    <t>tấn/ton</t>
  </si>
  <si>
    <t>tấn/ton/lần đầu</t>
  </si>
  <si>
    <t>tấn/ton/lần di chuyển tiếp theo</t>
  </si>
  <si>
    <t>chai/bottle</t>
  </si>
  <si>
    <t xml:space="preserve"> chai/bottle </t>
  </si>
  <si>
    <t>cái/each</t>
  </si>
  <si>
    <t>1 mẫu/sample</t>
  </si>
  <si>
    <t>bộ/set</t>
  </si>
  <si>
    <t>bao/bag</t>
  </si>
  <si>
    <t>Coeffiicent of auxiliary fuel (ip)</t>
  </si>
  <si>
    <t>Cost of fuel at present</t>
  </si>
  <si>
    <t>Different (cl)</t>
  </si>
  <si>
    <t>Name of machine</t>
  </si>
  <si>
    <t>avulsion excavator 0.4m3</t>
  </si>
  <si>
    <t>avulsion excavator 0.5m3</t>
  </si>
  <si>
    <t>avulsion excavator 0.6m3</t>
  </si>
  <si>
    <t>avulsion excavator 0.8m3</t>
  </si>
  <si>
    <t>avulsion excavator 1.25m3</t>
  </si>
  <si>
    <t>avulsion excavator 1.6m3</t>
  </si>
  <si>
    <t>avulsion excavator 2.3m3</t>
  </si>
  <si>
    <t>avulsion excavator 3.6m3</t>
  </si>
  <si>
    <t>avulsion excavator</t>
  </si>
  <si>
    <t>avulsion excavator 1m3</t>
  </si>
  <si>
    <t>bulldozer 75CV</t>
  </si>
  <si>
    <t>bulldozer 108CV</t>
  </si>
  <si>
    <t>bulldozer 140CV</t>
  </si>
  <si>
    <t>bulldozer 180CV</t>
  </si>
  <si>
    <t>bulldozer 240CV</t>
  </si>
  <si>
    <t>bulldozer 320CV</t>
  </si>
  <si>
    <t>scraper 9m3</t>
  </si>
  <si>
    <t>scraper 16m3</t>
  </si>
  <si>
    <t>Motor grader 180CV</t>
  </si>
  <si>
    <t>tamping rammer</t>
  </si>
  <si>
    <t>Compactor 18T</t>
  </si>
  <si>
    <t>Pneumatic roller 16T</t>
  </si>
  <si>
    <t>Pneumatic roller 25T</t>
  </si>
  <si>
    <t>Vibrating roller 25T</t>
  </si>
  <si>
    <t>Steel roller 9T</t>
  </si>
  <si>
    <t>Steel roller 10T</t>
  </si>
  <si>
    <t>dump truck 2.5T</t>
  </si>
  <si>
    <t>Truck 5T</t>
  </si>
  <si>
    <t>truck 7T</t>
  </si>
  <si>
    <t>Truck 10T</t>
  </si>
  <si>
    <t>dump truck 5T</t>
  </si>
  <si>
    <t>dump truck 7T</t>
  </si>
  <si>
    <t>dump truck 10T</t>
  </si>
  <si>
    <t>dump truck 12T</t>
  </si>
  <si>
    <t>dump truck 15T</t>
  </si>
  <si>
    <t>dump truck 22T</t>
  </si>
  <si>
    <t>dump truck 27T</t>
  </si>
  <si>
    <t>truck mixer 6m3</t>
  </si>
  <si>
    <t>truck mixer 10.7m3</t>
  </si>
  <si>
    <t>truck mixer 14.5m3</t>
  </si>
  <si>
    <t>water truck 5m3</t>
  </si>
  <si>
    <t>Water truck 7m3</t>
  </si>
  <si>
    <t>Winch 13kW</t>
  </si>
  <si>
    <t>tractor 30T</t>
  </si>
  <si>
    <t>truck-mounted crane 6T</t>
  </si>
  <si>
    <t>truck-mounted crane 10T</t>
  </si>
  <si>
    <t>truck-mounted crane 16T</t>
  </si>
  <si>
    <t>truck-mounted crane 20T</t>
  </si>
  <si>
    <t>truck-mounted crane 25T</t>
  </si>
  <si>
    <t>truck-mounted crane 30T</t>
  </si>
  <si>
    <t>truck-mounted crane 50T</t>
  </si>
  <si>
    <t>tyre crane 25T</t>
  </si>
  <si>
    <t>caterpillar crane 10T/ crawler crane 10T</t>
  </si>
  <si>
    <t>caterpillar crane 40T</t>
  </si>
  <si>
    <t>caterpillar crane 63T</t>
  </si>
  <si>
    <t>tower crane 16T</t>
  </si>
  <si>
    <t>tower crane 25T</t>
  </si>
  <si>
    <t>tower crane 40T</t>
  </si>
  <si>
    <t>tower crane 50T</t>
  </si>
  <si>
    <t>tower crane 80T</t>
  </si>
  <si>
    <t>crane barge 30T</t>
  </si>
  <si>
    <t>beam-launch crane</t>
  </si>
  <si>
    <t>overhead crane 30T</t>
  </si>
  <si>
    <t>lifting machine 0.8T</t>
  </si>
  <si>
    <t>Winch 1.5Ton</t>
  </si>
  <si>
    <t>electric winch 3Ton</t>
  </si>
  <si>
    <t>electric winch 5Ton</t>
  </si>
  <si>
    <t>cable passing machine 15kW</t>
  </si>
  <si>
    <t>135CV</t>
  </si>
  <si>
    <t>concrete mixer 250L</t>
  </si>
  <si>
    <t>concrete mixer 500L</t>
  </si>
  <si>
    <t>concrete mixer 1150L</t>
  </si>
  <si>
    <t>concrete mixer 1600L</t>
  </si>
  <si>
    <t>mortar mixer 80L</t>
  </si>
  <si>
    <t>concrete batching plant 22m3/h</t>
  </si>
  <si>
    <t>concrete batching plant 25m3/h</t>
  </si>
  <si>
    <t>concrete batching plant 30m3/h</t>
  </si>
  <si>
    <t>concrete batching plant 50m3/h</t>
  </si>
  <si>
    <t>concrete batching plant 125m3/h</t>
  </si>
  <si>
    <t>mortar pump 2m3/h</t>
  </si>
  <si>
    <t>Mortar pump 9m3/h</t>
  </si>
  <si>
    <t>mortar pump 32-50m3/h</t>
  </si>
  <si>
    <t>concrete pump truck 50m3/h</t>
  </si>
  <si>
    <t>concrete paver SP.500</t>
  </si>
  <si>
    <t>concrete plate compactor 1kW</t>
  </si>
  <si>
    <t>concrete compactor 1kW</t>
  </si>
  <si>
    <t>concrete vibrating compactor 1.5Kw</t>
  </si>
  <si>
    <t>concrete vibrating compactor 1.8Kw</t>
  </si>
  <si>
    <t>Hand poker vibrator 3.5Kw</t>
  </si>
  <si>
    <t>asphalt batch mix plant 25T/h</t>
  </si>
  <si>
    <t>asphalt batch mix plant 60T/h</t>
  </si>
  <si>
    <t>asphalt batch mix plant 80T/h</t>
  </si>
  <si>
    <t>asphalt distributor truct 7T</t>
  </si>
  <si>
    <t>Wirtgen - 1000C</t>
  </si>
  <si>
    <t>Equipment paint denounce THK10A</t>
  </si>
  <si>
    <t>paint furnace YHK 3A</t>
  </si>
  <si>
    <t>Bitumen-cook equipment</t>
  </si>
  <si>
    <t>water pump 1.1kW</t>
  </si>
  <si>
    <t>water pump 7kW</t>
  </si>
  <si>
    <t>water pump 20kW</t>
  </si>
  <si>
    <t>water pump 5CV</t>
  </si>
  <si>
    <t>water pump 20CV</t>
  </si>
  <si>
    <t>water pump 100CV</t>
  </si>
  <si>
    <t>Mobile genorator 30kW</t>
  </si>
  <si>
    <t>Mobile genorator 50kW</t>
  </si>
  <si>
    <t>Mobile genorator 75kW</t>
  </si>
  <si>
    <t>Mobile genorator 122kW</t>
  </si>
  <si>
    <t>diesel air compressor 300m3/h</t>
  </si>
  <si>
    <t>diesel air compressor 240m3/h</t>
  </si>
  <si>
    <t>diesel air compressor 360m3/h</t>
  </si>
  <si>
    <t>diesel air compressor 420m3/h</t>
  </si>
  <si>
    <t>diesel air compressor 540m3/h</t>
  </si>
  <si>
    <t>diesel air compressor 600m3/h</t>
  </si>
  <si>
    <t>diesel air compressor 660m3/h</t>
  </si>
  <si>
    <t>diesel air compressor 1200m3/h</t>
  </si>
  <si>
    <t>Electric air compressor 600m3/h</t>
  </si>
  <si>
    <t>welding machine 14kW</t>
  </si>
  <si>
    <t>welding machine 23kW</t>
  </si>
  <si>
    <t>hot air welding machine 1000l/h</t>
  </si>
  <si>
    <t>hot air welding machine 2000l/h</t>
  </si>
  <si>
    <t>paint prayer 400m2/h</t>
  </si>
  <si>
    <t>sandblaster</t>
  </si>
  <si>
    <t>driller 4.5kW</t>
  </si>
  <si>
    <t>Concrete hand drill 1.5kW</t>
  </si>
  <si>
    <t>brick cutter 1.7kW</t>
  </si>
  <si>
    <t>concrete cutter 12CV</t>
  </si>
  <si>
    <t>plate roll bending machine 2.8kW</t>
  </si>
  <si>
    <t>metal sawer 1.7kW</t>
  </si>
  <si>
    <t>sharpener 1kW</t>
  </si>
  <si>
    <t>sharpener 2.7kW</t>
  </si>
  <si>
    <t>boreder</t>
  </si>
  <si>
    <t>pile driver, diesel self-propelled hammer 1.8T</t>
  </si>
  <si>
    <t>pile driver, diesel hammer 1.2T</t>
  </si>
  <si>
    <t>pile driver, diesel hammer 1.8T</t>
  </si>
  <si>
    <t>pile driver, diesel hammer 2.5T</t>
  </si>
  <si>
    <t>pile driver, diesel hammer 3.5T</t>
  </si>
  <si>
    <t>pile driver, diesel hammer 4.5T</t>
  </si>
  <si>
    <t>pile driver, diesel hammer 5.5T</t>
  </si>
  <si>
    <t>vibrator hammer 60kW for sand pile</t>
  </si>
  <si>
    <t>vibrator hammer 40kW</t>
  </si>
  <si>
    <t>vibrator hammer 170kW</t>
  </si>
  <si>
    <t>Floating hammer (include barge and auxiliary machine) 3.5T</t>
  </si>
  <si>
    <t>hydraulic driver barge C96, hammer 7.5 ton</t>
  </si>
  <si>
    <t>Pressing pile machine 150Ton</t>
  </si>
  <si>
    <t>Pressing pile machine 200Ton</t>
  </si>
  <si>
    <t>Pressing pile machine</t>
  </si>
  <si>
    <t>Plastic board drain machine</t>
  </si>
  <si>
    <t>Earth drill VRM 1500/800HD</t>
  </si>
  <si>
    <t>Boring hammer TRC-15</t>
  </si>
  <si>
    <t>Earth drill GPS-15</t>
  </si>
  <si>
    <t>Earth drill QJ 250</t>
  </si>
  <si>
    <t>Earth drill VRM 2000</t>
  </si>
  <si>
    <t>bentonite mixer</t>
  </si>
  <si>
    <t>bentonite filter</t>
  </si>
  <si>
    <t>barge 200Ton</t>
  </si>
  <si>
    <t>barge 250Ton</t>
  </si>
  <si>
    <t>barge 300Ton</t>
  </si>
  <si>
    <t>barge 400Ton</t>
  </si>
  <si>
    <t>barge 600Ton</t>
  </si>
  <si>
    <t>Barge 800Ton</t>
  </si>
  <si>
    <t>steel buoy 60T</t>
  </si>
  <si>
    <t>steel buoy 200T</t>
  </si>
  <si>
    <t>canoe 23CV</t>
  </si>
  <si>
    <t>canoe 30CV</t>
  </si>
  <si>
    <t>canoe 55CV</t>
  </si>
  <si>
    <t>canoe 75CV</t>
  </si>
  <si>
    <t>canoe 120CV</t>
  </si>
  <si>
    <t>Tug boat 75CV</t>
  </si>
  <si>
    <t>tug boat 150CV</t>
  </si>
  <si>
    <t>tug boat 360CV</t>
  </si>
  <si>
    <t>Tug boat 600CV</t>
  </si>
  <si>
    <t>Tug boat 1200CV</t>
  </si>
  <si>
    <t>dragline excavator 0.4m3</t>
  </si>
  <si>
    <t>dragline excavator 0.65m3</t>
  </si>
  <si>
    <t>dragline excavator 1m3</t>
  </si>
  <si>
    <t>dragline excavator 1.2m3</t>
  </si>
  <si>
    <t>pneumatic roller 9T</t>
  </si>
  <si>
    <t>cage lifting 3T</t>
  </si>
  <si>
    <t>Winch 3.5Ton</t>
  </si>
  <si>
    <t>chain pulley 3T</t>
  </si>
  <si>
    <t>chain pulley 5T</t>
  </si>
  <si>
    <t>jack 60T</t>
  </si>
  <si>
    <t>jack 250T</t>
  </si>
  <si>
    <t>jack 500T</t>
  </si>
  <si>
    <t>Concrete batching plant 16m3/h</t>
  </si>
  <si>
    <t>Concrete batching plant 160m3/h</t>
  </si>
  <si>
    <t>asphalt paver 130-140CV</t>
  </si>
  <si>
    <t>stone spreder 50-60m3/h</t>
  </si>
  <si>
    <t>driller 2.5kW</t>
  </si>
  <si>
    <t>Cutting concrete machine (concrete cutter) 7.5kW</t>
  </si>
  <si>
    <t xml:space="preserve">plasma cutting machine </t>
  </si>
  <si>
    <t>5kW</t>
  </si>
  <si>
    <t>Sawing metal machine 2.7kW</t>
  </si>
  <si>
    <t>Fraise 7kW</t>
  </si>
  <si>
    <t>cable-cutting machine 10kW</t>
  </si>
  <si>
    <t>STS system</t>
  </si>
  <si>
    <t>hydraulic pressing 130T</t>
  </si>
  <si>
    <t>Floating hammer (include barge and auxiliary machine) 1.8T</t>
  </si>
  <si>
    <t>Floating hammer (include barge and auxiliary machine) 2.5T</t>
  </si>
  <si>
    <t>Earth drill ED</t>
  </si>
  <si>
    <t>driller with turning moment  &gt;200KNm</t>
  </si>
  <si>
    <t>Steel buoy 250T</t>
  </si>
  <si>
    <t>canoe 150CV</t>
  </si>
  <si>
    <t>diving equipment</t>
  </si>
  <si>
    <t>pipe conjointion machine</t>
  </si>
  <si>
    <t>Driller cby-150zub</t>
  </si>
  <si>
    <t>SPT testing-load</t>
  </si>
  <si>
    <t>pump 4MC</t>
  </si>
  <si>
    <t>pump 250/50</t>
  </si>
  <si>
    <t>Gradienter</t>
  </si>
  <si>
    <t>Ultra sonic</t>
  </si>
  <si>
    <t>scanner</t>
  </si>
  <si>
    <t>PC computer</t>
  </si>
  <si>
    <t>laptop</t>
  </si>
  <si>
    <t>Jack 10 ton</t>
  </si>
  <si>
    <t>Drilling machine</t>
  </si>
  <si>
    <t>tyre crane 6 ton</t>
  </si>
  <si>
    <t>hydraulic driver barge C96, hammer 4.5 ton</t>
  </si>
  <si>
    <t>caterpillar crane 80 ton</t>
  </si>
  <si>
    <t>Pull truck 360CV</t>
  </si>
  <si>
    <t>traler 50 ton</t>
  </si>
  <si>
    <t>lifting girder equipment DEVIT</t>
  </si>
  <si>
    <t>lifting girder equipment 75 ton</t>
  </si>
  <si>
    <t>jack 25T</t>
  </si>
  <si>
    <t>glue burning furnace</t>
  </si>
  <si>
    <t>power-driven 1.25m3</t>
  </si>
  <si>
    <t>truck-mounted crane 6.5T</t>
  </si>
  <si>
    <t>caterpillar crane 10T (not include fuel fee)</t>
  </si>
  <si>
    <t>caterpillar crane 25T (not include fuel fee)</t>
  </si>
  <si>
    <t>pile driver, diesel hammer 2.5T (not include fuel fee)</t>
  </si>
  <si>
    <t>pile driver, diesel hammer 3.5T (not include fuel fee)</t>
  </si>
  <si>
    <t>pile driver, diesel hammer 4.5T (not include fuel)</t>
  </si>
  <si>
    <t>pressing pill 200T</t>
  </si>
  <si>
    <t>current generator 350KVA</t>
  </si>
  <si>
    <t>drilling rig DH608 (made in Japan)</t>
  </si>
  <si>
    <t>tyre crane 30T</t>
  </si>
  <si>
    <t>Điện 
Electric
(kWh)</t>
  </si>
  <si>
    <t>Xăng (lít)
Petro</t>
  </si>
  <si>
    <t>Chênh lệch tiền lương
Difference of labour</t>
  </si>
  <si>
    <t>Điện 
Electric (kWh)</t>
  </si>
  <si>
    <t>Xăng 
Petro
(lít)</t>
  </si>
  <si>
    <t xml:space="preserve">(Dùng 2 phao thép loại 250tấn chứa đầy nước để chất tải, thời gian lưu tải 10 ngày) </t>
  </si>
  <si>
    <t>công/lab</t>
  </si>
  <si>
    <t>Concrete hand drill 0.6kW</t>
  </si>
  <si>
    <t>concrete vibrating compactor 1Kw</t>
  </si>
  <si>
    <t>ca/shift</t>
  </si>
  <si>
    <t>Lifting casting pipe D&lt;=1500 (land)</t>
  </si>
  <si>
    <t>ITEMS</t>
  </si>
  <si>
    <t>Installing steel structure</t>
  </si>
  <si>
    <t>dầm/girder</t>
  </si>
  <si>
    <t>tấm/plate</t>
  </si>
  <si>
    <t>Installing cover (&lt;=100kg)</t>
  </si>
  <si>
    <t>Building brick</t>
  </si>
  <si>
    <t>Concrete C25 of approach slab</t>
  </si>
  <si>
    <t>Concrete C25 of approach slab casted in place</t>
  </si>
  <si>
    <t>Concrete C30 of bored pile D&lt;=1000 (land)</t>
  </si>
  <si>
    <t>Concrete C30 of bored pile D&gt;1000 (land)</t>
  </si>
  <si>
    <t>Concrete C30 of pile slab</t>
  </si>
  <si>
    <t>bệ</t>
  </si>
  <si>
    <t>Material</t>
  </si>
  <si>
    <t>Stone 1x2 asphalt concrete</t>
  </si>
  <si>
    <t>Sand asphalt concrete</t>
  </si>
  <si>
    <t>Stone 0-0.5</t>
  </si>
  <si>
    <t>Sand to pouring concrete</t>
  </si>
  <si>
    <t>Drill rods L=1.83m</t>
  </si>
  <si>
    <t>Cement brick</t>
  </si>
  <si>
    <t>Concrete motar C30 stone 1x2 slump 6-8</t>
  </si>
  <si>
    <t>Concrete motar C35 stone 1x2 slump 6-8</t>
  </si>
  <si>
    <t>Concrete motar C25 stone 1x2 slump 6-8</t>
  </si>
  <si>
    <t>Concrete motar C20 stone 1x2 slump 14-17</t>
  </si>
  <si>
    <t>Notes</t>
  </si>
  <si>
    <r>
      <t>Price</t>
    </r>
    <r>
      <rPr>
        <sz val="10"/>
        <rFont val="Arial"/>
        <family val="2"/>
      </rPr>
      <t xml:space="preserve"> of An Giang environmental resources</t>
    </r>
  </si>
  <si>
    <t>KG province, no.4</t>
  </si>
  <si>
    <t>Shaped steel cost</t>
  </si>
  <si>
    <t>High strengthen cable 12.7 mm</t>
  </si>
  <si>
    <t>High strengthen cable 15.2 mm</t>
  </si>
  <si>
    <t>Active cable anchorage 12s D15.2</t>
  </si>
  <si>
    <t>Active cable anchorage 27s D15.2</t>
  </si>
  <si>
    <t>Active cable anchorage 5s D12.7</t>
  </si>
  <si>
    <t>Temporary cable anchorage</t>
  </si>
  <si>
    <t>High strengthen bar D36</t>
  </si>
  <si>
    <t>Steel pipe d110/117</t>
  </si>
  <si>
    <t>Steel pipe d80/87</t>
  </si>
  <si>
    <t>Steel pipe d20/75</t>
  </si>
  <si>
    <t>Connection steel pipe d110/117</t>
  </si>
  <si>
    <t>Connection steel pipe d80/87</t>
  </si>
  <si>
    <t>STT
No</t>
  </si>
  <si>
    <t>GIÁ CHỌN
SELECTION PRICE</t>
  </si>
  <si>
    <t>ĐƠN VỊ
UNIT</t>
  </si>
  <si>
    <t>MATERIAL</t>
  </si>
  <si>
    <t>ĐƠN VỊ CUNG CẤP/SUPPLIERS</t>
  </si>
  <si>
    <t>ĐƠN VỊ CUNG CẤP CHỌN
SELECTION SUPPLIERS</t>
  </si>
  <si>
    <t>Steel pipe d69/72</t>
  </si>
  <si>
    <t>Steel pipe d84/89</t>
  </si>
  <si>
    <t>Steel pipe d75/80</t>
  </si>
  <si>
    <t>EID dated 23/5/2013</t>
  </si>
  <si>
    <t>Vinh Hung purchasing offer</t>
  </si>
  <si>
    <t>Nhat Quang purchasing offer</t>
  </si>
  <si>
    <t>Sika purchasing offer</t>
  </si>
  <si>
    <t>DMC purchasing offer</t>
  </si>
  <si>
    <t>SeAH purchasing offer</t>
  </si>
  <si>
    <t>Vingal Indus purchasing offer</t>
  </si>
  <si>
    <t>Bult M10</t>
  </si>
  <si>
    <t>Ngoc Linh purchasing offer</t>
  </si>
  <si>
    <t>Viet Phu purchasing offer</t>
  </si>
  <si>
    <t>Phuong Nam purchasing offer</t>
  </si>
  <si>
    <t>Seah purchasing offer</t>
  </si>
  <si>
    <t>EID purchasing offer</t>
  </si>
  <si>
    <t>Dong Duong purchasing offer</t>
  </si>
  <si>
    <t>SAC purchasing offer</t>
  </si>
  <si>
    <t>Vinh Thanh purchasing offer</t>
  </si>
  <si>
    <t>Hung Vuong purchasing offer</t>
  </si>
  <si>
    <t>Vinaconex Sai Gon purchasing offer</t>
  </si>
  <si>
    <t>Hung Nghiep purchasing offer</t>
  </si>
  <si>
    <t>Basic price, number434</t>
  </si>
  <si>
    <t>Basic price, number438</t>
  </si>
  <si>
    <t>Basic price, number 328</t>
  </si>
  <si>
    <t>Basic price, number 57</t>
  </si>
  <si>
    <t>Basic price, number 63</t>
  </si>
  <si>
    <t>Basic price, number 76</t>
  </si>
  <si>
    <t>Basic price</t>
  </si>
  <si>
    <t>Basic price, number 50</t>
  </si>
  <si>
    <t>Basic price, number 481</t>
  </si>
  <si>
    <t>Basic price, number177</t>
  </si>
  <si>
    <t>Basic price, number181</t>
  </si>
  <si>
    <t>Basic price, number448</t>
  </si>
  <si>
    <t>Basic price, number270</t>
  </si>
  <si>
    <t>Basic price, number506</t>
  </si>
  <si>
    <t>Basic price, number214</t>
  </si>
  <si>
    <t>Basic price, number 10</t>
  </si>
  <si>
    <t>Basic price, number 394</t>
  </si>
  <si>
    <t>Basic price, number 405</t>
  </si>
  <si>
    <t>Basic price, number 327</t>
  </si>
  <si>
    <t>Basic price, number 353</t>
  </si>
  <si>
    <t>Basic price, number125</t>
  </si>
  <si>
    <t>Basic price, number123</t>
  </si>
  <si>
    <t>Estimate</t>
  </si>
  <si>
    <t>Estimate ecu D36</t>
  </si>
  <si>
    <t>Table Of Analysis Detail Direct Cost</t>
  </si>
  <si>
    <t>Lifting Super-T, co=30%</t>
  </si>
  <si>
    <t>In this: Total unit cost ĐGTH=VL+NC+M</t>
  </si>
  <si>
    <t>NAME OF CONCRETE MOTAR AND CEMENT MOTAR</t>
  </si>
  <si>
    <t xml:space="preserve"> - Đá 1x2/Stone 1x2</t>
  </si>
  <si>
    <t xml:space="preserve"> - Đá 4x6/Stone 4x6</t>
  </si>
  <si>
    <t xml:space="preserve"> - Đá hộc/Masory</t>
  </si>
  <si>
    <t>Unit</t>
  </si>
  <si>
    <t>Transportion cost</t>
  </si>
  <si>
    <t>Cost</t>
  </si>
  <si>
    <t>Cost at Antraco-Triton mine</t>
  </si>
  <si>
    <t>Cost at Ba Doi mine</t>
  </si>
  <si>
    <t>Selection cost</t>
  </si>
  <si>
    <t>Selection mine</t>
  </si>
  <si>
    <t>No.</t>
  </si>
  <si>
    <t>Type of labour</t>
  </si>
  <si>
    <t>công/labour</t>
  </si>
  <si>
    <t>Minimum of salary is 350,000 VND/month</t>
  </si>
  <si>
    <t>Labor prices is estimated acording Table of salary A.1.8 which is defined on the Decree No.205/2004/NĐ-CP dated December 14th 2004 from Government.</t>
  </si>
  <si>
    <t>Kỹ sư/Engineer</t>
  </si>
  <si>
    <t>Minimum salary 350,000VND/month, is estimated acording to the Decree No.118/2005/NĐ-CP dated September 15th 2005 of Government.</t>
  </si>
  <si>
    <t>COST OF LABOUR</t>
  </si>
  <si>
    <t>COST OF MATERIALS</t>
  </si>
  <si>
    <t>NO.</t>
  </si>
  <si>
    <t>TOTAL</t>
  </si>
  <si>
    <t>LONG BINH - CREYTHOM BRIDGE CONSTRUCTION AND INVESTMENT PROJECT</t>
  </si>
  <si>
    <t>cọc/pile</t>
  </si>
  <si>
    <t>UNIT</t>
  </si>
  <si>
    <t>LABOUR</t>
  </si>
  <si>
    <t>MACHINE</t>
  </si>
  <si>
    <t>TOTAL UNIT COST</t>
  </si>
  <si>
    <t>QUANTITIES</t>
  </si>
  <si>
    <t>TABLE OF DETAIL DIRECT COST</t>
  </si>
  <si>
    <t xml:space="preserve">ĐƠN GIÁ/UNIT COST </t>
  </si>
  <si>
    <t>Norm</t>
  </si>
  <si>
    <t>Unit price</t>
  </si>
  <si>
    <t>Unit cost</t>
  </si>
  <si>
    <t>Code No.</t>
  </si>
  <si>
    <t>Norm code</t>
  </si>
  <si>
    <t>COSE No.</t>
  </si>
  <si>
    <t>NORM CODE</t>
  </si>
  <si>
    <t>QUALITIES</t>
  </si>
  <si>
    <t>UNIT COST</t>
  </si>
  <si>
    <t>AMOUNT</t>
  </si>
  <si>
    <t>NO.NORM</t>
  </si>
  <si>
    <t>NORM.CODE</t>
  </si>
  <si>
    <t>Materials</t>
  </si>
  <si>
    <t>As declared</t>
  </si>
  <si>
    <t>Reference</t>
  </si>
  <si>
    <t>Transport cost</t>
  </si>
  <si>
    <t>Total</t>
  </si>
  <si>
    <t>COMPARISON TABLE SOME MATERIALS</t>
  </si>
  <si>
    <t xml:space="preserve"> MATERIALS LOADING AND UNLOADING COST</t>
  </si>
  <si>
    <t>Specific density</t>
  </si>
  <si>
    <t>Name road/river</t>
  </si>
  <si>
    <t>Lộ trình/Station</t>
  </si>
  <si>
    <t>from</t>
  </si>
  <si>
    <t>to</t>
  </si>
  <si>
    <t>Level of road/river</t>
  </si>
  <si>
    <t>Distance</t>
  </si>
  <si>
    <t>Level of material</t>
  </si>
  <si>
    <t>Co</t>
  </si>
  <si>
    <t>Caculation</t>
  </si>
  <si>
    <t>Means of transport</t>
  </si>
  <si>
    <t>Transport 
fee</t>
  </si>
  <si>
    <t>Load fee</t>
  </si>
  <si>
    <t>Unload fee</t>
  </si>
  <si>
    <t>Đá dăm 2-8/Stone 2-8</t>
  </si>
  <si>
    <t>Đá hộc &gt;15/Masory</t>
  </si>
  <si>
    <t>Fine sand</t>
  </si>
  <si>
    <t>Yellow sand</t>
  </si>
  <si>
    <t>Bitumen</t>
  </si>
  <si>
    <t>Steel</t>
  </si>
  <si>
    <t>Cement of An Giang</t>
  </si>
  <si>
    <t>Cement of Holcim</t>
  </si>
  <si>
    <t>Stone aggregate</t>
  </si>
  <si>
    <t>Mỏ/mine</t>
  </si>
  <si>
    <t>TRANSPORT COST TABLE</t>
  </si>
  <si>
    <t>TRANSPORT COST TABLE OF SUPER-T GIRDER</t>
  </si>
  <si>
    <t>Casting bed</t>
  </si>
  <si>
    <t>Canal no.1</t>
  </si>
  <si>
    <t>Canal no.2</t>
  </si>
  <si>
    <t>Binh Di river edge
(direction Campuchia)</t>
  </si>
  <si>
    <t>Binh Di river edge
(direction Viet Nam)</t>
  </si>
  <si>
    <t>Chi phí kê lót, chống nghiêng lật, chằng buộc, bốc dỡ đường bộ (Chocking, tying against leaning, flipping, loading cost)</t>
  </si>
  <si>
    <t>cước vận chuyển đường bộ (transport cost)</t>
  </si>
  <si>
    <t>driller &lt;=4.2mm</t>
  </si>
  <si>
    <t>Compactor 3Kw</t>
  </si>
  <si>
    <t>Giá ca máy/Machine price</t>
  </si>
  <si>
    <t>Đơn vị tính: Đồng  / Unit cost: VND</t>
  </si>
  <si>
    <t>CONNECTING AN GIANG PROVINCE (VIET NAM) - KANDAL PROVINCE (CAMBODIA)</t>
  </si>
  <si>
    <t>Sản xuất và vận chuyển vữa bê tông &lt;=3Km</t>
  </si>
  <si>
    <t>Vận chuyển bê tông &lt;=3km</t>
  </si>
  <si>
    <t>Producing and transporting concrete mortar &lt;=3km</t>
  </si>
  <si>
    <t>Transport concrete &lt;=3km</t>
  </si>
  <si>
    <t>AI.11911</t>
  </si>
  <si>
    <t xml:space="preserve">Thép thanh vằn  fi 10  SD295A-CB300 </t>
  </si>
  <si>
    <t>Thép thanh vằn  fi 12 - 25 SD295A-CB300</t>
  </si>
  <si>
    <t>TẤM TRẦN CÁC LOẠI:</t>
  </si>
  <si>
    <t xml:space="preserve"> * Trần thạch cao (Cty TNHH Boral Gypsum VN) chưa tính công lắp đặt: Theo báo giá ngày 21/5/2013</t>
  </si>
  <si>
    <t xml:space="preserve"> * Trần thạch cao (Cty CP Công nghiệp Vĩnh Tường, tầng M cao ốc IPC số 1489 Nguyễn Văn Linh, Q7-Tp.HCM) bao gồm chi phí nhân công lắp đặt: Theo báo giá ngày 15/5/2013</t>
  </si>
  <si>
    <t>Trần chìm khung Vĩnh Tường-TIKA, khẩu độ thanh chính 800x406mm, tấm trần thạch cao tiêu chuẩn Gyproc 9mmm 1 lớp, ty dây 4mm, tiêu chuẩn ASTM:C635</t>
  </si>
  <si>
    <t>Trần chìm khung Vĩnh Tường-SERRA, khẩu độ thanh chin 800x406mm, tấm trần thạch cao tiêu chuẩn Gyproc 12.7mmm 1 lớp, ty dây 8mm, tiêu chuẩn ASTM:C635</t>
  </si>
  <si>
    <t>Trần nổi khung Vĩnh Tường-FINELINE, khẩu độ thanh 610x610mm, ty neo 800-1000mm, tấm trần thạch cao trang trí Vĩnh tường VT50 (sơn tắng) 9mm, tiêu chuẩn ASTM:C635</t>
  </si>
  <si>
    <t>Trần nổi khung Vĩnh Tường-TOPLINE, khẩu độ thanh 610x610mm, ty neo 800-1000mm, tấm trần thạch cao trang trí Vĩnh tường VT50 (sơn tắng) 9mm, tiêu chuẩn ASTM:C635</t>
  </si>
  <si>
    <t xml:space="preserve"> * Giá ngói Cty TNHH CPAC Monier VN : Theo bảng báo giá ngày 01/4/2012.</t>
  </si>
  <si>
    <t>Ngói chính (4kg), mã hiệu M001, 002, 004, 005</t>
  </si>
  <si>
    <t xml:space="preserve">Vít bắt ngói </t>
  </si>
  <si>
    <t xml:space="preserve">Máng xối </t>
  </si>
  <si>
    <t>Thanh mè (0.55mm) 4m</t>
  </si>
  <si>
    <t xml:space="preserve"> * Giá bán gạch tại Công ty TNHH Thương mại Hiển Nga (Theo bảng báo giá ngày 01/3/2013):</t>
  </si>
  <si>
    <t xml:space="preserve">      * Gạch REX (loại I) </t>
  </si>
  <si>
    <t xml:space="preserve">     * Gạch Granite Viglacera</t>
  </si>
  <si>
    <t>Gạch granic công nghệ cao 80x80 (KN, dnDN, VN) các mã số: 812, 815, 817</t>
  </si>
  <si>
    <t>Gạch granic công nghệ cao 60x60 (KN, dnDN, VN, BN) các mã số: 601</t>
  </si>
  <si>
    <t>Gạch granic truyền thống nano 50x50 các mã số: M501, M502</t>
  </si>
  <si>
    <t>* Cty TNHH MTV TM&amp;DV 251 (7/12, Lê Triệt Khiết, P.Mỹ Bình, Tp.Long Xuyên).</t>
  </si>
  <si>
    <t xml:space="preserve"> - Máy lạnh hiệu KENDO, dạng treo tường loại TIPTOP (tạo ion làm sạch không khí và khử mùi) </t>
  </si>
  <si>
    <t>Công suất: 1HP (KDW-C009TT/KDO-C009TT)</t>
  </si>
  <si>
    <t>Công suất: 1,5HP (KDW-C012TT/KDO-C012TT)</t>
  </si>
  <si>
    <t>Công suất: 2HP (KDW-C018TT/KDO-C018TT)</t>
  </si>
  <si>
    <t>Công suất: 3HP (KDW-C028/KDO-C028)</t>
  </si>
  <si>
    <t xml:space="preserve"> - Máy lạnh hiệu KENDO, dạng tủ đứng (FLOOR STANDING TYPR)</t>
  </si>
  <si>
    <t>Công suất: 4HP (KDW-C036/KDO-C036 (3 pha)</t>
  </si>
  <si>
    <t xml:space="preserve"> - Máy lạnh hiệu KENDO, dạng âm trần (CASSETTE TYPE)</t>
  </si>
  <si>
    <t>Công suất: 2HP (KDW-C018/KDO-C018)</t>
  </si>
  <si>
    <t xml:space="preserve"> - Máy lạnh hiệu DAIKIN, dạng treo tường thông dụng 1 chiều R22</t>
  </si>
  <si>
    <t>Công suất: 1HP (FTE25LV1V/RE25LV1V)</t>
  </si>
  <si>
    <t>Công suất: 1,5HP (FTE35LV1V/RE35LV1V)</t>
  </si>
  <si>
    <t>Công suất: 2HP (FTE50LV1V/RE50LV1V)</t>
  </si>
  <si>
    <t>C.nhôm vặn xoắn 2 ruột ABC 2x25, 7 sợi, đ.k 2.16mm</t>
  </si>
  <si>
    <t>C.nhôm vặn xoắn 2 ruột ABC 2x35, 7 sợi, đ.k 2.53mm</t>
  </si>
  <si>
    <t>C.nhôm vặn xoắn 2 ruột ABC 2x50, 7 sợi, đ.k 2.99mm</t>
  </si>
  <si>
    <t>C.nhôm vặn xoắn 2 ruột ABC 2x95, 19, sợi, đ.k 2.53mm</t>
  </si>
  <si>
    <t>C.nhôm vặn xoắn 2 ruột ABC 2x120, 19 sợi, đ.k 2.84mm</t>
  </si>
  <si>
    <t>C.nhôm vặn xoắn 4 ruột ABC 4x50, 7 sợi, đ.k 2.99mm</t>
  </si>
  <si>
    <t>C.nhôm vặn xoắn 4 ruột ABC 4x95, 19 sợi, đ.k 2.53mm</t>
  </si>
  <si>
    <t>*Cty TNHH MTV vật liệu nhựa Dương Hưng (nhựa uPVC thanh Profile Shide), 15J1 khóm Mỹ Quới, P.Mỹ Phước, Tp.Long Xuyên: Theo báo giá ngày 01/3/2013 (giá bao gồm phí vận chuyển và lắp đặt trong bán kính 5km)</t>
  </si>
  <si>
    <t>Cửa đi 2 cánh mở quay (1400x2100), bao gồm PKKK G-Q và kính trắng Việt - Nhật 5mm</t>
  </si>
  <si>
    <t>Cửa đi 2 cánh mở trượt (1600x2100), bao gồm PKKK G-Q và kính trắng Việt - Nhật 5mm</t>
  </si>
  <si>
    <t>Cửa đi 4 cánh mở trượt (2800x2100), bao gồm PKKK G-Q và kính trắng Việt - Nhật 5mm</t>
  </si>
  <si>
    <t>Cửa đi 4 cánh mở quay (2800x2100), bao gồm PKKK G-Q và kính trắng Việt - Nhật 5mm</t>
  </si>
  <si>
    <t>Cửa sổ 2 cánh mở trượt (1600x1400), bao gồm PKKK G-Q và kính trắng Việt - Nhật 5mm</t>
  </si>
  <si>
    <t>Cửa sổ 2 cánh mở quay (1400x1200), bao gồm PKKK G-Q và kính trắng Việt - Nhật 5mm</t>
  </si>
  <si>
    <t>Cửa sổ 2 cánh mở lật (900x400), bao gồm PKKK G-Q và kính trắng Việt - Nhật 5mm</t>
  </si>
  <si>
    <t>Cửa sổ 4 cánh mở trượt (1600x1400), bao gồm PKKK G-Q và kính trắng Việt - Nhật 5mm</t>
  </si>
  <si>
    <t>Cửa sổ 4 cánh mở quay (1400x1200), bao gồm PKKK G-Q và kính trắng Việt - Nhật 5mm</t>
  </si>
  <si>
    <t>Cửa sổ 4 cánh mở lật (900x400), bao gồm PKKK G-Q và kính trắng Việt - Nhật 5mm</t>
  </si>
  <si>
    <t>* Cửa nhựa uPVC cao cấp Asia-Standard (Cty TNHH TM Hiển Nga-Tổng đại lý phân phối tại An Giang), bao gồm kính cường lực 5mm và công lắp đặt. Theo báo giá tháng 7/2012.</t>
  </si>
  <si>
    <t>Cửa đi 1 cánh mở quay ra ngoài (900x2400), trên kính dưới pano.</t>
  </si>
  <si>
    <t>Cửa đi 1 cánh mở quay ra ngoài (900x2400), trên kính dưới kính.</t>
  </si>
  <si>
    <t>Cửa đi 2 cánh mở quay ra ngoài (1800x2400), trên kính dưới pano.</t>
  </si>
  <si>
    <t>Cửa đi 2 cánh mở quay ra ngoài (1800x2400), trên kính dưới kính.</t>
  </si>
  <si>
    <t>Cửa đi 2 cánh mởlùa (1600x2400)</t>
  </si>
  <si>
    <t>Cửa sổ 1 cánh mở quay ra ngoài (800x1600)</t>
  </si>
  <si>
    <t>Cửa sổ 2 cánh mở lùa (1600x1600)</t>
  </si>
  <si>
    <t>Cửa sổ 2 cánh mở quay ra ngoài (1400x1600)</t>
  </si>
  <si>
    <t xml:space="preserve">                          (Đã ký)</t>
  </si>
  <si>
    <t>Đắp đất công trình (đất sét bao)</t>
  </si>
  <si>
    <t>Embanking clay</t>
  </si>
  <si>
    <t>Vành đai khung chống  trụ P2, P5 (KHVL chính =(2%/tháng*1 tháng +7%)</t>
  </si>
  <si>
    <t>Brace for pier P2, P5 (amor main material=2%/month*1 months+7%)</t>
  </si>
  <si>
    <t>Vành đai khung chống  trụ P1, P6 (KHVL chính =(2%/tháng*1 tháng +7%) (chỉ tính vật liệu)</t>
  </si>
  <si>
    <t>Brace for pier P1, P6 (amor main material=2%/month*1 months+7%)</t>
  </si>
  <si>
    <t>Sử dụng cọc thép hình H350x350 (KH=(1.17%/tháng*1 tháng +3.5%/lần đóng nhổ )</t>
  </si>
  <si>
    <t>Steel pile H350x350, amor=1.17%*1 months +3.5%</t>
  </si>
  <si>
    <t>Đóng cọc thép hình trên cạn L&lt;10m, đất C1 (ngập đất)</t>
  </si>
  <si>
    <t>Đóng cọc thép hình trên cạn L&lt;10m, đất C1 ( không ngập đất, HS=0,75)</t>
  </si>
  <si>
    <t>Sản xuất thép tấm (KHVL chính=2%/tháng*1 tháng+7%)</t>
  </si>
  <si>
    <t>Product plate steel (amor main material=2%/month*1month+7%)</t>
  </si>
  <si>
    <t>Sản xuất bê tông nhựa C12.5</t>
  </si>
  <si>
    <t>Producting fine asphanlt concrete C12.5</t>
  </si>
  <si>
    <t>5.37%</t>
  </si>
  <si>
    <t>=(5.37-5.0)/(5.5-5.0)*(55.790-50,953)+50.953</t>
  </si>
  <si>
    <t>19%</t>
  </si>
  <si>
    <t>=19*0,128/20</t>
  </si>
  <si>
    <t>59%</t>
  </si>
  <si>
    <t>=(59-55)/(60-55)*(0,0.383-0.351)+0,351</t>
  </si>
  <si>
    <t>20%</t>
  </si>
  <si>
    <t>2%</t>
  </si>
  <si>
    <t>=47.235*2/5</t>
  </si>
  <si>
    <t>Sản xuất bê tông nhựa C19</t>
  </si>
  <si>
    <t>Producting coarse asphanlt concrete C19</t>
  </si>
  <si>
    <t>5.1%</t>
  </si>
  <si>
    <t>=(5.1-5)/(5.5-5)*(55.79-50.953)+50.953</t>
  </si>
  <si>
    <t>Đá 1.6x1.9 bê tông nhựa</t>
  </si>
  <si>
    <t>17%</t>
  </si>
  <si>
    <t>=17*0.128/20</t>
  </si>
  <si>
    <t>50%</t>
  </si>
  <si>
    <t>15%</t>
  </si>
  <si>
    <t>=15*0.128/20</t>
  </si>
  <si>
    <t>=(5.1-5)/(10-5)*(94,47-47,235)+47,235</t>
  </si>
  <si>
    <t>Stone 1.6x1.9 asphalt concrete</t>
  </si>
  <si>
    <t>Công bố An Giang T5/2013, stt 156</t>
  </si>
  <si>
    <t>AG province declared in May-2013, number 156</t>
  </si>
  <si>
    <t>76.1kg/m*giá thép hình</t>
  </si>
  <si>
    <t>76.1kg/m*shaped steel cost</t>
  </si>
  <si>
    <t>Công bố An Giang T6/2012, stt 725</t>
  </si>
  <si>
    <t>Công bố An Giang T6/2012, number 725</t>
  </si>
  <si>
    <t>Giá XDCB, STT443</t>
  </si>
  <si>
    <t>Basic price, number443</t>
  </si>
  <si>
    <t>Giá XDCB, STT 608</t>
  </si>
  <si>
    <t>Basic price, number 608</t>
  </si>
  <si>
    <t>Giá XDCB, STT 70</t>
  </si>
  <si>
    <t>Basic price, number 70</t>
  </si>
  <si>
    <t>Giá XDCB, STT342</t>
  </si>
  <si>
    <t>Basic price, number342</t>
  </si>
  <si>
    <t>Giá XDCB, STT 322</t>
  </si>
  <si>
    <t>Basic price, number 322</t>
  </si>
  <si>
    <t>Giá XDCB, STT 98</t>
  </si>
  <si>
    <t>Basic price, number 98</t>
  </si>
  <si>
    <t>Giá XDCB, STT 87</t>
  </si>
  <si>
    <t>Basic price, number 87</t>
  </si>
  <si>
    <t>Vận chuyển từ bãi đúc dầm tới bãi chứa dầm</t>
  </si>
  <si>
    <t>1 lần vc/1 dầm</t>
  </si>
  <si>
    <t>Bãi chứa dầm</t>
  </si>
  <si>
    <t>Removing cluvert pipe D1500 (H10), L=3m, HS=1.15*0.6</t>
  </si>
  <si>
    <t>Sử dụng cọc ván thép L=8m (KHVL=(1.17%/tháng*2 tháng +3.5%/đóng nhổ)*2 lần)</t>
  </si>
  <si>
    <t>Sử dụng cọc ván thép L=8m, KHVL=1.17%/tháng*1 tháng +3.5%/đóng nhổ</t>
  </si>
  <si>
    <t>Sheet pile L=8m, amor=1.17%*1 months +3.5%</t>
  </si>
  <si>
    <t>Phát Hưng</t>
  </si>
  <si>
    <t>Gối chậu di động đơn hướng 40DX (P3)</t>
  </si>
  <si>
    <t>Movable bearing one direction 4000 ton (P3)</t>
  </si>
  <si>
    <t>Gối chậu di động đơn hướng 40DX (P4)</t>
  </si>
  <si>
    <t>Movable bearing one direction 4000 ton (P4)</t>
  </si>
  <si>
    <t>Gối chậu di động song hướng 40SX (P4)</t>
  </si>
  <si>
    <t>Movable bearing multi direction 4000 ton (P4)</t>
  </si>
  <si>
    <t>Gối chậu di động đơn hướng 9DX (P2)</t>
  </si>
  <si>
    <t>Movable bearing one direction 900 ton (P2)</t>
  </si>
  <si>
    <t>Gối chậu di động đơn hướng 9DX (P5)</t>
  </si>
  <si>
    <t>Movable bearing one direction 900 ton (P5)</t>
  </si>
  <si>
    <t>Gối chậu di động song hướng 9SX (P2)</t>
  </si>
  <si>
    <t>Movable bearing multi direction 900 ton (P5)</t>
  </si>
  <si>
    <t>Movable bearing multi direction 900 ton (P2)</t>
  </si>
  <si>
    <t>Gối chậu di động song hướng 9SX (P5)</t>
  </si>
  <si>
    <t>Phát Hưng ngày 25/6/2013</t>
  </si>
  <si>
    <t>Phat Hung purchasing offer</t>
  </si>
  <si>
    <t>Vĩnh Hưng ngày 20/5/2013</t>
  </si>
  <si>
    <t>EID ngày 23/5/2013</t>
  </si>
  <si>
    <t>Nhật Quang ngày 24/5/2013</t>
  </si>
  <si>
    <t>Lắp đặt gối di động đơn hướng 4000T (P3)</t>
  </si>
  <si>
    <t>Installing movable bearing one direction 4000 ton (P3)</t>
  </si>
  <si>
    <t>Lắp đặt gối di động đơn hướng 4000T (P4)</t>
  </si>
  <si>
    <t>Installing movable bearing one direction 4000 ton (P4)</t>
  </si>
  <si>
    <t>Lắp đặt gối di động đơn hướng 900T (P2)</t>
  </si>
  <si>
    <t>Installing movable bearing one direction 900 ton (P2)</t>
  </si>
  <si>
    <t>Lắp đặt gối di động đơn hướng 900T (P5)</t>
  </si>
  <si>
    <t>Installing movable bearing one direction 900 ton (P5)</t>
  </si>
  <si>
    <t>Lắp đặt gối di động song hướng 4000T (P4)</t>
  </si>
  <si>
    <t>Installing movable bearing multi direction 4000 ton (P4)</t>
  </si>
  <si>
    <t>Lắp đặt gối di động song hướng 900T (P2)</t>
  </si>
  <si>
    <t>Installing movable bearing multi direction 900 ton (P2)</t>
  </si>
  <si>
    <t>Installing movable bearing multi direction 900 ton (P5)</t>
  </si>
  <si>
    <t>Lắp đặt gối di động song hướng 900T (P5)</t>
  </si>
  <si>
    <r>
      <t xml:space="preserve"> Vật liệu
</t>
    </r>
    <r>
      <rPr>
        <i/>
        <sz val="10"/>
        <rFont val="Times New Roman"/>
        <family val="1"/>
      </rPr>
      <t>Material</t>
    </r>
    <r>
      <rPr>
        <b/>
        <sz val="10"/>
        <rFont val="Times New Roman"/>
        <family val="1"/>
      </rPr>
      <t xml:space="preserve"> </t>
    </r>
  </si>
  <si>
    <r>
      <t xml:space="preserve"> Nhân công 
</t>
    </r>
    <r>
      <rPr>
        <i/>
        <sz val="10"/>
        <rFont val="Times New Roman"/>
        <family val="1"/>
      </rPr>
      <t>Labour</t>
    </r>
  </si>
  <si>
    <r>
      <t xml:space="preserve"> MTC 
</t>
    </r>
    <r>
      <rPr>
        <i/>
        <sz val="10"/>
        <rFont val="Times New Roman"/>
        <family val="1"/>
      </rPr>
      <t>Machine</t>
    </r>
  </si>
  <si>
    <t>ĐƠN GIÁ TH</t>
  </si>
  <si>
    <r>
      <t xml:space="preserve">             Số: 36/CBLS/XD -TC                                                         </t>
    </r>
    <r>
      <rPr>
        <i/>
        <sz val="14"/>
        <color indexed="10"/>
        <rFont val="Times New Roman"/>
        <family val="1"/>
      </rPr>
      <t>An Giang, ngày  10  tháng 7 năm 2013</t>
    </r>
  </si>
  <si>
    <t xml:space="preserve">            GIÁ VẬT LIỆU XÂY DỰNG VÀ TRANG TRÍ  NỘI THẤT THÁNG 7/2013</t>
  </si>
  <si>
    <t xml:space="preserve">             Liên Sở Xây dựng - Tài chính công bố giá bán các loại vật liệu xây dựng và trang trí nội thất chủ yếu thời điểm tháng 7/2013 trên địa bàn tỉnh An Giang như sau:</t>
  </si>
  <si>
    <r>
      <t>đ/m</t>
    </r>
    <r>
      <rPr>
        <vertAlign val="superscript"/>
        <sz val="10.5"/>
        <color indexed="63"/>
        <rFont val="Times New Roman"/>
        <family val="1"/>
      </rPr>
      <t>3</t>
    </r>
  </si>
  <si>
    <t>CÁT CÁC LOẠI : Theo báo giá của Cty Xây lắp AG ngày 01/7/2013 (đã bao gồm phí bảo vệ môi trường)</t>
  </si>
  <si>
    <t>báo giá ngày 01/7/2013</t>
  </si>
  <si>
    <t xml:space="preserve"> Móng neo  (0,5  x 1,5) m</t>
  </si>
  <si>
    <r>
      <t>Hoạt tải 3 x 10</t>
    </r>
    <r>
      <rPr>
        <vertAlign val="superscript"/>
        <sz val="10.5"/>
        <rFont val="Times New Roman"/>
        <family val="1"/>
      </rPr>
      <t>-3</t>
    </r>
    <r>
      <rPr>
        <sz val="10.5"/>
        <rFont val="Times New Roman"/>
        <family val="1"/>
      </rPr>
      <t xml:space="preserve"> Mpa (cống dọc đường), cấp tải thấp</t>
    </r>
  </si>
  <si>
    <r>
      <t xml:space="preserve"> - Cọc bê tông dự ứng lực sản xuất theo tiêu chuẩn 22TCN272-05 và TCXD 205:1998, cường độ thép 17.250kg/cm</t>
    </r>
    <r>
      <rPr>
        <b/>
        <vertAlign val="superscript"/>
        <sz val="10.5"/>
        <rFont val="Times New Roman"/>
        <family val="1"/>
      </rPr>
      <t>2</t>
    </r>
    <r>
      <rPr>
        <b/>
        <sz val="10.5"/>
        <rFont val="Times New Roman"/>
        <family val="1"/>
      </rPr>
      <t>:</t>
    </r>
  </si>
  <si>
    <t xml:space="preserve">Ống kẽm fi 60 x 2,3 ly </t>
  </si>
  <si>
    <t xml:space="preserve">Ống kẽm fi 90 x 2,5 ly </t>
  </si>
  <si>
    <t xml:space="preserve"> * Công ty TNHH Bluescope Buildings Việt Nam: (Theo bảng báo giá từ  01 đến ngày 31/7/2013);</t>
  </si>
  <si>
    <r>
      <t xml:space="preserve">  - Xà gồ, thanh dàn, vì kèo thép mạ hợp kim nhôm kẽm cường độ cao Zincalume AZ150g/m</t>
    </r>
    <r>
      <rPr>
        <b/>
        <vertAlign val="superscript"/>
        <sz val="10.5"/>
        <color indexed="63"/>
        <rFont val="Times New Roman"/>
        <family val="1"/>
      </rPr>
      <t>2</t>
    </r>
    <r>
      <rPr>
        <b/>
        <sz val="10.5"/>
        <color indexed="63"/>
        <rFont val="Times New Roman"/>
        <family val="1"/>
      </rPr>
      <t>; G550 Mpa</t>
    </r>
  </si>
  <si>
    <r>
      <t xml:space="preserve">  - Thanh rui mè thép mạ hợp kim nhôm kẽm cường độ cao Zincalume AZ150g/m</t>
    </r>
    <r>
      <rPr>
        <b/>
        <vertAlign val="superscript"/>
        <sz val="10.5"/>
        <color indexed="63"/>
        <rFont val="Times New Roman"/>
        <family val="1"/>
      </rPr>
      <t>2</t>
    </r>
    <r>
      <rPr>
        <b/>
        <sz val="10.5"/>
        <color indexed="63"/>
        <rFont val="Times New Roman"/>
        <family val="1"/>
      </rPr>
      <t>; G550 Mpa</t>
    </r>
  </si>
  <si>
    <r>
      <t xml:space="preserve">  - Khung thép, xà gồ thép khẩu độ lớn, mạ kẽm cường độ cao Lysaght Zine Hi Ten 275g/m</t>
    </r>
    <r>
      <rPr>
        <b/>
        <vertAlign val="superscript"/>
        <sz val="10.5"/>
        <color indexed="63"/>
        <rFont val="Times New Roman"/>
        <family val="1"/>
      </rPr>
      <t>2</t>
    </r>
    <r>
      <rPr>
        <b/>
        <sz val="10.5"/>
        <color indexed="63"/>
        <rFont val="Times New Roman"/>
        <family val="1"/>
      </rPr>
      <t>, G450Mpa</t>
    </r>
  </si>
  <si>
    <r>
      <t>đ/m</t>
    </r>
    <r>
      <rPr>
        <vertAlign val="superscript"/>
        <sz val="10.5"/>
        <color indexed="63"/>
        <rFont val="Times New Roman"/>
        <family val="1"/>
      </rPr>
      <t>2</t>
    </r>
  </si>
  <si>
    <r>
      <t xml:space="preserve"> - Phụ kiện của tole Lysaght Klip-Lok</t>
    </r>
    <r>
      <rPr>
        <b/>
        <vertAlign val="superscript"/>
        <sz val="10.5"/>
        <color indexed="63"/>
        <rFont val="Times New Roman"/>
        <family val="1"/>
      </rPr>
      <t>R</t>
    </r>
    <r>
      <rPr>
        <b/>
        <sz val="10.5"/>
        <color indexed="63"/>
        <rFont val="Times New Roman"/>
        <family val="1"/>
      </rPr>
      <t xml:space="preserve"> :</t>
    </r>
  </si>
  <si>
    <t xml:space="preserve"> - Tole lạnh ZACS ® 100 mạ nhôm kẽm AZ100 TCVN 7470 : 2005, AS 1365, 1397</t>
  </si>
  <si>
    <t xml:space="preserve"> - Tol lạnh màu ZACS ® 100 mạ nhôm kẽm và mạ màu TCVN 7470:2005, AS 1397, 2728</t>
  </si>
  <si>
    <t xml:space="preserve"> -Tole lạnh màu ZACS ® mạ nhôm kẽm 70 và mạ màu TCVN 7470, 7471:2005</t>
  </si>
  <si>
    <r>
      <t>đ/m</t>
    </r>
    <r>
      <rPr>
        <vertAlign val="superscript"/>
        <sz val="10.5"/>
        <rFont val="Times New Roman"/>
        <family val="1"/>
      </rPr>
      <t>2</t>
    </r>
  </si>
  <si>
    <r>
      <t>Quy cách (600 x 200)mm, D=900 (900kg/m</t>
    </r>
    <r>
      <rPr>
        <vertAlign val="superscript"/>
        <sz val="10.5"/>
        <color indexed="63"/>
        <rFont val="Times New Roman"/>
        <family val="1"/>
      </rPr>
      <t>3</t>
    </r>
    <r>
      <rPr>
        <sz val="10.5"/>
        <color indexed="63"/>
        <rFont val="Times New Roman"/>
        <family val="1"/>
      </rPr>
      <t xml:space="preserve">) dày 75mm (+/-2) </t>
    </r>
  </si>
  <si>
    <r>
      <t xml:space="preserve"> Ngói lợp 22 viên/m</t>
    </r>
    <r>
      <rPr>
        <vertAlign val="superscript"/>
        <sz val="10.5"/>
        <rFont val="Times New Roman"/>
        <family val="1"/>
      </rPr>
      <t>2</t>
    </r>
    <r>
      <rPr>
        <sz val="10.5"/>
        <rFont val="Times New Roman"/>
        <family val="1"/>
      </rPr>
      <t xml:space="preserve"> (hóa chất)</t>
    </r>
  </si>
  <si>
    <r>
      <t xml:space="preserve"> Ngói vẫy cá 65 viên/m</t>
    </r>
    <r>
      <rPr>
        <vertAlign val="superscript"/>
        <sz val="10.5"/>
        <rFont val="Times New Roman"/>
        <family val="1"/>
      </rPr>
      <t xml:space="preserve">2 </t>
    </r>
    <r>
      <rPr>
        <sz val="10.5"/>
        <rFont val="Times New Roman"/>
        <family val="1"/>
      </rPr>
      <t>(hóa chất)</t>
    </r>
  </si>
  <si>
    <r>
      <t>Gạch 40cmx40cm (1 thùng 6 viên tương đương 0,96m</t>
    </r>
    <r>
      <rPr>
        <vertAlign val="superscript"/>
        <sz val="10.5"/>
        <rFont val="Times New Roman"/>
        <family val="1"/>
      </rPr>
      <t>2</t>
    </r>
    <r>
      <rPr>
        <sz val="10.5"/>
        <rFont val="Times New Roman"/>
        <family val="1"/>
      </rPr>
      <t xml:space="preserve">) các mã </t>
    </r>
  </si>
  <si>
    <r>
      <t>Gạch 25cmx40cm (1 thùng 10 viên tương đương 1m</t>
    </r>
    <r>
      <rPr>
        <vertAlign val="superscript"/>
        <sz val="10.5"/>
        <rFont val="Times New Roman"/>
        <family val="1"/>
      </rPr>
      <t>2</t>
    </r>
    <r>
      <rPr>
        <sz val="10.5"/>
        <rFont val="Times New Roman"/>
        <family val="1"/>
      </rPr>
      <t>) mem bóng</t>
    </r>
  </si>
  <si>
    <t xml:space="preserve"> * Giá bán gạch TAICERA (loại I) của Công ty Cổ phần Công nghiệp Gốm Sứ TAICERA (Theo bảng báo giá ngày 01/7/2013);</t>
  </si>
  <si>
    <r>
      <t>Gạch men ốp tường 25cm x 40cm (15 viên/thùng/1,5m</t>
    </r>
    <r>
      <rPr>
        <vertAlign val="superscript"/>
        <sz val="10.5"/>
        <rFont val="Times New Roman"/>
        <family val="1"/>
      </rPr>
      <t>2</t>
    </r>
    <r>
      <rPr>
        <sz val="10.5"/>
        <rFont val="Times New Roman"/>
        <family val="1"/>
      </rPr>
      <t>)</t>
    </r>
  </si>
  <si>
    <r>
      <t>Gạch men lát nền 25cm x 25cm (20 viên/thùng/1,25m</t>
    </r>
    <r>
      <rPr>
        <vertAlign val="superscript"/>
        <sz val="10.5"/>
        <rFont val="Times New Roman"/>
        <family val="1"/>
      </rPr>
      <t>2</t>
    </r>
    <r>
      <rPr>
        <sz val="10.5"/>
        <rFont val="Times New Roman"/>
        <family val="1"/>
      </rPr>
      <t>)</t>
    </r>
  </si>
  <si>
    <r>
      <t>Gạch men ốp tường 30cm x 45cm (8 viên/thùng/1,08m</t>
    </r>
    <r>
      <rPr>
        <vertAlign val="superscript"/>
        <sz val="10.5"/>
        <rFont val="Times New Roman"/>
        <family val="1"/>
      </rPr>
      <t>2</t>
    </r>
    <r>
      <rPr>
        <sz val="10.5"/>
        <rFont val="Times New Roman"/>
        <family val="1"/>
      </rPr>
      <t>)</t>
    </r>
  </si>
  <si>
    <r>
      <t>Gạch thạch anh 40cm x 40cm (8 viên/thùng/ 1,28m</t>
    </r>
    <r>
      <rPr>
        <vertAlign val="superscript"/>
        <sz val="10.5"/>
        <rFont val="Times New Roman"/>
        <family val="1"/>
      </rPr>
      <t>2</t>
    </r>
    <r>
      <rPr>
        <sz val="10.5"/>
        <rFont val="Times New Roman"/>
        <family val="1"/>
      </rPr>
      <t>) :</t>
    </r>
  </si>
  <si>
    <r>
      <t>Gạch thạch anh 60cm x 60cm (4viên/thùng/1,44m</t>
    </r>
    <r>
      <rPr>
        <vertAlign val="superscript"/>
        <sz val="10.5"/>
        <rFont val="Times New Roman"/>
        <family val="1"/>
      </rPr>
      <t>2</t>
    </r>
    <r>
      <rPr>
        <sz val="10.5"/>
        <rFont val="Times New Roman"/>
        <family val="1"/>
      </rPr>
      <t>):</t>
    </r>
  </si>
  <si>
    <r>
      <t>Gạch thạch anh bóng kiếng 60cm x 60cm (4viên/thùng/1,44m</t>
    </r>
    <r>
      <rPr>
        <vertAlign val="superscript"/>
        <sz val="10.5"/>
        <rFont val="Times New Roman"/>
        <family val="1"/>
      </rPr>
      <t>2</t>
    </r>
    <r>
      <rPr>
        <sz val="10.5"/>
        <rFont val="Times New Roman"/>
        <family val="1"/>
      </rPr>
      <t>):</t>
    </r>
  </si>
  <si>
    <r>
      <t>Gạch thạch anh bóng kiếng 80cm x 80cm (3viên/thùng/1,92m</t>
    </r>
    <r>
      <rPr>
        <vertAlign val="superscript"/>
        <sz val="10.5"/>
        <rFont val="Times New Roman"/>
        <family val="1"/>
      </rPr>
      <t>2</t>
    </r>
    <r>
      <rPr>
        <sz val="10.5"/>
        <rFont val="Times New Roman"/>
        <family val="1"/>
      </rPr>
      <t>)</t>
    </r>
  </si>
  <si>
    <r>
      <t>Gạch thạch anh bóng kiếng 100cm x 100cm (2viên/thùng/2m</t>
    </r>
    <r>
      <rPr>
        <vertAlign val="superscript"/>
        <sz val="10.5"/>
        <rFont val="Times New Roman"/>
        <family val="1"/>
      </rPr>
      <t>2</t>
    </r>
    <r>
      <rPr>
        <sz val="10.5"/>
        <rFont val="Times New Roman"/>
        <family val="1"/>
      </rPr>
      <t>)</t>
    </r>
  </si>
  <si>
    <r>
      <t>Gạch men lát nền 25cmx25cm (16 viên/thùng/1m</t>
    </r>
    <r>
      <rPr>
        <vertAlign val="superscript"/>
        <sz val="10.5"/>
        <rFont val="Times New Roman"/>
        <family val="1"/>
      </rPr>
      <t>2</t>
    </r>
    <r>
      <rPr>
        <sz val="10.5"/>
        <rFont val="Times New Roman"/>
        <family val="1"/>
      </rPr>
      <t xml:space="preserve">) các mã số: </t>
    </r>
  </si>
  <si>
    <r>
      <t>Gạch men lát nền 40cmx40cm (6 viên/thùng/0,96m</t>
    </r>
    <r>
      <rPr>
        <vertAlign val="superscript"/>
        <sz val="10.5"/>
        <rFont val="Times New Roman"/>
        <family val="1"/>
      </rPr>
      <t>2</t>
    </r>
    <r>
      <rPr>
        <sz val="10.5"/>
        <rFont val="Times New Roman"/>
        <family val="1"/>
      </rPr>
      <t xml:space="preserve">) các mã số: </t>
    </r>
  </si>
  <si>
    <r>
      <t>Gạch men ốp tường 25cmx40cm (10 viên/thùng/1m</t>
    </r>
    <r>
      <rPr>
        <vertAlign val="superscript"/>
        <sz val="10.5"/>
        <rFont val="Times New Roman"/>
        <family val="1"/>
      </rPr>
      <t>2</t>
    </r>
    <r>
      <rPr>
        <sz val="10.5"/>
        <rFont val="Times New Roman"/>
        <family val="1"/>
      </rPr>
      <t xml:space="preserve">) các mã số: </t>
    </r>
  </si>
  <si>
    <r>
      <t>Gạch thạch anh 40cm x 40cm (11 viên/thùng/0,99m</t>
    </r>
    <r>
      <rPr>
        <vertAlign val="superscript"/>
        <sz val="10.5"/>
        <rFont val="Times New Roman"/>
        <family val="1"/>
      </rPr>
      <t>2</t>
    </r>
    <r>
      <rPr>
        <sz val="10.5"/>
        <rFont val="Times New Roman"/>
        <family val="1"/>
      </rPr>
      <t>) các mã số:</t>
    </r>
  </si>
  <si>
    <r>
      <t>Gạch thạch anh 40cm x 40cm (6 viên/thùng/0,96m</t>
    </r>
    <r>
      <rPr>
        <vertAlign val="superscript"/>
        <sz val="10.5"/>
        <rFont val="Times New Roman"/>
        <family val="1"/>
      </rPr>
      <t>2</t>
    </r>
    <r>
      <rPr>
        <sz val="10.5"/>
        <rFont val="Times New Roman"/>
        <family val="1"/>
      </rPr>
      <t>),</t>
    </r>
  </si>
  <si>
    <r>
      <t>Gạch thạch anh 50cm x 50cm (4 viên/thùng/1m</t>
    </r>
    <r>
      <rPr>
        <vertAlign val="superscript"/>
        <sz val="10.5"/>
        <rFont val="Times New Roman"/>
        <family val="1"/>
      </rPr>
      <t>2</t>
    </r>
    <r>
      <rPr>
        <sz val="10.5"/>
        <rFont val="Times New Roman"/>
        <family val="1"/>
      </rPr>
      <t>) các mã số:</t>
    </r>
  </si>
  <si>
    <t xml:space="preserve"> * Giá bán gạch Prime Group (QL91, ấp Bình Phú 2, xã Hòa Bình huyện Châu Thành) : Theo bảng báo giá ngày 01/6/2013</t>
  </si>
  <si>
    <r>
      <t>Gạch viền chân tường 12cm x 40cm (20viên/thùng/0,96m</t>
    </r>
    <r>
      <rPr>
        <vertAlign val="superscript"/>
        <sz val="10"/>
        <rFont val="Times New Roman"/>
        <family val="1"/>
      </rPr>
      <t>2</t>
    </r>
    <r>
      <rPr>
        <sz val="10"/>
        <rFont val="Times New Roman"/>
        <family val="1"/>
      </rPr>
      <t>) mã số Y605, 607, 608,...</t>
    </r>
  </si>
  <si>
    <r>
      <t>Gạch Granit ốp tường 6cm x 24cm (68viên/thùng/0,98m</t>
    </r>
    <r>
      <rPr>
        <vertAlign val="superscript"/>
        <sz val="9"/>
        <rFont val="Times New Roman"/>
        <family val="1"/>
      </rPr>
      <t>2</t>
    </r>
    <r>
      <rPr>
        <sz val="9"/>
        <rFont val="Times New Roman"/>
        <family val="1"/>
      </rPr>
      <t>)  mã số Y624:601→ 607, 652, 653, …</t>
    </r>
  </si>
  <si>
    <r>
      <t>Gạch men ốp tường 25cm x 25cm (16 viên/thùng/1m</t>
    </r>
    <r>
      <rPr>
        <vertAlign val="superscript"/>
        <sz val="10.5"/>
        <rFont val="Times New Roman"/>
        <family val="1"/>
      </rPr>
      <t>2</t>
    </r>
    <r>
      <rPr>
        <sz val="10.5"/>
        <rFont val="Times New Roman"/>
        <family val="1"/>
      </rPr>
      <t>)  mã số P01: 114</t>
    </r>
    <r>
      <rPr>
        <sz val="10.5"/>
        <rFont val="Arial"/>
        <family val="2"/>
      </rPr>
      <t>→</t>
    </r>
    <r>
      <rPr>
        <sz val="9.4499999999999993"/>
        <rFont val="Times New Roman"/>
        <family val="1"/>
      </rPr>
      <t>117, 284,…</t>
    </r>
  </si>
  <si>
    <r>
      <t>Gạch men 20cm x 25cm (20 viên/thùng/1m</t>
    </r>
    <r>
      <rPr>
        <vertAlign val="superscript"/>
        <sz val="10.5"/>
        <rFont val="Times New Roman"/>
        <family val="1"/>
      </rPr>
      <t>2</t>
    </r>
    <r>
      <rPr>
        <sz val="10.5"/>
        <rFont val="Times New Roman"/>
        <family val="1"/>
      </rPr>
      <t>)  mã số H01trắng, H09đỏ, H30đen</t>
    </r>
  </si>
  <si>
    <r>
      <t>Gạch men 25cm x 40cm (10 viên/thùng/1m</t>
    </r>
    <r>
      <rPr>
        <vertAlign val="superscript"/>
        <sz val="10.5"/>
        <rFont val="Times New Roman"/>
        <family val="1"/>
      </rPr>
      <t>2</t>
    </r>
    <r>
      <rPr>
        <sz val="10.5"/>
        <rFont val="Times New Roman"/>
        <family val="1"/>
      </rPr>
      <t xml:space="preserve">)  mã số DO1:267, 269 (len), Q15=PE:265, PE01,266(len) </t>
    </r>
  </si>
  <si>
    <r>
      <t>Gạch men 40cm x 40cm (6 viên/thùng/0.96m</t>
    </r>
    <r>
      <rPr>
        <vertAlign val="superscript"/>
        <sz val="10.5"/>
        <rFont val="Times New Roman"/>
        <family val="1"/>
      </rPr>
      <t>2</t>
    </r>
    <r>
      <rPr>
        <sz val="10.5"/>
        <rFont val="Times New Roman"/>
        <family val="1"/>
      </rPr>
      <t>)  mã số PR40: 116, 121, 203, 401, 505, …</t>
    </r>
  </si>
  <si>
    <r>
      <t>Gạch men  40cm x 40cm (6 viên/thùng/0,96m</t>
    </r>
    <r>
      <rPr>
        <vertAlign val="superscript"/>
        <sz val="10.5"/>
        <rFont val="Times New Roman"/>
        <family val="1"/>
      </rPr>
      <t>2</t>
    </r>
    <r>
      <rPr>
        <sz val="10.5"/>
        <rFont val="Times New Roman"/>
        <family val="1"/>
      </rPr>
      <t>) mã số SV40: 401, 402, 403, 404, 405, 406, 407, 408, 461, 462, 591, 592, 593, …595, (SV401)</t>
    </r>
  </si>
  <si>
    <r>
      <t>Gạch men mờ 60x60cm (4 viên/thùng/1,44m</t>
    </r>
    <r>
      <rPr>
        <vertAlign val="superscript"/>
        <sz val="10.5"/>
        <rFont val="Times New Roman"/>
        <family val="1"/>
      </rPr>
      <t>2</t>
    </r>
    <r>
      <rPr>
        <sz val="10.5"/>
        <rFont val="Times New Roman"/>
        <family val="1"/>
      </rPr>
      <t>) mã số PR60:690→ 693, 673, 674,..</t>
    </r>
  </si>
  <si>
    <r>
      <t>Gạch bóng kính 60cm x 60cm (4 viên/thùng/1,44m</t>
    </r>
    <r>
      <rPr>
        <vertAlign val="superscript"/>
        <sz val="10.5"/>
        <rFont val="Times New Roman"/>
        <family val="1"/>
      </rPr>
      <t>2</t>
    </r>
    <r>
      <rPr>
        <sz val="10.5"/>
        <rFont val="Times New Roman"/>
        <family val="1"/>
      </rPr>
      <t>)  mã số SP6316, 317 - Q3006, SP6300 trắng trơn, SP6302 - trắng hoa cúc</t>
    </r>
  </si>
  <si>
    <r>
      <t>đ/m</t>
    </r>
    <r>
      <rPr>
        <vertAlign val="superscript"/>
        <sz val="10.5"/>
        <color indexed="8"/>
        <rFont val="Times New Roman"/>
        <family val="1"/>
      </rPr>
      <t>2</t>
    </r>
  </si>
  <si>
    <t>VẢI ĐỊA KỸ THUẬT VÀ RỌ ĐÁ: giao hàng tại kho Cty Liên Phát -TPHCM (Theo bảng báo giá số 130702-4/LP-VĐ ngày 02/7/2013)</t>
  </si>
  <si>
    <r>
      <t>đ/m</t>
    </r>
    <r>
      <rPr>
        <vertAlign val="superscript"/>
        <sz val="10.5"/>
        <rFont val="Times New Roman"/>
        <family val="1"/>
      </rPr>
      <t>2</t>
    </r>
    <r>
      <rPr>
        <sz val="10.5"/>
        <rFont val="Times New Roman"/>
        <family val="1"/>
      </rPr>
      <t>lưới</t>
    </r>
  </si>
  <si>
    <t xml:space="preserve">* Sơn BOSS&amp;SPRING các loại: Cty TNHH TM Hiển Nga-Tổng đại lý phân phối tại An Giang: </t>
  </si>
  <si>
    <t>Sơn lót chống kiềm ngoại thất SPRING ALKALI (thùng 18 lít-23,3kg)</t>
  </si>
  <si>
    <t>Sơn lót chống ngoại thất BOSS ALKALI (thùng 18 lít - 24.1kg)</t>
  </si>
  <si>
    <r>
      <t xml:space="preserve"> Co 45</t>
    </r>
    <r>
      <rPr>
        <vertAlign val="superscript"/>
        <sz val="10.5"/>
        <color indexed="63"/>
        <rFont val="Times New Roman"/>
        <family val="1"/>
      </rPr>
      <t>0</t>
    </r>
    <r>
      <rPr>
        <sz val="10.5"/>
        <color indexed="63"/>
        <rFont val="Times New Roman"/>
        <family val="1"/>
      </rPr>
      <t xml:space="preserve">  fi 42 (1-1/4")</t>
    </r>
  </si>
  <si>
    <r>
      <t xml:space="preserve"> Co 45</t>
    </r>
    <r>
      <rPr>
        <vertAlign val="superscript"/>
        <sz val="10.5"/>
        <color indexed="63"/>
        <rFont val="Times New Roman"/>
        <family val="1"/>
      </rPr>
      <t>0</t>
    </r>
    <r>
      <rPr>
        <sz val="10.5"/>
        <color indexed="63"/>
        <rFont val="Times New Roman"/>
        <family val="1"/>
      </rPr>
      <t xml:space="preserve">  fi 49 (1-1/2")</t>
    </r>
  </si>
  <si>
    <r>
      <t xml:space="preserve"> Co 45</t>
    </r>
    <r>
      <rPr>
        <vertAlign val="superscript"/>
        <sz val="10.5"/>
        <color indexed="63"/>
        <rFont val="Times New Roman"/>
        <family val="1"/>
      </rPr>
      <t>0</t>
    </r>
    <r>
      <rPr>
        <sz val="10.5"/>
        <color indexed="63"/>
        <rFont val="Times New Roman"/>
        <family val="1"/>
      </rPr>
      <t xml:space="preserve">  fi 60 (2") </t>
    </r>
  </si>
  <si>
    <r>
      <t xml:space="preserve"> Co 45</t>
    </r>
    <r>
      <rPr>
        <vertAlign val="superscript"/>
        <sz val="10.5"/>
        <color indexed="63"/>
        <rFont val="Times New Roman"/>
        <family val="1"/>
      </rPr>
      <t>0</t>
    </r>
    <r>
      <rPr>
        <sz val="10.5"/>
        <color indexed="63"/>
        <rFont val="Times New Roman"/>
        <family val="1"/>
      </rPr>
      <t xml:space="preserve">  fi 76 (2-1/2")</t>
    </r>
  </si>
  <si>
    <r>
      <t xml:space="preserve"> Co 45</t>
    </r>
    <r>
      <rPr>
        <vertAlign val="superscript"/>
        <sz val="10.5"/>
        <color indexed="63"/>
        <rFont val="Times New Roman"/>
        <family val="1"/>
      </rPr>
      <t>0</t>
    </r>
    <r>
      <rPr>
        <sz val="10.5"/>
        <color indexed="63"/>
        <rFont val="Times New Roman"/>
        <family val="1"/>
      </rPr>
      <t xml:space="preserve">  fi 90 (3") </t>
    </r>
  </si>
  <si>
    <r>
      <t xml:space="preserve"> Co 45</t>
    </r>
    <r>
      <rPr>
        <vertAlign val="superscript"/>
        <sz val="10.5"/>
        <color indexed="63"/>
        <rFont val="Times New Roman"/>
        <family val="1"/>
      </rPr>
      <t>0</t>
    </r>
    <r>
      <rPr>
        <sz val="10.5"/>
        <color indexed="63"/>
        <rFont val="Times New Roman"/>
        <family val="1"/>
      </rPr>
      <t xml:space="preserve"> fi 114 (4")</t>
    </r>
  </si>
  <si>
    <r>
      <t xml:space="preserve"> Co 45</t>
    </r>
    <r>
      <rPr>
        <vertAlign val="superscript"/>
        <sz val="10.5"/>
        <color indexed="63"/>
        <rFont val="Times New Roman"/>
        <family val="1"/>
      </rPr>
      <t>0</t>
    </r>
    <r>
      <rPr>
        <sz val="10.5"/>
        <color indexed="63"/>
        <rFont val="Times New Roman"/>
        <family val="1"/>
      </rPr>
      <t xml:space="preserve"> fi 168 (6")</t>
    </r>
  </si>
  <si>
    <r>
      <t xml:space="preserve"> Co 45</t>
    </r>
    <r>
      <rPr>
        <vertAlign val="superscript"/>
        <sz val="10.5"/>
        <color indexed="63"/>
        <rFont val="Times New Roman"/>
        <family val="1"/>
      </rPr>
      <t>0</t>
    </r>
    <r>
      <rPr>
        <sz val="10.5"/>
        <color indexed="63"/>
        <rFont val="Times New Roman"/>
        <family val="1"/>
      </rPr>
      <t xml:space="preserve">  fi 50</t>
    </r>
  </si>
  <si>
    <r>
      <t xml:space="preserve"> Co 45</t>
    </r>
    <r>
      <rPr>
        <vertAlign val="superscript"/>
        <sz val="10.5"/>
        <color indexed="63"/>
        <rFont val="Times New Roman"/>
        <family val="1"/>
      </rPr>
      <t>0</t>
    </r>
    <r>
      <rPr>
        <sz val="10.5"/>
        <color indexed="63"/>
        <rFont val="Times New Roman"/>
        <family val="1"/>
      </rPr>
      <t xml:space="preserve">  fi 63 </t>
    </r>
  </si>
  <si>
    <r>
      <t xml:space="preserve"> Co 45</t>
    </r>
    <r>
      <rPr>
        <vertAlign val="superscript"/>
        <sz val="10.5"/>
        <color indexed="63"/>
        <rFont val="Times New Roman"/>
        <family val="1"/>
      </rPr>
      <t>0</t>
    </r>
    <r>
      <rPr>
        <sz val="10.5"/>
        <color indexed="63"/>
        <rFont val="Times New Roman"/>
        <family val="1"/>
      </rPr>
      <t xml:space="preserve">  fi 75</t>
    </r>
  </si>
  <si>
    <r>
      <t xml:space="preserve"> Co 45</t>
    </r>
    <r>
      <rPr>
        <vertAlign val="superscript"/>
        <sz val="10.5"/>
        <color indexed="63"/>
        <rFont val="Times New Roman"/>
        <family val="1"/>
      </rPr>
      <t>0</t>
    </r>
    <r>
      <rPr>
        <sz val="10.5"/>
        <color indexed="63"/>
        <rFont val="Times New Roman"/>
        <family val="1"/>
      </rPr>
      <t xml:space="preserve">  fi 90 </t>
    </r>
  </si>
  <si>
    <r>
      <t xml:space="preserve"> Co 45</t>
    </r>
    <r>
      <rPr>
        <vertAlign val="superscript"/>
        <sz val="10.5"/>
        <color indexed="63"/>
        <rFont val="Times New Roman"/>
        <family val="1"/>
      </rPr>
      <t>0</t>
    </r>
    <r>
      <rPr>
        <sz val="10.5"/>
        <color indexed="63"/>
        <rFont val="Times New Roman"/>
        <family val="1"/>
      </rPr>
      <t xml:space="preserve"> fi 110 </t>
    </r>
  </si>
  <si>
    <r>
      <t xml:space="preserve"> Co 45</t>
    </r>
    <r>
      <rPr>
        <vertAlign val="superscript"/>
        <sz val="10.5"/>
        <color indexed="63"/>
        <rFont val="Times New Roman"/>
        <family val="1"/>
      </rPr>
      <t>0</t>
    </r>
    <r>
      <rPr>
        <sz val="10.5"/>
        <color indexed="63"/>
        <rFont val="Times New Roman"/>
        <family val="1"/>
      </rPr>
      <t xml:space="preserve"> fi 140 </t>
    </r>
  </si>
  <si>
    <r>
      <t xml:space="preserve"> Co 45</t>
    </r>
    <r>
      <rPr>
        <vertAlign val="superscript"/>
        <sz val="10.5"/>
        <color indexed="63"/>
        <rFont val="Times New Roman"/>
        <family val="1"/>
      </rPr>
      <t>0</t>
    </r>
    <r>
      <rPr>
        <sz val="10.5"/>
        <color indexed="63"/>
        <rFont val="Times New Roman"/>
        <family val="1"/>
      </rPr>
      <t xml:space="preserve"> fi 160 </t>
    </r>
  </si>
  <si>
    <r>
      <t xml:space="preserve"> Co 45</t>
    </r>
    <r>
      <rPr>
        <vertAlign val="superscript"/>
        <sz val="10.5"/>
        <color indexed="63"/>
        <rFont val="Times New Roman"/>
        <family val="1"/>
      </rPr>
      <t>0</t>
    </r>
    <r>
      <rPr>
        <sz val="10.5"/>
        <color indexed="63"/>
        <rFont val="Times New Roman"/>
        <family val="1"/>
      </rPr>
      <t xml:space="preserve"> fi 200</t>
    </r>
  </si>
  <si>
    <r>
      <t xml:space="preserve"> Co 45</t>
    </r>
    <r>
      <rPr>
        <vertAlign val="superscript"/>
        <sz val="10.5"/>
        <color indexed="63"/>
        <rFont val="Times New Roman"/>
        <family val="1"/>
      </rPr>
      <t>0</t>
    </r>
    <r>
      <rPr>
        <sz val="10.5"/>
        <color indexed="63"/>
        <rFont val="Times New Roman"/>
        <family val="1"/>
      </rPr>
      <t xml:space="preserve"> 21 dày</t>
    </r>
  </si>
  <si>
    <r>
      <t xml:space="preserve"> Co 45</t>
    </r>
    <r>
      <rPr>
        <vertAlign val="superscript"/>
        <sz val="10.5"/>
        <color indexed="63"/>
        <rFont val="Times New Roman"/>
        <family val="1"/>
      </rPr>
      <t>0</t>
    </r>
    <r>
      <rPr>
        <sz val="10.5"/>
        <color indexed="63"/>
        <rFont val="Times New Roman"/>
        <family val="1"/>
      </rPr>
      <t xml:space="preserve"> 27 dày</t>
    </r>
  </si>
  <si>
    <r>
      <t xml:space="preserve"> Co 45</t>
    </r>
    <r>
      <rPr>
        <vertAlign val="superscript"/>
        <sz val="10.5"/>
        <color indexed="63"/>
        <rFont val="Times New Roman"/>
        <family val="1"/>
      </rPr>
      <t>0</t>
    </r>
    <r>
      <rPr>
        <sz val="10.5"/>
        <color indexed="63"/>
        <rFont val="Times New Roman"/>
        <family val="1"/>
      </rPr>
      <t xml:space="preserve"> 34 dày</t>
    </r>
  </si>
  <si>
    <r>
      <t xml:space="preserve"> Co 45</t>
    </r>
    <r>
      <rPr>
        <vertAlign val="superscript"/>
        <sz val="10.5"/>
        <color indexed="63"/>
        <rFont val="Times New Roman"/>
        <family val="1"/>
      </rPr>
      <t>0</t>
    </r>
    <r>
      <rPr>
        <sz val="10.5"/>
        <color indexed="63"/>
        <rFont val="Times New Roman"/>
        <family val="1"/>
      </rPr>
      <t xml:space="preserve"> 42 dày</t>
    </r>
  </si>
  <si>
    <r>
      <t xml:space="preserve"> Co 45</t>
    </r>
    <r>
      <rPr>
        <vertAlign val="superscript"/>
        <sz val="10.5"/>
        <color indexed="63"/>
        <rFont val="Times New Roman"/>
        <family val="1"/>
      </rPr>
      <t>0</t>
    </r>
    <r>
      <rPr>
        <sz val="10.5"/>
        <color indexed="63"/>
        <rFont val="Times New Roman"/>
        <family val="1"/>
      </rPr>
      <t xml:space="preserve"> 49 dày</t>
    </r>
  </si>
  <si>
    <r>
      <t xml:space="preserve"> Co 45</t>
    </r>
    <r>
      <rPr>
        <vertAlign val="superscript"/>
        <sz val="10.5"/>
        <color indexed="63"/>
        <rFont val="Times New Roman"/>
        <family val="1"/>
      </rPr>
      <t>0</t>
    </r>
    <r>
      <rPr>
        <sz val="10.5"/>
        <color indexed="63"/>
        <rFont val="Times New Roman"/>
        <family val="1"/>
      </rPr>
      <t xml:space="preserve"> 60 dày</t>
    </r>
  </si>
  <si>
    <r>
      <t xml:space="preserve"> Co 45</t>
    </r>
    <r>
      <rPr>
        <vertAlign val="superscript"/>
        <sz val="10.5"/>
        <color indexed="63"/>
        <rFont val="Times New Roman"/>
        <family val="1"/>
      </rPr>
      <t>0</t>
    </r>
    <r>
      <rPr>
        <sz val="10.5"/>
        <color indexed="63"/>
        <rFont val="Times New Roman"/>
        <family val="1"/>
      </rPr>
      <t xml:space="preserve"> 75 TC</t>
    </r>
  </si>
  <si>
    <r>
      <t xml:space="preserve"> Co 45</t>
    </r>
    <r>
      <rPr>
        <vertAlign val="superscript"/>
        <sz val="10.5"/>
        <color indexed="63"/>
        <rFont val="Times New Roman"/>
        <family val="1"/>
      </rPr>
      <t>0</t>
    </r>
    <r>
      <rPr>
        <sz val="10.5"/>
        <color indexed="63"/>
        <rFont val="Times New Roman"/>
        <family val="1"/>
      </rPr>
      <t xml:space="preserve"> 90 dày</t>
    </r>
  </si>
  <si>
    <r>
      <t xml:space="preserve"> Co 45</t>
    </r>
    <r>
      <rPr>
        <vertAlign val="superscript"/>
        <sz val="10.5"/>
        <color indexed="63"/>
        <rFont val="Times New Roman"/>
        <family val="1"/>
      </rPr>
      <t>0</t>
    </r>
    <r>
      <rPr>
        <sz val="10.5"/>
        <color indexed="63"/>
        <rFont val="Times New Roman"/>
        <family val="1"/>
      </rPr>
      <t xml:space="preserve"> 110 dày</t>
    </r>
  </si>
  <si>
    <r>
      <t xml:space="preserve"> Co 45</t>
    </r>
    <r>
      <rPr>
        <vertAlign val="superscript"/>
        <sz val="10.5"/>
        <color indexed="63"/>
        <rFont val="Times New Roman"/>
        <family val="1"/>
      </rPr>
      <t>0</t>
    </r>
    <r>
      <rPr>
        <sz val="10.5"/>
        <color indexed="63"/>
        <rFont val="Times New Roman"/>
        <family val="1"/>
      </rPr>
      <t xml:space="preserve"> 114 dày</t>
    </r>
  </si>
  <si>
    <r>
      <t xml:space="preserve"> Co 45</t>
    </r>
    <r>
      <rPr>
        <vertAlign val="superscript"/>
        <sz val="10.5"/>
        <color indexed="63"/>
        <rFont val="Times New Roman"/>
        <family val="1"/>
      </rPr>
      <t>0</t>
    </r>
    <r>
      <rPr>
        <sz val="10.5"/>
        <color indexed="63"/>
        <rFont val="Times New Roman"/>
        <family val="1"/>
      </rPr>
      <t xml:space="preserve"> 140 dày</t>
    </r>
  </si>
  <si>
    <r>
      <t xml:space="preserve"> Co 45</t>
    </r>
    <r>
      <rPr>
        <vertAlign val="superscript"/>
        <sz val="10.5"/>
        <color indexed="63"/>
        <rFont val="Times New Roman"/>
        <family val="1"/>
      </rPr>
      <t>0</t>
    </r>
    <r>
      <rPr>
        <sz val="10.5"/>
        <color indexed="63"/>
        <rFont val="Times New Roman"/>
        <family val="1"/>
      </rPr>
      <t xml:space="preserve"> 168  TC</t>
    </r>
  </si>
  <si>
    <t>Ống uPVC Þ  34mm x 2,0mm</t>
  </si>
  <si>
    <t>Ống uPVC Þ 34mm x 2,5mm</t>
  </si>
  <si>
    <t>Ống uPVC Þ 60mm x 2,8mm</t>
  </si>
  <si>
    <t>Ống uPVC Þ 90mm x 3,8mm</t>
  </si>
  <si>
    <t>Ống uPVC Þ 168mm x 4.3mm</t>
  </si>
  <si>
    <t>Ống uPVC Þ 168mm x 7,3mm</t>
  </si>
  <si>
    <t>Ống uPVC Þ 220mm x6,6mm</t>
  </si>
  <si>
    <r>
      <t xml:space="preserve"> Nối thẳng </t>
    </r>
    <r>
      <rPr>
        <sz val="10.5"/>
        <color indexed="63"/>
        <rFont val="VNI-Times"/>
      </rPr>
      <t>Þ</t>
    </r>
    <r>
      <rPr>
        <sz val="10.5"/>
        <color indexed="63"/>
        <rFont val="Times New Roman"/>
        <family val="1"/>
      </rPr>
      <t xml:space="preserve">  21 D</t>
    </r>
  </si>
  <si>
    <r>
      <t xml:space="preserve"> Nối thẳng </t>
    </r>
    <r>
      <rPr>
        <sz val="10.5"/>
        <color indexed="63"/>
        <rFont val="VNI-Times"/>
      </rPr>
      <t>Þ</t>
    </r>
    <r>
      <rPr>
        <sz val="10.5"/>
        <color indexed="63"/>
        <rFont val="Times New Roman"/>
        <family val="1"/>
      </rPr>
      <t xml:space="preserve">  27 D</t>
    </r>
  </si>
  <si>
    <r>
      <t xml:space="preserve"> Nối thẳng </t>
    </r>
    <r>
      <rPr>
        <sz val="10.5"/>
        <color indexed="63"/>
        <rFont val="VNI-Times"/>
      </rPr>
      <t>Þ</t>
    </r>
    <r>
      <rPr>
        <sz val="10.5"/>
        <color indexed="63"/>
        <rFont val="Times New Roman"/>
        <family val="1"/>
      </rPr>
      <t xml:space="preserve">  34 D</t>
    </r>
  </si>
  <si>
    <r>
      <t xml:space="preserve"> Nối thẳng </t>
    </r>
    <r>
      <rPr>
        <sz val="10.5"/>
        <color indexed="63"/>
        <rFont val="VNI-Times"/>
      </rPr>
      <t>Þ</t>
    </r>
    <r>
      <rPr>
        <sz val="10.5"/>
        <color indexed="63"/>
        <rFont val="Times New Roman"/>
        <family val="1"/>
      </rPr>
      <t xml:space="preserve">  42 D</t>
    </r>
  </si>
  <si>
    <r>
      <t xml:space="preserve"> Nối thẳng </t>
    </r>
    <r>
      <rPr>
        <sz val="10.5"/>
        <color indexed="63"/>
        <rFont val="VNI-Times"/>
      </rPr>
      <t>Þ</t>
    </r>
    <r>
      <rPr>
        <sz val="10.5"/>
        <color indexed="63"/>
        <rFont val="Times New Roman"/>
        <family val="1"/>
      </rPr>
      <t xml:space="preserve">  60 D</t>
    </r>
  </si>
  <si>
    <r>
      <t xml:space="preserve"> Nối thẳng </t>
    </r>
    <r>
      <rPr>
        <sz val="10.5"/>
        <color indexed="63"/>
        <rFont val="VNI-Times"/>
      </rPr>
      <t>Þ</t>
    </r>
    <r>
      <rPr>
        <sz val="10.5"/>
        <color indexed="63"/>
        <rFont val="Times New Roman"/>
        <family val="1"/>
      </rPr>
      <t xml:space="preserve">  90 D</t>
    </r>
  </si>
  <si>
    <r>
      <t xml:space="preserve"> Nối thẳng </t>
    </r>
    <r>
      <rPr>
        <sz val="10.5"/>
        <color indexed="63"/>
        <rFont val="VNI-Times"/>
      </rPr>
      <t>Þ</t>
    </r>
    <r>
      <rPr>
        <sz val="10.5"/>
        <color indexed="63"/>
        <rFont val="Times New Roman"/>
        <family val="1"/>
      </rPr>
      <t xml:space="preserve">  114 M</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</si>
  <si>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21 D</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</si>
  <si>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27 D</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</si>
  <si>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34 D</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</si>
  <si>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42 D</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</si>
  <si>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49 D</t>
    </r>
  </si>
  <si>
    <r>
      <t xml:space="preserve"> Co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60 D</t>
    </r>
  </si>
  <si>
    <r>
      <t xml:space="preserve"> Co 45</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90 M</t>
    </r>
  </si>
  <si>
    <r>
      <t xml:space="preserve"> Co 45</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90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</si>
  <si>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21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</si>
  <si>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27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</si>
  <si>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34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</si>
  <si>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42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</si>
  <si>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49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</si>
  <si>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60 D</t>
    </r>
  </si>
  <si>
    <r>
      <t>T 90</t>
    </r>
    <r>
      <rPr>
        <vertAlign val="superscript"/>
        <sz val="10.5"/>
        <color indexed="63"/>
        <rFont val="Times New Roman"/>
        <family val="1"/>
      </rPr>
      <t>0</t>
    </r>
    <r>
      <rPr>
        <sz val="10.5"/>
        <color indexed="63"/>
        <rFont val="Times New Roman"/>
        <family val="1"/>
      </rPr>
      <t xml:space="preserve"> </t>
    </r>
    <r>
      <rPr>
        <sz val="10.5"/>
        <color indexed="63"/>
        <rFont val="VNI-Times"/>
      </rPr>
      <t>Þ</t>
    </r>
    <r>
      <rPr>
        <sz val="10.5"/>
        <color indexed="63"/>
        <rFont val="Times New Roman"/>
        <family val="1"/>
      </rPr>
      <t xml:space="preserve"> 90 D</t>
    </r>
  </si>
  <si>
    <r>
      <t>đ/m</t>
    </r>
    <r>
      <rPr>
        <vertAlign val="superscript"/>
        <sz val="10.5"/>
        <color indexed="63"/>
        <rFont val="Times New Roman"/>
        <family val="1"/>
      </rPr>
      <t>3</t>
    </r>
    <r>
      <rPr>
        <sz val="11"/>
        <rFont val="VNI-Times"/>
      </rPr>
      <t/>
    </r>
  </si>
  <si>
    <r>
      <t>đ/m</t>
    </r>
    <r>
      <rPr>
        <vertAlign val="superscript"/>
        <sz val="10"/>
        <color indexed="63"/>
        <rFont val="Times New Roman"/>
        <family val="1"/>
      </rPr>
      <t>2</t>
    </r>
  </si>
  <si>
    <r>
      <t>đ/m</t>
    </r>
    <r>
      <rPr>
        <vertAlign val="superscript"/>
        <sz val="10"/>
        <color indexed="63"/>
        <rFont val="Times New Roman"/>
        <family val="1"/>
      </rPr>
      <t>3</t>
    </r>
    <r>
      <rPr>
        <sz val="11"/>
        <rFont val="VNI-Times"/>
      </rPr>
      <t/>
    </r>
  </si>
  <si>
    <r>
      <t>đ/m</t>
    </r>
    <r>
      <rPr>
        <vertAlign val="superscript"/>
        <sz val="10"/>
        <color indexed="63"/>
        <rFont val="Times New Roman"/>
        <family val="1"/>
      </rPr>
      <t>4</t>
    </r>
    <r>
      <rPr>
        <sz val="11"/>
        <rFont val="VNI-Times"/>
      </rPr>
      <t/>
    </r>
  </si>
  <si>
    <r>
      <t>Bản quá độ 3</t>
    </r>
    <r>
      <rPr>
        <vertAlign val="superscript"/>
        <sz val="10"/>
        <color indexed="63"/>
        <rFont val="Times New Roman"/>
        <family val="1"/>
      </rPr>
      <t>m</t>
    </r>
    <r>
      <rPr>
        <sz val="10"/>
        <color indexed="63"/>
        <rFont val="Times New Roman"/>
        <family val="1"/>
      </rPr>
      <t xml:space="preserve"> x 4</t>
    </r>
    <r>
      <rPr>
        <vertAlign val="superscript"/>
        <sz val="10"/>
        <color indexed="63"/>
        <rFont val="Times New Roman"/>
        <family val="1"/>
      </rPr>
      <t xml:space="preserve">m </t>
    </r>
    <r>
      <rPr>
        <sz val="10"/>
        <color indexed="63"/>
        <rFont val="Times New Roman"/>
        <family val="1"/>
      </rPr>
      <t>(mạ kẽm bề mặt)</t>
    </r>
  </si>
  <si>
    <r>
      <t>Bản quá độ 3</t>
    </r>
    <r>
      <rPr>
        <vertAlign val="superscript"/>
        <sz val="10"/>
        <color indexed="63"/>
        <rFont val="Times New Roman"/>
        <family val="1"/>
      </rPr>
      <t>m</t>
    </r>
    <r>
      <rPr>
        <sz val="10"/>
        <color indexed="63"/>
        <rFont val="Times New Roman"/>
        <family val="1"/>
      </rPr>
      <t xml:space="preserve"> x 3</t>
    </r>
    <r>
      <rPr>
        <vertAlign val="superscript"/>
        <sz val="10"/>
        <color indexed="63"/>
        <rFont val="Times New Roman"/>
        <family val="1"/>
      </rPr>
      <t>m</t>
    </r>
    <r>
      <rPr>
        <sz val="10"/>
        <color indexed="63"/>
        <rFont val="Times New Roman"/>
        <family val="1"/>
      </rPr>
      <t xml:space="preserve"> (sơn bề mặt)</t>
    </r>
  </si>
  <si>
    <r>
      <t>Bản quá độ 3</t>
    </r>
    <r>
      <rPr>
        <vertAlign val="superscript"/>
        <sz val="10"/>
        <color indexed="63"/>
        <rFont val="Times New Roman"/>
        <family val="1"/>
      </rPr>
      <t>m</t>
    </r>
    <r>
      <rPr>
        <sz val="10"/>
        <color indexed="63"/>
        <rFont val="Times New Roman"/>
        <family val="1"/>
      </rPr>
      <t xml:space="preserve"> x 3</t>
    </r>
    <r>
      <rPr>
        <vertAlign val="superscript"/>
        <sz val="10"/>
        <color indexed="63"/>
        <rFont val="Times New Roman"/>
        <family val="1"/>
      </rPr>
      <t xml:space="preserve">m </t>
    </r>
    <r>
      <rPr>
        <sz val="10"/>
        <color indexed="63"/>
        <rFont val="Times New Roman"/>
        <family val="1"/>
      </rPr>
      <t>(mạ kẽm bề mặt)</t>
    </r>
  </si>
  <si>
    <r>
      <t xml:space="preserve">NHIÊN LIỆU : </t>
    </r>
    <r>
      <rPr>
        <sz val="10.5"/>
        <color indexed="63"/>
        <rFont val="Times New Roman"/>
        <family val="1"/>
      </rPr>
      <t>Áp dụng kể từ 20 giờ 00 ngày 28/6/2013 trên địa bàn tỉnh An Giang.</t>
    </r>
  </si>
  <si>
    <t xml:space="preserve">                         (Đã ký)</t>
  </si>
  <si>
    <t>Công bố An Giang T7/2013, stt 40</t>
  </si>
  <si>
    <t>Công bố An Giang T7/2013, stt 731</t>
  </si>
  <si>
    <t>Công bố An Giang T7/2013, stt 718</t>
  </si>
  <si>
    <t>Công bố An Giang T7/2013, stt 720</t>
  </si>
  <si>
    <t>Công bố An Giang T7/2013, stt 733</t>
  </si>
  <si>
    <t>Công bố An Giang T7/2013, stt 1307</t>
  </si>
  <si>
    <t>Công bố An Giang T7/2013, stt 1314</t>
  </si>
  <si>
    <t>Công bố An Giang T7/2013, stt 1309, 2.3kg/m2 (lưới 3mm)</t>
  </si>
  <si>
    <t>Công bố An Giang T7/2013, stt 1302</t>
  </si>
  <si>
    <t>Công bố An Giang T7/2013, stt 778</t>
  </si>
  <si>
    <t>Công bố An Giang T7/2013, stt 563</t>
  </si>
  <si>
    <t>Công bố An Giang T7/2013, stt 577</t>
  </si>
  <si>
    <t>Công bố An Giang T7/2013, stt 370</t>
  </si>
  <si>
    <t>Công bố An Giang T7/2013, stt 142</t>
  </si>
  <si>
    <t>Công bố An Giang T7/2013, stt 114</t>
  </si>
  <si>
    <t>Công bố An Giang T7/2013, stt 1308</t>
  </si>
  <si>
    <t>Công bố An Giang T7/2013, stt 58</t>
  </si>
  <si>
    <t>Công bố An Giang T7/2013, stt 51</t>
  </si>
  <si>
    <t>Đắp cát nền đường hạt trung K=0.98</t>
  </si>
  <si>
    <t>Embankment backfill by medium sand, K=0.98</t>
  </si>
  <si>
    <t>Đắp cát hạt trung K=0.95</t>
  </si>
  <si>
    <t>An Giang T7-2013, number 731</t>
  </si>
  <si>
    <t>An Giang T7-2013, number 718</t>
  </si>
  <si>
    <t>An Giang T7-2013, number 720</t>
  </si>
  <si>
    <t>An Giang T7-2013, number 733</t>
  </si>
  <si>
    <t>An Giang T7-2013, number 1308</t>
  </si>
  <si>
    <t>An Giang T7-2013, number 1307</t>
  </si>
  <si>
    <t>An Giang T7-2013, number 1314</t>
  </si>
  <si>
    <t>An Giang T7-2013, number 1309, 2.3kg/m2 (lưới 3mm)</t>
  </si>
  <si>
    <t>An Giang T7-2013, number 58</t>
  </si>
  <si>
    <t>An Giang T7-2013, number 51</t>
  </si>
  <si>
    <t>An Giang T7-2013, number 1302</t>
  </si>
  <si>
    <t>An Giang T7-2013, number 778</t>
  </si>
  <si>
    <t>An Giang T7-2013, number 40</t>
  </si>
  <si>
    <t>An Giang T7-2013, number 563</t>
  </si>
  <si>
    <t>An Giang T7-2013, number 577</t>
  </si>
  <si>
    <t>An Giang T7-2013, number 370</t>
  </si>
  <si>
    <t>An Giang T7-2013, number 142</t>
  </si>
  <si>
    <t>An Giang T7-2013, number 114</t>
  </si>
  <si>
    <t>BẢNG TÍNH ĐƠN GIÁ NHÂN CÔNG</t>
  </si>
  <si>
    <t>KHU VỰC TỈNH NINH THUẬN</t>
  </si>
  <si>
    <t>- Căn cứ Nghị định số 205/2004/NĐ-CP ngày 14/12/2004 của Chính phủ quy định bảng lương, thang lương.</t>
  </si>
  <si>
    <t xml:space="preserve">- Thông tư 05/2005/TT-BLĐTBXH ngày 05/01/2005 hướng dẫn chế độ phụ cấp lưu động trong các công ty nhà nước theo Nghị định số 205/2004/NĐ-CP do Bộ Lao </t>
  </si>
  <si>
    <t>động thương binh và xã hội ban hành</t>
  </si>
  <si>
    <t>- Nghị định 66/2013/NĐ-CP ngày   27/06/2012 của Chính phủ điều chỉnh mức lương tối thiểu chung từ 1050,000 đồng lên 1,150,000 đồng.</t>
  </si>
  <si>
    <t xml:space="preserve"> * Lương tối thiểu</t>
  </si>
  <si>
    <t xml:space="preserve"> * Lương tối thiểu chung</t>
  </si>
  <si>
    <t>NĐ 66/2013/NĐ-CP</t>
  </si>
  <si>
    <t xml:space="preserve"> * Các khoản phụ cấp</t>
  </si>
  <si>
    <t xml:space="preserve"> - Phụ cấp tính theo lương tối thiểu</t>
  </si>
  <si>
    <t>(f1)</t>
  </si>
  <si>
    <t xml:space="preserve"> + Phụ cấp khu vực</t>
  </si>
  <si>
    <t xml:space="preserve"> + Phụ cấp lưu động</t>
  </si>
  <si>
    <t>lương tối thiểu</t>
  </si>
  <si>
    <t>- Thông tư 05/2005/TT-BLĐTBXH ngày 05/01/2005 hướng dẫn</t>
  </si>
  <si>
    <t xml:space="preserve"> - Phụ cấp tính theo lương cấp bậc</t>
  </si>
  <si>
    <t>(f2)</t>
  </si>
  <si>
    <t xml:space="preserve"> + Phụ cấp không ổn định sản xuất</t>
  </si>
  <si>
    <t>lương cơ bản</t>
  </si>
  <si>
    <t xml:space="preserve"> + Phụ cấp thu hút</t>
  </si>
  <si>
    <t xml:space="preserve"> + Lương phụ</t>
  </si>
  <si>
    <t xml:space="preserve"> + Chi phí khoán cho người lao động</t>
  </si>
  <si>
    <t xml:space="preserve"> * Ngày công một tháng</t>
  </si>
  <si>
    <t xml:space="preserve"> * CÁCH TÍNH PHỤ CẤP :</t>
  </si>
  <si>
    <t xml:space="preserve"> - Nhóm 1 : [4]= (f1 + (f2*[1]))*LTT</t>
  </si>
  <si>
    <t xml:space="preserve"> - Nhóm 2 : [5]= (f1 + (f2*[2]))*LTT</t>
  </si>
  <si>
    <t xml:space="preserve"> - Nhóm 3 : [6]= (f1 + (f2*[3]))*LTT</t>
  </si>
  <si>
    <t>BẢNG LƯƠNG A1 - NGÀNH 8 NGHỊ ĐỊNH 205/2004/NĐ-CP NGÀY 14/12/2004</t>
  </si>
  <si>
    <t>CẤP BẬC</t>
  </si>
  <si>
    <t>HỆ SỐ LƯƠNG TỐI THIỂU</t>
  </si>
  <si>
    <t>PHỤ CẤP</t>
  </si>
  <si>
    <t>LƯƠNG THÁNG</t>
  </si>
  <si>
    <t>LƯƠNG NGÀY</t>
  </si>
  <si>
    <t>Nhóm 1</t>
  </si>
  <si>
    <t>Nhóm 2</t>
  </si>
  <si>
    <t>Nhóm 3</t>
  </si>
  <si>
    <t>[1]</t>
  </si>
  <si>
    <t>[2]</t>
  </si>
  <si>
    <t>[3]</t>
  </si>
  <si>
    <t>[4]</t>
  </si>
  <si>
    <t>[5]</t>
  </si>
  <si>
    <t>[6]</t>
  </si>
  <si>
    <t>[7]=[1]* LTT + [4]</t>
  </si>
  <si>
    <t>[8]=[2]*LTT+[5]</t>
  </si>
  <si>
    <t>[9]=[3]*LTT+[6]</t>
  </si>
  <si>
    <t>[10] = [7]/26</t>
  </si>
  <si>
    <t>[11] = [8]/26</t>
  </si>
  <si>
    <t>[12] = [9]/26</t>
  </si>
  <si>
    <t xml:space="preserve"> - Nhân công</t>
  </si>
  <si>
    <t>BẢNG LƯƠNG VIÊN CHỨC CHUYÊN MÔN, NGHIỆP VỤ Ở CÁC CÔNG TY NHÀ NƯỚC</t>
  </si>
  <si>
    <t>- Kỹ sư</t>
  </si>
  <si>
    <t>BẢNG LƯƠNG B.12 - NGHỊ ĐỊNH 205/2004/NĐ-CP NGÀY 14/12/2004</t>
  </si>
  <si>
    <t>Bậc 1</t>
  </si>
  <si>
    <t>[11] = [7]/26</t>
  </si>
  <si>
    <t>AB.35110</t>
  </si>
  <si>
    <t xml:space="preserve">Lắp dựng hệ dàn giáo trên cạn </t>
  </si>
  <si>
    <t xml:space="preserve">Install scaffolding system of K19 on land </t>
  </si>
  <si>
    <t>AF.51140</t>
  </si>
  <si>
    <t>Máy xúc 1.25m3</t>
  </si>
  <si>
    <t>AB.42233</t>
  </si>
  <si>
    <t>AB.41433</t>
  </si>
  <si>
    <t>Vận chuyển bằng ôtô tự đổ, 10T, C3, L=4Km</t>
  </si>
  <si>
    <t>Transport by dump truck, 10T, C3, L=4Km</t>
  </si>
  <si>
    <t>Vận chuyển bằng ôtô tự đổ, 10T, C1, L=4Km</t>
  </si>
  <si>
    <t>Transport by dump truck, 10T, C1, L=4Km</t>
  </si>
  <si>
    <t>Transport by dump truck, 10T, C4, L=4Km</t>
  </si>
  <si>
    <t>Vận chuyển bằng ôtô tự đổ, 10T, C4, L=4Km</t>
  </si>
  <si>
    <t>Vận chuyển bằng ôtô tự đổ, 10T, C1, L=15Km</t>
  </si>
  <si>
    <t>Transport by dump truck, 10T, C1, L=15Km</t>
  </si>
  <si>
    <t>AB.42231</t>
  </si>
  <si>
    <t>AB.41431</t>
  </si>
  <si>
    <t>AB.42234</t>
  </si>
  <si>
    <t>AB.41434</t>
  </si>
  <si>
    <t>CQ.16003</t>
  </si>
  <si>
    <t>Nén tĩnh thử tải cọc khoan nhồi</t>
  </si>
  <si>
    <t>Bê tông C15</t>
  </si>
  <si>
    <t>Dầu kích</t>
  </si>
  <si>
    <t xml:space="preserve">  B - Nhân công</t>
  </si>
  <si>
    <t>ca</t>
  </si>
  <si>
    <t xml:space="preserve">  B - Labour </t>
  </si>
  <si>
    <t>Concrete C15</t>
  </si>
  <si>
    <t>Oil</t>
  </si>
  <si>
    <t>Level machine</t>
  </si>
  <si>
    <t>Máy thủy bình</t>
  </si>
  <si>
    <t>DGXD</t>
  </si>
  <si>
    <t>concrete</t>
  </si>
  <si>
    <t>CQ.16003vd</t>
  </si>
  <si>
    <t>Cẩu lắp đối trọng 6 lần lên xuống</t>
  </si>
  <si>
    <t>HS=50%</t>
  </si>
  <si>
    <t>Hoist and install balance 6 times up and down</t>
  </si>
  <si>
    <t>tấn/ ton</t>
  </si>
  <si>
    <t>AB.42431</t>
  </si>
  <si>
    <t>AB.42331</t>
  </si>
  <si>
    <t>Bê tông (đối trọng)</t>
  </si>
  <si>
    <t>Bê tông</t>
  </si>
  <si>
    <t>Concrete</t>
  </si>
  <si>
    <t>Tham khảo VB 1090/VKT.ĐTh</t>
  </si>
  <si>
    <t>Công tác đo, thử PDA cọc D1500</t>
  </si>
  <si>
    <t>Đầu đo gia tốc và biến dạng</t>
  </si>
  <si>
    <t>Mũi khoan bê tông D10</t>
  </si>
  <si>
    <t>Quả búa 10T</t>
  </si>
  <si>
    <t>Cần cẩu bánh hơi 40T</t>
  </si>
  <si>
    <t>Máy PDA và phần mềm Capwap</t>
  </si>
  <si>
    <t>Máy kinh vĩ theo 010</t>
  </si>
  <si>
    <t>quả</t>
  </si>
  <si>
    <t>tham khảo</t>
  </si>
  <si>
    <t>Refer</t>
  </si>
  <si>
    <t>Giá ngày 22/8/2013,=22,460/1.1/0,87</t>
  </si>
  <si>
    <t>Price dated 22/8/2013,=22,460/1.1/0,87</t>
  </si>
  <si>
    <t>Giá ngày 22/8/2013,=24,750/1.1/0,74</t>
  </si>
  <si>
    <t>Price dated 22/8/2013,=24,750/1.1/0,74</t>
  </si>
  <si>
    <t>Giá ngày 22/8/2013,=22,750/1.1/0,87</t>
  </si>
  <si>
    <t>Price dated 22/8/2013,=22,750/1.1/0,87</t>
  </si>
  <si>
    <t>Giá ngày 22/8/2013,=19,180/1.1</t>
  </si>
  <si>
    <t>Price dated 22/8/2013,=19,180/1.1</t>
  </si>
  <si>
    <t>tyre crane 40T</t>
  </si>
  <si>
    <t>Theodolite level 010</t>
  </si>
  <si>
    <t>PDA machine and Capwap software</t>
  </si>
  <si>
    <t>Testing PDA pile D1500</t>
  </si>
  <si>
    <t>test for acceleration and deform</t>
  </si>
  <si>
    <t>Steel bar D&lt;=18</t>
  </si>
  <si>
    <t>Test for acceleration and deform</t>
  </si>
  <si>
    <t>Drilling concrete D10</t>
  </si>
  <si>
    <t>Drop weight 10T</t>
  </si>
  <si>
    <t>quả/each</t>
  </si>
  <si>
    <t>Báo giá nhà sản xuất</t>
  </si>
  <si>
    <t>Giá đúc tại công trường</t>
  </si>
  <si>
    <t>AG.11510</t>
  </si>
  <si>
    <t>Bê tông cống C25 đá 1x2</t>
  </si>
  <si>
    <t>AG.13310</t>
  </si>
  <si>
    <t>Cốt thép D&lt;=10 cống đúc sẵn</t>
  </si>
  <si>
    <r>
      <t>C25 concrete stone 1</t>
    </r>
    <r>
      <rPr>
        <b/>
        <sz val="10"/>
        <rFont val="Calibri"/>
        <family val="2"/>
      </rPr>
      <t>×</t>
    </r>
    <r>
      <rPr>
        <b/>
        <sz val="8.5"/>
        <rFont val="Times New Roman"/>
        <family val="1"/>
      </rPr>
      <t>2</t>
    </r>
  </si>
  <si>
    <t xml:space="preserve">Reinforce D&lt;=10 </t>
  </si>
  <si>
    <t>BẢNG SO SÁNH GIÁ CỐNG</t>
  </si>
  <si>
    <t>Bê tông C42 dầm hộp đúc trên đà giáo trên cạn (K0,K1)</t>
  </si>
  <si>
    <t>Ván khuôn khối đúc trên đà giáo trên cạn (K0,K1)</t>
  </si>
  <si>
    <t>Formwork of girder casted on scaffolding on land (K0, K1)</t>
  </si>
  <si>
    <t>Concrete C42 of box girder casted on scaffolding (land) (K0, K1)</t>
  </si>
  <si>
    <t>Cốt thép D&lt;=18 dầm cầu trên cạn khối K0, K1 (đổ tại chỗ)</t>
  </si>
  <si>
    <t>Cốt thép D&lt;=18 dầm cầu trên cạn khối K17 (đổ tại chỗ)</t>
  </si>
  <si>
    <t>Cốt thép D&gt;18 dầm cầu trên cạn  khối K17 (đổ tại chỗ)</t>
  </si>
  <si>
    <t>Ván khuôn khối đúc trên đà giáo trên cạn (K0, K1)</t>
  </si>
  <si>
    <t>SX hệ dàn nâng hạ thép. Hệ kích căng cáp, KH=2%*5tháng+7%</t>
  </si>
  <si>
    <t>SX hệ dàn nâng hạ thép. Hệ kích căng cáp, KH=2%*3tháng+7%</t>
  </si>
  <si>
    <t>Product truss system, jack system, amor=2%*5months+7%</t>
  </si>
  <si>
    <t>Product truss system, jack system, amor=2%*3months+7%</t>
  </si>
  <si>
    <t>DGCB</t>
  </si>
  <si>
    <t>Sheet pile L=8m, amor=(1.17%*1 months +3.5%)*2 times</t>
  </si>
  <si>
    <t>Sử dụng cọc ván thép L=8m (KHVL=(1.17%/tháng*1 tháng +3.5%/đóng nhổ)*2 lần)</t>
  </si>
  <si>
    <t>Sử dụng cọc ván thép (KHVL=(1.17%/tháng*20 tháng +3.5%/đóng nhổ)</t>
  </si>
  <si>
    <t>Steel pile, amor=1.17%*20 months +3.5%</t>
  </si>
  <si>
    <t>Scaffolding construction abutment (amor main material=2%*1.5month+7%* 2times)</t>
  </si>
  <si>
    <t>Vành đai khung chống (KHVL chính =(2%/tháng*1 tháng +7%*2 lần)</t>
  </si>
  <si>
    <t>Brace (amor main material=2%/month*1 months+7%*2 times)</t>
  </si>
  <si>
    <t>Sử dụng cọc ván thép L&gt;12m (KHVL=(1.17%/tháng * 6 tháng +3.5%/đóng nhổ)</t>
  </si>
  <si>
    <t>Sheet pile L&gt;8m, amor=1.17%*6 months +3.5%</t>
  </si>
  <si>
    <t>Vành đai khung chống trụ P3,P4 (KHVL chính =(2%/tháng*6 tháng +7%)</t>
  </si>
  <si>
    <t>Brace for pier P3, P4 (amor main material=2%/month*6 months+7%)</t>
  </si>
  <si>
    <t>Đà giáo thi công (KHVL chính =(2%/tháng*2 tháng +7%)</t>
  </si>
  <si>
    <t>Scaffolding (amor main material=2%*2 months+7%)</t>
  </si>
  <si>
    <t>Scaffolding constructing abutment/pier on land (amor main material=2%*1.5 months +7%)</t>
  </si>
  <si>
    <t>Sử dụng cọc ván thép L=6m (KHVL=(1.17%/tháng * 1 tháng +3.5%/đóng nhổ)</t>
  </si>
  <si>
    <t>Sheet pile L=6m, amor=1.17%*1 months +3.5%</t>
  </si>
  <si>
    <t>Producing scaffolding K0, K1 (amor=2%/month*2months+7%)</t>
  </si>
  <si>
    <t>Chất tải hệ đà giáo 900 tấn</t>
  </si>
  <si>
    <t>Thép hình làm hệ đà giáo (KH=(2%/tháng*2tháng+7%)</t>
  </si>
  <si>
    <t>Shaped steel of scaffolding (amor=2%/month*2 month+7%)</t>
  </si>
  <si>
    <t>Cọc khoan nhồi trên cạn D1200, L=35m, 2 cọc</t>
  </si>
  <si>
    <t>Liên kết ngang, thanh giằng (KHVL chính=(2%/tháng*20 tháng +7%)</t>
  </si>
  <si>
    <t>Cross - lingking, strut (amor main mater=2%/months*20months+7%)</t>
  </si>
  <si>
    <t>AG.BC.004</t>
  </si>
  <si>
    <t>Bơm cát san lấp mặt bằng cự ly 500 đến &lt;700m</t>
  </si>
  <si>
    <t>Ống PVC D200</t>
  </si>
  <si>
    <t>Máy bơm nước công suất 300CV</t>
  </si>
  <si>
    <t>Máy bơm cát công suất 350CV</t>
  </si>
  <si>
    <t>Phà (đặt máy bơm) công suất 20T</t>
  </si>
  <si>
    <t>Cấp phối chọn lọc K=1</t>
  </si>
  <si>
    <t>Selective aggregate K=1</t>
  </si>
  <si>
    <t>Đắp cát nền đường hạt mịn K=1</t>
  </si>
  <si>
    <t>Embankment backfill by fine sand, K=1</t>
  </si>
  <si>
    <t>Đắp cát nền đường hạt trung K=1</t>
  </si>
  <si>
    <t>Embankment backfill by medium sand, K=1</t>
  </si>
  <si>
    <t>Hệ đà giáo thi công mố (KHVL chính =2%*1.5 tháng +7%* 2 lần)</t>
  </si>
  <si>
    <t>AB.66124vd</t>
  </si>
  <si>
    <t>AB.64124vd</t>
  </si>
  <si>
    <t>Cọc thép hình H250x250</t>
  </si>
  <si>
    <t>Sử dụng cọc thép hình H250x250 (KH=(1.17%/tháng*1 tháng +3.5%/lần đóng nhổ )</t>
  </si>
  <si>
    <t>Sử dụng cọc thép hình H250x250 (KH=(1.17%/tháng*6 tháng +3.5%/lần đóng nhổ )</t>
  </si>
  <si>
    <t>Steel pile H250x250, amor=1.17%*6 months +3.5%</t>
  </si>
  <si>
    <t>Shaped steel H250x250</t>
  </si>
  <si>
    <t>Steel pile H250x250, amor=1.17%*1 months +3.5%</t>
  </si>
  <si>
    <t>74.2kg/m*giá thép hình</t>
  </si>
  <si>
    <t>74.2kg/m*shaped steel cost</t>
  </si>
  <si>
    <t>AB.53131</t>
  </si>
  <si>
    <t>Vận chuyển khối bê tông thử tải</t>
  </si>
  <si>
    <t>Đào đất hố móng trên cạn trong khung vây</t>
  </si>
  <si>
    <t>Antraco</t>
  </si>
  <si>
    <t>Cấp phối đá dăm loại 1</t>
  </si>
  <si>
    <t xml:space="preserve"> - Cấp phối đá dăm loại 1
    Stone aggregate type 1</t>
  </si>
  <si>
    <t xml:space="preserve"> - Cấp phối đá dăm loại 2
    Stone aggregate type 2</t>
  </si>
  <si>
    <t>Stone aggregate 0x4 type 1</t>
  </si>
  <si>
    <t>Stone aggregate 0x4 type 2</t>
  </si>
  <si>
    <t>Sản xuất đà giáo thi công mố + trụ trên cạn (KHVL chính =(2%/tháng*1.5tháng +7%)</t>
  </si>
  <si>
    <t>Khấu hao đà giáo thi công mố A2 (KHVL chính =(2%/tháng*1.5tháng +7%)</t>
  </si>
  <si>
    <t>Khấu hao đà giáo thi công trụ P6 (KHVL chính =(2%/tháng*1.5tháng +7%)</t>
  </si>
  <si>
    <t>Scaffolding constructing abutment A2 (amor main material=2%*1.5 months +7%)</t>
  </si>
  <si>
    <t>Scaffolding constructing pier P6  (amor main material=2%*1.5 months +7%)</t>
  </si>
  <si>
    <t>Vận chuyển bê tông nhựa 1km</t>
  </si>
  <si>
    <t>AD.27212</t>
  </si>
  <si>
    <t>Cốt thép mố trụ cầu trên cạn các loại</t>
  </si>
  <si>
    <t>Sản xuất ống vách cọc khoan nhồi (thu hồi), KH=1.17%*2tháng</t>
  </si>
  <si>
    <t>Sản xuất ống vách cọc khoan nhồi (thu hồi), KH=1.17%*2.5tháng</t>
  </si>
  <si>
    <t>Sản xuất ống vách cọc khoan nhồi (thu hồi), KH=1.17%*3tháng</t>
  </si>
  <si>
    <t>HCM.1121</t>
  </si>
  <si>
    <t>HCM.1132</t>
  </si>
  <si>
    <t>VB</t>
  </si>
  <si>
    <t>Xáo xới và lu lèn đường cũ</t>
  </si>
  <si>
    <t>Công bố An Giang T8/2013, stt 7</t>
  </si>
  <si>
    <t>An Giang T8-2013, number 7</t>
  </si>
  <si>
    <t>Công bố An Giang T8/2013, stt 1</t>
  </si>
  <si>
    <t>An Giang T8-2013, number 1</t>
  </si>
  <si>
    <t>Công bố An Giang T8/2013, stt 2</t>
  </si>
  <si>
    <t>An Giang T8-2013, number 2</t>
  </si>
  <si>
    <t>Công bố An Giang T8/2013, stt 5</t>
  </si>
  <si>
    <t>An Giang T8-2013, number 5</t>
  </si>
  <si>
    <t>Công bố An Giang T8/2013, stt 38</t>
  </si>
  <si>
    <t>An Giang T8-2013, number 38</t>
  </si>
  <si>
    <t>Công bố An Giang T8/2013, stt 39</t>
  </si>
  <si>
    <t>An Giang T8-2013, number 39</t>
  </si>
  <si>
    <t>Công bố An Giang T8/2013, stt 157</t>
  </si>
  <si>
    <t>An Giang T8-2013, number 157</t>
  </si>
  <si>
    <t>Thép Miền Nam, Công bố An Giang T8/2013, stt 178</t>
  </si>
  <si>
    <t>An Giang T8-2013, number 178</t>
  </si>
  <si>
    <t>Thép Miền Nam, Công bố An Giang T8/2013, stt 179</t>
  </si>
  <si>
    <t>An Giang T8-2013, number 179</t>
  </si>
  <si>
    <t>Công bố An Giang T8/2013, stt 213</t>
  </si>
  <si>
    <t>An Giang T8-2013, number 213</t>
  </si>
  <si>
    <t>Công bố An Giang T8/2013, stt 208</t>
  </si>
  <si>
    <t>An Giang T8-2013, number 208</t>
  </si>
  <si>
    <t>Công bố An Giang T8/2013, stt 723</t>
  </si>
  <si>
    <t>An Giang T8-2013, number 723</t>
  </si>
  <si>
    <t>(15000+20000+15000)*73</t>
  </si>
  <si>
    <t>(20000+30000+15000)*73</t>
  </si>
  <si>
    <t>tính cả chi phí bốc lên và dỡ xuống</t>
  </si>
  <si>
    <t>Trụ nhịp chính P2</t>
  </si>
  <si>
    <t>AF.52112</t>
  </si>
  <si>
    <t>AF.52152</t>
  </si>
  <si>
    <t>AF.52122</t>
  </si>
  <si>
    <t>Other materials</t>
  </si>
  <si>
    <t>HS = 0.5</t>
  </si>
  <si>
    <t>Coeffiicent of machine (HS)</t>
  </si>
  <si>
    <t xml:space="preserve">Cost of fuel according to Decision </t>
  </si>
  <si>
    <t>(10)=(9)+(8)*HS</t>
  </si>
  <si>
    <t>1,400,000 đ/tháng</t>
  </si>
  <si>
    <t>Minimum of salary is 1,400,000 VND/month</t>
  </si>
  <si>
    <t>Hệ số điều chỉnh từ mức lương 350,000 đ/tháng lên 1,400,000 đ/tháng là</t>
  </si>
  <si>
    <t>Minimum salary 1,400,000VND/month, is estimated acording to the Decree No.103/2012/NĐ-CP dated December 4th 2012 of Government.</t>
  </si>
  <si>
    <t>3.  Lương tối thiểu = 1,400,000 đ/tháng theo Nghị định 103/2012/NĐ-CP ngày 4/12/2012 của Chính phủ.</t>
  </si>
  <si>
    <t>theo văn bản 3833/UBND-DTXD ngày 22/11/2011 của UBND tỉnh An Giang</t>
  </si>
  <si>
    <t>Hệ số đchỉnh chi phí máy thi công (HS)</t>
  </si>
  <si>
    <t>d - Trực tiếp phí khác</t>
  </si>
  <si>
    <t>e - Cộng (a+b+c+d)</t>
  </si>
  <si>
    <t>f - Chi phí chung</t>
  </si>
  <si>
    <t>g - Thu nhập chịu thuế tính trước</t>
  </si>
  <si>
    <t>h - Chi phí xây dựng trước thuế</t>
  </si>
  <si>
    <t>i - Thuế giá trị gia tăng</t>
  </si>
  <si>
    <t>j - Chi phí xây dựng sau thuế</t>
  </si>
  <si>
    <t>k - Chi phí xây dựng lán trại, nhà tạm</t>
  </si>
  <si>
    <t>n - Cộng đơn giá đề xuất</t>
  </si>
  <si>
    <t>B - Nhân công</t>
  </si>
  <si>
    <t>Pipe PVC D200</t>
  </si>
  <si>
    <t>Sản xuất và vận chuyển vữa bê tông 0,5Km, HS=1.015</t>
  </si>
  <si>
    <t>Sản xuất và vận chuyển vữa bê tông 0,5Km, HS=1.03</t>
  </si>
  <si>
    <t>Sản xuất và vận chuyển vữa bê tông 0,5Km, HS=1.15</t>
  </si>
  <si>
    <t>Cốt thép D&lt;=18 dầm cầu trên cạn (đổ tại chỗ), đúc hẫng</t>
  </si>
  <si>
    <t>Cốt thép D&gt;18 dầm cầu trên cạn (đổ tại chỗ), đúc hẫng</t>
  </si>
  <si>
    <t>Cốt thép D&lt;=18 dầm cầu dưới nước (đổ tại chỗ), đúc hẫng</t>
  </si>
  <si>
    <t>Cốt thép D&gt;18 dầm cầu dưới nước (đổ tại chỗ), đúc hẫng</t>
  </si>
  <si>
    <t>Sản xuất bê tông nhựa C12.5 (Hệ số 12.12)</t>
  </si>
  <si>
    <t>Sản xuất biển báo hiệu đường sông (KL=1.5m*1.5m*12 cái+0.8m*0.8m*8 cái+2 cái *1/2*1.2m*0.7m)</t>
  </si>
  <si>
    <t>Chất tải khử lún hệ 1000 tấn hệ đà giáo khối K17</t>
  </si>
  <si>
    <t>Chất tải khử lún hệ 500 tấn trụ tạm đúc dầm</t>
  </si>
  <si>
    <t>Mố M1</t>
  </si>
  <si>
    <t>Bê tông C35 mố trên cạn</t>
  </si>
  <si>
    <t>BIỂU ĐƠN GIÁ TỔNG HỢP</t>
  </si>
  <si>
    <t>Ván khuôn kim loại mố cầu trên cạn</t>
  </si>
  <si>
    <t>tấn/lần đầu</t>
  </si>
  <si>
    <t>tấn/lần di chuyển tiếp theo</t>
  </si>
  <si>
    <t>Neo ụ chống xô (100x50x88 cm) trụ mố M1</t>
  </si>
  <si>
    <t>ụ</t>
  </si>
  <si>
    <t>Khoan vào cát chặt trên cạn D1200 phản tuần hoàn, L&gt;30m</t>
  </si>
  <si>
    <t>Lắp dựng và nhổ ống vách cọc khoan nhồi trên cạn</t>
  </si>
  <si>
    <t>Hạng mục công việc</t>
  </si>
  <si>
    <t>Cốt thép D&lt;=18mm cọc khoan nhồi</t>
  </si>
  <si>
    <t>Cốt thép D&gt;18mm cọc khoan nhồi</t>
  </si>
  <si>
    <t>I.2</t>
  </si>
  <si>
    <t>Cốt thép D&lt;=18mm</t>
  </si>
  <si>
    <t>Cốt thép D&lt;=10 mm</t>
  </si>
  <si>
    <t>Cốt thép D&lt;=18 mm</t>
  </si>
  <si>
    <t>Cốt thép D&gt;18mm</t>
  </si>
  <si>
    <t>I.3</t>
  </si>
  <si>
    <t>Lắp đặt ống nhựa PVC D100mm</t>
  </si>
  <si>
    <t>I.4</t>
  </si>
  <si>
    <t>Bệ trụ, thân, xà mũ trụ</t>
  </si>
  <si>
    <t>Bê tông C35 trụ trên cạn</t>
  </si>
  <si>
    <t>Bê tông C35 xà mũ trụ trên cạn</t>
  </si>
  <si>
    <t>Cốt thép D&gt;18 mm</t>
  </si>
  <si>
    <t>Neo ụ chống xô (100x50x88 cm) trụ P1</t>
  </si>
  <si>
    <t>Cọc khoan nhồi D1200 trên cạn L=67,15m kể cả phần ngàm vào bệ cọc và cọc thử (gồm 5 cọc)</t>
  </si>
  <si>
    <t>I.5</t>
  </si>
  <si>
    <t>Bê tông C10 lót móng đá 1x2</t>
  </si>
  <si>
    <t>Bê tông C42 mũ trụ</t>
  </si>
  <si>
    <t>Sản xuất và lắp đặt thép ống, thép bản</t>
  </si>
  <si>
    <t>Neo ụ chống xô (100x50x88 cm) trụ P2</t>
  </si>
  <si>
    <t>Cọc khoan nhồi D1500 trên cạn L=65,15m kể cả phần ngàm vào bệ cọc (gồm 8 cọc)</t>
  </si>
  <si>
    <t>Khoan vào cát chặt trên cạn D1500 phản tuần hoàn, L&gt;30m</t>
  </si>
  <si>
    <t>Trụ P1</t>
  </si>
  <si>
    <t>Trụ P3</t>
  </si>
  <si>
    <t>Bê tông C40 bệ trụ</t>
  </si>
  <si>
    <t>Cốt thép D&gt;18 mm bệ trụ</t>
  </si>
  <si>
    <t>Bê tông C40 thân trụ</t>
  </si>
  <si>
    <t>Cốt thép D&lt;=18 mm thân trụ</t>
  </si>
  <si>
    <t>Cọc khoan nhồi D1500 trên cạn L=74,15m kể cả phần ngàm vào bệ cọc và cọc thử (gồm 20 cọc)</t>
  </si>
  <si>
    <t>I.6</t>
  </si>
  <si>
    <t>I.7</t>
  </si>
  <si>
    <t>Thử cọc bằng phương pháp PDA trên cạn</t>
  </si>
  <si>
    <t>Thí nghiệm nén mẫu bê tông (1m/mẫu)</t>
  </si>
  <si>
    <t>Khoan kiểm tra mùn mũi cọc</t>
  </si>
  <si>
    <t>II.1</t>
  </si>
  <si>
    <t xml:space="preserve"> + Cáp dọc cường độ cao đúc hẫng trên cạn</t>
  </si>
  <si>
    <t xml:space="preserve"> + Cáp ngang cường độ cao đúc hẫng trên cạn</t>
  </si>
  <si>
    <t xml:space="preserve"> + Cáp dọc cường độ cao đúc hẫng trên mặt nước</t>
  </si>
  <si>
    <t xml:space="preserve"> + Cáp ngang cường độ cao đúc hẫng trên mặt nước</t>
  </si>
  <si>
    <t xml:space="preserve"> + Cáp dọc cường độ cao đổ tại chỗ</t>
  </si>
  <si>
    <t xml:space="preserve"> + Cáp ngang cường độ cao đúc trên đà giáo</t>
  </si>
  <si>
    <t>II.2</t>
  </si>
  <si>
    <t>Bê tông C42 trên cạn</t>
  </si>
  <si>
    <t>II.4</t>
  </si>
  <si>
    <t>Dầm supper T38,2m</t>
  </si>
  <si>
    <t>Dầm Super-T 38,2m</t>
  </si>
  <si>
    <t>Cung cấp dầm Super-T 38,2m</t>
  </si>
  <si>
    <t>Vận chuyển và lắp đặt dầm Super-T 38,2m</t>
  </si>
  <si>
    <t>Bê tông C35</t>
  </si>
  <si>
    <t>Bê tông C35 dầm ngang</t>
  </si>
  <si>
    <t>Bê tông C35 bản mặt cầu</t>
  </si>
  <si>
    <t>Lắp đặt các tấm nắp dầm</t>
  </si>
  <si>
    <t>Cung cấp và lắp đặt khe co giãn dầm đúc sẵn 10cm</t>
  </si>
  <si>
    <t>Cung cấp và lắp đặt khe co giãn 24cm</t>
  </si>
  <si>
    <t>II.5</t>
  </si>
  <si>
    <t>Lan can, thoát nước, bệ đèn chiếu sáng</t>
  </si>
  <si>
    <t>Cốt thép D&lt;18 mm đúc sẵn</t>
  </si>
  <si>
    <t>Cốt thép D&lt;18mm đúc sẵn</t>
  </si>
  <si>
    <t>Lắp đặt kết cấu bê tông đúc sẵn, trọng lượng &lt;=3tấn</t>
  </si>
  <si>
    <t>mdài</t>
  </si>
  <si>
    <t>Cung cấp và lắp đặt lưới chắn rác bằng gang</t>
  </si>
  <si>
    <t>Bệ đèn chiếu sáng trên cầu</t>
  </si>
  <si>
    <t>Cốt thép D&lt;18 mm</t>
  </si>
  <si>
    <t>Biển báo và đèn tín hiệu thông thuyền (bao gồm cả giá đỡ và móng cột biển báo)</t>
  </si>
  <si>
    <t>Sản xuất và lắp đặt biển báo hiệu đường sông</t>
  </si>
  <si>
    <t>trạm</t>
  </si>
  <si>
    <t>Đóng cọc ván thép trên cạn, L≤12m (phần không ngập đất)</t>
  </si>
  <si>
    <t>Đóng cọc thép hình trên cạn L&gt;10m, đất C1 (không ngập đất)</t>
  </si>
  <si>
    <t>Đóng cọc ván thép trên cạn, L&gt;12m (không ngập đất)</t>
  </si>
  <si>
    <t>Vòng vây chắn đất trụ P2 (mỗi bộ dùng 1 lần, mỗi lần 1 tháng)</t>
  </si>
  <si>
    <t>Vòng vây chắn đất trụ P1 (sử dụng lại từ trụ P2, mỗi bộ dùng 1 lần, mỗi lần 1 tháng)</t>
  </si>
  <si>
    <t>Vòng vây chắn đất mố A1 (sử dụng lại từ trụ P2 mỗi bộ dùng 1 lần, mỗi lần 1 tháng)</t>
  </si>
  <si>
    <t>HẠNG MỤC: PHẦN CẦU, PHẦN TUYẾN, CHIẾU SÁNG (PHÍA BỜ VIỆT NAM)</t>
  </si>
  <si>
    <t>PHẦN TUYẾN</t>
  </si>
  <si>
    <t>Sản xuất bê tông nhựa C19 (Hệ số 16.62)</t>
  </si>
  <si>
    <t>Sản xuất bê tông nhựa C19 (Hệ số 16.62/0,07)</t>
  </si>
  <si>
    <t>Sản xuất và vận chuyển vữa bê tông 1Km, HS=1.015</t>
  </si>
  <si>
    <t>Trải bê tông nhựa hạt trung tăng cường</t>
  </si>
  <si>
    <t>Sản xuất và lắp bó vỉa bê tông C20 đá 1x2</t>
  </si>
  <si>
    <t>Biển báo chữ nhật các loại</t>
  </si>
  <si>
    <t>Biển báo tròn các loại</t>
  </si>
  <si>
    <t>Biển báo tam giác các loại</t>
  </si>
  <si>
    <t>Tôn sóng đường đầu cầu</t>
  </si>
  <si>
    <t>Cốt thép D&lt;18mm</t>
  </si>
  <si>
    <t>bao</t>
  </si>
  <si>
    <t>Cung cấp, vận chuyển và lắp đặt ống cống BTCT D1500 nối joint cao su (H10), L=3m</t>
  </si>
  <si>
    <t>Đào đất nền đường và vận chuyển bỏ đi (L=4km)</t>
  </si>
  <si>
    <t>Đào cấp phối đá dăm và vận chuyển bỏ đi (L=4km)</t>
  </si>
  <si>
    <t>GHI CHÚ</t>
  </si>
  <si>
    <t>Nhóm 1
(Chiếu sáng)</t>
  </si>
  <si>
    <t>Nhóm 2
(Phần tuyến)</t>
  </si>
  <si>
    <t>Nhóm 3
(Phần cầu)</t>
  </si>
  <si>
    <r>
      <t>CP
nhiên liệu
(C</t>
    </r>
    <r>
      <rPr>
        <b/>
        <vertAlign val="subscript"/>
        <sz val="10"/>
        <rFont val="Times New Roman"/>
        <family val="1"/>
      </rPr>
      <t>NL</t>
    </r>
    <r>
      <rPr>
        <b/>
        <sz val="10"/>
        <rFont val="Times New Roman"/>
        <family val="1"/>
      </rPr>
      <t>)</t>
    </r>
  </si>
  <si>
    <r>
      <t>CP
tiền lương
Cost of lab
(C</t>
    </r>
    <r>
      <rPr>
        <b/>
        <vertAlign val="subscript"/>
        <sz val="10"/>
        <rFont val="Times New Roman"/>
        <family val="1"/>
      </rPr>
      <t>TL</t>
    </r>
    <r>
      <rPr>
        <b/>
        <sz val="10"/>
        <rFont val="Times New Roman"/>
        <family val="1"/>
      </rPr>
      <t>)</t>
    </r>
  </si>
  <si>
    <t>BIỂU CHI TIẾT GIÁ ĐỀ XUẤT</t>
  </si>
  <si>
    <t>II.6</t>
  </si>
  <si>
    <t>CS.1.05.1.1</t>
  </si>
  <si>
    <t>Đèn HPS-T 150/100W HESTIA midi IP=66</t>
  </si>
  <si>
    <t>Xe nâng, chiều cao nâng tới 18m</t>
  </si>
  <si>
    <t>C</t>
  </si>
  <si>
    <t>PHẦN CHIẾU SÁNG</t>
  </si>
  <si>
    <t>Phần đèn, trụ đèn</t>
  </si>
  <si>
    <t>Đèn HPS-T 150W NEOS-3 IP=66</t>
  </si>
  <si>
    <t>Đèn HPS-T 400W NEOS-3 IP=66</t>
  </si>
  <si>
    <t>CS.2.08.2</t>
  </si>
  <si>
    <t>Lắp tủ điều khiển chiếu sáng</t>
  </si>
  <si>
    <t>Tủ điện (chiếu sáng)</t>
  </si>
  <si>
    <t>Tủ điều khiển chiếu sáng</t>
  </si>
  <si>
    <t>Vận chuyển, lắp đặt trụ đèn mạ kẽm dài 9m (kể cả lắp cần đèn đơn</t>
  </si>
  <si>
    <t>trụ</t>
  </si>
  <si>
    <t>CS.1.01.2.4</t>
  </si>
  <si>
    <t>Lắp trụ đèn mạ kẽm dài 9m</t>
  </si>
  <si>
    <t>Trụ đèn mạ kẽm dài 9m</t>
  </si>
  <si>
    <t>Bu lông móng</t>
  </si>
  <si>
    <t>CS.1.01.3.3</t>
  </si>
  <si>
    <t>Vận chuyển cột đèn &lt;=9m trong phạm vị thi công</t>
  </si>
  <si>
    <t>Ôtô vận tải thùng 10T</t>
  </si>
  <si>
    <t>CS.1.03.1.1</t>
  </si>
  <si>
    <t>Lắp cần đèn đơn</t>
  </si>
  <si>
    <t>Cần đèn đơn</t>
  </si>
  <si>
    <t>Đánh số trụ</t>
  </si>
  <si>
    <t>10cột</t>
  </si>
  <si>
    <t>Sơn trắng</t>
  </si>
  <si>
    <t>Sơn đen</t>
  </si>
  <si>
    <t>CS.1.01.2.3</t>
  </si>
  <si>
    <t>Trụ tín hiệu giao thông chớp tắt (năng lượng mặt trời)</t>
  </si>
  <si>
    <t>Trụ THGT chớp tắt</t>
  </si>
  <si>
    <t>CS.1.02.1.1</t>
  </si>
  <si>
    <t>Bộ giá lắp đèn pha</t>
  </si>
  <si>
    <t>Bê tông lót móng đá 4x6, C15</t>
  </si>
  <si>
    <t>Móng bêtông MB12</t>
  </si>
  <si>
    <t>móng</t>
  </si>
  <si>
    <t>Móng bê tông lắp tủ điều khiển</t>
  </si>
  <si>
    <t>Móng bê tông trụ tín hiệu giao thông</t>
  </si>
  <si>
    <t>Mương cáp ngầm đi trên nền đất</t>
  </si>
  <si>
    <t>Mương cáp ngầm đi dưới mặt đường</t>
  </si>
  <si>
    <t>Phần cáp và phụ kiện</t>
  </si>
  <si>
    <t>Cáp ngầm hạ thế CXV 2Cx14mm2</t>
  </si>
  <si>
    <t xml:space="preserve">Cáp hạ thế CXV 2Cx2,5mm2 </t>
  </si>
  <si>
    <t>Cáp Cu 11mm2</t>
  </si>
  <si>
    <t>Cáp đi trong trụ đèn CVV 3Cx2.5mm2</t>
  </si>
  <si>
    <t xml:space="preserve"> </t>
  </si>
  <si>
    <t>TỔNG CỘNG</t>
  </si>
  <si>
    <t>BIỂU TỔNG HỢP GIÁ ĐỀ XUẤT</t>
  </si>
  <si>
    <t>LÀM TRÒN</t>
  </si>
  <si>
    <t>ĐẠI DIỆN HỢP PHÁP CỦA NHÀ THẦU</t>
  </si>
  <si>
    <t>Cọc khoan nhồi D1200 trên cạn L=67,15m kể cả phần ngàm vào bệ cọc và cọc thử (gồm 6 cọc)</t>
  </si>
  <si>
    <t>Bê tông C42 dầm hộp đúc trên đà giáo trên cạn (K0, K1)</t>
  </si>
  <si>
    <t>Khối 
lượng</t>
  </si>
  <si>
    <t>Khoan vào cát chặt trên cạn D1200, L&lt;=30m</t>
  </si>
  <si>
    <t>Khoan vào cát chặt trên cạn D1200, L&gt;30m</t>
  </si>
  <si>
    <t>Khoan vào cát chặt trên cạn D1500, L&lt;=30m</t>
  </si>
  <si>
    <t>Khoan vào cát chặt trên cạn D1500, L&gt;30m</t>
  </si>
  <si>
    <t>Cốt thép D&gt;18 dầm cầu trên cạn khối K0, K1(đổ tại chỗ)</t>
  </si>
  <si>
    <t>Đóng cọc ván thép trên cạn, L≤12m (không ngập đất)</t>
  </si>
  <si>
    <t>NỘI DUNG CÔNG VIỆC</t>
  </si>
  <si>
    <t>Bản thép neo 180x180x45 ( KH=2%*9tháng+7%)</t>
  </si>
  <si>
    <t>Đơn giá 
sau thuế</t>
  </si>
  <si>
    <t xml:space="preserve">Đập đầu cọc </t>
  </si>
  <si>
    <t xml:space="preserve">Đơn giá </t>
  </si>
  <si>
    <t>Vận dụng</t>
  </si>
  <si>
    <t>Giá VL tới chân CT</t>
  </si>
  <si>
    <t>Gioăng cao su thoát nước mặt cầu</t>
  </si>
  <si>
    <t xml:space="preserve">Lắp đặt ống siêu âm D60 </t>
  </si>
  <si>
    <t>Lắp đặt ống siêu âm D114</t>
  </si>
  <si>
    <t>Cẩu dầm Super-T lên phương tiện vận chuyển, HS=30%</t>
  </si>
  <si>
    <t>Lắp đặt kết cấu đúc sẵn, trọng lượng &lt;=3tấn</t>
  </si>
  <si>
    <t>Lắp dựng lan can cầu</t>
  </si>
  <si>
    <t>Lắp đặt lưới chắn rác</t>
  </si>
  <si>
    <t>Sản xuất hàng rào lưới thép (khấu hao vật liệu chính 50%)</t>
  </si>
  <si>
    <t>Cung cấp thép hình (khấu hao 50%)</t>
  </si>
  <si>
    <t xml:space="preserve">Cẩu dầm Super-T lên phương tiện vận chuyển, </t>
  </si>
  <si>
    <t>Thiết bị nâng hạ dầm 70T</t>
  </si>
  <si>
    <t>Lắp dựng dầm super T bằng cẩu nâng 70T</t>
  </si>
  <si>
    <t>AG.52531</t>
  </si>
  <si>
    <t>Cẩu 70T</t>
  </si>
  <si>
    <t>Ô tô đầu kéo 360CV</t>
  </si>
  <si>
    <t>Ô tô đầu kéo 36oCV</t>
  </si>
  <si>
    <t>Rơ mooc 40T</t>
  </si>
  <si>
    <t>Móc có điều khiển 40T</t>
  </si>
  <si>
    <t>Máy nén khí, năng suất 600m3/h</t>
  </si>
  <si>
    <t xml:space="preserve">Máy khoan bêtông cầm tay-1,5kW </t>
  </si>
  <si>
    <t>Khối K0, K1</t>
  </si>
  <si>
    <t>CQ.160002</t>
  </si>
  <si>
    <t xml:space="preserve">Chất tải khử lún </t>
  </si>
  <si>
    <t>b - Nhân công</t>
  </si>
  <si>
    <t>Nhân công bậc 4,0/7 - Nhóm 3</t>
  </si>
  <si>
    <t>Kỹ sư bậc 5,0/8</t>
  </si>
  <si>
    <t>c - Máy thi công</t>
  </si>
  <si>
    <t>Cần trục bánh xích 25T</t>
  </si>
  <si>
    <t xml:space="preserve">Đơn vị tính: Đồng </t>
  </si>
  <si>
    <t xml:space="preserve">Giá ca máy 2006
</t>
  </si>
  <si>
    <t xml:space="preserve">Chênh lệch nhiên liệu
</t>
  </si>
  <si>
    <t xml:space="preserve">Giá ca máy hiện tại
</t>
  </si>
  <si>
    <r>
      <t>Định mức tiêu hao nhiên
liệu, năng lượng 1 ca (C</t>
    </r>
    <r>
      <rPr>
        <b/>
        <vertAlign val="subscript"/>
        <sz val="10"/>
        <rFont val="Times New Roman"/>
        <family val="1"/>
      </rPr>
      <t>NL</t>
    </r>
    <r>
      <rPr>
        <b/>
        <sz val="10"/>
        <rFont val="Times New Roman"/>
        <family val="1"/>
      </rPr>
      <t>)</t>
    </r>
  </si>
  <si>
    <t>Khoan vào cát chặt trên cạn D1200 phản tuần hoàn, L&lt;=30m</t>
  </si>
  <si>
    <t>Chi phí phân bổ CKN D1200 trên cạn</t>
  </si>
  <si>
    <t>Chi phí phân bổ thép CKN</t>
  </si>
  <si>
    <t>Sản xuất và lắp dựng thép ống, thép bản</t>
  </si>
  <si>
    <t>Khoan vào cát chặt trên cạn D1500 phản tuần hoàn, L&lt;=30m</t>
  </si>
  <si>
    <t>Chi phí phân bổ khoan cọc nhồi D1500</t>
  </si>
  <si>
    <t>Chi phí phân bổ CKN D1500 trên cạn</t>
  </si>
  <si>
    <t>Cung cấp và lắp đặt gối cố định 4000T (trụ P3)</t>
  </si>
  <si>
    <t>Cung cấp và lắp đặt di động song hướng 900T (trụ P2)</t>
  </si>
  <si>
    <t>Cung cấp và lắp đặt gối di động đơn hướng 900T (trụ P2)</t>
  </si>
  <si>
    <t>Cung cấp và lắp đặt gối di động đơn hướng 4000T (P3)</t>
  </si>
  <si>
    <t>in lại đoạn chiết tính</t>
  </si>
  <si>
    <t>Cung cấp và lắp đặt gối cao su dầm Super-T 38,2m</t>
  </si>
  <si>
    <t>Sản xuất và lắp đặt lan can mạ kẽm (kể cả cấu kiện kèm theo)</t>
  </si>
  <si>
    <t>Sử dụng cọc ván thép</t>
  </si>
  <si>
    <t>Liên kết ngang, thanh giằng</t>
  </si>
  <si>
    <t>Lắp dựng, tháo dỡ hệ dàn giáo trên cạn</t>
  </si>
  <si>
    <t>Đóng cọc ván thép trên cạn, L≤12m</t>
  </si>
  <si>
    <t>Đóng cọc thép hình trên cạn L&lt;10m (ngập đất)</t>
  </si>
  <si>
    <t>Đóng cọc thép hình trên cạn L&lt;10m ( không ngập đất)</t>
  </si>
  <si>
    <t>Đóng cọc thép hình trên cạn L&lt;10m, (không ngập đất)</t>
  </si>
  <si>
    <t>Sản xuất đà giáo K0, K1</t>
  </si>
  <si>
    <t>Lắp dựng, tháo dỡ hệ dàn giáo dưới nước</t>
  </si>
  <si>
    <t>Thép hình làm hệ đà giáo</t>
  </si>
  <si>
    <t>Neo ụ chống xô (100x50x88 cm</t>
  </si>
  <si>
    <t>Đóng cọc thép hình trên cạn L&lt;10m (không ngập đất)</t>
  </si>
  <si>
    <t>Chi phí phân bổ đà giáo mố A1, trụ P1 và P2</t>
  </si>
  <si>
    <t>Chi phí phân bổ đà giáo thi công mố A1</t>
  </si>
  <si>
    <t>Bê tông C35 mố A1 trên cạn</t>
  </si>
  <si>
    <t>Bê tông C35 trụ P1 trên cạn</t>
  </si>
  <si>
    <t>Bê tông C35 trụ P2 trên cạn</t>
  </si>
  <si>
    <t>Sản xuất ống vách thép thu hồi</t>
  </si>
  <si>
    <t>Chi phí phân bổ CKN D1200</t>
  </si>
  <si>
    <t>Chi phí phân bổ đà giáo thi công trụ P1</t>
  </si>
  <si>
    <t>Chi phí phân bổ đà giáo thi công trụ P2</t>
  </si>
  <si>
    <t>Chi phí phân bổ liên kế tạm trụ P3</t>
  </si>
  <si>
    <t>Chi phí phân bổ liên kết tạm trụ P3 vào bê tông đúc hẫng</t>
  </si>
  <si>
    <t>San lấp mặt bằng công trường và hàng rào công trường</t>
  </si>
  <si>
    <t>Bê tông nền C15 dày 10cm</t>
  </si>
  <si>
    <t>Chi phí phân bổ bê tông nền + hàng rào</t>
  </si>
  <si>
    <t>TỔNG CỘNG (A+B+C)</t>
  </si>
  <si>
    <t>II.3</t>
  </si>
  <si>
    <t>Vành đai khung chống  trụ P1 (KHVL chính =(2%/tháng*1 tháng +7%) (chỉ tính vật liệu)</t>
  </si>
  <si>
    <t>Sử dụng cọc ván thép L=6m (KHVL=(1.17%/tháng * 1 tháng +3.5%/đóng nhổ</t>
  </si>
  <si>
    <t>Vành đai khung chống mố A1 (KHVL chính =(2%/tháng*1 tháng +7%) (chỉ tính vật liệu)</t>
  </si>
  <si>
    <t>Sử dụng cọc thép hình (KH=(1.17%/tháng*1 tháng +3.5%/lần đóng nhổ )</t>
  </si>
  <si>
    <t>Khấu hao đà giáo thi công mố A1 (KHVL chính =(2%/tháng*1.5tháng +7%)</t>
  </si>
  <si>
    <t>Sản xuất đà giáo thi công  P2 trên cạn (KHVL chính =(2%/tháng*1.5tháng +7%)</t>
  </si>
  <si>
    <t>Khấu hao đà giáo thi công trụ P1  (KHVL chính =(2%/tháng*1.5tháng +7%)</t>
  </si>
  <si>
    <t>Sử dụng cọc ván thép L=6m  (KHVL=(1.17%/tháng * 1 tháng +3.5%)</t>
  </si>
  <si>
    <t>Vành đai khung chống  trụ P2 (KHVL chính =(2%/tháng*1 tháng +7%)</t>
  </si>
  <si>
    <t>Bê tông C40 bệ trụ trên cạn</t>
  </si>
  <si>
    <t>Bê tông C40 thân trụ trên cạn</t>
  </si>
  <si>
    <t>Sử dụng cọc ván thép L&gt;12m (KHVL=(1.17%/tháng * 6 tháng +3.5%)</t>
  </si>
  <si>
    <t>Sử dụng cọc thép hình (KH=(1.17%/tháng*6 tháng +3.5%)</t>
  </si>
  <si>
    <t>Vành đai khung chống trụ P3 (KHVL chính =(2%/tháng*6 tháng +7%)</t>
  </si>
  <si>
    <t>Dầm liên tục (75m+120m+75m) bao gồm cả khối lượng liên kết tạm trụ P3 và gối tạm theo thiết kế BVTC</t>
  </si>
  <si>
    <t>Chi phí phân bổ liên kế tạm trụ P3, gối tạm</t>
  </si>
  <si>
    <t>tấn/ton
/lần đầu</t>
  </si>
  <si>
    <t>tấn/ton/
lần đầu</t>
  </si>
  <si>
    <t>tấn/ton/
lần di 
chuyển tiếp theo</t>
  </si>
  <si>
    <t>Trụ tạm thi công khối K17 trên cạn</t>
  </si>
  <si>
    <t>Sản xuất đà giáo K0, K1 (KH=(2%/tháng*2,5tháng+7%)</t>
  </si>
  <si>
    <t>Thép hình làm hệ đà giáo (KH=(2%/tháng*2,67tháng+7%)</t>
  </si>
  <si>
    <t>Bằng chữ: Một trăm chín bảy tỷ, bảy trăm bảy tám triệu, bảy trăm năm sáu ngàn, đồng chẵn./.</t>
  </si>
  <si>
    <t>AG.42121</t>
  </si>
  <si>
    <t>AC.32124</t>
  </si>
  <si>
    <t>tấn/ton/
lần di chuyển tiếp theo</t>
  </si>
  <si>
    <t>Khấu hao đà giáo thi công mố A1 (KHVL chính =(2%/th*1.5th +7%)</t>
  </si>
  <si>
    <t>Khấu hao đà giáo thi công trụ P6 (KHVL chính =(2%/th*1.5th +7%)</t>
  </si>
  <si>
    <t>Sản xuất đà giáo thi công mố + trụ trên cạn (KHVL chính = (2%/th*1.5th +7%)</t>
  </si>
  <si>
    <t>Đà giáo thi công (KHVL chính = (2%/tháng*2 tháng +7%)</t>
  </si>
  <si>
    <t>Đai ốc cầu D36 thu hồi (KH=2%*9th)</t>
  </si>
  <si>
    <t>Sử dụng cọc thép hình H250x250 (KH=(1.17%/th*6th +3.5%/lần )</t>
  </si>
  <si>
    <t>Vành đai khung chống  trụ P1 (KHVL chính =(2%/th*1 th+7%) (chỉ tính vật liệu)</t>
  </si>
  <si>
    <t>Vành đai khung chống  trụ P2, P5 (KHVL chính =(2%/th*1th +7%)</t>
  </si>
  <si>
    <t>Vành đai khung chống trụ P3,P4 (KHVL chính =(2%/th*6 th+7%)</t>
  </si>
  <si>
    <t>Sử dụng cọc ván thép L=6m (KHVL=(1.17%/th* 1th+3.5%)</t>
  </si>
  <si>
    <t>Sử dụng cọc ván thép L&gt;12m (KHVL=(1.17%/th*6th+3.5%)</t>
  </si>
  <si>
    <t>Sử dụng cọc ván thép (KHVL=(1.17%/th*20th +3.5%/)</t>
  </si>
  <si>
    <t>AL.25223</t>
  </si>
  <si>
    <t>Hệ số</t>
  </si>
  <si>
    <t>Hao phí thi công</t>
  </si>
  <si>
    <t>TỔNG CỘNG (A+B)</t>
  </si>
</sst>
</file>

<file path=xl/styles.xml><?xml version="1.0" encoding="utf-8"?>
<styleSheet xmlns="http://schemas.openxmlformats.org/spreadsheetml/2006/main" xmlns:mc="http://schemas.openxmlformats.org/markup-compatibility/2006" xmlns:x14ac="http://schemas.microsoft.com/office/spreadsheetml/2009/9/ac" mc:Ignorable="x14ac">
  <numFmts count="121">
    <numFmt numFmtId="41" formatCode="_-* #,##0\ _₫_-;\-* #,##0\ _₫_-;_-* &quot;-&quot;\ _₫_-;_-@_-"/>
    <numFmt numFmtId="43" formatCode="_-* #,##0.00\ _₫_-;\-* #,##0.00\ _₫_-;_-* &quot;-&quot;??\ _₫_-;_-@_-"/>
    <numFmt numFmtId="164" formatCode="&quot;$&quot;#,##0_);\(&quot;$&quot;#,##0\)"/>
    <numFmt numFmtId="165" formatCode="&quot;$&quot;#,##0_);[Red]\(&quot;$&quot;#,##0\)"/>
    <numFmt numFmtId="166" formatCode="_(&quot;$&quot;* #,##0_);_(&quot;$&quot;* \(#,##0\);_(&quot;$&quot;* &quot;-&quot;_);_(@_)"/>
    <numFmt numFmtId="167" formatCode="_(* #,##0_);_(* \(#,##0\);_(* &quot;-&quot;_);_(@_)"/>
    <numFmt numFmtId="168" formatCode="_(&quot;$&quot;* #,##0.00_);_(&quot;$&quot;* \(#,##0.00\);_(&quot;$&quot;* &quot;-&quot;??_);_(@_)"/>
    <numFmt numFmtId="169" formatCode="_(* #,##0.00_);_(* \(#,##0.00\);_(* &quot;-&quot;??_);_(@_)"/>
    <numFmt numFmtId="170" formatCode="_-* #,##0_-;\-* #,##0_-;_-* &quot;-&quot;_-;_-@_-"/>
    <numFmt numFmtId="171" formatCode="_-* #,##0.00_-;\-* #,##0.00_-;_-* &quot;-&quot;??_-;_-@_-"/>
    <numFmt numFmtId="172" formatCode="_(* #,##0_);_(* \(#,##0\);_(* &quot;-&quot;??_);_(@_)"/>
    <numFmt numFmtId="173" formatCode="&quot;Vữa &quot;0"/>
    <numFmt numFmtId="174" formatCode="&quot;ĐGCT &quot;0\ "/>
    <numFmt numFmtId="175" formatCode="&quot;I.&quot;0"/>
    <numFmt numFmtId="176" formatCode="0.000"/>
    <numFmt numFmtId="177" formatCode="\$#,##0\ ;\(\$#,##0\)"/>
    <numFmt numFmtId="178" formatCode="_-&quot;$&quot;* #,##0_-;\-&quot;$&quot;* #,##0_-;_-&quot;$&quot;* &quot;-&quot;_-;_-@_-"/>
    <numFmt numFmtId="179" formatCode="_-&quot;$&quot;* #,##0.00_-;\-&quot;$&quot;* #,##0.00_-;_-&quot;$&quot;* &quot;-&quot;??_-;_-@_-"/>
    <numFmt numFmtId="180" formatCode="0##,###.00"/>
    <numFmt numFmtId="181" formatCode="0.000%"/>
    <numFmt numFmtId="182" formatCode="#,##0\ &quot;DM&quot;;\-#,##0\ &quot;DM&quot;"/>
    <numFmt numFmtId="183" formatCode="\t0.00%"/>
    <numFmt numFmtId="184" formatCode="\t#\ ??/??"/>
    <numFmt numFmtId="185" formatCode="#,##0;\(#,##0\)"/>
    <numFmt numFmtId="186" formatCode="_-* #,##0\ _®_-;\-* #,##0\ _®_-;_-* &quot;-&quot;\ _®_-;_-@_-"/>
    <numFmt numFmtId="187" formatCode="0\ \ \ \ "/>
    <numFmt numFmtId="188" formatCode="\ \ \ \ \ \ \ \ \ @"/>
    <numFmt numFmtId="189" formatCode="#,##0.00\ \ \ \ "/>
    <numFmt numFmtId="190" formatCode="#,##0.00\ \ \ "/>
    <numFmt numFmtId="191" formatCode="0.0%"/>
    <numFmt numFmtId="192" formatCode="#,##0\ &quot;$&quot;_);[Red]\(#,##0\ &quot;$&quot;\)"/>
    <numFmt numFmtId="193" formatCode="&quot;$&quot;###,0&quot;.&quot;00_);[Red]\(&quot;$&quot;###,0&quot;.&quot;00\)"/>
    <numFmt numFmtId="194" formatCode="&quot;$&quot;#,##0.00"/>
    <numFmt numFmtId="195" formatCode="#,##0.000"/>
    <numFmt numFmtId="196" formatCode="0.0000"/>
    <numFmt numFmtId="197" formatCode="0.00000"/>
    <numFmt numFmtId="198" formatCode="&quot;ÑGCT &quot;0"/>
    <numFmt numFmtId="199" formatCode="_ * #,##0.00_ ;_ * \-#,##0.00_ ;_ * &quot;-&quot;??_ ;_ @_ "/>
    <numFmt numFmtId="200" formatCode="_ * #,##0_ ;_ * \-#,##0_ ;_ * &quot;-&quot;_ ;_ @_ "/>
    <numFmt numFmtId="201" formatCode="_ &quot;\&quot;* #,##0_ ;_ &quot;\&quot;* \-#,##0_ ;_ &quot;\&quot;* &quot;-&quot;_ ;_ @_ "/>
    <numFmt numFmtId="202" formatCode="_ &quot;\&quot;* #,##0.00_ ;_ &quot;\&quot;* \-#,##0.00_ ;_ &quot;\&quot;* &quot;-&quot;??_ ;_ @_ "/>
    <numFmt numFmtId="203" formatCode="&quot;Nhaân coâng&quot;\ 0.0&quot;/7&quot;"/>
    <numFmt numFmtId="204" formatCode="&quot;Vöõa&quot;\ 0"/>
    <numFmt numFmtId="205" formatCode="0.0"/>
    <numFmt numFmtId="206" formatCode="&quot;/&quot;0.00"/>
    <numFmt numFmtId="207" formatCode="#,##0.0000"/>
    <numFmt numFmtId="208" formatCode="&quot;*&quot;0.0"/>
    <numFmt numFmtId="209" formatCode="_(* #,##0.0_);_(* \(#,##0.0\);_(* &quot;-&quot;??_);_(@_)"/>
    <numFmt numFmtId="210" formatCode="_(* #,##0.000_);_(* \(#,##0.000\);_(* &quot;-&quot;??_);_(@_)"/>
    <numFmt numFmtId="211" formatCode="\(0\)"/>
    <numFmt numFmtId="212" formatCode="#,##0.000;[Red]#,##0.000"/>
    <numFmt numFmtId="213" formatCode="#,###"/>
    <numFmt numFmtId="214" formatCode="&quot;1 USD=&quot;0&quot; đồng&quot;"/>
    <numFmt numFmtId="215" formatCode="&quot;  B - Nhân công bậc &quot;#.0&quot;/7&quot;"/>
    <numFmt numFmtId="216" formatCode="##.##%"/>
    <numFmt numFmtId="217" formatCode="&quot;\&quot;#,##0.00;[Red]&quot;\&quot;\-#,##0.00"/>
    <numFmt numFmtId="218" formatCode="&quot;\&quot;#,##0;[Red]&quot;\&quot;\-#,##0"/>
    <numFmt numFmtId="219" formatCode="_ * #,##0.00_)_$_ ;_ * \(#,##0.00\)_$_ ;_ * &quot;-&quot;??_)_$_ ;_ @_ "/>
    <numFmt numFmtId="220" formatCode="_-* #,##0.00\ _F_-;\-* #,##0.00\ _F_-;_-* &quot;-&quot;??\ _F_-;_-@_-"/>
    <numFmt numFmtId="221" formatCode="#,##0.00\ &quot;VND&quot;;[Red]\-#,##0.00\ &quot;VND&quot;"/>
    <numFmt numFmtId="222" formatCode="&quot;kr&quot;\ #,##0.00;[Red]&quot;kr&quot;\ \-#,##0.00"/>
    <numFmt numFmtId="223" formatCode="#,##0.0_);\(#,##0.0\)"/>
    <numFmt numFmtId="224" formatCode="_ * #,##0.00_)&quot;£&quot;_ ;_ * \(#,##0.00\)&quot;£&quot;_ ;_ * &quot;-&quot;??_)&quot;£&quot;_ ;_ @_ "/>
    <numFmt numFmtId="225" formatCode="0.0%;\(0.0%\)"/>
    <numFmt numFmtId="226" formatCode="##,###.##"/>
    <numFmt numFmtId="227" formatCode="#0.##"/>
    <numFmt numFmtId="228" formatCode="0.000_)"/>
    <numFmt numFmtId="229" formatCode="##,##0%"/>
    <numFmt numFmtId="230" formatCode="#,###%"/>
    <numFmt numFmtId="231" formatCode="##.##"/>
    <numFmt numFmtId="232" formatCode="###,###"/>
    <numFmt numFmtId="233" formatCode="###.###"/>
    <numFmt numFmtId="234" formatCode="##,###.####"/>
    <numFmt numFmtId="235" formatCode="##,##0.##"/>
    <numFmt numFmtId="236" formatCode="#,##0.000_);\(#,##0.000\)"/>
    <numFmt numFmtId="237" formatCode="#,##0.00\ &quot;F&quot;;[Red]\-#,##0.00\ &quot;F&quot;"/>
    <numFmt numFmtId="238" formatCode="_-* #,##0.0\ _F_-;\-* #,##0.0\ _F_-;_-* &quot;-&quot;??\ _F_-;_-@_-"/>
    <numFmt numFmtId="239" formatCode="&quot;£&quot;#,##0;[Red]\-&quot;£&quot;#,##0"/>
    <numFmt numFmtId="240" formatCode="#,##0\ &quot;F&quot;;[Red]\-#,##0\ &quot;F&quot;"/>
    <numFmt numFmtId="241" formatCode="#&quot;.&quot;##0"/>
    <numFmt numFmtId="242" formatCode="&quot;Bậc &quot;#.0&quot;/8&quot;"/>
    <numFmt numFmtId="243" formatCode="_-* #,##0\ _€_-;\-* #,##0\ _€_-;_-* &quot;-&quot;??\ _€_-;_-@_-"/>
    <numFmt numFmtId="244" formatCode="_-* #,##0.0000\ _€_-;\-* #,##0.0000\ _€_-;_-* &quot;-&quot;??\ _€_-;_-@_-"/>
    <numFmt numFmtId="245" formatCode="#,##0.0"/>
    <numFmt numFmtId="246" formatCode="_-* #,##0\ _F_-;\-* #,##0\ _F_-;_-* &quot;-&quot;\ _F_-;_-@_-"/>
    <numFmt numFmtId="247" formatCode="#,##0\ &quot;FB&quot;;\-#,##0\ &quot;FB&quot;"/>
    <numFmt numFmtId="248" formatCode="_-&quot;$&quot;\ * #,##0_-;\-&quot;$&quot;\ * #,##0_-;_-&quot;$&quot;\ * &quot;-&quot;_-;_-@_-"/>
    <numFmt numFmtId="249" formatCode="_-* #,##0.00\ _V_N_D_-;\-* #,##0.00\ _V_N_D_-;_-* &quot;-&quot;??\ _V_N_D_-;_-@_-"/>
    <numFmt numFmtId="250" formatCode="#,##0.00\ &quot;FB&quot;;\-#,##0.00\ &quot;FB&quot;"/>
    <numFmt numFmtId="251" formatCode="_-* #,##0.00_ñ_-;\-* #,##0.00_ñ_-;_-* &quot;-&quot;??_ñ_-;_-@_-"/>
    <numFmt numFmtId="252" formatCode="_-* #,##0\ &quot;F&quot;_-;\-* #,##0\ &quot;F&quot;_-;_-* &quot;-&quot;\ &quot;F&quot;_-;_-@_-"/>
    <numFmt numFmtId="253" formatCode="_(&quot;$&quot;\ * #,##0_);_(&quot;$&quot;\ * \(#,##0\);_(&quot;$&quot;\ * &quot;-&quot;_);_(@_)"/>
    <numFmt numFmtId="254" formatCode="_-* #,##0\ _V_N_D_-;\-* #,##0\ _V_N_D_-;_-* &quot;-&quot;\ _V_N_D_-;_-@_-"/>
    <numFmt numFmtId="255" formatCode="#,##0\ &quot;FB&quot;;[Red]\-#,##0\ &quot;FB&quot;"/>
    <numFmt numFmtId="256" formatCode="_-* #,##0_ñ_-;\-* #,##0_ñ_-;_-* &quot;-&quot;_ñ_-;_-@_-"/>
    <numFmt numFmtId="257" formatCode="&quot;SFr.&quot;\ #,##0.00;[Red]&quot;SFr.&quot;\ \-#,##0.00"/>
    <numFmt numFmtId="258" formatCode="_ &quot;SFr.&quot;\ * #,##0_ ;_ &quot;SFr.&quot;\ * \-#,##0_ ;_ &quot;SFr.&quot;\ * &quot;-&quot;_ ;_ @_ "/>
    <numFmt numFmtId="259" formatCode="_-* #,##0.00\ &quot;F&quot;_-;\-* #,##0.00\ &quot;F&quot;_-;_-* &quot;-&quot;??\ &quot;F&quot;_-;_-@_-"/>
    <numFmt numFmtId="260" formatCode="_ &quot;R&quot;\ * #,##0_ ;_ &quot;R&quot;\ * \-#,##0_ ;_ &quot;R&quot;\ * &quot;-&quot;_ ;_ @_ "/>
    <numFmt numFmtId="261" formatCode="#,##0.00;[Red]#,##0.00"/>
    <numFmt numFmtId="262" formatCode="_-* #,##0_-;\-* #,##0_-;_-* &quot;-&quot;??_-;_-@_-"/>
    <numFmt numFmtId="263" formatCode="&quot;\&quot;#,##0;[Red]\-&quot;\&quot;#,##0"/>
    <numFmt numFmtId="264" formatCode="&quot;\&quot;#,##0.00;\-&quot;\&quot;#,##0.00"/>
    <numFmt numFmtId="265" formatCode="#.##0"/>
    <numFmt numFmtId="266" formatCode="#"/>
    <numFmt numFmtId="267" formatCode="&quot;¡Ì&quot;#,##0;[Red]\-&quot;¡Ì&quot;#,##0"/>
    <numFmt numFmtId="268" formatCode="#,##0.00\ \ "/>
    <numFmt numFmtId="269" formatCode="_ * #,##0_ ;_ * \-#,##0_ ;_ * &quot;-&quot;??_ ;_ @_ "/>
    <numFmt numFmtId="270" formatCode="#,##0.00\ &quot;FB&quot;;[Red]\-#,##0.00\ &quot;FB&quot;"/>
    <numFmt numFmtId="271" formatCode="&quot;S/&quot;#,##0.00;&quot;S/&quot;\-#,##0.00"/>
    <numFmt numFmtId="272" formatCode="_(* #.##0.00_);_(* \(#.##0.00\);_(* &quot;-&quot;??_);_(@_)"/>
    <numFmt numFmtId="273" formatCode="&quot;S/&quot;#,##0.00;[Red]&quot;S/&quot;\-#,##0.00"/>
    <numFmt numFmtId="274" formatCode="_ * #.##._ ;_ * \-#.##._ ;_ * &quot;-&quot;??_ ;_ @_ⴆ"/>
    <numFmt numFmtId="275" formatCode="_-* #,##0\ _F_-;\-* #,##0\ _F_-;_-* &quot;-&quot;??\ _F_-;_-@_-"/>
    <numFmt numFmtId="276" formatCode="_-* ###,0&quot;.&quot;00_-;\-* ###,0&quot;.&quot;00_-;_-* &quot;-&quot;??_-;_-@_-"/>
    <numFmt numFmtId="277" formatCode="_-&quot;$&quot;* ###,0&quot;.&quot;00_-;\-&quot;$&quot;* ###,0&quot;.&quot;00_-;_-&quot;$&quot;* &quot;-&quot;??_-;_-@_-"/>
    <numFmt numFmtId="278" formatCode="_-&quot;£&quot;* #,##0_-;\-&quot;£&quot;* #,##0_-;_-&quot;£&quot;* &quot;-&quot;_-;_-@_-"/>
    <numFmt numFmtId="279" formatCode="&quot;\&quot;#,##0;&quot;\&quot;&quot;\&quot;&quot;\&quot;&quot;\&quot;&quot;\&quot;&quot;\&quot;&quot;\&quot;\-#,##0"/>
    <numFmt numFmtId="280" formatCode="###,###,###,###,##0"/>
    <numFmt numFmtId="281" formatCode="dg\Th\ "/>
    <numFmt numFmtId="282" formatCode="###,##0.0000"/>
  </numFmts>
  <fonts count="292">
    <font>
      <sz val="10"/>
      <name val="Arial"/>
    </font>
    <font>
      <sz val="10"/>
      <name val="Arial"/>
      <family val="2"/>
    </font>
    <font>
      <sz val="10"/>
      <name val="Arial"/>
      <family val="2"/>
    </font>
    <font>
      <sz val="8"/>
      <name val="Arial"/>
      <family val="2"/>
    </font>
    <font>
      <b/>
      <sz val="10"/>
      <name val="Arial"/>
      <family val="2"/>
    </font>
    <font>
      <sz val="10"/>
      <name val="Arial"/>
      <family val="2"/>
    </font>
    <font>
      <b/>
      <i/>
      <sz val="10"/>
      <name val="Arial"/>
      <family val="2"/>
    </font>
    <font>
      <b/>
      <sz val="10"/>
      <name val="Tahoma"/>
      <family val="2"/>
    </font>
    <font>
      <sz val="11"/>
      <name val="VNI-Times"/>
    </font>
    <font>
      <sz val="10"/>
      <name val=".VnTime"/>
      <family val="2"/>
    </font>
    <font>
      <b/>
      <sz val="12"/>
      <name val="Arial"/>
      <family val="2"/>
    </font>
    <font>
      <sz val="12"/>
      <name val="Arial"/>
      <family val="2"/>
    </font>
    <font>
      <sz val="10"/>
      <name val="VNI-Times"/>
    </font>
    <font>
      <sz val="10"/>
      <name val="Tahoma"/>
      <family val="2"/>
    </font>
    <font>
      <sz val="12"/>
      <name val="VNI-Times"/>
    </font>
    <font>
      <b/>
      <sz val="12"/>
      <name val="Arial"/>
      <family val="2"/>
    </font>
    <font>
      <sz val="11"/>
      <name val="??"/>
      <family val="3"/>
    </font>
    <font>
      <b/>
      <u/>
      <sz val="14"/>
      <color indexed="8"/>
      <name val=".VnBook-AntiquaH"/>
      <family val="2"/>
    </font>
    <font>
      <i/>
      <sz val="12"/>
      <color indexed="8"/>
      <name val=".VnBook-AntiquaH"/>
      <family val="2"/>
    </font>
    <font>
      <b/>
      <sz val="12"/>
      <color indexed="8"/>
      <name val=".VnBook-Antiqua"/>
      <family val="2"/>
    </font>
    <font>
      <i/>
      <sz val="12"/>
      <color indexed="8"/>
      <name val=".VnBook-Antiqua"/>
      <family val="2"/>
    </font>
    <font>
      <sz val="12"/>
      <name val="¹UAAA¼"/>
      <family val="3"/>
      <charset val="129"/>
    </font>
    <font>
      <b/>
      <sz val="12"/>
      <color indexed="63"/>
      <name val="VNI-Times"/>
    </font>
    <font>
      <b/>
      <sz val="10"/>
      <name val="MS Sans Serif"/>
      <family val="2"/>
    </font>
    <font>
      <sz val="10"/>
      <name val="Times New Roman"/>
      <family val="1"/>
    </font>
    <font>
      <sz val="10"/>
      <name val="VNI-Helve-Condense"/>
    </font>
    <font>
      <sz val="8"/>
      <name val="Arial"/>
      <family val="2"/>
    </font>
    <font>
      <b/>
      <sz val="18"/>
      <name val="Arial"/>
      <family val="2"/>
    </font>
    <font>
      <b/>
      <sz val="18"/>
      <name val="Arial"/>
      <family val="2"/>
    </font>
    <font>
      <b/>
      <sz val="14"/>
      <name val=".VnTimeH"/>
      <family val="2"/>
    </font>
    <font>
      <sz val="8"/>
      <color indexed="12"/>
      <name val="Helv"/>
    </font>
    <font>
      <sz val="10"/>
      <name val="MS Sans Serif"/>
      <family val="2"/>
    </font>
    <font>
      <sz val="7"/>
      <name val="Small Fonts"/>
      <family val="2"/>
    </font>
    <font>
      <sz val="12"/>
      <name val="VNtimes new roman"/>
      <family val="2"/>
    </font>
    <font>
      <b/>
      <sz val="10"/>
      <name val="VNI-Univer"/>
    </font>
    <font>
      <sz val="10"/>
      <color indexed="8"/>
      <name val="Arial"/>
      <family val="2"/>
    </font>
    <font>
      <sz val="10"/>
      <name val="VNtimes new roman"/>
      <family val="2"/>
    </font>
    <font>
      <sz val="14"/>
      <name val=".VnArial"/>
      <family val="2"/>
    </font>
    <font>
      <sz val="14"/>
      <name val="뼻뮝"/>
      <family val="3"/>
      <charset val="129"/>
    </font>
    <font>
      <sz val="12"/>
      <name val="바탕체"/>
      <family val="3"/>
    </font>
    <font>
      <sz val="12"/>
      <name val="뼻뮝"/>
      <family val="1"/>
      <charset val="129"/>
    </font>
    <font>
      <sz val="9"/>
      <name val="Arial"/>
      <family val="2"/>
    </font>
    <font>
      <sz val="12"/>
      <name val="바탕체"/>
      <family val="1"/>
      <charset val="129"/>
    </font>
    <font>
      <sz val="12"/>
      <name val="Courier"/>
      <family val="3"/>
    </font>
    <font>
      <sz val="10"/>
      <name val=" "/>
      <family val="1"/>
      <charset val="136"/>
    </font>
    <font>
      <sz val="12"/>
      <name val="Times New Roman"/>
      <family val="1"/>
    </font>
    <font>
      <sz val="10"/>
      <name val=".VnArial"/>
      <family val="2"/>
    </font>
    <font>
      <sz val="12"/>
      <name val="|??¢¥¢¬¨Ï"/>
      <family val="1"/>
      <charset val="129"/>
    </font>
    <font>
      <sz val="10"/>
      <name val="VNI-Helve"/>
    </font>
    <font>
      <sz val="12"/>
      <name val="¹ÙÅÁÃ¼"/>
      <charset val="129"/>
    </font>
    <font>
      <b/>
      <u/>
      <sz val="10"/>
      <name val="VNI-Helve"/>
    </font>
    <font>
      <sz val="11"/>
      <name val="µ¸¿ò"/>
      <charset val="129"/>
    </font>
    <font>
      <b/>
      <sz val="10"/>
      <name val="Helv"/>
    </font>
    <font>
      <sz val="9"/>
      <name val="VNI-Aptima"/>
    </font>
    <font>
      <b/>
      <sz val="12"/>
      <name val="Helv"/>
    </font>
    <font>
      <b/>
      <sz val="11"/>
      <name val="Helv"/>
    </font>
    <font>
      <sz val="10"/>
      <name val="Symbol"/>
      <family val="1"/>
      <charset val="2"/>
    </font>
    <font>
      <sz val="12"/>
      <name val="VNTime"/>
    </font>
    <font>
      <b/>
      <sz val="12"/>
      <name val="Times New Roman"/>
      <family val="1"/>
    </font>
    <font>
      <sz val="11"/>
      <name val="Times New Roman"/>
      <family val="1"/>
    </font>
    <font>
      <b/>
      <sz val="10"/>
      <name val="Times New Roman"/>
      <family val="1"/>
    </font>
    <font>
      <b/>
      <u/>
      <sz val="10"/>
      <name val="Times New Roman"/>
      <family val="1"/>
    </font>
    <font>
      <sz val="10"/>
      <color indexed="8"/>
      <name val="Times New Roman"/>
      <family val="1"/>
    </font>
    <font>
      <b/>
      <sz val="10"/>
      <color indexed="8"/>
      <name val="Times New Roman"/>
      <family val="1"/>
    </font>
    <font>
      <u/>
      <sz val="12"/>
      <color indexed="10"/>
      <name val="VNI-Times"/>
    </font>
    <font>
      <b/>
      <u/>
      <sz val="12"/>
      <name val="VNI-Times"/>
    </font>
    <font>
      <b/>
      <sz val="11"/>
      <color indexed="10"/>
      <name val="Times New Roman"/>
      <family val="1"/>
    </font>
    <font>
      <b/>
      <u/>
      <sz val="10"/>
      <name val="Tahoma"/>
      <family val="2"/>
    </font>
    <font>
      <sz val="8"/>
      <name val="Arial"/>
      <family val="2"/>
    </font>
    <font>
      <b/>
      <sz val="10"/>
      <color indexed="10"/>
      <name val="Times New Roman"/>
      <family val="1"/>
    </font>
    <font>
      <sz val="9"/>
      <name val="Times New Roman"/>
      <family val="1"/>
    </font>
    <font>
      <b/>
      <sz val="9"/>
      <name val="Times New Roman"/>
      <family val="1"/>
    </font>
    <font>
      <b/>
      <i/>
      <sz val="10"/>
      <name val="Times New Roman"/>
      <family val="1"/>
    </font>
    <font>
      <i/>
      <sz val="10"/>
      <name val="Times New Roman"/>
      <family val="1"/>
    </font>
    <font>
      <b/>
      <sz val="16"/>
      <name val="Times New Roman"/>
      <family val="1"/>
    </font>
    <font>
      <b/>
      <sz val="8"/>
      <name val="Times New Roman"/>
      <family val="1"/>
    </font>
    <font>
      <b/>
      <sz val="11"/>
      <name val="Times New Roman"/>
      <family val="1"/>
    </font>
    <font>
      <vertAlign val="subscript"/>
      <sz val="10"/>
      <name val="Times New Roman"/>
      <family val="1"/>
    </font>
    <font>
      <b/>
      <sz val="14"/>
      <name val="Times New Roman"/>
      <family val="1"/>
    </font>
    <font>
      <sz val="12"/>
      <name val=".VnTime"/>
      <family val="2"/>
    </font>
    <font>
      <sz val="12"/>
      <color indexed="12"/>
      <name val="Times New Roman"/>
      <family val="1"/>
    </font>
    <font>
      <sz val="10"/>
      <name val=".VnTime"/>
      <family val="2"/>
    </font>
    <font>
      <sz val="8"/>
      <name val="Times New Roman"/>
      <family val="1"/>
    </font>
    <font>
      <sz val="8"/>
      <name val="VNI-Times"/>
    </font>
    <font>
      <u/>
      <sz val="10"/>
      <name val="Times New Roman"/>
      <family val="1"/>
    </font>
    <font>
      <b/>
      <sz val="10"/>
      <color indexed="12"/>
      <name val="Times New Roman"/>
      <family val="1"/>
    </font>
    <font>
      <sz val="10"/>
      <color indexed="12"/>
      <name val="Times New Roman"/>
      <family val="1"/>
    </font>
    <font>
      <sz val="10"/>
      <color indexed="10"/>
      <name val="Times New Roman"/>
      <family val="1"/>
    </font>
    <font>
      <sz val="13"/>
      <name val=".VnTime"/>
      <family val="2"/>
    </font>
    <font>
      <sz val="14"/>
      <name val="Times New Roman"/>
      <family val="1"/>
    </font>
    <font>
      <sz val="10"/>
      <name val="Helv"/>
      <family val="2"/>
    </font>
    <font>
      <sz val="10"/>
      <name val=".VnAvant"/>
      <family val="2"/>
    </font>
    <font>
      <sz val="11"/>
      <name val="–¾’©"/>
      <family val="1"/>
      <charset val="128"/>
    </font>
    <font>
      <sz val="11"/>
      <color indexed="32"/>
      <name val="VNI-Times"/>
    </font>
    <font>
      <vertAlign val="superscript"/>
      <sz val="10"/>
      <name val="Times New Roman"/>
      <family val="1"/>
    </font>
    <font>
      <sz val="10"/>
      <color indexed="8"/>
      <name val="VNI-Times"/>
      <family val="2"/>
    </font>
    <font>
      <sz val="11"/>
      <color indexed="8"/>
      <name val="Calibri"/>
      <family val="2"/>
    </font>
    <font>
      <sz val="10"/>
      <name val="Arial"/>
      <family val="2"/>
    </font>
    <font>
      <sz val="8.5"/>
      <name val="Times New Roman"/>
      <family val="1"/>
    </font>
    <font>
      <sz val="10"/>
      <name val="Arial"/>
      <family val="2"/>
    </font>
    <font>
      <b/>
      <sz val="10"/>
      <name val="SVNtimes new roman"/>
      <family val="2"/>
    </font>
    <font>
      <sz val="10"/>
      <name val="?? ??"/>
      <family val="1"/>
      <charset val="136"/>
    </font>
    <font>
      <sz val="11"/>
      <name val="‚l‚r ‚oƒSƒVƒbƒN"/>
      <family val="3"/>
      <charset val="128"/>
    </font>
    <font>
      <i/>
      <sz val="12"/>
      <name val="VNI-Times"/>
    </font>
    <font>
      <sz val="14"/>
      <name val="Terminal"/>
      <family val="3"/>
      <charset val="128"/>
    </font>
    <font>
      <sz val="14"/>
      <name val="VnTime"/>
    </font>
    <font>
      <sz val="12"/>
      <color indexed="10"/>
      <name val=".VnArial Narrow"/>
      <family val="2"/>
    </font>
    <font>
      <sz val="11"/>
      <name val="VNtimes new roman"/>
      <family val="2"/>
    </font>
    <font>
      <sz val="12"/>
      <name val="Tms Rmn"/>
    </font>
    <font>
      <sz val="10"/>
      <name val="±¼¸²A¼"/>
      <family val="3"/>
      <charset val="129"/>
    </font>
    <font>
      <sz val="12"/>
      <name val="¹ÙÅÁÃ¼"/>
      <family val="1"/>
      <charset val="129"/>
    </font>
    <font>
      <sz val="10"/>
      <name val="Helv"/>
    </font>
    <font>
      <b/>
      <sz val="8"/>
      <color indexed="12"/>
      <name val="Arial"/>
      <family val="2"/>
    </font>
    <font>
      <sz val="8"/>
      <color indexed="8"/>
      <name val="Arial"/>
      <family val="2"/>
    </font>
    <font>
      <sz val="8"/>
      <name val="SVNtimes new roman"/>
      <family val="2"/>
    </font>
    <font>
      <sz val="11"/>
      <name val="Tms Rmn"/>
    </font>
    <font>
      <sz val="10"/>
      <name val="MS Serif"/>
      <family val="1"/>
    </font>
    <font>
      <sz val="11"/>
      <name val="VNcentury Gothic"/>
      <family val="2"/>
    </font>
    <font>
      <b/>
      <sz val="15"/>
      <name val="VNcentury Gothic"/>
      <family val="2"/>
    </font>
    <font>
      <sz val="12"/>
      <name val="SVNtimes new roman"/>
      <family val="2"/>
    </font>
    <font>
      <sz val="10"/>
      <name val="SVNtimes new roman"/>
      <family val="2"/>
    </font>
    <font>
      <sz val="10"/>
      <name val="Arial CE"/>
      <charset val="238"/>
    </font>
    <font>
      <sz val="10"/>
      <color indexed="16"/>
      <name val="MS Serif"/>
      <family val="1"/>
    </font>
    <font>
      <sz val="8"/>
      <color indexed="10"/>
      <name val="VNI-Times"/>
    </font>
    <font>
      <b/>
      <sz val="12"/>
      <name val=".VnBook-AntiquaH"/>
      <family val="2"/>
    </font>
    <font>
      <b/>
      <sz val="12"/>
      <color indexed="9"/>
      <name val="Tms Rmn"/>
    </font>
    <font>
      <b/>
      <sz val="8"/>
      <name val="MS Sans Serif"/>
      <family val="2"/>
    </font>
    <font>
      <b/>
      <i/>
      <sz val="12"/>
      <name val=".VnAristote"/>
      <family val="2"/>
    </font>
    <font>
      <b/>
      <sz val="11"/>
      <name val="Arial"/>
      <family val="2"/>
    </font>
    <font>
      <sz val="12"/>
      <name val="Helv"/>
      <family val="2"/>
    </font>
    <font>
      <sz val="8"/>
      <name val="Wingdings"/>
      <charset val="2"/>
    </font>
    <font>
      <sz val="8"/>
      <name val="Helv"/>
    </font>
    <font>
      <b/>
      <sz val="12"/>
      <color indexed="8"/>
      <name val="Arial"/>
      <family val="2"/>
    </font>
    <font>
      <b/>
      <i/>
      <sz val="12"/>
      <color indexed="8"/>
      <name val="Arial"/>
      <family val="2"/>
    </font>
    <font>
      <sz val="12"/>
      <color indexed="8"/>
      <name val="Arial"/>
      <family val="2"/>
    </font>
    <font>
      <i/>
      <sz val="12"/>
      <color indexed="8"/>
      <name val="Arial"/>
      <family val="2"/>
    </font>
    <font>
      <sz val="19"/>
      <color indexed="48"/>
      <name val="Arial"/>
      <family val="2"/>
    </font>
    <font>
      <sz val="12"/>
      <color indexed="14"/>
      <name val="Arial"/>
      <family val="2"/>
    </font>
    <font>
      <sz val="8"/>
      <name val="MS Sans Serif"/>
      <family val="2"/>
    </font>
    <font>
      <b/>
      <sz val="8"/>
      <color indexed="8"/>
      <name val="Helv"/>
    </font>
    <font>
      <sz val="12"/>
      <name val="VNI-Centur"/>
    </font>
    <font>
      <sz val="14"/>
      <name val=".VnTime"/>
      <family val="2"/>
    </font>
    <font>
      <b/>
      <sz val="12"/>
      <name val=".VnTime"/>
      <family val="2"/>
    </font>
    <font>
      <sz val="10"/>
      <name val=".VnArial Narrow"/>
      <family val="2"/>
    </font>
    <font>
      <sz val="10"/>
      <name val=".VnArialH"/>
      <family val="2"/>
    </font>
    <font>
      <sz val="14"/>
      <name val="VnTime"/>
      <family val="2"/>
    </font>
    <font>
      <b/>
      <sz val="10"/>
      <name val="VN Helvetica"/>
    </font>
    <font>
      <sz val="10"/>
      <name val="VN Helvetica"/>
    </font>
    <font>
      <sz val="9"/>
      <name val=".VnTime"/>
      <family val="2"/>
    </font>
    <font>
      <sz val="12"/>
      <name val="돋움체"/>
      <family val="3"/>
      <charset val="129"/>
    </font>
    <font>
      <sz val="10"/>
      <color indexed="14"/>
      <name val="Times New Roman"/>
      <family val="1"/>
    </font>
    <font>
      <b/>
      <sz val="14"/>
      <color indexed="10"/>
      <name val="Times New Roman"/>
      <family val="1"/>
    </font>
    <font>
      <i/>
      <sz val="14"/>
      <color indexed="10"/>
      <name val="Times New Roman"/>
      <family val="1"/>
    </font>
    <font>
      <b/>
      <sz val="12"/>
      <color indexed="10"/>
      <name val="Times New Roman"/>
      <family val="1"/>
    </font>
    <font>
      <sz val="12"/>
      <color indexed="63"/>
      <name val="Times New Roman"/>
      <family val="1"/>
    </font>
    <font>
      <b/>
      <sz val="10.5"/>
      <color indexed="10"/>
      <name val="Times New Roman"/>
      <family val="1"/>
    </font>
    <font>
      <sz val="10.5"/>
      <name val="Times New Roman"/>
      <family val="1"/>
    </font>
    <font>
      <sz val="10.5"/>
      <color indexed="10"/>
      <name val="Times New Roman"/>
      <family val="1"/>
    </font>
    <font>
      <b/>
      <sz val="10.5"/>
      <color indexed="63"/>
      <name val="Times New Roman"/>
      <family val="1"/>
    </font>
    <font>
      <b/>
      <u/>
      <sz val="10.5"/>
      <color indexed="63"/>
      <name val="Times New Roman"/>
      <family val="1"/>
    </font>
    <font>
      <b/>
      <i/>
      <u/>
      <sz val="10.5"/>
      <color indexed="63"/>
      <name val="Times New Roman"/>
      <family val="1"/>
    </font>
    <font>
      <sz val="10.5"/>
      <color indexed="63"/>
      <name val="Times New Roman"/>
      <family val="1"/>
    </font>
    <font>
      <b/>
      <sz val="10.5"/>
      <name val="Times New Roman"/>
      <family val="1"/>
    </font>
    <font>
      <sz val="12.5"/>
      <color indexed="10"/>
      <name val="Times New Roman"/>
      <family val="1"/>
    </font>
    <font>
      <sz val="12.5"/>
      <name val="VNI-Times"/>
    </font>
    <font>
      <b/>
      <sz val="12.5"/>
      <color indexed="10"/>
      <name val="Times New Roman"/>
      <family val="1"/>
    </font>
    <font>
      <u/>
      <sz val="10.5"/>
      <name val="Times New Roman"/>
      <family val="1"/>
    </font>
    <font>
      <sz val="9"/>
      <color indexed="63"/>
      <name val="Times New Roman"/>
      <family val="1"/>
    </font>
    <font>
      <sz val="10.5"/>
      <color indexed="8"/>
      <name val="Times New Roman"/>
      <family val="1"/>
    </font>
    <font>
      <b/>
      <sz val="10.5"/>
      <color indexed="8"/>
      <name val="Times New Roman"/>
      <family val="1"/>
    </font>
    <font>
      <sz val="10"/>
      <color indexed="63"/>
      <name val="Times New Roman"/>
      <family val="1"/>
    </font>
    <font>
      <b/>
      <sz val="10"/>
      <color indexed="63"/>
      <name val="Times New Roman"/>
      <family val="1"/>
    </font>
    <font>
      <u/>
      <sz val="10.5"/>
      <color indexed="63"/>
      <name val="Times New Roman"/>
      <family val="1"/>
    </font>
    <font>
      <b/>
      <u/>
      <sz val="12"/>
      <color indexed="10"/>
      <name val="Times New Roman"/>
      <family val="1"/>
    </font>
    <font>
      <b/>
      <u/>
      <sz val="12"/>
      <color indexed="63"/>
      <name val="Times New Roman"/>
      <family val="1"/>
    </font>
    <font>
      <b/>
      <sz val="14"/>
      <color indexed="63"/>
      <name val="Times New Roman"/>
      <family val="1"/>
    </font>
    <font>
      <sz val="11.5"/>
      <color indexed="10"/>
      <name val="Times New Roman"/>
      <family val="1"/>
    </font>
    <font>
      <i/>
      <sz val="14"/>
      <color indexed="63"/>
      <name val="Times New Roman"/>
      <family val="1"/>
    </font>
    <font>
      <sz val="11.5"/>
      <color indexed="63"/>
      <name val="Times New Roman"/>
      <family val="1"/>
    </font>
    <font>
      <sz val="11"/>
      <color indexed="8"/>
      <name val="Times New Roman"/>
      <family val="1"/>
    </font>
    <font>
      <sz val="11.5"/>
      <name val="Times New Roman"/>
      <family val="1"/>
    </font>
    <font>
      <sz val="11.5"/>
      <color indexed="10"/>
      <name val="VNI-Times"/>
    </font>
    <font>
      <sz val="11.5"/>
      <name val="VNI-Times"/>
    </font>
    <font>
      <sz val="11"/>
      <color indexed="10"/>
      <name val="VNI-Times"/>
    </font>
    <font>
      <sz val="10"/>
      <color indexed="36"/>
      <name val="Times New Roman"/>
      <family val="1"/>
    </font>
    <font>
      <sz val="13"/>
      <name val="Times New Roman"/>
      <family val="1"/>
    </font>
    <font>
      <b/>
      <sz val="12"/>
      <name val="VNI-Times"/>
    </font>
    <font>
      <b/>
      <sz val="9.5"/>
      <name val="Times New Roman"/>
      <family val="1"/>
    </font>
    <font>
      <b/>
      <i/>
      <u/>
      <sz val="12"/>
      <name val="Times New Roman"/>
      <family val="1"/>
    </font>
    <font>
      <i/>
      <sz val="10"/>
      <name val="Arial"/>
      <family val="2"/>
    </font>
    <font>
      <b/>
      <u/>
      <sz val="10"/>
      <name val="VNI-Times"/>
    </font>
    <font>
      <b/>
      <i/>
      <sz val="12"/>
      <name val="Times New Roman"/>
      <family val="1"/>
    </font>
    <font>
      <i/>
      <sz val="8"/>
      <name val="Times New Roman"/>
      <family val="1"/>
    </font>
    <font>
      <sz val="12"/>
      <color indexed="8"/>
      <name val="Times New Roman"/>
      <family val="1"/>
    </font>
    <font>
      <vertAlign val="superscript"/>
      <sz val="10.5"/>
      <color indexed="63"/>
      <name val="Times New Roman"/>
      <family val="1"/>
    </font>
    <font>
      <vertAlign val="superscript"/>
      <sz val="10.5"/>
      <name val="Times New Roman"/>
      <family val="1"/>
    </font>
    <font>
      <b/>
      <vertAlign val="superscript"/>
      <sz val="10.5"/>
      <name val="Times New Roman"/>
      <family val="1"/>
    </font>
    <font>
      <b/>
      <vertAlign val="superscript"/>
      <sz val="10.5"/>
      <color indexed="63"/>
      <name val="Times New Roman"/>
      <family val="1"/>
    </font>
    <font>
      <vertAlign val="superscript"/>
      <sz val="9"/>
      <name val="Times New Roman"/>
      <family val="1"/>
    </font>
    <font>
      <sz val="10.5"/>
      <name val="Arial"/>
      <family val="2"/>
    </font>
    <font>
      <sz val="9.4499999999999993"/>
      <name val="Times New Roman"/>
      <family val="1"/>
    </font>
    <font>
      <vertAlign val="superscript"/>
      <sz val="10.5"/>
      <color indexed="8"/>
      <name val="Times New Roman"/>
      <family val="1"/>
    </font>
    <font>
      <sz val="10.5"/>
      <color indexed="63"/>
      <name val="VNI-Times"/>
    </font>
    <font>
      <vertAlign val="superscript"/>
      <sz val="10"/>
      <color indexed="63"/>
      <name val="Times New Roman"/>
      <family val="1"/>
    </font>
    <font>
      <sz val="12"/>
      <color indexed="10"/>
      <name val="Times New Roman"/>
      <family val="1"/>
    </font>
    <font>
      <sz val="9.5"/>
      <name val="Times New Roman"/>
      <family val="1"/>
    </font>
    <font>
      <sz val="11"/>
      <name val=".VnTime"/>
      <family val="2"/>
    </font>
    <font>
      <sz val="10"/>
      <name val="??"/>
      <family val="3"/>
      <charset val="129"/>
    </font>
    <font>
      <sz val="12"/>
      <name val="????"/>
      <family val="1"/>
      <charset val="136"/>
    </font>
    <font>
      <sz val="12"/>
      <name val="???"/>
      <family val="1"/>
      <charset val="129"/>
    </font>
    <font>
      <sz val="12"/>
      <name val="???"/>
    </font>
    <font>
      <sz val="12"/>
      <color indexed="8"/>
      <name val="¹ÙÅÁÃ¼"/>
      <family val="1"/>
      <charset val="129"/>
    </font>
    <font>
      <sz val="10"/>
      <name val="VNI-Aptima"/>
    </font>
    <font>
      <sz val="10"/>
      <color indexed="8"/>
      <name val="MS Sans Serif"/>
      <family val="2"/>
    </font>
    <font>
      <b/>
      <sz val="10"/>
      <name val=".VnTime"/>
      <family val="2"/>
    </font>
    <font>
      <u/>
      <sz val="10"/>
      <color indexed="12"/>
      <name val=".VnTime"/>
      <family val="2"/>
    </font>
    <font>
      <u/>
      <sz val="12"/>
      <color indexed="12"/>
      <name val=".VnTime"/>
      <family val="2"/>
    </font>
    <font>
      <u/>
      <sz val="12"/>
      <color indexed="12"/>
      <name val="Arial"/>
      <family val="2"/>
    </font>
    <font>
      <sz val="8"/>
      <name val="VNarial"/>
      <family val="2"/>
    </font>
    <font>
      <b/>
      <sz val="12"/>
      <name val="VN-NTime"/>
    </font>
    <font>
      <b/>
      <sz val="10"/>
      <name val="VnBookman"/>
    </font>
    <font>
      <sz val="11"/>
      <name val="3C_Times_T"/>
    </font>
    <font>
      <b/>
      <sz val="10.5"/>
      <name val=".VnAvantH"/>
      <family val="2"/>
    </font>
    <font>
      <sz val="10"/>
      <name val=".VnBook-Antiqua"/>
      <family val="2"/>
    </font>
    <font>
      <sz val="11"/>
      <name val=".VnAvant"/>
      <family val="2"/>
    </font>
    <font>
      <b/>
      <sz val="13"/>
      <color indexed="8"/>
      <name val=".VnTimeH"/>
      <family val="2"/>
    </font>
    <font>
      <sz val="9.5"/>
      <name val=".VnBlackH"/>
      <family val="2"/>
    </font>
    <font>
      <b/>
      <sz val="10"/>
      <name val=".VnBahamasBH"/>
      <family val="2"/>
    </font>
    <font>
      <b/>
      <sz val="11"/>
      <name val=".VnArialH"/>
      <family val="2"/>
    </font>
    <font>
      <b/>
      <sz val="10"/>
      <name val=".VnArialH"/>
      <family val="2"/>
    </font>
    <font>
      <b/>
      <sz val="8"/>
      <name val="VN Helvetica"/>
    </font>
    <font>
      <b/>
      <sz val="10"/>
      <name val="VN AvantGBook"/>
    </font>
    <font>
      <b/>
      <sz val="16"/>
      <name val=".VnTime"/>
      <family val="2"/>
    </font>
    <font>
      <sz val="10"/>
      <name val="명조"/>
      <family val="3"/>
      <charset val="129"/>
    </font>
    <font>
      <sz val="10"/>
      <color indexed="8"/>
      <name val="VNI-Times"/>
      <family val="2"/>
    </font>
    <font>
      <sz val="10"/>
      <color indexed="13"/>
      <name val="Times New Roman"/>
      <family val="1"/>
    </font>
    <font>
      <sz val="10"/>
      <color indexed="10"/>
      <name val="Times New Roman"/>
      <family val="1"/>
    </font>
    <font>
      <sz val="10"/>
      <color indexed="8"/>
      <name val="Times New Roman"/>
      <family val="1"/>
    </font>
    <font>
      <b/>
      <sz val="12"/>
      <color indexed="10"/>
      <name val="Times New Roman"/>
      <family val="1"/>
    </font>
    <font>
      <b/>
      <sz val="10"/>
      <color indexed="10"/>
      <name val="Times New Roman"/>
      <family val="1"/>
    </font>
    <font>
      <i/>
      <sz val="10"/>
      <color indexed="8"/>
      <name val="Times New Roman"/>
      <family val="1"/>
    </font>
    <font>
      <sz val="11"/>
      <color indexed="10"/>
      <name val="Times New Roman"/>
      <family val="1"/>
    </font>
    <font>
      <sz val="9.5"/>
      <color indexed="10"/>
      <name val="Times New Roman"/>
      <family val="1"/>
    </font>
    <font>
      <sz val="12"/>
      <color indexed="10"/>
      <name val="Times New Roman"/>
      <family val="1"/>
    </font>
    <font>
      <sz val="10"/>
      <color indexed="10"/>
      <name val="Arial"/>
      <family val="2"/>
    </font>
    <font>
      <b/>
      <sz val="10"/>
      <name val="Calibri"/>
      <family val="2"/>
    </font>
    <font>
      <b/>
      <sz val="8.5"/>
      <name val="Times New Roman"/>
      <family val="1"/>
    </font>
    <font>
      <sz val="11"/>
      <color indexed="8"/>
      <name val="Times New Roman"/>
      <family val="2"/>
    </font>
    <font>
      <sz val="10"/>
      <name val="Arial"/>
      <family val="2"/>
      <charset val="163"/>
    </font>
    <font>
      <sz val="10"/>
      <color indexed="12"/>
      <name val="Times New Roman"/>
      <family val="1"/>
    </font>
    <font>
      <sz val="9"/>
      <color indexed="12"/>
      <name val="Times New Roman"/>
      <family val="1"/>
    </font>
    <font>
      <b/>
      <i/>
      <sz val="10"/>
      <color indexed="12"/>
      <name val="Times New Roman"/>
      <family val="1"/>
    </font>
    <font>
      <i/>
      <sz val="12"/>
      <name val="Times New Roman"/>
      <family val="1"/>
    </font>
    <font>
      <sz val="11"/>
      <color theme="1"/>
      <name val="Calibri"/>
      <family val="2"/>
      <scheme val="minor"/>
    </font>
    <font>
      <sz val="10"/>
      <color theme="1"/>
      <name val="VNI-Times"/>
      <family val="2"/>
    </font>
    <font>
      <sz val="11"/>
      <color theme="1"/>
      <name val="Times New Roman"/>
      <family val="2"/>
    </font>
    <font>
      <b/>
      <sz val="9"/>
      <color indexed="12"/>
      <name val="Times New Roman"/>
      <family val="1"/>
    </font>
    <font>
      <b/>
      <i/>
      <sz val="9"/>
      <color indexed="12"/>
      <name val="Times New Roman"/>
      <family val="1"/>
    </font>
    <font>
      <b/>
      <i/>
      <sz val="9"/>
      <name val="Times New Roman"/>
      <family val="1"/>
    </font>
    <font>
      <b/>
      <sz val="10"/>
      <color rgb="FF0000CC"/>
      <name val="Times New Roman"/>
      <family val="1"/>
    </font>
    <font>
      <b/>
      <sz val="9"/>
      <color rgb="FF0000CC"/>
      <name val="Times New Roman"/>
      <family val="1"/>
    </font>
    <font>
      <sz val="10"/>
      <color rgb="FF0000CC"/>
      <name val="Times New Roman"/>
      <family val="1"/>
    </font>
    <font>
      <sz val="9"/>
      <color rgb="FF0000CC"/>
      <name val="Times New Roman"/>
      <family val="1"/>
    </font>
    <font>
      <b/>
      <i/>
      <sz val="10"/>
      <color rgb="FF0000CC"/>
      <name val="Times New Roman"/>
      <family val="1"/>
    </font>
    <font>
      <b/>
      <i/>
      <sz val="9"/>
      <color rgb="FF0000CC"/>
      <name val="Times New Roman"/>
      <family val="1"/>
    </font>
    <font>
      <b/>
      <sz val="13"/>
      <name val="Arial"/>
      <family val="2"/>
    </font>
    <font>
      <b/>
      <vertAlign val="subscript"/>
      <sz val="10"/>
      <name val="Times New Roman"/>
      <family val="1"/>
    </font>
    <font>
      <b/>
      <sz val="12"/>
      <color theme="1"/>
      <name val="Times New Roman"/>
      <family val="1"/>
    </font>
    <font>
      <b/>
      <sz val="11.5"/>
      <color theme="1"/>
      <name val="Times New Roman"/>
      <family val="1"/>
    </font>
    <font>
      <sz val="11.5"/>
      <color theme="1"/>
      <name val="Times New Roman"/>
      <family val="1"/>
    </font>
    <font>
      <b/>
      <i/>
      <u/>
      <sz val="11"/>
      <name val="Times New Roman"/>
      <family val="1"/>
    </font>
    <font>
      <b/>
      <sz val="13"/>
      <name val="Times New Roman"/>
      <family val="1"/>
    </font>
    <font>
      <i/>
      <sz val="12"/>
      <name val="Times New Roman"/>
      <family val="1"/>
      <charset val="163"/>
    </font>
    <font>
      <b/>
      <i/>
      <sz val="13"/>
      <name val="Times New Roman"/>
      <family val="1"/>
    </font>
    <font>
      <b/>
      <sz val="11"/>
      <color indexed="12"/>
      <name val="Times New Roman"/>
      <family val="1"/>
    </font>
    <font>
      <b/>
      <i/>
      <sz val="11"/>
      <color indexed="12"/>
      <name val="Times New Roman"/>
      <family val="1"/>
    </font>
    <font>
      <sz val="11"/>
      <color indexed="12"/>
      <name val="Times New Roman"/>
      <family val="1"/>
    </font>
    <font>
      <b/>
      <sz val="11"/>
      <color rgb="FF0000CC"/>
      <name val="Times New Roman"/>
      <family val="1"/>
    </font>
    <font>
      <b/>
      <i/>
      <sz val="11"/>
      <color rgb="FF0000CC"/>
      <name val="Times New Roman"/>
      <family val="1"/>
    </font>
    <font>
      <sz val="11"/>
      <color rgb="FF0000CC"/>
      <name val="Times New Roman"/>
      <family val="1"/>
    </font>
    <font>
      <b/>
      <i/>
      <sz val="11"/>
      <name val="Times New Roman"/>
      <family val="1"/>
    </font>
    <font>
      <b/>
      <u/>
      <sz val="11"/>
      <color rgb="FF0000CC"/>
      <name val="Times New Roman"/>
      <family val="1"/>
    </font>
    <font>
      <b/>
      <u/>
      <sz val="11"/>
      <color indexed="12"/>
      <name val="Times New Roman"/>
      <family val="1"/>
    </font>
    <font>
      <b/>
      <u/>
      <sz val="11"/>
      <name val="Times New Roman"/>
      <family val="1"/>
    </font>
    <font>
      <sz val="10"/>
      <color rgb="FFFF0000"/>
      <name val="Times New Roman"/>
      <family val="1"/>
    </font>
    <font>
      <sz val="8"/>
      <color rgb="FF0000CC"/>
      <name val="Times New Roman"/>
      <family val="1"/>
    </font>
    <font>
      <sz val="12"/>
      <color rgb="FF0000CC"/>
      <name val="Times New Roman"/>
      <family val="1"/>
    </font>
    <font>
      <b/>
      <sz val="12"/>
      <color rgb="FF0000CC"/>
      <name val="Times New Roman"/>
      <family val="1"/>
    </font>
    <font>
      <b/>
      <i/>
      <sz val="12"/>
      <color rgb="FF0000CC"/>
      <name val="Times New Roman"/>
      <family val="1"/>
    </font>
    <font>
      <b/>
      <sz val="8"/>
      <color indexed="12"/>
      <name val="Times New Roman"/>
      <family val="1"/>
    </font>
    <font>
      <sz val="8"/>
      <color indexed="12"/>
      <name val="Times New Roman"/>
      <family val="1"/>
    </font>
    <font>
      <b/>
      <sz val="8"/>
      <color rgb="FF0000CC"/>
      <name val="Times New Roman"/>
      <family val="1"/>
    </font>
  </fonts>
  <fills count="3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65"/>
        <bgColor indexed="64"/>
      </patternFill>
    </fill>
    <fill>
      <patternFill patternType="solid">
        <fgColor indexed="40"/>
        <bgColor indexed="64"/>
      </patternFill>
    </fill>
    <fill>
      <patternFill patternType="solid">
        <fgColor indexed="26"/>
        <bgColor indexed="64"/>
      </patternFill>
    </fill>
    <fill>
      <patternFill patternType="darkVertica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1"/>
        <bgColor indexed="64"/>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
      <patternFill patternType="solid">
        <fgColor indexed="9"/>
        <bgColor indexed="64"/>
      </patternFill>
    </fill>
    <fill>
      <patternFill patternType="solid">
        <fgColor indexed="55"/>
        <bgColor indexed="64"/>
      </patternFill>
    </fill>
    <fill>
      <patternFill patternType="solid">
        <fgColor indexed="62"/>
        <bgColor indexed="64"/>
      </patternFill>
    </fill>
    <fill>
      <patternFill patternType="solid">
        <fgColor indexed="49"/>
        <bgColor indexed="64"/>
      </patternFill>
    </fill>
    <fill>
      <patternFill patternType="solid">
        <fgColor rgb="FF92D05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8" tint="0.39997558519241921"/>
        <bgColor indexed="64"/>
      </patternFill>
    </fill>
    <fill>
      <patternFill patternType="solid">
        <fgColor theme="0"/>
        <bgColor indexed="64"/>
      </patternFill>
    </fill>
    <fill>
      <patternFill patternType="solid">
        <fgColor theme="8" tint="0.59999389629810485"/>
        <bgColor indexed="64"/>
      </patternFill>
    </fill>
    <fill>
      <patternFill patternType="solid">
        <fgColor theme="9" tint="0.59999389629810485"/>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style="thin">
        <color indexed="64"/>
      </left>
      <right style="thin">
        <color indexed="64"/>
      </right>
      <top style="dotted">
        <color indexed="64"/>
      </top>
      <bottom/>
      <diagonal/>
    </border>
    <border>
      <left/>
      <right/>
      <top style="double">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double">
        <color indexed="64"/>
      </right>
      <top/>
      <bottom/>
      <diagonal/>
    </border>
    <border>
      <left style="thin">
        <color indexed="64"/>
      </left>
      <right style="thin">
        <color indexed="64"/>
      </right>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right/>
      <top style="medium">
        <color indexed="64"/>
      </top>
      <bottom/>
      <diagonal/>
    </border>
    <border>
      <left style="thin">
        <color indexed="64"/>
      </left>
      <right/>
      <top style="dotted">
        <color indexed="64"/>
      </top>
      <bottom style="dotted">
        <color indexed="64"/>
      </bottom>
      <diagonal/>
    </border>
    <border>
      <left/>
      <right style="thin">
        <color indexed="64"/>
      </right>
      <top style="thin">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64"/>
      </left>
      <right style="medium">
        <color indexed="64"/>
      </right>
      <top style="medium">
        <color indexed="64"/>
      </top>
      <bottom style="thin">
        <color indexed="64"/>
      </bottom>
      <diagonal/>
    </border>
    <border>
      <left/>
      <right style="medium">
        <color indexed="0"/>
      </right>
      <top/>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right/>
      <top style="hair">
        <color indexed="64"/>
      </top>
      <bottom/>
      <diagonal/>
    </border>
    <border>
      <left/>
      <right style="thin">
        <color indexed="64"/>
      </right>
      <top/>
      <bottom style="hair">
        <color indexed="64"/>
      </bottom>
      <diagonal/>
    </border>
    <border>
      <left style="thin">
        <color indexed="64"/>
      </left>
      <right/>
      <top style="hair">
        <color indexed="64"/>
      </top>
      <bottom/>
      <diagonal/>
    </border>
    <border>
      <left/>
      <right style="medium">
        <color indexed="64"/>
      </right>
      <top/>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hair">
        <color indexed="64"/>
      </top>
      <bottom/>
      <diagonal/>
    </border>
  </borders>
  <cellStyleXfs count="943">
    <xf numFmtId="0" fontId="0" fillId="0" borderId="0"/>
    <xf numFmtId="178" fontId="14" fillId="0" borderId="0" applyFont="0" applyFill="0" applyBorder="0" applyAlignment="0" applyProtection="0"/>
    <xf numFmtId="0" fontId="79" fillId="0" borderId="0" applyNumberFormat="0" applyFill="0" applyBorder="0" applyAlignment="0" applyProtection="0"/>
    <xf numFmtId="3" fontId="149" fillId="0" borderId="1"/>
    <xf numFmtId="216" fontId="100" fillId="0" borderId="2">
      <alignment horizontal="center"/>
      <protection hidden="1"/>
    </xf>
    <xf numFmtId="172" fontId="33" fillId="0" borderId="3" applyFont="0" applyBorder="0"/>
    <xf numFmtId="0" fontId="9" fillId="0" borderId="0"/>
    <xf numFmtId="181" fontId="16" fillId="0" borderId="0" applyFont="0" applyFill="0" applyBorder="0" applyAlignment="0" applyProtection="0"/>
    <xf numFmtId="0" fontId="101" fillId="0" borderId="0" applyFont="0" applyFill="0" applyBorder="0" applyAlignment="0" applyProtection="0"/>
    <xf numFmtId="182" fontId="16" fillId="0" borderId="0" applyFont="0" applyFill="0" applyBorder="0" applyAlignment="0" applyProtection="0"/>
    <xf numFmtId="0" fontId="2" fillId="0" borderId="0" applyNumberFormat="0" applyFill="0" applyBorder="0" applyAlignment="0" applyProtection="0"/>
    <xf numFmtId="169" fontId="2" fillId="0" borderId="0" applyFont="0" applyFill="0" applyBorder="0" applyAlignment="0" applyProtection="0"/>
    <xf numFmtId="0" fontId="207" fillId="0" borderId="4"/>
    <xf numFmtId="186" fontId="2" fillId="0" borderId="0" applyFont="0" applyFill="0" applyBorder="0" applyAlignment="0" applyProtection="0"/>
    <xf numFmtId="170" fontId="208" fillId="0" borderId="0" applyFont="0" applyFill="0" applyBorder="0" applyAlignment="0" applyProtection="0"/>
    <xf numFmtId="171" fontId="208" fillId="0" borderId="0" applyFont="0" applyFill="0" applyBorder="0" applyAlignment="0" applyProtection="0"/>
    <xf numFmtId="165" fontId="43" fillId="0" borderId="0" applyFont="0" applyFill="0" applyBorder="0" applyAlignment="0" applyProtection="0"/>
    <xf numFmtId="0" fontId="209"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0" fontId="47" fillId="0" borderId="0"/>
    <xf numFmtId="0" fontId="2" fillId="0" borderId="0" applyNumberFormat="0" applyFill="0" applyBorder="0" applyAlignment="0" applyProtection="0"/>
    <xf numFmtId="166" fontId="12" fillId="0" borderId="0" applyFont="0" applyFill="0" applyBorder="0" applyAlignment="0" applyProtection="0"/>
    <xf numFmtId="246" fontId="79"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66" fontId="12" fillId="0" borderId="0" applyFont="0" applyFill="0" applyBorder="0" applyAlignment="0" applyProtection="0"/>
    <xf numFmtId="0" fontId="9" fillId="0" borderId="0" applyNumberFormat="0" applyFill="0" applyBorder="0" applyAlignment="0" applyProtection="0"/>
    <xf numFmtId="247" fontId="2" fillId="0" borderId="0" applyFont="0" applyFill="0" applyBorder="0" applyAlignment="0" applyProtection="0"/>
    <xf numFmtId="166" fontId="12" fillId="0" borderId="0" applyFont="0" applyFill="0" applyBorder="0" applyAlignment="0" applyProtection="0"/>
    <xf numFmtId="0" fontId="90" fillId="0" borderId="0"/>
    <xf numFmtId="178" fontId="1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0" fontId="9" fillId="0" borderId="0" applyNumberForma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0" fontId="90" fillId="0" borderId="0"/>
    <xf numFmtId="178" fontId="12" fillId="0" borderId="0" applyFon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0" fontId="90" fillId="0" borderId="0"/>
    <xf numFmtId="0" fontId="90" fillId="0" borderId="0"/>
    <xf numFmtId="166" fontId="12" fillId="0" borderId="0" applyFont="0" applyFill="0" applyBorder="0" applyAlignment="0" applyProtection="0"/>
    <xf numFmtId="248" fontId="12" fillId="0" borderId="0" applyFont="0" applyFill="0" applyBorder="0" applyAlignment="0" applyProtection="0"/>
    <xf numFmtId="0" fontId="9" fillId="0" borderId="0" applyNumberFormat="0" applyFill="0" applyBorder="0" applyAlignment="0" applyProtection="0"/>
    <xf numFmtId="0" fontId="90" fillId="0" borderId="0"/>
    <xf numFmtId="248" fontId="12" fillId="0" borderId="0" applyFont="0" applyFill="0" applyBorder="0" applyAlignment="0" applyProtection="0"/>
    <xf numFmtId="248" fontId="12" fillId="0" borderId="0" applyFont="0" applyFill="0" applyBorder="0" applyAlignment="0" applyProtection="0"/>
    <xf numFmtId="248" fontId="12" fillId="0" borderId="0" applyFont="0" applyFill="0" applyBorder="0" applyAlignment="0" applyProtection="0"/>
    <xf numFmtId="0" fontId="9" fillId="0" borderId="0" applyNumberFormat="0" applyFill="0" applyBorder="0" applyAlignment="0" applyProtection="0"/>
    <xf numFmtId="248" fontId="12" fillId="0" borderId="0" applyFont="0" applyFill="0" applyBorder="0" applyAlignment="0" applyProtection="0"/>
    <xf numFmtId="0" fontId="9" fillId="0" borderId="0" applyNumberFormat="0" applyFill="0" applyBorder="0" applyAlignment="0" applyProtection="0"/>
    <xf numFmtId="166" fontId="12" fillId="0" borderId="0" applyFont="0" applyFill="0" applyBorder="0" applyAlignment="0" applyProtection="0"/>
    <xf numFmtId="0" fontId="90" fillId="0" borderId="0"/>
    <xf numFmtId="0" fontId="90" fillId="0" borderId="0"/>
    <xf numFmtId="0" fontId="90" fillId="0" borderId="0"/>
    <xf numFmtId="0" fontId="31" fillId="0" borderId="0" applyFont="0" applyFill="0" applyBorder="0" applyAlignment="0" applyProtection="0"/>
    <xf numFmtId="0" fontId="31"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0" fillId="0" borderId="0"/>
    <xf numFmtId="248" fontId="12" fillId="0" borderId="0" applyFont="0" applyFill="0" applyBorder="0" applyAlignment="0" applyProtection="0"/>
    <xf numFmtId="0" fontId="9" fillId="0" borderId="0" applyNumberFormat="0" applyFill="0" applyBorder="0" applyAlignment="0" applyProtection="0"/>
    <xf numFmtId="166" fontId="12" fillId="0" borderId="0" applyFont="0" applyFill="0" applyBorder="0" applyAlignment="0" applyProtection="0"/>
    <xf numFmtId="178" fontId="14" fillId="0" borderId="0" applyFont="0" applyFill="0" applyBorder="0" applyAlignment="0" applyProtection="0"/>
    <xf numFmtId="171" fontId="14" fillId="0" borderId="0" applyFont="0" applyFill="0" applyBorder="0" applyAlignment="0" applyProtection="0"/>
    <xf numFmtId="19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49" fontId="12" fillId="0" borderId="0" applyFont="0" applyFill="0" applyBorder="0" applyAlignment="0" applyProtection="0"/>
    <xf numFmtId="43" fontId="12" fillId="0" borderId="0" applyFont="0" applyFill="0" applyBorder="0" applyAlignment="0" applyProtection="0"/>
    <xf numFmtId="250" fontId="2" fillId="0" borderId="0" applyFont="0" applyFill="0" applyBorder="0" applyAlignment="0" applyProtection="0"/>
    <xf numFmtId="220"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251"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1" fontId="12" fillId="0" borderId="0" applyFont="0" applyFill="0" applyBorder="0" applyAlignment="0" applyProtection="0"/>
    <xf numFmtId="169" fontId="12" fillId="0" borderId="0" applyFont="0" applyFill="0" applyBorder="0" applyAlignment="0" applyProtection="0"/>
    <xf numFmtId="170" fontId="14" fillId="0" borderId="0" applyFont="0" applyFill="0" applyBorder="0" applyAlignment="0" applyProtection="0"/>
    <xf numFmtId="166" fontId="12" fillId="0" borderId="0" applyFont="0" applyFill="0" applyBorder="0" applyAlignment="0" applyProtection="0"/>
    <xf numFmtId="248" fontId="12" fillId="0" borderId="0" applyFont="0" applyFill="0" applyBorder="0" applyAlignment="0" applyProtection="0"/>
    <xf numFmtId="178" fontId="12" fillId="0" borderId="0" applyFont="0" applyFill="0" applyBorder="0" applyAlignment="0" applyProtection="0"/>
    <xf numFmtId="247"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252" fontId="12" fillId="0" borderId="0" applyFont="0" applyFill="0" applyBorder="0" applyAlignment="0" applyProtection="0"/>
    <xf numFmtId="252" fontId="14" fillId="0" borderId="0" applyFont="0" applyFill="0" applyBorder="0" applyAlignment="0" applyProtection="0"/>
    <xf numFmtId="253" fontId="12" fillId="0" borderId="0" applyFont="0" applyFill="0" applyBorder="0" applyAlignment="0" applyProtection="0"/>
    <xf numFmtId="252" fontId="12" fillId="0" borderId="0" applyFont="0" applyFill="0" applyBorder="0" applyAlignment="0" applyProtection="0"/>
    <xf numFmtId="19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49" fontId="12" fillId="0" borderId="0" applyFont="0" applyFill="0" applyBorder="0" applyAlignment="0" applyProtection="0"/>
    <xf numFmtId="43" fontId="12" fillId="0" borderId="0" applyFont="0" applyFill="0" applyBorder="0" applyAlignment="0" applyProtection="0"/>
    <xf numFmtId="250" fontId="2" fillId="0" borderId="0" applyFont="0" applyFill="0" applyBorder="0" applyAlignment="0" applyProtection="0"/>
    <xf numFmtId="220"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251"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1" fontId="12" fillId="0" borderId="0" applyFont="0" applyFill="0" applyBorder="0" applyAlignment="0" applyProtection="0"/>
    <xf numFmtId="171" fontId="14" fillId="0" borderId="0" applyFont="0" applyFill="0" applyBorder="0" applyAlignment="0" applyProtection="0"/>
    <xf numFmtId="169" fontId="12" fillId="0" borderId="0" applyFont="0" applyFill="0" applyBorder="0" applyAlignment="0" applyProtection="0"/>
    <xf numFmtId="200"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254" fontId="12" fillId="0" borderId="0" applyFont="0" applyFill="0" applyBorder="0" applyAlignment="0" applyProtection="0"/>
    <xf numFmtId="41" fontId="12" fillId="0" borderId="0" applyFont="0" applyFill="0" applyBorder="0" applyAlignment="0" applyProtection="0"/>
    <xf numFmtId="255" fontId="2" fillId="0" borderId="0" applyFont="0" applyFill="0" applyBorder="0" applyAlignment="0" applyProtection="0"/>
    <xf numFmtId="246" fontId="12" fillId="0" borderId="0" applyFont="0" applyFill="0" applyBorder="0" applyAlignment="0" applyProtection="0"/>
    <xf numFmtId="41" fontId="12" fillId="0" borderId="0" applyFont="0" applyFill="0" applyBorder="0" applyAlignment="0" applyProtection="0"/>
    <xf numFmtId="167" fontId="12" fillId="0" borderId="0" applyFont="0" applyFill="0" applyBorder="0" applyAlignment="0" applyProtection="0"/>
    <xf numFmtId="25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70" fontId="12" fillId="0" borderId="0" applyFont="0" applyFill="0" applyBorder="0" applyAlignment="0" applyProtection="0"/>
    <xf numFmtId="167" fontId="12" fillId="0" borderId="0" applyFont="0" applyFill="0" applyBorder="0" applyAlignment="0" applyProtection="0"/>
    <xf numFmtId="248" fontId="12" fillId="0" borderId="0" applyFont="0" applyFill="0" applyBorder="0" applyAlignment="0" applyProtection="0"/>
    <xf numFmtId="178" fontId="12" fillId="0" borderId="0" applyFont="0" applyFill="0" applyBorder="0" applyAlignment="0" applyProtection="0"/>
    <xf numFmtId="247"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252" fontId="12" fillId="0" borderId="0" applyFont="0" applyFill="0" applyBorder="0" applyAlignment="0" applyProtection="0"/>
    <xf numFmtId="252" fontId="14" fillId="0" borderId="0" applyFont="0" applyFill="0" applyBorder="0" applyAlignment="0" applyProtection="0"/>
    <xf numFmtId="253" fontId="12" fillId="0" borderId="0" applyFont="0" applyFill="0" applyBorder="0" applyAlignment="0" applyProtection="0"/>
    <xf numFmtId="252" fontId="12" fillId="0" borderId="0" applyFont="0" applyFill="0" applyBorder="0" applyAlignment="0" applyProtection="0"/>
    <xf numFmtId="170" fontId="14" fillId="0" borderId="0" applyFont="0" applyFill="0" applyBorder="0" applyAlignment="0" applyProtection="0"/>
    <xf numFmtId="171" fontId="14" fillId="0" borderId="0" applyFont="0" applyFill="0" applyBorder="0" applyAlignment="0" applyProtection="0"/>
    <xf numFmtId="200"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254" fontId="12" fillId="0" borderId="0" applyFont="0" applyFill="0" applyBorder="0" applyAlignment="0" applyProtection="0"/>
    <xf numFmtId="41" fontId="12" fillId="0" borderId="0" applyFont="0" applyFill="0" applyBorder="0" applyAlignment="0" applyProtection="0"/>
    <xf numFmtId="255" fontId="2" fillId="0" borderId="0" applyFont="0" applyFill="0" applyBorder="0" applyAlignment="0" applyProtection="0"/>
    <xf numFmtId="246" fontId="12" fillId="0" borderId="0" applyFont="0" applyFill="0" applyBorder="0" applyAlignment="0" applyProtection="0"/>
    <xf numFmtId="41" fontId="12" fillId="0" borderId="0" applyFont="0" applyFill="0" applyBorder="0" applyAlignment="0" applyProtection="0"/>
    <xf numFmtId="167" fontId="12" fillId="0" borderId="0" applyFont="0" applyFill="0" applyBorder="0" applyAlignment="0" applyProtection="0"/>
    <xf numFmtId="25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70" fontId="12" fillId="0" borderId="0" applyFont="0" applyFill="0" applyBorder="0" applyAlignment="0" applyProtection="0"/>
    <xf numFmtId="167" fontId="12" fillId="0" borderId="0" applyFont="0" applyFill="0" applyBorder="0" applyAlignment="0" applyProtection="0"/>
    <xf numFmtId="19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49" fontId="12" fillId="0" borderId="0" applyFont="0" applyFill="0" applyBorder="0" applyAlignment="0" applyProtection="0"/>
    <xf numFmtId="43" fontId="12" fillId="0" borderId="0" applyFont="0" applyFill="0" applyBorder="0" applyAlignment="0" applyProtection="0"/>
    <xf numFmtId="250" fontId="2" fillId="0" borderId="0" applyFont="0" applyFill="0" applyBorder="0" applyAlignment="0" applyProtection="0"/>
    <xf numFmtId="220"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251"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1" fontId="12" fillId="0" borderId="0" applyFont="0" applyFill="0" applyBorder="0" applyAlignment="0" applyProtection="0"/>
    <xf numFmtId="169" fontId="12" fillId="0" borderId="0" applyFont="0" applyFill="0" applyBorder="0" applyAlignment="0" applyProtection="0"/>
    <xf numFmtId="170" fontId="14" fillId="0" borderId="0" applyFont="0" applyFill="0" applyBorder="0" applyAlignment="0" applyProtection="0"/>
    <xf numFmtId="178" fontId="14" fillId="0" borderId="0" applyFont="0" applyFill="0" applyBorder="0" applyAlignment="0" applyProtection="0"/>
    <xf numFmtId="248" fontId="1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252" fontId="12" fillId="0" borderId="0" applyFont="0" applyFill="0" applyBorder="0" applyAlignment="0" applyProtection="0"/>
    <xf numFmtId="252" fontId="14" fillId="0" borderId="0" applyFont="0" applyFill="0" applyBorder="0" applyAlignment="0" applyProtection="0"/>
    <xf numFmtId="253" fontId="12" fillId="0" borderId="0" applyFont="0" applyFill="0" applyBorder="0" applyAlignment="0" applyProtection="0"/>
    <xf numFmtId="252"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248" fontId="12" fillId="0" borderId="0" applyFon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0" fillId="0" borderId="0"/>
    <xf numFmtId="0" fontId="9" fillId="0" borderId="0" applyNumberFormat="0" applyFill="0" applyBorder="0" applyAlignment="0" applyProtection="0"/>
    <xf numFmtId="0" fontId="90" fillId="0" borderId="0"/>
    <xf numFmtId="0" fontId="9" fillId="0" borderId="0" applyNumberFormat="0" applyFill="0" applyBorder="0" applyAlignment="0" applyProtection="0"/>
    <xf numFmtId="248" fontId="12" fillId="0" borderId="0" applyFont="0" applyFill="0" applyBorder="0" applyAlignment="0" applyProtection="0"/>
    <xf numFmtId="248" fontId="12" fillId="0" borderId="0" applyFont="0" applyFill="0" applyBorder="0" applyAlignment="0" applyProtection="0"/>
    <xf numFmtId="248" fontId="12" fillId="0" borderId="0" applyFont="0" applyFill="0" applyBorder="0" applyAlignment="0" applyProtection="0"/>
    <xf numFmtId="248" fontId="12" fillId="0" borderId="0" applyFont="0" applyFill="0" applyBorder="0" applyAlignment="0" applyProtection="0"/>
    <xf numFmtId="170" fontId="14" fillId="0" borderId="0" applyFont="0" applyFill="0" applyBorder="0" applyAlignment="0" applyProtection="0"/>
    <xf numFmtId="200"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254" fontId="12" fillId="0" borderId="0" applyFont="0" applyFill="0" applyBorder="0" applyAlignment="0" applyProtection="0"/>
    <xf numFmtId="41" fontId="12" fillId="0" borderId="0" applyFont="0" applyFill="0" applyBorder="0" applyAlignment="0" applyProtection="0"/>
    <xf numFmtId="255" fontId="2" fillId="0" borderId="0" applyFont="0" applyFill="0" applyBorder="0" applyAlignment="0" applyProtection="0"/>
    <xf numFmtId="246" fontId="12" fillId="0" borderId="0" applyFont="0" applyFill="0" applyBorder="0" applyAlignment="0" applyProtection="0"/>
    <xf numFmtId="41" fontId="12" fillId="0" borderId="0" applyFont="0" applyFill="0" applyBorder="0" applyAlignment="0" applyProtection="0"/>
    <xf numFmtId="167" fontId="12" fillId="0" borderId="0" applyFont="0" applyFill="0" applyBorder="0" applyAlignment="0" applyProtection="0"/>
    <xf numFmtId="25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70" fontId="12" fillId="0" borderId="0" applyFont="0" applyFill="0" applyBorder="0" applyAlignment="0" applyProtection="0"/>
    <xf numFmtId="167" fontId="12" fillId="0" borderId="0" applyFont="0" applyFill="0" applyBorder="0" applyAlignment="0" applyProtection="0"/>
    <xf numFmtId="199"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249" fontId="12" fillId="0" borderId="0" applyFont="0" applyFill="0" applyBorder="0" applyAlignment="0" applyProtection="0"/>
    <xf numFmtId="43" fontId="12" fillId="0" borderId="0" applyFont="0" applyFill="0" applyBorder="0" applyAlignment="0" applyProtection="0"/>
    <xf numFmtId="250" fontId="2" fillId="0" borderId="0" applyFont="0" applyFill="0" applyBorder="0" applyAlignment="0" applyProtection="0"/>
    <xf numFmtId="220" fontId="12" fillId="0" borderId="0" applyFont="0" applyFill="0" applyBorder="0" applyAlignment="0" applyProtection="0"/>
    <xf numFmtId="43" fontId="12" fillId="0" borderId="0" applyFont="0" applyFill="0" applyBorder="0" applyAlignment="0" applyProtection="0"/>
    <xf numFmtId="169" fontId="12" fillId="0" borderId="0" applyFont="0" applyFill="0" applyBorder="0" applyAlignment="0" applyProtection="0"/>
    <xf numFmtId="251"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69" fontId="12" fillId="0" borderId="0" applyFont="0" applyFill="0" applyBorder="0" applyAlignment="0" applyProtection="0"/>
    <xf numFmtId="171" fontId="12" fillId="0" borderId="0" applyFont="0" applyFill="0" applyBorder="0" applyAlignment="0" applyProtection="0"/>
    <xf numFmtId="169" fontId="12" fillId="0" borderId="0" applyFont="0" applyFill="0" applyBorder="0" applyAlignment="0" applyProtection="0"/>
    <xf numFmtId="178" fontId="14" fillId="0" borderId="0" applyFont="0" applyFill="0" applyBorder="0" applyAlignment="0" applyProtection="0"/>
    <xf numFmtId="171" fontId="14" fillId="0" borderId="0" applyFont="0" applyFill="0" applyBorder="0" applyAlignment="0" applyProtection="0"/>
    <xf numFmtId="166" fontId="12" fillId="0" borderId="0" applyFont="0" applyFill="0" applyBorder="0" applyAlignment="0" applyProtection="0"/>
    <xf numFmtId="0" fontId="90" fillId="0" borderId="0"/>
    <xf numFmtId="248" fontId="12" fillId="0" borderId="0" applyFont="0" applyFill="0" applyBorder="0" applyAlignment="0" applyProtection="0"/>
    <xf numFmtId="0" fontId="9" fillId="0" borderId="0" applyNumberFormat="0" applyFill="0" applyBorder="0" applyAlignment="0" applyProtection="0"/>
    <xf numFmtId="0" fontId="90" fillId="0" borderId="0"/>
    <xf numFmtId="201" fontId="210" fillId="0" borderId="0" applyFont="0" applyFill="0" applyBorder="0" applyAlignment="0" applyProtection="0"/>
    <xf numFmtId="217" fontId="102" fillId="0" borderId="0" applyFont="0" applyFill="0" applyBorder="0" applyAlignment="0" applyProtection="0"/>
    <xf numFmtId="218" fontId="102" fillId="0" borderId="0" applyFont="0" applyFill="0" applyBorder="0" applyAlignment="0" applyProtection="0"/>
    <xf numFmtId="219" fontId="103" fillId="0" borderId="0"/>
    <xf numFmtId="220" fontId="103" fillId="0" borderId="0"/>
    <xf numFmtId="169" fontId="103" fillId="0" borderId="0"/>
    <xf numFmtId="169" fontId="103" fillId="0" borderId="0"/>
    <xf numFmtId="171" fontId="103" fillId="0" borderId="0"/>
    <xf numFmtId="2" fontId="103" fillId="0" borderId="0"/>
    <xf numFmtId="169" fontId="103" fillId="0" borderId="0"/>
    <xf numFmtId="171" fontId="103" fillId="0" borderId="0"/>
    <xf numFmtId="2" fontId="103" fillId="0" borderId="0"/>
    <xf numFmtId="169" fontId="103" fillId="0" borderId="0"/>
    <xf numFmtId="171" fontId="103" fillId="0" borderId="0"/>
    <xf numFmtId="171" fontId="103" fillId="0" borderId="0"/>
    <xf numFmtId="169" fontId="103" fillId="0" borderId="0"/>
    <xf numFmtId="171" fontId="103" fillId="0" borderId="0"/>
    <xf numFmtId="169" fontId="103" fillId="0" borderId="0"/>
    <xf numFmtId="171" fontId="103" fillId="0" borderId="0"/>
    <xf numFmtId="2" fontId="103" fillId="0" borderId="0"/>
    <xf numFmtId="169" fontId="103" fillId="0" borderId="0"/>
    <xf numFmtId="171" fontId="103" fillId="0" borderId="0"/>
    <xf numFmtId="2" fontId="103" fillId="0" borderId="0"/>
    <xf numFmtId="169" fontId="103" fillId="0" borderId="0"/>
    <xf numFmtId="171" fontId="103" fillId="0" borderId="0"/>
    <xf numFmtId="2" fontId="103" fillId="0" borderId="0"/>
    <xf numFmtId="2" fontId="103" fillId="0" borderId="0"/>
    <xf numFmtId="0" fontId="92" fillId="0" borderId="0"/>
    <xf numFmtId="0" fontId="104" fillId="0" borderId="0"/>
    <xf numFmtId="0" fontId="92" fillId="0" borderId="0"/>
    <xf numFmtId="0" fontId="24" fillId="0" borderId="0"/>
    <xf numFmtId="1" fontId="105" fillId="0" borderId="1" applyBorder="0" applyAlignment="0">
      <alignment horizontal="center"/>
    </xf>
    <xf numFmtId="3" fontId="149" fillId="0" borderId="1"/>
    <xf numFmtId="3" fontId="149" fillId="0" borderId="1"/>
    <xf numFmtId="0" fontId="17" fillId="2" borderId="0"/>
    <xf numFmtId="0" fontId="17" fillId="2" borderId="0"/>
    <xf numFmtId="0" fontId="17" fillId="2" borderId="0"/>
    <xf numFmtId="0" fontId="206" fillId="2" borderId="0"/>
    <xf numFmtId="0" fontId="48" fillId="0" borderId="5" applyNumberFormat="0" applyFont="0" applyBorder="0" applyAlignment="0">
      <alignment horizontal="center" vertical="center"/>
    </xf>
    <xf numFmtId="0" fontId="206" fillId="2" borderId="0"/>
    <xf numFmtId="0" fontId="79" fillId="2" borderId="0"/>
    <xf numFmtId="0" fontId="206" fillId="2" borderId="0"/>
    <xf numFmtId="0" fontId="17" fillId="2" borderId="0"/>
    <xf numFmtId="0" fontId="206" fillId="2" borderId="0"/>
    <xf numFmtId="201" fontId="210" fillId="0" borderId="0" applyFont="0" applyFill="0" applyBorder="0" applyAlignment="0" applyProtection="0"/>
    <xf numFmtId="0" fontId="190" fillId="0" borderId="0" applyFont="0" applyFill="0" applyBorder="0" applyAlignment="0">
      <alignment horizontal="left"/>
    </xf>
    <xf numFmtId="0" fontId="206" fillId="2" borderId="0"/>
    <xf numFmtId="0" fontId="17" fillId="2" borderId="0"/>
    <xf numFmtId="0" fontId="17" fillId="2" borderId="0"/>
    <xf numFmtId="0" fontId="190" fillId="0" borderId="0" applyFont="0" applyFill="0" applyBorder="0" applyAlignment="0">
      <alignment horizontal="left"/>
    </xf>
    <xf numFmtId="0" fontId="106" fillId="3" borderId="6" applyFont="0" applyFill="0" applyAlignment="0">
      <alignment vertical="center" wrapText="1"/>
    </xf>
    <xf numFmtId="9" fontId="211" fillId="0" borderId="0" applyBorder="0" applyAlignment="0" applyProtection="0"/>
    <xf numFmtId="0" fontId="18" fillId="2" borderId="0"/>
    <xf numFmtId="0" fontId="18" fillId="2" borderId="0"/>
    <xf numFmtId="0" fontId="206" fillId="2" borderId="0"/>
    <xf numFmtId="0" fontId="206" fillId="2" borderId="0"/>
    <xf numFmtId="0" fontId="79" fillId="2" borderId="0"/>
    <xf numFmtId="0" fontId="206" fillId="2" borderId="0"/>
    <xf numFmtId="0" fontId="206" fillId="2" borderId="0"/>
    <xf numFmtId="0" fontId="206" fillId="2" borderId="0"/>
    <xf numFmtId="0" fontId="18" fillId="2" borderId="0"/>
    <xf numFmtId="0" fontId="79" fillId="0" borderId="0"/>
    <xf numFmtId="0" fontId="2" fillId="0" borderId="0"/>
    <xf numFmtId="0" fontId="19" fillId="2" borderId="0"/>
    <xf numFmtId="0" fontId="19" fillId="2" borderId="0"/>
    <xf numFmtId="0" fontId="206" fillId="2" borderId="0"/>
    <xf numFmtId="0" fontId="206" fillId="2" borderId="0"/>
    <xf numFmtId="0" fontId="79" fillId="2" borderId="0"/>
    <xf numFmtId="0" fontId="206" fillId="2" borderId="0"/>
    <xf numFmtId="0" fontId="206" fillId="2" borderId="0"/>
    <xf numFmtId="0" fontId="206" fillId="2" borderId="0"/>
    <xf numFmtId="0" fontId="19" fillId="2" borderId="0"/>
    <xf numFmtId="0" fontId="20" fillId="0" borderId="0">
      <alignment wrapText="1"/>
    </xf>
    <xf numFmtId="0" fontId="20" fillId="0" borderId="0">
      <alignment wrapText="1"/>
    </xf>
    <xf numFmtId="0" fontId="206" fillId="0" borderId="0">
      <alignment wrapText="1"/>
    </xf>
    <xf numFmtId="0" fontId="206" fillId="0" borderId="0">
      <alignment wrapText="1"/>
    </xf>
    <xf numFmtId="0" fontId="79" fillId="0" borderId="0">
      <alignment wrapText="1"/>
    </xf>
    <xf numFmtId="0" fontId="206" fillId="0" borderId="0">
      <alignment wrapText="1"/>
    </xf>
    <xf numFmtId="0" fontId="206" fillId="0" borderId="0">
      <alignment wrapText="1"/>
    </xf>
    <xf numFmtId="0" fontId="206" fillId="0" borderId="0">
      <alignment wrapText="1"/>
    </xf>
    <xf numFmtId="0" fontId="20" fillId="0" borderId="0">
      <alignment wrapText="1"/>
    </xf>
    <xf numFmtId="0" fontId="9" fillId="0" borderId="0"/>
    <xf numFmtId="0" fontId="79" fillId="0" borderId="0"/>
    <xf numFmtId="0" fontId="79" fillId="0" borderId="0"/>
    <xf numFmtId="0" fontId="79" fillId="0" borderId="0"/>
    <xf numFmtId="0" fontId="9" fillId="0" borderId="0"/>
    <xf numFmtId="0" fontId="9" fillId="0" borderId="0"/>
    <xf numFmtId="0" fontId="9" fillId="0" borderId="0"/>
    <xf numFmtId="0" fontId="9" fillId="0" borderId="0"/>
    <xf numFmtId="0" fontId="141" fillId="0" borderId="0"/>
    <xf numFmtId="4" fontId="48" fillId="0" borderId="2">
      <alignment horizontal="center"/>
    </xf>
    <xf numFmtId="0" fontId="107" fillId="0" borderId="0"/>
    <xf numFmtId="257" fontId="2" fillId="0" borderId="0" applyFont="0" applyFill="0" applyBorder="0" applyAlignment="0" applyProtection="0"/>
    <xf numFmtId="0" fontId="21" fillId="0" borderId="0" applyFont="0" applyFill="0" applyBorder="0" applyAlignment="0" applyProtection="0"/>
    <xf numFmtId="221" fontId="12" fillId="0" borderId="0" applyFont="0" applyFill="0" applyBorder="0" applyAlignment="0" applyProtection="0"/>
    <xf numFmtId="258" fontId="2" fillId="0" borderId="0" applyFont="0" applyFill="0" applyBorder="0" applyAlignment="0" applyProtection="0"/>
    <xf numFmtId="0" fontId="21" fillId="0" borderId="0" applyFont="0" applyFill="0" applyBorder="0" applyAlignment="0" applyProtection="0"/>
    <xf numFmtId="222" fontId="12" fillId="0" borderId="0" applyFont="0" applyFill="0" applyBorder="0" applyAlignment="0" applyProtection="0"/>
    <xf numFmtId="0" fontId="82" fillId="0" borderId="0">
      <alignment horizontal="center" wrapText="1"/>
      <protection locked="0"/>
    </xf>
    <xf numFmtId="0" fontId="22" fillId="0" borderId="0" applyNumberFormat="0" applyBorder="0" applyAlignment="0">
      <alignment horizontal="center"/>
    </xf>
    <xf numFmtId="200" fontId="49" fillId="0" borderId="0" applyFont="0" applyFill="0" applyBorder="0" applyAlignment="0" applyProtection="0"/>
    <xf numFmtId="0" fontId="21" fillId="0" borderId="0" applyFont="0" applyFill="0" applyBorder="0" applyAlignment="0" applyProtection="0"/>
    <xf numFmtId="200" fontId="49" fillId="0" borderId="0" applyFont="0" applyFill="0" applyBorder="0" applyAlignment="0" applyProtection="0"/>
    <xf numFmtId="199" fontId="49" fillId="0" borderId="0" applyFont="0" applyFill="0" applyBorder="0" applyAlignment="0" applyProtection="0"/>
    <xf numFmtId="0" fontId="21" fillId="0" borderId="0" applyFont="0" applyFill="0" applyBorder="0" applyAlignment="0" applyProtection="0"/>
    <xf numFmtId="199" fontId="49" fillId="0" borderId="0" applyFont="0" applyFill="0" applyBorder="0" applyAlignment="0" applyProtection="0"/>
    <xf numFmtId="178" fontId="14" fillId="0" borderId="0" applyFont="0" applyFill="0" applyBorder="0" applyAlignment="0" applyProtection="0"/>
    <xf numFmtId="3" fontId="50" fillId="0" borderId="5">
      <alignment horizontal="left"/>
    </xf>
    <xf numFmtId="4" fontId="50" fillId="0" borderId="5">
      <alignment horizontal="center"/>
    </xf>
    <xf numFmtId="3" fontId="50" fillId="0" borderId="2">
      <alignment horizontal="left"/>
    </xf>
    <xf numFmtId="3" fontId="50" fillId="0" borderId="5">
      <alignment horizontal="left"/>
    </xf>
    <xf numFmtId="0" fontId="108" fillId="0" borderId="0" applyNumberFormat="0" applyFill="0" applyBorder="0" applyAlignment="0" applyProtection="0"/>
    <xf numFmtId="0" fontId="21" fillId="0" borderId="0"/>
    <xf numFmtId="0" fontId="88" fillId="0" borderId="0"/>
    <xf numFmtId="0" fontId="24" fillId="0" borderId="0"/>
    <xf numFmtId="0" fontId="21" fillId="0" borderId="0"/>
    <xf numFmtId="0" fontId="51" fillId="0" borderId="0"/>
    <xf numFmtId="0" fontId="109" fillId="0" borderId="0"/>
    <xf numFmtId="0" fontId="110" fillId="0" borderId="0"/>
    <xf numFmtId="0" fontId="1" fillId="0" borderId="0" applyFill="0" applyBorder="0" applyAlignment="0"/>
    <xf numFmtId="0" fontId="2" fillId="0" borderId="0" applyFill="0" applyBorder="0" applyAlignment="0"/>
    <xf numFmtId="223" fontId="111" fillId="0" borderId="0" applyFill="0" applyBorder="0" applyAlignment="0"/>
    <xf numFmtId="191" fontId="5" fillId="0" borderId="0" applyFill="0" applyBorder="0" applyAlignment="0"/>
    <xf numFmtId="191" fontId="2" fillId="0" borderId="0" applyFill="0" applyBorder="0" applyAlignment="0"/>
    <xf numFmtId="194" fontId="5" fillId="0" borderId="0" applyFill="0" applyBorder="0" applyAlignment="0"/>
    <xf numFmtId="194" fontId="2" fillId="0" borderId="0" applyFill="0" applyBorder="0" applyAlignment="0"/>
    <xf numFmtId="224" fontId="2" fillId="0" borderId="0" applyFill="0" applyBorder="0" applyAlignment="0"/>
    <xf numFmtId="179" fontId="111" fillId="0" borderId="0" applyFill="0" applyBorder="0" applyAlignment="0"/>
    <xf numFmtId="225" fontId="111" fillId="0" borderId="0" applyFill="0" applyBorder="0" applyAlignment="0"/>
    <xf numFmtId="223" fontId="111" fillId="0" borderId="0" applyFill="0" applyBorder="0" applyAlignment="0"/>
    <xf numFmtId="0" fontId="52" fillId="0" borderId="0"/>
    <xf numFmtId="226" fontId="112" fillId="0" borderId="4" applyBorder="0"/>
    <xf numFmtId="226" fontId="113" fillId="0" borderId="7">
      <protection locked="0"/>
    </xf>
    <xf numFmtId="259" fontId="12" fillId="0" borderId="0" applyFont="0" applyFill="0" applyBorder="0" applyAlignment="0" applyProtection="0"/>
    <xf numFmtId="227" fontId="114" fillId="0" borderId="7"/>
    <xf numFmtId="172" fontId="46" fillId="0" borderId="0" applyFont="0" applyFill="0" applyBorder="0" applyAlignment="0" applyProtection="0"/>
    <xf numFmtId="1" fontId="212" fillId="0" borderId="8" applyBorder="0"/>
    <xf numFmtId="169" fontId="2" fillId="0" borderId="0" applyFont="0" applyFill="0" applyBorder="0" applyAlignment="0" applyProtection="0"/>
    <xf numFmtId="228" fontId="115" fillId="0" borderId="0"/>
    <xf numFmtId="228" fontId="115" fillId="0" borderId="0"/>
    <xf numFmtId="228" fontId="115" fillId="0" borderId="0"/>
    <xf numFmtId="228" fontId="115" fillId="0" borderId="0"/>
    <xf numFmtId="228" fontId="115" fillId="0" borderId="0"/>
    <xf numFmtId="228" fontId="115" fillId="0" borderId="0"/>
    <xf numFmtId="228" fontId="115" fillId="0" borderId="0"/>
    <xf numFmtId="228" fontId="115" fillId="0" borderId="0"/>
    <xf numFmtId="179" fontId="111"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34"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47" fillId="0" borderId="0" applyFont="0" applyFill="0" applyBorder="0" applyAlignment="0" applyProtection="0"/>
    <xf numFmtId="169" fontId="2" fillId="0" borderId="0" applyFont="0" applyFill="0" applyBorder="0" applyAlignment="0" applyProtection="0"/>
    <xf numFmtId="169" fontId="247"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169" fontId="9" fillId="0" borderId="0" applyFont="0" applyFill="0" applyBorder="0" applyAlignment="0" applyProtection="0"/>
    <xf numFmtId="169" fontId="2" fillId="0" borderId="0" applyFont="0" applyFill="0" applyBorder="0" applyAlignment="0" applyProtection="0"/>
    <xf numFmtId="169" fontId="48" fillId="0" borderId="0" applyFont="0" applyFill="0" applyBorder="0" applyAlignment="0" applyProtection="0"/>
    <xf numFmtId="176" fontId="14" fillId="0" borderId="0" applyFont="0" applyFill="0" applyBorder="0" applyAlignment="0" applyProtection="0"/>
    <xf numFmtId="169" fontId="2"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99" fillId="0" borderId="0" applyFont="0" applyFill="0" applyBorder="0" applyAlignment="0" applyProtection="0"/>
    <xf numFmtId="169" fontId="2" fillId="0" borderId="0" applyFont="0" applyFill="0" applyBorder="0" applyAlignment="0" applyProtection="0"/>
    <xf numFmtId="177" fontId="2" fillId="0" borderId="0" applyFont="0" applyFill="0" applyBorder="0" applyAlignment="0" applyProtection="0"/>
    <xf numFmtId="169" fontId="2" fillId="0" borderId="0" applyFont="0" applyFill="0" applyBorder="0" applyAlignment="0" applyProtection="0"/>
    <xf numFmtId="169" fontId="9" fillId="0" borderId="0" applyFont="0" applyFill="0" applyBorder="0" applyAlignment="0" applyProtection="0"/>
    <xf numFmtId="169" fontId="2" fillId="0" borderId="0" applyFont="0" applyFill="0" applyBorder="0" applyAlignment="0" applyProtection="0"/>
    <xf numFmtId="169" fontId="9"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85" fontId="24" fillId="0" borderId="0"/>
    <xf numFmtId="169" fontId="8" fillId="0" borderId="0" applyFont="0" applyFill="0" applyBorder="0" applyProtection="0">
      <alignment vertical="center"/>
    </xf>
    <xf numFmtId="3" fontId="5" fillId="0" borderId="0" applyFont="0" applyFill="0" applyBorder="0" applyAlignment="0" applyProtection="0"/>
    <xf numFmtId="3" fontId="2" fillId="0" borderId="0" applyFont="0" applyFill="0" applyBorder="0" applyAlignment="0" applyProtection="0"/>
    <xf numFmtId="0" fontId="116" fillId="0" borderId="0" applyNumberFormat="0" applyAlignment="0">
      <alignment horizontal="left"/>
    </xf>
    <xf numFmtId="260" fontId="88" fillId="0" borderId="0" applyFont="0" applyFill="0" applyBorder="0" applyAlignment="0" applyProtection="0"/>
    <xf numFmtId="229" fontId="117" fillId="0" borderId="0">
      <protection locked="0"/>
    </xf>
    <xf numFmtId="230" fontId="117" fillId="0" borderId="0">
      <protection locked="0"/>
    </xf>
    <xf numFmtId="231" fontId="118" fillId="0" borderId="9">
      <protection locked="0"/>
    </xf>
    <xf numFmtId="232" fontId="117" fillId="0" borderId="0">
      <protection locked="0"/>
    </xf>
    <xf numFmtId="233" fontId="117" fillId="0" borderId="0">
      <protection locked="0"/>
    </xf>
    <xf numFmtId="232" fontId="117" fillId="0" borderId="0" applyNumberFormat="0">
      <protection locked="0"/>
    </xf>
    <xf numFmtId="232" fontId="117" fillId="0" borderId="0">
      <protection locked="0"/>
    </xf>
    <xf numFmtId="226" fontId="119" fillId="0" borderId="2"/>
    <xf numFmtId="234" fontId="119" fillId="0" borderId="2"/>
    <xf numFmtId="261" fontId="2" fillId="0" borderId="0" applyFont="0" applyFill="0" applyBorder="0" applyAlignment="0" applyProtection="0"/>
    <xf numFmtId="195" fontId="2" fillId="0" borderId="0" applyFont="0" applyFill="0" applyBorder="0" applyAlignment="0" applyProtection="0"/>
    <xf numFmtId="223" fontId="111" fillId="0" borderId="0" applyFont="0" applyFill="0" applyBorder="0" applyAlignment="0" applyProtection="0"/>
    <xf numFmtId="262" fontId="2" fillId="0" borderId="0" applyFont="0" applyFill="0" applyBorder="0" applyAlignment="0" applyProtection="0"/>
    <xf numFmtId="177" fontId="5" fillId="0" borderId="0" applyFont="0" applyFill="0" applyBorder="0" applyAlignment="0" applyProtection="0"/>
    <xf numFmtId="177" fontId="2" fillId="0" borderId="0" applyFont="0" applyFill="0" applyBorder="0" applyAlignment="0" applyProtection="0"/>
    <xf numFmtId="183" fontId="1" fillId="0" borderId="0"/>
    <xf numFmtId="183" fontId="2" fillId="0" borderId="0"/>
    <xf numFmtId="226" fontId="100" fillId="0" borderId="2">
      <alignment horizontal="center"/>
      <protection hidden="1"/>
    </xf>
    <xf numFmtId="235" fontId="120" fillId="0" borderId="2">
      <alignment horizontal="center"/>
      <protection hidden="1"/>
    </xf>
    <xf numFmtId="4" fontId="50" fillId="0" borderId="2"/>
    <xf numFmtId="176" fontId="79" fillId="0" borderId="10"/>
    <xf numFmtId="0" fontId="5" fillId="0" borderId="0" applyFont="0" applyFill="0" applyBorder="0" applyAlignment="0" applyProtection="0"/>
    <xf numFmtId="0" fontId="2" fillId="0" borderId="0" applyFont="0" applyFill="0" applyBorder="0" applyAlignment="0" applyProtection="0"/>
    <xf numFmtId="14" fontId="35" fillId="0" borderId="0" applyFill="0" applyBorder="0" applyAlignment="0"/>
    <xf numFmtId="170" fontId="213" fillId="0" borderId="0" applyFont="0" applyFill="0" applyBorder="0" applyAlignment="0" applyProtection="0"/>
    <xf numFmtId="4" fontId="111" fillId="0" borderId="0" applyFont="0" applyFill="0" applyBorder="0" applyAlignment="0" applyProtection="0"/>
    <xf numFmtId="184" fontId="1" fillId="0" borderId="0"/>
    <xf numFmtId="184" fontId="2" fillId="0" borderId="0"/>
    <xf numFmtId="170" fontId="121" fillId="0" borderId="0" applyFont="0" applyFill="0" applyBorder="0" applyAlignment="0" applyProtection="0"/>
    <xf numFmtId="171" fontId="121" fillId="0" borderId="0" applyFont="0" applyFill="0" applyBorder="0" applyAlignment="0" applyProtection="0"/>
    <xf numFmtId="167" fontId="121" fillId="0" borderId="0" applyFont="0" applyFill="0" applyBorder="0" applyAlignment="0" applyProtection="0"/>
    <xf numFmtId="167" fontId="121" fillId="0" borderId="0" applyFont="0" applyFill="0" applyBorder="0" applyAlignment="0" applyProtection="0"/>
    <xf numFmtId="170" fontId="121" fillId="0" borderId="0" applyFont="0" applyFill="0" applyBorder="0" applyAlignment="0" applyProtection="0"/>
    <xf numFmtId="170" fontId="121" fillId="0" borderId="0" applyFont="0" applyFill="0" applyBorder="0" applyAlignment="0" applyProtection="0"/>
    <xf numFmtId="167" fontId="121" fillId="0" borderId="0" applyFont="0" applyFill="0" applyBorder="0" applyAlignment="0" applyProtection="0"/>
    <xf numFmtId="167" fontId="121" fillId="0" borderId="0" applyFont="0" applyFill="0" applyBorder="0" applyAlignment="0" applyProtection="0"/>
    <xf numFmtId="170" fontId="121" fillId="0" borderId="0" applyFont="0" applyFill="0" applyBorder="0" applyAlignment="0" applyProtection="0"/>
    <xf numFmtId="170" fontId="121" fillId="0" borderId="0" applyFont="0" applyFill="0" applyBorder="0" applyAlignment="0" applyProtection="0"/>
    <xf numFmtId="170" fontId="121" fillId="0" borderId="0" applyFont="0" applyFill="0" applyBorder="0" applyAlignment="0" applyProtection="0"/>
    <xf numFmtId="170" fontId="121" fillId="0" borderId="0" applyFont="0" applyFill="0" applyBorder="0" applyAlignment="0" applyProtection="0"/>
    <xf numFmtId="167" fontId="121" fillId="0" borderId="0" applyFont="0" applyFill="0" applyBorder="0" applyAlignment="0" applyProtection="0"/>
    <xf numFmtId="167" fontId="121" fillId="0" borderId="0" applyFont="0" applyFill="0" applyBorder="0" applyAlignment="0" applyProtection="0"/>
    <xf numFmtId="41" fontId="121" fillId="0" borderId="0" applyFont="0" applyFill="0" applyBorder="0" applyAlignment="0" applyProtection="0"/>
    <xf numFmtId="41" fontId="121" fillId="0" borderId="0" applyFont="0" applyFill="0" applyBorder="0" applyAlignment="0" applyProtection="0"/>
    <xf numFmtId="170" fontId="121" fillId="0" borderId="0" applyFont="0" applyFill="0" applyBorder="0" applyAlignment="0" applyProtection="0"/>
    <xf numFmtId="169" fontId="121" fillId="0" borderId="0" applyFont="0" applyFill="0" applyBorder="0" applyAlignment="0" applyProtection="0"/>
    <xf numFmtId="169" fontId="121" fillId="0" borderId="0" applyFont="0" applyFill="0" applyBorder="0" applyAlignment="0" applyProtection="0"/>
    <xf numFmtId="171" fontId="121" fillId="0" borderId="0" applyFont="0" applyFill="0" applyBorder="0" applyAlignment="0" applyProtection="0"/>
    <xf numFmtId="171" fontId="121" fillId="0" borderId="0" applyFont="0" applyFill="0" applyBorder="0" applyAlignment="0" applyProtection="0"/>
    <xf numFmtId="169" fontId="121" fillId="0" borderId="0" applyFont="0" applyFill="0" applyBorder="0" applyAlignment="0" applyProtection="0"/>
    <xf numFmtId="169" fontId="121" fillId="0" borderId="0" applyFont="0" applyFill="0" applyBorder="0" applyAlignment="0" applyProtection="0"/>
    <xf numFmtId="171" fontId="121" fillId="0" borderId="0" applyFont="0" applyFill="0" applyBorder="0" applyAlignment="0" applyProtection="0"/>
    <xf numFmtId="171" fontId="121" fillId="0" borderId="0" applyFont="0" applyFill="0" applyBorder="0" applyAlignment="0" applyProtection="0"/>
    <xf numFmtId="171" fontId="121" fillId="0" borderId="0" applyFont="0" applyFill="0" applyBorder="0" applyAlignment="0" applyProtection="0"/>
    <xf numFmtId="171" fontId="121" fillId="0" borderId="0" applyFont="0" applyFill="0" applyBorder="0" applyAlignment="0" applyProtection="0"/>
    <xf numFmtId="169" fontId="121" fillId="0" borderId="0" applyFont="0" applyFill="0" applyBorder="0" applyAlignment="0" applyProtection="0"/>
    <xf numFmtId="169" fontId="121" fillId="0" borderId="0" applyFont="0" applyFill="0" applyBorder="0" applyAlignment="0" applyProtection="0"/>
    <xf numFmtId="43" fontId="121" fillId="0" borderId="0" applyFont="0" applyFill="0" applyBorder="0" applyAlignment="0" applyProtection="0"/>
    <xf numFmtId="43" fontId="121" fillId="0" borderId="0" applyFont="0" applyFill="0" applyBorder="0" applyAlignment="0" applyProtection="0"/>
    <xf numFmtId="171" fontId="121" fillId="0" borderId="0" applyFont="0" applyFill="0" applyBorder="0" applyAlignment="0" applyProtection="0"/>
    <xf numFmtId="3" fontId="79" fillId="0" borderId="0" applyFont="0" applyBorder="0" applyAlignment="0"/>
    <xf numFmtId="0" fontId="1" fillId="0" borderId="0" applyFill="0" applyBorder="0" applyAlignment="0"/>
    <xf numFmtId="0" fontId="2" fillId="0" borderId="0" applyFill="0" applyBorder="0" applyAlignment="0"/>
    <xf numFmtId="223" fontId="111" fillId="0" borderId="0" applyFill="0" applyBorder="0" applyAlignment="0"/>
    <xf numFmtId="179" fontId="111" fillId="0" borderId="0" applyFill="0" applyBorder="0" applyAlignment="0"/>
    <xf numFmtId="225" fontId="111" fillId="0" borderId="0" applyFill="0" applyBorder="0" applyAlignment="0"/>
    <xf numFmtId="223" fontId="111" fillId="0" borderId="0" applyFill="0" applyBorder="0" applyAlignment="0"/>
    <xf numFmtId="0" fontId="122" fillId="0" borderId="0" applyNumberFormat="0" applyAlignment="0">
      <alignment horizontal="left"/>
    </xf>
    <xf numFmtId="0" fontId="25" fillId="0" borderId="0"/>
    <xf numFmtId="3" fontId="79" fillId="0" borderId="0" applyFont="0" applyBorder="0" applyAlignment="0"/>
    <xf numFmtId="2" fontId="5" fillId="0" borderId="0" applyFont="0" applyFill="0" applyBorder="0" applyAlignment="0" applyProtection="0"/>
    <xf numFmtId="2" fontId="2" fillId="0" borderId="0" applyFont="0" applyFill="0" applyBorder="0" applyAlignment="0" applyProtection="0"/>
    <xf numFmtId="3" fontId="53" fillId="0" borderId="0" applyNumberFormat="0" applyFill="0" applyBorder="0" applyAlignment="0" applyProtection="0"/>
    <xf numFmtId="0" fontId="123" fillId="0" borderId="0" applyFont="0" applyAlignment="0" applyProtection="0"/>
    <xf numFmtId="38" fontId="26" fillId="2" borderId="0" applyNumberFormat="0" applyBorder="0" applyAlignment="0" applyProtection="0"/>
    <xf numFmtId="38" fontId="3" fillId="2" borderId="0" applyNumberFormat="0" applyBorder="0" applyAlignment="0" applyProtection="0"/>
    <xf numFmtId="0" fontId="144" fillId="0" borderId="11" applyNumberFormat="0" applyFill="0" applyBorder="0" applyAlignment="0" applyProtection="0">
      <alignment horizontal="center" vertical="center"/>
    </xf>
    <xf numFmtId="0" fontId="124" fillId="0" borderId="0" applyNumberFormat="0" applyFont="0" applyBorder="0" applyAlignment="0">
      <alignment horizontal="left" vertical="center"/>
    </xf>
    <xf numFmtId="0" fontId="125" fillId="4" borderId="0"/>
    <xf numFmtId="0" fontId="54" fillId="0" borderId="0">
      <alignment horizontal="left"/>
    </xf>
    <xf numFmtId="0" fontId="10" fillId="0" borderId="12" applyNumberFormat="0" applyAlignment="0" applyProtection="0">
      <alignment horizontal="left" vertical="center"/>
    </xf>
    <xf numFmtId="0" fontId="10" fillId="0" borderId="13">
      <alignment horizontal="left" vertical="center"/>
    </xf>
    <xf numFmtId="0" fontId="27" fillId="0" borderId="0" applyNumberFormat="0" applyFill="0" applyBorder="0" applyAlignment="0" applyProtection="0"/>
    <xf numFmtId="0" fontId="10" fillId="0" borderId="0" applyNumberFormat="0" applyFill="0" applyBorder="0" applyAlignment="0" applyProtection="0"/>
    <xf numFmtId="0" fontId="28" fillId="0" borderId="0" applyProtection="0"/>
    <xf numFmtId="0" fontId="27" fillId="0" borderId="0" applyProtection="0"/>
    <xf numFmtId="0" fontId="15" fillId="0" borderId="0" applyProtection="0"/>
    <xf numFmtId="0" fontId="10" fillId="0" borderId="0" applyProtection="0"/>
    <xf numFmtId="0" fontId="126" fillId="0" borderId="14">
      <alignment horizontal="center"/>
    </xf>
    <xf numFmtId="0" fontId="126" fillId="0" borderId="0">
      <alignment horizontal="center"/>
    </xf>
    <xf numFmtId="164" fontId="214" fillId="5" borderId="1" applyNumberFormat="0" applyAlignment="0">
      <alignment horizontal="left" vertical="top"/>
    </xf>
    <xf numFmtId="49" fontId="29" fillId="0" borderId="1">
      <alignment vertical="center"/>
    </xf>
    <xf numFmtId="0" fontId="24" fillId="0" borderId="0"/>
    <xf numFmtId="167" fontId="12" fillId="0" borderId="0" applyFont="0" applyFill="0" applyBorder="0" applyAlignment="0" applyProtection="0"/>
    <xf numFmtId="0" fontId="30" fillId="0" borderId="0"/>
    <xf numFmtId="10" fontId="26" fillId="6" borderId="1" applyNumberFormat="0" applyBorder="0" applyAlignment="0" applyProtection="0"/>
    <xf numFmtId="10" fontId="3" fillId="6" borderId="1" applyNumberFormat="0" applyBorder="0" applyAlignment="0" applyProtection="0"/>
    <xf numFmtId="2" fontId="48" fillId="0" borderId="15" applyBorder="0"/>
    <xf numFmtId="0" fontId="215" fillId="0" borderId="0" applyNumberFormat="0" applyFill="0" applyBorder="0" applyAlignment="0" applyProtection="0">
      <alignment vertical="top"/>
      <protection locked="0"/>
    </xf>
    <xf numFmtId="0" fontId="216"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5" fillId="0" borderId="0" applyNumberFormat="0" applyFill="0" applyBorder="0" applyAlignment="0" applyProtection="0">
      <alignment vertical="top"/>
      <protection locked="0"/>
    </xf>
    <xf numFmtId="0" fontId="79" fillId="0" borderId="0"/>
    <xf numFmtId="0" fontId="82" fillId="0" borderId="16">
      <alignment horizontal="centerContinuous"/>
    </xf>
    <xf numFmtId="0" fontId="31" fillId="0" borderId="0"/>
    <xf numFmtId="0" fontId="31" fillId="0" borderId="0"/>
    <xf numFmtId="0" fontId="1" fillId="0" borderId="0" applyFill="0" applyBorder="0" applyAlignment="0"/>
    <xf numFmtId="0" fontId="2" fillId="0" borderId="0" applyFill="0" applyBorder="0" applyAlignment="0"/>
    <xf numFmtId="223" fontId="111" fillId="0" borderId="0" applyFill="0" applyBorder="0" applyAlignment="0"/>
    <xf numFmtId="179" fontId="111" fillId="0" borderId="0" applyFill="0" applyBorder="0" applyAlignment="0"/>
    <xf numFmtId="225" fontId="111" fillId="0" borderId="0" applyFill="0" applyBorder="0" applyAlignment="0"/>
    <xf numFmtId="223" fontId="111" fillId="0" borderId="0" applyFill="0" applyBorder="0" applyAlignment="0"/>
    <xf numFmtId="226" fontId="3" fillId="0" borderId="4" applyFont="0"/>
    <xf numFmtId="3" fontId="2" fillId="0" borderId="17"/>
    <xf numFmtId="176" fontId="218" fillId="0" borderId="18" applyNumberFormat="0" applyFont="0" applyFill="0" applyBorder="0">
      <alignment horizontal="center"/>
    </xf>
    <xf numFmtId="38" fontId="31" fillId="0" borderId="0" applyFont="0" applyFill="0" applyBorder="0" applyAlignment="0" applyProtection="0"/>
    <xf numFmtId="40" fontId="31" fillId="0" borderId="0" applyFont="0" applyFill="0" applyBorder="0" applyAlignment="0" applyProtection="0"/>
    <xf numFmtId="170" fontId="2" fillId="0" borderId="0" applyFont="0" applyFill="0" applyBorder="0" applyAlignment="0" applyProtection="0"/>
    <xf numFmtId="171" fontId="2" fillId="0" borderId="0" applyFont="0" applyFill="0" applyBorder="0" applyAlignment="0" applyProtection="0"/>
    <xf numFmtId="0" fontId="127" fillId="0" borderId="7"/>
    <xf numFmtId="0" fontId="55" fillId="0" borderId="14"/>
    <xf numFmtId="213" fontId="91" fillId="0" borderId="18"/>
    <xf numFmtId="192" fontId="31" fillId="0" borderId="0" applyFont="0" applyFill="0" applyBorder="0" applyAlignment="0" applyProtection="0"/>
    <xf numFmtId="193" fontId="31" fillId="0" borderId="0" applyFont="0" applyFill="0" applyBorder="0" applyAlignment="0" applyProtection="0"/>
    <xf numFmtId="263" fontId="2" fillId="0" borderId="0" applyFont="0" applyFill="0" applyBorder="0" applyAlignment="0" applyProtection="0"/>
    <xf numFmtId="264" fontId="2" fillId="0" borderId="0" applyFont="0" applyFill="0" applyBorder="0" applyAlignment="0" applyProtection="0"/>
    <xf numFmtId="0" fontId="11" fillId="0" borderId="0" applyNumberFormat="0" applyFont="0" applyFill="0" applyAlignment="0"/>
    <xf numFmtId="0" fontId="119" fillId="0" borderId="0">
      <alignment horizontal="justify" vertical="top"/>
    </xf>
    <xf numFmtId="0" fontId="24" fillId="0" borderId="0"/>
    <xf numFmtId="0" fontId="9" fillId="0" borderId="7" applyNumberFormat="0" applyAlignment="0">
      <alignment horizontal="center"/>
    </xf>
    <xf numFmtId="37" fontId="32" fillId="0" borderId="0"/>
    <xf numFmtId="0" fontId="219" fillId="0" borderId="1" applyNumberFormat="0" applyFont="0" applyFill="0" applyBorder="0" applyAlignment="0">
      <alignment horizontal="center"/>
    </xf>
    <xf numFmtId="180" fontId="33" fillId="0" borderId="0"/>
    <xf numFmtId="0" fontId="42" fillId="0" borderId="0"/>
    <xf numFmtId="0" fontId="25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55" fillId="0" borderId="0"/>
    <xf numFmtId="0" fontId="255" fillId="0" borderId="0"/>
    <xf numFmtId="0" fontId="8" fillId="0" borderId="0"/>
    <xf numFmtId="0" fontId="79" fillId="0" borderId="0"/>
    <xf numFmtId="0" fontId="253" fillId="0" borderId="0"/>
    <xf numFmtId="0" fontId="96" fillId="0" borderId="0"/>
    <xf numFmtId="0" fontId="96" fillId="0" borderId="0"/>
    <xf numFmtId="0" fontId="79" fillId="0" borderId="0"/>
    <xf numFmtId="0" fontId="96" fillId="0" borderId="0"/>
    <xf numFmtId="0" fontId="8" fillId="0" borderId="0"/>
    <xf numFmtId="0" fontId="8" fillId="0" borderId="0"/>
    <xf numFmtId="0" fontId="2" fillId="0" borderId="0"/>
    <xf numFmtId="0" fontId="95" fillId="0" borderId="0"/>
    <xf numFmtId="0" fontId="2" fillId="0" borderId="0"/>
    <xf numFmtId="0" fontId="24" fillId="0" borderId="0"/>
    <xf numFmtId="0" fontId="2" fillId="0" borderId="0"/>
    <xf numFmtId="0" fontId="14" fillId="0" borderId="0"/>
    <xf numFmtId="0" fontId="2" fillId="0" borderId="0"/>
    <xf numFmtId="0" fontId="14" fillId="0" borderId="0"/>
    <xf numFmtId="0" fontId="9" fillId="0" borderId="0"/>
    <xf numFmtId="0" fontId="9" fillId="0" borderId="0"/>
    <xf numFmtId="0" fontId="79" fillId="0" borderId="0"/>
    <xf numFmtId="0" fontId="9" fillId="0" borderId="0"/>
    <xf numFmtId="0" fontId="79" fillId="0" borderId="0"/>
    <xf numFmtId="0" fontId="9" fillId="0" borderId="0"/>
    <xf numFmtId="0" fontId="88" fillId="0" borderId="0"/>
    <xf numFmtId="0" fontId="2" fillId="0" borderId="0"/>
    <xf numFmtId="0" fontId="97" fillId="0" borderId="0"/>
    <xf numFmtId="0" fontId="2" fillId="0" borderId="0"/>
    <xf numFmtId="0" fontId="253" fillId="0" borderId="0"/>
    <xf numFmtId="0" fontId="9" fillId="0" borderId="0"/>
    <xf numFmtId="0" fontId="9" fillId="0" borderId="0"/>
    <xf numFmtId="0" fontId="81" fillId="0" borderId="0"/>
    <xf numFmtId="0" fontId="8" fillId="0" borderId="0">
      <alignment vertical="center"/>
    </xf>
    <xf numFmtId="0" fontId="9" fillId="0" borderId="0"/>
    <xf numFmtId="0" fontId="8" fillId="0" borderId="0">
      <alignment vertical="center"/>
    </xf>
    <xf numFmtId="0" fontId="206" fillId="0" borderId="0"/>
    <xf numFmtId="0" fontId="14" fillId="0" borderId="0"/>
    <xf numFmtId="0" fontId="9" fillId="0" borderId="0"/>
    <xf numFmtId="0" fontId="1" fillId="0" borderId="0"/>
    <xf numFmtId="0" fontId="2" fillId="0" borderId="0"/>
    <xf numFmtId="0" fontId="12" fillId="0" borderId="0"/>
    <xf numFmtId="0" fontId="2" fillId="0" borderId="0"/>
    <xf numFmtId="0" fontId="14" fillId="0" borderId="0"/>
    <xf numFmtId="0" fontId="14" fillId="0" borderId="0"/>
    <xf numFmtId="0" fontId="9" fillId="0" borderId="0"/>
    <xf numFmtId="0" fontId="79" fillId="0" borderId="0"/>
    <xf numFmtId="4" fontId="48" fillId="0" borderId="2">
      <alignment horizontal="left"/>
    </xf>
    <xf numFmtId="0" fontId="105" fillId="0" borderId="0" applyFont="0"/>
    <xf numFmtId="0" fontId="121" fillId="0" borderId="0"/>
    <xf numFmtId="0" fontId="9" fillId="0" borderId="0"/>
    <xf numFmtId="171" fontId="92" fillId="0" borderId="0" applyFont="0" applyFill="0" applyBorder="0" applyAlignment="0" applyProtection="0"/>
    <xf numFmtId="170" fontId="92" fillId="0" borderId="0" applyFont="0" applyFill="0" applyBorder="0" applyAlignment="0" applyProtection="0"/>
    <xf numFmtId="0" fontId="128" fillId="0" borderId="0" applyNumberFormat="0" applyFill="0" applyBorder="0" applyAlignment="0" applyProtection="0"/>
    <xf numFmtId="0" fontId="128" fillId="0" borderId="0" applyNumberFormat="0" applyFill="0" applyBorder="0" applyAlignment="0" applyProtection="0"/>
    <xf numFmtId="0" fontId="88" fillId="0" borderId="0" applyNumberFormat="0" applyFill="0" applyBorder="0" applyAlignment="0" applyProtection="0"/>
    <xf numFmtId="0" fontId="79" fillId="0" borderId="0" applyNumberFormat="0" applyFill="0" applyBorder="0" applyAlignment="0" applyProtection="0"/>
    <xf numFmtId="0" fontId="2" fillId="0" borderId="0" applyFont="0" applyFill="0" applyBorder="0" applyAlignment="0" applyProtection="0"/>
    <xf numFmtId="0" fontId="24" fillId="0" borderId="0"/>
    <xf numFmtId="167" fontId="2" fillId="0" borderId="0" applyFont="0" applyFill="0" applyBorder="0" applyAlignment="0" applyProtection="0"/>
    <xf numFmtId="14" fontId="82" fillId="0" borderId="0">
      <alignment horizontal="center" wrapText="1"/>
      <protection locked="0"/>
    </xf>
    <xf numFmtId="9" fontId="2" fillId="0" borderId="0" applyFont="0" applyFill="0" applyBorder="0" applyAlignment="0" applyProtection="0"/>
    <xf numFmtId="224" fontId="2" fillId="0" borderId="0" applyFont="0" applyFill="0" applyBorder="0" applyAlignment="0" applyProtection="0"/>
    <xf numFmtId="236" fontId="2" fillId="0" borderId="0" applyFont="0" applyFill="0" applyBorder="0" applyAlignment="0" applyProtection="0"/>
    <xf numFmtId="10" fontId="5" fillId="0" borderId="0" applyFont="0" applyFill="0" applyBorder="0" applyAlignment="0" applyProtection="0"/>
    <xf numFmtId="10" fontId="2" fillId="0" borderId="0" applyFont="0" applyFill="0" applyBorder="0" applyAlignment="0" applyProtection="0"/>
    <xf numFmtId="9" fontId="8" fillId="0" borderId="0" applyFont="0" applyFill="0" applyBorder="0" applyAlignment="0" applyProtection="0"/>
    <xf numFmtId="9" fontId="24" fillId="0" borderId="0" applyFont="0" applyFill="0" applyBorder="0" applyAlignment="0" applyProtection="0"/>
    <xf numFmtId="9" fontId="2" fillId="0" borderId="0" applyFont="0" applyFill="0" applyBorder="0" applyAlignment="0" applyProtection="0"/>
    <xf numFmtId="9" fontId="247" fillId="0" borderId="0" applyFont="0" applyFill="0" applyBorder="0" applyAlignment="0" applyProtection="0"/>
    <xf numFmtId="9" fontId="24" fillId="0" borderId="0" applyFont="0" applyFill="0" applyBorder="0" applyAlignment="0" applyProtection="0"/>
    <xf numFmtId="9" fontId="247" fillId="0" borderId="0" applyFont="0" applyFill="0" applyBorder="0" applyAlignment="0" applyProtection="0"/>
    <xf numFmtId="9" fontId="31" fillId="0" borderId="19" applyNumberFormat="0" applyBorder="0"/>
    <xf numFmtId="0" fontId="56" fillId="0" borderId="20" applyFill="0" applyBorder="0" applyAlignment="0" applyProtection="0">
      <alignment horizontal="right"/>
    </xf>
    <xf numFmtId="0" fontId="1" fillId="0" borderId="0" applyFill="0" applyBorder="0" applyAlignment="0"/>
    <xf numFmtId="0" fontId="2" fillId="0" borderId="0" applyFill="0" applyBorder="0" applyAlignment="0"/>
    <xf numFmtId="223" fontId="111" fillId="0" borderId="0" applyFill="0" applyBorder="0" applyAlignment="0"/>
    <xf numFmtId="179" fontId="111" fillId="0" borderId="0" applyFill="0" applyBorder="0" applyAlignment="0"/>
    <xf numFmtId="225" fontId="111" fillId="0" borderId="0" applyFill="0" applyBorder="0" applyAlignment="0"/>
    <xf numFmtId="223" fontId="111" fillId="0" borderId="0" applyFill="0" applyBorder="0" applyAlignment="0"/>
    <xf numFmtId="0" fontId="129" fillId="0" borderId="0"/>
    <xf numFmtId="0" fontId="31" fillId="0" borderId="0" applyNumberFormat="0" applyFont="0" applyFill="0" applyBorder="0" applyAlignment="0" applyProtection="0">
      <alignment horizontal="left"/>
    </xf>
    <xf numFmtId="0" fontId="23" fillId="0" borderId="14">
      <alignment horizontal="center"/>
    </xf>
    <xf numFmtId="0" fontId="130" fillId="7" borderId="0" applyNumberFormat="0" applyFont="0" applyBorder="0" applyAlignment="0">
      <alignment horizontal="center"/>
    </xf>
    <xf numFmtId="14" fontId="131" fillId="0" borderId="0" applyNumberFormat="0" applyFill="0" applyBorder="0" applyAlignment="0" applyProtection="0">
      <alignment horizontal="left"/>
    </xf>
    <xf numFmtId="0" fontId="216" fillId="0" borderId="0" applyNumberFormat="0" applyFill="0" applyBorder="0" applyAlignment="0" applyProtection="0">
      <alignment vertical="top"/>
      <protection locked="0"/>
    </xf>
    <xf numFmtId="0" fontId="9" fillId="0" borderId="0"/>
    <xf numFmtId="167" fontId="12" fillId="0" borderId="0" applyFont="0" applyFill="0" applyBorder="0" applyAlignment="0" applyProtection="0"/>
    <xf numFmtId="0" fontId="79" fillId="0" borderId="0" applyNumberFormat="0" applyFill="0" applyBorder="0" applyAlignment="0" applyProtection="0"/>
    <xf numFmtId="265" fontId="220" fillId="0" borderId="21" applyFill="0" applyBorder="0" applyProtection="0"/>
    <xf numFmtId="4" fontId="132" fillId="8" borderId="22" applyNumberFormat="0" applyProtection="0">
      <alignment vertical="center"/>
    </xf>
    <xf numFmtId="4" fontId="133" fillId="8" borderId="22" applyNumberFormat="0" applyProtection="0">
      <alignment vertical="center"/>
    </xf>
    <xf numFmtId="4" fontId="134" fillId="8" borderId="22" applyNumberFormat="0" applyProtection="0">
      <alignment horizontal="left" vertical="center" indent="1"/>
    </xf>
    <xf numFmtId="4" fontId="134" fillId="9" borderId="0" applyNumberFormat="0" applyProtection="0">
      <alignment horizontal="left" vertical="center" indent="1"/>
    </xf>
    <xf numFmtId="4" fontId="134" fillId="10" borderId="22" applyNumberFormat="0" applyProtection="0">
      <alignment horizontal="right" vertical="center"/>
    </xf>
    <xf numFmtId="4" fontId="134" fillId="11" borderId="22" applyNumberFormat="0" applyProtection="0">
      <alignment horizontal="right" vertical="center"/>
    </xf>
    <xf numFmtId="4" fontId="134" fillId="12" borderId="22" applyNumberFormat="0" applyProtection="0">
      <alignment horizontal="right" vertical="center"/>
    </xf>
    <xf numFmtId="4" fontId="134" fillId="13" borderId="22" applyNumberFormat="0" applyProtection="0">
      <alignment horizontal="right" vertical="center"/>
    </xf>
    <xf numFmtId="4" fontId="134" fillId="14" borderId="22" applyNumberFormat="0" applyProtection="0">
      <alignment horizontal="right" vertical="center"/>
    </xf>
    <xf numFmtId="4" fontId="134" fillId="15" borderId="22" applyNumberFormat="0" applyProtection="0">
      <alignment horizontal="right" vertical="center"/>
    </xf>
    <xf numFmtId="4" fontId="134" fillId="16" borderId="22" applyNumberFormat="0" applyProtection="0">
      <alignment horizontal="right" vertical="center"/>
    </xf>
    <xf numFmtId="4" fontId="134" fillId="17" borderId="22" applyNumberFormat="0" applyProtection="0">
      <alignment horizontal="right" vertical="center"/>
    </xf>
    <xf numFmtId="4" fontId="134" fillId="18" borderId="22" applyNumberFormat="0" applyProtection="0">
      <alignment horizontal="right" vertical="center"/>
    </xf>
    <xf numFmtId="4" fontId="132" fillId="19" borderId="23" applyNumberFormat="0" applyProtection="0">
      <alignment horizontal="left" vertical="center" indent="1"/>
    </xf>
    <xf numFmtId="4" fontId="132" fillId="20" borderId="0" applyNumberFormat="0" applyProtection="0">
      <alignment horizontal="left" vertical="center" indent="1"/>
    </xf>
    <xf numFmtId="4" fontId="132" fillId="9" borderId="0" applyNumberFormat="0" applyProtection="0">
      <alignment horizontal="left" vertical="center" indent="1"/>
    </xf>
    <xf numFmtId="4" fontId="134" fillId="20" borderId="22" applyNumberFormat="0" applyProtection="0">
      <alignment horizontal="right" vertical="center"/>
    </xf>
    <xf numFmtId="4" fontId="35" fillId="20" borderId="0" applyNumberFormat="0" applyProtection="0">
      <alignment horizontal="left" vertical="center" indent="1"/>
    </xf>
    <xf numFmtId="4" fontId="35" fillId="9" borderId="0" applyNumberFormat="0" applyProtection="0">
      <alignment horizontal="left" vertical="center" indent="1"/>
    </xf>
    <xf numFmtId="4" fontId="134" fillId="21" borderId="22" applyNumberFormat="0" applyProtection="0">
      <alignment vertical="center"/>
    </xf>
    <xf numFmtId="4" fontId="135" fillId="21" borderId="22" applyNumberFormat="0" applyProtection="0">
      <alignment vertical="center"/>
    </xf>
    <xf numFmtId="4" fontId="132" fillId="20" borderId="24" applyNumberFormat="0" applyProtection="0">
      <alignment horizontal="left" vertical="center" indent="1"/>
    </xf>
    <xf numFmtId="4" fontId="134" fillId="21" borderId="22" applyNumberFormat="0" applyProtection="0">
      <alignment horizontal="right" vertical="center"/>
    </xf>
    <xf numFmtId="4" fontId="135" fillId="21" borderId="22" applyNumberFormat="0" applyProtection="0">
      <alignment horizontal="right" vertical="center"/>
    </xf>
    <xf numFmtId="4" fontId="132" fillId="20" borderId="22" applyNumberFormat="0" applyProtection="0">
      <alignment horizontal="left" vertical="center" indent="1"/>
    </xf>
    <xf numFmtId="4" fontId="136" fillId="5" borderId="24" applyNumberFormat="0" applyProtection="0">
      <alignment horizontal="left" vertical="center" indent="1"/>
    </xf>
    <xf numFmtId="4" fontId="137" fillId="21" borderId="22" applyNumberFormat="0" applyProtection="0">
      <alignment horizontal="right" vertical="center"/>
    </xf>
    <xf numFmtId="266" fontId="221" fillId="0" borderId="0" applyFont="0" applyFill="0" applyBorder="0" applyAlignment="0" applyProtection="0"/>
    <xf numFmtId="0" fontId="130" fillId="1" borderId="13" applyNumberFormat="0" applyFont="0" applyAlignment="0">
      <alignment horizontal="center"/>
    </xf>
    <xf numFmtId="3" fontId="14" fillId="0" borderId="0"/>
    <xf numFmtId="0" fontId="138" fillId="0" borderId="0" applyNumberFormat="0" applyFill="0" applyBorder="0" applyAlignment="0">
      <alignment horizontal="center"/>
    </xf>
    <xf numFmtId="0" fontId="2" fillId="0" borderId="0"/>
    <xf numFmtId="172" fontId="222" fillId="0" borderId="0" applyNumberFormat="0" applyBorder="0" applyAlignment="0">
      <alignment horizontal="centerContinuous"/>
    </xf>
    <xf numFmtId="166" fontId="12" fillId="0" borderId="0" applyFont="0" applyFill="0" applyBorder="0" applyAlignment="0" applyProtection="0"/>
    <xf numFmtId="0" fontId="12" fillId="0" borderId="0" applyFont="0" applyFill="0" applyBorder="0" applyAlignment="0" applyProtection="0"/>
    <xf numFmtId="167" fontId="12" fillId="0" borderId="0" applyFont="0" applyFill="0" applyBorder="0" applyAlignment="0" applyProtection="0"/>
    <xf numFmtId="25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72" fontId="46" fillId="0" borderId="0" applyFont="0" applyFill="0" applyBorder="0" applyAlignment="0" applyProtection="0"/>
    <xf numFmtId="170"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254" fontId="12" fillId="0" borderId="0" applyFont="0" applyFill="0" applyBorder="0" applyAlignment="0" applyProtection="0"/>
    <xf numFmtId="41" fontId="12" fillId="0" borderId="0" applyFont="0" applyFill="0" applyBorder="0" applyAlignment="0" applyProtection="0"/>
    <xf numFmtId="200" fontId="12" fillId="0" borderId="0" applyFont="0" applyFill="0" applyBorder="0" applyAlignment="0" applyProtection="0"/>
    <xf numFmtId="255" fontId="2" fillId="0" borderId="0" applyFont="0" applyFill="0" applyBorder="0" applyAlignment="0" applyProtection="0"/>
    <xf numFmtId="246" fontId="12" fillId="0" borderId="0" applyFont="0" applyFill="0" applyBorder="0" applyAlignment="0" applyProtection="0"/>
    <xf numFmtId="41" fontId="12" fillId="0" borderId="0" applyFont="0" applyFill="0" applyBorder="0" applyAlignment="0" applyProtection="0"/>
    <xf numFmtId="167" fontId="12" fillId="0" borderId="0" applyFont="0" applyFill="0" applyBorder="0" applyAlignment="0" applyProtection="0"/>
    <xf numFmtId="256" fontId="12"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6" fontId="12" fillId="0" borderId="0" applyFont="0" applyFill="0" applyBorder="0" applyAlignment="0" applyProtection="0"/>
    <xf numFmtId="248" fontId="12" fillId="0" borderId="0" applyFont="0" applyFill="0" applyBorder="0" applyAlignment="0" applyProtection="0"/>
    <xf numFmtId="178" fontId="12" fillId="0" borderId="0" applyFont="0" applyFill="0" applyBorder="0" applyAlignment="0" applyProtection="0"/>
    <xf numFmtId="167" fontId="12" fillId="0" borderId="0" applyFont="0" applyFill="0" applyBorder="0" applyAlignment="0" applyProtection="0"/>
    <xf numFmtId="247"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252" fontId="12" fillId="0" borderId="0" applyFont="0" applyFill="0" applyBorder="0" applyAlignment="0" applyProtection="0"/>
    <xf numFmtId="252" fontId="14" fillId="0" borderId="0" applyFont="0" applyFill="0" applyBorder="0" applyAlignment="0" applyProtection="0"/>
    <xf numFmtId="253" fontId="12" fillId="0" borderId="0" applyFont="0" applyFill="0" applyBorder="0" applyAlignment="0" applyProtection="0"/>
    <xf numFmtId="252" fontId="12" fillId="0" borderId="0" applyFont="0" applyFill="0" applyBorder="0" applyAlignment="0" applyProtection="0"/>
    <xf numFmtId="0" fontId="9" fillId="0" borderId="0"/>
    <xf numFmtId="267" fontId="88" fillId="0" borderId="0" applyFont="0" applyFill="0" applyBorder="0" applyAlignment="0" applyProtection="0"/>
    <xf numFmtId="167" fontId="12" fillId="0" borderId="0" applyFont="0" applyFill="0" applyBorder="0" applyAlignment="0" applyProtection="0"/>
    <xf numFmtId="166" fontId="12" fillId="0" borderId="0" applyFont="0" applyFill="0" applyBorder="0" applyAlignment="0" applyProtection="0"/>
    <xf numFmtId="248" fontId="12" fillId="0" borderId="0" applyFont="0" applyFill="0" applyBorder="0" applyAlignment="0" applyProtection="0"/>
    <xf numFmtId="178" fontId="12" fillId="0" borderId="0" applyFont="0" applyFill="0" applyBorder="0" applyAlignment="0" applyProtection="0"/>
    <xf numFmtId="247" fontId="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252" fontId="12" fillId="0" borderId="0" applyFont="0" applyFill="0" applyBorder="0" applyAlignment="0" applyProtection="0"/>
    <xf numFmtId="252" fontId="14" fillId="0" borderId="0" applyFont="0" applyFill="0" applyBorder="0" applyAlignment="0" applyProtection="0"/>
    <xf numFmtId="253" fontId="12" fillId="0" borderId="0" applyFont="0" applyFill="0" applyBorder="0" applyAlignment="0" applyProtection="0"/>
    <xf numFmtId="200" fontId="12" fillId="0" borderId="0" applyFont="0" applyFill="0" applyBorder="0" applyAlignment="0" applyProtection="0"/>
    <xf numFmtId="252" fontId="12" fillId="0" borderId="0" applyFont="0" applyFill="0" applyBorder="0" applyAlignment="0" applyProtection="0"/>
    <xf numFmtId="0" fontId="9" fillId="0" borderId="0"/>
    <xf numFmtId="267" fontId="88" fillId="0" borderId="0" applyFont="0" applyFill="0" applyBorder="0" applyAlignment="0" applyProtection="0"/>
    <xf numFmtId="167" fontId="12" fillId="0" borderId="0" applyFont="0" applyFill="0" applyBorder="0" applyAlignment="0" applyProtection="0"/>
    <xf numFmtId="167" fontId="12" fillId="0" borderId="0" applyFont="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0" fontId="93" fillId="0" borderId="0"/>
    <xf numFmtId="0" fontId="55" fillId="0" borderId="0"/>
    <xf numFmtId="40" fontId="139" fillId="0" borderId="0" applyBorder="0">
      <alignment horizontal="right"/>
    </xf>
    <xf numFmtId="189" fontId="34" fillId="2" borderId="25" applyFont="0" applyFill="0" applyBorder="0"/>
    <xf numFmtId="189" fontId="34" fillId="2" borderId="25" applyFont="0" applyFill="0" applyBorder="0"/>
    <xf numFmtId="268" fontId="12" fillId="0" borderId="15">
      <alignment horizontal="right" vertical="center"/>
    </xf>
    <xf numFmtId="237" fontId="88" fillId="0" borderId="15">
      <alignment horizontal="right" vertical="center"/>
    </xf>
    <xf numFmtId="170" fontId="140" fillId="0" borderId="15">
      <alignment horizontal="right" vertical="center"/>
    </xf>
    <xf numFmtId="269" fontId="2" fillId="0" borderId="15">
      <alignment horizontal="right" vertical="center"/>
    </xf>
    <xf numFmtId="270" fontId="2" fillId="0" borderId="15">
      <alignment horizontal="right" vertical="center"/>
    </xf>
    <xf numFmtId="271" fontId="2" fillId="0" borderId="15">
      <alignment horizontal="right" vertical="center"/>
    </xf>
    <xf numFmtId="270" fontId="2" fillId="0" borderId="15">
      <alignment horizontal="right" vertical="center"/>
    </xf>
    <xf numFmtId="245" fontId="8" fillId="0" borderId="15">
      <alignment horizontal="right" vertical="center"/>
    </xf>
    <xf numFmtId="269" fontId="2" fillId="0" borderId="15">
      <alignment horizontal="right" vertical="center"/>
    </xf>
    <xf numFmtId="189" fontId="34" fillId="2" borderId="25" applyFont="0" applyFill="0" applyBorder="0"/>
    <xf numFmtId="237" fontId="88" fillId="0" borderId="15">
      <alignment horizontal="right" vertical="center"/>
    </xf>
    <xf numFmtId="189" fontId="34" fillId="2" borderId="25" applyFont="0" applyFill="0" applyBorder="0"/>
    <xf numFmtId="189" fontId="34" fillId="2" borderId="25" applyFont="0" applyFill="0" applyBorder="0"/>
    <xf numFmtId="272" fontId="2" fillId="0" borderId="15">
      <alignment horizontal="right" vertical="center"/>
    </xf>
    <xf numFmtId="189" fontId="34" fillId="2" borderId="25" applyFont="0" applyFill="0" applyBorder="0"/>
    <xf numFmtId="189" fontId="34" fillId="2" borderId="25" applyFont="0" applyFill="0" applyBorder="0"/>
    <xf numFmtId="237" fontId="88" fillId="0" borderId="15">
      <alignment horizontal="right" vertical="center"/>
    </xf>
    <xf numFmtId="189" fontId="34" fillId="2" borderId="25" applyFont="0" applyFill="0" applyBorder="0"/>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8" fontId="79"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189" fontId="34" fillId="2" borderId="25" applyFont="0" applyFill="0" applyBorder="0"/>
    <xf numFmtId="237" fontId="88" fillId="0" borderId="15">
      <alignment horizontal="right" vertical="center"/>
    </xf>
    <xf numFmtId="238" fontId="79"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189" fontId="34" fillId="2" borderId="25" applyFont="0" applyFill="0" applyBorder="0"/>
    <xf numFmtId="237" fontId="88" fillId="0" borderId="15">
      <alignment horizontal="right" vertical="center"/>
    </xf>
    <xf numFmtId="237" fontId="88" fillId="0" borderId="15">
      <alignment horizontal="right" vertical="center"/>
    </xf>
    <xf numFmtId="237" fontId="88" fillId="0" borderId="15">
      <alignment horizontal="right" vertical="center"/>
    </xf>
    <xf numFmtId="189" fontId="34" fillId="2" borderId="25" applyFont="0" applyFill="0" applyBorder="0"/>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189" fontId="34" fillId="2" borderId="25" applyFont="0" applyFill="0" applyBorder="0"/>
    <xf numFmtId="189" fontId="34" fillId="2" borderId="25" applyFont="0" applyFill="0" applyBorder="0"/>
    <xf numFmtId="189" fontId="34" fillId="2" borderId="25" applyFont="0" applyFill="0" applyBorder="0"/>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237" fontId="88" fillId="0" borderId="15">
      <alignment horizontal="right" vertical="center"/>
    </xf>
    <xf numFmtId="170" fontId="140" fillId="0" borderId="15">
      <alignment horizontal="right" vertical="center"/>
    </xf>
    <xf numFmtId="237" fontId="88" fillId="0" borderId="15">
      <alignment horizontal="right" vertical="center"/>
    </xf>
    <xf numFmtId="273" fontId="2" fillId="2" borderId="25" applyFont="0" applyFill="0" applyBorder="0"/>
    <xf numFmtId="195" fontId="8" fillId="2" borderId="25" applyFont="0" applyFill="0" applyBorder="0"/>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9" fontId="141" fillId="0" borderId="15">
      <alignment horizontal="right" vertical="center"/>
    </xf>
    <xf numFmtId="237" fontId="88" fillId="0" borderId="15">
      <alignment horizontal="right" vertical="center"/>
    </xf>
    <xf numFmtId="274" fontId="223" fillId="0" borderId="15">
      <alignment horizontal="right" vertical="center"/>
    </xf>
    <xf numFmtId="226" fontId="119" fillId="0" borderId="2">
      <protection hidden="1"/>
    </xf>
    <xf numFmtId="49" fontId="35" fillId="0" borderId="0" applyFill="0" applyBorder="0" applyAlignment="0"/>
    <xf numFmtId="0" fontId="1" fillId="0" borderId="0" applyFill="0" applyBorder="0" applyAlignment="0"/>
    <xf numFmtId="0" fontId="2" fillId="0" borderId="0" applyFill="0" applyBorder="0" applyAlignment="0"/>
    <xf numFmtId="240" fontId="2" fillId="0" borderId="0" applyFill="0" applyBorder="0" applyAlignment="0"/>
    <xf numFmtId="188" fontId="12" fillId="0" borderId="0"/>
    <xf numFmtId="275" fontId="186" fillId="0" borderId="0" applyNumberFormat="0" applyFont="0" applyFill="0" applyBorder="0" applyAlignment="0">
      <alignment horizontal="centerContinuous"/>
    </xf>
    <xf numFmtId="0" fontId="57" fillId="0" borderId="26"/>
    <xf numFmtId="0" fontId="88" fillId="0" borderId="0" applyNumberFormat="0" applyFill="0" applyBorder="0" applyAlignment="0" applyProtection="0"/>
    <xf numFmtId="0" fontId="2" fillId="0" borderId="0" applyNumberFormat="0" applyFill="0" applyBorder="0" applyAlignment="0" applyProtection="0"/>
    <xf numFmtId="0" fontId="128" fillId="0" borderId="0" applyNumberFormat="0" applyFill="0" applyBorder="0" applyAlignment="0" applyProtection="0"/>
    <xf numFmtId="0" fontId="46" fillId="0" borderId="7" applyNumberFormat="0" applyBorder="0" applyAlignment="0"/>
    <xf numFmtId="0" fontId="224" fillId="0" borderId="18" applyNumberFormat="0" applyBorder="0" applyAlignment="0">
      <alignment horizontal="center"/>
    </xf>
    <xf numFmtId="3" fontId="225" fillId="0" borderId="11" applyNumberFormat="0" applyBorder="0" applyAlignment="0"/>
    <xf numFmtId="49" fontId="142" fillId="0" borderId="0">
      <alignment horizontal="justify" vertical="center" wrapText="1"/>
    </xf>
    <xf numFmtId="0" fontId="29" fillId="0" borderId="0">
      <alignment horizontal="center"/>
    </xf>
    <xf numFmtId="40" fontId="76" fillId="0" borderId="0"/>
    <xf numFmtId="0" fontId="143" fillId="0" borderId="7"/>
    <xf numFmtId="3" fontId="226" fillId="0" borderId="0" applyNumberFormat="0" applyFill="0" applyBorder="0" applyAlignment="0" applyProtection="0">
      <alignment horizontal="center" wrapText="1"/>
    </xf>
    <xf numFmtId="0" fontId="227" fillId="0" borderId="27" applyBorder="0" applyAlignment="0">
      <alignment horizontal="center" vertical="center"/>
    </xf>
    <xf numFmtId="0" fontId="228" fillId="0" borderId="0" applyNumberFormat="0" applyFill="0" applyBorder="0" applyAlignment="0" applyProtection="0">
      <alignment horizontal="centerContinuous"/>
    </xf>
    <xf numFmtId="0" fontId="144" fillId="0" borderId="28" applyNumberFormat="0" applyFill="0" applyBorder="0" applyAlignment="0" applyProtection="0">
      <alignment horizontal="center" vertical="center" wrapText="1"/>
    </xf>
    <xf numFmtId="0" fontId="229" fillId="0" borderId="29" applyNumberFormat="0" applyBorder="0" applyAlignment="0">
      <alignment vertical="center"/>
    </xf>
    <xf numFmtId="0" fontId="5" fillId="0" borderId="6" applyNumberFormat="0" applyFont="0" applyFill="0" applyAlignment="0" applyProtection="0"/>
    <xf numFmtId="0" fontId="2" fillId="0" borderId="6" applyNumberFormat="0" applyFont="0" applyFill="0" applyAlignment="0" applyProtection="0"/>
    <xf numFmtId="170" fontId="2" fillId="0" borderId="0" applyFont="0" applyFill="0" applyBorder="0" applyAlignment="0" applyProtection="0"/>
    <xf numFmtId="276" fontId="2" fillId="0" borderId="0" applyFont="0" applyFill="0" applyBorder="0" applyAlignment="0" applyProtection="0"/>
    <xf numFmtId="178" fontId="2" fillId="0" borderId="0" applyFont="0" applyFill="0" applyBorder="0" applyAlignment="0" applyProtection="0"/>
    <xf numFmtId="277" fontId="2" fillId="0" borderId="0" applyFont="0" applyFill="0" applyBorder="0" applyAlignment="0" applyProtection="0"/>
    <xf numFmtId="0" fontId="10" fillId="0" borderId="17">
      <alignment horizontal="center"/>
    </xf>
    <xf numFmtId="187" fontId="25" fillId="0" borderId="0"/>
    <xf numFmtId="190" fontId="25" fillId="0" borderId="1"/>
    <xf numFmtId="0" fontId="36" fillId="0" borderId="0"/>
    <xf numFmtId="0" fontId="213" fillId="0" borderId="0"/>
    <xf numFmtId="3" fontId="88" fillId="0" borderId="0" applyNumberFormat="0" applyBorder="0" applyAlignment="0" applyProtection="0">
      <alignment horizontal="centerContinuous"/>
      <protection locked="0"/>
    </xf>
    <xf numFmtId="3" fontId="145" fillId="0" borderId="0">
      <protection locked="0"/>
    </xf>
    <xf numFmtId="0" fontId="36" fillId="0" borderId="0"/>
    <xf numFmtId="164" fontId="230" fillId="22" borderId="27">
      <alignment vertical="top"/>
    </xf>
    <xf numFmtId="0" fontId="142" fillId="23" borderId="1">
      <alignment horizontal="left" vertical="center"/>
    </xf>
    <xf numFmtId="165" fontId="231" fillId="24" borderId="27"/>
    <xf numFmtId="164" fontId="146" fillId="0" borderId="27">
      <alignment horizontal="left" vertical="top"/>
    </xf>
    <xf numFmtId="0" fontId="232" fillId="25" borderId="0">
      <alignment horizontal="left" vertical="center"/>
    </xf>
    <xf numFmtId="164" fontId="147" fillId="0" borderId="30">
      <alignment horizontal="left" vertical="top"/>
    </xf>
    <xf numFmtId="0" fontId="148" fillId="0" borderId="30">
      <alignment horizontal="left" vertical="center"/>
    </xf>
    <xf numFmtId="278" fontId="213" fillId="0" borderId="0" applyFont="0" applyFill="0" applyBorder="0" applyAlignment="0" applyProtection="0"/>
    <xf numFmtId="279" fontId="2" fillId="0" borderId="0" applyFont="0" applyFill="0" applyBorder="0" applyAlignment="0" applyProtection="0"/>
    <xf numFmtId="166" fontId="121" fillId="0" borderId="0" applyFont="0" applyFill="0" applyBorder="0" applyAlignment="0" applyProtection="0"/>
    <xf numFmtId="168" fontId="121" fillId="0" borderId="0" applyFont="0" applyFill="0" applyBorder="0" applyAlignment="0" applyProtection="0"/>
    <xf numFmtId="0" fontId="37" fillId="0" borderId="0" applyNumberFormat="0" applyFill="0" applyBorder="0" applyAlignment="0" applyProtection="0"/>
    <xf numFmtId="0" fontId="44" fillId="0" borderId="0" applyFont="0" applyFill="0" applyBorder="0" applyAlignment="0" applyProtection="0"/>
    <xf numFmtId="0" fontId="44" fillId="0" borderId="0" applyFont="0" applyFill="0" applyBorder="0" applyAlignment="0" applyProtection="0"/>
    <xf numFmtId="0" fontId="45" fillId="0" borderId="0">
      <alignment vertical="center"/>
    </xf>
    <xf numFmtId="40" fontId="38" fillId="0" borderId="0" applyFont="0" applyFill="0" applyBorder="0" applyAlignment="0" applyProtection="0"/>
    <xf numFmtId="38" fontId="38" fillId="0" borderId="0" applyFont="0" applyFill="0" applyBorder="0" applyAlignment="0" applyProtection="0"/>
    <xf numFmtId="0" fontId="38" fillId="0" borderId="0" applyFont="0" applyFill="0" applyBorder="0" applyAlignment="0" applyProtection="0"/>
    <xf numFmtId="0" fontId="38" fillId="0" borderId="0" applyFont="0" applyFill="0" applyBorder="0" applyAlignment="0" applyProtection="0"/>
    <xf numFmtId="9" fontId="39" fillId="0" borderId="0" applyFont="0" applyFill="0" applyBorder="0" applyAlignment="0" applyProtection="0"/>
    <xf numFmtId="0" fontId="40" fillId="0" borderId="0"/>
    <xf numFmtId="0" fontId="233" fillId="0" borderId="4"/>
    <xf numFmtId="199" fontId="149" fillId="0" borderId="0" applyFont="0" applyFill="0" applyBorder="0" applyAlignment="0" applyProtection="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42" fillId="0" borderId="0" applyFont="0" applyFill="0" applyBorder="0" applyAlignment="0" applyProtection="0"/>
    <xf numFmtId="0" fontId="42" fillId="0" borderId="0" applyFont="0" applyFill="0" applyBorder="0" applyAlignment="0" applyProtection="0"/>
    <xf numFmtId="201" fontId="42" fillId="0" borderId="0" applyFont="0" applyFill="0" applyBorder="0" applyAlignment="0" applyProtection="0"/>
    <xf numFmtId="202" fontId="42" fillId="0" borderId="0" applyFont="0" applyFill="0" applyBorder="0" applyAlignment="0" applyProtection="0"/>
    <xf numFmtId="0" fontId="42" fillId="0" borderId="0"/>
    <xf numFmtId="0" fontId="42" fillId="0" borderId="0"/>
    <xf numFmtId="0" fontId="11" fillId="0" borderId="0"/>
    <xf numFmtId="170" fontId="41" fillId="0" borderId="0" applyFont="0" applyFill="0" applyBorder="0" applyAlignment="0" applyProtection="0"/>
    <xf numFmtId="171" fontId="41" fillId="0" borderId="0" applyFont="0" applyFill="0" applyBorder="0" applyAlignment="0" applyProtection="0"/>
    <xf numFmtId="169" fontId="2" fillId="0" borderId="0" applyFont="0" applyFill="0" applyBorder="0" applyAlignment="0" applyProtection="0"/>
    <xf numFmtId="167" fontId="2" fillId="0" borderId="0" applyFont="0" applyFill="0" applyBorder="0" applyAlignment="0" applyProtection="0"/>
    <xf numFmtId="0" fontId="2" fillId="0" borderId="0"/>
    <xf numFmtId="178" fontId="41" fillId="0" borderId="0" applyFont="0" applyFill="0" applyBorder="0" applyAlignment="0" applyProtection="0"/>
    <xf numFmtId="165" fontId="43" fillId="0" borderId="0" applyFont="0" applyFill="0" applyBorder="0" applyAlignment="0" applyProtection="0"/>
    <xf numFmtId="179" fontId="41" fillId="0" borderId="0" applyFont="0" applyFill="0" applyBorder="0" applyAlignment="0" applyProtection="0"/>
    <xf numFmtId="168" fontId="2" fillId="0" borderId="0" applyFont="0" applyFill="0" applyBorder="0" applyAlignment="0" applyProtection="0"/>
    <xf numFmtId="166" fontId="2" fillId="0" borderId="0" applyFont="0" applyFill="0" applyBorder="0" applyAlignment="0" applyProtection="0"/>
    <xf numFmtId="0" fontId="1" fillId="0" borderId="0"/>
    <xf numFmtId="169" fontId="248" fillId="0" borderId="0" applyFont="0" applyFill="0" applyBorder="0" applyAlignment="0" applyProtection="0"/>
    <xf numFmtId="0" fontId="79" fillId="0" borderId="0"/>
  </cellStyleXfs>
  <cellXfs count="2176">
    <xf numFmtId="0" fontId="0" fillId="0" borderId="0" xfId="0"/>
    <xf numFmtId="172" fontId="5" fillId="0" borderId="7" xfId="370" applyNumberFormat="1" applyFont="1" applyFill="1" applyBorder="1" applyAlignment="1">
      <alignment vertical="center"/>
    </xf>
    <xf numFmtId="203" fontId="6" fillId="0" borderId="7" xfId="370" applyNumberFormat="1" applyFont="1" applyFill="1" applyBorder="1" applyAlignment="1">
      <alignment horizontal="left" vertical="center"/>
    </xf>
    <xf numFmtId="0" fontId="4" fillId="0" borderId="1" xfId="0" applyFont="1" applyFill="1" applyBorder="1" applyAlignment="1">
      <alignment horizontal="center" vertical="center"/>
    </xf>
    <xf numFmtId="172" fontId="4" fillId="0" borderId="1" xfId="370" applyNumberFormat="1" applyFont="1" applyFill="1" applyBorder="1" applyAlignment="1">
      <alignment horizontal="center" vertical="center" wrapText="1"/>
    </xf>
    <xf numFmtId="0" fontId="6" fillId="0" borderId="7" xfId="370" applyNumberFormat="1" applyFont="1" applyFill="1" applyBorder="1" applyAlignment="1">
      <alignment horizontal="left" vertical="center"/>
    </xf>
    <xf numFmtId="172" fontId="5" fillId="0" borderId="11" xfId="370" applyNumberFormat="1" applyFont="1" applyFill="1" applyBorder="1" applyAlignment="1">
      <alignment vertical="center"/>
    </xf>
    <xf numFmtId="172" fontId="24" fillId="0" borderId="0" xfId="393" applyNumberFormat="1" applyFont="1" applyFill="1" applyAlignment="1">
      <alignment horizontal="right"/>
    </xf>
    <xf numFmtId="0" fontId="13" fillId="0" borderId="0" xfId="607" applyFont="1"/>
    <xf numFmtId="0" fontId="59" fillId="0" borderId="8" xfId="607" applyFont="1" applyBorder="1"/>
    <xf numFmtId="0" fontId="59" fillId="0" borderId="30" xfId="607" applyFont="1" applyBorder="1"/>
    <xf numFmtId="0" fontId="59" fillId="0" borderId="27" xfId="607" applyFont="1" applyBorder="1"/>
    <xf numFmtId="0" fontId="59" fillId="0" borderId="8" xfId="607" applyFont="1" applyBorder="1" applyAlignment="1">
      <alignment horizontal="center"/>
    </xf>
    <xf numFmtId="0" fontId="59" fillId="0" borderId="31" xfId="607" applyFont="1" applyBorder="1" applyAlignment="1">
      <alignment horizontal="center"/>
    </xf>
    <xf numFmtId="0" fontId="59" fillId="0" borderId="27" xfId="607" applyFont="1" applyBorder="1" applyAlignment="1">
      <alignment horizontal="center"/>
    </xf>
    <xf numFmtId="0" fontId="59" fillId="0" borderId="32" xfId="607" applyFont="1" applyBorder="1" applyAlignment="1">
      <alignment horizontal="center"/>
    </xf>
    <xf numFmtId="0" fontId="66" fillId="8" borderId="0" xfId="607" applyFont="1" applyFill="1"/>
    <xf numFmtId="0" fontId="7" fillId="0" borderId="1" xfId="607" applyFont="1" applyBorder="1" applyAlignment="1">
      <alignment horizontal="center"/>
    </xf>
    <xf numFmtId="0" fontId="13" fillId="0" borderId="1" xfId="607" applyFont="1" applyBorder="1" applyAlignment="1">
      <alignment horizontal="center"/>
    </xf>
    <xf numFmtId="0" fontId="67" fillId="0" borderId="0" xfId="607" applyFont="1"/>
    <xf numFmtId="0" fontId="13" fillId="0" borderId="0" xfId="607" applyFont="1" applyAlignment="1">
      <alignment horizontal="center"/>
    </xf>
    <xf numFmtId="0" fontId="24" fillId="0" borderId="0" xfId="580" applyFont="1" applyFill="1"/>
    <xf numFmtId="3" fontId="24" fillId="0" borderId="7" xfId="393" applyNumberFormat="1" applyFont="1" applyFill="1" applyBorder="1" applyAlignment="1">
      <alignment vertical="center"/>
    </xf>
    <xf numFmtId="4" fontId="24" fillId="0" borderId="7" xfId="393" applyNumberFormat="1" applyFont="1" applyFill="1" applyBorder="1" applyAlignment="1">
      <alignment vertical="center"/>
    </xf>
    <xf numFmtId="3" fontId="24" fillId="0" borderId="7" xfId="580" applyNumberFormat="1" applyFont="1" applyFill="1" applyBorder="1" applyAlignment="1">
      <alignment horizontal="left" vertical="center"/>
    </xf>
    <xf numFmtId="1" fontId="24" fillId="0" borderId="7" xfId="393" applyNumberFormat="1" applyFont="1" applyFill="1" applyBorder="1" applyAlignment="1">
      <alignment horizontal="center" vertical="center"/>
    </xf>
    <xf numFmtId="3" fontId="70" fillId="0" borderId="33" xfId="580" applyNumberFormat="1" applyFont="1" applyFill="1" applyBorder="1" applyAlignment="1">
      <alignment horizontal="right" vertical="center"/>
    </xf>
    <xf numFmtId="3" fontId="70" fillId="0" borderId="34" xfId="580" applyNumberFormat="1" applyFont="1" applyFill="1" applyBorder="1" applyAlignment="1">
      <alignment horizontal="right" vertical="center"/>
    </xf>
    <xf numFmtId="0" fontId="60" fillId="0" borderId="0" xfId="580" applyFont="1" applyFill="1"/>
    <xf numFmtId="172" fontId="60" fillId="0" borderId="0" xfId="393" applyNumberFormat="1" applyFont="1" applyFill="1"/>
    <xf numFmtId="0" fontId="60" fillId="0" borderId="8" xfId="580" applyFont="1" applyFill="1" applyBorder="1" applyAlignment="1">
      <alignment vertical="center"/>
    </xf>
    <xf numFmtId="3" fontId="60" fillId="0" borderId="27" xfId="393" applyNumberFormat="1" applyFont="1" applyFill="1" applyBorder="1" applyAlignment="1">
      <alignment horizontal="center" vertical="center"/>
    </xf>
    <xf numFmtId="3" fontId="60" fillId="0" borderId="1" xfId="393" applyNumberFormat="1" applyFont="1" applyFill="1" applyBorder="1" applyAlignment="1">
      <alignment horizontal="centerContinuous" vertical="center"/>
    </xf>
    <xf numFmtId="0" fontId="60" fillId="0" borderId="27" xfId="393" applyNumberFormat="1" applyFont="1" applyFill="1" applyBorder="1" applyAlignment="1">
      <alignment horizontal="center" vertical="center"/>
    </xf>
    <xf numFmtId="2" fontId="60" fillId="0" borderId="27" xfId="580" applyNumberFormat="1" applyFont="1" applyFill="1" applyBorder="1" applyAlignment="1">
      <alignment horizontal="center" vertical="center" shrinkToFit="1"/>
    </xf>
    <xf numFmtId="0" fontId="60" fillId="0" borderId="27" xfId="580" applyFont="1" applyFill="1" applyBorder="1" applyAlignment="1">
      <alignment horizontal="center" vertical="center"/>
    </xf>
    <xf numFmtId="0" fontId="71" fillId="0" borderId="21" xfId="580" applyFont="1" applyFill="1" applyBorder="1" applyAlignment="1">
      <alignment horizontal="centerContinuous" vertical="center"/>
    </xf>
    <xf numFmtId="0" fontId="71" fillId="0" borderId="32" xfId="580" applyFont="1" applyFill="1" applyBorder="1" applyAlignment="1">
      <alignment horizontal="centerContinuous" vertical="center"/>
    </xf>
    <xf numFmtId="0" fontId="58" fillId="0" borderId="0" xfId="596" applyFont="1" applyFill="1" applyAlignment="1">
      <alignment horizontal="centerContinuous" vertical="center"/>
    </xf>
    <xf numFmtId="0" fontId="24" fillId="0" borderId="0" xfId="596" applyFont="1" applyFill="1" applyAlignment="1">
      <alignment horizontal="centerContinuous"/>
    </xf>
    <xf numFmtId="0" fontId="60" fillId="0" borderId="0" xfId="596" applyFont="1" applyFill="1" applyAlignment="1">
      <alignment horizontal="centerContinuous" vertical="center"/>
    </xf>
    <xf numFmtId="172" fontId="24" fillId="0" borderId="0" xfId="370" applyNumberFormat="1" applyFont="1" applyFill="1" applyAlignment="1">
      <alignment horizontal="right" shrinkToFit="1"/>
    </xf>
    <xf numFmtId="0" fontId="60" fillId="0" borderId="1" xfId="596" applyFont="1" applyFill="1" applyBorder="1" applyAlignment="1">
      <alignment horizontal="center" vertical="center"/>
    </xf>
    <xf numFmtId="0" fontId="60" fillId="0" borderId="36" xfId="596" applyFont="1" applyFill="1" applyBorder="1" applyAlignment="1">
      <alignment horizontal="center" vertical="center"/>
    </xf>
    <xf numFmtId="0" fontId="60" fillId="0" borderId="36" xfId="596" applyNumberFormat="1" applyFont="1" applyFill="1" applyBorder="1" applyAlignment="1">
      <alignment horizontal="center" vertical="center"/>
    </xf>
    <xf numFmtId="0" fontId="60" fillId="0" borderId="15" xfId="596" applyFont="1" applyFill="1" applyBorder="1" applyAlignment="1">
      <alignment horizontal="center" vertical="center"/>
    </xf>
    <xf numFmtId="0" fontId="60" fillId="0" borderId="13" xfId="596" applyFont="1" applyFill="1" applyBorder="1" applyAlignment="1">
      <alignment horizontal="center" vertical="center"/>
    </xf>
    <xf numFmtId="0" fontId="60" fillId="0" borderId="13" xfId="596" applyNumberFormat="1" applyFont="1" applyFill="1" applyBorder="1" applyAlignment="1">
      <alignment horizontal="center" vertical="center"/>
    </xf>
    <xf numFmtId="3" fontId="60" fillId="0" borderId="1" xfId="596" applyNumberFormat="1" applyFont="1" applyFill="1" applyBorder="1" applyAlignment="1">
      <alignment horizontal="center" vertical="center"/>
    </xf>
    <xf numFmtId="3" fontId="60" fillId="0" borderId="1" xfId="596" applyNumberFormat="1" applyFont="1" applyFill="1" applyBorder="1" applyAlignment="1">
      <alignment horizontal="center" vertical="center" shrinkToFit="1"/>
    </xf>
    <xf numFmtId="0" fontId="60" fillId="0" borderId="0" xfId="596" applyFont="1" applyFill="1" applyAlignment="1">
      <alignment horizontal="center" vertical="center"/>
    </xf>
    <xf numFmtId="0" fontId="24" fillId="0" borderId="18" xfId="596" applyFont="1" applyFill="1" applyBorder="1" applyAlignment="1">
      <alignment horizontal="center" vertical="center"/>
    </xf>
    <xf numFmtId="0" fontId="24" fillId="0" borderId="37" xfId="596" applyNumberFormat="1" applyFont="1" applyFill="1" applyBorder="1" applyAlignment="1">
      <alignment horizontal="center" vertical="center" shrinkToFit="1"/>
    </xf>
    <xf numFmtId="0" fontId="24" fillId="0" borderId="18" xfId="596" applyNumberFormat="1" applyFont="1" applyFill="1" applyBorder="1" applyAlignment="1">
      <alignment horizontal="center" vertical="center"/>
    </xf>
    <xf numFmtId="3" fontId="62" fillId="0" borderId="38" xfId="370" applyNumberFormat="1" applyFont="1" applyFill="1" applyBorder="1" applyAlignment="1" applyProtection="1">
      <alignment horizontal="center" vertical="center"/>
    </xf>
    <xf numFmtId="0" fontId="62" fillId="0" borderId="38" xfId="596" applyFont="1" applyFill="1" applyBorder="1" applyAlignment="1">
      <alignment horizontal="center" vertical="center"/>
    </xf>
    <xf numFmtId="0" fontId="62" fillId="0" borderId="38" xfId="596" applyFont="1" applyFill="1" applyBorder="1" applyAlignment="1" applyProtection="1">
      <alignment horizontal="center" vertical="center"/>
    </xf>
    <xf numFmtId="0" fontId="24" fillId="0" borderId="38" xfId="596" applyNumberFormat="1" applyFont="1" applyFill="1" applyBorder="1" applyAlignment="1" applyProtection="1">
      <alignment horizontal="center" vertical="center"/>
    </xf>
    <xf numFmtId="0" fontId="24" fillId="0" borderId="38" xfId="596" applyFont="1" applyFill="1" applyBorder="1" applyAlignment="1" applyProtection="1">
      <alignment horizontal="center" vertical="center"/>
    </xf>
    <xf numFmtId="0" fontId="24" fillId="0" borderId="38" xfId="596" applyFont="1" applyFill="1" applyBorder="1" applyAlignment="1">
      <alignment horizontal="left" vertical="center"/>
    </xf>
    <xf numFmtId="0" fontId="63" fillId="0" borderId="39" xfId="596" applyFont="1" applyFill="1" applyBorder="1" applyAlignment="1">
      <alignment horizontal="center" vertical="center"/>
    </xf>
    <xf numFmtId="0" fontId="60" fillId="0" borderId="39" xfId="596" applyFont="1" applyFill="1" applyBorder="1" applyAlignment="1">
      <alignment horizontal="center" vertical="center"/>
    </xf>
    <xf numFmtId="0" fontId="60" fillId="0" borderId="39" xfId="596" applyNumberFormat="1" applyFont="1" applyFill="1" applyBorder="1" applyAlignment="1">
      <alignment horizontal="center" vertical="center"/>
    </xf>
    <xf numFmtId="0" fontId="24" fillId="0" borderId="7" xfId="596" applyFont="1" applyFill="1" applyBorder="1" applyAlignment="1">
      <alignment horizontal="center" vertical="center"/>
    </xf>
    <xf numFmtId="0" fontId="82" fillId="0" borderId="33" xfId="596" applyNumberFormat="1" applyFont="1" applyFill="1" applyBorder="1" applyAlignment="1">
      <alignment horizontal="center" vertical="center" shrinkToFit="1"/>
    </xf>
    <xf numFmtId="0" fontId="24" fillId="0" borderId="7" xfId="596" applyNumberFormat="1" applyFont="1" applyFill="1" applyBorder="1" applyAlignment="1">
      <alignment horizontal="center" vertical="center"/>
    </xf>
    <xf numFmtId="3" fontId="62" fillId="0" borderId="39" xfId="370" applyNumberFormat="1" applyFont="1" applyFill="1" applyBorder="1" applyAlignment="1" applyProtection="1">
      <alignment horizontal="center" vertical="center"/>
    </xf>
    <xf numFmtId="0" fontId="62" fillId="0" borderId="39" xfId="596" applyFont="1" applyFill="1" applyBorder="1" applyAlignment="1">
      <alignment horizontal="center" vertical="center"/>
    </xf>
    <xf numFmtId="0" fontId="62" fillId="0" borderId="39" xfId="596" applyFont="1" applyFill="1" applyBorder="1" applyAlignment="1" applyProtection="1">
      <alignment horizontal="center" vertical="center"/>
    </xf>
    <xf numFmtId="0" fontId="24" fillId="0" borderId="39" xfId="596" applyNumberFormat="1" applyFont="1" applyFill="1" applyBorder="1" applyAlignment="1" applyProtection="1">
      <alignment horizontal="center" vertical="center"/>
    </xf>
    <xf numFmtId="0" fontId="24" fillId="0" borderId="39" xfId="596" applyFont="1" applyFill="1" applyBorder="1" applyAlignment="1" applyProtection="1">
      <alignment horizontal="center" vertical="center"/>
    </xf>
    <xf numFmtId="0" fontId="24" fillId="0" borderId="39" xfId="596" applyFont="1" applyFill="1" applyBorder="1" applyAlignment="1">
      <alignment horizontal="left" vertical="center"/>
    </xf>
    <xf numFmtId="0" fontId="24" fillId="0" borderId="33" xfId="596" applyFont="1" applyFill="1" applyBorder="1" applyAlignment="1">
      <alignment vertical="center"/>
    </xf>
    <xf numFmtId="0" fontId="24" fillId="0" borderId="35" xfId="596" applyFont="1" applyFill="1" applyBorder="1" applyAlignment="1">
      <alignment horizontal="center" vertical="center"/>
    </xf>
    <xf numFmtId="0" fontId="24" fillId="0" borderId="40" xfId="596" applyFont="1" applyFill="1" applyBorder="1" applyAlignment="1">
      <alignment vertical="center"/>
    </xf>
    <xf numFmtId="0" fontId="24" fillId="0" borderId="0" xfId="596" applyFont="1" applyFill="1" applyAlignment="1">
      <alignment vertical="center"/>
    </xf>
    <xf numFmtId="0" fontId="24" fillId="0" borderId="0" xfId="596" applyFont="1" applyFill="1" applyBorder="1" applyAlignment="1">
      <alignment vertical="center"/>
    </xf>
    <xf numFmtId="0" fontId="24" fillId="0" borderId="0" xfId="596" applyNumberFormat="1" applyFont="1" applyFill="1" applyBorder="1" applyAlignment="1">
      <alignment vertical="center"/>
    </xf>
    <xf numFmtId="3" fontId="24" fillId="0" borderId="0" xfId="370" applyNumberFormat="1" applyFont="1" applyFill="1" applyBorder="1" applyAlignment="1">
      <alignment vertical="center"/>
    </xf>
    <xf numFmtId="2" fontId="24" fillId="0" borderId="0" xfId="370" applyNumberFormat="1" applyFont="1" applyFill="1" applyBorder="1" applyAlignment="1">
      <alignment vertical="center"/>
    </xf>
    <xf numFmtId="172" fontId="24" fillId="0" borderId="0" xfId="596" applyNumberFormat="1" applyFont="1" applyFill="1" applyBorder="1" applyAlignment="1">
      <alignment vertical="center" shrinkToFit="1"/>
    </xf>
    <xf numFmtId="0" fontId="66" fillId="8" borderId="0" xfId="596" applyFont="1" applyFill="1" applyAlignment="1">
      <alignment horizontal="left"/>
    </xf>
    <xf numFmtId="0" fontId="65" fillId="0" borderId="0" xfId="596" applyFont="1"/>
    <xf numFmtId="0" fontId="64" fillId="0" borderId="0" xfId="596" applyFont="1" applyAlignment="1">
      <alignment horizontal="left"/>
    </xf>
    <xf numFmtId="0" fontId="14" fillId="0" borderId="0" xfId="596" applyFont="1" applyAlignment="1">
      <alignment horizontal="left" indent="1"/>
    </xf>
    <xf numFmtId="0" fontId="14" fillId="0" borderId="0" xfId="596" applyFont="1" applyAlignment="1">
      <alignment horizontal="left"/>
    </xf>
    <xf numFmtId="0" fontId="14" fillId="0" borderId="0" xfId="596" applyFont="1"/>
    <xf numFmtId="0" fontId="24" fillId="0" borderId="0" xfId="0" applyFont="1" applyFill="1" applyAlignment="1">
      <alignment vertical="center"/>
    </xf>
    <xf numFmtId="3" fontId="70" fillId="0" borderId="41" xfId="580" applyNumberFormat="1" applyFont="1" applyFill="1" applyBorder="1" applyAlignment="1">
      <alignment horizontal="right" vertical="center"/>
    </xf>
    <xf numFmtId="3" fontId="70" fillId="0" borderId="42" xfId="580" applyNumberFormat="1" applyFont="1" applyFill="1" applyBorder="1" applyAlignment="1">
      <alignment horizontal="right" vertical="center"/>
    </xf>
    <xf numFmtId="1" fontId="24" fillId="0" borderId="35" xfId="393" applyNumberFormat="1" applyFont="1" applyFill="1" applyBorder="1" applyAlignment="1">
      <alignment horizontal="center" vertical="center"/>
    </xf>
    <xf numFmtId="3" fontId="24" fillId="0" borderId="35" xfId="580" applyNumberFormat="1" applyFont="1" applyFill="1" applyBorder="1" applyAlignment="1">
      <alignment horizontal="left" vertical="center"/>
    </xf>
    <xf numFmtId="1" fontId="24" fillId="0" borderId="35" xfId="393" applyNumberFormat="1" applyFont="1" applyFill="1" applyBorder="1" applyAlignment="1">
      <alignment horizontal="center" vertical="center" shrinkToFit="1"/>
    </xf>
    <xf numFmtId="4" fontId="24" fillId="0" borderId="35" xfId="393" applyNumberFormat="1" applyFont="1" applyFill="1" applyBorder="1" applyAlignment="1">
      <alignment vertical="center"/>
    </xf>
    <xf numFmtId="3" fontId="24" fillId="0" borderId="35" xfId="393" applyNumberFormat="1" applyFont="1" applyFill="1" applyBorder="1" applyAlignment="1">
      <alignment vertical="center"/>
    </xf>
    <xf numFmtId="0" fontId="45" fillId="0" borderId="0" xfId="580" applyFont="1"/>
    <xf numFmtId="0" fontId="45" fillId="0" borderId="0" xfId="580" applyFont="1" applyAlignment="1">
      <alignment horizontal="centerContinuous" vertical="center"/>
    </xf>
    <xf numFmtId="0" fontId="24" fillId="0" borderId="0" xfId="580" applyFont="1" applyAlignment="1">
      <alignment horizontal="centerContinuous" vertical="center"/>
    </xf>
    <xf numFmtId="0" fontId="24" fillId="0" borderId="0" xfId="580" applyFont="1"/>
    <xf numFmtId="172" fontId="4" fillId="0" borderId="1" xfId="370" applyNumberFormat="1" applyFont="1" applyFill="1" applyBorder="1" applyAlignment="1">
      <alignment vertical="center"/>
    </xf>
    <xf numFmtId="0" fontId="4" fillId="0" borderId="1" xfId="0" applyFont="1" applyFill="1" applyBorder="1" applyAlignment="1">
      <alignment vertical="center"/>
    </xf>
    <xf numFmtId="0" fontId="5" fillId="0" borderId="11" xfId="0" applyFont="1" applyFill="1" applyBorder="1" applyAlignment="1">
      <alignment horizontal="center" vertical="center"/>
    </xf>
    <xf numFmtId="0" fontId="5" fillId="0" borderId="11" xfId="0" applyFont="1" applyFill="1" applyBorder="1" applyAlignment="1">
      <alignment vertical="center"/>
    </xf>
    <xf numFmtId="0" fontId="5" fillId="0" borderId="7" xfId="0" applyFont="1" applyFill="1" applyBorder="1" applyAlignment="1">
      <alignment horizontal="center" vertical="center"/>
    </xf>
    <xf numFmtId="0" fontId="5" fillId="0" borderId="7" xfId="0" applyFont="1" applyFill="1" applyBorder="1" applyAlignment="1">
      <alignment vertical="center"/>
    </xf>
    <xf numFmtId="0" fontId="58" fillId="0" borderId="0" xfId="370" applyNumberFormat="1" applyFont="1" applyFill="1" applyAlignment="1">
      <alignment horizontal="centerContinuous" vertical="center"/>
    </xf>
    <xf numFmtId="0" fontId="58" fillId="0" borderId="0" xfId="596" applyNumberFormat="1" applyFont="1" applyFill="1" applyAlignment="1">
      <alignment horizontal="centerContinuous" vertical="center"/>
    </xf>
    <xf numFmtId="3" fontId="58" fillId="0" borderId="0" xfId="370" applyNumberFormat="1" applyFont="1" applyFill="1" applyAlignment="1">
      <alignment horizontal="centerContinuous" vertical="center"/>
    </xf>
    <xf numFmtId="172" fontId="60" fillId="0" borderId="0" xfId="370" applyNumberFormat="1" applyFont="1" applyFill="1" applyAlignment="1">
      <alignment horizontal="centerContinuous" vertical="center"/>
    </xf>
    <xf numFmtId="172" fontId="58" fillId="0" borderId="0" xfId="370" applyNumberFormat="1" applyFont="1" applyFill="1" applyAlignment="1">
      <alignment horizontal="centerContinuous" vertical="center"/>
    </xf>
    <xf numFmtId="0" fontId="58" fillId="0" borderId="0" xfId="596" applyFont="1" applyFill="1" applyAlignment="1">
      <alignment horizontal="centerContinuous" vertical="center" shrinkToFit="1"/>
    </xf>
    <xf numFmtId="0" fontId="58" fillId="0" borderId="0" xfId="596" applyFont="1" applyFill="1" applyAlignment="1">
      <alignment vertical="center"/>
    </xf>
    <xf numFmtId="0" fontId="24" fillId="0" borderId="0" xfId="596" applyFont="1" applyFill="1" applyAlignment="1">
      <alignment horizontal="centerContinuous" vertical="center"/>
    </xf>
    <xf numFmtId="0" fontId="60" fillId="0" borderId="0" xfId="370" applyNumberFormat="1" applyFont="1" applyFill="1" applyAlignment="1">
      <alignment horizontal="centerContinuous" vertical="center"/>
    </xf>
    <xf numFmtId="0" fontId="60" fillId="0" borderId="0" xfId="596" applyNumberFormat="1" applyFont="1" applyFill="1" applyAlignment="1">
      <alignment horizontal="centerContinuous" vertical="center"/>
    </xf>
    <xf numFmtId="3" fontId="60" fillId="0" borderId="0" xfId="370" applyNumberFormat="1" applyFont="1" applyFill="1" applyAlignment="1">
      <alignment horizontal="centerContinuous" vertical="center"/>
    </xf>
    <xf numFmtId="0" fontId="60" fillId="0" borderId="0" xfId="596" applyFont="1" applyFill="1" applyAlignment="1">
      <alignment vertical="center"/>
    </xf>
    <xf numFmtId="0" fontId="60" fillId="0" borderId="27" xfId="596" applyFont="1" applyFill="1" applyBorder="1" applyAlignment="1">
      <alignment horizontal="center" vertical="center"/>
    </xf>
    <xf numFmtId="0" fontId="60" fillId="0" borderId="21" xfId="596" applyFont="1" applyFill="1" applyBorder="1" applyAlignment="1">
      <alignment horizontal="center" vertical="center"/>
    </xf>
    <xf numFmtId="0" fontId="60" fillId="0" borderId="21" xfId="596" applyFont="1" applyFill="1" applyBorder="1" applyAlignment="1">
      <alignment horizontal="center" vertical="center" wrapText="1"/>
    </xf>
    <xf numFmtId="2" fontId="60" fillId="0" borderId="21" xfId="370" applyNumberFormat="1" applyFont="1" applyFill="1" applyBorder="1" applyAlignment="1">
      <alignment horizontal="center" vertical="center" wrapText="1"/>
    </xf>
    <xf numFmtId="0" fontId="60" fillId="0" borderId="27" xfId="596" applyFont="1" applyFill="1" applyBorder="1" applyAlignment="1">
      <alignment horizontal="center" vertical="center" wrapText="1"/>
    </xf>
    <xf numFmtId="2" fontId="60" fillId="0" borderId="1" xfId="370" applyNumberFormat="1" applyFont="1" applyFill="1" applyBorder="1" applyAlignment="1">
      <alignment horizontal="centerContinuous" vertical="center" wrapText="1"/>
    </xf>
    <xf numFmtId="2" fontId="60" fillId="0" borderId="36" xfId="370" applyNumberFormat="1" applyFont="1" applyFill="1" applyBorder="1" applyAlignment="1">
      <alignment horizontal="centerContinuous" vertical="center" wrapText="1"/>
    </xf>
    <xf numFmtId="0" fontId="60" fillId="0" borderId="32" xfId="596" applyFont="1" applyFill="1" applyBorder="1" applyAlignment="1">
      <alignment horizontal="center" vertical="center" wrapText="1"/>
    </xf>
    <xf numFmtId="0" fontId="60" fillId="0" borderId="43" xfId="596" applyFont="1" applyFill="1" applyBorder="1" applyAlignment="1">
      <alignment horizontal="centerContinuous" vertical="center" wrapText="1"/>
    </xf>
    <xf numFmtId="0" fontId="60" fillId="0" borderId="43" xfId="596" applyFont="1" applyFill="1" applyBorder="1" applyAlignment="1">
      <alignment horizontal="centerContinuous" vertical="center"/>
    </xf>
    <xf numFmtId="3" fontId="60" fillId="0" borderId="27" xfId="370" applyNumberFormat="1" applyFont="1" applyFill="1" applyBorder="1" applyAlignment="1">
      <alignment horizontal="center" vertical="center" wrapText="1"/>
    </xf>
    <xf numFmtId="172" fontId="60" fillId="0" borderId="27" xfId="370" applyNumberFormat="1" applyFont="1" applyFill="1" applyBorder="1" applyAlignment="1">
      <alignment horizontal="center" vertical="center" wrapText="1"/>
    </xf>
    <xf numFmtId="172" fontId="60" fillId="0" borderId="21" xfId="370" applyNumberFormat="1" applyFont="1" applyFill="1" applyBorder="1" applyAlignment="1">
      <alignment horizontal="center" vertical="center" shrinkToFit="1"/>
    </xf>
    <xf numFmtId="0" fontId="60" fillId="0" borderId="30" xfId="596" applyFont="1" applyFill="1" applyBorder="1" applyAlignment="1">
      <alignment horizontal="center" vertical="center"/>
    </xf>
    <xf numFmtId="0" fontId="60" fillId="0" borderId="44" xfId="596" applyFont="1" applyFill="1" applyBorder="1" applyAlignment="1">
      <alignment horizontal="center" vertical="center"/>
    </xf>
    <xf numFmtId="2" fontId="60" fillId="0" borderId="44" xfId="370" applyNumberFormat="1" applyFont="1" applyFill="1" applyBorder="1" applyAlignment="1">
      <alignment horizontal="center" vertical="center"/>
    </xf>
    <xf numFmtId="2" fontId="60" fillId="0" borderId="30" xfId="370" applyNumberFormat="1" applyFont="1" applyFill="1" applyBorder="1" applyAlignment="1">
      <alignment horizontal="centerContinuous" vertical="center"/>
    </xf>
    <xf numFmtId="2" fontId="60" fillId="0" borderId="44" xfId="370" applyNumberFormat="1" applyFont="1" applyFill="1" applyBorder="1" applyAlignment="1">
      <alignment horizontal="centerContinuous" vertical="center"/>
    </xf>
    <xf numFmtId="0" fontId="60" fillId="0" borderId="9" xfId="596" applyFont="1" applyFill="1" applyBorder="1" applyAlignment="1">
      <alignment horizontal="center" vertical="center"/>
    </xf>
    <xf numFmtId="0" fontId="60" fillId="0" borderId="0" xfId="596" applyFont="1" applyFill="1" applyBorder="1" applyAlignment="1">
      <alignment horizontal="center" vertical="center"/>
    </xf>
    <xf numFmtId="0" fontId="60" fillId="0" borderId="0" xfId="596" applyNumberFormat="1" applyFont="1" applyFill="1" applyBorder="1" applyAlignment="1">
      <alignment horizontal="center" vertical="center"/>
    </xf>
    <xf numFmtId="3" fontId="60" fillId="0" borderId="30" xfId="370" applyNumberFormat="1" applyFont="1" applyFill="1" applyBorder="1" applyAlignment="1">
      <alignment horizontal="center" vertical="center"/>
    </xf>
    <xf numFmtId="172" fontId="60" fillId="0" borderId="30" xfId="370" applyNumberFormat="1" applyFont="1" applyFill="1" applyBorder="1" applyAlignment="1">
      <alignment horizontal="center" vertical="center"/>
    </xf>
    <xf numFmtId="172" fontId="60" fillId="0" borderId="44" xfId="370" applyNumberFormat="1" applyFont="1" applyFill="1" applyBorder="1" applyAlignment="1">
      <alignment horizontal="center" vertical="center" shrinkToFit="1"/>
    </xf>
    <xf numFmtId="172" fontId="60" fillId="0" borderId="8" xfId="370" applyNumberFormat="1" applyFont="1" applyFill="1" applyBorder="1" applyAlignment="1">
      <alignment horizontal="center" vertical="center"/>
    </xf>
    <xf numFmtId="0" fontId="69" fillId="0" borderId="18" xfId="596" applyFont="1" applyFill="1" applyBorder="1" applyAlignment="1">
      <alignment horizontal="left" vertical="center"/>
    </xf>
    <xf numFmtId="0" fontId="24" fillId="0" borderId="37" xfId="596" applyFont="1" applyFill="1" applyBorder="1" applyAlignment="1">
      <alignment vertical="center"/>
    </xf>
    <xf numFmtId="0" fontId="24" fillId="0" borderId="37" xfId="596" applyFont="1" applyFill="1" applyBorder="1" applyAlignment="1">
      <alignment horizontal="center" vertical="center"/>
    </xf>
    <xf numFmtId="0" fontId="24" fillId="0" borderId="18" xfId="370" applyNumberFormat="1" applyFont="1" applyFill="1" applyBorder="1" applyAlignment="1">
      <alignment horizontal="center" vertical="center"/>
    </xf>
    <xf numFmtId="0" fontId="24" fillId="0" borderId="38" xfId="596" applyFont="1" applyFill="1" applyBorder="1" applyAlignment="1">
      <alignment horizontal="right" vertical="center"/>
    </xf>
    <xf numFmtId="206" fontId="24" fillId="0" borderId="37" xfId="596" applyNumberFormat="1" applyFont="1" applyFill="1" applyBorder="1" applyAlignment="1">
      <alignment horizontal="left" vertical="center"/>
    </xf>
    <xf numFmtId="3" fontId="24" fillId="0" borderId="18" xfId="370" applyNumberFormat="1" applyFont="1" applyFill="1" applyBorder="1" applyAlignment="1">
      <alignment horizontal="center" vertical="center"/>
    </xf>
    <xf numFmtId="172" fontId="24" fillId="0" borderId="18" xfId="370" applyNumberFormat="1" applyFont="1" applyFill="1" applyBorder="1" applyAlignment="1">
      <alignment vertical="center"/>
    </xf>
    <xf numFmtId="3" fontId="24" fillId="0" borderId="37" xfId="370" applyNumberFormat="1" applyFont="1" applyFill="1" applyBorder="1" applyAlignment="1">
      <alignment vertical="center"/>
    </xf>
    <xf numFmtId="172" fontId="24" fillId="0" borderId="18" xfId="596" applyNumberFormat="1" applyFont="1" applyFill="1" applyBorder="1" applyAlignment="1">
      <alignment horizontal="center" vertical="center" shrinkToFit="1"/>
    </xf>
    <xf numFmtId="0" fontId="60" fillId="0" borderId="7" xfId="596" applyFont="1" applyFill="1" applyBorder="1" applyAlignment="1">
      <alignment horizontal="center" vertical="center"/>
    </xf>
    <xf numFmtId="0" fontId="60" fillId="0" borderId="33" xfId="596" applyFont="1" applyFill="1" applyBorder="1" applyAlignment="1">
      <alignment horizontal="left" vertical="center"/>
    </xf>
    <xf numFmtId="0" fontId="60" fillId="0" borderId="33" xfId="596" applyFont="1" applyFill="1" applyBorder="1" applyAlignment="1">
      <alignment horizontal="center" vertical="center"/>
    </xf>
    <xf numFmtId="0" fontId="60" fillId="0" borderId="33" xfId="596" applyNumberFormat="1" applyFont="1" applyFill="1" applyBorder="1" applyAlignment="1">
      <alignment horizontal="center" vertical="center"/>
    </xf>
    <xf numFmtId="0" fontId="60" fillId="0" borderId="34" xfId="596" applyFont="1" applyFill="1" applyBorder="1" applyAlignment="1">
      <alignment horizontal="center" vertical="center"/>
    </xf>
    <xf numFmtId="3" fontId="60" fillId="0" borderId="7" xfId="596" applyNumberFormat="1" applyFont="1" applyFill="1" applyBorder="1" applyAlignment="1">
      <alignment horizontal="center" vertical="center"/>
    </xf>
    <xf numFmtId="3" fontId="60" fillId="0" borderId="33" xfId="596" applyNumberFormat="1" applyFont="1" applyFill="1" applyBorder="1" applyAlignment="1">
      <alignment horizontal="center" vertical="center"/>
    </xf>
    <xf numFmtId="3" fontId="60" fillId="0" borderId="7" xfId="596" applyNumberFormat="1" applyFont="1" applyFill="1" applyBorder="1" applyAlignment="1">
      <alignment horizontal="center" vertical="center" shrinkToFit="1"/>
    </xf>
    <xf numFmtId="0" fontId="24" fillId="0" borderId="7" xfId="596" applyFont="1" applyFill="1" applyBorder="1" applyAlignment="1">
      <alignment horizontal="right" vertical="center"/>
    </xf>
    <xf numFmtId="0" fontId="24" fillId="0" borderId="33" xfId="596" applyFont="1" applyFill="1" applyBorder="1" applyAlignment="1">
      <alignment horizontal="center" vertical="center"/>
    </xf>
    <xf numFmtId="0" fontId="60" fillId="0" borderId="7" xfId="370" applyNumberFormat="1" applyFont="1" applyFill="1" applyBorder="1" applyAlignment="1">
      <alignment horizontal="center" vertical="center"/>
    </xf>
    <xf numFmtId="0" fontId="60" fillId="0" borderId="7" xfId="596" applyNumberFormat="1" applyFont="1" applyFill="1" applyBorder="1" applyAlignment="1">
      <alignment horizontal="center" vertical="center"/>
    </xf>
    <xf numFmtId="3" fontId="60" fillId="0" borderId="7" xfId="370" applyNumberFormat="1" applyFont="1" applyFill="1" applyBorder="1" applyAlignment="1">
      <alignment horizontal="center" vertical="center"/>
    </xf>
    <xf numFmtId="172" fontId="60" fillId="0" borderId="7" xfId="370" applyNumberFormat="1" applyFont="1" applyFill="1" applyBorder="1" applyAlignment="1">
      <alignment vertical="center"/>
    </xf>
    <xf numFmtId="172" fontId="24" fillId="0" borderId="7" xfId="370" applyNumberFormat="1" applyFont="1" applyFill="1" applyBorder="1" applyAlignment="1">
      <alignment vertical="center"/>
    </xf>
    <xf numFmtId="3" fontId="60" fillId="0" borderId="33" xfId="370" applyNumberFormat="1" applyFont="1" applyFill="1" applyBorder="1" applyAlignment="1">
      <alignment vertical="center"/>
    </xf>
    <xf numFmtId="172" fontId="24" fillId="0" borderId="7" xfId="596" applyNumberFormat="1" applyFont="1" applyFill="1" applyBorder="1" applyAlignment="1">
      <alignment horizontal="center" vertical="center" shrinkToFit="1"/>
    </xf>
    <xf numFmtId="0" fontId="24" fillId="0" borderId="7" xfId="370" applyNumberFormat="1" applyFont="1" applyFill="1" applyBorder="1" applyAlignment="1">
      <alignment horizontal="center" vertical="center"/>
    </xf>
    <xf numFmtId="0" fontId="24" fillId="0" borderId="39" xfId="596" applyFont="1" applyFill="1" applyBorder="1" applyAlignment="1">
      <alignment horizontal="right" vertical="center"/>
    </xf>
    <xf numFmtId="206" fontId="24" fillId="0" borderId="33" xfId="596" applyNumberFormat="1" applyFont="1" applyFill="1" applyBorder="1" applyAlignment="1">
      <alignment horizontal="left" vertical="center"/>
    </xf>
    <xf numFmtId="3" fontId="24" fillId="0" borderId="7" xfId="370" applyNumberFormat="1" applyFont="1" applyFill="1" applyBorder="1" applyAlignment="1">
      <alignment horizontal="center" vertical="center"/>
    </xf>
    <xf numFmtId="3" fontId="24" fillId="0" borderId="33" xfId="370" applyNumberFormat="1" applyFont="1" applyFill="1" applyBorder="1" applyAlignment="1">
      <alignment vertical="center"/>
    </xf>
    <xf numFmtId="0" fontId="75" fillId="0" borderId="33" xfId="596" applyNumberFormat="1" applyFont="1" applyFill="1" applyBorder="1" applyAlignment="1">
      <alignment horizontal="center" vertical="center" shrinkToFit="1"/>
    </xf>
    <xf numFmtId="0" fontId="60" fillId="0" borderId="7" xfId="596" applyFont="1" applyFill="1" applyBorder="1" applyAlignment="1">
      <alignment horizontal="right" vertical="center"/>
    </xf>
    <xf numFmtId="0" fontId="75" fillId="0" borderId="33" xfId="596" applyFont="1" applyFill="1" applyBorder="1" applyAlignment="1">
      <alignment horizontal="center" vertical="center" shrinkToFit="1"/>
    </xf>
    <xf numFmtId="172" fontId="24" fillId="0" borderId="7" xfId="596" applyNumberFormat="1" applyFont="1" applyFill="1" applyBorder="1" applyAlignment="1">
      <alignment horizontal="left" vertical="center" shrinkToFit="1"/>
    </xf>
    <xf numFmtId="0" fontId="24" fillId="0" borderId="35" xfId="596" applyNumberFormat="1" applyFont="1" applyFill="1" applyBorder="1" applyAlignment="1">
      <alignment vertical="center"/>
    </xf>
    <xf numFmtId="49" fontId="24" fillId="0" borderId="35" xfId="596" applyNumberFormat="1" applyFont="1" applyFill="1" applyBorder="1" applyAlignment="1">
      <alignment horizontal="center" vertical="center"/>
    </xf>
    <xf numFmtId="0" fontId="24" fillId="0" borderId="35" xfId="596" applyFont="1" applyFill="1" applyBorder="1" applyAlignment="1">
      <alignment vertical="center"/>
    </xf>
    <xf numFmtId="0" fontId="82" fillId="0" borderId="35" xfId="596" applyFont="1" applyFill="1" applyBorder="1" applyAlignment="1">
      <alignment vertical="center"/>
    </xf>
    <xf numFmtId="0" fontId="24" fillId="0" borderId="41" xfId="596" applyFont="1" applyFill="1" applyBorder="1" applyAlignment="1">
      <alignment vertical="center"/>
    </xf>
    <xf numFmtId="0" fontId="24" fillId="0" borderId="40" xfId="596" applyNumberFormat="1" applyFont="1" applyFill="1" applyBorder="1" applyAlignment="1">
      <alignment vertical="center"/>
    </xf>
    <xf numFmtId="3" fontId="24" fillId="0" borderId="35" xfId="370" applyNumberFormat="1" applyFont="1" applyFill="1" applyBorder="1" applyAlignment="1">
      <alignment vertical="center"/>
    </xf>
    <xf numFmtId="2" fontId="24" fillId="0" borderId="35" xfId="370" applyNumberFormat="1" applyFont="1" applyFill="1" applyBorder="1" applyAlignment="1">
      <alignment vertical="center"/>
    </xf>
    <xf numFmtId="172" fontId="24" fillId="0" borderId="35" xfId="596" applyNumberFormat="1" applyFont="1" applyFill="1" applyBorder="1" applyAlignment="1">
      <alignment horizontal="center" vertical="center" shrinkToFit="1"/>
    </xf>
    <xf numFmtId="0" fontId="61" fillId="0" borderId="0" xfId="596" applyFont="1" applyFill="1" applyBorder="1" applyAlignment="1">
      <alignment horizontal="left"/>
    </xf>
    <xf numFmtId="0" fontId="60" fillId="0" borderId="0" xfId="596" applyFont="1" applyFill="1" applyBorder="1" applyAlignment="1">
      <alignment horizontal="left"/>
    </xf>
    <xf numFmtId="49" fontId="24" fillId="0" borderId="0" xfId="596" applyNumberFormat="1" applyFont="1" applyFill="1" applyBorder="1" applyAlignment="1">
      <alignment horizontal="center" vertical="center"/>
    </xf>
    <xf numFmtId="4" fontId="24" fillId="0" borderId="0" xfId="370" applyNumberFormat="1" applyFont="1" applyFill="1" applyAlignment="1">
      <alignment horizontal="center" vertical="center"/>
    </xf>
    <xf numFmtId="0" fontId="24" fillId="0" borderId="0" xfId="596" applyNumberFormat="1" applyFont="1" applyFill="1" applyAlignment="1">
      <alignment vertical="center"/>
    </xf>
    <xf numFmtId="3" fontId="24" fillId="0" borderId="0" xfId="370" applyNumberFormat="1" applyFont="1" applyFill="1" applyAlignment="1">
      <alignment vertical="center"/>
    </xf>
    <xf numFmtId="172" fontId="24" fillId="0" borderId="0" xfId="370" applyNumberFormat="1" applyFont="1" applyFill="1" applyAlignment="1">
      <alignment vertical="center"/>
    </xf>
    <xf numFmtId="0" fontId="24" fillId="0" borderId="0" xfId="596" applyFont="1" applyFill="1" applyAlignment="1">
      <alignment vertical="center" shrinkToFit="1"/>
    </xf>
    <xf numFmtId="0" fontId="24" fillId="0" borderId="0" xfId="370" applyNumberFormat="1" applyFont="1" applyFill="1" applyAlignment="1">
      <alignment vertical="center"/>
    </xf>
    <xf numFmtId="0" fontId="60" fillId="0" borderId="0" xfId="601" applyFont="1" applyFill="1" applyAlignment="1">
      <alignment horizontal="centerContinuous" vertical="center"/>
    </xf>
    <xf numFmtId="0" fontId="24" fillId="0" borderId="0" xfId="601" applyFont="1" applyFill="1" applyAlignment="1">
      <alignment horizontal="centerContinuous" vertical="center"/>
    </xf>
    <xf numFmtId="0" fontId="24" fillId="0" borderId="0" xfId="601" applyNumberFormat="1" applyFont="1" applyFill="1" applyAlignment="1">
      <alignment horizontal="centerContinuous" vertical="center"/>
    </xf>
    <xf numFmtId="3" fontId="24" fillId="0" borderId="0" xfId="370" applyNumberFormat="1" applyFont="1" applyFill="1" applyBorder="1" applyAlignment="1">
      <alignment horizontal="centerContinuous" vertical="center"/>
    </xf>
    <xf numFmtId="172" fontId="24" fillId="0" borderId="0" xfId="370" applyNumberFormat="1" applyFont="1" applyFill="1" applyBorder="1" applyAlignment="1">
      <alignment horizontal="centerContinuous" vertical="center"/>
    </xf>
    <xf numFmtId="0" fontId="24" fillId="0" borderId="0" xfId="601" applyFont="1" applyFill="1" applyBorder="1" applyAlignment="1">
      <alignment horizontal="centerContinuous" vertical="center"/>
    </xf>
    <xf numFmtId="0" fontId="24" fillId="0" borderId="27" xfId="601" applyFont="1" applyFill="1" applyBorder="1" applyAlignment="1" applyProtection="1">
      <alignment horizontal="center" vertical="center"/>
      <protection locked="0"/>
    </xf>
    <xf numFmtId="0" fontId="24" fillId="0" borderId="27" xfId="601" applyFont="1" applyFill="1" applyBorder="1" applyAlignment="1">
      <alignment vertical="center"/>
    </xf>
    <xf numFmtId="0" fontId="24" fillId="0" borderId="32" xfId="601" applyNumberFormat="1" applyFont="1" applyFill="1" applyBorder="1" applyAlignment="1">
      <alignment horizontal="centerContinuous" vertical="center"/>
    </xf>
    <xf numFmtId="0" fontId="24" fillId="0" borderId="21" xfId="601" applyFont="1" applyFill="1" applyBorder="1" applyAlignment="1">
      <alignment horizontal="centerContinuous" vertical="center"/>
    </xf>
    <xf numFmtId="0" fontId="24" fillId="0" borderId="32" xfId="601" applyFont="1" applyFill="1" applyBorder="1" applyAlignment="1">
      <alignment horizontal="centerContinuous" vertical="center"/>
    </xf>
    <xf numFmtId="172" fontId="24" fillId="0" borderId="43" xfId="370" applyNumberFormat="1" applyFont="1" applyFill="1" applyBorder="1" applyAlignment="1">
      <alignment horizontal="center" vertical="center"/>
    </xf>
    <xf numFmtId="0" fontId="24" fillId="0" borderId="43" xfId="601" applyFont="1" applyFill="1" applyBorder="1" applyAlignment="1">
      <alignment horizontal="center" vertical="center"/>
    </xf>
    <xf numFmtId="172" fontId="24" fillId="0" borderId="21" xfId="370" applyNumberFormat="1" applyFont="1" applyFill="1" applyBorder="1" applyAlignment="1">
      <alignment horizontal="center" vertical="center"/>
    </xf>
    <xf numFmtId="0" fontId="24" fillId="0" borderId="8" xfId="601" applyFont="1" applyFill="1" applyBorder="1" applyAlignment="1" applyProtection="1">
      <alignment horizontal="right" vertical="center"/>
      <protection locked="0"/>
    </xf>
    <xf numFmtId="0" fontId="24" fillId="0" borderId="8" xfId="601" applyFont="1" applyFill="1" applyBorder="1" applyAlignment="1">
      <alignment vertical="center"/>
    </xf>
    <xf numFmtId="0" fontId="24" fillId="0" borderId="31" xfId="601" applyNumberFormat="1" applyFont="1" applyFill="1" applyBorder="1" applyAlignment="1">
      <alignment horizontal="centerContinuous" vertical="center"/>
    </xf>
    <xf numFmtId="0" fontId="24" fillId="0" borderId="45" xfId="601" applyFont="1" applyFill="1" applyBorder="1" applyAlignment="1">
      <alignment horizontal="centerContinuous" vertical="center"/>
    </xf>
    <xf numFmtId="0" fontId="24" fillId="0" borderId="31" xfId="601" applyFont="1" applyFill="1" applyBorder="1" applyAlignment="1">
      <alignment horizontal="centerContinuous" vertical="center"/>
    </xf>
    <xf numFmtId="3" fontId="24" fillId="0" borderId="31" xfId="370" applyNumberFormat="1" applyFont="1" applyFill="1" applyBorder="1" applyAlignment="1">
      <alignment horizontal="centerContinuous" vertical="center"/>
    </xf>
    <xf numFmtId="172" fontId="24" fillId="0" borderId="46" xfId="370" applyNumberFormat="1" applyFont="1" applyFill="1" applyBorder="1" applyAlignment="1">
      <alignment horizontal="centerContinuous" vertical="center"/>
    </xf>
    <xf numFmtId="0" fontId="24" fillId="0" borderId="46" xfId="601" applyFont="1" applyFill="1" applyBorder="1" applyAlignment="1">
      <alignment horizontal="centerContinuous" vertical="center"/>
    </xf>
    <xf numFmtId="172" fontId="24" fillId="0" borderId="45" xfId="370" applyNumberFormat="1" applyFont="1" applyFill="1" applyBorder="1" applyAlignment="1">
      <alignment horizontal="centerContinuous" vertical="center"/>
    </xf>
    <xf numFmtId="0" fontId="24" fillId="0" borderId="0" xfId="0" applyFont="1" applyFill="1"/>
    <xf numFmtId="0" fontId="60" fillId="0" borderId="0" xfId="0" applyFont="1" applyFill="1" applyAlignment="1">
      <alignment horizontal="centerContinuous" vertical="center"/>
    </xf>
    <xf numFmtId="174" fontId="60" fillId="0" borderId="0" xfId="0" applyNumberFormat="1" applyFont="1" applyFill="1" applyAlignment="1">
      <alignment horizontal="centerContinuous" vertical="center"/>
    </xf>
    <xf numFmtId="0" fontId="24" fillId="0" borderId="0" xfId="0" applyFont="1" applyFill="1" applyAlignment="1">
      <alignment horizontal="centerContinuous" vertical="center"/>
    </xf>
    <xf numFmtId="0" fontId="74" fillId="0" borderId="0" xfId="602" applyFont="1" applyFill="1" applyAlignment="1">
      <alignment horizontal="centerContinuous" vertical="center"/>
    </xf>
    <xf numFmtId="0" fontId="24" fillId="0" borderId="0" xfId="0" applyFont="1"/>
    <xf numFmtId="3" fontId="72" fillId="0" borderId="0" xfId="0" applyNumberFormat="1" applyFont="1" applyFill="1" applyAlignment="1">
      <alignment horizontal="right" vertical="center"/>
    </xf>
    <xf numFmtId="0" fontId="60" fillId="0" borderId="32" xfId="0" applyFont="1" applyFill="1" applyBorder="1" applyAlignment="1">
      <alignment horizontal="centerContinuous" vertical="center"/>
    </xf>
    <xf numFmtId="174" fontId="60" fillId="0" borderId="27" xfId="0" applyNumberFormat="1" applyFont="1" applyFill="1" applyBorder="1" applyAlignment="1">
      <alignment horizontal="center" vertical="center"/>
    </xf>
    <xf numFmtId="0" fontId="60" fillId="0" borderId="27" xfId="0" applyFont="1" applyFill="1" applyBorder="1" applyAlignment="1">
      <alignment horizontal="center" vertical="center"/>
    </xf>
    <xf numFmtId="169" fontId="60" fillId="0" borderId="27" xfId="370" applyFont="1" applyFill="1" applyBorder="1" applyAlignment="1">
      <alignment horizontal="center" vertical="center"/>
    </xf>
    <xf numFmtId="3" fontId="60" fillId="0" borderId="1" xfId="370" applyNumberFormat="1" applyFont="1" applyFill="1" applyBorder="1" applyAlignment="1">
      <alignment horizontal="centerContinuous" vertical="center"/>
    </xf>
    <xf numFmtId="0" fontId="60" fillId="0" borderId="0" xfId="0" applyFont="1" applyFill="1" applyAlignment="1">
      <alignment vertical="center"/>
    </xf>
    <xf numFmtId="0" fontId="60" fillId="0" borderId="31" xfId="0" applyFont="1" applyFill="1" applyBorder="1" applyAlignment="1">
      <alignment horizontal="centerContinuous" vertical="center"/>
    </xf>
    <xf numFmtId="0" fontId="60" fillId="0" borderId="45" xfId="0" applyFont="1" applyFill="1" applyBorder="1" applyAlignment="1">
      <alignment horizontal="centerContinuous" vertical="center"/>
    </xf>
    <xf numFmtId="174" fontId="60" fillId="0" borderId="8" xfId="0" applyNumberFormat="1" applyFont="1" applyFill="1" applyBorder="1" applyAlignment="1">
      <alignment horizontal="center" vertical="center"/>
    </xf>
    <xf numFmtId="0" fontId="60" fillId="0" borderId="8" xfId="0" applyFont="1" applyFill="1" applyBorder="1" applyAlignment="1">
      <alignment horizontal="center" vertical="center"/>
    </xf>
    <xf numFmtId="0" fontId="60" fillId="0" borderId="8" xfId="370" applyNumberFormat="1" applyFont="1" applyFill="1" applyBorder="1" applyAlignment="1">
      <alignment horizontal="left" vertical="center"/>
    </xf>
    <xf numFmtId="3" fontId="60" fillId="0" borderId="1" xfId="370" applyNumberFormat="1" applyFont="1" applyFill="1" applyBorder="1" applyAlignment="1">
      <alignment horizontal="center" vertical="center"/>
    </xf>
    <xf numFmtId="0" fontId="24" fillId="0" borderId="33" xfId="0" applyFont="1" applyFill="1" applyBorder="1" applyAlignment="1">
      <alignment horizontal="right" vertical="center"/>
    </xf>
    <xf numFmtId="0" fontId="24" fillId="0" borderId="7" xfId="0" applyNumberFormat="1" applyFont="1" applyFill="1" applyBorder="1" applyAlignment="1">
      <alignment horizontal="center" vertical="center"/>
    </xf>
    <xf numFmtId="0" fontId="24" fillId="0" borderId="7" xfId="0" applyFont="1" applyFill="1" applyBorder="1" applyAlignment="1">
      <alignment horizontal="center" vertical="center"/>
    </xf>
    <xf numFmtId="3" fontId="24" fillId="0" borderId="7" xfId="370" applyNumberFormat="1" applyFont="1" applyFill="1" applyBorder="1" applyAlignment="1">
      <alignment vertical="center"/>
    </xf>
    <xf numFmtId="3" fontId="85" fillId="0" borderId="7" xfId="370" applyNumberFormat="1" applyFont="1" applyFill="1" applyBorder="1" applyAlignment="1">
      <alignment vertical="center"/>
    </xf>
    <xf numFmtId="0" fontId="24" fillId="0" borderId="34" xfId="0" applyFont="1" applyFill="1" applyBorder="1" applyAlignment="1">
      <alignment horizontal="left" vertical="center"/>
    </xf>
    <xf numFmtId="0" fontId="24" fillId="0" borderId="7" xfId="0" applyFont="1" applyFill="1" applyBorder="1" applyAlignment="1">
      <alignment horizontal="left" vertical="center"/>
    </xf>
    <xf numFmtId="0" fontId="24" fillId="0" borderId="7" xfId="370" applyNumberFormat="1" applyFont="1" applyFill="1" applyBorder="1" applyAlignment="1">
      <alignment vertical="center"/>
    </xf>
    <xf numFmtId="3" fontId="24" fillId="0" borderId="0" xfId="0" applyNumberFormat="1" applyFont="1" applyFill="1" applyAlignment="1">
      <alignment vertical="center"/>
    </xf>
    <xf numFmtId="0" fontId="85" fillId="0" borderId="7" xfId="370" applyNumberFormat="1" applyFont="1" applyFill="1" applyBorder="1" applyAlignment="1">
      <alignment horizontal="left" vertical="center"/>
    </xf>
    <xf numFmtId="0" fontId="24" fillId="0" borderId="35" xfId="0" applyNumberFormat="1" applyFont="1" applyFill="1" applyBorder="1" applyAlignment="1">
      <alignment horizontal="center" vertical="center"/>
    </xf>
    <xf numFmtId="0" fontId="24" fillId="0" borderId="35" xfId="0" applyFont="1" applyFill="1" applyBorder="1" applyAlignment="1">
      <alignment horizontal="center" vertical="center"/>
    </xf>
    <xf numFmtId="0" fontId="60" fillId="0" borderId="18" xfId="601" applyFont="1" applyFill="1" applyBorder="1" applyAlignment="1" applyProtection="1">
      <alignment horizontal="left" vertical="center"/>
      <protection locked="0"/>
    </xf>
    <xf numFmtId="0" fontId="24" fillId="0" borderId="18" xfId="601" applyFont="1" applyFill="1" applyBorder="1" applyAlignment="1">
      <alignment vertical="center"/>
    </xf>
    <xf numFmtId="0" fontId="24" fillId="0" borderId="47" xfId="601" applyNumberFormat="1" applyFont="1" applyFill="1" applyBorder="1" applyAlignment="1">
      <alignment horizontal="centerContinuous" vertical="center"/>
    </xf>
    <xf numFmtId="0" fontId="24" fillId="0" borderId="37" xfId="601" applyFont="1" applyFill="1" applyBorder="1" applyAlignment="1">
      <alignment horizontal="centerContinuous" vertical="center"/>
    </xf>
    <xf numFmtId="0" fontId="24" fillId="0" borderId="47" xfId="601" applyFont="1" applyFill="1" applyBorder="1" applyAlignment="1">
      <alignment horizontal="centerContinuous" vertical="center"/>
    </xf>
    <xf numFmtId="3" fontId="24" fillId="0" borderId="47" xfId="370" applyNumberFormat="1" applyFont="1" applyFill="1" applyBorder="1" applyAlignment="1">
      <alignment horizontal="centerContinuous" vertical="center"/>
    </xf>
    <xf numFmtId="172" fontId="24" fillId="0" borderId="38" xfId="370" applyNumberFormat="1" applyFont="1" applyFill="1" applyBorder="1" applyAlignment="1">
      <alignment horizontal="centerContinuous" vertical="center"/>
    </xf>
    <xf numFmtId="0" fontId="24" fillId="0" borderId="38" xfId="601" applyFont="1" applyFill="1" applyBorder="1" applyAlignment="1">
      <alignment horizontal="centerContinuous" vertical="center"/>
    </xf>
    <xf numFmtId="172" fontId="24" fillId="0" borderId="37" xfId="370" applyNumberFormat="1" applyFont="1" applyFill="1" applyBorder="1" applyAlignment="1">
      <alignment horizontal="centerContinuous" vertical="center"/>
    </xf>
    <xf numFmtId="0" fontId="24" fillId="0" borderId="7" xfId="601" applyFont="1" applyFill="1" applyBorder="1" applyAlignment="1" applyProtection="1">
      <alignment horizontal="left" vertical="center" indent="1"/>
      <protection locked="0"/>
    </xf>
    <xf numFmtId="0" fontId="59" fillId="0" borderId="7" xfId="601" applyFont="1" applyFill="1" applyBorder="1" applyAlignment="1">
      <alignment horizontal="center" vertical="center"/>
    </xf>
    <xf numFmtId="0" fontId="24" fillId="0" borderId="34" xfId="601" applyNumberFormat="1" applyFont="1" applyFill="1" applyBorder="1" applyAlignment="1">
      <alignment horizontal="centerContinuous" vertical="center"/>
    </xf>
    <xf numFmtId="0" fontId="24" fillId="0" borderId="33" xfId="601" applyFont="1" applyFill="1" applyBorder="1" applyAlignment="1">
      <alignment horizontal="centerContinuous" vertical="center"/>
    </xf>
    <xf numFmtId="3" fontId="24" fillId="0" borderId="34" xfId="601" applyNumberFormat="1" applyFont="1" applyFill="1" applyBorder="1" applyAlignment="1">
      <alignment horizontal="centerContinuous" vertical="center"/>
    </xf>
    <xf numFmtId="3" fontId="24" fillId="0" borderId="33" xfId="601" applyNumberFormat="1" applyFont="1" applyFill="1" applyBorder="1" applyAlignment="1">
      <alignment horizontal="centerContinuous" vertical="center"/>
    </xf>
    <xf numFmtId="0" fontId="24" fillId="0" borderId="34" xfId="601" applyFont="1" applyFill="1" applyBorder="1" applyAlignment="1">
      <alignment horizontal="right" vertical="center"/>
    </xf>
    <xf numFmtId="208" fontId="24" fillId="0" borderId="33" xfId="601" applyNumberFormat="1" applyFont="1" applyFill="1" applyBorder="1" applyAlignment="1">
      <alignment horizontal="left" vertical="center"/>
    </xf>
    <xf numFmtId="3" fontId="24" fillId="0" borderId="39" xfId="601" applyNumberFormat="1" applyFont="1" applyFill="1" applyBorder="1" applyAlignment="1">
      <alignment horizontal="centerContinuous" vertical="center"/>
    </xf>
    <xf numFmtId="3" fontId="24" fillId="0" borderId="33" xfId="370" applyNumberFormat="1" applyFont="1" applyFill="1" applyBorder="1" applyAlignment="1">
      <alignment horizontal="centerContinuous" vertical="center"/>
    </xf>
    <xf numFmtId="0" fontId="60" fillId="0" borderId="7" xfId="601" applyFont="1" applyFill="1" applyBorder="1" applyAlignment="1" applyProtection="1">
      <alignment vertical="center"/>
      <protection locked="0"/>
    </xf>
    <xf numFmtId="0" fontId="24" fillId="0" borderId="35" xfId="601" applyFont="1" applyFill="1" applyBorder="1" applyAlignment="1" applyProtection="1">
      <alignment horizontal="left" vertical="center" indent="1"/>
      <protection locked="0"/>
    </xf>
    <xf numFmtId="0" fontId="59" fillId="0" borderId="35" xfId="601" applyFont="1" applyFill="1" applyBorder="1" applyAlignment="1">
      <alignment horizontal="center" vertical="center"/>
    </xf>
    <xf numFmtId="0" fontId="24" fillId="0" borderId="41" xfId="601" applyNumberFormat="1" applyFont="1" applyFill="1" applyBorder="1" applyAlignment="1">
      <alignment horizontal="centerContinuous" vertical="center"/>
    </xf>
    <xf numFmtId="0" fontId="24" fillId="0" borderId="42" xfId="601" applyFont="1" applyFill="1" applyBorder="1" applyAlignment="1">
      <alignment horizontal="centerContinuous" vertical="center"/>
    </xf>
    <xf numFmtId="3" fontId="24" fillId="0" borderId="41" xfId="601" applyNumberFormat="1" applyFont="1" applyFill="1" applyBorder="1" applyAlignment="1">
      <alignment horizontal="centerContinuous" vertical="center"/>
    </xf>
    <xf numFmtId="3" fontId="24" fillId="0" borderId="42" xfId="601" applyNumberFormat="1" applyFont="1" applyFill="1" applyBorder="1" applyAlignment="1">
      <alignment horizontal="centerContinuous" vertical="center"/>
    </xf>
    <xf numFmtId="0" fontId="24" fillId="0" borderId="41" xfId="601" applyFont="1" applyFill="1" applyBorder="1" applyAlignment="1">
      <alignment horizontal="right" vertical="center"/>
    </xf>
    <xf numFmtId="208" fontId="24" fillId="0" borderId="42" xfId="601" applyNumberFormat="1" applyFont="1" applyFill="1" applyBorder="1" applyAlignment="1">
      <alignment horizontal="left" vertical="center"/>
    </xf>
    <xf numFmtId="3" fontId="24" fillId="0" borderId="40" xfId="601" applyNumberFormat="1" applyFont="1" applyFill="1" applyBorder="1" applyAlignment="1">
      <alignment horizontal="centerContinuous" vertical="center"/>
    </xf>
    <xf numFmtId="3" fontId="24" fillId="0" borderId="42" xfId="370" applyNumberFormat="1" applyFont="1" applyFill="1" applyBorder="1" applyAlignment="1">
      <alignment horizontal="centerContinuous" vertical="center"/>
    </xf>
    <xf numFmtId="0" fontId="24" fillId="0" borderId="0" xfId="0" applyFont="1" applyFill="1" applyBorder="1" applyAlignment="1">
      <alignment vertical="center"/>
    </xf>
    <xf numFmtId="0" fontId="78" fillId="0" borderId="0" xfId="587" applyFont="1" applyAlignment="1" applyProtection="1">
      <alignment horizontal="centerContinuous" vertical="center"/>
      <protection locked="0"/>
    </xf>
    <xf numFmtId="0" fontId="78" fillId="26" borderId="0" xfId="587" applyFont="1" applyFill="1" applyAlignment="1" applyProtection="1">
      <alignment horizontal="centerContinuous" vertical="center"/>
      <protection locked="0"/>
    </xf>
    <xf numFmtId="3" fontId="78" fillId="26" borderId="0" xfId="587" applyNumberFormat="1" applyFont="1" applyFill="1" applyAlignment="1" applyProtection="1">
      <alignment horizontal="centerContinuous" vertical="center"/>
      <protection locked="0"/>
    </xf>
    <xf numFmtId="0" fontId="78" fillId="26" borderId="0" xfId="587" applyFont="1" applyFill="1" applyBorder="1" applyAlignment="1" applyProtection="1">
      <alignment horizontal="center" vertical="center"/>
      <protection locked="0"/>
    </xf>
    <xf numFmtId="0" fontId="78" fillId="12" borderId="0" xfId="587" applyFont="1" applyFill="1" applyAlignment="1" applyProtection="1">
      <alignment vertical="center"/>
      <protection locked="0"/>
    </xf>
    <xf numFmtId="0" fontId="89" fillId="0" borderId="0" xfId="587" applyFont="1" applyAlignment="1" applyProtection="1">
      <alignment horizontal="centerContinuous" vertical="center"/>
      <protection locked="0"/>
    </xf>
    <xf numFmtId="0" fontId="89" fillId="26" borderId="0" xfId="587" applyFont="1" applyFill="1" applyAlignment="1" applyProtection="1">
      <alignment horizontal="centerContinuous" vertical="center"/>
      <protection locked="0"/>
    </xf>
    <xf numFmtId="3" fontId="89" fillId="26" borderId="0" xfId="587" applyNumberFormat="1" applyFont="1" applyFill="1" applyAlignment="1" applyProtection="1">
      <alignment horizontal="centerContinuous" vertical="center"/>
      <protection locked="0"/>
    </xf>
    <xf numFmtId="0" fontId="89" fillId="26" borderId="0" xfId="587" applyFont="1" applyFill="1" applyBorder="1" applyAlignment="1" applyProtection="1">
      <alignment horizontal="center" vertical="center"/>
      <protection locked="0"/>
    </xf>
    <xf numFmtId="0" fontId="89" fillId="12" borderId="0" xfId="587" applyFont="1" applyFill="1" applyAlignment="1" applyProtection="1">
      <alignment vertical="center"/>
      <protection locked="0"/>
    </xf>
    <xf numFmtId="0" fontId="24" fillId="0" borderId="0" xfId="567" applyNumberFormat="1" applyFont="1" applyAlignment="1">
      <alignment horizontal="centerContinuous" vertical="center" wrapText="1"/>
    </xf>
    <xf numFmtId="0" fontId="45" fillId="0" borderId="0" xfId="587" applyFont="1" applyAlignment="1" applyProtection="1">
      <alignment vertical="center"/>
      <protection locked="0"/>
    </xf>
    <xf numFmtId="0" fontId="45" fillId="26" borderId="0" xfId="587" applyFont="1" applyFill="1" applyAlignment="1" applyProtection="1">
      <alignment vertical="center"/>
      <protection locked="0"/>
    </xf>
    <xf numFmtId="0" fontId="24" fillId="0" borderId="0" xfId="567" applyNumberFormat="1" applyFont="1" applyAlignment="1">
      <alignment horizontal="left" vertical="center" wrapText="1"/>
    </xf>
    <xf numFmtId="1" fontId="24" fillId="0" borderId="0" xfId="413" applyNumberFormat="1" applyFont="1" applyAlignment="1">
      <alignment horizontal="left" vertical="center"/>
    </xf>
    <xf numFmtId="3" fontId="24" fillId="0" borderId="0" xfId="567" applyNumberFormat="1" applyFont="1" applyAlignment="1">
      <alignment horizontal="left" vertical="center"/>
    </xf>
    <xf numFmtId="3" fontId="24" fillId="0" borderId="0" xfId="567" applyNumberFormat="1" applyFont="1" applyAlignment="1">
      <alignment horizontal="right" vertical="center"/>
    </xf>
    <xf numFmtId="211" fontId="24" fillId="0" borderId="1" xfId="567" applyNumberFormat="1" applyFont="1" applyBorder="1" applyAlignment="1">
      <alignment horizontal="center" vertical="top" wrapText="1"/>
    </xf>
    <xf numFmtId="211" fontId="24" fillId="2" borderId="1" xfId="567" applyNumberFormat="1" applyFont="1" applyFill="1" applyBorder="1" applyAlignment="1">
      <alignment horizontal="center" vertical="top" wrapText="1"/>
    </xf>
    <xf numFmtId="211" fontId="24" fillId="12" borderId="1" xfId="567" applyNumberFormat="1" applyFont="1" applyFill="1" applyBorder="1" applyAlignment="1">
      <alignment horizontal="center" vertical="center" wrapText="1"/>
    </xf>
    <xf numFmtId="3" fontId="24" fillId="0" borderId="7" xfId="567" applyNumberFormat="1" applyFont="1" applyBorder="1" applyAlignment="1">
      <alignment vertical="center"/>
    </xf>
    <xf numFmtId="0" fontId="45" fillId="26" borderId="0" xfId="587" applyFont="1" applyFill="1" applyBorder="1" applyAlignment="1" applyProtection="1">
      <alignment vertical="center"/>
      <protection locked="0"/>
    </xf>
    <xf numFmtId="3" fontId="45" fillId="26" borderId="0" xfId="587" applyNumberFormat="1" applyFont="1" applyFill="1" applyAlignment="1" applyProtection="1">
      <alignment vertical="center"/>
      <protection locked="0"/>
    </xf>
    <xf numFmtId="0" fontId="45" fillId="12" borderId="0" xfId="587" applyFont="1" applyFill="1" applyAlignment="1" applyProtection="1">
      <alignment vertical="center"/>
      <protection locked="0"/>
    </xf>
    <xf numFmtId="0" fontId="74" fillId="0" borderId="0" xfId="0" applyFont="1" applyAlignment="1">
      <alignment horizontal="centerContinuous"/>
    </xf>
    <xf numFmtId="0" fontId="89" fillId="0" borderId="0" xfId="0" applyFont="1" applyAlignment="1">
      <alignment horizontal="centerContinuous"/>
    </xf>
    <xf numFmtId="0" fontId="61" fillId="0" borderId="0" xfId="596" applyFont="1" applyFill="1" applyAlignment="1">
      <alignment vertical="center"/>
    </xf>
    <xf numFmtId="0" fontId="74" fillId="0" borderId="0" xfId="0" applyFont="1" applyFill="1" applyAlignment="1">
      <alignment horizontal="centerContinuous"/>
    </xf>
    <xf numFmtId="0" fontId="89" fillId="0" borderId="0" xfId="0" applyFont="1" applyFill="1" applyAlignment="1">
      <alignment horizontal="centerContinuous"/>
    </xf>
    <xf numFmtId="0" fontId="59" fillId="0" borderId="0" xfId="0" applyFont="1" applyFill="1"/>
    <xf numFmtId="0" fontId="24" fillId="0" borderId="43" xfId="601" applyFont="1" applyFill="1" applyBorder="1" applyAlignment="1">
      <alignment horizontal="centerContinuous" vertical="center"/>
    </xf>
    <xf numFmtId="0" fontId="24" fillId="0" borderId="39" xfId="601" applyFont="1" applyFill="1" applyBorder="1" applyAlignment="1">
      <alignment horizontal="centerContinuous" vertical="center"/>
    </xf>
    <xf numFmtId="0" fontId="24" fillId="0" borderId="40" xfId="601" applyFont="1" applyFill="1" applyBorder="1" applyAlignment="1">
      <alignment horizontal="centerContinuous" vertical="center"/>
    </xf>
    <xf numFmtId="3" fontId="24" fillId="0" borderId="0" xfId="596" applyNumberFormat="1" applyFont="1" applyFill="1" applyAlignment="1">
      <alignment vertical="center"/>
    </xf>
    <xf numFmtId="0" fontId="60" fillId="0" borderId="7" xfId="0" applyFont="1" applyFill="1" applyBorder="1" applyAlignment="1">
      <alignment horizontal="center" vertical="center"/>
    </xf>
    <xf numFmtId="0" fontId="60" fillId="0" borderId="34" xfId="0" applyFont="1" applyFill="1" applyBorder="1" applyAlignment="1">
      <alignment horizontal="left" vertical="center"/>
    </xf>
    <xf numFmtId="0" fontId="24" fillId="0" borderId="33" xfId="0" applyFont="1" applyFill="1" applyBorder="1" applyAlignment="1">
      <alignment horizontal="center" vertical="center"/>
    </xf>
    <xf numFmtId="0" fontId="74" fillId="0" borderId="0" xfId="0" applyFont="1" applyAlignment="1">
      <alignment horizontal="centerContinuous" vertical="top" wrapText="1"/>
    </xf>
    <xf numFmtId="0" fontId="89" fillId="0" borderId="0" xfId="0" applyFont="1" applyAlignment="1">
      <alignment horizontal="centerContinuous" vertical="top" wrapText="1"/>
    </xf>
    <xf numFmtId="0" fontId="24" fillId="0" borderId="11" xfId="0" applyFont="1" applyFill="1" applyBorder="1" applyAlignment="1">
      <alignment horizontal="center" vertical="center"/>
    </xf>
    <xf numFmtId="0" fontId="62" fillId="0" borderId="7" xfId="404" applyNumberFormat="1" applyFont="1" applyFill="1" applyBorder="1" applyAlignment="1">
      <alignment vertical="center"/>
    </xf>
    <xf numFmtId="0" fontId="24" fillId="0" borderId="7" xfId="0" applyFont="1" applyFill="1" applyBorder="1" applyAlignment="1">
      <alignment vertical="center"/>
    </xf>
    <xf numFmtId="169" fontId="24" fillId="0" borderId="7" xfId="370" applyFont="1" applyFill="1" applyBorder="1" applyAlignment="1">
      <alignment vertical="center"/>
    </xf>
    <xf numFmtId="0" fontId="24" fillId="0" borderId="7" xfId="0" applyFont="1" applyFill="1" applyBorder="1" applyAlignment="1">
      <alignment vertical="center" wrapText="1"/>
    </xf>
    <xf numFmtId="172" fontId="24" fillId="0" borderId="48" xfId="370" applyNumberFormat="1" applyFont="1" applyFill="1" applyBorder="1" applyAlignment="1">
      <alignment vertical="center"/>
    </xf>
    <xf numFmtId="0" fontId="24" fillId="0" borderId="48" xfId="0" applyFont="1" applyFill="1" applyBorder="1" applyAlignment="1">
      <alignment vertical="center"/>
    </xf>
    <xf numFmtId="172" fontId="150" fillId="0" borderId="7" xfId="370" applyNumberFormat="1" applyFont="1" applyFill="1" applyBorder="1" applyAlignment="1">
      <alignment vertical="center"/>
    </xf>
    <xf numFmtId="172" fontId="24" fillId="0" borderId="35" xfId="370" applyNumberFormat="1" applyFont="1" applyFill="1" applyBorder="1" applyAlignment="1">
      <alignment vertical="center"/>
    </xf>
    <xf numFmtId="0" fontId="24" fillId="0" borderId="35" xfId="0" applyFont="1" applyFill="1" applyBorder="1" applyAlignment="1">
      <alignment vertical="center"/>
    </xf>
    <xf numFmtId="0" fontId="24" fillId="0" borderId="48" xfId="596" applyFont="1" applyFill="1" applyBorder="1" applyAlignment="1">
      <alignment horizontal="right" vertical="center"/>
    </xf>
    <xf numFmtId="0" fontId="24" fillId="0" borderId="49" xfId="596" applyFont="1" applyFill="1" applyBorder="1" applyAlignment="1">
      <alignment horizontal="center" vertical="center"/>
    </xf>
    <xf numFmtId="0" fontId="24" fillId="0" borderId="48" xfId="370" applyNumberFormat="1" applyFont="1" applyFill="1" applyBorder="1" applyAlignment="1">
      <alignment horizontal="center" vertical="center"/>
    </xf>
    <xf numFmtId="0" fontId="24" fillId="0" borderId="48" xfId="596" applyFont="1" applyFill="1" applyBorder="1" applyAlignment="1">
      <alignment horizontal="center" vertical="center"/>
    </xf>
    <xf numFmtId="0" fontId="82" fillId="0" borderId="49" xfId="596" applyNumberFormat="1" applyFont="1" applyFill="1" applyBorder="1" applyAlignment="1">
      <alignment horizontal="center" vertical="center" shrinkToFit="1"/>
    </xf>
    <xf numFmtId="0" fontId="24" fillId="0" borderId="48" xfId="596" applyNumberFormat="1" applyFont="1" applyFill="1" applyBorder="1" applyAlignment="1">
      <alignment horizontal="center" vertical="center"/>
    </xf>
    <xf numFmtId="0" fontId="24" fillId="0" borderId="50" xfId="596" applyFont="1" applyFill="1" applyBorder="1" applyAlignment="1">
      <alignment horizontal="right" vertical="center"/>
    </xf>
    <xf numFmtId="3" fontId="62" fillId="0" borderId="50" xfId="370" applyNumberFormat="1" applyFont="1" applyFill="1" applyBorder="1" applyAlignment="1" applyProtection="1">
      <alignment horizontal="center" vertical="center"/>
    </xf>
    <xf numFmtId="0" fontId="62" fillId="0" borderId="50" xfId="596" applyFont="1" applyFill="1" applyBorder="1" applyAlignment="1">
      <alignment horizontal="center" vertical="center"/>
    </xf>
    <xf numFmtId="0" fontId="62" fillId="0" borderId="50" xfId="596" applyFont="1" applyFill="1" applyBorder="1" applyAlignment="1" applyProtection="1">
      <alignment horizontal="center" vertical="center"/>
    </xf>
    <xf numFmtId="0" fontId="24" fillId="0" borderId="50" xfId="596" applyNumberFormat="1" applyFont="1" applyFill="1" applyBorder="1" applyAlignment="1" applyProtection="1">
      <alignment horizontal="center" vertical="center"/>
    </xf>
    <xf numFmtId="0" fontId="24" fillId="0" borderId="50" xfId="596" applyFont="1" applyFill="1" applyBorder="1" applyAlignment="1" applyProtection="1">
      <alignment horizontal="center" vertical="center"/>
    </xf>
    <xf numFmtId="0" fontId="24" fillId="0" borderId="50" xfId="596" applyFont="1" applyFill="1" applyBorder="1" applyAlignment="1">
      <alignment horizontal="left" vertical="center"/>
    </xf>
    <xf numFmtId="206" fontId="24" fillId="0" borderId="50" xfId="596" applyNumberFormat="1" applyFont="1" applyFill="1" applyBorder="1" applyAlignment="1">
      <alignment horizontal="left" vertical="center"/>
    </xf>
    <xf numFmtId="3" fontId="24" fillId="0" borderId="48" xfId="370" applyNumberFormat="1" applyFont="1" applyFill="1" applyBorder="1" applyAlignment="1">
      <alignment horizontal="center" vertical="center"/>
    </xf>
    <xf numFmtId="172" fontId="60" fillId="0" borderId="48" xfId="370" applyNumberFormat="1" applyFont="1" applyFill="1" applyBorder="1" applyAlignment="1">
      <alignment vertical="center"/>
    </xf>
    <xf numFmtId="3" fontId="24" fillId="0" borderId="49" xfId="370" applyNumberFormat="1" applyFont="1" applyFill="1" applyBorder="1" applyAlignment="1">
      <alignment vertical="center"/>
    </xf>
    <xf numFmtId="172" fontId="24" fillId="0" borderId="48" xfId="596" applyNumberFormat="1" applyFont="1" applyFill="1" applyBorder="1" applyAlignment="1">
      <alignment horizontal="center" vertical="center" shrinkToFit="1"/>
    </xf>
    <xf numFmtId="0" fontId="60" fillId="0" borderId="0" xfId="602" applyFont="1" applyFill="1" applyAlignment="1">
      <alignment horizontal="centerContinuous" vertical="center"/>
    </xf>
    <xf numFmtId="0" fontId="72" fillId="0" borderId="0" xfId="0" applyFont="1" applyFill="1" applyAlignment="1">
      <alignment horizontal="right" vertical="center"/>
    </xf>
    <xf numFmtId="4" fontId="60" fillId="0" borderId="0" xfId="370" applyNumberFormat="1" applyFont="1" applyFill="1" applyAlignment="1">
      <alignment horizontal="centerContinuous" vertical="center"/>
    </xf>
    <xf numFmtId="209" fontId="24" fillId="0" borderId="0" xfId="370" applyNumberFormat="1" applyFont="1" applyFill="1" applyAlignment="1">
      <alignment vertical="center"/>
    </xf>
    <xf numFmtId="0" fontId="60" fillId="0" borderId="0" xfId="370" applyNumberFormat="1" applyFont="1" applyFill="1" applyAlignment="1">
      <alignment horizontal="left" vertical="center"/>
    </xf>
    <xf numFmtId="0" fontId="60" fillId="0" borderId="21" xfId="0" applyFont="1" applyFill="1" applyBorder="1" applyAlignment="1">
      <alignment horizontal="centerContinuous" vertical="center"/>
    </xf>
    <xf numFmtId="4" fontId="60" fillId="0" borderId="27" xfId="370" applyNumberFormat="1" applyFont="1" applyFill="1" applyBorder="1" applyAlignment="1">
      <alignment horizontal="center" vertical="center"/>
    </xf>
    <xf numFmtId="209" fontId="60" fillId="0" borderId="0" xfId="370" applyNumberFormat="1" applyFont="1" applyFill="1" applyAlignment="1">
      <alignment vertical="center"/>
    </xf>
    <xf numFmtId="4" fontId="60" fillId="0" borderId="8" xfId="370" applyNumberFormat="1" applyFont="1" applyFill="1" applyBorder="1" applyAlignment="1">
      <alignment horizontal="center" vertical="center"/>
    </xf>
    <xf numFmtId="0" fontId="60" fillId="0" borderId="11" xfId="0" applyFont="1" applyFill="1" applyBorder="1" applyAlignment="1">
      <alignment horizontal="center" vertical="center"/>
    </xf>
    <xf numFmtId="4" fontId="85" fillId="0" borderId="7" xfId="370" applyNumberFormat="1" applyFont="1" applyFill="1" applyBorder="1" applyAlignment="1">
      <alignment vertical="center"/>
    </xf>
    <xf numFmtId="3" fontId="60" fillId="0" borderId="7" xfId="370" applyNumberFormat="1" applyFont="1" applyFill="1" applyBorder="1" applyAlignment="1">
      <alignment vertical="center"/>
    </xf>
    <xf numFmtId="4" fontId="24" fillId="0" borderId="7" xfId="370" applyNumberFormat="1" applyFont="1" applyFill="1" applyBorder="1" applyAlignment="1">
      <alignment vertical="center"/>
    </xf>
    <xf numFmtId="0" fontId="24" fillId="0" borderId="7" xfId="0" applyFont="1" applyFill="1" applyBorder="1" applyAlignment="1">
      <alignment horizontal="left" vertical="center" wrapText="1"/>
    </xf>
    <xf numFmtId="0" fontId="24" fillId="0" borderId="7" xfId="0" applyFont="1" applyFill="1" applyBorder="1" applyAlignment="1">
      <alignment horizontal="center" vertical="center" wrapText="1"/>
    </xf>
    <xf numFmtId="0" fontId="60" fillId="0" borderId="7" xfId="0" applyFont="1" applyFill="1" applyBorder="1" applyAlignment="1">
      <alignment horizontal="left" vertical="center"/>
    </xf>
    <xf numFmtId="0" fontId="24" fillId="0" borderId="7" xfId="0" applyFont="1" applyFill="1" applyBorder="1" applyAlignment="1">
      <alignment horizontal="left" vertical="center" indent="1"/>
    </xf>
    <xf numFmtId="0" fontId="24" fillId="0" borderId="35" xfId="0" applyFont="1" applyFill="1" applyBorder="1"/>
    <xf numFmtId="0" fontId="24" fillId="0" borderId="35" xfId="370" applyNumberFormat="1" applyFont="1" applyFill="1" applyBorder="1" applyAlignment="1">
      <alignment horizontal="left"/>
    </xf>
    <xf numFmtId="4" fontId="24" fillId="0" borderId="35" xfId="370" applyNumberFormat="1" applyFont="1" applyFill="1" applyBorder="1"/>
    <xf numFmtId="3" fontId="24" fillId="0" borderId="35" xfId="370" applyNumberFormat="1" applyFont="1" applyFill="1" applyBorder="1"/>
    <xf numFmtId="215" fontId="60" fillId="0" borderId="7" xfId="0" applyNumberFormat="1" applyFont="1" applyFill="1" applyBorder="1" applyAlignment="1">
      <alignment horizontal="left" vertical="top" wrapText="1"/>
    </xf>
    <xf numFmtId="0" fontId="24" fillId="0" borderId="7" xfId="0" applyNumberFormat="1" applyFont="1" applyFill="1" applyBorder="1" applyAlignment="1">
      <alignment horizontal="center" vertical="top"/>
    </xf>
    <xf numFmtId="49" fontId="60" fillId="0" borderId="7" xfId="0" applyNumberFormat="1" applyFont="1" applyFill="1" applyBorder="1" applyAlignment="1">
      <alignment horizontal="center" vertical="top"/>
    </xf>
    <xf numFmtId="49" fontId="24" fillId="0" borderId="7" xfId="0" applyNumberFormat="1" applyFont="1" applyFill="1" applyBorder="1" applyAlignment="1">
      <alignment horizontal="center" vertical="top"/>
    </xf>
    <xf numFmtId="0" fontId="24" fillId="0" borderId="7" xfId="0" applyFont="1" applyFill="1" applyBorder="1" applyAlignment="1">
      <alignment horizontal="center" vertical="top"/>
    </xf>
    <xf numFmtId="0" fontId="24" fillId="0" borderId="0" xfId="0" applyNumberFormat="1" applyFont="1" applyFill="1" applyAlignment="1">
      <alignment horizontal="left" vertical="center"/>
    </xf>
    <xf numFmtId="0" fontId="60" fillId="0" borderId="0" xfId="0" applyNumberFormat="1" applyFont="1" applyFill="1" applyAlignment="1">
      <alignment horizontal="centerContinuous" vertical="center"/>
    </xf>
    <xf numFmtId="0" fontId="60" fillId="0" borderId="0" xfId="0" applyFont="1" applyFill="1" applyAlignment="1">
      <alignment horizontal="center" vertical="center"/>
    </xf>
    <xf numFmtId="169" fontId="60" fillId="0" borderId="0" xfId="370" applyFont="1" applyFill="1" applyAlignment="1">
      <alignment vertical="center"/>
    </xf>
    <xf numFmtId="169" fontId="24" fillId="0" borderId="0" xfId="0" applyNumberFormat="1" applyFont="1" applyFill="1" applyAlignment="1">
      <alignment vertical="center"/>
    </xf>
    <xf numFmtId="176" fontId="24" fillId="0" borderId="7" xfId="0" applyNumberFormat="1" applyFont="1" applyFill="1" applyBorder="1" applyAlignment="1">
      <alignment horizontal="center" vertical="center"/>
    </xf>
    <xf numFmtId="195" fontId="24" fillId="0" borderId="7" xfId="370" applyNumberFormat="1" applyFont="1" applyFill="1" applyBorder="1" applyAlignment="1">
      <alignment horizontal="center" vertical="center"/>
    </xf>
    <xf numFmtId="0" fontId="24" fillId="0" borderId="35" xfId="0" applyFont="1" applyFill="1" applyBorder="1" applyAlignment="1">
      <alignment horizontal="left" vertical="center" indent="1"/>
    </xf>
    <xf numFmtId="0" fontId="24" fillId="0" borderId="0" xfId="0" applyNumberFormat="1" applyFont="1" applyFill="1" applyAlignment="1">
      <alignment horizontal="center"/>
    </xf>
    <xf numFmtId="172" fontId="24" fillId="0" borderId="0" xfId="370" applyNumberFormat="1" applyFont="1" applyFill="1"/>
    <xf numFmtId="0" fontId="24" fillId="0" borderId="51" xfId="0" applyFont="1" applyFill="1" applyBorder="1" applyAlignment="1">
      <alignment horizontal="right" vertical="center"/>
    </xf>
    <xf numFmtId="0" fontId="78" fillId="0" borderId="0" xfId="587" applyFont="1" applyAlignment="1" applyProtection="1">
      <alignment horizontal="centerContinuous" vertical="top"/>
      <protection locked="0"/>
    </xf>
    <xf numFmtId="0" fontId="78" fillId="26" borderId="0" xfId="587" applyFont="1" applyFill="1" applyAlignment="1" applyProtection="1">
      <alignment horizontal="centerContinuous" vertical="top"/>
      <protection locked="0"/>
    </xf>
    <xf numFmtId="0" fontId="89" fillId="0" borderId="0" xfId="587" applyFont="1" applyAlignment="1" applyProtection="1">
      <alignment horizontal="centerContinuous" vertical="top"/>
      <protection locked="0"/>
    </xf>
    <xf numFmtId="0" fontId="89" fillId="26" borderId="0" xfId="587" applyFont="1" applyFill="1" applyAlignment="1" applyProtection="1">
      <alignment horizontal="centerContinuous" vertical="top"/>
      <protection locked="0"/>
    </xf>
    <xf numFmtId="3" fontId="78" fillId="26" borderId="0" xfId="587" applyNumberFormat="1" applyFont="1" applyFill="1" applyAlignment="1" applyProtection="1">
      <alignment horizontal="centerContinuous" vertical="top"/>
      <protection locked="0"/>
    </xf>
    <xf numFmtId="3" fontId="89" fillId="26" borderId="0" xfId="587" applyNumberFormat="1" applyFont="1" applyFill="1" applyAlignment="1" applyProtection="1">
      <alignment horizontal="centerContinuous" vertical="top"/>
      <protection locked="0"/>
    </xf>
    <xf numFmtId="0" fontId="78" fillId="26" borderId="0" xfId="587" applyFont="1" applyFill="1" applyAlignment="1" applyProtection="1">
      <alignment vertical="top"/>
      <protection locked="0"/>
    </xf>
    <xf numFmtId="0" fontId="89" fillId="26" borderId="0" xfId="587" applyFont="1" applyFill="1" applyAlignment="1" applyProtection="1">
      <alignment vertical="top"/>
      <protection locked="0"/>
    </xf>
    <xf numFmtId="0" fontId="45" fillId="0" borderId="0" xfId="587" applyFont="1" applyAlignment="1" applyProtection="1">
      <alignment vertical="top"/>
      <protection locked="0"/>
    </xf>
    <xf numFmtId="0" fontId="24" fillId="0" borderId="30" xfId="0" applyFont="1" applyBorder="1" applyAlignment="1">
      <alignment vertical="top"/>
    </xf>
    <xf numFmtId="172" fontId="60" fillId="0" borderId="0" xfId="370" applyNumberFormat="1" applyFont="1" applyFill="1" applyAlignment="1">
      <alignment vertical="center"/>
    </xf>
    <xf numFmtId="0" fontId="24" fillId="0" borderId="0" xfId="587" applyFont="1" applyAlignment="1" applyProtection="1">
      <alignment horizontal="centerContinuous" vertical="top"/>
      <protection locked="0"/>
    </xf>
    <xf numFmtId="0" fontId="24" fillId="0" borderId="0" xfId="587" applyFont="1" applyAlignment="1" applyProtection="1">
      <alignment horizontal="centerContinuous" vertical="center"/>
      <protection locked="0"/>
    </xf>
    <xf numFmtId="3" fontId="24" fillId="26" borderId="0" xfId="587" applyNumberFormat="1" applyFont="1" applyFill="1" applyAlignment="1" applyProtection="1">
      <alignment horizontal="centerContinuous" vertical="center"/>
      <protection locked="0"/>
    </xf>
    <xf numFmtId="0" fontId="24" fillId="26" borderId="0" xfId="587" applyFont="1" applyFill="1" applyAlignment="1" applyProtection="1">
      <alignment horizontal="centerContinuous" vertical="center"/>
      <protection locked="0"/>
    </xf>
    <xf numFmtId="0" fontId="24" fillId="26" borderId="0" xfId="587" applyFont="1" applyFill="1" applyBorder="1" applyAlignment="1" applyProtection="1">
      <alignment horizontal="center" vertical="center"/>
      <protection locked="0"/>
    </xf>
    <xf numFmtId="0" fontId="24" fillId="12" borderId="0" xfId="587" applyFont="1" applyFill="1" applyAlignment="1" applyProtection="1">
      <alignment vertical="center"/>
      <protection locked="0"/>
    </xf>
    <xf numFmtId="0" fontId="24" fillId="0" borderId="0" xfId="587" applyFont="1" applyAlignment="1" applyProtection="1">
      <alignment vertical="center"/>
      <protection locked="0"/>
    </xf>
    <xf numFmtId="0" fontId="24" fillId="0" borderId="0" xfId="587" applyFont="1" applyAlignment="1" applyProtection="1">
      <alignment vertical="top"/>
      <protection locked="0"/>
    </xf>
    <xf numFmtId="0" fontId="60" fillId="26" borderId="0" xfId="587" applyFont="1" applyFill="1" applyBorder="1" applyAlignment="1" applyProtection="1">
      <alignment vertical="center"/>
      <protection locked="0"/>
    </xf>
    <xf numFmtId="0" fontId="60" fillId="26" borderId="0" xfId="587" applyFont="1" applyFill="1" applyBorder="1" applyAlignment="1" applyProtection="1">
      <alignment horizontal="center" vertical="center"/>
      <protection locked="0"/>
    </xf>
    <xf numFmtId="0" fontId="60" fillId="12" borderId="0" xfId="587" applyFont="1" applyFill="1" applyBorder="1" applyAlignment="1" applyProtection="1">
      <alignment vertical="center"/>
      <protection locked="0"/>
    </xf>
    <xf numFmtId="1" fontId="24" fillId="0" borderId="0" xfId="413" applyNumberFormat="1" applyFont="1" applyAlignment="1">
      <alignment horizontal="left" vertical="top"/>
    </xf>
    <xf numFmtId="0" fontId="24" fillId="0" borderId="0" xfId="587" applyFont="1" applyBorder="1" applyAlignment="1" applyProtection="1">
      <alignment vertical="center"/>
      <protection locked="0"/>
    </xf>
    <xf numFmtId="3" fontId="60" fillId="26" borderId="0" xfId="587" applyNumberFormat="1" applyFont="1" applyFill="1" applyBorder="1" applyAlignment="1" applyProtection="1">
      <alignment vertical="center"/>
      <protection locked="0"/>
    </xf>
    <xf numFmtId="0" fontId="24" fillId="26" borderId="0" xfId="587" applyFont="1" applyFill="1" applyAlignment="1" applyProtection="1">
      <alignment vertical="center"/>
      <protection locked="0"/>
    </xf>
    <xf numFmtId="0" fontId="24" fillId="0" borderId="32" xfId="587" applyFont="1" applyFill="1" applyBorder="1" applyAlignment="1" applyProtection="1">
      <alignment horizontal="center" vertical="top" wrapText="1"/>
      <protection locked="0"/>
    </xf>
    <xf numFmtId="3" fontId="24" fillId="12" borderId="15" xfId="587" applyNumberFormat="1" applyFont="1" applyFill="1" applyBorder="1" applyAlignment="1" applyProtection="1">
      <alignment horizontal="centerContinuous" vertical="center" wrapText="1"/>
      <protection locked="0"/>
    </xf>
    <xf numFmtId="3" fontId="24" fillId="12" borderId="13" xfId="587" applyNumberFormat="1" applyFont="1" applyFill="1" applyBorder="1" applyAlignment="1" applyProtection="1">
      <alignment horizontal="centerContinuous" vertical="center" wrapText="1"/>
      <protection locked="0"/>
    </xf>
    <xf numFmtId="3" fontId="24" fillId="12" borderId="27" xfId="587" applyNumberFormat="1" applyFont="1" applyFill="1" applyBorder="1" applyAlignment="1" applyProtection="1">
      <alignment horizontal="center" vertical="center" wrapText="1"/>
      <protection locked="0"/>
    </xf>
    <xf numFmtId="0" fontId="24" fillId="0" borderId="9" xfId="587" applyFont="1" applyFill="1" applyBorder="1" applyAlignment="1" applyProtection="1">
      <alignment horizontal="center" vertical="top" wrapText="1"/>
      <protection locked="0"/>
    </xf>
    <xf numFmtId="3" fontId="24" fillId="12" borderId="30" xfId="587" applyNumberFormat="1" applyFont="1" applyFill="1" applyBorder="1" applyAlignment="1" applyProtection="1">
      <alignment horizontal="center" vertical="center" wrapText="1"/>
      <protection locked="0"/>
    </xf>
    <xf numFmtId="0" fontId="24" fillId="0" borderId="7" xfId="587" applyFont="1" applyBorder="1" applyAlignment="1" applyProtection="1">
      <alignment horizontal="center" vertical="center"/>
      <protection locked="0"/>
    </xf>
    <xf numFmtId="0" fontId="60" fillId="0" borderId="7" xfId="587" applyFont="1" applyBorder="1" applyAlignment="1" applyProtection="1">
      <alignment horizontal="left" vertical="center"/>
      <protection locked="0"/>
    </xf>
    <xf numFmtId="0" fontId="24" fillId="26" borderId="7" xfId="587" applyFont="1" applyFill="1" applyBorder="1" applyAlignment="1" applyProtection="1">
      <alignment horizontal="center" vertical="center"/>
      <protection locked="0"/>
    </xf>
    <xf numFmtId="3" fontId="86" fillId="26" borderId="7" xfId="587" applyNumberFormat="1" applyFont="1" applyFill="1" applyBorder="1" applyAlignment="1" applyProtection="1">
      <alignment horizontal="right" vertical="center"/>
      <protection hidden="1"/>
    </xf>
    <xf numFmtId="3" fontId="87" fillId="26" borderId="7" xfId="587" applyNumberFormat="1" applyFont="1" applyFill="1" applyBorder="1" applyAlignment="1" applyProtection="1">
      <alignment horizontal="right" vertical="center"/>
      <protection locked="0"/>
    </xf>
    <xf numFmtId="3" fontId="24" fillId="26" borderId="7" xfId="587" applyNumberFormat="1" applyFont="1" applyFill="1" applyBorder="1" applyAlignment="1" applyProtection="1">
      <alignment horizontal="right" vertical="center"/>
      <protection locked="0"/>
    </xf>
    <xf numFmtId="212" fontId="87" fillId="26" borderId="7" xfId="587" applyNumberFormat="1" applyFont="1" applyFill="1" applyBorder="1" applyAlignment="1" applyProtection="1">
      <alignment horizontal="right" vertical="center"/>
      <protection locked="0"/>
    </xf>
    <xf numFmtId="212" fontId="86" fillId="12" borderId="33" xfId="587" applyNumberFormat="1" applyFont="1" applyFill="1" applyBorder="1" applyAlignment="1" applyProtection="1">
      <alignment horizontal="right" vertical="center"/>
      <protection hidden="1"/>
    </xf>
    <xf numFmtId="212" fontId="86" fillId="12" borderId="7" xfId="587" applyNumberFormat="1" applyFont="1" applyFill="1" applyBorder="1" applyAlignment="1" applyProtection="1">
      <alignment horizontal="right" vertical="center"/>
      <protection hidden="1"/>
    </xf>
    <xf numFmtId="212" fontId="87" fillId="12" borderId="7" xfId="587" applyNumberFormat="1" applyFont="1" applyFill="1" applyBorder="1" applyAlignment="1" applyProtection="1">
      <alignment horizontal="right" vertical="center"/>
      <protection locked="0"/>
    </xf>
    <xf numFmtId="195" fontId="24" fillId="26" borderId="0" xfId="587" applyNumberFormat="1" applyFont="1" applyFill="1" applyAlignment="1" applyProtection="1">
      <alignment vertical="center"/>
      <protection locked="0"/>
    </xf>
    <xf numFmtId="0" fontId="24" fillId="0" borderId="7" xfId="587" applyFont="1" applyBorder="1" applyAlignment="1" applyProtection="1">
      <alignment horizontal="left" vertical="center" wrapText="1" indent="1"/>
      <protection locked="0"/>
    </xf>
    <xf numFmtId="3" fontId="235" fillId="26" borderId="7" xfId="587" applyNumberFormat="1" applyFont="1" applyFill="1" applyBorder="1" applyAlignment="1" applyProtection="1">
      <alignment horizontal="right" vertical="center"/>
      <protection hidden="1"/>
    </xf>
    <xf numFmtId="3" fontId="236" fillId="26" borderId="7" xfId="587" applyNumberFormat="1" applyFont="1" applyFill="1" applyBorder="1" applyAlignment="1" applyProtection="1">
      <alignment horizontal="right" vertical="center"/>
      <protection hidden="1"/>
    </xf>
    <xf numFmtId="3" fontId="24" fillId="0" borderId="30" xfId="587" applyNumberFormat="1" applyFont="1" applyBorder="1" applyAlignment="1">
      <alignment vertical="top"/>
    </xf>
    <xf numFmtId="3" fontId="60" fillId="0" borderId="30" xfId="587" applyNumberFormat="1" applyFont="1" applyBorder="1" applyAlignment="1">
      <alignment vertical="top"/>
    </xf>
    <xf numFmtId="3" fontId="24" fillId="26" borderId="0" xfId="587" applyNumberFormat="1" applyFont="1" applyFill="1" applyAlignment="1" applyProtection="1">
      <alignment vertical="center"/>
      <protection locked="0"/>
    </xf>
    <xf numFmtId="0" fontId="24" fillId="0" borderId="7" xfId="587" applyFont="1" applyBorder="1" applyAlignment="1" applyProtection="1">
      <alignment horizontal="left" vertical="top" wrapText="1"/>
      <protection locked="0"/>
    </xf>
    <xf numFmtId="0" fontId="24" fillId="0" borderId="7" xfId="587" applyFont="1" applyBorder="1" applyAlignment="1" applyProtection="1">
      <alignment horizontal="left" vertical="center" wrapText="1"/>
      <protection locked="0"/>
    </xf>
    <xf numFmtId="0" fontId="24" fillId="0" borderId="30" xfId="587" applyFont="1" applyBorder="1" applyAlignment="1">
      <alignment vertical="top"/>
    </xf>
    <xf numFmtId="3" fontId="24" fillId="26" borderId="7" xfId="587" applyNumberFormat="1" applyFont="1" applyFill="1" applyBorder="1" applyAlignment="1" applyProtection="1">
      <alignment horizontal="right" vertical="center"/>
      <protection hidden="1"/>
    </xf>
    <xf numFmtId="3" fontId="60" fillId="10" borderId="30" xfId="587" applyNumberFormat="1" applyFont="1" applyFill="1" applyBorder="1" applyAlignment="1">
      <alignment vertical="top"/>
    </xf>
    <xf numFmtId="0" fontId="24" fillId="0" borderId="7" xfId="587" applyFont="1" applyFill="1" applyBorder="1" applyAlignment="1" applyProtection="1">
      <alignment horizontal="left" vertical="center" wrapText="1" indent="1"/>
      <protection locked="0"/>
    </xf>
    <xf numFmtId="0" fontId="60" fillId="0" borderId="7" xfId="587" applyFont="1" applyBorder="1" applyAlignment="1" applyProtection="1">
      <alignment horizontal="left" vertical="center" wrapText="1"/>
      <protection locked="0"/>
    </xf>
    <xf numFmtId="0" fontId="60" fillId="0" borderId="7" xfId="587" applyFont="1" applyBorder="1" applyAlignment="1" applyProtection="1">
      <alignment horizontal="left" vertical="center" wrapText="1" indent="1"/>
      <protection locked="0"/>
    </xf>
    <xf numFmtId="0" fontId="236" fillId="0" borderId="7" xfId="587" applyFont="1" applyBorder="1" applyAlignment="1" applyProtection="1">
      <alignment horizontal="left" vertical="center" wrapText="1" indent="1"/>
      <protection locked="0"/>
    </xf>
    <xf numFmtId="0" fontId="60" fillId="26" borderId="7" xfId="587" applyFont="1" applyFill="1" applyBorder="1" applyAlignment="1" applyProtection="1">
      <alignment horizontal="left" vertical="center"/>
      <protection locked="0"/>
    </xf>
    <xf numFmtId="0" fontId="60" fillId="0" borderId="7" xfId="587" applyFont="1" applyBorder="1" applyAlignment="1" applyProtection="1">
      <alignment vertical="center"/>
      <protection locked="0"/>
    </xf>
    <xf numFmtId="3" fontId="24" fillId="26" borderId="7" xfId="587" applyNumberFormat="1" applyFont="1" applyFill="1" applyBorder="1" applyAlignment="1" applyProtection="1">
      <alignment vertical="center"/>
      <protection locked="0"/>
    </xf>
    <xf numFmtId="0" fontId="24" fillId="26" borderId="46" xfId="587" applyFont="1" applyFill="1" applyBorder="1" applyAlignment="1" applyProtection="1">
      <alignment vertical="center"/>
      <protection locked="0"/>
    </xf>
    <xf numFmtId="0" fontId="24" fillId="15" borderId="7" xfId="587" applyFont="1" applyFill="1" applyBorder="1" applyAlignment="1" applyProtection="1">
      <alignment horizontal="left" vertical="center" wrapText="1" indent="1"/>
      <protection locked="0"/>
    </xf>
    <xf numFmtId="3" fontId="24" fillId="0" borderId="30" xfId="587" applyNumberFormat="1" applyFont="1" applyBorder="1" applyAlignment="1">
      <alignment horizontal="right" vertical="top"/>
    </xf>
    <xf numFmtId="0" fontId="24" fillId="3" borderId="7" xfId="587" applyFont="1" applyFill="1" applyBorder="1" applyAlignment="1" applyProtection="1">
      <alignment horizontal="left" vertical="center" wrapText="1" indent="1"/>
      <protection locked="0"/>
    </xf>
    <xf numFmtId="0" fontId="24" fillId="3" borderId="48" xfId="587" applyFont="1" applyFill="1" applyBorder="1" applyAlignment="1" applyProtection="1">
      <alignment horizontal="left" vertical="center" wrapText="1" indent="1"/>
      <protection locked="0"/>
    </xf>
    <xf numFmtId="0" fontId="24" fillId="3" borderId="48" xfId="587" applyFont="1" applyFill="1" applyBorder="1" applyAlignment="1" applyProtection="1">
      <alignment horizontal="center" vertical="center"/>
      <protection locked="0"/>
    </xf>
    <xf numFmtId="3" fontId="86" fillId="3" borderId="7" xfId="587" applyNumberFormat="1" applyFont="1" applyFill="1" applyBorder="1" applyAlignment="1" applyProtection="1">
      <alignment horizontal="right" vertical="center"/>
      <protection hidden="1"/>
    </xf>
    <xf numFmtId="212" fontId="86" fillId="3" borderId="33" xfId="587" applyNumberFormat="1" applyFont="1" applyFill="1" applyBorder="1" applyAlignment="1" applyProtection="1">
      <alignment horizontal="right" vertical="center"/>
      <protection hidden="1"/>
    </xf>
    <xf numFmtId="212" fontId="86" fillId="3" borderId="48" xfId="587" applyNumberFormat="1" applyFont="1" applyFill="1" applyBorder="1" applyAlignment="1" applyProtection="1">
      <alignment horizontal="right" vertical="center"/>
      <protection hidden="1"/>
    </xf>
    <xf numFmtId="212" fontId="87" fillId="3" borderId="48" xfId="587" applyNumberFormat="1" applyFont="1" applyFill="1" applyBorder="1" applyAlignment="1" applyProtection="1">
      <alignment horizontal="right" vertical="center"/>
      <protection locked="0"/>
    </xf>
    <xf numFmtId="195" fontId="24" fillId="3" borderId="0" xfId="587" applyNumberFormat="1" applyFont="1" applyFill="1" applyAlignment="1" applyProtection="1">
      <alignment vertical="center"/>
      <protection locked="0"/>
    </xf>
    <xf numFmtId="0" fontId="60" fillId="0" borderId="30" xfId="587" applyFont="1" applyBorder="1" applyAlignment="1">
      <alignment vertical="top"/>
    </xf>
    <xf numFmtId="0" fontId="24" fillId="0" borderId="48" xfId="587" applyFont="1" applyBorder="1" applyAlignment="1" applyProtection="1">
      <alignment horizontal="left" vertical="center" wrapText="1" indent="1"/>
      <protection locked="0"/>
    </xf>
    <xf numFmtId="0" fontId="24" fillId="26" borderId="48" xfId="587" applyFont="1" applyFill="1" applyBorder="1" applyAlignment="1" applyProtection="1">
      <alignment horizontal="center" vertical="center"/>
      <protection locked="0"/>
    </xf>
    <xf numFmtId="212" fontId="86" fillId="12" borderId="48" xfId="587" applyNumberFormat="1" applyFont="1" applyFill="1" applyBorder="1" applyAlignment="1" applyProtection="1">
      <alignment horizontal="right" vertical="center"/>
      <protection hidden="1"/>
    </xf>
    <xf numFmtId="212" fontId="87" fillId="12" borderId="48" xfId="587" applyNumberFormat="1" applyFont="1" applyFill="1" applyBorder="1" applyAlignment="1" applyProtection="1">
      <alignment horizontal="right" vertical="center"/>
      <protection locked="0"/>
    </xf>
    <xf numFmtId="0" fontId="24" fillId="0" borderId="30" xfId="587" applyFont="1" applyBorder="1" applyAlignment="1">
      <alignment horizontal="left" vertical="top" wrapText="1"/>
    </xf>
    <xf numFmtId="3" fontId="24" fillId="0" borderId="8" xfId="587" applyNumberFormat="1" applyFont="1" applyBorder="1" applyAlignment="1">
      <alignment vertical="top"/>
    </xf>
    <xf numFmtId="3" fontId="60" fillId="0" borderId="8" xfId="587" applyNumberFormat="1" applyFont="1" applyBorder="1" applyAlignment="1">
      <alignment vertical="top"/>
    </xf>
    <xf numFmtId="3" fontId="86" fillId="26" borderId="48" xfId="587" applyNumberFormat="1" applyFont="1" applyFill="1" applyBorder="1" applyAlignment="1" applyProtection="1">
      <alignment horizontal="right" vertical="center"/>
      <protection hidden="1"/>
    </xf>
    <xf numFmtId="3" fontId="87" fillId="26" borderId="48" xfId="587" applyNumberFormat="1" applyFont="1" applyFill="1" applyBorder="1" applyAlignment="1" applyProtection="1">
      <alignment horizontal="right" vertical="center"/>
      <protection locked="0"/>
    </xf>
    <xf numFmtId="212" fontId="87" fillId="26" borderId="0" xfId="587" applyNumberFormat="1" applyFont="1" applyFill="1" applyBorder="1" applyAlignment="1" applyProtection="1">
      <alignment horizontal="right" vertical="center"/>
      <protection locked="0"/>
    </xf>
    <xf numFmtId="212" fontId="86" fillId="12" borderId="49" xfId="587" applyNumberFormat="1" applyFont="1" applyFill="1" applyBorder="1" applyAlignment="1" applyProtection="1">
      <alignment horizontal="right" vertical="center"/>
      <protection hidden="1"/>
    </xf>
    <xf numFmtId="0" fontId="24" fillId="0" borderId="35" xfId="587" applyFont="1" applyBorder="1" applyAlignment="1" applyProtection="1">
      <alignment vertical="center"/>
      <protection locked="0"/>
    </xf>
    <xf numFmtId="0" fontId="24" fillId="26" borderId="35" xfId="587" applyFont="1" applyFill="1" applyBorder="1" applyAlignment="1" applyProtection="1">
      <alignment vertical="center"/>
      <protection locked="0"/>
    </xf>
    <xf numFmtId="3" fontId="86" fillId="26" borderId="35" xfId="587" applyNumberFormat="1" applyFont="1" applyFill="1" applyBorder="1" applyAlignment="1" applyProtection="1">
      <alignment horizontal="right" vertical="center"/>
      <protection locked="0"/>
    </xf>
    <xf numFmtId="3" fontId="86" fillId="26" borderId="35" xfId="587" applyNumberFormat="1" applyFont="1" applyFill="1" applyBorder="1" applyAlignment="1" applyProtection="1">
      <alignment horizontal="right" vertical="center" wrapText="1"/>
      <protection locked="0"/>
    </xf>
    <xf numFmtId="3" fontId="87" fillId="26" borderId="35" xfId="587" applyNumberFormat="1" applyFont="1" applyFill="1" applyBorder="1" applyAlignment="1" applyProtection="1">
      <alignment horizontal="right" vertical="center"/>
      <protection locked="0"/>
    </xf>
    <xf numFmtId="212" fontId="86" fillId="12" borderId="42" xfId="587" applyNumberFormat="1" applyFont="1" applyFill="1" applyBorder="1" applyAlignment="1" applyProtection="1">
      <alignment horizontal="right" vertical="center"/>
      <protection locked="0"/>
    </xf>
    <xf numFmtId="212" fontId="86" fillId="12" borderId="35" xfId="587" applyNumberFormat="1" applyFont="1" applyFill="1" applyBorder="1" applyAlignment="1" applyProtection="1">
      <alignment horizontal="right" vertical="center" wrapText="1"/>
      <protection locked="0"/>
    </xf>
    <xf numFmtId="212" fontId="87" fillId="12" borderId="35" xfId="587" applyNumberFormat="1" applyFont="1" applyFill="1" applyBorder="1" applyAlignment="1" applyProtection="1">
      <alignment horizontal="right" vertical="center"/>
      <protection locked="0"/>
    </xf>
    <xf numFmtId="0" fontId="24" fillId="26" borderId="0" xfId="587" applyFont="1" applyFill="1" applyBorder="1" applyAlignment="1" applyProtection="1">
      <alignment vertical="center"/>
      <protection locked="0"/>
    </xf>
    <xf numFmtId="0" fontId="24" fillId="0" borderId="51" xfId="0" applyFont="1" applyFill="1" applyBorder="1" applyAlignment="1">
      <alignment horizontal="center" vertical="center"/>
    </xf>
    <xf numFmtId="3" fontId="236" fillId="3" borderId="0" xfId="587" applyNumberFormat="1" applyFont="1" applyFill="1" applyAlignment="1" applyProtection="1">
      <alignment vertical="center"/>
      <protection locked="0"/>
    </xf>
    <xf numFmtId="0" fontId="24" fillId="0" borderId="0" xfId="587" applyFont="1" applyAlignment="1" applyProtection="1">
      <alignment horizontal="center" vertical="center"/>
      <protection locked="0"/>
    </xf>
    <xf numFmtId="1" fontId="24" fillId="0" borderId="0" xfId="413" applyNumberFormat="1" applyFont="1" applyAlignment="1">
      <alignment horizontal="left" vertical="center" wrapText="1"/>
    </xf>
    <xf numFmtId="195" fontId="24" fillId="27" borderId="0" xfId="570" applyNumberFormat="1" applyFont="1" applyFill="1" applyAlignment="1">
      <alignment horizontal="right" vertical="center"/>
    </xf>
    <xf numFmtId="0" fontId="8" fillId="0" borderId="0" xfId="0" applyFont="1" applyFill="1"/>
    <xf numFmtId="0" fontId="151" fillId="0" borderId="0" xfId="0" applyFont="1" applyFill="1" applyAlignment="1">
      <alignment horizontal="left"/>
    </xf>
    <xf numFmtId="0" fontId="78" fillId="0" borderId="0" xfId="0" applyFont="1" applyFill="1" applyAlignment="1">
      <alignment horizontal="left"/>
    </xf>
    <xf numFmtId="0" fontId="78" fillId="0" borderId="0" xfId="0" applyFont="1" applyFill="1" applyAlignment="1">
      <alignment horizontal="center"/>
    </xf>
    <xf numFmtId="0" fontId="153" fillId="0" borderId="0" xfId="0" applyFont="1" applyFill="1" applyAlignment="1">
      <alignment horizontal="center"/>
    </xf>
    <xf numFmtId="0" fontId="58" fillId="0" borderId="0" xfId="0" applyFont="1" applyFill="1" applyAlignment="1">
      <alignment horizontal="center"/>
    </xf>
    <xf numFmtId="0" fontId="8" fillId="0" borderId="0" xfId="0" applyFont="1" applyFill="1" applyAlignment="1">
      <alignment horizontal="center"/>
    </xf>
    <xf numFmtId="0" fontId="155" fillId="0" borderId="1" xfId="0" applyNumberFormat="1" applyFont="1" applyFill="1" applyBorder="1" applyAlignment="1">
      <alignment horizontal="center"/>
    </xf>
    <xf numFmtId="0" fontId="155" fillId="0" borderId="18" xfId="0" applyFont="1" applyFill="1" applyBorder="1" applyAlignment="1">
      <alignment horizontal="center"/>
    </xf>
    <xf numFmtId="0" fontId="158" fillId="0" borderId="18" xfId="0" applyNumberFormat="1" applyFont="1" applyFill="1" applyBorder="1"/>
    <xf numFmtId="0" fontId="159" fillId="0" borderId="18" xfId="0" applyFont="1" applyFill="1" applyBorder="1" applyAlignment="1">
      <alignment horizontal="center"/>
    </xf>
    <xf numFmtId="3" fontId="160" fillId="0" borderId="18" xfId="0" applyNumberFormat="1" applyFont="1" applyFill="1" applyBorder="1"/>
    <xf numFmtId="3" fontId="158" fillId="0" borderId="18" xfId="0" applyNumberFormat="1" applyFont="1" applyFill="1" applyBorder="1" applyAlignment="1">
      <alignment horizontal="right"/>
    </xf>
    <xf numFmtId="0" fontId="155" fillId="0" borderId="30" xfId="0" applyFont="1" applyFill="1" applyBorder="1" applyAlignment="1">
      <alignment horizontal="center"/>
    </xf>
    <xf numFmtId="0" fontId="158" fillId="0" borderId="30" xfId="0" applyNumberFormat="1" applyFont="1" applyFill="1" applyBorder="1"/>
    <xf numFmtId="0" fontId="159" fillId="0" borderId="30" xfId="0" applyFont="1" applyFill="1" applyBorder="1" applyAlignment="1">
      <alignment horizontal="center"/>
    </xf>
    <xf numFmtId="3" fontId="160" fillId="0" borderId="30" xfId="0" applyNumberFormat="1" applyFont="1" applyFill="1" applyBorder="1"/>
    <xf numFmtId="3" fontId="158" fillId="0" borderId="30" xfId="0" applyNumberFormat="1" applyFont="1" applyFill="1" applyBorder="1" applyAlignment="1">
      <alignment horizontal="right"/>
    </xf>
    <xf numFmtId="0" fontId="157" fillId="0" borderId="7" xfId="0" applyFont="1" applyFill="1" applyBorder="1" applyAlignment="1">
      <alignment horizontal="center"/>
    </xf>
    <xf numFmtId="0" fontId="158" fillId="0" borderId="7" xfId="0" applyNumberFormat="1" applyFont="1" applyFill="1" applyBorder="1"/>
    <xf numFmtId="0" fontId="159" fillId="0" borderId="7" xfId="0" applyFont="1" applyFill="1" applyBorder="1" applyAlignment="1">
      <alignment horizontal="center"/>
    </xf>
    <xf numFmtId="3" fontId="158" fillId="0" borderId="7" xfId="0" applyNumberFormat="1" applyFont="1" applyFill="1" applyBorder="1" applyAlignment="1">
      <alignment horizontal="right"/>
    </xf>
    <xf numFmtId="3" fontId="157" fillId="0" borderId="7" xfId="0" applyNumberFormat="1" applyFont="1" applyFill="1" applyBorder="1" applyAlignment="1">
      <alignment horizontal="center"/>
    </xf>
    <xf numFmtId="0" fontId="161" fillId="0" borderId="7" xfId="0" applyNumberFormat="1" applyFont="1" applyFill="1" applyBorder="1"/>
    <xf numFmtId="0" fontId="161" fillId="0" borderId="7" xfId="0" applyNumberFormat="1" applyFont="1" applyFill="1" applyBorder="1" applyAlignment="1">
      <alignment horizontal="center"/>
    </xf>
    <xf numFmtId="3" fontId="161" fillId="0" borderId="7" xfId="0" applyNumberFormat="1" applyFont="1" applyFill="1" applyBorder="1" applyAlignment="1">
      <alignment horizontal="right"/>
    </xf>
    <xf numFmtId="3" fontId="156" fillId="0" borderId="7" xfId="0" applyNumberFormat="1" applyFont="1" applyFill="1" applyBorder="1"/>
    <xf numFmtId="0" fontId="161" fillId="0" borderId="7" xfId="0" applyFont="1" applyFill="1" applyBorder="1" applyAlignment="1">
      <alignment horizontal="center"/>
    </xf>
    <xf numFmtId="3" fontId="161" fillId="0" borderId="7" xfId="0" applyNumberFormat="1" applyFont="1" applyFill="1" applyBorder="1"/>
    <xf numFmtId="3" fontId="158" fillId="0" borderId="7" xfId="0" applyNumberFormat="1" applyFont="1" applyFill="1" applyBorder="1"/>
    <xf numFmtId="0" fontId="155" fillId="0" borderId="7" xfId="0" applyFont="1" applyFill="1" applyBorder="1" applyAlignment="1">
      <alignment horizontal="center"/>
    </xf>
    <xf numFmtId="0" fontId="162" fillId="0" borderId="7" xfId="0" applyNumberFormat="1" applyFont="1" applyFill="1" applyBorder="1"/>
    <xf numFmtId="0" fontId="156" fillId="0" borderId="7" xfId="0" applyFont="1" applyFill="1" applyBorder="1" applyAlignment="1">
      <alignment horizontal="center"/>
    </xf>
    <xf numFmtId="0" fontId="158" fillId="0" borderId="7" xfId="0" applyFont="1" applyFill="1" applyBorder="1" applyAlignment="1">
      <alignment horizontal="center"/>
    </xf>
    <xf numFmtId="3" fontId="159" fillId="0" borderId="7" xfId="0" applyNumberFormat="1" applyFont="1" applyFill="1" applyBorder="1" applyAlignment="1">
      <alignment horizontal="right"/>
    </xf>
    <xf numFmtId="0" fontId="163" fillId="0" borderId="7" xfId="0" applyFont="1" applyFill="1" applyBorder="1" applyAlignment="1">
      <alignment horizontal="center"/>
    </xf>
    <xf numFmtId="0" fontId="164" fillId="0" borderId="0" xfId="0" applyFont="1" applyFill="1" applyAlignment="1">
      <alignment horizontal="center"/>
    </xf>
    <xf numFmtId="0" fontId="165" fillId="0" borderId="7" xfId="0" applyFont="1" applyFill="1" applyBorder="1" applyAlignment="1">
      <alignment horizontal="center"/>
    </xf>
    <xf numFmtId="3" fontId="161" fillId="0" borderId="33" xfId="0" applyNumberFormat="1" applyFont="1" applyFill="1" applyBorder="1" applyAlignment="1">
      <alignment horizontal="right"/>
    </xf>
    <xf numFmtId="0" fontId="165" fillId="0" borderId="7" xfId="0" applyFont="1" applyFill="1" applyBorder="1" applyAlignment="1">
      <alignment horizontal="center" vertical="top"/>
    </xf>
    <xf numFmtId="0" fontId="156" fillId="0" borderId="7" xfId="0" applyNumberFormat="1" applyFont="1" applyFill="1" applyBorder="1"/>
    <xf numFmtId="0" fontId="156" fillId="0" borderId="7" xfId="0" applyNumberFormat="1" applyFont="1" applyFill="1" applyBorder="1" applyAlignment="1">
      <alignment horizontal="center"/>
    </xf>
    <xf numFmtId="0" fontId="158" fillId="0" borderId="11" xfId="0" applyNumberFormat="1" applyFont="1" applyFill="1" applyBorder="1"/>
    <xf numFmtId="0" fontId="161" fillId="0" borderId="11" xfId="0" applyFont="1" applyFill="1" applyBorder="1" applyAlignment="1">
      <alignment horizontal="center"/>
    </xf>
    <xf numFmtId="3" fontId="161" fillId="0" borderId="11" xfId="0" applyNumberFormat="1" applyFont="1" applyFill="1" applyBorder="1" applyAlignment="1">
      <alignment horizontal="right"/>
    </xf>
    <xf numFmtId="0" fontId="162" fillId="0" borderId="11" xfId="0" applyNumberFormat="1" applyFont="1" applyFill="1" applyBorder="1"/>
    <xf numFmtId="0" fontId="156" fillId="0" borderId="11" xfId="0" applyFont="1" applyFill="1" applyBorder="1" applyAlignment="1">
      <alignment horizontal="center"/>
    </xf>
    <xf numFmtId="3" fontId="156" fillId="0" borderId="7" xfId="0" applyNumberFormat="1" applyFont="1" applyFill="1" applyBorder="1" applyAlignment="1">
      <alignment horizontal="right"/>
    </xf>
    <xf numFmtId="195" fontId="161" fillId="0" borderId="7" xfId="0" applyNumberFormat="1" applyFont="1" applyFill="1" applyBorder="1" applyAlignment="1">
      <alignment horizontal="right"/>
    </xf>
    <xf numFmtId="0" fontId="158" fillId="0" borderId="7" xfId="0" quotePrefix="1" applyNumberFormat="1" applyFont="1" applyFill="1" applyBorder="1"/>
    <xf numFmtId="3" fontId="161" fillId="0" borderId="7" xfId="0" applyNumberFormat="1" applyFont="1" applyFill="1" applyBorder="1" applyAlignment="1">
      <alignment horizontal="center"/>
    </xf>
    <xf numFmtId="3" fontId="162" fillId="0" borderId="7" xfId="0" applyNumberFormat="1" applyFont="1" applyFill="1" applyBorder="1"/>
    <xf numFmtId="0" fontId="156" fillId="0" borderId="7" xfId="0" applyFont="1" applyFill="1" applyBorder="1"/>
    <xf numFmtId="3" fontId="156" fillId="0" borderId="7" xfId="0" applyNumberFormat="1" applyFont="1" applyFill="1" applyBorder="1" applyAlignment="1">
      <alignment horizontal="center"/>
    </xf>
    <xf numFmtId="0" fontId="161" fillId="0" borderId="34" xfId="0" applyNumberFormat="1" applyFont="1" applyFill="1" applyBorder="1"/>
    <xf numFmtId="0" fontId="158" fillId="0" borderId="39" xfId="0" applyFont="1" applyFill="1" applyBorder="1" applyAlignment="1">
      <alignment horizontal="center"/>
    </xf>
    <xf numFmtId="0" fontId="161" fillId="0" borderId="7" xfId="0" applyFont="1" applyFill="1" applyBorder="1"/>
    <xf numFmtId="172" fontId="161" fillId="0" borderId="7" xfId="0" applyNumberFormat="1" applyFont="1" applyFill="1" applyBorder="1"/>
    <xf numFmtId="172" fontId="161" fillId="0" borderId="7" xfId="0" applyNumberFormat="1" applyFont="1" applyFill="1" applyBorder="1" applyAlignment="1">
      <alignment horizontal="left"/>
    </xf>
    <xf numFmtId="0" fontId="167" fillId="0" borderId="7" xfId="0" applyNumberFormat="1" applyFont="1" applyFill="1" applyBorder="1"/>
    <xf numFmtId="0" fontId="158" fillId="0" borderId="7" xfId="0" applyFont="1" applyFill="1" applyBorder="1"/>
    <xf numFmtId="0" fontId="159" fillId="0" borderId="7" xfId="0" applyFont="1" applyFill="1" applyBorder="1"/>
    <xf numFmtId="0" fontId="161" fillId="0" borderId="7" xfId="0" applyFont="1" applyFill="1" applyBorder="1" applyAlignment="1">
      <alignment horizontal="left"/>
    </xf>
    <xf numFmtId="0" fontId="156" fillId="0" borderId="7" xfId="0" applyFont="1" applyFill="1" applyBorder="1" applyAlignment="1">
      <alignment horizontal="center" vertical="center" wrapText="1"/>
    </xf>
    <xf numFmtId="0" fontId="168" fillId="0" borderId="7" xfId="606" applyNumberFormat="1" applyFont="1" applyFill="1" applyBorder="1" applyAlignment="1">
      <alignment horizontal="left" vertical="center"/>
    </xf>
    <xf numFmtId="0" fontId="156" fillId="0" borderId="7" xfId="606" applyNumberFormat="1" applyFont="1" applyFill="1" applyBorder="1" applyAlignment="1">
      <alignment horizontal="center" vertical="center"/>
    </xf>
    <xf numFmtId="0" fontId="156" fillId="0" borderId="7" xfId="606" applyFont="1" applyFill="1" applyBorder="1" applyAlignment="1">
      <alignment horizontal="center"/>
    </xf>
    <xf numFmtId="3" fontId="168" fillId="0" borderId="7" xfId="606" applyNumberFormat="1" applyFont="1" applyFill="1" applyBorder="1" applyAlignment="1">
      <alignment horizontal="right"/>
    </xf>
    <xf numFmtId="3" fontId="156" fillId="0" borderId="7" xfId="606" applyNumberFormat="1" applyFont="1" applyFill="1" applyBorder="1"/>
    <xf numFmtId="0" fontId="155" fillId="0" borderId="7" xfId="0" applyFont="1" applyFill="1" applyBorder="1" applyAlignment="1">
      <alignment horizontal="center" vertical="center"/>
    </xf>
    <xf numFmtId="0" fontId="157" fillId="0" borderId="7" xfId="0" applyFont="1" applyFill="1" applyBorder="1" applyAlignment="1">
      <alignment horizontal="center" vertical="center"/>
    </xf>
    <xf numFmtId="0" fontId="156" fillId="0" borderId="7" xfId="606" applyNumberFormat="1" applyFont="1" applyFill="1" applyBorder="1"/>
    <xf numFmtId="0" fontId="156" fillId="0" borderId="7" xfId="0" applyFont="1" applyFill="1" applyBorder="1" applyAlignment="1">
      <alignment horizontal="center" vertical="center"/>
    </xf>
    <xf numFmtId="0" fontId="168" fillId="0" borderId="7" xfId="0" applyNumberFormat="1" applyFont="1" applyFill="1" applyBorder="1"/>
    <xf numFmtId="0" fontId="168" fillId="0" borderId="7" xfId="0" applyNumberFormat="1" applyFont="1" applyFill="1" applyBorder="1" applyAlignment="1">
      <alignment horizontal="center"/>
    </xf>
    <xf numFmtId="0" fontId="168" fillId="0" borderId="7" xfId="0" applyFont="1" applyFill="1" applyBorder="1" applyAlignment="1">
      <alignment horizontal="center"/>
    </xf>
    <xf numFmtId="3" fontId="168" fillId="0" borderId="7" xfId="0" applyNumberFormat="1" applyFont="1" applyFill="1" applyBorder="1" applyAlignment="1">
      <alignment horizontal="right"/>
    </xf>
    <xf numFmtId="0" fontId="168" fillId="0" borderId="7" xfId="0" applyFont="1" applyFill="1" applyBorder="1"/>
    <xf numFmtId="0" fontId="169" fillId="0" borderId="7" xfId="0" applyNumberFormat="1" applyFont="1" applyFill="1" applyBorder="1" applyAlignment="1">
      <alignment horizontal="center"/>
    </xf>
    <xf numFmtId="0" fontId="168" fillId="0" borderId="33" xfId="0" applyNumberFormat="1" applyFont="1" applyFill="1" applyBorder="1"/>
    <xf numFmtId="241" fontId="168" fillId="0" borderId="7" xfId="0" applyNumberFormat="1" applyFont="1" applyFill="1" applyBorder="1" applyAlignment="1">
      <alignment horizontal="right"/>
    </xf>
    <xf numFmtId="0" fontId="168" fillId="0" borderId="11" xfId="0" applyNumberFormat="1" applyFont="1" applyFill="1" applyBorder="1" applyAlignment="1">
      <alignment horizontal="center"/>
    </xf>
    <xf numFmtId="0" fontId="168" fillId="0" borderId="11" xfId="0" applyFont="1" applyFill="1" applyBorder="1" applyAlignment="1">
      <alignment horizontal="center"/>
    </xf>
    <xf numFmtId="0" fontId="168" fillId="0" borderId="48" xfId="0" applyNumberFormat="1" applyFont="1" applyFill="1" applyBorder="1"/>
    <xf numFmtId="0" fontId="168" fillId="0" borderId="48" xfId="0" applyFont="1" applyFill="1" applyBorder="1" applyAlignment="1">
      <alignment horizontal="center"/>
    </xf>
    <xf numFmtId="3" fontId="168" fillId="0" borderId="48" xfId="0" applyNumberFormat="1" applyFont="1" applyFill="1" applyBorder="1" applyAlignment="1">
      <alignment horizontal="right"/>
    </xf>
    <xf numFmtId="0" fontId="162" fillId="0" borderId="7" xfId="0" applyNumberFormat="1" applyFont="1" applyFill="1" applyBorder="1" applyAlignment="1">
      <alignment vertical="center"/>
    </xf>
    <xf numFmtId="0" fontId="156" fillId="0" borderId="7" xfId="0" applyFont="1" applyFill="1" applyBorder="1" applyAlignment="1">
      <alignment vertical="center"/>
    </xf>
    <xf numFmtId="3" fontId="168" fillId="0" borderId="11" xfId="0" applyNumberFormat="1" applyFont="1" applyFill="1" applyBorder="1" applyAlignment="1">
      <alignment wrapText="1"/>
    </xf>
    <xf numFmtId="3" fontId="156" fillId="0" borderId="7" xfId="370" applyNumberFormat="1" applyFont="1" applyFill="1" applyBorder="1" applyAlignment="1">
      <alignment vertical="center"/>
    </xf>
    <xf numFmtId="3" fontId="156" fillId="0" borderId="7" xfId="370" applyNumberFormat="1" applyFont="1" applyFill="1" applyBorder="1"/>
    <xf numFmtId="0" fontId="156" fillId="0" borderId="7" xfId="687" applyNumberFormat="1" applyFont="1" applyFill="1" applyBorder="1" applyAlignment="1">
      <alignment horizontal="left"/>
    </xf>
    <xf numFmtId="0" fontId="161" fillId="0" borderId="7" xfId="0" applyNumberFormat="1" applyFont="1" applyFill="1" applyBorder="1" applyAlignment="1">
      <alignment horizontal="center" vertical="center"/>
    </xf>
    <xf numFmtId="172" fontId="156" fillId="0" borderId="7" xfId="370" applyNumberFormat="1" applyFont="1" applyFill="1" applyBorder="1" applyAlignment="1">
      <alignment vertical="center"/>
    </xf>
    <xf numFmtId="172" fontId="162" fillId="0" borderId="7" xfId="0" applyNumberFormat="1" applyFont="1" applyFill="1" applyBorder="1" applyAlignment="1">
      <alignment horizontal="left" vertical="center"/>
    </xf>
    <xf numFmtId="172" fontId="156" fillId="0" borderId="48" xfId="370" applyNumberFormat="1" applyFont="1" applyFill="1" applyBorder="1" applyAlignment="1">
      <alignment vertical="center"/>
    </xf>
    <xf numFmtId="172" fontId="156" fillId="0" borderId="7" xfId="370" applyNumberFormat="1" applyFont="1" applyFill="1" applyBorder="1" applyAlignment="1">
      <alignment vertical="center" wrapText="1"/>
    </xf>
    <xf numFmtId="3" fontId="168" fillId="0" borderId="7" xfId="370" applyNumberFormat="1" applyFont="1" applyFill="1" applyBorder="1" applyAlignment="1">
      <alignment vertical="center"/>
    </xf>
    <xf numFmtId="172" fontId="168" fillId="0" borderId="7" xfId="0" applyNumberFormat="1" applyFont="1" applyFill="1" applyBorder="1"/>
    <xf numFmtId="3" fontId="168" fillId="0" borderId="7" xfId="0" applyNumberFormat="1" applyFont="1" applyFill="1" applyBorder="1"/>
    <xf numFmtId="172" fontId="158" fillId="0" borderId="7" xfId="0" applyNumberFormat="1" applyFont="1" applyFill="1" applyBorder="1"/>
    <xf numFmtId="172" fontId="161" fillId="0" borderId="48" xfId="0" applyNumberFormat="1" applyFont="1" applyFill="1" applyBorder="1"/>
    <xf numFmtId="0" fontId="161" fillId="0" borderId="33" xfId="0" applyNumberFormat="1" applyFont="1" applyFill="1" applyBorder="1" applyAlignment="1">
      <alignment horizontal="center"/>
    </xf>
    <xf numFmtId="172" fontId="161" fillId="0" borderId="7" xfId="0" applyNumberFormat="1" applyFont="1" applyFill="1" applyBorder="1" applyAlignment="1">
      <alignment horizontal="center"/>
    </xf>
    <xf numFmtId="172" fontId="158" fillId="0" borderId="34" xfId="0" quotePrefix="1" applyNumberFormat="1" applyFont="1" applyFill="1" applyBorder="1" applyAlignment="1">
      <alignment horizontal="left" wrapText="1"/>
    </xf>
    <xf numFmtId="0" fontId="158" fillId="0" borderId="39" xfId="0" applyFont="1" applyFill="1" applyBorder="1" applyAlignment="1">
      <alignment horizontal="left" wrapText="1"/>
    </xf>
    <xf numFmtId="0" fontId="158" fillId="0" borderId="33" xfId="0" applyFont="1" applyFill="1" applyBorder="1" applyAlignment="1">
      <alignment horizontal="left" wrapText="1"/>
    </xf>
    <xf numFmtId="3" fontId="159" fillId="0" borderId="7" xfId="0" applyNumberFormat="1" applyFont="1" applyFill="1" applyBorder="1"/>
    <xf numFmtId="0" fontId="87" fillId="0" borderId="7" xfId="0" applyFont="1" applyFill="1" applyBorder="1" applyAlignment="1">
      <alignment horizontal="center"/>
    </xf>
    <xf numFmtId="172" fontId="170" fillId="0" borderId="7" xfId="0" applyNumberFormat="1" applyFont="1" applyFill="1" applyBorder="1"/>
    <xf numFmtId="0" fontId="170" fillId="0" borderId="7" xfId="0" applyNumberFormat="1" applyFont="1" applyFill="1" applyBorder="1" applyAlignment="1">
      <alignment horizontal="center"/>
    </xf>
    <xf numFmtId="3" fontId="170" fillId="0" borderId="7" xfId="0" applyNumberFormat="1" applyFont="1" applyFill="1" applyBorder="1"/>
    <xf numFmtId="0" fontId="69" fillId="0" borderId="7" xfId="0" applyFont="1" applyFill="1" applyBorder="1" applyAlignment="1">
      <alignment horizontal="center"/>
    </xf>
    <xf numFmtId="0" fontId="171" fillId="0" borderId="7" xfId="0" applyNumberFormat="1" applyFont="1" applyFill="1" applyBorder="1"/>
    <xf numFmtId="0" fontId="170" fillId="0" borderId="7" xfId="0" applyFont="1" applyFill="1" applyBorder="1" applyAlignment="1">
      <alignment horizontal="center"/>
    </xf>
    <xf numFmtId="0" fontId="170" fillId="0" borderId="7" xfId="0" applyFont="1" applyFill="1" applyBorder="1"/>
    <xf numFmtId="0" fontId="170" fillId="0" borderId="7" xfId="0" applyNumberFormat="1" applyFont="1" applyFill="1" applyBorder="1"/>
    <xf numFmtId="3" fontId="62" fillId="0" borderId="7" xfId="0" applyNumberFormat="1" applyFont="1" applyFill="1" applyBorder="1"/>
    <xf numFmtId="3" fontId="170" fillId="0" borderId="30" xfId="0" applyNumberFormat="1" applyFont="1" applyFill="1" applyBorder="1"/>
    <xf numFmtId="3" fontId="170" fillId="0" borderId="11" xfId="0" applyNumberFormat="1" applyFont="1" applyFill="1" applyBorder="1"/>
    <xf numFmtId="0" fontId="171" fillId="0" borderId="11" xfId="0" applyNumberFormat="1" applyFont="1" applyFill="1" applyBorder="1"/>
    <xf numFmtId="0" fontId="170" fillId="0" borderId="11" xfId="0" applyFont="1" applyFill="1" applyBorder="1" applyAlignment="1">
      <alignment horizontal="center"/>
    </xf>
    <xf numFmtId="3" fontId="170" fillId="0" borderId="11" xfId="0" applyNumberFormat="1" applyFont="1" applyFill="1" applyBorder="1" applyAlignment="1">
      <alignment horizontal="right"/>
    </xf>
    <xf numFmtId="3" fontId="170" fillId="0" borderId="7" xfId="0" applyNumberFormat="1" applyFont="1" applyFill="1" applyBorder="1" applyAlignment="1">
      <alignment horizontal="right"/>
    </xf>
    <xf numFmtId="0" fontId="172" fillId="0" borderId="7" xfId="0" applyFont="1" applyFill="1" applyBorder="1" applyAlignment="1">
      <alignment horizontal="center"/>
    </xf>
    <xf numFmtId="0" fontId="153" fillId="0" borderId="0" xfId="0" applyNumberFormat="1" applyFont="1" applyFill="1" applyBorder="1" applyAlignment="1"/>
    <xf numFmtId="0" fontId="174" fillId="0" borderId="0" xfId="0" applyFont="1" applyFill="1" applyBorder="1"/>
    <xf numFmtId="0" fontId="154" fillId="0" borderId="0" xfId="0" applyFont="1" applyFill="1" applyBorder="1" applyAlignment="1">
      <alignment horizontal="center"/>
    </xf>
    <xf numFmtId="3" fontId="154" fillId="0" borderId="0" xfId="0" applyNumberFormat="1" applyFont="1" applyFill="1" applyBorder="1" applyAlignment="1">
      <alignment horizontal="center"/>
    </xf>
    <xf numFmtId="0" fontId="173" fillId="0" borderId="0" xfId="0" applyFont="1" applyFill="1" applyBorder="1"/>
    <xf numFmtId="0" fontId="175" fillId="0" borderId="0" xfId="0" applyNumberFormat="1" applyFont="1" applyFill="1" applyAlignment="1">
      <alignment horizontal="left"/>
    </xf>
    <xf numFmtId="0" fontId="175" fillId="0" borderId="0" xfId="0" applyFont="1" applyFill="1" applyAlignment="1">
      <alignment horizontal="center"/>
    </xf>
    <xf numFmtId="0" fontId="175" fillId="0" borderId="0" xfId="0" applyFont="1" applyFill="1"/>
    <xf numFmtId="0" fontId="176" fillId="0" borderId="0" xfId="0" applyFont="1" applyFill="1" applyBorder="1" applyAlignment="1">
      <alignment horizontal="center"/>
    </xf>
    <xf numFmtId="0" fontId="178" fillId="0" borderId="0" xfId="0" applyFont="1" applyFill="1"/>
    <xf numFmtId="0" fontId="180" fillId="0" borderId="0" xfId="0" applyFont="1" applyFill="1"/>
    <xf numFmtId="0" fontId="176" fillId="0" borderId="0" xfId="0" applyFont="1" applyFill="1" applyAlignment="1">
      <alignment horizontal="center"/>
    </xf>
    <xf numFmtId="0" fontId="181" fillId="0" borderId="0" xfId="0" applyFont="1" applyFill="1" applyAlignment="1">
      <alignment horizontal="center"/>
    </xf>
    <xf numFmtId="0" fontId="182" fillId="0" borderId="0" xfId="0" applyFont="1" applyFill="1"/>
    <xf numFmtId="0" fontId="183" fillId="0" borderId="0" xfId="0" applyFont="1" applyFill="1" applyAlignment="1">
      <alignment horizontal="center"/>
    </xf>
    <xf numFmtId="3" fontId="24" fillId="0" borderId="7" xfId="386" applyNumberFormat="1" applyFont="1" applyFill="1" applyBorder="1" applyAlignment="1">
      <alignment vertical="center"/>
    </xf>
    <xf numFmtId="172" fontId="24" fillId="0" borderId="33" xfId="370" applyNumberFormat="1" applyFont="1" applyFill="1" applyBorder="1" applyAlignment="1">
      <alignment vertical="center"/>
    </xf>
    <xf numFmtId="0" fontId="60" fillId="26" borderId="7" xfId="583" applyFont="1" applyFill="1" applyBorder="1" applyAlignment="1" applyProtection="1">
      <alignment vertical="center"/>
      <protection locked="0"/>
    </xf>
    <xf numFmtId="0" fontId="24" fillId="0" borderId="7" xfId="0" applyFont="1" applyBorder="1" applyAlignment="1" applyProtection="1">
      <alignment horizontal="left" vertical="center" wrapText="1" indent="1"/>
      <protection locked="0"/>
    </xf>
    <xf numFmtId="0" fontId="184" fillId="26" borderId="7" xfId="0" applyFont="1" applyFill="1" applyBorder="1" applyAlignment="1" applyProtection="1">
      <alignment horizontal="center" vertical="center"/>
      <protection locked="0"/>
    </xf>
    <xf numFmtId="3" fontId="24" fillId="0" borderId="7" xfId="583" applyNumberFormat="1" applyFont="1" applyFill="1" applyBorder="1" applyAlignment="1" applyProtection="1">
      <alignment horizontal="right" vertical="center"/>
      <protection hidden="1"/>
    </xf>
    <xf numFmtId="3" fontId="24" fillId="0" borderId="7" xfId="583" applyNumberFormat="1" applyFont="1" applyFill="1" applyBorder="1" applyAlignment="1" applyProtection="1">
      <alignment horizontal="right" vertical="center"/>
      <protection locked="0"/>
    </xf>
    <xf numFmtId="0" fontId="185" fillId="0" borderId="0" xfId="608" applyNumberFormat="1" applyFont="1" applyFill="1" applyBorder="1" applyAlignment="1">
      <alignment horizontal="left" vertical="center"/>
    </xf>
    <xf numFmtId="0" fontId="24" fillId="0" borderId="0" xfId="0" applyFont="1" applyAlignment="1">
      <alignment horizontal="center"/>
    </xf>
    <xf numFmtId="0" fontId="24" fillId="0" borderId="1" xfId="0" applyFont="1" applyBorder="1" applyAlignment="1">
      <alignment horizontal="center"/>
    </xf>
    <xf numFmtId="0" fontId="24" fillId="0" borderId="15" xfId="0" applyNumberFormat="1" applyFont="1" applyBorder="1" applyAlignment="1">
      <alignment horizontal="centerContinuous"/>
    </xf>
    <xf numFmtId="0" fontId="24" fillId="0" borderId="13" xfId="0" applyNumberFormat="1" applyFont="1" applyBorder="1" applyAlignment="1">
      <alignment horizontal="centerContinuous"/>
    </xf>
    <xf numFmtId="0" fontId="24" fillId="0" borderId="36" xfId="0" applyNumberFormat="1" applyFont="1" applyBorder="1" applyAlignment="1">
      <alignment horizontal="centerContinuous"/>
    </xf>
    <xf numFmtId="0" fontId="56" fillId="0" borderId="1" xfId="0" applyFont="1" applyBorder="1" applyAlignment="1">
      <alignment horizontal="center"/>
    </xf>
    <xf numFmtId="3" fontId="24" fillId="0" borderId="27" xfId="0" applyNumberFormat="1" applyFont="1" applyBorder="1"/>
    <xf numFmtId="3" fontId="24" fillId="0" borderId="27" xfId="0" applyNumberFormat="1" applyFont="1" applyBorder="1" applyAlignment="1">
      <alignment horizontal="center"/>
    </xf>
    <xf numFmtId="0" fontId="24" fillId="0" borderId="32" xfId="0" applyNumberFormat="1" applyFont="1" applyBorder="1" applyAlignment="1">
      <alignment horizontal="center"/>
    </xf>
    <xf numFmtId="176" fontId="24" fillId="0" borderId="0" xfId="0" applyNumberFormat="1" applyFont="1" applyFill="1" applyBorder="1" applyAlignment="1">
      <alignment horizontal="center"/>
    </xf>
    <xf numFmtId="0" fontId="24" fillId="0" borderId="0" xfId="0" applyNumberFormat="1" applyFont="1" applyFill="1" applyBorder="1" applyAlignment="1">
      <alignment horizontal="center"/>
    </xf>
    <xf numFmtId="0" fontId="24" fillId="0" borderId="21" xfId="0" applyNumberFormat="1" applyFont="1" applyBorder="1" applyAlignment="1">
      <alignment horizontal="center"/>
    </xf>
    <xf numFmtId="0" fontId="24" fillId="0" borderId="27" xfId="0" applyFont="1" applyBorder="1"/>
    <xf numFmtId="3" fontId="24" fillId="0" borderId="30" xfId="0" applyNumberFormat="1" applyFont="1" applyBorder="1"/>
    <xf numFmtId="3" fontId="24" fillId="0" borderId="30" xfId="0" applyNumberFormat="1" applyFont="1" applyBorder="1" applyAlignment="1">
      <alignment horizontal="center"/>
    </xf>
    <xf numFmtId="0" fontId="24" fillId="0" borderId="9" xfId="0" applyNumberFormat="1" applyFont="1" applyBorder="1" applyAlignment="1">
      <alignment horizontal="center"/>
    </xf>
    <xf numFmtId="0" fontId="24" fillId="0" borderId="44" xfId="0" applyNumberFormat="1" applyFont="1" applyBorder="1" applyAlignment="1">
      <alignment horizontal="center"/>
    </xf>
    <xf numFmtId="0" fontId="24" fillId="0" borderId="30" xfId="0" applyFont="1" applyBorder="1"/>
    <xf numFmtId="0" fontId="24" fillId="0" borderId="0" xfId="0" applyNumberFormat="1" applyFont="1" applyBorder="1" applyAlignment="1">
      <alignment horizontal="center"/>
    </xf>
    <xf numFmtId="3" fontId="24" fillId="0" borderId="8" xfId="0" applyNumberFormat="1" applyFont="1" applyBorder="1"/>
    <xf numFmtId="3" fontId="24" fillId="0" borderId="8" xfId="0" applyNumberFormat="1" applyFont="1" applyBorder="1" applyAlignment="1">
      <alignment horizontal="center"/>
    </xf>
    <xf numFmtId="0" fontId="24" fillId="0" borderId="31" xfId="0" applyNumberFormat="1" applyFont="1" applyBorder="1" applyAlignment="1">
      <alignment horizontal="center"/>
    </xf>
    <xf numFmtId="0" fontId="24" fillId="0" borderId="46" xfId="0" applyNumberFormat="1" applyFont="1" applyBorder="1" applyAlignment="1">
      <alignment horizontal="center"/>
    </xf>
    <xf numFmtId="0" fontId="24" fillId="0" borderId="45" xfId="0" applyNumberFormat="1" applyFont="1" applyBorder="1" applyAlignment="1">
      <alignment horizontal="center"/>
    </xf>
    <xf numFmtId="0" fontId="24" fillId="0" borderId="8" xfId="0" applyFont="1" applyBorder="1"/>
    <xf numFmtId="3" fontId="24" fillId="0" borderId="30" xfId="0" applyNumberFormat="1" applyFont="1" applyFill="1" applyBorder="1" applyAlignment="1">
      <alignment horizontal="center"/>
    </xf>
    <xf numFmtId="0" fontId="24" fillId="0" borderId="0" xfId="0" applyFont="1" applyFill="1" applyAlignment="1">
      <alignment vertical="center" wrapText="1"/>
    </xf>
    <xf numFmtId="0" fontId="72" fillId="0" borderId="0" xfId="0" applyFont="1" applyFill="1" applyAlignment="1">
      <alignment vertical="center" wrapText="1"/>
    </xf>
    <xf numFmtId="0" fontId="60" fillId="0" borderId="0" xfId="603" applyFont="1" applyFill="1" applyAlignment="1">
      <alignment vertical="center"/>
    </xf>
    <xf numFmtId="0" fontId="60" fillId="0" borderId="7" xfId="370" applyNumberFormat="1" applyFont="1" applyFill="1" applyBorder="1" applyAlignment="1">
      <alignment vertical="center"/>
    </xf>
    <xf numFmtId="0" fontId="24" fillId="0" borderId="7" xfId="0" applyNumberFormat="1" applyFont="1" applyFill="1" applyBorder="1" applyAlignment="1">
      <alignment vertical="center" wrapText="1"/>
    </xf>
    <xf numFmtId="0" fontId="24" fillId="0" borderId="7" xfId="0" applyNumberFormat="1" applyFont="1" applyFill="1" applyBorder="1" applyAlignment="1">
      <alignment vertical="center"/>
    </xf>
    <xf numFmtId="172" fontId="24" fillId="0" borderId="7" xfId="0" applyNumberFormat="1" applyFont="1" applyFill="1" applyBorder="1" applyAlignment="1">
      <alignment vertical="center"/>
    </xf>
    <xf numFmtId="169" fontId="24" fillId="0" borderId="7" xfId="370" applyNumberFormat="1" applyFont="1" applyFill="1" applyBorder="1" applyAlignment="1">
      <alignment vertical="center"/>
    </xf>
    <xf numFmtId="215" fontId="24" fillId="0" borderId="7" xfId="0" applyNumberFormat="1" applyFont="1" applyFill="1" applyBorder="1" applyAlignment="1">
      <alignment vertical="center" wrapText="1"/>
    </xf>
    <xf numFmtId="0" fontId="24" fillId="0" borderId="7" xfId="370" applyNumberFormat="1" applyFont="1" applyFill="1" applyBorder="1" applyAlignment="1">
      <alignment vertical="center" wrapText="1"/>
    </xf>
    <xf numFmtId="0" fontId="24" fillId="0" borderId="48" xfId="0" applyNumberFormat="1" applyFont="1" applyFill="1" applyBorder="1" applyAlignment="1">
      <alignment vertical="center"/>
    </xf>
    <xf numFmtId="0" fontId="24" fillId="0" borderId="35" xfId="0" applyNumberFormat="1" applyFont="1" applyFill="1" applyBorder="1" applyAlignment="1">
      <alignment vertical="center"/>
    </xf>
    <xf numFmtId="0" fontId="179" fillId="0" borderId="0" xfId="0" applyFont="1"/>
    <xf numFmtId="0" fontId="179" fillId="5" borderId="0" xfId="0" applyFont="1" applyFill="1"/>
    <xf numFmtId="172" fontId="59" fillId="0" borderId="32" xfId="399" applyNumberFormat="1" applyFont="1" applyBorder="1"/>
    <xf numFmtId="172" fontId="59" fillId="0" borderId="27" xfId="399" applyNumberFormat="1" applyFont="1" applyBorder="1"/>
    <xf numFmtId="172" fontId="59" fillId="0" borderId="9" xfId="399" applyNumberFormat="1" applyFont="1" applyBorder="1"/>
    <xf numFmtId="172" fontId="59" fillId="0" borderId="30" xfId="399" applyNumberFormat="1" applyFont="1" applyBorder="1"/>
    <xf numFmtId="172" fontId="59" fillId="0" borderId="31" xfId="399" applyNumberFormat="1" applyFont="1" applyBorder="1"/>
    <xf numFmtId="172" fontId="59" fillId="0" borderId="8" xfId="399" applyNumberFormat="1" applyFont="1" applyBorder="1"/>
    <xf numFmtId="3" fontId="72" fillId="0" borderId="0" xfId="0" applyNumberFormat="1" applyFont="1" applyFill="1" applyAlignment="1">
      <alignment horizontal="center" vertical="center"/>
    </xf>
    <xf numFmtId="0" fontId="78" fillId="26" borderId="0" xfId="587" applyFont="1" applyFill="1" applyAlignment="1" applyProtection="1">
      <alignment horizontal="center" vertical="center"/>
      <protection locked="0"/>
    </xf>
    <xf numFmtId="0" fontId="89" fillId="26" borderId="0" xfId="587" applyFont="1" applyFill="1" applyAlignment="1" applyProtection="1">
      <alignment horizontal="center" vertical="center"/>
      <protection locked="0"/>
    </xf>
    <xf numFmtId="0" fontId="78" fillId="0" borderId="0" xfId="0" applyFont="1" applyFill="1" applyAlignment="1">
      <alignment horizontal="centerContinuous" vertical="center"/>
    </xf>
    <xf numFmtId="172" fontId="24" fillId="0" borderId="0" xfId="370" applyNumberFormat="1" applyFont="1" applyFill="1" applyAlignment="1">
      <alignment horizontal="centerContinuous" vertical="center"/>
    </xf>
    <xf numFmtId="0" fontId="24" fillId="0" borderId="0" xfId="0" applyFont="1" applyFill="1" applyAlignment="1">
      <alignment horizontal="center" vertical="center"/>
    </xf>
    <xf numFmtId="0" fontId="24" fillId="0" borderId="27" xfId="0" applyFont="1" applyFill="1" applyBorder="1"/>
    <xf numFmtId="172" fontId="24" fillId="0" borderId="1" xfId="370" applyNumberFormat="1" applyFont="1" applyFill="1" applyBorder="1" applyAlignment="1">
      <alignment horizontal="centerContinuous"/>
    </xf>
    <xf numFmtId="0" fontId="24" fillId="0" borderId="8" xfId="0" applyFont="1" applyFill="1" applyBorder="1" applyAlignment="1">
      <alignment horizontal="center" vertical="center"/>
    </xf>
    <xf numFmtId="0" fontId="60" fillId="0" borderId="8" xfId="0" applyFont="1" applyFill="1" applyBorder="1" applyAlignment="1">
      <alignment horizontal="center" vertical="center" wrapText="1"/>
    </xf>
    <xf numFmtId="0" fontId="24" fillId="0" borderId="7" xfId="0" applyFont="1" applyFill="1" applyBorder="1"/>
    <xf numFmtId="172" fontId="24" fillId="0" borderId="7" xfId="370" applyNumberFormat="1" applyFont="1" applyFill="1" applyBorder="1"/>
    <xf numFmtId="169" fontId="24" fillId="0" borderId="7" xfId="370" applyNumberFormat="1" applyFont="1" applyFill="1" applyBorder="1"/>
    <xf numFmtId="172" fontId="24" fillId="0" borderId="35" xfId="370" applyNumberFormat="1" applyFont="1" applyFill="1" applyBorder="1"/>
    <xf numFmtId="0" fontId="24" fillId="0" borderId="11" xfId="0" applyFont="1" applyFill="1" applyBorder="1"/>
    <xf numFmtId="172" fontId="24" fillId="0" borderId="11" xfId="370" applyNumberFormat="1" applyFont="1" applyFill="1" applyBorder="1"/>
    <xf numFmtId="172" fontId="60" fillId="0" borderId="18" xfId="370" applyNumberFormat="1" applyFont="1" applyFill="1" applyBorder="1" applyAlignment="1">
      <alignment horizontal="center" vertical="center"/>
    </xf>
    <xf numFmtId="172" fontId="60" fillId="0" borderId="11" xfId="370" applyNumberFormat="1" applyFont="1" applyFill="1" applyBorder="1" applyAlignment="1">
      <alignment horizontal="center" vertical="center"/>
    </xf>
    <xf numFmtId="0" fontId="24" fillId="0" borderId="27" xfId="0" applyFont="1" applyFill="1" applyBorder="1" applyAlignment="1">
      <alignment horizontal="left" vertical="center"/>
    </xf>
    <xf numFmtId="0" fontId="24" fillId="0" borderId="27" xfId="0" applyFont="1" applyFill="1" applyBorder="1" applyAlignment="1">
      <alignment horizontal="center" vertical="center"/>
    </xf>
    <xf numFmtId="172" fontId="24" fillId="0" borderId="11" xfId="370" applyNumberFormat="1" applyFont="1" applyFill="1" applyBorder="1" applyAlignment="1">
      <alignment horizontal="center" vertical="center"/>
    </xf>
    <xf numFmtId="172" fontId="24" fillId="0" borderId="18" xfId="370" applyNumberFormat="1" applyFont="1" applyFill="1" applyBorder="1" applyAlignment="1">
      <alignment horizontal="center" vertical="center"/>
    </xf>
    <xf numFmtId="0" fontId="72" fillId="0" borderId="7" xfId="370" applyNumberFormat="1" applyFont="1" applyFill="1" applyBorder="1" applyAlignment="1">
      <alignment vertical="center"/>
    </xf>
    <xf numFmtId="0" fontId="24" fillId="0" borderId="0" xfId="0" applyFont="1" applyFill="1" applyAlignment="1">
      <alignment horizontal="center" vertical="center" wrapText="1"/>
    </xf>
    <xf numFmtId="2" fontId="24" fillId="0" borderId="7" xfId="0" applyNumberFormat="1" applyFont="1" applyFill="1" applyBorder="1" applyAlignment="1">
      <alignment horizontal="center" vertical="center"/>
    </xf>
    <xf numFmtId="172" fontId="24" fillId="0" borderId="7" xfId="370" applyNumberFormat="1" applyFont="1" applyFill="1" applyBorder="1" applyAlignment="1">
      <alignment horizontal="center" vertical="center"/>
    </xf>
    <xf numFmtId="172" fontId="24" fillId="0" borderId="48" xfId="370" applyNumberFormat="1" applyFont="1" applyFill="1" applyBorder="1" applyAlignment="1">
      <alignment horizontal="center" vertical="center"/>
    </xf>
    <xf numFmtId="49" fontId="24" fillId="0" borderId="7" xfId="0" applyNumberFormat="1" applyFont="1" applyFill="1" applyBorder="1" applyAlignment="1">
      <alignment horizontal="center" vertical="center"/>
    </xf>
    <xf numFmtId="172" fontId="24" fillId="0" borderId="35" xfId="370" applyNumberFormat="1" applyFont="1" applyFill="1" applyBorder="1" applyAlignment="1">
      <alignment horizontal="center" vertical="center"/>
    </xf>
    <xf numFmtId="172" fontId="24" fillId="0" borderId="0" xfId="370" applyNumberFormat="1" applyFont="1" applyFill="1" applyAlignment="1">
      <alignment horizontal="center" vertical="center"/>
    </xf>
    <xf numFmtId="3" fontId="60" fillId="0" borderId="7" xfId="0" applyNumberFormat="1" applyFont="1" applyFill="1" applyBorder="1" applyAlignment="1">
      <alignment vertical="center"/>
    </xf>
    <xf numFmtId="0" fontId="24" fillId="0" borderId="42" xfId="0" applyFont="1" applyFill="1" applyBorder="1" applyAlignment="1">
      <alignment horizontal="right" vertical="center"/>
    </xf>
    <xf numFmtId="4" fontId="24" fillId="0" borderId="35" xfId="370" applyNumberFormat="1" applyFont="1" applyFill="1" applyBorder="1" applyAlignment="1">
      <alignment vertical="center"/>
    </xf>
    <xf numFmtId="0" fontId="24" fillId="0" borderId="0" xfId="0" applyFont="1" applyAlignment="1">
      <alignment vertical="center"/>
    </xf>
    <xf numFmtId="0" fontId="24" fillId="0" borderId="0" xfId="400" applyNumberFormat="1" applyFont="1" applyFill="1" applyAlignment="1">
      <alignment vertical="center"/>
    </xf>
    <xf numFmtId="0" fontId="72" fillId="0" borderId="0" xfId="0" applyFont="1" applyFill="1" applyAlignment="1">
      <alignment vertical="center"/>
    </xf>
    <xf numFmtId="3" fontId="24" fillId="3" borderId="48" xfId="587" applyNumberFormat="1" applyFont="1" applyFill="1" applyBorder="1" applyAlignment="1" applyProtection="1">
      <alignment vertical="center"/>
      <protection locked="0"/>
    </xf>
    <xf numFmtId="3" fontId="24" fillId="26" borderId="48" xfId="587" applyNumberFormat="1" applyFont="1" applyFill="1" applyBorder="1" applyAlignment="1" applyProtection="1">
      <alignment vertical="center"/>
      <protection locked="0"/>
    </xf>
    <xf numFmtId="3" fontId="24" fillId="26" borderId="0" xfId="587" applyNumberFormat="1" applyFont="1" applyFill="1" applyAlignment="1" applyProtection="1">
      <alignment horizontal="right" vertical="top"/>
      <protection locked="0"/>
    </xf>
    <xf numFmtId="3" fontId="60" fillId="26" borderId="0" xfId="587" applyNumberFormat="1" applyFont="1" applyFill="1" applyBorder="1" applyAlignment="1" applyProtection="1">
      <alignment horizontal="right" vertical="top"/>
      <protection locked="0"/>
    </xf>
    <xf numFmtId="3" fontId="60" fillId="26" borderId="0" xfId="587" applyNumberFormat="1" applyFont="1" applyFill="1" applyBorder="1" applyAlignment="1" applyProtection="1">
      <alignment horizontal="right" vertical="center"/>
      <protection locked="0"/>
    </xf>
    <xf numFmtId="211" fontId="24" fillId="0" borderId="1" xfId="567" applyNumberFormat="1" applyFont="1" applyBorder="1" applyAlignment="1">
      <alignment horizontal="right" vertical="top" wrapText="1"/>
    </xf>
    <xf numFmtId="3" fontId="24" fillId="0" borderId="7" xfId="567" applyNumberFormat="1" applyFont="1" applyBorder="1" applyAlignment="1">
      <alignment horizontal="right" vertical="center"/>
    </xf>
    <xf numFmtId="3" fontId="24" fillId="26" borderId="0" xfId="587" applyNumberFormat="1" applyFont="1" applyFill="1" applyAlignment="1" applyProtection="1">
      <alignment horizontal="right" vertical="center"/>
      <protection locked="0"/>
    </xf>
    <xf numFmtId="3" fontId="45" fillId="26" borderId="0" xfId="587" applyNumberFormat="1" applyFont="1" applyFill="1" applyAlignment="1" applyProtection="1">
      <alignment horizontal="right" vertical="top"/>
      <protection locked="0"/>
    </xf>
    <xf numFmtId="3" fontId="72" fillId="0" borderId="0" xfId="370" applyNumberFormat="1" applyFont="1" applyFill="1" applyBorder="1" applyAlignment="1">
      <alignment horizontal="right" vertical="top" wrapText="1"/>
    </xf>
    <xf numFmtId="1" fontId="74" fillId="0" borderId="0" xfId="0" applyNumberFormat="1" applyFont="1" applyFill="1" applyAlignment="1">
      <alignment horizontal="centerContinuous" vertical="center"/>
    </xf>
    <xf numFmtId="0" fontId="24" fillId="0" borderId="0" xfId="0" applyNumberFormat="1" applyFont="1" applyFill="1" applyAlignment="1">
      <alignment horizontal="centerContinuous" vertical="center" wrapText="1"/>
    </xf>
    <xf numFmtId="0" fontId="24" fillId="0" borderId="0" xfId="0" applyFont="1" applyFill="1" applyAlignment="1">
      <alignment horizontal="centerContinuous" vertical="center" wrapText="1"/>
    </xf>
    <xf numFmtId="172" fontId="24" fillId="0" borderId="0" xfId="370" applyNumberFormat="1" applyFont="1" applyFill="1" applyAlignment="1">
      <alignment horizontal="centerContinuous" vertical="center" wrapText="1"/>
    </xf>
    <xf numFmtId="1" fontId="89" fillId="0" borderId="0" xfId="0" applyNumberFormat="1" applyFont="1" applyFill="1" applyAlignment="1">
      <alignment horizontal="centerContinuous" vertical="center"/>
    </xf>
    <xf numFmtId="1" fontId="74" fillId="0" borderId="0" xfId="602" applyNumberFormat="1" applyFont="1" applyFill="1" applyAlignment="1">
      <alignment horizontal="centerContinuous" vertical="center"/>
    </xf>
    <xf numFmtId="214" fontId="73" fillId="0" borderId="0" xfId="0" applyNumberFormat="1" applyFont="1" applyFill="1" applyAlignment="1">
      <alignment vertical="center" wrapText="1"/>
    </xf>
    <xf numFmtId="172" fontId="73" fillId="0" borderId="0" xfId="370" applyNumberFormat="1" applyFont="1" applyFill="1" applyAlignment="1">
      <alignment horizontal="centerContinuous" vertical="center" wrapText="1"/>
    </xf>
    <xf numFmtId="172" fontId="24" fillId="0" borderId="27" xfId="370" applyNumberFormat="1" applyFont="1" applyFill="1" applyBorder="1" applyAlignment="1">
      <alignment horizontal="center"/>
    </xf>
    <xf numFmtId="0" fontId="24" fillId="0" borderId="46" xfId="587" applyFont="1" applyBorder="1" applyAlignment="1" applyProtection="1">
      <alignment vertical="center"/>
      <protection locked="0"/>
    </xf>
    <xf numFmtId="3" fontId="24" fillId="26" borderId="35" xfId="587" applyNumberFormat="1" applyFont="1" applyFill="1" applyBorder="1" applyAlignment="1" applyProtection="1">
      <alignment vertical="center"/>
      <protection locked="0"/>
    </xf>
    <xf numFmtId="169" fontId="24" fillId="0" borderId="35" xfId="370" applyFont="1" applyFill="1" applyBorder="1" applyAlignment="1">
      <alignment vertical="center"/>
    </xf>
    <xf numFmtId="0" fontId="0" fillId="0" borderId="0" xfId="0" applyFill="1"/>
    <xf numFmtId="172" fontId="0" fillId="0" borderId="0" xfId="370" applyNumberFormat="1" applyFont="1" applyFill="1"/>
    <xf numFmtId="169" fontId="0" fillId="0" borderId="0" xfId="370" applyFont="1" applyFill="1"/>
    <xf numFmtId="0" fontId="76" fillId="0" borderId="0" xfId="604" applyFont="1" applyFill="1" applyAlignment="1">
      <alignment horizontal="centerContinuous" vertical="center"/>
    </xf>
    <xf numFmtId="0" fontId="76" fillId="0" borderId="0" xfId="604" applyNumberFormat="1" applyFont="1" applyFill="1" applyAlignment="1">
      <alignment horizontal="centerContinuous" vertical="center"/>
    </xf>
    <xf numFmtId="3" fontId="76" fillId="0" borderId="0" xfId="604" applyNumberFormat="1" applyFont="1" applyFill="1" applyAlignment="1">
      <alignment horizontal="centerContinuous" vertical="center"/>
    </xf>
    <xf numFmtId="0" fontId="76" fillId="0" borderId="0" xfId="604" applyFont="1" applyFill="1" applyAlignment="1">
      <alignment vertical="center"/>
    </xf>
    <xf numFmtId="0" fontId="59" fillId="0" borderId="0" xfId="604" applyFont="1" applyFill="1" applyAlignment="1">
      <alignment vertical="center"/>
    </xf>
    <xf numFmtId="0" fontId="59" fillId="0" borderId="0" xfId="604" applyFont="1" applyFill="1" applyAlignment="1">
      <alignment horizontal="left" vertical="center"/>
    </xf>
    <xf numFmtId="0" fontId="59" fillId="0" borderId="0" xfId="604" applyNumberFormat="1" applyFont="1" applyFill="1" applyAlignment="1">
      <alignment horizontal="centerContinuous" vertical="center"/>
    </xf>
    <xf numFmtId="0" fontId="59" fillId="0" borderId="0" xfId="604" applyFont="1" applyFill="1" applyAlignment="1">
      <alignment horizontal="centerContinuous" vertical="center"/>
    </xf>
    <xf numFmtId="3" fontId="59" fillId="0" borderId="0" xfId="604" applyNumberFormat="1" applyFont="1" applyFill="1" applyAlignment="1">
      <alignment horizontal="centerContinuous" vertical="center"/>
    </xf>
    <xf numFmtId="0" fontId="59" fillId="0" borderId="0" xfId="604" applyFont="1" applyFill="1" applyAlignment="1">
      <alignment horizontal="center" vertical="center"/>
    </xf>
    <xf numFmtId="0" fontId="76" fillId="0" borderId="27" xfId="604" applyFont="1" applyFill="1" applyBorder="1" applyAlignment="1">
      <alignment horizontal="center" vertical="center"/>
    </xf>
    <xf numFmtId="0" fontId="76" fillId="0" borderId="27" xfId="604" applyNumberFormat="1" applyFont="1" applyFill="1" applyBorder="1" applyAlignment="1">
      <alignment horizontal="center" vertical="center"/>
    </xf>
    <xf numFmtId="0" fontId="73" fillId="0" borderId="30" xfId="604" applyFont="1" applyFill="1" applyBorder="1" applyAlignment="1">
      <alignment horizontal="center" vertical="top"/>
    </xf>
    <xf numFmtId="0" fontId="73" fillId="0" borderId="30" xfId="604" applyNumberFormat="1" applyFont="1" applyFill="1" applyBorder="1" applyAlignment="1">
      <alignment horizontal="center" vertical="top"/>
    </xf>
    <xf numFmtId="3" fontId="59" fillId="0" borderId="30" xfId="604" applyNumberFormat="1" applyFont="1" applyFill="1" applyBorder="1" applyAlignment="1">
      <alignment horizontal="centerContinuous" vertical="center"/>
    </xf>
    <xf numFmtId="0" fontId="59" fillId="0" borderId="8" xfId="604" applyFont="1" applyFill="1" applyBorder="1" applyAlignment="1">
      <alignment horizontal="center" vertical="center"/>
    </xf>
    <xf numFmtId="0" fontId="59" fillId="0" borderId="8" xfId="604" applyNumberFormat="1" applyFont="1" applyFill="1" applyBorder="1" applyAlignment="1">
      <alignment horizontal="center" vertical="center"/>
    </xf>
    <xf numFmtId="0" fontId="59" fillId="0" borderId="7" xfId="604" applyFont="1" applyFill="1" applyBorder="1" applyAlignment="1">
      <alignment horizontal="center" vertical="center"/>
    </xf>
    <xf numFmtId="3" fontId="59" fillId="0" borderId="7" xfId="380" applyNumberFormat="1" applyFont="1" applyFill="1" applyBorder="1" applyAlignment="1">
      <alignment horizontal="center" vertical="center"/>
    </xf>
    <xf numFmtId="0" fontId="59" fillId="0" borderId="35" xfId="604" applyFont="1" applyFill="1" applyBorder="1" applyAlignment="1">
      <alignment horizontal="center" vertical="center"/>
    </xf>
    <xf numFmtId="172" fontId="59" fillId="0" borderId="35" xfId="380" applyNumberFormat="1" applyFont="1" applyFill="1" applyBorder="1" applyAlignment="1">
      <alignment horizontal="center" vertical="center"/>
    </xf>
    <xf numFmtId="0" fontId="59" fillId="0" borderId="0" xfId="604" applyNumberFormat="1" applyFont="1" applyFill="1" applyAlignment="1">
      <alignment vertical="center"/>
    </xf>
    <xf numFmtId="3" fontId="59" fillId="0" borderId="0" xfId="604" applyNumberFormat="1" applyFont="1" applyFill="1" applyAlignment="1">
      <alignment vertical="center"/>
    </xf>
    <xf numFmtId="0" fontId="24" fillId="0" borderId="7" xfId="370" applyNumberFormat="1" applyFont="1" applyFill="1" applyBorder="1" applyAlignment="1">
      <alignment horizontal="left" vertical="center"/>
    </xf>
    <xf numFmtId="203" fontId="24" fillId="0" borderId="7" xfId="370" applyNumberFormat="1" applyFont="1" applyFill="1" applyBorder="1" applyAlignment="1">
      <alignment horizontal="left" vertical="center"/>
    </xf>
    <xf numFmtId="3" fontId="73" fillId="0" borderId="0" xfId="0" applyNumberFormat="1" applyFont="1" applyFill="1" applyAlignment="1">
      <alignment horizontal="right" vertical="center"/>
    </xf>
    <xf numFmtId="0" fontId="24" fillId="0" borderId="49" xfId="596" applyFont="1" applyFill="1" applyBorder="1" applyAlignment="1">
      <alignment vertical="center"/>
    </xf>
    <xf numFmtId="172" fontId="24" fillId="0" borderId="48" xfId="596" applyNumberFormat="1" applyFont="1" applyFill="1" applyBorder="1" applyAlignment="1">
      <alignment horizontal="left" vertical="center" shrinkToFit="1"/>
    </xf>
    <xf numFmtId="0" fontId="24" fillId="0" borderId="41" xfId="0" applyFont="1" applyFill="1" applyBorder="1" applyAlignment="1">
      <alignment horizontal="left" vertical="center"/>
    </xf>
    <xf numFmtId="0" fontId="60" fillId="0" borderId="35" xfId="0" applyFont="1" applyFill="1" applyBorder="1" applyAlignment="1">
      <alignment horizontal="left" vertical="center"/>
    </xf>
    <xf numFmtId="3" fontId="60" fillId="0" borderId="35" xfId="370" applyNumberFormat="1" applyFont="1" applyFill="1" applyBorder="1" applyAlignment="1">
      <alignment vertical="center"/>
    </xf>
    <xf numFmtId="169" fontId="13" fillId="0" borderId="0" xfId="370" applyFont="1"/>
    <xf numFmtId="0" fontId="58" fillId="0" borderId="0" xfId="566" applyFont="1" applyFill="1"/>
    <xf numFmtId="0" fontId="45" fillId="0" borderId="0" xfId="566" applyFont="1" applyFill="1" applyAlignment="1">
      <alignment horizontal="center"/>
    </xf>
    <xf numFmtId="0" fontId="45" fillId="0" borderId="0" xfId="566" applyFont="1" applyFill="1"/>
    <xf numFmtId="172" fontId="45" fillId="0" borderId="0" xfId="380" applyNumberFormat="1" applyFont="1" applyFill="1"/>
    <xf numFmtId="0" fontId="24" fillId="0" borderId="0" xfId="0" applyFont="1" applyAlignment="1">
      <alignment horizontal="center" vertical="center"/>
    </xf>
    <xf numFmtId="0" fontId="58" fillId="0" borderId="0" xfId="566" applyFont="1" applyFill="1" applyAlignment="1">
      <alignment horizontal="centerContinuous" vertical="center"/>
    </xf>
    <xf numFmtId="0" fontId="24" fillId="0" borderId="0" xfId="0" applyFont="1" applyAlignment="1">
      <alignment horizontal="centerContinuous" vertical="center"/>
    </xf>
    <xf numFmtId="0" fontId="188" fillId="0" borderId="0" xfId="566" applyFont="1" applyFill="1" applyAlignment="1">
      <alignment horizontal="centerContinuous" vertical="top"/>
    </xf>
    <xf numFmtId="0" fontId="45" fillId="0" borderId="0" xfId="566" applyFont="1" applyFill="1" applyAlignment="1">
      <alignment horizontal="center" vertical="top"/>
    </xf>
    <xf numFmtId="0" fontId="58" fillId="0" borderId="18" xfId="566" applyFont="1" applyFill="1" applyBorder="1" applyAlignment="1">
      <alignment horizontal="centerContinuous" vertical="center" wrapText="1"/>
    </xf>
    <xf numFmtId="172" fontId="58" fillId="0" borderId="18" xfId="393" applyNumberFormat="1" applyFont="1" applyFill="1" applyBorder="1" applyAlignment="1">
      <alignment horizontal="centerContinuous" vertical="center"/>
    </xf>
    <xf numFmtId="172" fontId="58" fillId="0" borderId="27" xfId="380" applyNumberFormat="1" applyFont="1" applyFill="1" applyBorder="1" applyAlignment="1">
      <alignment horizontal="center" vertical="center" wrapText="1"/>
    </xf>
    <xf numFmtId="0" fontId="237" fillId="0" borderId="30" xfId="0" applyFont="1" applyBorder="1"/>
    <xf numFmtId="0" fontId="58" fillId="0" borderId="11" xfId="566" applyFont="1" applyFill="1" applyBorder="1" applyAlignment="1">
      <alignment horizontal="left" vertical="center"/>
    </xf>
    <xf numFmtId="0" fontId="58" fillId="0" borderId="11" xfId="566" applyFont="1" applyFill="1" applyBorder="1" applyAlignment="1">
      <alignment horizontal="center" vertical="center"/>
    </xf>
    <xf numFmtId="0" fontId="58" fillId="0" borderId="11" xfId="566" applyFont="1" applyFill="1" applyBorder="1" applyAlignment="1">
      <alignment horizontal="right" vertical="center"/>
    </xf>
    <xf numFmtId="0" fontId="58" fillId="0" borderId="11" xfId="566" applyFont="1" applyFill="1" applyBorder="1" applyAlignment="1">
      <alignment horizontal="centerContinuous" vertical="center"/>
    </xf>
    <xf numFmtId="172" fontId="58" fillId="0" borderId="11" xfId="393" applyNumberFormat="1" applyFont="1" applyFill="1" applyBorder="1" applyAlignment="1">
      <alignment horizontal="center" vertical="center"/>
    </xf>
    <xf numFmtId="0" fontId="45" fillId="0" borderId="7" xfId="566" applyFont="1" applyFill="1" applyBorder="1" applyAlignment="1">
      <alignment horizontal="center"/>
    </xf>
    <xf numFmtId="172" fontId="45" fillId="0" borderId="7" xfId="380" applyNumberFormat="1" applyFont="1" applyFill="1" applyBorder="1" applyAlignment="1">
      <alignment horizontal="right"/>
    </xf>
    <xf numFmtId="172" fontId="45" fillId="0" borderId="7" xfId="380" applyNumberFormat="1" applyFont="1" applyFill="1" applyBorder="1" applyAlignment="1">
      <alignment horizontal="centerContinuous"/>
    </xf>
    <xf numFmtId="172" fontId="45" fillId="0" borderId="7" xfId="380" applyNumberFormat="1" applyFont="1" applyFill="1" applyBorder="1"/>
    <xf numFmtId="172" fontId="58" fillId="0" borderId="7" xfId="380" applyNumberFormat="1" applyFont="1" applyFill="1" applyBorder="1"/>
    <xf numFmtId="172" fontId="238" fillId="0" borderId="7" xfId="380" applyNumberFormat="1" applyFont="1" applyFill="1" applyBorder="1"/>
    <xf numFmtId="172" fontId="45" fillId="0" borderId="7" xfId="380" applyNumberFormat="1" applyFont="1" applyFill="1" applyBorder="1" applyAlignment="1">
      <alignment horizontal="center"/>
    </xf>
    <xf numFmtId="0" fontId="45" fillId="0" borderId="7" xfId="566" applyFont="1" applyFill="1" applyBorder="1"/>
    <xf numFmtId="0" fontId="24" fillId="0" borderId="7" xfId="566" applyFont="1" applyFill="1" applyBorder="1"/>
    <xf numFmtId="0" fontId="45" fillId="0" borderId="35" xfId="566" applyFont="1" applyFill="1" applyBorder="1" applyAlignment="1">
      <alignment horizontal="center"/>
    </xf>
    <xf numFmtId="172" fontId="45" fillId="0" borderId="35" xfId="380" applyNumberFormat="1" applyFont="1" applyFill="1" applyBorder="1" applyAlignment="1">
      <alignment horizontal="right"/>
    </xf>
    <xf numFmtId="172" fontId="45" fillId="0" borderId="35" xfId="380" applyNumberFormat="1" applyFont="1" applyFill="1" applyBorder="1" applyAlignment="1">
      <alignment horizontal="centerContinuous"/>
    </xf>
    <xf numFmtId="172" fontId="45" fillId="0" borderId="35" xfId="380" applyNumberFormat="1" applyFont="1" applyFill="1" applyBorder="1"/>
    <xf numFmtId="172" fontId="58" fillId="0" borderId="35" xfId="380" applyNumberFormat="1" applyFont="1" applyFill="1" applyBorder="1"/>
    <xf numFmtId="172" fontId="45" fillId="0" borderId="35" xfId="380" applyNumberFormat="1" applyFont="1" applyFill="1" applyBorder="1" applyAlignment="1">
      <alignment horizontal="center"/>
    </xf>
    <xf numFmtId="0" fontId="24" fillId="0" borderId="35" xfId="566" applyFont="1" applyFill="1" applyBorder="1"/>
    <xf numFmtId="172" fontId="238" fillId="0" borderId="35" xfId="380" applyNumberFormat="1" applyFont="1" applyFill="1" applyBorder="1"/>
    <xf numFmtId="209" fontId="24" fillId="0" borderId="0" xfId="370" applyNumberFormat="1" applyFont="1" applyFill="1" applyAlignment="1">
      <alignment horizontal="center" vertical="center"/>
    </xf>
    <xf numFmtId="1" fontId="24" fillId="0" borderId="7" xfId="0" applyNumberFormat="1" applyFont="1" applyFill="1" applyBorder="1" applyAlignment="1">
      <alignment horizontal="center" vertical="center"/>
    </xf>
    <xf numFmtId="0" fontId="24" fillId="0" borderId="7" xfId="599" applyFont="1" applyFill="1" applyBorder="1" applyAlignment="1">
      <alignment horizontal="center" vertical="center"/>
    </xf>
    <xf numFmtId="215" fontId="60" fillId="0" borderId="7" xfId="0" applyNumberFormat="1" applyFont="1" applyFill="1" applyBorder="1" applyAlignment="1">
      <alignment horizontal="left" vertical="center" wrapText="1"/>
    </xf>
    <xf numFmtId="49" fontId="60" fillId="0" borderId="7" xfId="0" applyNumberFormat="1" applyFont="1" applyFill="1" applyBorder="1" applyAlignment="1">
      <alignment horizontal="center" vertical="center"/>
    </xf>
    <xf numFmtId="3" fontId="24" fillId="0" borderId="7" xfId="380" applyNumberFormat="1" applyFont="1" applyFill="1" applyBorder="1" applyAlignment="1">
      <alignment horizontal="right" vertical="center"/>
    </xf>
    <xf numFmtId="3" fontId="24" fillId="0" borderId="7" xfId="0" applyNumberFormat="1" applyFont="1" applyFill="1" applyBorder="1" applyAlignment="1">
      <alignment vertical="center"/>
    </xf>
    <xf numFmtId="0" fontId="24" fillId="0" borderId="7" xfId="380" applyNumberFormat="1" applyFont="1" applyFill="1" applyBorder="1" applyAlignment="1">
      <alignment horizontal="right" vertical="center"/>
    </xf>
    <xf numFmtId="49" fontId="24" fillId="0" borderId="7" xfId="0" applyNumberFormat="1" applyFont="1" applyFill="1" applyBorder="1" applyAlignment="1">
      <alignment horizontal="center" vertical="center" shrinkToFit="1"/>
    </xf>
    <xf numFmtId="0" fontId="24" fillId="0" borderId="7" xfId="566" applyNumberFormat="1" applyFont="1" applyFill="1" applyBorder="1" applyAlignment="1">
      <alignment horizontal="left" vertical="center"/>
    </xf>
    <xf numFmtId="0" fontId="24" fillId="0" borderId="7" xfId="380" applyNumberFormat="1" applyFont="1" applyFill="1" applyBorder="1" applyAlignment="1">
      <alignment horizontal="center" vertical="center"/>
    </xf>
    <xf numFmtId="3" fontId="61" fillId="0" borderId="7" xfId="0" applyNumberFormat="1" applyFont="1" applyFill="1" applyBorder="1" applyAlignment="1">
      <alignment vertical="center"/>
    </xf>
    <xf numFmtId="0" fontId="24" fillId="0" borderId="48" xfId="0" applyFont="1" applyFill="1" applyBorder="1" applyAlignment="1">
      <alignment vertical="center" wrapText="1"/>
    </xf>
    <xf numFmtId="215" fontId="24" fillId="0" borderId="7" xfId="0" applyNumberFormat="1" applyFont="1" applyFill="1" applyBorder="1" applyAlignment="1">
      <alignment horizontal="left" vertical="center"/>
    </xf>
    <xf numFmtId="215" fontId="24" fillId="0" borderId="7" xfId="0" applyNumberFormat="1" applyFont="1" applyFill="1" applyBorder="1" applyAlignment="1">
      <alignment horizontal="left" vertical="center" wrapText="1"/>
    </xf>
    <xf numFmtId="49" fontId="24" fillId="0" borderId="34" xfId="0" applyNumberFormat="1" applyFont="1" applyFill="1" applyBorder="1" applyAlignment="1">
      <alignment horizontal="center" vertical="center"/>
    </xf>
    <xf numFmtId="0" fontId="60" fillId="0" borderId="0" xfId="0" applyFont="1" applyFill="1" applyBorder="1" applyAlignment="1">
      <alignment vertical="center" wrapText="1"/>
    </xf>
    <xf numFmtId="0" fontId="60" fillId="0" borderId="0" xfId="370" applyNumberFormat="1" applyFont="1" applyFill="1" applyAlignment="1">
      <alignment horizontal="centerContinuous" vertical="center" wrapText="1"/>
    </xf>
    <xf numFmtId="173" fontId="60" fillId="0" borderId="0" xfId="370" applyNumberFormat="1" applyFont="1" applyFill="1" applyAlignment="1">
      <alignment horizontal="centerContinuous" vertical="center" wrapText="1"/>
    </xf>
    <xf numFmtId="172" fontId="60" fillId="0" borderId="0" xfId="370" applyNumberFormat="1" applyFont="1" applyFill="1" applyAlignment="1">
      <alignment horizontal="centerContinuous" vertical="center" wrapText="1"/>
    </xf>
    <xf numFmtId="3" fontId="60" fillId="0" borderId="0" xfId="370" applyNumberFormat="1" applyFont="1" applyFill="1" applyAlignment="1">
      <alignment horizontal="centerContinuous" vertical="center" wrapText="1"/>
    </xf>
    <xf numFmtId="172" fontId="60" fillId="0" borderId="0" xfId="370" applyNumberFormat="1" applyFont="1" applyFill="1" applyBorder="1" applyAlignment="1">
      <alignment vertical="center" wrapText="1"/>
    </xf>
    <xf numFmtId="4" fontId="60" fillId="0" borderId="0" xfId="370" applyNumberFormat="1" applyFont="1" applyFill="1" applyAlignment="1">
      <alignment horizontal="centerContinuous" vertical="center" wrapText="1"/>
    </xf>
    <xf numFmtId="4" fontId="239" fillId="0" borderId="0" xfId="370" applyNumberFormat="1" applyFont="1" applyFill="1" applyAlignment="1">
      <alignment horizontal="center" vertical="center" wrapText="1"/>
    </xf>
    <xf numFmtId="0" fontId="78" fillId="0" borderId="0" xfId="602" applyFont="1" applyFill="1" applyAlignment="1">
      <alignment horizontal="centerContinuous" vertical="center" wrapText="1"/>
    </xf>
    <xf numFmtId="0" fontId="60" fillId="0" borderId="0" xfId="602" applyFont="1" applyFill="1" applyAlignment="1">
      <alignment horizontal="centerContinuous" vertical="center" wrapText="1"/>
    </xf>
    <xf numFmtId="0" fontId="60" fillId="0" borderId="0" xfId="0" applyFont="1" applyFill="1" applyAlignment="1">
      <alignment horizontal="center" vertical="center" wrapText="1"/>
    </xf>
    <xf numFmtId="172" fontId="60" fillId="0" borderId="0" xfId="370" applyNumberFormat="1" applyFont="1" applyFill="1" applyAlignment="1">
      <alignment horizontal="center" vertical="center" wrapText="1"/>
    </xf>
    <xf numFmtId="172" fontId="60" fillId="0" borderId="1" xfId="370" applyNumberFormat="1" applyFont="1" applyFill="1" applyBorder="1" applyAlignment="1">
      <alignment horizontal="centerContinuous" vertical="center" wrapText="1"/>
    </xf>
    <xf numFmtId="0" fontId="239" fillId="0" borderId="1" xfId="404" applyNumberFormat="1" applyFont="1" applyFill="1" applyBorder="1" applyAlignment="1">
      <alignment horizontal="center" vertical="center"/>
    </xf>
    <xf numFmtId="0" fontId="24" fillId="0" borderId="11" xfId="0" applyFont="1" applyFill="1" applyBorder="1" applyAlignment="1">
      <alignment horizontal="center" vertical="center" wrapText="1"/>
    </xf>
    <xf numFmtId="173" fontId="24" fillId="0" borderId="11" xfId="0" applyNumberFormat="1" applyFont="1" applyFill="1" applyBorder="1" applyAlignment="1">
      <alignment horizontal="center" vertical="center" wrapText="1"/>
    </xf>
    <xf numFmtId="0" fontId="60" fillId="0" borderId="11" xfId="0" applyNumberFormat="1" applyFont="1" applyFill="1" applyBorder="1" applyAlignment="1">
      <alignment vertical="center" wrapText="1"/>
    </xf>
    <xf numFmtId="0" fontId="60" fillId="0" borderId="11" xfId="0" applyFont="1" applyFill="1" applyBorder="1" applyAlignment="1">
      <alignment horizontal="center" vertical="center" wrapText="1"/>
    </xf>
    <xf numFmtId="0" fontId="24" fillId="0" borderId="11" xfId="0" applyNumberFormat="1" applyFont="1" applyFill="1" applyBorder="1" applyAlignment="1">
      <alignment horizontal="center" vertical="center" wrapText="1"/>
    </xf>
    <xf numFmtId="172" fontId="24" fillId="0" borderId="11" xfId="370" applyNumberFormat="1" applyFont="1" applyFill="1" applyBorder="1" applyAlignment="1">
      <alignment vertical="center" wrapText="1"/>
    </xf>
    <xf numFmtId="3" fontId="24" fillId="0" borderId="11" xfId="370" applyNumberFormat="1" applyFont="1" applyFill="1" applyBorder="1" applyAlignment="1">
      <alignment vertical="center" wrapText="1"/>
    </xf>
    <xf numFmtId="172" fontId="60" fillId="0" borderId="0" xfId="370" applyNumberFormat="1" applyFont="1" applyFill="1" applyAlignment="1">
      <alignment vertical="center" wrapText="1"/>
    </xf>
    <xf numFmtId="4" fontId="24" fillId="0" borderId="11" xfId="370" applyNumberFormat="1" applyFont="1" applyFill="1" applyBorder="1" applyAlignment="1">
      <alignment vertical="center" wrapText="1"/>
    </xf>
    <xf numFmtId="4" fontId="236" fillId="0" borderId="11" xfId="370" applyNumberFormat="1" applyFont="1" applyFill="1" applyBorder="1" applyAlignment="1">
      <alignment horizontal="center" vertical="center" wrapText="1"/>
    </xf>
    <xf numFmtId="173" fontId="72" fillId="0" borderId="7" xfId="0" applyNumberFormat="1" applyFont="1" applyFill="1" applyBorder="1" applyAlignment="1">
      <alignment horizontal="center" vertical="center" wrapText="1"/>
    </xf>
    <xf numFmtId="0" fontId="72" fillId="0" borderId="7" xfId="0" applyFont="1" applyFill="1" applyBorder="1" applyAlignment="1">
      <alignment horizontal="center" vertical="center" wrapText="1"/>
    </xf>
    <xf numFmtId="0" fontId="24" fillId="0" borderId="7" xfId="0" applyNumberFormat="1" applyFont="1" applyFill="1" applyBorder="1" applyAlignment="1">
      <alignment horizontal="center" vertical="center" wrapText="1"/>
    </xf>
    <xf numFmtId="172" fontId="24" fillId="0" borderId="7" xfId="370" applyNumberFormat="1" applyFont="1" applyFill="1" applyBorder="1" applyAlignment="1">
      <alignment vertical="center" wrapText="1"/>
    </xf>
    <xf numFmtId="3" fontId="61" fillId="0" borderId="7" xfId="370" applyNumberFormat="1" applyFont="1" applyFill="1" applyBorder="1" applyAlignment="1">
      <alignment vertical="center" wrapText="1"/>
    </xf>
    <xf numFmtId="172" fontId="72" fillId="0" borderId="0" xfId="370" applyNumberFormat="1" applyFont="1" applyFill="1" applyAlignment="1">
      <alignment vertical="center" wrapText="1"/>
    </xf>
    <xf numFmtId="173" fontId="24" fillId="0" borderId="7" xfId="0" applyNumberFormat="1" applyFont="1" applyFill="1" applyBorder="1" applyAlignment="1">
      <alignment horizontal="center" vertical="center" wrapText="1"/>
    </xf>
    <xf numFmtId="0" fontId="24" fillId="0" borderId="7" xfId="0" applyNumberFormat="1" applyFont="1" applyFill="1" applyBorder="1" applyAlignment="1">
      <alignment horizontal="left" vertical="center" wrapText="1"/>
    </xf>
    <xf numFmtId="3" fontId="24" fillId="0" borderId="7" xfId="370" applyNumberFormat="1" applyFont="1" applyFill="1" applyBorder="1" applyAlignment="1">
      <alignment vertical="center" wrapText="1"/>
    </xf>
    <xf numFmtId="0" fontId="24" fillId="0" borderId="7" xfId="370" applyNumberFormat="1" applyFont="1" applyFill="1" applyBorder="1" applyAlignment="1">
      <alignment horizontal="left" vertical="center" wrapText="1"/>
    </xf>
    <xf numFmtId="0" fontId="60" fillId="0" borderId="7" xfId="0" applyNumberFormat="1" applyFont="1" applyFill="1" applyBorder="1" applyAlignment="1">
      <alignment horizontal="left" vertical="center" wrapText="1"/>
    </xf>
    <xf numFmtId="0" fontId="60" fillId="0" borderId="7" xfId="0" applyFont="1" applyFill="1" applyBorder="1" applyAlignment="1">
      <alignment horizontal="center" vertical="center" wrapText="1"/>
    </xf>
    <xf numFmtId="3" fontId="24" fillId="0" borderId="7" xfId="0" applyNumberFormat="1" applyFont="1" applyFill="1" applyBorder="1" applyAlignment="1">
      <alignment vertical="center" wrapText="1"/>
    </xf>
    <xf numFmtId="172" fontId="24" fillId="0" borderId="7" xfId="370" applyNumberFormat="1" applyFont="1" applyFill="1" applyBorder="1" applyAlignment="1" applyProtection="1">
      <alignment vertical="center" wrapText="1"/>
      <protection hidden="1"/>
    </xf>
    <xf numFmtId="176" fontId="24" fillId="0" borderId="7" xfId="0" applyNumberFormat="1" applyFont="1" applyFill="1" applyBorder="1" applyAlignment="1">
      <alignment horizontal="center" vertical="center" wrapText="1"/>
    </xf>
    <xf numFmtId="173" fontId="24" fillId="0" borderId="7" xfId="0" applyNumberFormat="1" applyFont="1" applyFill="1" applyBorder="1" applyAlignment="1">
      <alignment vertical="center" wrapText="1"/>
    </xf>
    <xf numFmtId="173" fontId="24" fillId="0" borderId="7" xfId="0" applyNumberFormat="1" applyFont="1" applyFill="1" applyBorder="1" applyAlignment="1">
      <alignment horizontal="left" vertical="center" wrapText="1"/>
    </xf>
    <xf numFmtId="0" fontId="24" fillId="0" borderId="7" xfId="0" quotePrefix="1" applyFont="1" applyFill="1" applyBorder="1" applyAlignment="1">
      <alignment horizontal="left" vertical="center" wrapText="1"/>
    </xf>
    <xf numFmtId="3" fontId="24" fillId="0" borderId="7" xfId="370" applyNumberFormat="1" applyFont="1" applyFill="1" applyBorder="1" applyAlignment="1">
      <alignment horizontal="right" vertical="center" wrapText="1"/>
    </xf>
    <xf numFmtId="173" fontId="24" fillId="0" borderId="7" xfId="0" applyNumberFormat="1" applyFont="1" applyFill="1" applyBorder="1" applyAlignment="1">
      <alignment horizontal="center" vertical="center" shrinkToFit="1"/>
    </xf>
    <xf numFmtId="2" fontId="24" fillId="0" borderId="7" xfId="0" applyNumberFormat="1" applyFont="1" applyFill="1" applyBorder="1" applyAlignment="1">
      <alignment horizontal="center" vertical="center" wrapText="1"/>
    </xf>
    <xf numFmtId="195" fontId="24" fillId="0" borderId="7" xfId="0" applyNumberFormat="1" applyFont="1" applyFill="1" applyBorder="1" applyAlignment="1">
      <alignment vertical="center"/>
    </xf>
    <xf numFmtId="205" fontId="24" fillId="0" borderId="7" xfId="0" applyNumberFormat="1" applyFont="1" applyFill="1" applyBorder="1" applyAlignment="1">
      <alignment horizontal="center" vertical="center" wrapText="1"/>
    </xf>
    <xf numFmtId="0" fontId="60" fillId="0" borderId="11" xfId="0" applyNumberFormat="1" applyFont="1" applyFill="1" applyBorder="1" applyAlignment="1">
      <alignment horizontal="left" vertical="center" wrapText="1"/>
    </xf>
    <xf numFmtId="3" fontId="24" fillId="0" borderId="11" xfId="0" applyNumberFormat="1" applyFont="1" applyFill="1" applyBorder="1" applyAlignment="1">
      <alignment vertical="center" wrapText="1"/>
    </xf>
    <xf numFmtId="0" fontId="60" fillId="0" borderId="7" xfId="0" applyNumberFormat="1" applyFont="1" applyFill="1" applyBorder="1" applyAlignment="1">
      <alignment vertical="center" wrapText="1"/>
    </xf>
    <xf numFmtId="173" fontId="60" fillId="0" borderId="7" xfId="0" applyNumberFormat="1" applyFont="1" applyFill="1" applyBorder="1" applyAlignment="1">
      <alignment horizontal="center" vertical="center" wrapText="1"/>
    </xf>
    <xf numFmtId="0" fontId="60" fillId="0" borderId="0" xfId="0" applyFont="1" applyFill="1" applyAlignment="1">
      <alignment vertical="center" wrapText="1"/>
    </xf>
    <xf numFmtId="0" fontId="24" fillId="0" borderId="7" xfId="597" applyNumberFormat="1" applyFont="1" applyFill="1" applyBorder="1" applyAlignment="1">
      <alignment horizontal="center" vertical="center" wrapText="1"/>
    </xf>
    <xf numFmtId="198" fontId="24" fillId="0" borderId="7" xfId="370" applyNumberFormat="1" applyFont="1" applyFill="1" applyBorder="1" applyAlignment="1">
      <alignment horizontal="center" vertical="center" wrapText="1"/>
    </xf>
    <xf numFmtId="0" fontId="60" fillId="0" borderId="7" xfId="597" applyNumberFormat="1" applyFont="1" applyFill="1" applyBorder="1" applyAlignment="1">
      <alignment horizontal="center" vertical="center" wrapText="1"/>
    </xf>
    <xf numFmtId="198" fontId="60" fillId="0" borderId="7" xfId="597" applyNumberFormat="1" applyFont="1" applyFill="1" applyBorder="1" applyAlignment="1">
      <alignment horizontal="center" vertical="center" wrapText="1"/>
    </xf>
    <xf numFmtId="198" fontId="24" fillId="0" borderId="7" xfId="597" applyNumberFormat="1" applyFont="1" applyFill="1" applyBorder="1" applyAlignment="1">
      <alignment horizontal="center" vertical="center" wrapText="1"/>
    </xf>
    <xf numFmtId="0" fontId="24" fillId="0" borderId="7" xfId="416" applyNumberFormat="1" applyFont="1" applyFill="1" applyBorder="1" applyAlignment="1">
      <alignment horizontal="center" vertical="center" wrapText="1"/>
    </xf>
    <xf numFmtId="198" fontId="24" fillId="0" borderId="7" xfId="597" applyNumberFormat="1" applyFont="1" applyFill="1" applyBorder="1" applyAlignment="1">
      <alignment horizontal="left" vertical="center" wrapText="1"/>
    </xf>
    <xf numFmtId="0" fontId="24" fillId="0" borderId="7" xfId="416" applyNumberFormat="1" applyFont="1" applyFill="1" applyBorder="1" applyAlignment="1">
      <alignment horizontal="left" vertical="center" wrapText="1"/>
    </xf>
    <xf numFmtId="3" fontId="24" fillId="0" borderId="7" xfId="0" applyNumberFormat="1" applyFont="1" applyFill="1" applyBorder="1" applyAlignment="1">
      <alignment horizontal="right" vertical="center"/>
    </xf>
    <xf numFmtId="0" fontId="60" fillId="0" borderId="7" xfId="0" applyNumberFormat="1" applyFont="1" applyFill="1" applyBorder="1" applyAlignment="1">
      <alignment horizontal="center" vertical="center" wrapText="1"/>
    </xf>
    <xf numFmtId="49" fontId="24" fillId="0" borderId="7" xfId="0" applyNumberFormat="1" applyFont="1" applyFill="1" applyBorder="1" applyAlignment="1">
      <alignment horizontal="center" vertical="center" wrapText="1"/>
    </xf>
    <xf numFmtId="49" fontId="60" fillId="0" borderId="7" xfId="0" applyNumberFormat="1" applyFont="1" applyFill="1" applyBorder="1" applyAlignment="1">
      <alignment horizontal="center" vertical="center" wrapText="1"/>
    </xf>
    <xf numFmtId="3" fontId="61" fillId="0" borderId="7" xfId="0" applyNumberFormat="1" applyFont="1" applyFill="1" applyBorder="1" applyAlignment="1">
      <alignment vertical="center" wrapText="1"/>
    </xf>
    <xf numFmtId="4" fontId="24" fillId="0" borderId="7" xfId="0" applyNumberFormat="1" applyFont="1" applyFill="1" applyBorder="1" applyAlignment="1">
      <alignment horizontal="center" vertical="center" wrapText="1"/>
    </xf>
    <xf numFmtId="0" fontId="24" fillId="0" borderId="7" xfId="0" quotePrefix="1" applyNumberFormat="1" applyFont="1" applyFill="1" applyBorder="1" applyAlignment="1">
      <alignment horizontal="center" vertical="center" wrapText="1"/>
    </xf>
    <xf numFmtId="49" fontId="24" fillId="0" borderId="7" xfId="0" applyNumberFormat="1" applyFont="1" applyFill="1" applyBorder="1" applyAlignment="1">
      <alignment horizontal="centerContinuous" vertical="center"/>
    </xf>
    <xf numFmtId="3" fontId="60" fillId="0" borderId="7" xfId="370" applyNumberFormat="1" applyFont="1" applyFill="1" applyBorder="1" applyAlignment="1">
      <alignment vertical="center" wrapText="1"/>
    </xf>
    <xf numFmtId="172" fontId="61" fillId="0" borderId="0" xfId="370" applyNumberFormat="1" applyFont="1" applyFill="1" applyBorder="1" applyAlignment="1">
      <alignment vertical="center" wrapText="1"/>
    </xf>
    <xf numFmtId="1" fontId="24" fillId="0" borderId="7" xfId="0" applyNumberFormat="1" applyFont="1" applyFill="1" applyBorder="1" applyAlignment="1">
      <alignment horizontal="center" vertical="center" wrapText="1"/>
    </xf>
    <xf numFmtId="0" fontId="24" fillId="0" borderId="7" xfId="609" applyNumberFormat="1" applyFont="1" applyFill="1" applyBorder="1" applyAlignment="1">
      <alignment horizontal="center" vertical="center" wrapText="1"/>
    </xf>
    <xf numFmtId="0" fontId="24" fillId="0" borderId="7" xfId="0" applyNumberFormat="1" applyFont="1" applyFill="1" applyBorder="1" applyAlignment="1">
      <alignment horizontal="right" vertical="center" wrapText="1"/>
    </xf>
    <xf numFmtId="0" fontId="24" fillId="0" borderId="7" xfId="0" applyFont="1" applyFill="1" applyBorder="1" applyAlignment="1">
      <alignment horizontal="center" vertical="center" shrinkToFit="1"/>
    </xf>
    <xf numFmtId="172" fontId="24" fillId="0" borderId="7" xfId="370" applyNumberFormat="1" applyFont="1" applyFill="1" applyBorder="1" applyAlignment="1">
      <alignment horizontal="center" vertical="center" wrapText="1"/>
    </xf>
    <xf numFmtId="172" fontId="60" fillId="0" borderId="7" xfId="370" applyNumberFormat="1" applyFont="1" applyFill="1" applyBorder="1" applyAlignment="1">
      <alignment horizontal="center" vertical="center" wrapText="1"/>
    </xf>
    <xf numFmtId="10" fontId="24" fillId="0" borderId="7" xfId="0" quotePrefix="1" applyNumberFormat="1" applyFont="1" applyFill="1" applyBorder="1" applyAlignment="1">
      <alignment horizontal="center" vertical="center" wrapText="1"/>
    </xf>
    <xf numFmtId="2" fontId="24" fillId="0" borderId="7" xfId="370" applyNumberFormat="1" applyFont="1" applyFill="1" applyBorder="1" applyAlignment="1">
      <alignment horizontal="center" vertical="center" wrapText="1"/>
    </xf>
    <xf numFmtId="0" fontId="73" fillId="0" borderId="7" xfId="0" quotePrefix="1" applyNumberFormat="1" applyFont="1" applyFill="1" applyBorder="1" applyAlignment="1">
      <alignment horizontal="left" vertical="center" wrapText="1"/>
    </xf>
    <xf numFmtId="0" fontId="24" fillId="0" borderId="7" xfId="370" applyNumberFormat="1" applyFont="1" applyFill="1" applyBorder="1" applyAlignment="1">
      <alignment horizontal="center" vertical="center" wrapText="1"/>
    </xf>
    <xf numFmtId="0" fontId="24" fillId="0" borderId="7" xfId="0" quotePrefix="1" applyFont="1" applyFill="1" applyBorder="1" applyAlignment="1">
      <alignment horizontal="center" vertical="center" wrapText="1"/>
    </xf>
    <xf numFmtId="0" fontId="72" fillId="0" borderId="7" xfId="0" applyNumberFormat="1" applyFont="1" applyFill="1" applyBorder="1" applyAlignment="1">
      <alignment horizontal="left" vertical="center" wrapText="1"/>
    </xf>
    <xf numFmtId="3" fontId="24" fillId="0" borderId="7" xfId="370" applyNumberFormat="1" applyFont="1" applyFill="1" applyBorder="1" applyAlignment="1" applyProtection="1">
      <alignment vertical="center" wrapText="1"/>
      <protection hidden="1"/>
    </xf>
    <xf numFmtId="3" fontId="61" fillId="0" borderId="7" xfId="370" applyNumberFormat="1" applyFont="1" applyFill="1" applyBorder="1" applyAlignment="1" applyProtection="1">
      <alignment vertical="center" wrapText="1"/>
      <protection hidden="1"/>
    </xf>
    <xf numFmtId="0" fontId="24" fillId="0" borderId="7" xfId="0" applyNumberFormat="1" applyFont="1" applyFill="1" applyBorder="1" applyAlignment="1" applyProtection="1">
      <alignment horizontal="center" vertical="center" wrapText="1"/>
      <protection hidden="1"/>
    </xf>
    <xf numFmtId="169" fontId="24" fillId="0" borderId="7" xfId="0" applyNumberFormat="1" applyFont="1" applyFill="1" applyBorder="1" applyAlignment="1">
      <alignment horizontal="center" vertical="center" wrapText="1"/>
    </xf>
    <xf numFmtId="0" fontId="98" fillId="0" borderId="7" xfId="0" quotePrefix="1" applyNumberFormat="1" applyFont="1" applyFill="1" applyBorder="1" applyAlignment="1">
      <alignment horizontal="right" vertical="center"/>
    </xf>
    <xf numFmtId="196" fontId="24" fillId="0" borderId="7" xfId="0" applyNumberFormat="1" applyFont="1" applyFill="1" applyBorder="1" applyAlignment="1">
      <alignment horizontal="center" vertical="center" wrapText="1"/>
    </xf>
    <xf numFmtId="3" fontId="72" fillId="0" borderId="7" xfId="370" applyNumberFormat="1" applyFont="1" applyFill="1" applyBorder="1" applyAlignment="1">
      <alignment vertical="center" wrapText="1"/>
    </xf>
    <xf numFmtId="0" fontId="87" fillId="0" borderId="7" xfId="0" applyNumberFormat="1" applyFont="1" applyFill="1" applyBorder="1" applyAlignment="1">
      <alignment horizontal="center" vertical="center" wrapText="1"/>
    </xf>
    <xf numFmtId="10" fontId="24" fillId="0" borderId="7" xfId="0" applyNumberFormat="1" applyFont="1" applyFill="1" applyBorder="1" applyAlignment="1">
      <alignment horizontal="center" vertical="center" wrapText="1"/>
    </xf>
    <xf numFmtId="0" fontId="60" fillId="0" borderId="7" xfId="370" applyNumberFormat="1" applyFont="1" applyFill="1" applyBorder="1" applyAlignment="1">
      <alignment horizontal="center" vertical="center" wrapText="1"/>
    </xf>
    <xf numFmtId="0" fontId="24" fillId="0" borderId="7" xfId="0" applyFont="1" applyFill="1" applyBorder="1" applyAlignment="1">
      <alignment horizontal="right" vertical="center" wrapText="1"/>
    </xf>
    <xf numFmtId="0" fontId="24" fillId="0" borderId="48" xfId="0" quotePrefix="1" applyFont="1" applyFill="1" applyBorder="1" applyAlignment="1">
      <alignment horizontal="left" vertical="center" wrapText="1"/>
    </xf>
    <xf numFmtId="0" fontId="24" fillId="0" borderId="11" xfId="0" quotePrefix="1" applyFont="1" applyFill="1" applyBorder="1" applyAlignment="1">
      <alignment horizontal="left" vertical="center" wrapText="1"/>
    </xf>
    <xf numFmtId="3" fontId="84" fillId="0" borderId="7" xfId="370" applyNumberFormat="1" applyFont="1" applyFill="1" applyBorder="1" applyAlignment="1">
      <alignment vertical="center" wrapText="1"/>
    </xf>
    <xf numFmtId="0" fontId="24" fillId="0" borderId="7" xfId="609" applyFont="1" applyFill="1" applyBorder="1" applyAlignment="1">
      <alignment horizontal="center" vertical="center" wrapText="1"/>
    </xf>
    <xf numFmtId="0" fontId="60" fillId="0" borderId="7" xfId="609" applyNumberFormat="1" applyFont="1" applyFill="1" applyBorder="1" applyAlignment="1">
      <alignment horizontal="center" vertical="center" wrapText="1"/>
    </xf>
    <xf numFmtId="49" fontId="24" fillId="0" borderId="7" xfId="0" applyNumberFormat="1" applyFont="1" applyFill="1" applyBorder="1" applyAlignment="1">
      <alignment horizontal="centerContinuous" vertical="center" wrapText="1"/>
    </xf>
    <xf numFmtId="195" fontId="24" fillId="0" borderId="7" xfId="0" applyNumberFormat="1" applyFont="1" applyFill="1" applyBorder="1" applyAlignment="1">
      <alignment horizontal="center" vertical="center" wrapText="1"/>
    </xf>
    <xf numFmtId="0" fontId="73" fillId="0" borderId="7" xfId="0" applyNumberFormat="1" applyFont="1" applyFill="1" applyBorder="1" applyAlignment="1">
      <alignment horizontal="center" vertical="center" wrapText="1"/>
    </xf>
    <xf numFmtId="195" fontId="24" fillId="0" borderId="7" xfId="0" applyNumberFormat="1" applyFont="1" applyFill="1" applyBorder="1" applyAlignment="1">
      <alignment horizontal="center" vertical="center"/>
    </xf>
    <xf numFmtId="9" fontId="24" fillId="0" borderId="7" xfId="0" quotePrefix="1" applyNumberFormat="1" applyFont="1" applyFill="1" applyBorder="1" applyAlignment="1">
      <alignment horizontal="center" vertical="center" wrapText="1"/>
    </xf>
    <xf numFmtId="196" fontId="24" fillId="0" borderId="7" xfId="370" applyNumberFormat="1" applyFont="1" applyFill="1" applyBorder="1" applyAlignment="1">
      <alignment horizontal="center" vertical="center" wrapText="1"/>
    </xf>
    <xf numFmtId="49" fontId="60" fillId="0" borderId="7" xfId="0" applyNumberFormat="1" applyFont="1" applyFill="1" applyBorder="1" applyAlignment="1">
      <alignment horizontal="centerContinuous" vertical="center" wrapText="1"/>
    </xf>
    <xf numFmtId="173" fontId="24" fillId="0" borderId="7" xfId="0" quotePrefix="1" applyNumberFormat="1" applyFont="1" applyFill="1" applyBorder="1" applyAlignment="1">
      <alignment horizontal="left" vertical="center" wrapText="1"/>
    </xf>
    <xf numFmtId="3" fontId="24" fillId="0" borderId="7" xfId="0" applyNumberFormat="1" applyFont="1" applyFill="1" applyBorder="1" applyAlignment="1">
      <alignment horizontal="center" vertical="center" wrapText="1"/>
    </xf>
    <xf numFmtId="0" fontId="60" fillId="0" borderId="7" xfId="625" applyNumberFormat="1" applyFont="1" applyFill="1" applyBorder="1" applyAlignment="1">
      <alignment horizontal="center" vertical="center" wrapText="1"/>
    </xf>
    <xf numFmtId="0" fontId="24" fillId="0" borderId="7" xfId="393" applyNumberFormat="1" applyFont="1" applyFill="1" applyBorder="1" applyAlignment="1">
      <alignment horizontal="center" vertical="center" wrapText="1"/>
    </xf>
    <xf numFmtId="3" fontId="24" fillId="0" borderId="7" xfId="0" applyNumberFormat="1" applyFont="1" applyFill="1" applyBorder="1" applyAlignment="1">
      <alignment horizontal="left" vertical="center" wrapText="1"/>
    </xf>
    <xf numFmtId="0" fontId="24" fillId="0" borderId="7" xfId="625" applyNumberFormat="1" applyFont="1" applyFill="1" applyBorder="1" applyAlignment="1">
      <alignment horizontal="center" vertical="center" wrapText="1"/>
    </xf>
    <xf numFmtId="172" fontId="24" fillId="0" borderId="0" xfId="370" applyNumberFormat="1" applyFont="1" applyFill="1" applyAlignment="1">
      <alignment vertical="center" wrapText="1"/>
    </xf>
    <xf numFmtId="176" fontId="24" fillId="0" borderId="7" xfId="625" applyNumberFormat="1" applyFont="1" applyFill="1" applyBorder="1" applyAlignment="1">
      <alignment horizontal="center" vertical="center" wrapText="1"/>
    </xf>
    <xf numFmtId="176" fontId="24" fillId="0" borderId="7" xfId="393" applyNumberFormat="1" applyFont="1" applyFill="1" applyBorder="1" applyAlignment="1">
      <alignment horizontal="center" vertical="center" wrapText="1"/>
    </xf>
    <xf numFmtId="197" fontId="24" fillId="0" borderId="7" xfId="393" applyNumberFormat="1" applyFont="1" applyFill="1" applyBorder="1" applyAlignment="1">
      <alignment horizontal="center" vertical="center" wrapText="1"/>
    </xf>
    <xf numFmtId="172" fontId="60" fillId="0" borderId="0" xfId="0" applyNumberFormat="1" applyFont="1" applyFill="1" applyAlignment="1">
      <alignment vertical="center" wrapText="1"/>
    </xf>
    <xf numFmtId="2" fontId="24" fillId="0" borderId="7" xfId="393" applyNumberFormat="1" applyFont="1" applyFill="1" applyBorder="1" applyAlignment="1">
      <alignment horizontal="center" vertical="center" wrapText="1"/>
    </xf>
    <xf numFmtId="172" fontId="24" fillId="0" borderId="48" xfId="370" applyNumberFormat="1" applyFont="1" applyFill="1" applyBorder="1" applyAlignment="1">
      <alignment vertical="center" wrapText="1"/>
    </xf>
    <xf numFmtId="172" fontId="60" fillId="0" borderId="46" xfId="370" applyNumberFormat="1" applyFont="1" applyFill="1" applyBorder="1" applyAlignment="1">
      <alignment vertical="center" wrapText="1"/>
    </xf>
    <xf numFmtId="4" fontId="236" fillId="0" borderId="30" xfId="370" applyNumberFormat="1" applyFont="1" applyFill="1" applyBorder="1" applyAlignment="1">
      <alignment horizontal="center" vertical="center" wrapText="1"/>
    </xf>
    <xf numFmtId="10" fontId="24" fillId="0" borderId="7" xfId="393" applyNumberFormat="1" applyFont="1" applyFill="1" applyBorder="1" applyAlignment="1">
      <alignment horizontal="center" vertical="center" wrapText="1"/>
    </xf>
    <xf numFmtId="0" fontId="60" fillId="0" borderId="7" xfId="0" applyFont="1" applyFill="1" applyBorder="1" applyAlignment="1">
      <alignment vertical="center" wrapText="1"/>
    </xf>
    <xf numFmtId="0" fontId="73" fillId="0" borderId="7" xfId="0" applyFont="1" applyFill="1" applyBorder="1" applyAlignment="1">
      <alignment vertical="center" wrapText="1"/>
    </xf>
    <xf numFmtId="204" fontId="24" fillId="0" borderId="7" xfId="0" applyNumberFormat="1" applyFont="1" applyFill="1" applyBorder="1" applyAlignment="1">
      <alignment horizontal="center" vertical="center" wrapText="1"/>
    </xf>
    <xf numFmtId="0" fontId="60" fillId="0" borderId="7" xfId="370" applyNumberFormat="1" applyFont="1" applyFill="1" applyBorder="1" applyAlignment="1">
      <alignment vertical="center" wrapText="1"/>
    </xf>
    <xf numFmtId="169" fontId="60" fillId="0" borderId="0" xfId="370" applyNumberFormat="1" applyFont="1" applyFill="1" applyAlignment="1">
      <alignment vertical="center" wrapText="1"/>
    </xf>
    <xf numFmtId="0" fontId="98" fillId="0" borderId="7" xfId="0" applyNumberFormat="1" applyFont="1" applyFill="1" applyBorder="1" applyAlignment="1">
      <alignment horizontal="right" vertical="center"/>
    </xf>
    <xf numFmtId="49" fontId="73" fillId="0" borderId="7" xfId="0" quotePrefix="1" applyNumberFormat="1" applyFont="1" applyFill="1" applyBorder="1" applyAlignment="1">
      <alignment horizontal="left" vertical="center"/>
    </xf>
    <xf numFmtId="0" fontId="24" fillId="0" borderId="7" xfId="597" applyNumberFormat="1" applyFont="1" applyFill="1" applyBorder="1" applyAlignment="1">
      <alignment horizontal="center" vertical="center"/>
    </xf>
    <xf numFmtId="0" fontId="24" fillId="0" borderId="11" xfId="0" applyNumberFormat="1" applyFont="1" applyFill="1" applyBorder="1" applyAlignment="1">
      <alignment horizontal="center" vertical="center"/>
    </xf>
    <xf numFmtId="215" fontId="60" fillId="0" borderId="11" xfId="0" applyNumberFormat="1" applyFont="1" applyFill="1" applyBorder="1" applyAlignment="1">
      <alignment horizontal="left" vertical="center" wrapText="1"/>
    </xf>
    <xf numFmtId="49" fontId="60" fillId="0" borderId="11" xfId="0" applyNumberFormat="1" applyFont="1" applyFill="1" applyBorder="1" applyAlignment="1">
      <alignment horizontal="center" vertical="center"/>
    </xf>
    <xf numFmtId="0" fontId="73" fillId="0" borderId="7" xfId="0" applyNumberFormat="1" applyFont="1" applyFill="1" applyBorder="1" applyAlignment="1">
      <alignment vertical="center" wrapText="1"/>
    </xf>
    <xf numFmtId="0" fontId="24" fillId="0" borderId="48" xfId="0" applyFont="1" applyFill="1" applyBorder="1" applyAlignment="1">
      <alignment horizontal="center" vertical="center" wrapText="1"/>
    </xf>
    <xf numFmtId="173" fontId="24" fillId="0" borderId="48" xfId="0" applyNumberFormat="1" applyFont="1" applyFill="1" applyBorder="1" applyAlignment="1">
      <alignment horizontal="center" vertical="center" wrapText="1"/>
    </xf>
    <xf numFmtId="0" fontId="24" fillId="0" borderId="48" xfId="0" applyNumberFormat="1" applyFont="1" applyFill="1" applyBorder="1" applyAlignment="1">
      <alignment horizontal="left" vertical="center" wrapText="1"/>
    </xf>
    <xf numFmtId="0" fontId="24" fillId="0" borderId="48" xfId="0" applyNumberFormat="1" applyFont="1" applyFill="1" applyBorder="1" applyAlignment="1">
      <alignment horizontal="center" vertical="center" wrapText="1"/>
    </xf>
    <xf numFmtId="3" fontId="24" fillId="0" borderId="48" xfId="370" applyNumberFormat="1" applyFont="1" applyFill="1" applyBorder="1" applyAlignment="1">
      <alignment vertical="center" wrapText="1"/>
    </xf>
    <xf numFmtId="0" fontId="24" fillId="0" borderId="0" xfId="0" applyNumberFormat="1" applyFont="1" applyFill="1" applyAlignment="1">
      <alignment horizontal="left" vertical="center" wrapText="1"/>
    </xf>
    <xf numFmtId="3" fontId="24" fillId="0" borderId="0" xfId="0" applyNumberFormat="1" applyFont="1" applyFill="1" applyAlignment="1">
      <alignment vertical="center" wrapText="1"/>
    </xf>
    <xf numFmtId="4" fontId="24" fillId="0" borderId="0" xfId="370" applyNumberFormat="1" applyFont="1" applyFill="1" applyAlignment="1">
      <alignment vertical="center" wrapText="1"/>
    </xf>
    <xf numFmtId="4" fontId="236" fillId="0" borderId="0" xfId="370" applyNumberFormat="1" applyFont="1" applyFill="1" applyAlignment="1">
      <alignment horizontal="center" vertical="center" wrapText="1"/>
    </xf>
    <xf numFmtId="3" fontId="24" fillId="0" borderId="7" xfId="0" applyNumberFormat="1" applyFont="1" applyFill="1" applyBorder="1" applyAlignment="1">
      <alignment vertical="top"/>
    </xf>
    <xf numFmtId="3" fontId="61" fillId="0" borderId="7" xfId="0" applyNumberFormat="1" applyFont="1" applyFill="1" applyBorder="1" applyAlignment="1">
      <alignment vertical="top"/>
    </xf>
    <xf numFmtId="3" fontId="69" fillId="0" borderId="7" xfId="0" applyNumberFormat="1" applyFont="1" applyFill="1" applyBorder="1" applyAlignment="1">
      <alignment vertical="top"/>
    </xf>
    <xf numFmtId="0" fontId="24" fillId="0" borderId="7" xfId="392" applyNumberFormat="1" applyFont="1" applyFill="1" applyBorder="1" applyAlignment="1">
      <alignment horizontal="center" vertical="top"/>
    </xf>
    <xf numFmtId="0" fontId="24" fillId="0" borderId="0" xfId="0" applyFont="1" applyFill="1" applyAlignment="1">
      <alignment vertical="top"/>
    </xf>
    <xf numFmtId="3" fontId="24" fillId="0" borderId="0" xfId="0" applyNumberFormat="1" applyFont="1" applyFill="1" applyAlignment="1">
      <alignment vertical="top"/>
    </xf>
    <xf numFmtId="0" fontId="24" fillId="0" borderId="0" xfId="0" applyFont="1" applyFill="1" applyAlignment="1">
      <alignment horizontal="center" vertical="top"/>
    </xf>
    <xf numFmtId="3" fontId="24" fillId="0" borderId="0" xfId="0" applyNumberFormat="1" applyFont="1" applyFill="1" applyAlignment="1">
      <alignment horizontal="center" vertical="top"/>
    </xf>
    <xf numFmtId="0" fontId="61" fillId="0" borderId="0" xfId="595" applyFont="1" applyFill="1" applyAlignment="1">
      <alignment vertical="center"/>
    </xf>
    <xf numFmtId="0" fontId="2" fillId="0" borderId="0" xfId="0" applyFont="1"/>
    <xf numFmtId="0" fontId="189" fillId="0" borderId="0" xfId="0" applyFont="1"/>
    <xf numFmtId="0" fontId="73" fillId="0" borderId="0" xfId="0" applyFont="1" applyFill="1" applyAlignment="1">
      <alignment vertical="center"/>
    </xf>
    <xf numFmtId="1" fontId="60" fillId="0" borderId="0" xfId="0" applyNumberFormat="1" applyFont="1" applyFill="1" applyAlignment="1">
      <alignment horizontal="center" vertical="center" wrapText="1"/>
    </xf>
    <xf numFmtId="1" fontId="24" fillId="0" borderId="0" xfId="0" applyNumberFormat="1" applyFont="1" applyFill="1" applyAlignment="1">
      <alignment horizontal="center" vertical="center"/>
    </xf>
    <xf numFmtId="1" fontId="24" fillId="0" borderId="7" xfId="596" applyNumberFormat="1" applyFont="1" applyFill="1" applyBorder="1" applyAlignment="1">
      <alignment horizontal="center" vertical="center"/>
    </xf>
    <xf numFmtId="1" fontId="24" fillId="0" borderId="39" xfId="596" applyNumberFormat="1" applyFont="1" applyFill="1" applyBorder="1" applyAlignment="1" applyProtection="1">
      <alignment horizontal="center" vertical="center"/>
    </xf>
    <xf numFmtId="0" fontId="24" fillId="0" borderId="0" xfId="604" applyFont="1" applyFill="1" applyAlignment="1">
      <alignment horizontal="center" vertical="center"/>
    </xf>
    <xf numFmtId="0" fontId="24" fillId="0" borderId="0" xfId="604" applyFont="1" applyFill="1" applyAlignment="1">
      <alignment vertical="center"/>
    </xf>
    <xf numFmtId="0" fontId="24" fillId="0" borderId="0" xfId="604" applyFont="1" applyFill="1" applyAlignment="1">
      <alignment horizontal="left" vertical="center"/>
    </xf>
    <xf numFmtId="0" fontId="24" fillId="0" borderId="0" xfId="604" applyNumberFormat="1" applyFont="1" applyFill="1" applyAlignment="1">
      <alignment vertical="center"/>
    </xf>
    <xf numFmtId="3" fontId="24" fillId="0" borderId="0" xfId="604" applyNumberFormat="1" applyFont="1" applyFill="1" applyAlignment="1">
      <alignment vertical="center"/>
    </xf>
    <xf numFmtId="176" fontId="60" fillId="14" borderId="0" xfId="604" applyNumberFormat="1" applyFont="1" applyFill="1" applyAlignment="1">
      <alignment horizontal="left" vertical="center"/>
    </xf>
    <xf numFmtId="1" fontId="60" fillId="0" borderId="7" xfId="596" applyNumberFormat="1" applyFont="1" applyFill="1" applyBorder="1" applyAlignment="1">
      <alignment horizontal="center" vertical="center"/>
    </xf>
    <xf numFmtId="1" fontId="60" fillId="0" borderId="39" xfId="596" applyNumberFormat="1" applyFont="1" applyFill="1" applyBorder="1" applyAlignment="1">
      <alignment horizontal="center" vertical="center"/>
    </xf>
    <xf numFmtId="0" fontId="74" fillId="0" borderId="0" xfId="0" applyFont="1" applyFill="1" applyAlignment="1">
      <alignment horizontal="centerContinuous" vertical="center" wrapText="1"/>
    </xf>
    <xf numFmtId="0" fontId="89" fillId="0" borderId="0" xfId="0" applyFont="1" applyFill="1" applyAlignment="1">
      <alignment horizontal="centerContinuous" vertical="center" wrapText="1"/>
    </xf>
    <xf numFmtId="0" fontId="80" fillId="0" borderId="53" xfId="0" applyFont="1" applyFill="1" applyBorder="1" applyAlignment="1">
      <alignment horizontal="center" vertical="center" wrapText="1"/>
    </xf>
    <xf numFmtId="0" fontId="24" fillId="0" borderId="0" xfId="0" applyFont="1" applyFill="1" applyBorder="1" applyAlignment="1">
      <alignment horizontal="center" vertical="center" wrapText="1"/>
    </xf>
    <xf numFmtId="0" fontId="24" fillId="0" borderId="7" xfId="0" applyFont="1" applyFill="1" applyBorder="1" applyAlignment="1" applyProtection="1">
      <alignment horizontal="left" vertical="center" wrapText="1"/>
      <protection locked="0"/>
    </xf>
    <xf numFmtId="1" fontId="24" fillId="0" borderId="35" xfId="0" applyNumberFormat="1" applyFont="1" applyFill="1" applyBorder="1" applyAlignment="1">
      <alignment horizontal="center" vertical="center"/>
    </xf>
    <xf numFmtId="0" fontId="169" fillId="0" borderId="7" xfId="0" applyNumberFormat="1" applyFont="1" applyFill="1" applyBorder="1"/>
    <xf numFmtId="3" fontId="168" fillId="0" borderId="7" xfId="0" applyNumberFormat="1" applyFont="1" applyFill="1" applyBorder="1" applyAlignment="1">
      <alignment horizontal="center"/>
    </xf>
    <xf numFmtId="0" fontId="62" fillId="0" borderId="7" xfId="0" applyNumberFormat="1" applyFont="1" applyFill="1" applyBorder="1"/>
    <xf numFmtId="0" fontId="168" fillId="0" borderId="7" xfId="0" applyNumberFormat="1" applyFont="1" applyFill="1" applyBorder="1" applyAlignment="1">
      <alignment horizontal="justify" vertical="center" wrapText="1"/>
    </xf>
    <xf numFmtId="0" fontId="8" fillId="0" borderId="7" xfId="0" applyFont="1" applyFill="1" applyBorder="1"/>
    <xf numFmtId="0" fontId="177" fillId="0" borderId="0" xfId="0" applyFont="1" applyFill="1" applyAlignment="1">
      <alignment horizontal="left"/>
    </xf>
    <xf numFmtId="0" fontId="24" fillId="0" borderId="0" xfId="587" applyFont="1" applyBorder="1" applyAlignment="1" applyProtection="1">
      <alignment horizontal="center" vertical="center"/>
      <protection locked="0"/>
    </xf>
    <xf numFmtId="3" fontId="24" fillId="26" borderId="0" xfId="587" applyNumberFormat="1" applyFont="1" applyFill="1" applyBorder="1" applyAlignment="1" applyProtection="1">
      <alignment horizontal="right" vertical="center"/>
      <protection locked="0"/>
    </xf>
    <xf numFmtId="0" fontId="24" fillId="3" borderId="7" xfId="0" applyNumberFormat="1" applyFont="1" applyFill="1" applyBorder="1" applyAlignment="1">
      <alignment horizontal="center" vertical="center" wrapText="1"/>
    </xf>
    <xf numFmtId="172" fontId="24" fillId="3" borderId="7" xfId="370" applyNumberFormat="1" applyFont="1" applyFill="1" applyBorder="1" applyAlignment="1">
      <alignment vertical="center"/>
    </xf>
    <xf numFmtId="205" fontId="24" fillId="0" borderId="7" xfId="596" applyNumberFormat="1" applyFont="1" applyFill="1" applyBorder="1" applyAlignment="1">
      <alignment horizontal="center" vertical="center"/>
    </xf>
    <xf numFmtId="0" fontId="24" fillId="3" borderId="7" xfId="0" applyNumberFormat="1" applyFont="1" applyFill="1" applyBorder="1" applyAlignment="1">
      <alignment horizontal="center" vertical="center"/>
    </xf>
    <xf numFmtId="0" fontId="162" fillId="0" borderId="34" xfId="0" applyNumberFormat="1" applyFont="1" applyFill="1" applyBorder="1" applyAlignment="1">
      <alignment horizontal="left"/>
    </xf>
    <xf numFmtId="0" fontId="162" fillId="0" borderId="39" xfId="0" applyNumberFormat="1" applyFont="1" applyFill="1" applyBorder="1" applyAlignment="1">
      <alignment horizontal="left"/>
    </xf>
    <xf numFmtId="0" fontId="162" fillId="0" borderId="33" xfId="0" applyNumberFormat="1" applyFont="1" applyFill="1" applyBorder="1" applyAlignment="1">
      <alignment horizontal="left"/>
    </xf>
    <xf numFmtId="3" fontId="160" fillId="0" borderId="7" xfId="0" applyNumberFormat="1" applyFont="1" applyFill="1" applyBorder="1"/>
    <xf numFmtId="0" fontId="161" fillId="0" borderId="7" xfId="0" quotePrefix="1" applyNumberFormat="1" applyFont="1" applyFill="1" applyBorder="1"/>
    <xf numFmtId="3" fontId="168" fillId="0" borderId="7" xfId="606" applyNumberFormat="1" applyFont="1" applyFill="1" applyBorder="1" applyAlignment="1">
      <alignment horizontal="right" vertical="center"/>
    </xf>
    <xf numFmtId="0" fontId="82" fillId="0" borderId="7" xfId="0" applyNumberFormat="1" applyFont="1" applyFill="1" applyBorder="1" applyAlignment="1">
      <alignment horizontal="center" vertical="center" wrapText="1"/>
    </xf>
    <xf numFmtId="0" fontId="24" fillId="0" borderId="7" xfId="391" applyNumberFormat="1" applyFont="1" applyFill="1" applyBorder="1" applyAlignment="1">
      <alignment horizontal="center" vertical="center"/>
    </xf>
    <xf numFmtId="0" fontId="62" fillId="0" borderId="7" xfId="380" applyNumberFormat="1" applyFont="1" applyFill="1" applyBorder="1" applyAlignment="1">
      <alignment horizontal="right" vertical="center"/>
    </xf>
    <xf numFmtId="49" fontId="24" fillId="3" borderId="7" xfId="0" applyNumberFormat="1" applyFont="1" applyFill="1" applyBorder="1" applyAlignment="1">
      <alignment horizontal="center" vertical="center"/>
    </xf>
    <xf numFmtId="3" fontId="24" fillId="3" borderId="7" xfId="380" applyNumberFormat="1" applyFont="1" applyFill="1" applyBorder="1" applyAlignment="1">
      <alignment horizontal="right" vertical="center"/>
    </xf>
    <xf numFmtId="3" fontId="60" fillId="0" borderId="49" xfId="370" applyNumberFormat="1" applyFont="1" applyFill="1" applyBorder="1" applyAlignment="1">
      <alignment vertical="center"/>
    </xf>
    <xf numFmtId="169" fontId="76" fillId="3" borderId="0" xfId="380" applyFont="1" applyFill="1"/>
    <xf numFmtId="0" fontId="24" fillId="0" borderId="50" xfId="596" applyFont="1" applyFill="1" applyBorder="1" applyAlignment="1" applyProtection="1">
      <alignment horizontal="left" vertical="center"/>
    </xf>
    <xf numFmtId="3" fontId="24" fillId="0" borderId="7" xfId="580" applyNumberFormat="1" applyFont="1" applyFill="1" applyBorder="1" applyAlignment="1">
      <alignment horizontal="left" vertical="center" wrapText="1"/>
    </xf>
    <xf numFmtId="172" fontId="24" fillId="0" borderId="48" xfId="596" applyNumberFormat="1" applyFont="1" applyFill="1" applyBorder="1" applyAlignment="1">
      <alignment horizontal="left" vertical="center"/>
    </xf>
    <xf numFmtId="0" fontId="82" fillId="0" borderId="33" xfId="596" applyNumberFormat="1" applyFont="1" applyFill="1" applyBorder="1" applyAlignment="1">
      <alignment horizontal="left" vertical="center" wrapText="1"/>
    </xf>
    <xf numFmtId="0" fontId="62" fillId="0" borderId="50" xfId="596" applyFont="1" applyFill="1" applyBorder="1" applyAlignment="1">
      <alignment horizontal="left" vertical="center"/>
    </xf>
    <xf numFmtId="3" fontId="62" fillId="0" borderId="50" xfId="370" applyNumberFormat="1" applyFont="1" applyFill="1" applyBorder="1" applyAlignment="1" applyProtection="1">
      <alignment horizontal="left" vertical="center"/>
    </xf>
    <xf numFmtId="172" fontId="24" fillId="0" borderId="11" xfId="370" applyNumberFormat="1" applyFont="1" applyFill="1" applyBorder="1" applyAlignment="1">
      <alignment vertical="center"/>
    </xf>
    <xf numFmtId="3" fontId="70" fillId="0" borderId="52" xfId="580" applyNumberFormat="1" applyFont="1" applyFill="1" applyBorder="1" applyAlignment="1">
      <alignment horizontal="right" vertical="center"/>
    </xf>
    <xf numFmtId="3" fontId="70" fillId="0" borderId="49" xfId="580" applyNumberFormat="1" applyFont="1" applyFill="1" applyBorder="1" applyAlignment="1">
      <alignment horizontal="right" vertical="center"/>
    </xf>
    <xf numFmtId="1" fontId="24" fillId="0" borderId="48" xfId="393" applyNumberFormat="1" applyFont="1" applyFill="1" applyBorder="1" applyAlignment="1">
      <alignment horizontal="center" vertical="center"/>
    </xf>
    <xf numFmtId="3" fontId="24" fillId="0" borderId="48" xfId="580" applyNumberFormat="1" applyFont="1" applyFill="1" applyBorder="1" applyAlignment="1">
      <alignment horizontal="left" vertical="center" wrapText="1"/>
    </xf>
    <xf numFmtId="0" fontId="24" fillId="0" borderId="48" xfId="0" applyFont="1" applyFill="1" applyBorder="1" applyAlignment="1">
      <alignment horizontal="center" vertical="center"/>
    </xf>
    <xf numFmtId="4" fontId="24" fillId="0" borderId="48" xfId="393" applyNumberFormat="1" applyFont="1" applyFill="1" applyBorder="1" applyAlignment="1">
      <alignment vertical="center"/>
    </xf>
    <xf numFmtId="3" fontId="24" fillId="0" borderId="48" xfId="370" applyNumberFormat="1" applyFont="1" applyFill="1" applyBorder="1" applyAlignment="1">
      <alignment vertical="center"/>
    </xf>
    <xf numFmtId="3" fontId="60" fillId="0" borderId="48" xfId="580" applyNumberFormat="1" applyFont="1" applyFill="1" applyBorder="1" applyAlignment="1">
      <alignment horizontal="left" vertical="center" wrapText="1"/>
    </xf>
    <xf numFmtId="3" fontId="60" fillId="0" borderId="48" xfId="393" applyNumberFormat="1" applyFont="1" applyFill="1" applyBorder="1" applyAlignment="1">
      <alignment vertical="center"/>
    </xf>
    <xf numFmtId="0" fontId="24" fillId="0" borderId="38" xfId="596" applyFont="1" applyFill="1" applyBorder="1" applyAlignment="1">
      <alignment horizontal="center" vertical="center"/>
    </xf>
    <xf numFmtId="0" fontId="24" fillId="0" borderId="39" xfId="596" applyFont="1" applyFill="1" applyBorder="1" applyAlignment="1">
      <alignment horizontal="center" vertical="center"/>
    </xf>
    <xf numFmtId="0" fontId="24" fillId="0" borderId="50" xfId="596" applyFont="1" applyFill="1" applyBorder="1" applyAlignment="1">
      <alignment horizontal="center" vertical="center"/>
    </xf>
    <xf numFmtId="0" fontId="24" fillId="0" borderId="34" xfId="596" applyFont="1" applyFill="1" applyBorder="1" applyAlignment="1">
      <alignment horizontal="center" vertical="center"/>
    </xf>
    <xf numFmtId="0" fontId="60" fillId="0" borderId="49" xfId="596" applyFont="1" applyFill="1" applyBorder="1" applyAlignment="1">
      <alignment horizontal="left" vertical="center"/>
    </xf>
    <xf numFmtId="0" fontId="24" fillId="0" borderId="50" xfId="596" applyFont="1" applyFill="1" applyBorder="1" applyAlignment="1">
      <alignment horizontal="left" vertical="center" wrapText="1"/>
    </xf>
    <xf numFmtId="0" fontId="24" fillId="0" borderId="40" xfId="596" applyFont="1" applyFill="1" applyBorder="1" applyAlignment="1">
      <alignment horizontal="right" vertical="center"/>
    </xf>
    <xf numFmtId="3" fontId="60" fillId="3" borderId="33" xfId="370" applyNumberFormat="1" applyFont="1" applyFill="1" applyBorder="1" applyAlignment="1">
      <alignment vertical="center"/>
    </xf>
    <xf numFmtId="172" fontId="60" fillId="0" borderId="18" xfId="370" applyNumberFormat="1" applyFont="1" applyFill="1" applyBorder="1" applyAlignment="1">
      <alignment vertical="center"/>
    </xf>
    <xf numFmtId="172" fontId="24" fillId="0" borderId="18" xfId="596" applyNumberFormat="1" applyFont="1" applyFill="1" applyBorder="1" applyAlignment="1">
      <alignment horizontal="left" vertical="center" shrinkToFit="1"/>
    </xf>
    <xf numFmtId="0" fontId="24" fillId="0" borderId="0" xfId="575" applyNumberFormat="1" applyFont="1" applyFill="1" applyBorder="1" applyAlignment="1">
      <alignment vertical="center"/>
    </xf>
    <xf numFmtId="0" fontId="24" fillId="0" borderId="48" xfId="587" applyFont="1" applyBorder="1" applyAlignment="1" applyProtection="1">
      <alignment horizontal="left" vertical="center" wrapText="1"/>
      <protection locked="0"/>
    </xf>
    <xf numFmtId="0" fontId="24" fillId="0" borderId="0" xfId="587" applyFont="1" applyBorder="1" applyAlignment="1" applyProtection="1">
      <alignment horizontal="left" vertical="center" wrapText="1"/>
      <protection locked="0"/>
    </xf>
    <xf numFmtId="0" fontId="24" fillId="0" borderId="0" xfId="570" applyNumberFormat="1" applyFont="1" applyFill="1" applyAlignment="1">
      <alignment horizontal="left" vertical="center" wrapText="1"/>
    </xf>
    <xf numFmtId="1" fontId="24" fillId="0" borderId="0" xfId="413" applyNumberFormat="1" applyFont="1" applyFill="1" applyAlignment="1">
      <alignment horizontal="left" vertical="center"/>
    </xf>
    <xf numFmtId="172" fontId="60" fillId="0" borderId="7" xfId="370" applyNumberFormat="1" applyFont="1" applyFill="1" applyBorder="1" applyAlignment="1">
      <alignment vertical="center" wrapText="1"/>
    </xf>
    <xf numFmtId="0" fontId="60" fillId="0" borderId="27" xfId="0" applyFont="1" applyFill="1" applyBorder="1" applyAlignment="1">
      <alignment horizontal="center" vertical="top" wrapText="1"/>
    </xf>
    <xf numFmtId="0" fontId="60" fillId="0" borderId="27" xfId="0" applyFont="1" applyFill="1" applyBorder="1" applyAlignment="1">
      <alignment horizontal="center" vertical="center" wrapText="1"/>
    </xf>
    <xf numFmtId="173" fontId="60" fillId="0" borderId="27" xfId="0" applyNumberFormat="1" applyFont="1" applyFill="1" applyBorder="1" applyAlignment="1">
      <alignment horizontal="center" vertical="center" wrapText="1"/>
    </xf>
    <xf numFmtId="0" fontId="60" fillId="0" borderId="27" xfId="0" applyNumberFormat="1" applyFont="1" applyFill="1" applyBorder="1" applyAlignment="1">
      <alignment horizontal="center" vertical="center" wrapText="1"/>
    </xf>
    <xf numFmtId="0" fontId="60" fillId="0" borderId="8" xfId="0" applyNumberFormat="1" applyFont="1" applyFill="1" applyBorder="1" applyAlignment="1">
      <alignment horizontal="center" vertical="center" wrapText="1"/>
    </xf>
    <xf numFmtId="172" fontId="60" fillId="0" borderId="8" xfId="370" applyNumberFormat="1" applyFont="1" applyFill="1" applyBorder="1" applyAlignment="1">
      <alignment horizontal="center" vertical="center" wrapText="1"/>
    </xf>
    <xf numFmtId="172" fontId="60" fillId="0" borderId="11" xfId="370" applyNumberFormat="1" applyFont="1" applyFill="1" applyBorder="1" applyAlignment="1">
      <alignment vertical="center" wrapText="1"/>
    </xf>
    <xf numFmtId="0" fontId="60" fillId="0" borderId="8" xfId="0" applyFont="1" applyFill="1" applyBorder="1" applyAlignment="1">
      <alignment horizontal="center" vertical="top" wrapText="1"/>
    </xf>
    <xf numFmtId="0" fontId="24" fillId="0" borderId="35" xfId="370" applyNumberFormat="1" applyFont="1" applyFill="1" applyBorder="1" applyAlignment="1">
      <alignment vertical="center"/>
    </xf>
    <xf numFmtId="0" fontId="24" fillId="0" borderId="8" xfId="0" applyFont="1" applyFill="1" applyBorder="1" applyAlignment="1">
      <alignment horizontal="center" vertical="center" wrapText="1"/>
    </xf>
    <xf numFmtId="169" fontId="24" fillId="0" borderId="0" xfId="0" applyNumberFormat="1" applyFont="1" applyFill="1" applyAlignment="1">
      <alignment vertical="center" wrapText="1"/>
    </xf>
    <xf numFmtId="169" fontId="72" fillId="0" borderId="0" xfId="0" applyNumberFormat="1" applyFont="1" applyFill="1" applyAlignment="1">
      <alignment vertical="center" wrapText="1"/>
    </xf>
    <xf numFmtId="169" fontId="24" fillId="0" borderId="7" xfId="0" applyNumberFormat="1" applyFont="1" applyFill="1" applyBorder="1" applyAlignment="1">
      <alignment vertical="center"/>
    </xf>
    <xf numFmtId="169" fontId="24" fillId="0" borderId="7" xfId="0" applyNumberFormat="1" applyFont="1" applyFill="1" applyBorder="1" applyAlignment="1">
      <alignment vertical="center" wrapText="1"/>
    </xf>
    <xf numFmtId="169" fontId="24" fillId="0" borderId="7" xfId="0" applyNumberFormat="1" applyFont="1" applyFill="1" applyBorder="1" applyAlignment="1">
      <alignment horizontal="left" vertical="center"/>
    </xf>
    <xf numFmtId="169" fontId="24" fillId="0" borderId="7" xfId="0" applyNumberFormat="1" applyFont="1" applyFill="1" applyBorder="1"/>
    <xf numFmtId="169" fontId="24" fillId="0" borderId="48" xfId="0" applyNumberFormat="1" applyFont="1" applyFill="1" applyBorder="1" applyAlignment="1">
      <alignment vertical="center"/>
    </xf>
    <xf numFmtId="169" fontId="24" fillId="0" borderId="35" xfId="0" applyNumberFormat="1" applyFont="1" applyFill="1" applyBorder="1" applyAlignment="1">
      <alignment vertical="center"/>
    </xf>
    <xf numFmtId="172" fontId="24" fillId="0" borderId="7" xfId="0" applyNumberFormat="1" applyFont="1" applyFill="1" applyBorder="1" applyAlignment="1">
      <alignment horizontal="left" vertical="center"/>
    </xf>
    <xf numFmtId="172" fontId="45" fillId="0" borderId="30" xfId="380" applyNumberFormat="1" applyFont="1" applyFill="1" applyBorder="1"/>
    <xf numFmtId="0" fontId="45" fillId="0" borderId="35" xfId="566" applyFont="1" applyFill="1" applyBorder="1" applyAlignment="1">
      <alignment wrapText="1"/>
    </xf>
    <xf numFmtId="0" fontId="191" fillId="0" borderId="8" xfId="566" applyFont="1" applyFill="1" applyBorder="1" applyAlignment="1">
      <alignment horizontal="center" vertical="center"/>
    </xf>
    <xf numFmtId="0" fontId="191" fillId="0" borderId="8" xfId="566" applyFont="1" applyFill="1" applyBorder="1" applyAlignment="1">
      <alignment horizontal="center" vertical="center" wrapText="1"/>
    </xf>
    <xf numFmtId="172" fontId="191" fillId="0" borderId="8" xfId="393" applyNumberFormat="1" applyFont="1" applyFill="1" applyBorder="1" applyAlignment="1">
      <alignment horizontal="center" vertical="center"/>
    </xf>
    <xf numFmtId="0" fontId="240" fillId="0" borderId="8" xfId="0" applyFont="1" applyBorder="1"/>
    <xf numFmtId="3" fontId="73" fillId="0" borderId="8" xfId="604" applyNumberFormat="1" applyFont="1" applyFill="1" applyBorder="1" applyAlignment="1">
      <alignment horizontal="centerContinuous" vertical="center" wrapText="1"/>
    </xf>
    <xf numFmtId="0" fontId="76" fillId="0" borderId="27" xfId="604" applyFont="1" applyFill="1" applyBorder="1" applyAlignment="1">
      <alignment horizontal="center" vertical="center" wrapText="1"/>
    </xf>
    <xf numFmtId="0" fontId="73" fillId="0" borderId="0" xfId="0" applyFont="1"/>
    <xf numFmtId="0" fontId="24" fillId="0" borderId="0" xfId="0" applyFont="1" applyAlignment="1"/>
    <xf numFmtId="0" fontId="24" fillId="0" borderId="0" xfId="0" applyFont="1" applyFill="1" applyBorder="1" applyAlignment="1"/>
    <xf numFmtId="169" fontId="60" fillId="0" borderId="30" xfId="370" applyFont="1" applyFill="1" applyBorder="1" applyAlignment="1">
      <alignment horizontal="center" vertical="center"/>
    </xf>
    <xf numFmtId="4" fontId="60" fillId="0" borderId="30" xfId="370" applyNumberFormat="1" applyFont="1" applyFill="1" applyBorder="1" applyAlignment="1">
      <alignment horizontal="center" vertical="center"/>
    </xf>
    <xf numFmtId="3" fontId="60" fillId="0" borderId="27" xfId="370" applyNumberFormat="1" applyFont="1" applyFill="1" applyBorder="1" applyAlignment="1">
      <alignment horizontal="center" vertical="center"/>
    </xf>
    <xf numFmtId="0" fontId="73" fillId="0" borderId="8" xfId="0" applyFont="1" applyFill="1" applyBorder="1" applyAlignment="1">
      <alignment horizontal="center" vertical="center"/>
    </xf>
    <xf numFmtId="4" fontId="73" fillId="0" borderId="8" xfId="370" applyNumberFormat="1" applyFont="1" applyFill="1" applyBorder="1" applyAlignment="1">
      <alignment horizontal="center" vertical="center"/>
    </xf>
    <xf numFmtId="3" fontId="73" fillId="0" borderId="8" xfId="370" applyNumberFormat="1" applyFont="1" applyFill="1" applyBorder="1" applyAlignment="1">
      <alignment horizontal="center" vertical="center"/>
    </xf>
    <xf numFmtId="0" fontId="73" fillId="0" borderId="8" xfId="0" applyFont="1" applyFill="1" applyBorder="1" applyAlignment="1">
      <alignment horizontal="center" vertical="top"/>
    </xf>
    <xf numFmtId="0" fontId="73" fillId="0" borderId="8" xfId="370" applyNumberFormat="1" applyFont="1" applyFill="1" applyBorder="1" applyAlignment="1">
      <alignment horizontal="center" vertical="top"/>
    </xf>
    <xf numFmtId="3" fontId="73" fillId="0" borderId="8" xfId="370" applyNumberFormat="1" applyFont="1" applyFill="1" applyBorder="1" applyAlignment="1">
      <alignment horizontal="center" vertical="top"/>
    </xf>
    <xf numFmtId="3" fontId="73" fillId="0" borderId="8" xfId="391" applyNumberFormat="1" applyFont="1" applyFill="1" applyBorder="1" applyAlignment="1">
      <alignment horizontal="center" vertical="top"/>
    </xf>
    <xf numFmtId="0" fontId="73" fillId="0" borderId="8" xfId="0" applyNumberFormat="1" applyFont="1" applyFill="1" applyBorder="1" applyAlignment="1">
      <alignment horizontal="center" vertical="top" wrapText="1"/>
    </xf>
    <xf numFmtId="0" fontId="73" fillId="0" borderId="8" xfId="0" applyFont="1" applyFill="1" applyBorder="1" applyAlignment="1">
      <alignment horizontal="center" vertical="top" wrapText="1" shrinkToFit="1"/>
    </xf>
    <xf numFmtId="0" fontId="61" fillId="0" borderId="11" xfId="0" applyFont="1" applyFill="1" applyBorder="1" applyAlignment="1">
      <alignment vertical="center"/>
    </xf>
    <xf numFmtId="172" fontId="60" fillId="0" borderId="11" xfId="370" applyNumberFormat="1" applyFont="1" applyFill="1" applyBorder="1" applyAlignment="1">
      <alignment vertical="center"/>
    </xf>
    <xf numFmtId="1" fontId="60" fillId="0" borderId="27" xfId="370" applyNumberFormat="1" applyFont="1" applyFill="1" applyBorder="1" applyAlignment="1">
      <alignment horizontal="center" vertical="center"/>
    </xf>
    <xf numFmtId="169" fontId="60" fillId="0" borderId="27" xfId="370" applyFont="1" applyFill="1" applyBorder="1" applyAlignment="1">
      <alignment vertical="center"/>
    </xf>
    <xf numFmtId="169" fontId="60" fillId="0" borderId="27" xfId="370" applyFont="1" applyFill="1" applyBorder="1" applyAlignment="1">
      <alignment vertical="center" wrapText="1"/>
    </xf>
    <xf numFmtId="1" fontId="24" fillId="0" borderId="11" xfId="0" applyNumberFormat="1" applyFont="1" applyFill="1" applyBorder="1" applyAlignment="1">
      <alignment horizontal="center" vertical="center"/>
    </xf>
    <xf numFmtId="0" fontId="60" fillId="0" borderId="11" xfId="370" applyNumberFormat="1" applyFont="1" applyFill="1" applyBorder="1" applyAlignment="1">
      <alignment vertical="center"/>
    </xf>
    <xf numFmtId="0" fontId="24" fillId="0" borderId="11" xfId="370" applyNumberFormat="1" applyFont="1" applyFill="1" applyBorder="1" applyAlignment="1">
      <alignment vertical="center"/>
    </xf>
    <xf numFmtId="0" fontId="24" fillId="0" borderId="11" xfId="0" applyFont="1" applyFill="1" applyBorder="1" applyAlignment="1">
      <alignment vertical="center"/>
    </xf>
    <xf numFmtId="169" fontId="24" fillId="0" borderId="11" xfId="0" applyNumberFormat="1" applyFont="1" applyFill="1" applyBorder="1" applyAlignment="1">
      <alignment vertical="center"/>
    </xf>
    <xf numFmtId="169" fontId="60" fillId="0" borderId="8" xfId="370" applyFont="1" applyFill="1" applyBorder="1" applyAlignment="1">
      <alignment vertical="center"/>
    </xf>
    <xf numFmtId="169" fontId="60" fillId="0" borderId="8" xfId="370" applyFont="1" applyFill="1" applyBorder="1" applyAlignment="1">
      <alignment vertical="center" wrapText="1"/>
    </xf>
    <xf numFmtId="169" fontId="60" fillId="0" borderId="8" xfId="370" applyNumberFormat="1" applyFont="1" applyFill="1" applyBorder="1" applyAlignment="1">
      <alignment vertical="center"/>
    </xf>
    <xf numFmtId="0" fontId="73" fillId="0" borderId="8" xfId="0" applyFont="1" applyFill="1" applyBorder="1" applyAlignment="1">
      <alignment horizontal="centerContinuous" vertical="center" wrapText="1"/>
    </xf>
    <xf numFmtId="0" fontId="73" fillId="0" borderId="45" xfId="0" applyFont="1" applyFill="1" applyBorder="1" applyAlignment="1">
      <alignment horizontal="center" vertical="center" wrapText="1"/>
    </xf>
    <xf numFmtId="3" fontId="73" fillId="0" borderId="45" xfId="370" applyNumberFormat="1" applyFont="1" applyFill="1" applyBorder="1" applyAlignment="1">
      <alignment horizontal="center" vertical="center" wrapText="1"/>
    </xf>
    <xf numFmtId="3" fontId="73" fillId="0" borderId="8" xfId="370" applyNumberFormat="1" applyFont="1" applyFill="1" applyBorder="1" applyAlignment="1">
      <alignment horizontal="center" vertical="center" wrapText="1"/>
    </xf>
    <xf numFmtId="3" fontId="73" fillId="0" borderId="8" xfId="0" applyNumberFormat="1" applyFont="1" applyFill="1" applyBorder="1" applyAlignment="1">
      <alignment horizontal="center" vertical="center" wrapText="1"/>
    </xf>
    <xf numFmtId="0" fontId="73" fillId="0" borderId="45" xfId="0" applyFont="1" applyFill="1" applyBorder="1" applyAlignment="1">
      <alignment horizontal="left" vertical="center" wrapText="1"/>
    </xf>
    <xf numFmtId="2" fontId="60" fillId="0" borderId="30" xfId="370" applyNumberFormat="1" applyFont="1" applyFill="1" applyBorder="1" applyAlignment="1">
      <alignment horizontal="center" vertical="center"/>
    </xf>
    <xf numFmtId="3" fontId="75" fillId="0" borderId="30" xfId="370" applyNumberFormat="1" applyFont="1" applyFill="1" applyBorder="1" applyAlignment="1">
      <alignment horizontal="center" vertical="center"/>
    </xf>
    <xf numFmtId="0" fontId="73" fillId="0" borderId="8" xfId="596" applyFont="1" applyFill="1" applyBorder="1" applyAlignment="1">
      <alignment horizontal="center" vertical="center"/>
    </xf>
    <xf numFmtId="0" fontId="73" fillId="0" borderId="45" xfId="596" applyFont="1" applyFill="1" applyBorder="1" applyAlignment="1">
      <alignment horizontal="center" vertical="center"/>
    </xf>
    <xf numFmtId="2" fontId="73" fillId="0" borderId="45" xfId="370" applyNumberFormat="1" applyFont="1" applyFill="1" applyBorder="1" applyAlignment="1">
      <alignment horizontal="center" vertical="center" wrapText="1"/>
    </xf>
    <xf numFmtId="0" fontId="73" fillId="0" borderId="45" xfId="596" applyFont="1" applyFill="1" applyBorder="1" applyAlignment="1">
      <alignment horizontal="center" vertical="center" wrapText="1"/>
    </xf>
    <xf numFmtId="2" fontId="73" fillId="0" borderId="45" xfId="370" applyNumberFormat="1" applyFont="1" applyFill="1" applyBorder="1" applyAlignment="1">
      <alignment horizontal="center" vertical="center"/>
    </xf>
    <xf numFmtId="0" fontId="73" fillId="0" borderId="46" xfId="596" applyFont="1" applyFill="1" applyBorder="1" applyAlignment="1">
      <alignment horizontal="center" vertical="center"/>
    </xf>
    <xf numFmtId="0" fontId="73" fillId="0" borderId="46" xfId="596" applyNumberFormat="1" applyFont="1" applyFill="1" applyBorder="1" applyAlignment="1">
      <alignment horizontal="center" vertical="center"/>
    </xf>
    <xf numFmtId="172" fontId="73" fillId="0" borderId="45" xfId="370" applyNumberFormat="1" applyFont="1" applyFill="1" applyBorder="1" applyAlignment="1">
      <alignment horizontal="center" vertical="center" shrinkToFit="1"/>
    </xf>
    <xf numFmtId="0" fontId="73" fillId="0" borderId="0" xfId="596" applyFont="1" applyFill="1" applyAlignment="1">
      <alignment horizontal="center" vertical="center"/>
    </xf>
    <xf numFmtId="0" fontId="60" fillId="0" borderId="9" xfId="596" applyFont="1" applyFill="1" applyBorder="1" applyAlignment="1">
      <alignment horizontal="centerContinuous" vertical="center" wrapText="1"/>
    </xf>
    <xf numFmtId="0" fontId="60" fillId="0" borderId="0" xfId="596" applyFont="1" applyFill="1" applyBorder="1" applyAlignment="1">
      <alignment horizontal="centerContinuous" vertical="center" wrapText="1"/>
    </xf>
    <xf numFmtId="0" fontId="60" fillId="0" borderId="0" xfId="596" applyFont="1" applyFill="1" applyBorder="1" applyAlignment="1">
      <alignment horizontal="centerContinuous" vertical="center"/>
    </xf>
    <xf numFmtId="0" fontId="60" fillId="0" borderId="44" xfId="596" applyFont="1" applyFill="1" applyBorder="1" applyAlignment="1">
      <alignment horizontal="centerContinuous" vertical="center"/>
    </xf>
    <xf numFmtId="0" fontId="60" fillId="0" borderId="0" xfId="596" applyNumberFormat="1" applyFont="1" applyFill="1" applyBorder="1" applyAlignment="1">
      <alignment horizontal="centerContinuous" vertical="center"/>
    </xf>
    <xf numFmtId="0" fontId="192" fillId="0" borderId="49" xfId="596" applyNumberFormat="1" applyFont="1" applyFill="1" applyBorder="1" applyAlignment="1">
      <alignment horizontal="center" vertical="center" shrinkToFit="1"/>
    </xf>
    <xf numFmtId="0" fontId="192" fillId="0" borderId="33" xfId="596" applyNumberFormat="1" applyFont="1" applyFill="1" applyBorder="1" applyAlignment="1">
      <alignment horizontal="center" vertical="center" shrinkToFit="1"/>
    </xf>
    <xf numFmtId="0" fontId="192" fillId="0" borderId="33" xfId="596" applyNumberFormat="1" applyFont="1" applyFill="1" applyBorder="1" applyAlignment="1">
      <alignment horizontal="left" vertical="center" wrapText="1"/>
    </xf>
    <xf numFmtId="169" fontId="60" fillId="0" borderId="27" xfId="370" applyFont="1" applyFill="1" applyBorder="1" applyAlignment="1">
      <alignment horizontal="center" vertical="center" wrapText="1"/>
    </xf>
    <xf numFmtId="169" fontId="60" fillId="0" borderId="27" xfId="370" applyNumberFormat="1" applyFont="1" applyFill="1" applyBorder="1" applyAlignment="1">
      <alignment horizontal="center" vertical="center"/>
    </xf>
    <xf numFmtId="169" fontId="24" fillId="0" borderId="0" xfId="0" applyNumberFormat="1" applyFont="1" applyFill="1" applyAlignment="1">
      <alignment horizontal="centerContinuous" vertical="center" wrapText="1"/>
    </xf>
    <xf numFmtId="0" fontId="73" fillId="0" borderId="8" xfId="0" applyFont="1" applyFill="1" applyBorder="1" applyAlignment="1">
      <alignment horizontal="centerContinuous" vertical="top"/>
    </xf>
    <xf numFmtId="0" fontId="73" fillId="0" borderId="45" xfId="0" applyFont="1" applyFill="1" applyBorder="1" applyAlignment="1">
      <alignment horizontal="centerContinuous" vertical="top"/>
    </xf>
    <xf numFmtId="0" fontId="162" fillId="0" borderId="7" xfId="0" applyFont="1" applyFill="1" applyBorder="1" applyAlignment="1">
      <alignment horizontal="center" vertical="center" wrapText="1"/>
    </xf>
    <xf numFmtId="0" fontId="161" fillId="0" borderId="7" xfId="0" applyNumberFormat="1" applyFont="1" applyFill="1" applyBorder="1" applyAlignment="1">
      <alignment horizontal="left" vertical="center" wrapText="1"/>
    </xf>
    <xf numFmtId="0" fontId="162" fillId="0" borderId="7" xfId="0" applyFont="1" applyFill="1" applyBorder="1"/>
    <xf numFmtId="0" fontId="162" fillId="0" borderId="7" xfId="0" applyNumberFormat="1" applyFont="1" applyFill="1" applyBorder="1" applyAlignment="1">
      <alignment horizontal="left"/>
    </xf>
    <xf numFmtId="0" fontId="156" fillId="0" borderId="7" xfId="0" applyFont="1" applyFill="1" applyBorder="1" applyAlignment="1">
      <alignment horizontal="right"/>
    </xf>
    <xf numFmtId="172" fontId="156" fillId="0" borderId="11" xfId="370" applyNumberFormat="1" applyFont="1" applyFill="1" applyBorder="1" applyAlignment="1">
      <alignment vertical="center"/>
    </xf>
    <xf numFmtId="0" fontId="155" fillId="0" borderId="11" xfId="0" applyFont="1" applyFill="1" applyBorder="1" applyAlignment="1">
      <alignment horizontal="center"/>
    </xf>
    <xf numFmtId="3" fontId="161" fillId="0" borderId="11" xfId="0" applyNumberFormat="1" applyFont="1" applyFill="1" applyBorder="1" applyAlignment="1">
      <alignment horizontal="center"/>
    </xf>
    <xf numFmtId="3" fontId="161" fillId="0" borderId="11" xfId="0" applyNumberFormat="1" applyFont="1" applyFill="1" applyBorder="1"/>
    <xf numFmtId="0" fontId="24" fillId="3" borderId="7" xfId="0" applyFont="1" applyFill="1" applyBorder="1" applyAlignment="1">
      <alignment horizontal="center" vertical="center" wrapText="1"/>
    </xf>
    <xf numFmtId="0" fontId="73" fillId="0" borderId="30" xfId="596" applyFont="1" applyFill="1" applyBorder="1" applyAlignment="1">
      <alignment horizontal="center" vertical="center"/>
    </xf>
    <xf numFmtId="0" fontId="73" fillId="0" borderId="44" xfId="596" applyFont="1" applyFill="1" applyBorder="1" applyAlignment="1">
      <alignment horizontal="center" vertical="center"/>
    </xf>
    <xf numFmtId="2" fontId="73" fillId="0" borderId="44" xfId="370" applyNumberFormat="1" applyFont="1" applyFill="1" applyBorder="1" applyAlignment="1">
      <alignment horizontal="center" vertical="center" wrapText="1"/>
    </xf>
    <xf numFmtId="0" fontId="73" fillId="0" borderId="44" xfId="596" applyFont="1" applyFill="1" applyBorder="1" applyAlignment="1">
      <alignment horizontal="center" vertical="center" wrapText="1"/>
    </xf>
    <xf numFmtId="2" fontId="73" fillId="0" borderId="44" xfId="370" applyNumberFormat="1" applyFont="1" applyFill="1" applyBorder="1" applyAlignment="1">
      <alignment horizontal="center" vertical="center"/>
    </xf>
    <xf numFmtId="172" fontId="73" fillId="0" borderId="44" xfId="370" applyNumberFormat="1" applyFont="1" applyFill="1" applyBorder="1" applyAlignment="1">
      <alignment horizontal="center" vertical="center" shrinkToFit="1"/>
    </xf>
    <xf numFmtId="0" fontId="60" fillId="0" borderId="44" xfId="596" applyFont="1" applyFill="1" applyBorder="1" applyAlignment="1">
      <alignment horizontal="left" vertical="center"/>
    </xf>
    <xf numFmtId="0" fontId="24" fillId="0" borderId="49" xfId="596" applyFont="1" applyFill="1" applyBorder="1" applyAlignment="1">
      <alignment horizontal="center" vertical="center" wrapText="1"/>
    </xf>
    <xf numFmtId="0" fontId="45" fillId="0" borderId="0" xfId="580" applyFont="1" applyAlignment="1">
      <alignment horizontal="centerContinuous"/>
    </xf>
    <xf numFmtId="3" fontId="60" fillId="0" borderId="8" xfId="393" applyNumberFormat="1" applyFont="1" applyFill="1" applyBorder="1" applyAlignment="1">
      <alignment horizontal="center" vertical="center" wrapText="1"/>
    </xf>
    <xf numFmtId="0" fontId="155" fillId="3" borderId="7" xfId="0" applyFont="1" applyFill="1" applyBorder="1" applyAlignment="1">
      <alignment horizontal="center"/>
    </xf>
    <xf numFmtId="0" fontId="158" fillId="3" borderId="7" xfId="0" applyNumberFormat="1" applyFont="1" applyFill="1" applyBorder="1"/>
    <xf numFmtId="0" fontId="161" fillId="3" borderId="7" xfId="0" applyFont="1" applyFill="1" applyBorder="1" applyAlignment="1">
      <alignment horizontal="center"/>
    </xf>
    <xf numFmtId="3" fontId="161" fillId="3" borderId="7" xfId="0" applyNumberFormat="1" applyFont="1" applyFill="1" applyBorder="1" applyAlignment="1">
      <alignment horizontal="right"/>
    </xf>
    <xf numFmtId="3" fontId="161" fillId="3" borderId="7" xfId="0" applyNumberFormat="1" applyFont="1" applyFill="1" applyBorder="1"/>
    <xf numFmtId="3" fontId="158" fillId="3" borderId="7" xfId="0" applyNumberFormat="1" applyFont="1" applyFill="1" applyBorder="1" applyAlignment="1">
      <alignment horizontal="right"/>
    </xf>
    <xf numFmtId="0" fontId="157" fillId="3" borderId="7" xfId="0" applyFont="1" applyFill="1" applyBorder="1" applyAlignment="1">
      <alignment horizontal="center"/>
    </xf>
    <xf numFmtId="0" fontId="161" fillId="3" borderId="7" xfId="0" applyNumberFormat="1" applyFont="1" applyFill="1" applyBorder="1"/>
    <xf numFmtId="0" fontId="161" fillId="3" borderId="7" xfId="0" applyNumberFormat="1" applyFont="1" applyFill="1" applyBorder="1" applyAlignment="1">
      <alignment horizontal="center"/>
    </xf>
    <xf numFmtId="0" fontId="162" fillId="3" borderId="7" xfId="0" applyNumberFormat="1" applyFont="1" applyFill="1" applyBorder="1"/>
    <xf numFmtId="0" fontId="165" fillId="3" borderId="7" xfId="0" applyFont="1" applyFill="1" applyBorder="1" applyAlignment="1">
      <alignment horizontal="center"/>
    </xf>
    <xf numFmtId="0" fontId="162" fillId="3" borderId="7" xfId="0" applyNumberFormat="1" applyFont="1" applyFill="1" applyBorder="1" applyAlignment="1">
      <alignment horizontal="justify"/>
    </xf>
    <xf numFmtId="0" fontId="156" fillId="3" borderId="7" xfId="0" applyFont="1" applyFill="1" applyBorder="1" applyAlignment="1">
      <alignment horizontal="justify"/>
    </xf>
    <xf numFmtId="0" fontId="156" fillId="3" borderId="7" xfId="0" applyFont="1" applyFill="1" applyBorder="1" applyAlignment="1">
      <alignment horizontal="center"/>
    </xf>
    <xf numFmtId="3" fontId="156" fillId="3" borderId="7" xfId="0" applyNumberFormat="1" applyFont="1" applyFill="1" applyBorder="1"/>
    <xf numFmtId="0" fontId="156" fillId="3" borderId="7" xfId="0" applyNumberFormat="1" applyFont="1" applyFill="1" applyBorder="1"/>
    <xf numFmtId="0" fontId="156" fillId="3" borderId="7" xfId="0" applyNumberFormat="1" applyFont="1" applyFill="1" applyBorder="1" applyAlignment="1">
      <alignment horizontal="center"/>
    </xf>
    <xf numFmtId="0" fontId="159" fillId="3" borderId="7" xfId="0" applyFont="1" applyFill="1" applyBorder="1" applyAlignment="1">
      <alignment horizontal="center"/>
    </xf>
    <xf numFmtId="0" fontId="161" fillId="8" borderId="7" xfId="0" applyNumberFormat="1" applyFont="1" applyFill="1" applyBorder="1"/>
    <xf numFmtId="0" fontId="161" fillId="8" borderId="7" xfId="0" applyNumberFormat="1" applyFont="1" applyFill="1" applyBorder="1" applyAlignment="1">
      <alignment horizontal="center"/>
    </xf>
    <xf numFmtId="0" fontId="161" fillId="8" borderId="7" xfId="0" applyFont="1" applyFill="1" applyBorder="1" applyAlignment="1">
      <alignment horizontal="center"/>
    </xf>
    <xf numFmtId="3" fontId="161" fillId="8" borderId="7" xfId="0" applyNumberFormat="1" applyFont="1" applyFill="1" applyBorder="1" applyAlignment="1">
      <alignment horizontal="right"/>
    </xf>
    <xf numFmtId="0" fontId="158" fillId="3" borderId="11" xfId="0" applyNumberFormat="1" applyFont="1" applyFill="1" applyBorder="1"/>
    <xf numFmtId="0" fontId="161" fillId="3" borderId="11" xfId="0" applyFont="1" applyFill="1" applyBorder="1" applyAlignment="1">
      <alignment horizontal="center"/>
    </xf>
    <xf numFmtId="3" fontId="161" fillId="3" borderId="11" xfId="0" applyNumberFormat="1" applyFont="1" applyFill="1" applyBorder="1" applyAlignment="1">
      <alignment horizontal="right"/>
    </xf>
    <xf numFmtId="0" fontId="161" fillId="3" borderId="7" xfId="0" applyNumberFormat="1" applyFont="1" applyFill="1" applyBorder="1" applyAlignment="1">
      <alignment horizontal="left"/>
    </xf>
    <xf numFmtId="0" fontId="161" fillId="3" borderId="7" xfId="0" applyFont="1" applyFill="1" applyBorder="1" applyAlignment="1">
      <alignment horizontal="right"/>
    </xf>
    <xf numFmtId="195" fontId="161" fillId="3" borderId="7" xfId="0" applyNumberFormat="1" applyFont="1" applyFill="1" applyBorder="1" applyAlignment="1">
      <alignment horizontal="right"/>
    </xf>
    <xf numFmtId="3" fontId="156" fillId="3" borderId="7" xfId="0" applyNumberFormat="1" applyFont="1" applyFill="1" applyBorder="1" applyAlignment="1">
      <alignment horizontal="right"/>
    </xf>
    <xf numFmtId="0" fontId="156" fillId="3" borderId="7" xfId="0" quotePrefix="1" applyNumberFormat="1" applyFont="1" applyFill="1" applyBorder="1"/>
    <xf numFmtId="3" fontId="158" fillId="3" borderId="7" xfId="0" applyNumberFormat="1" applyFont="1" applyFill="1" applyBorder="1"/>
    <xf numFmtId="0" fontId="157" fillId="3" borderId="7" xfId="0" applyFont="1" applyFill="1" applyBorder="1" applyAlignment="1">
      <alignment horizontal="center" vertical="top"/>
    </xf>
    <xf numFmtId="3" fontId="161" fillId="3" borderId="7" xfId="0" applyNumberFormat="1" applyFont="1" applyFill="1" applyBorder="1" applyAlignment="1">
      <alignment vertical="top" wrapText="1"/>
    </xf>
    <xf numFmtId="0" fontId="161" fillId="3" borderId="7" xfId="0" applyNumberFormat="1" applyFont="1" applyFill="1" applyBorder="1" applyAlignment="1">
      <alignment horizontal="center" vertical="top"/>
    </xf>
    <xf numFmtId="3" fontId="161" fillId="3" borderId="7" xfId="0" applyNumberFormat="1" applyFont="1" applyFill="1" applyBorder="1" applyAlignment="1">
      <alignment horizontal="right" vertical="top"/>
    </xf>
    <xf numFmtId="3" fontId="162" fillId="8" borderId="7" xfId="0" applyNumberFormat="1" applyFont="1" applyFill="1" applyBorder="1"/>
    <xf numFmtId="0" fontId="156" fillId="8" borderId="7" xfId="0" applyFont="1" applyFill="1" applyBorder="1" applyAlignment="1">
      <alignment horizontal="center"/>
    </xf>
    <xf numFmtId="3" fontId="156" fillId="8" borderId="7" xfId="0" applyNumberFormat="1" applyFont="1" applyFill="1" applyBorder="1"/>
    <xf numFmtId="3" fontId="157" fillId="8" borderId="7" xfId="0" applyNumberFormat="1" applyFont="1" applyFill="1" applyBorder="1"/>
    <xf numFmtId="3" fontId="156" fillId="8" borderId="7" xfId="0" applyNumberFormat="1" applyFont="1" applyFill="1" applyBorder="1" applyAlignment="1">
      <alignment horizontal="center"/>
    </xf>
    <xf numFmtId="3" fontId="162" fillId="8" borderId="7" xfId="0" applyNumberFormat="1" applyFont="1" applyFill="1" applyBorder="1" applyAlignment="1">
      <alignment horizontal="left"/>
    </xf>
    <xf numFmtId="0" fontId="166" fillId="8" borderId="7" xfId="0" applyFont="1" applyFill="1" applyBorder="1" applyAlignment="1">
      <alignment horizontal="center"/>
    </xf>
    <xf numFmtId="3" fontId="161" fillId="8" borderId="7" xfId="0" applyNumberFormat="1" applyFont="1" applyFill="1" applyBorder="1"/>
    <xf numFmtId="3" fontId="161" fillId="8" borderId="7" xfId="0" applyNumberFormat="1" applyFont="1" applyFill="1" applyBorder="1" applyAlignment="1">
      <alignment horizontal="center"/>
    </xf>
    <xf numFmtId="3" fontId="162" fillId="3" borderId="7" xfId="0" applyNumberFormat="1" applyFont="1" applyFill="1" applyBorder="1"/>
    <xf numFmtId="0" fontId="156" fillId="3" borderId="7" xfId="0" applyFont="1" applyFill="1" applyBorder="1"/>
    <xf numFmtId="3" fontId="156" fillId="3" borderId="7" xfId="0" applyNumberFormat="1" applyFont="1" applyFill="1" applyBorder="1" applyAlignment="1">
      <alignment horizontal="center"/>
    </xf>
    <xf numFmtId="0" fontId="24" fillId="3" borderId="7" xfId="0" applyNumberFormat="1" applyFont="1" applyFill="1" applyBorder="1"/>
    <xf numFmtId="195" fontId="156" fillId="3" borderId="7" xfId="0" applyNumberFormat="1" applyFont="1" applyFill="1" applyBorder="1"/>
    <xf numFmtId="0" fontId="70" fillId="3" borderId="7" xfId="0" applyNumberFormat="1" applyFont="1" applyFill="1" applyBorder="1"/>
    <xf numFmtId="0" fontId="156" fillId="3" borderId="7" xfId="0" quotePrefix="1" applyFont="1" applyFill="1" applyBorder="1"/>
    <xf numFmtId="0" fontId="156" fillId="3" borderId="7" xfId="0" applyNumberFormat="1" applyFont="1" applyFill="1" applyBorder="1" applyAlignment="1">
      <alignment vertical="center" wrapText="1"/>
    </xf>
    <xf numFmtId="0" fontId="161" fillId="3" borderId="7" xfId="0" applyFont="1" applyFill="1" applyBorder="1"/>
    <xf numFmtId="0" fontId="156" fillId="3" borderId="7" xfId="0" applyFont="1" applyFill="1" applyBorder="1" applyAlignment="1">
      <alignment horizontal="center" vertical="center" wrapText="1"/>
    </xf>
    <xf numFmtId="0" fontId="168" fillId="3" borderId="7" xfId="606" applyNumberFormat="1" applyFont="1" applyFill="1" applyBorder="1" applyAlignment="1">
      <alignment horizontal="left" vertical="center"/>
    </xf>
    <xf numFmtId="0" fontId="156" fillId="3" borderId="7" xfId="606" applyNumberFormat="1" applyFont="1" applyFill="1" applyBorder="1" applyAlignment="1">
      <alignment horizontal="center" vertical="center"/>
    </xf>
    <xf numFmtId="3" fontId="168" fillId="3" borderId="7" xfId="606" applyNumberFormat="1" applyFont="1" applyFill="1" applyBorder="1" applyAlignment="1">
      <alignment horizontal="right"/>
    </xf>
    <xf numFmtId="0" fontId="156" fillId="3" borderId="11" xfId="0" applyFont="1" applyFill="1" applyBorder="1" applyAlignment="1">
      <alignment horizontal="left" wrapText="1"/>
    </xf>
    <xf numFmtId="3" fontId="168" fillId="3" borderId="11" xfId="606" applyNumberFormat="1" applyFont="1" applyFill="1" applyBorder="1" applyAlignment="1">
      <alignment horizontal="right"/>
    </xf>
    <xf numFmtId="0" fontId="156" fillId="3" borderId="11" xfId="0" applyFont="1" applyFill="1" applyBorder="1" applyAlignment="1">
      <alignment horizontal="right" wrapText="1"/>
    </xf>
    <xf numFmtId="3" fontId="161" fillId="3" borderId="7" xfId="0" applyNumberFormat="1" applyFont="1" applyFill="1" applyBorder="1" applyAlignment="1">
      <alignment horizontal="center"/>
    </xf>
    <xf numFmtId="0" fontId="87" fillId="3" borderId="7" xfId="0" applyFont="1" applyFill="1" applyBorder="1" applyAlignment="1">
      <alignment horizontal="center"/>
    </xf>
    <xf numFmtId="0" fontId="172" fillId="3" borderId="7" xfId="0" applyFont="1" applyFill="1" applyBorder="1" applyAlignment="1">
      <alignment horizontal="center"/>
    </xf>
    <xf numFmtId="4" fontId="161" fillId="3" borderId="7" xfId="0" applyNumberFormat="1" applyFont="1" applyFill="1" applyBorder="1"/>
    <xf numFmtId="0" fontId="161" fillId="3" borderId="35" xfId="0" applyNumberFormat="1" applyFont="1" applyFill="1" applyBorder="1"/>
    <xf numFmtId="0" fontId="161" fillId="3" borderId="35" xfId="0" applyNumberFormat="1" applyFont="1" applyFill="1" applyBorder="1" applyAlignment="1">
      <alignment horizontal="center"/>
    </xf>
    <xf numFmtId="3" fontId="161" fillId="3" borderId="35" xfId="0" applyNumberFormat="1" applyFont="1" applyFill="1" applyBorder="1"/>
    <xf numFmtId="0" fontId="204" fillId="0" borderId="0" xfId="0" applyFont="1" applyFill="1" applyBorder="1" applyAlignment="1">
      <alignment horizontal="center"/>
    </xf>
    <xf numFmtId="0" fontId="193" fillId="0" borderId="0" xfId="0" applyFont="1" applyFill="1"/>
    <xf numFmtId="0" fontId="60" fillId="10" borderId="7" xfId="0" applyNumberFormat="1" applyFont="1" applyFill="1" applyBorder="1" applyAlignment="1">
      <alignment horizontal="left" vertical="center" wrapText="1"/>
    </xf>
    <xf numFmtId="0" fontId="24" fillId="10" borderId="7" xfId="0" applyNumberFormat="1" applyFont="1" applyFill="1" applyBorder="1" applyAlignment="1">
      <alignment horizontal="left" vertical="center" wrapText="1"/>
    </xf>
    <xf numFmtId="0" fontId="24" fillId="3" borderId="7" xfId="0" applyFont="1" applyFill="1" applyBorder="1" applyAlignment="1">
      <alignment vertical="center"/>
    </xf>
    <xf numFmtId="0" fontId="45" fillId="0" borderId="0" xfId="574" applyFont="1" applyFill="1" applyAlignment="1">
      <alignment horizontal="centerContinuous" vertical="center"/>
    </xf>
    <xf numFmtId="195" fontId="60" fillId="0" borderId="0" xfId="574" applyNumberFormat="1" applyFont="1" applyFill="1" applyAlignment="1">
      <alignment vertical="center"/>
    </xf>
    <xf numFmtId="0" fontId="60" fillId="0" borderId="0" xfId="574" applyFont="1" applyFill="1" applyAlignment="1">
      <alignment vertical="center"/>
    </xf>
    <xf numFmtId="3" fontId="60" fillId="0" borderId="0" xfId="574" applyNumberFormat="1" applyFont="1" applyFill="1" applyAlignment="1">
      <alignment vertical="center"/>
    </xf>
    <xf numFmtId="0" fontId="24" fillId="0" borderId="0" xfId="574" applyFont="1" applyFill="1" applyAlignment="1">
      <alignment vertical="center"/>
    </xf>
    <xf numFmtId="243" fontId="24" fillId="0" borderId="0" xfId="394" applyNumberFormat="1" applyFont="1" applyFill="1" applyAlignment="1">
      <alignment vertical="center"/>
    </xf>
    <xf numFmtId="195" fontId="24" fillId="0" borderId="0" xfId="574" applyNumberFormat="1" applyFont="1" applyFill="1" applyAlignment="1">
      <alignment vertical="center"/>
    </xf>
    <xf numFmtId="9" fontId="24" fillId="0" borderId="0" xfId="574" applyNumberFormat="1" applyFont="1" applyFill="1" applyAlignment="1">
      <alignment vertical="center"/>
    </xf>
    <xf numFmtId="9" fontId="236" fillId="0" borderId="0" xfId="574" applyNumberFormat="1" applyFont="1" applyFill="1" applyAlignment="1">
      <alignment vertical="center"/>
    </xf>
    <xf numFmtId="172" fontId="24" fillId="0" borderId="0" xfId="380" applyNumberFormat="1" applyFont="1" applyFill="1" applyAlignment="1">
      <alignment vertical="center"/>
    </xf>
    <xf numFmtId="0" fontId="24" fillId="0" borderId="0" xfId="574" applyFont="1" applyFill="1" applyBorder="1" applyAlignment="1">
      <alignment vertical="center"/>
    </xf>
    <xf numFmtId="195" fontId="24" fillId="0" borderId="0" xfId="574" applyNumberFormat="1" applyFont="1" applyFill="1" applyBorder="1" applyAlignment="1">
      <alignment vertical="center"/>
    </xf>
    <xf numFmtId="243" fontId="24" fillId="0" borderId="0" xfId="394" applyNumberFormat="1" applyFont="1" applyFill="1" applyBorder="1" applyAlignment="1">
      <alignment vertical="center"/>
    </xf>
    <xf numFmtId="244" fontId="24" fillId="0" borderId="0" xfId="394" applyNumberFormat="1" applyFont="1" applyFill="1" applyBorder="1" applyAlignment="1">
      <alignment vertical="center"/>
    </xf>
    <xf numFmtId="0" fontId="24" fillId="0" borderId="0" xfId="574" applyFont="1" applyFill="1" applyBorder="1" applyAlignment="1">
      <alignment horizontal="left" vertical="center" indent="3"/>
    </xf>
    <xf numFmtId="195" fontId="24" fillId="0" borderId="0" xfId="574" applyNumberFormat="1" applyFont="1" applyFill="1" applyBorder="1" applyAlignment="1">
      <alignment horizontal="centerContinuous" vertical="center"/>
    </xf>
    <xf numFmtId="0" fontId="24" fillId="0" borderId="0" xfId="574" applyFont="1" applyFill="1" applyBorder="1" applyAlignment="1">
      <alignment horizontal="centerContinuous" vertical="center"/>
    </xf>
    <xf numFmtId="0" fontId="60" fillId="0" borderId="0" xfId="574" applyFont="1" applyFill="1" applyAlignment="1">
      <alignment horizontal="centerContinuous" vertical="center"/>
    </xf>
    <xf numFmtId="0" fontId="58" fillId="0" borderId="0" xfId="574" applyFont="1" applyFill="1" applyAlignment="1">
      <alignment horizontal="centerContinuous" vertical="center"/>
    </xf>
    <xf numFmtId="195" fontId="45" fillId="0" borderId="0" xfId="574" applyNumberFormat="1" applyFont="1" applyFill="1" applyAlignment="1">
      <alignment horizontal="centerContinuous" vertical="center"/>
    </xf>
    <xf numFmtId="0" fontId="24" fillId="0" borderId="0" xfId="574" applyFont="1" applyFill="1" applyAlignment="1">
      <alignment horizontal="centerContinuous" vertical="center"/>
    </xf>
    <xf numFmtId="243" fontId="45" fillId="0" borderId="0" xfId="394" applyNumberFormat="1" applyFont="1" applyFill="1" applyAlignment="1">
      <alignment horizontal="centerContinuous" vertical="center"/>
    </xf>
    <xf numFmtId="0" fontId="45" fillId="0" borderId="0" xfId="574" applyFont="1" applyFill="1" applyAlignment="1">
      <alignment vertical="center"/>
    </xf>
    <xf numFmtId="195" fontId="60" fillId="0" borderId="1" xfId="574" applyNumberFormat="1" applyFont="1" applyFill="1" applyBorder="1" applyAlignment="1">
      <alignment horizontal="centerContinuous" vertical="center"/>
    </xf>
    <xf numFmtId="0" fontId="60" fillId="0" borderId="1" xfId="574" applyFont="1" applyFill="1" applyBorder="1" applyAlignment="1">
      <alignment horizontal="centerContinuous" vertical="center"/>
    </xf>
    <xf numFmtId="195" fontId="24" fillId="0" borderId="8" xfId="574" applyNumberFormat="1" applyFont="1" applyFill="1" applyBorder="1" applyAlignment="1">
      <alignment horizontal="center" vertical="center"/>
    </xf>
    <xf numFmtId="0" fontId="24" fillId="0" borderId="8" xfId="574" applyFont="1" applyFill="1" applyBorder="1" applyAlignment="1">
      <alignment horizontal="center" vertical="center"/>
    </xf>
    <xf numFmtId="0" fontId="24" fillId="0" borderId="9" xfId="574" applyFont="1" applyFill="1" applyBorder="1" applyAlignment="1">
      <alignment vertical="center"/>
    </xf>
    <xf numFmtId="0" fontId="24" fillId="0" borderId="44" xfId="574" applyFont="1" applyFill="1" applyBorder="1" applyAlignment="1">
      <alignment vertical="center"/>
    </xf>
    <xf numFmtId="195" fontId="24" fillId="0" borderId="30" xfId="574" applyNumberFormat="1" applyFont="1" applyFill="1" applyBorder="1" applyAlignment="1">
      <alignment horizontal="center" vertical="center"/>
    </xf>
    <xf numFmtId="195" fontId="24" fillId="0" borderId="30" xfId="574" applyNumberFormat="1" applyFont="1" applyFill="1" applyBorder="1" applyAlignment="1">
      <alignment horizontal="center" vertical="center" wrapText="1"/>
    </xf>
    <xf numFmtId="195" fontId="24" fillId="0" borderId="30" xfId="574" applyNumberFormat="1" applyFont="1" applyFill="1" applyBorder="1" applyAlignment="1">
      <alignment horizontal="center" vertical="center" shrinkToFit="1"/>
    </xf>
    <xf numFmtId="0" fontId="24" fillId="0" borderId="47" xfId="574" applyFont="1" applyFill="1" applyBorder="1" applyAlignment="1">
      <alignment vertical="center"/>
    </xf>
    <xf numFmtId="245" fontId="24" fillId="0" borderId="37" xfId="600" applyNumberFormat="1" applyFont="1" applyFill="1" applyBorder="1" applyAlignment="1" applyProtection="1">
      <alignment horizontal="center" vertical="center"/>
      <protection hidden="1"/>
    </xf>
    <xf numFmtId="195" fontId="24" fillId="0" borderId="18" xfId="574" applyNumberFormat="1" applyFont="1" applyFill="1" applyBorder="1" applyAlignment="1">
      <alignment vertical="center"/>
    </xf>
    <xf numFmtId="3" fontId="24" fillId="0" borderId="18" xfId="394" applyNumberFormat="1" applyFont="1" applyFill="1" applyBorder="1" applyAlignment="1">
      <alignment vertical="center"/>
    </xf>
    <xf numFmtId="0" fontId="24" fillId="0" borderId="34" xfId="574" applyFont="1" applyFill="1" applyBorder="1" applyAlignment="1">
      <alignment vertical="center"/>
    </xf>
    <xf numFmtId="245" fontId="24" fillId="0" borderId="33" xfId="600" applyNumberFormat="1" applyFont="1" applyFill="1" applyBorder="1" applyAlignment="1" applyProtection="1">
      <alignment horizontal="center" vertical="center"/>
      <protection hidden="1"/>
    </xf>
    <xf numFmtId="195" fontId="24" fillId="0" borderId="7" xfId="574" applyNumberFormat="1" applyFont="1" applyFill="1" applyBorder="1" applyAlignment="1">
      <alignment vertical="center"/>
    </xf>
    <xf numFmtId="3" fontId="24" fillId="0" borderId="7" xfId="394" applyNumberFormat="1" applyFont="1" applyFill="1" applyBorder="1" applyAlignment="1">
      <alignment vertical="center"/>
    </xf>
    <xf numFmtId="0" fontId="24" fillId="0" borderId="7" xfId="574" applyFont="1" applyFill="1" applyBorder="1" applyAlignment="1">
      <alignment vertical="center"/>
    </xf>
    <xf numFmtId="207" fontId="24" fillId="0" borderId="7" xfId="574" applyNumberFormat="1" applyFont="1" applyFill="1" applyBorder="1" applyAlignment="1">
      <alignment vertical="center"/>
    </xf>
    <xf numFmtId="196" fontId="0" fillId="0" borderId="0" xfId="0" applyNumberFormat="1"/>
    <xf numFmtId="0" fontId="24" fillId="0" borderId="11" xfId="574" applyFont="1" applyFill="1" applyBorder="1" applyAlignment="1">
      <alignment vertical="center"/>
    </xf>
    <xf numFmtId="245" fontId="24" fillId="0" borderId="11" xfId="600" applyNumberFormat="1" applyFont="1" applyFill="1" applyBorder="1" applyAlignment="1" applyProtection="1">
      <alignment horizontal="center" vertical="center"/>
      <protection hidden="1"/>
    </xf>
    <xf numFmtId="195" fontId="24" fillId="0" borderId="11" xfId="574" applyNumberFormat="1" applyFont="1" applyFill="1" applyBorder="1" applyAlignment="1">
      <alignment vertical="center"/>
    </xf>
    <xf numFmtId="3" fontId="24" fillId="0" borderId="11" xfId="394" applyNumberFormat="1" applyFont="1" applyFill="1" applyBorder="1" applyAlignment="1">
      <alignment vertical="center"/>
    </xf>
    <xf numFmtId="245" fontId="24" fillId="0" borderId="7" xfId="600" applyNumberFormat="1" applyFont="1" applyFill="1" applyBorder="1" applyAlignment="1" applyProtection="1">
      <alignment horizontal="center" vertical="center"/>
      <protection hidden="1"/>
    </xf>
    <xf numFmtId="0" fontId="24" fillId="0" borderId="35" xfId="574" applyFont="1" applyFill="1" applyBorder="1" applyAlignment="1">
      <alignment vertical="center"/>
    </xf>
    <xf numFmtId="245" fontId="24" fillId="0" borderId="35" xfId="600" applyNumberFormat="1" applyFont="1" applyFill="1" applyBorder="1" applyAlignment="1" applyProtection="1">
      <alignment horizontal="center" vertical="center"/>
      <protection hidden="1"/>
    </xf>
    <xf numFmtId="195" fontId="24" fillId="0" borderId="35" xfId="574" applyNumberFormat="1" applyFont="1" applyFill="1" applyBorder="1" applyAlignment="1">
      <alignment vertical="center"/>
    </xf>
    <xf numFmtId="3" fontId="24" fillId="0" borderId="35" xfId="394" applyNumberFormat="1" applyFont="1" applyFill="1" applyBorder="1" applyAlignment="1">
      <alignment vertical="center"/>
    </xf>
    <xf numFmtId="0" fontId="24" fillId="0" borderId="27" xfId="574" applyFont="1" applyFill="1" applyBorder="1" applyAlignment="1">
      <alignment vertical="center"/>
    </xf>
    <xf numFmtId="0" fontId="24" fillId="0" borderId="8" xfId="574" applyFont="1" applyFill="1" applyBorder="1" applyAlignment="1">
      <alignment vertical="center"/>
    </xf>
    <xf numFmtId="0" fontId="24" fillId="0" borderId="30" xfId="574" applyFont="1" applyFill="1" applyBorder="1" applyAlignment="1">
      <alignment vertical="center"/>
    </xf>
    <xf numFmtId="0" fontId="24" fillId="0" borderId="18" xfId="574" applyFont="1" applyFill="1" applyBorder="1" applyAlignment="1">
      <alignment vertical="center"/>
    </xf>
    <xf numFmtId="245" fontId="24" fillId="0" borderId="18" xfId="600" applyNumberFormat="1" applyFont="1" applyFill="1" applyBorder="1" applyAlignment="1" applyProtection="1">
      <alignment horizontal="center" vertical="center"/>
      <protection hidden="1"/>
    </xf>
    <xf numFmtId="169" fontId="24" fillId="0" borderId="18" xfId="380" applyFont="1" applyFill="1" applyBorder="1" applyAlignment="1">
      <alignment vertical="center"/>
    </xf>
    <xf numFmtId="169" fontId="24" fillId="0" borderId="7" xfId="380" applyFont="1" applyFill="1" applyBorder="1" applyAlignment="1">
      <alignment vertical="center"/>
    </xf>
    <xf numFmtId="0" fontId="24" fillId="0" borderId="41" xfId="574" quotePrefix="1" applyFont="1" applyFill="1" applyBorder="1" applyAlignment="1">
      <alignment vertical="center"/>
    </xf>
    <xf numFmtId="245" fontId="24" fillId="0" borderId="42" xfId="600" applyNumberFormat="1" applyFont="1" applyFill="1" applyBorder="1" applyAlignment="1" applyProtection="1">
      <alignment horizontal="center" vertical="center"/>
      <protection hidden="1"/>
    </xf>
    <xf numFmtId="195" fontId="60" fillId="0" borderId="1" xfId="574" applyNumberFormat="1" applyFont="1" applyFill="1" applyBorder="1" applyAlignment="1">
      <alignment horizontal="centerContinuous" vertical="center" wrapText="1"/>
    </xf>
    <xf numFmtId="195" fontId="24" fillId="0" borderId="1" xfId="574" applyNumberFormat="1" applyFont="1" applyFill="1" applyBorder="1" applyAlignment="1">
      <alignment horizontal="center" vertical="center"/>
    </xf>
    <xf numFmtId="195" fontId="24" fillId="0" borderId="1" xfId="574" applyNumberFormat="1" applyFont="1" applyFill="1" applyBorder="1" applyAlignment="1">
      <alignment horizontal="center" vertical="center" shrinkToFit="1"/>
    </xf>
    <xf numFmtId="0" fontId="24" fillId="10" borderId="11" xfId="0" applyFont="1" applyFill="1" applyBorder="1" applyAlignment="1">
      <alignment horizontal="center" vertical="center" wrapText="1"/>
    </xf>
    <xf numFmtId="173" fontId="24" fillId="10" borderId="7" xfId="0" applyNumberFormat="1" applyFont="1" applyFill="1" applyBorder="1" applyAlignment="1">
      <alignment horizontal="center" vertical="center" wrapText="1"/>
    </xf>
    <xf numFmtId="0" fontId="24" fillId="10" borderId="7" xfId="0" applyNumberFormat="1" applyFont="1" applyFill="1" applyBorder="1" applyAlignment="1">
      <alignment horizontal="center" vertical="center" wrapText="1"/>
    </xf>
    <xf numFmtId="0" fontId="24" fillId="10" borderId="0" xfId="0" applyFont="1" applyFill="1" applyAlignment="1">
      <alignment vertical="center" wrapText="1"/>
    </xf>
    <xf numFmtId="172" fontId="60" fillId="10" borderId="7" xfId="370" applyNumberFormat="1" applyFont="1" applyFill="1" applyBorder="1" applyAlignment="1">
      <alignment vertical="center" wrapText="1"/>
    </xf>
    <xf numFmtId="0" fontId="60" fillId="10" borderId="7" xfId="0" applyFont="1" applyFill="1" applyBorder="1" applyAlignment="1">
      <alignment horizontal="center" vertical="center" wrapText="1"/>
    </xf>
    <xf numFmtId="172" fontId="24" fillId="10" borderId="7" xfId="370" applyNumberFormat="1" applyFont="1" applyFill="1" applyBorder="1" applyAlignment="1">
      <alignment vertical="center" wrapText="1"/>
    </xf>
    <xf numFmtId="3" fontId="24" fillId="10" borderId="7" xfId="370" applyNumberFormat="1" applyFont="1" applyFill="1" applyBorder="1" applyAlignment="1">
      <alignment vertical="center" wrapText="1"/>
    </xf>
    <xf numFmtId="172" fontId="60" fillId="10" borderId="0" xfId="370" applyNumberFormat="1" applyFont="1" applyFill="1" applyAlignment="1">
      <alignment vertical="center" wrapText="1"/>
    </xf>
    <xf numFmtId="4" fontId="24" fillId="10" borderId="11" xfId="370" applyNumberFormat="1" applyFont="1" applyFill="1" applyBorder="1" applyAlignment="1">
      <alignment vertical="center" wrapText="1"/>
    </xf>
    <xf numFmtId="4" fontId="236" fillId="10" borderId="11" xfId="370" applyNumberFormat="1" applyFont="1" applyFill="1" applyBorder="1" applyAlignment="1">
      <alignment horizontal="center" vertical="center" wrapText="1"/>
    </xf>
    <xf numFmtId="0" fontId="24" fillId="10" borderId="7" xfId="0" applyFont="1" applyFill="1" applyBorder="1" applyAlignment="1">
      <alignment vertical="center" wrapText="1"/>
    </xf>
    <xf numFmtId="173" fontId="24" fillId="10" borderId="7" xfId="0" applyNumberFormat="1" applyFont="1" applyFill="1" applyBorder="1" applyAlignment="1">
      <alignment vertical="center" wrapText="1"/>
    </xf>
    <xf numFmtId="0" fontId="24" fillId="10" borderId="7" xfId="587" applyFont="1" applyFill="1" applyBorder="1" applyAlignment="1" applyProtection="1">
      <alignment vertical="center" wrapText="1"/>
      <protection locked="0"/>
    </xf>
    <xf numFmtId="215" fontId="24" fillId="10" borderId="7" xfId="0" applyNumberFormat="1" applyFont="1" applyFill="1" applyBorder="1" applyAlignment="1">
      <alignment horizontal="left" vertical="center" wrapText="1"/>
    </xf>
    <xf numFmtId="0" fontId="24" fillId="10" borderId="7" xfId="0" applyNumberFormat="1" applyFont="1" applyFill="1" applyBorder="1" applyAlignment="1">
      <alignment vertical="center" wrapText="1"/>
    </xf>
    <xf numFmtId="0" fontId="60" fillId="0" borderId="7" xfId="0" applyFont="1" applyFill="1" applyBorder="1" applyAlignment="1">
      <alignment horizontal="center" vertical="top"/>
    </xf>
    <xf numFmtId="215" fontId="24" fillId="0" borderId="7" xfId="0" applyNumberFormat="1" applyFont="1" applyFill="1" applyBorder="1" applyAlignment="1">
      <alignment horizontal="left" vertical="top"/>
    </xf>
    <xf numFmtId="0" fontId="24" fillId="0" borderId="7" xfId="0" applyNumberFormat="1" applyFont="1" applyFill="1" applyBorder="1" applyAlignment="1">
      <alignment vertical="top"/>
    </xf>
    <xf numFmtId="3" fontId="24" fillId="0" borderId="7" xfId="0" applyNumberFormat="1" applyFont="1" applyFill="1" applyBorder="1" applyAlignment="1">
      <alignment horizontal="center" vertical="top"/>
    </xf>
    <xf numFmtId="0" fontId="24" fillId="0" borderId="7" xfId="0" quotePrefix="1" applyNumberFormat="1" applyFont="1" applyFill="1" applyBorder="1" applyAlignment="1">
      <alignment horizontal="center" vertical="top"/>
    </xf>
    <xf numFmtId="215" fontId="24" fillId="0" borderId="7" xfId="0" applyNumberFormat="1" applyFont="1" applyFill="1" applyBorder="1" applyAlignment="1">
      <alignment horizontal="left" vertical="top" wrapText="1"/>
    </xf>
    <xf numFmtId="243" fontId="236" fillId="0" borderId="0" xfId="394" applyNumberFormat="1" applyFont="1" applyFill="1" applyAlignment="1">
      <alignment vertical="center"/>
    </xf>
    <xf numFmtId="0" fontId="236" fillId="0" borderId="0" xfId="574" applyFont="1" applyFill="1" applyAlignment="1">
      <alignment vertical="center"/>
    </xf>
    <xf numFmtId="172" fontId="236" fillId="0" borderId="0" xfId="574" applyNumberFormat="1" applyFont="1" applyFill="1" applyAlignment="1">
      <alignment vertical="center"/>
    </xf>
    <xf numFmtId="243" fontId="236" fillId="0" borderId="0" xfId="394" applyNumberFormat="1" applyFont="1" applyFill="1" applyBorder="1" applyAlignment="1">
      <alignment vertical="center"/>
    </xf>
    <xf numFmtId="243" fontId="243" fillId="0" borderId="0" xfId="394" applyNumberFormat="1" applyFont="1" applyFill="1" applyAlignment="1">
      <alignment horizontal="centerContinuous" vertical="center"/>
    </xf>
    <xf numFmtId="195" fontId="239" fillId="0" borderId="1" xfId="574" applyNumberFormat="1" applyFont="1" applyFill="1" applyBorder="1" applyAlignment="1">
      <alignment horizontal="centerContinuous" vertical="center"/>
    </xf>
    <xf numFmtId="195" fontId="236" fillId="0" borderId="30" xfId="574" applyNumberFormat="1" applyFont="1" applyFill="1" applyBorder="1" applyAlignment="1">
      <alignment horizontal="center" vertical="center" wrapText="1"/>
    </xf>
    <xf numFmtId="3" fontId="236" fillId="0" borderId="18" xfId="394" applyNumberFormat="1" applyFont="1" applyFill="1" applyBorder="1" applyAlignment="1">
      <alignment vertical="center"/>
    </xf>
    <xf numFmtId="3" fontId="236" fillId="0" borderId="7" xfId="394" applyNumberFormat="1" applyFont="1" applyFill="1" applyBorder="1" applyAlignment="1">
      <alignment vertical="center"/>
    </xf>
    <xf numFmtId="3" fontId="236" fillId="0" borderId="11" xfId="394" applyNumberFormat="1" applyFont="1" applyFill="1" applyBorder="1" applyAlignment="1">
      <alignment vertical="center"/>
    </xf>
    <xf numFmtId="3" fontId="236" fillId="0" borderId="35" xfId="394" applyNumberFormat="1" applyFont="1" applyFill="1" applyBorder="1" applyAlignment="1">
      <alignment vertical="center"/>
    </xf>
    <xf numFmtId="0" fontId="243" fillId="0" borderId="0" xfId="574" applyFont="1" applyFill="1" applyAlignment="1">
      <alignment horizontal="centerContinuous" vertical="center"/>
    </xf>
    <xf numFmtId="0" fontId="239" fillId="0" borderId="1" xfId="574" applyFont="1" applyFill="1" applyBorder="1" applyAlignment="1">
      <alignment horizontal="centerContinuous" vertical="center"/>
    </xf>
    <xf numFmtId="0" fontId="236" fillId="0" borderId="8" xfId="574" applyFont="1" applyFill="1" applyBorder="1" applyAlignment="1">
      <alignment horizontal="center" vertical="center"/>
    </xf>
    <xf numFmtId="195" fontId="236" fillId="0" borderId="30" xfId="574" applyNumberFormat="1" applyFont="1" applyFill="1" applyBorder="1" applyAlignment="1">
      <alignment horizontal="center" vertical="center" shrinkToFit="1"/>
    </xf>
    <xf numFmtId="169" fontId="236" fillId="0" borderId="18" xfId="380" applyFont="1" applyFill="1" applyBorder="1" applyAlignment="1">
      <alignment vertical="center"/>
    </xf>
    <xf numFmtId="169" fontId="236" fillId="0" borderId="7" xfId="380" applyFont="1" applyFill="1" applyBorder="1" applyAlignment="1">
      <alignment vertical="center"/>
    </xf>
    <xf numFmtId="0" fontId="244" fillId="0" borderId="0" xfId="0" applyFont="1"/>
    <xf numFmtId="172" fontId="24" fillId="3" borderId="7" xfId="370" applyNumberFormat="1" applyFont="1" applyFill="1" applyBorder="1" applyAlignment="1">
      <alignment vertical="center" wrapText="1"/>
    </xf>
    <xf numFmtId="195" fontId="24" fillId="0" borderId="7" xfId="0" applyNumberFormat="1" applyFont="1" applyFill="1" applyBorder="1" applyAlignment="1">
      <alignment horizontal="center" vertical="top"/>
    </xf>
    <xf numFmtId="0" fontId="24" fillId="0" borderId="7" xfId="0" applyNumberFormat="1" applyFont="1" applyFill="1" applyBorder="1" applyAlignment="1">
      <alignment horizontal="center" vertical="top" wrapText="1"/>
    </xf>
    <xf numFmtId="0" fontId="24" fillId="0" borderId="7" xfId="0" applyFont="1" applyFill="1" applyBorder="1" applyAlignment="1">
      <alignment vertical="top"/>
    </xf>
    <xf numFmtId="0" fontId="24" fillId="0" borderId="7" xfId="583" applyFont="1" applyFill="1" applyBorder="1" applyAlignment="1" applyProtection="1">
      <alignment vertical="center" wrapText="1"/>
      <protection locked="0"/>
    </xf>
    <xf numFmtId="0" fontId="24" fillId="3" borderId="0" xfId="0" applyFont="1" applyFill="1" applyAlignment="1">
      <alignment vertical="center" wrapText="1"/>
    </xf>
    <xf numFmtId="0" fontId="24" fillId="3" borderId="11" xfId="0" applyFont="1" applyFill="1" applyBorder="1" applyAlignment="1">
      <alignment horizontal="center" vertical="center" wrapText="1"/>
    </xf>
    <xf numFmtId="0" fontId="24" fillId="3" borderId="7" xfId="0" applyNumberFormat="1" applyFont="1" applyFill="1" applyBorder="1" applyAlignment="1">
      <alignment horizontal="center" vertical="top"/>
    </xf>
    <xf numFmtId="215" fontId="60" fillId="3" borderId="7" xfId="0" applyNumberFormat="1" applyFont="1" applyFill="1" applyBorder="1" applyAlignment="1">
      <alignment horizontal="left" vertical="top" wrapText="1"/>
    </xf>
    <xf numFmtId="49" fontId="60" fillId="3" borderId="7" xfId="0" applyNumberFormat="1" applyFont="1" applyFill="1" applyBorder="1" applyAlignment="1">
      <alignment horizontal="center" vertical="top"/>
    </xf>
    <xf numFmtId="3" fontId="24" fillId="3" borderId="7" xfId="0" applyNumberFormat="1" applyFont="1" applyFill="1" applyBorder="1" applyAlignment="1">
      <alignment vertical="center"/>
    </xf>
    <xf numFmtId="3" fontId="69" fillId="3" borderId="7" xfId="0" applyNumberFormat="1" applyFont="1" applyFill="1" applyBorder="1" applyAlignment="1">
      <alignment vertical="top"/>
    </xf>
    <xf numFmtId="4" fontId="24" fillId="3" borderId="11" xfId="370" applyNumberFormat="1" applyFont="1" applyFill="1" applyBorder="1" applyAlignment="1">
      <alignment vertical="center" wrapText="1"/>
    </xf>
    <xf numFmtId="0" fontId="24" fillId="3" borderId="7" xfId="392" applyNumberFormat="1" applyFont="1" applyFill="1" applyBorder="1" applyAlignment="1">
      <alignment horizontal="center" vertical="top"/>
    </xf>
    <xf numFmtId="0" fontId="24" fillId="3" borderId="7" xfId="370" applyNumberFormat="1" applyFont="1" applyFill="1" applyBorder="1" applyAlignment="1">
      <alignment vertical="center"/>
    </xf>
    <xf numFmtId="172" fontId="24" fillId="3" borderId="7" xfId="370" applyNumberFormat="1" applyFont="1" applyFill="1" applyBorder="1" applyAlignment="1">
      <alignment horizontal="center" vertical="center"/>
    </xf>
    <xf numFmtId="169" fontId="24" fillId="3" borderId="7" xfId="370" applyFont="1" applyFill="1" applyBorder="1" applyAlignment="1">
      <alignment vertical="center"/>
    </xf>
    <xf numFmtId="169" fontId="24" fillId="3" borderId="7" xfId="0" applyNumberFormat="1" applyFont="1" applyFill="1" applyBorder="1" applyAlignment="1">
      <alignment vertical="center"/>
    </xf>
    <xf numFmtId="172" fontId="24" fillId="0" borderId="33" xfId="370" applyNumberFormat="1" applyFont="1" applyFill="1" applyBorder="1" applyAlignment="1">
      <alignment vertical="top"/>
    </xf>
    <xf numFmtId="0" fontId="60" fillId="0" borderId="0" xfId="558" applyFont="1" applyFill="1" applyAlignment="1">
      <alignment horizontal="centerContinuous" vertical="center"/>
    </xf>
    <xf numFmtId="174" fontId="60" fillId="0" borderId="0" xfId="558" applyNumberFormat="1" applyFont="1" applyFill="1" applyAlignment="1">
      <alignment horizontal="centerContinuous" vertical="center"/>
    </xf>
    <xf numFmtId="3" fontId="72" fillId="0" borderId="0" xfId="558" applyNumberFormat="1" applyFont="1" applyFill="1" applyAlignment="1">
      <alignment horizontal="right" vertical="center"/>
    </xf>
    <xf numFmtId="0" fontId="60" fillId="0" borderId="32" xfId="558" applyFont="1" applyFill="1" applyBorder="1" applyAlignment="1">
      <alignment horizontal="centerContinuous" vertical="center"/>
    </xf>
    <xf numFmtId="174" fontId="60" fillId="0" borderId="27" xfId="558" applyNumberFormat="1" applyFont="1" applyFill="1" applyBorder="1" applyAlignment="1">
      <alignment horizontal="center" vertical="center"/>
    </xf>
    <xf numFmtId="0" fontId="60" fillId="0" borderId="27" xfId="558" applyFont="1" applyFill="1" applyBorder="1" applyAlignment="1">
      <alignment horizontal="center" vertical="center"/>
    </xf>
    <xf numFmtId="0" fontId="24" fillId="0" borderId="33" xfId="558" applyFont="1" applyFill="1" applyBorder="1" applyAlignment="1">
      <alignment horizontal="right" vertical="center"/>
    </xf>
    <xf numFmtId="0" fontId="24" fillId="0" borderId="7" xfId="558" applyNumberFormat="1" applyFont="1" applyFill="1" applyBorder="1" applyAlignment="1">
      <alignment horizontal="center" vertical="center"/>
    </xf>
    <xf numFmtId="0" fontId="24" fillId="0" borderId="7" xfId="558" applyFont="1" applyFill="1" applyBorder="1" applyAlignment="1">
      <alignment horizontal="center" vertical="center"/>
    </xf>
    <xf numFmtId="0" fontId="24" fillId="0" borderId="34" xfId="558" applyFont="1" applyFill="1" applyBorder="1" applyAlignment="1">
      <alignment horizontal="left" vertical="center"/>
    </xf>
    <xf numFmtId="0" fontId="24" fillId="0" borderId="7" xfId="558" applyFont="1" applyFill="1" applyBorder="1" applyAlignment="1">
      <alignment horizontal="left" vertical="center"/>
    </xf>
    <xf numFmtId="0" fontId="74" fillId="0" borderId="0" xfId="558" applyFont="1" applyFill="1" applyAlignment="1">
      <alignment horizontal="centerContinuous"/>
    </xf>
    <xf numFmtId="0" fontId="89" fillId="0" borderId="0" xfId="558" applyFont="1" applyFill="1" applyAlignment="1">
      <alignment horizontal="centerContinuous"/>
    </xf>
    <xf numFmtId="0" fontId="60" fillId="0" borderId="21" xfId="558" applyFont="1" applyFill="1" applyBorder="1" applyAlignment="1">
      <alignment horizontal="centerContinuous" vertical="center"/>
    </xf>
    <xf numFmtId="0" fontId="24" fillId="0" borderId="7" xfId="558" applyFont="1" applyFill="1" applyBorder="1" applyAlignment="1">
      <alignment horizontal="left" vertical="center" wrapText="1"/>
    </xf>
    <xf numFmtId="0" fontId="85" fillId="0" borderId="34" xfId="558" applyNumberFormat="1" applyFont="1" applyFill="1" applyBorder="1" applyAlignment="1">
      <alignment horizontal="left" vertical="center"/>
    </xf>
    <xf numFmtId="0" fontId="85" fillId="0" borderId="7" xfId="558" applyNumberFormat="1" applyFont="1" applyFill="1" applyBorder="1" applyAlignment="1">
      <alignment horizontal="center" vertical="center"/>
    </xf>
    <xf numFmtId="0" fontId="24" fillId="0" borderId="41" xfId="558" applyFont="1" applyFill="1" applyBorder="1"/>
    <xf numFmtId="174" fontId="24" fillId="0" borderId="35" xfId="558" applyNumberFormat="1" applyFont="1" applyFill="1" applyBorder="1"/>
    <xf numFmtId="0" fontId="24" fillId="0" borderId="35" xfId="558" applyFont="1" applyFill="1" applyBorder="1"/>
    <xf numFmtId="0" fontId="60" fillId="0" borderId="44" xfId="558" applyFont="1" applyFill="1" applyBorder="1" applyAlignment="1">
      <alignment horizontal="centerContinuous" vertical="center"/>
    </xf>
    <xf numFmtId="174" fontId="60" fillId="0" borderId="30" xfId="558" applyNumberFormat="1" applyFont="1" applyFill="1" applyBorder="1" applyAlignment="1">
      <alignment horizontal="center" vertical="center"/>
    </xf>
    <xf numFmtId="0" fontId="60" fillId="0" borderId="30" xfId="558" applyFont="1" applyFill="1" applyBorder="1" applyAlignment="1">
      <alignment horizontal="center" vertical="center"/>
    </xf>
    <xf numFmtId="0" fontId="24" fillId="0" borderId="42" xfId="558" applyFont="1" applyFill="1" applyBorder="1" applyAlignment="1">
      <alignment horizontal="right" vertical="center"/>
    </xf>
    <xf numFmtId="3" fontId="73" fillId="0" borderId="0" xfId="558" applyNumberFormat="1" applyFont="1" applyFill="1" applyAlignment="1">
      <alignment horizontal="right" vertical="center"/>
    </xf>
    <xf numFmtId="0" fontId="60" fillId="0" borderId="9" xfId="558" applyFont="1" applyFill="1" applyBorder="1" applyAlignment="1">
      <alignment horizontal="centerContinuous" vertical="center"/>
    </xf>
    <xf numFmtId="0" fontId="73" fillId="0" borderId="8" xfId="558" applyFont="1" applyFill="1" applyBorder="1" applyAlignment="1">
      <alignment horizontal="center" vertical="center"/>
    </xf>
    <xf numFmtId="3" fontId="72" fillId="0" borderId="0" xfId="558" applyNumberFormat="1" applyFont="1" applyFill="1" applyAlignment="1">
      <alignment horizontal="left" vertical="center"/>
    </xf>
    <xf numFmtId="0" fontId="73" fillId="0" borderId="8" xfId="558" applyNumberFormat="1" applyFont="1" applyFill="1" applyBorder="1" applyAlignment="1">
      <alignment horizontal="center" vertical="top" wrapText="1"/>
    </xf>
    <xf numFmtId="0" fontId="73" fillId="0" borderId="8" xfId="558" applyFont="1" applyFill="1" applyBorder="1" applyAlignment="1">
      <alignment horizontal="center" vertical="top" wrapText="1" shrinkToFit="1"/>
    </xf>
    <xf numFmtId="0" fontId="73" fillId="0" borderId="8" xfId="558" applyFont="1" applyFill="1" applyBorder="1" applyAlignment="1">
      <alignment horizontal="centerContinuous" vertical="top"/>
    </xf>
    <xf numFmtId="0" fontId="73" fillId="0" borderId="45" xfId="558" applyFont="1" applyFill="1" applyBorder="1" applyAlignment="1">
      <alignment horizontal="centerContinuous" vertical="top"/>
    </xf>
    <xf numFmtId="3" fontId="24" fillId="0" borderId="7" xfId="558" applyNumberFormat="1" applyFont="1" applyFill="1" applyBorder="1" applyAlignment="1">
      <alignment horizontal="center" vertical="center"/>
    </xf>
    <xf numFmtId="0" fontId="24" fillId="0" borderId="7" xfId="559" applyFont="1" applyFill="1" applyBorder="1" applyAlignment="1">
      <alignment horizontal="center" vertical="center" wrapText="1"/>
    </xf>
    <xf numFmtId="49" fontId="24" fillId="0" borderId="7" xfId="559" applyNumberFormat="1" applyFont="1" applyFill="1" applyBorder="1" applyAlignment="1">
      <alignment horizontal="center" vertical="center"/>
    </xf>
    <xf numFmtId="215" fontId="60" fillId="0" borderId="7" xfId="559" applyNumberFormat="1" applyFont="1" applyFill="1" applyBorder="1" applyAlignment="1">
      <alignment horizontal="left" vertical="center" wrapText="1"/>
    </xf>
    <xf numFmtId="0" fontId="24" fillId="0" borderId="11" xfId="559" applyFont="1" applyFill="1" applyBorder="1" applyAlignment="1">
      <alignment horizontal="center" vertical="center" wrapText="1"/>
    </xf>
    <xf numFmtId="173" fontId="72" fillId="0" borderId="7" xfId="559" applyNumberFormat="1" applyFont="1" applyFill="1" applyBorder="1" applyAlignment="1">
      <alignment horizontal="center" vertical="center" wrapText="1"/>
    </xf>
    <xf numFmtId="0" fontId="24" fillId="0" borderId="7" xfId="559" applyNumberFormat="1" applyFont="1" applyFill="1" applyBorder="1" applyAlignment="1">
      <alignment horizontal="center" vertical="center" wrapText="1"/>
    </xf>
    <xf numFmtId="173" fontId="24" fillId="0" borderId="7" xfId="559" applyNumberFormat="1" applyFont="1" applyFill="1" applyBorder="1" applyAlignment="1">
      <alignment horizontal="center" vertical="center" wrapText="1"/>
    </xf>
    <xf numFmtId="0" fontId="24" fillId="0" borderId="7" xfId="559" applyNumberFormat="1" applyFont="1" applyFill="1" applyBorder="1" applyAlignment="1">
      <alignment horizontal="left" vertical="center" wrapText="1"/>
    </xf>
    <xf numFmtId="0" fontId="24" fillId="0" borderId="7" xfId="561" applyFont="1" applyFill="1" applyBorder="1" applyAlignment="1">
      <alignment horizontal="center" vertical="center" wrapText="1"/>
    </xf>
    <xf numFmtId="0" fontId="72" fillId="0" borderId="7" xfId="561" applyFont="1" applyFill="1" applyBorder="1" applyAlignment="1">
      <alignment horizontal="center" vertical="center" wrapText="1"/>
    </xf>
    <xf numFmtId="0" fontId="24" fillId="0" borderId="7" xfId="561" applyNumberFormat="1" applyFont="1" applyFill="1" applyBorder="1" applyAlignment="1">
      <alignment horizontal="center" vertical="center" wrapText="1"/>
    </xf>
    <xf numFmtId="0" fontId="24" fillId="0" borderId="7" xfId="562" applyNumberFormat="1" applyFont="1" applyFill="1" applyBorder="1" applyAlignment="1">
      <alignment horizontal="center" vertical="center" wrapText="1"/>
    </xf>
    <xf numFmtId="0" fontId="60" fillId="0" borderId="7" xfId="562" applyFont="1" applyFill="1" applyBorder="1" applyAlignment="1">
      <alignment horizontal="center" vertical="center" wrapText="1"/>
    </xf>
    <xf numFmtId="0" fontId="24" fillId="0" borderId="7" xfId="563" applyFont="1" applyFill="1" applyBorder="1" applyAlignment="1">
      <alignment horizontal="center" vertical="center" wrapText="1"/>
    </xf>
    <xf numFmtId="49" fontId="24" fillId="0" borderId="7" xfId="563" applyNumberFormat="1" applyFont="1" applyFill="1" applyBorder="1" applyAlignment="1">
      <alignment horizontal="center" vertical="center"/>
    </xf>
    <xf numFmtId="215" fontId="60" fillId="0" borderId="7" xfId="563" applyNumberFormat="1" applyFont="1" applyFill="1" applyBorder="1" applyAlignment="1">
      <alignment horizontal="left" vertical="center" wrapText="1"/>
    </xf>
    <xf numFmtId="0" fontId="24" fillId="0" borderId="11" xfId="563" applyFont="1" applyFill="1" applyBorder="1" applyAlignment="1">
      <alignment horizontal="center" vertical="center" wrapText="1"/>
    </xf>
    <xf numFmtId="173" fontId="72" fillId="0" borderId="7" xfId="563" applyNumberFormat="1" applyFont="1" applyFill="1" applyBorder="1" applyAlignment="1">
      <alignment horizontal="center" vertical="center" wrapText="1"/>
    </xf>
    <xf numFmtId="0" fontId="72" fillId="0" borderId="7" xfId="563" applyFont="1" applyFill="1" applyBorder="1" applyAlignment="1">
      <alignment horizontal="center" vertical="center" wrapText="1"/>
    </xf>
    <xf numFmtId="0" fontId="24" fillId="0" borderId="7" xfId="563" applyNumberFormat="1" applyFont="1" applyFill="1" applyBorder="1" applyAlignment="1">
      <alignment horizontal="center" vertical="center" wrapText="1"/>
    </xf>
    <xf numFmtId="173" fontId="24" fillId="0" borderId="7" xfId="563" applyNumberFormat="1" applyFont="1" applyFill="1" applyBorder="1" applyAlignment="1">
      <alignment horizontal="center" vertical="center" wrapText="1"/>
    </xf>
    <xf numFmtId="0" fontId="24" fillId="0" borderId="7" xfId="563" applyNumberFormat="1" applyFont="1" applyFill="1" applyBorder="1" applyAlignment="1">
      <alignment horizontal="left" vertical="center" wrapText="1"/>
    </xf>
    <xf numFmtId="0" fontId="60" fillId="0" borderId="7" xfId="563" applyFont="1" applyFill="1" applyBorder="1" applyAlignment="1">
      <alignment horizontal="center" vertical="center" wrapText="1"/>
    </xf>
    <xf numFmtId="2" fontId="24" fillId="0" borderId="7" xfId="565" applyNumberFormat="1" applyFont="1" applyFill="1" applyBorder="1" applyAlignment="1">
      <alignment horizontal="center" vertical="center"/>
    </xf>
    <xf numFmtId="0" fontId="24" fillId="0" borderId="7" xfId="0" applyNumberFormat="1" applyFont="1" applyFill="1" applyBorder="1" applyAlignment="1">
      <alignment horizontal="center" vertical="center" shrinkToFit="1"/>
    </xf>
    <xf numFmtId="215" fontId="24" fillId="0" borderId="7" xfId="0" applyNumberFormat="1" applyFont="1" applyFill="1" applyBorder="1" applyAlignment="1">
      <alignment horizontal="left" vertical="center" shrinkToFit="1"/>
    </xf>
    <xf numFmtId="176" fontId="24" fillId="0" borderId="7" xfId="380" applyNumberFormat="1" applyFont="1" applyFill="1" applyBorder="1" applyAlignment="1">
      <alignment horizontal="center" vertical="center"/>
    </xf>
    <xf numFmtId="196" fontId="24" fillId="0" borderId="7" xfId="380" applyNumberFormat="1" applyFont="1" applyFill="1" applyBorder="1" applyAlignment="1">
      <alignment horizontal="center" vertical="center"/>
    </xf>
    <xf numFmtId="3" fontId="60" fillId="0" borderId="7" xfId="0" applyNumberFormat="1" applyFont="1" applyFill="1" applyBorder="1" applyAlignment="1">
      <alignment horizontal="center" vertical="top"/>
    </xf>
    <xf numFmtId="3" fontId="24" fillId="3" borderId="7" xfId="370" applyNumberFormat="1" applyFont="1" applyFill="1" applyBorder="1" applyAlignment="1">
      <alignment horizontal="center" vertical="center"/>
    </xf>
    <xf numFmtId="3" fontId="60" fillId="3" borderId="7" xfId="370" applyNumberFormat="1" applyFont="1" applyFill="1" applyBorder="1" applyAlignment="1">
      <alignment horizontal="center" vertical="center"/>
    </xf>
    <xf numFmtId="172" fontId="60" fillId="3" borderId="7" xfId="370" applyNumberFormat="1" applyFont="1" applyFill="1" applyBorder="1" applyAlignment="1">
      <alignment vertical="center"/>
    </xf>
    <xf numFmtId="209" fontId="24" fillId="3" borderId="7" xfId="370" applyNumberFormat="1" applyFont="1" applyFill="1" applyBorder="1" applyAlignment="1">
      <alignment vertical="center"/>
    </xf>
    <xf numFmtId="3" fontId="24" fillId="3" borderId="33" xfId="370" applyNumberFormat="1" applyFont="1" applyFill="1" applyBorder="1" applyAlignment="1">
      <alignment vertical="center"/>
    </xf>
    <xf numFmtId="195" fontId="24" fillId="0" borderId="0" xfId="394" applyNumberFormat="1" applyFont="1" applyFill="1" applyBorder="1" applyAlignment="1">
      <alignment vertical="center"/>
    </xf>
    <xf numFmtId="0" fontId="24" fillId="10" borderId="7" xfId="370" applyNumberFormat="1" applyFont="1" applyFill="1" applyBorder="1" applyAlignment="1">
      <alignment vertical="center"/>
    </xf>
    <xf numFmtId="0" fontId="60" fillId="3" borderId="7" xfId="0" applyNumberFormat="1" applyFont="1" applyFill="1" applyBorder="1" applyAlignment="1">
      <alignment horizontal="left" vertical="center" wrapText="1"/>
    </xf>
    <xf numFmtId="172" fontId="60" fillId="3" borderId="7" xfId="370" applyNumberFormat="1" applyFont="1" applyFill="1" applyBorder="1" applyAlignment="1">
      <alignment vertical="center" wrapText="1"/>
    </xf>
    <xf numFmtId="0" fontId="60" fillId="3" borderId="7" xfId="0" applyNumberFormat="1" applyFont="1" applyFill="1" applyBorder="1" applyAlignment="1">
      <alignment horizontal="center" vertical="center" wrapText="1"/>
    </xf>
    <xf numFmtId="0" fontId="24" fillId="3" borderId="7" xfId="0" applyNumberFormat="1" applyFont="1" applyFill="1" applyBorder="1" applyAlignment="1" applyProtection="1">
      <alignment horizontal="center" vertical="center" wrapText="1"/>
      <protection hidden="1"/>
    </xf>
    <xf numFmtId="172" fontId="24" fillId="3" borderId="7" xfId="370" applyNumberFormat="1" applyFont="1" applyFill="1" applyBorder="1" applyAlignment="1" applyProtection="1">
      <alignment vertical="center" wrapText="1"/>
      <protection hidden="1"/>
    </xf>
    <xf numFmtId="3" fontId="24" fillId="3" borderId="7" xfId="370" applyNumberFormat="1" applyFont="1" applyFill="1" applyBorder="1" applyAlignment="1" applyProtection="1">
      <alignment vertical="center" wrapText="1"/>
      <protection hidden="1"/>
    </xf>
    <xf numFmtId="172" fontId="60" fillId="3" borderId="0" xfId="370" applyNumberFormat="1" applyFont="1" applyFill="1" applyAlignment="1">
      <alignment vertical="center" wrapText="1"/>
    </xf>
    <xf numFmtId="4" fontId="236" fillId="3" borderId="11" xfId="370" applyNumberFormat="1" applyFont="1" applyFill="1" applyBorder="1" applyAlignment="1">
      <alignment horizontal="center" vertical="center" wrapText="1"/>
    </xf>
    <xf numFmtId="173" fontId="86" fillId="3" borderId="7" xfId="0" applyNumberFormat="1" applyFont="1" applyFill="1" applyBorder="1" applyAlignment="1">
      <alignment horizontal="center" vertical="center" wrapText="1"/>
    </xf>
    <xf numFmtId="0" fontId="60" fillId="3" borderId="7" xfId="0" applyNumberFormat="1" applyFont="1" applyFill="1" applyBorder="1" applyAlignment="1">
      <alignment vertical="center" wrapText="1"/>
    </xf>
    <xf numFmtId="0" fontId="60" fillId="3" borderId="7" xfId="0" applyFont="1" applyFill="1" applyBorder="1" applyAlignment="1">
      <alignment horizontal="center" vertical="center" wrapText="1"/>
    </xf>
    <xf numFmtId="3" fontId="24" fillId="3" borderId="7" xfId="370" applyNumberFormat="1" applyFont="1" applyFill="1" applyBorder="1" applyAlignment="1">
      <alignment vertical="center" wrapText="1"/>
    </xf>
    <xf numFmtId="49" fontId="60" fillId="3" borderId="7" xfId="0" applyNumberFormat="1" applyFont="1" applyFill="1" applyBorder="1" applyAlignment="1">
      <alignment horizontal="center" vertical="center" wrapText="1"/>
    </xf>
    <xf numFmtId="3" fontId="161" fillId="10" borderId="7" xfId="0" applyNumberFormat="1" applyFont="1" applyFill="1" applyBorder="1" applyAlignment="1">
      <alignment horizontal="right"/>
    </xf>
    <xf numFmtId="3" fontId="156" fillId="10" borderId="7" xfId="0" applyNumberFormat="1" applyFont="1" applyFill="1" applyBorder="1"/>
    <xf numFmtId="3" fontId="170" fillId="10" borderId="7" xfId="0" applyNumberFormat="1" applyFont="1" applyFill="1" applyBorder="1" applyAlignment="1">
      <alignment horizontal="right"/>
    </xf>
    <xf numFmtId="3" fontId="161" fillId="28" borderId="7" xfId="0" applyNumberFormat="1" applyFont="1" applyFill="1" applyBorder="1" applyAlignment="1">
      <alignment horizontal="right"/>
    </xf>
    <xf numFmtId="0" fontId="24" fillId="28" borderId="7" xfId="370" applyNumberFormat="1" applyFont="1" applyFill="1" applyBorder="1" applyAlignment="1">
      <alignment vertical="center"/>
    </xf>
    <xf numFmtId="0" fontId="24" fillId="28" borderId="7" xfId="0" applyFont="1" applyFill="1" applyBorder="1" applyAlignment="1">
      <alignment horizontal="center" vertical="center"/>
    </xf>
    <xf numFmtId="172" fontId="24" fillId="28" borderId="7" xfId="370" applyNumberFormat="1" applyFont="1" applyFill="1" applyBorder="1" applyAlignment="1">
      <alignment vertical="center"/>
    </xf>
    <xf numFmtId="169" fontId="24" fillId="28" borderId="7" xfId="370" applyFont="1" applyFill="1" applyBorder="1" applyAlignment="1">
      <alignment vertical="center"/>
    </xf>
    <xf numFmtId="0" fontId="24" fillId="28" borderId="7" xfId="0" applyFont="1" applyFill="1" applyBorder="1" applyAlignment="1">
      <alignment vertical="center"/>
    </xf>
    <xf numFmtId="169" fontId="24" fillId="28" borderId="7" xfId="0" applyNumberFormat="1" applyFont="1" applyFill="1" applyBorder="1" applyAlignment="1">
      <alignment vertical="center"/>
    </xf>
    <xf numFmtId="0" fontId="60" fillId="3" borderId="50" xfId="596" applyFont="1" applyFill="1" applyBorder="1" applyAlignment="1">
      <alignment horizontal="left" vertical="center"/>
    </xf>
    <xf numFmtId="0" fontId="24" fillId="3" borderId="50" xfId="596" applyFont="1" applyFill="1" applyBorder="1" applyAlignment="1">
      <alignment horizontal="right" vertical="center"/>
    </xf>
    <xf numFmtId="3" fontId="62" fillId="3" borderId="50" xfId="370" applyNumberFormat="1" applyFont="1" applyFill="1" applyBorder="1" applyAlignment="1" applyProtection="1">
      <alignment horizontal="center" vertical="center"/>
    </xf>
    <xf numFmtId="0" fontId="62" fillId="3" borderId="50" xfId="596" applyFont="1" applyFill="1" applyBorder="1" applyAlignment="1">
      <alignment horizontal="center" vertical="center"/>
    </xf>
    <xf numFmtId="0" fontId="62" fillId="3" borderId="50" xfId="596" applyFont="1" applyFill="1" applyBorder="1" applyAlignment="1" applyProtection="1">
      <alignment horizontal="center" vertical="center"/>
    </xf>
    <xf numFmtId="0" fontId="24" fillId="3" borderId="50" xfId="596" applyNumberFormat="1" applyFont="1" applyFill="1" applyBorder="1" applyAlignment="1" applyProtection="1">
      <alignment horizontal="center" vertical="center"/>
    </xf>
    <xf numFmtId="0" fontId="24" fillId="3" borderId="50" xfId="596" applyFont="1" applyFill="1" applyBorder="1" applyAlignment="1" applyProtection="1">
      <alignment horizontal="center" vertical="center"/>
    </xf>
    <xf numFmtId="0" fontId="24" fillId="3" borderId="50" xfId="596" applyFont="1" applyFill="1" applyBorder="1" applyAlignment="1">
      <alignment horizontal="left" vertical="center"/>
    </xf>
    <xf numFmtId="206" fontId="24" fillId="3" borderId="50" xfId="596" applyNumberFormat="1" applyFont="1" applyFill="1" applyBorder="1" applyAlignment="1">
      <alignment horizontal="left" vertical="center"/>
    </xf>
    <xf numFmtId="3" fontId="24" fillId="3" borderId="48" xfId="370" applyNumberFormat="1" applyFont="1" applyFill="1" applyBorder="1" applyAlignment="1">
      <alignment horizontal="center" vertical="center"/>
    </xf>
    <xf numFmtId="172" fontId="24" fillId="3" borderId="48" xfId="370" applyNumberFormat="1" applyFont="1" applyFill="1" applyBorder="1" applyAlignment="1">
      <alignment vertical="center"/>
    </xf>
    <xf numFmtId="172" fontId="60" fillId="3" borderId="48" xfId="370" applyNumberFormat="1" applyFont="1" applyFill="1" applyBorder="1" applyAlignment="1">
      <alignment vertical="center"/>
    </xf>
    <xf numFmtId="3" fontId="60" fillId="3" borderId="49" xfId="370" applyNumberFormat="1" applyFont="1" applyFill="1" applyBorder="1" applyAlignment="1">
      <alignment vertical="center"/>
    </xf>
    <xf numFmtId="0" fontId="60" fillId="3" borderId="50" xfId="596" applyFont="1" applyFill="1" applyBorder="1" applyAlignment="1">
      <alignment horizontal="center" vertical="center"/>
    </xf>
    <xf numFmtId="3" fontId="62" fillId="3" borderId="50" xfId="370" applyNumberFormat="1" applyFont="1" applyFill="1" applyBorder="1" applyAlignment="1" applyProtection="1">
      <alignment horizontal="left" vertical="center"/>
    </xf>
    <xf numFmtId="0" fontId="24" fillId="3" borderId="50" xfId="596" applyFont="1" applyFill="1" applyBorder="1" applyAlignment="1" applyProtection="1">
      <alignment horizontal="left" vertical="center"/>
    </xf>
    <xf numFmtId="0" fontId="24" fillId="14" borderId="34" xfId="601" applyNumberFormat="1" applyFont="1" applyFill="1" applyBorder="1" applyAlignment="1">
      <alignment horizontal="centerContinuous" vertical="center"/>
    </xf>
    <xf numFmtId="173" fontId="24" fillId="3" borderId="7" xfId="0" applyNumberFormat="1" applyFont="1" applyFill="1" applyBorder="1" applyAlignment="1">
      <alignment horizontal="center" vertical="center" wrapText="1"/>
    </xf>
    <xf numFmtId="3" fontId="24" fillId="3" borderId="7" xfId="0" applyNumberFormat="1" applyFont="1" applyFill="1" applyBorder="1" applyAlignment="1">
      <alignment vertical="center" wrapText="1"/>
    </xf>
    <xf numFmtId="0" fontId="75" fillId="3" borderId="7" xfId="0" applyFont="1" applyFill="1" applyBorder="1" applyAlignment="1">
      <alignment horizontal="center" vertical="center" wrapText="1"/>
    </xf>
    <xf numFmtId="0" fontId="187" fillId="3" borderId="7" xfId="0" applyFont="1" applyFill="1" applyBorder="1" applyAlignment="1">
      <alignment horizontal="center" vertical="center" wrapText="1"/>
    </xf>
    <xf numFmtId="215" fontId="60" fillId="3" borderId="7" xfId="0" applyNumberFormat="1" applyFont="1" applyFill="1" applyBorder="1" applyAlignment="1">
      <alignment horizontal="left" vertical="center" wrapText="1"/>
    </xf>
    <xf numFmtId="0" fontId="24" fillId="0" borderId="7" xfId="0" applyFont="1" applyBorder="1"/>
    <xf numFmtId="195" fontId="24" fillId="27" borderId="0" xfId="571" applyNumberFormat="1" applyFont="1" applyFill="1" applyAlignment="1">
      <alignment horizontal="right" vertical="center"/>
    </xf>
    <xf numFmtId="3" fontId="24" fillId="0" borderId="0" xfId="571" applyNumberFormat="1" applyFont="1" applyAlignment="1">
      <alignment horizontal="left" vertical="center"/>
    </xf>
    <xf numFmtId="0" fontId="24" fillId="0" borderId="11" xfId="0" applyFont="1" applyFill="1" applyBorder="1" applyAlignment="1">
      <alignment horizontal="justify" vertical="center" wrapText="1"/>
    </xf>
    <xf numFmtId="9" fontId="59" fillId="26" borderId="0" xfId="0" applyNumberFormat="1" applyFont="1" applyFill="1" applyAlignment="1">
      <alignment vertical="center"/>
    </xf>
    <xf numFmtId="191" fontId="59" fillId="26" borderId="0" xfId="0" applyNumberFormat="1" applyFont="1" applyFill="1" applyAlignment="1">
      <alignment vertical="center"/>
    </xf>
    <xf numFmtId="0" fontId="24" fillId="0" borderId="35" xfId="0" applyFont="1" applyFill="1" applyBorder="1" applyAlignment="1">
      <alignment horizontal="center" vertical="center" wrapText="1"/>
    </xf>
    <xf numFmtId="172" fontId="24" fillId="0" borderId="35" xfId="370" applyNumberFormat="1" applyFont="1" applyFill="1" applyBorder="1" applyAlignment="1">
      <alignment vertical="center" wrapText="1"/>
    </xf>
    <xf numFmtId="0" fontId="70" fillId="0" borderId="11" xfId="0" applyFont="1" applyFill="1" applyBorder="1" applyAlignment="1">
      <alignment horizontal="center" vertical="center" wrapText="1"/>
    </xf>
    <xf numFmtId="0" fontId="70" fillId="0" borderId="35" xfId="0" applyFont="1" applyFill="1" applyBorder="1" applyAlignment="1">
      <alignment horizontal="center" vertical="center" wrapText="1"/>
    </xf>
    <xf numFmtId="9" fontId="24" fillId="26" borderId="7" xfId="0" applyNumberFormat="1" applyFont="1" applyFill="1" applyBorder="1" applyAlignment="1">
      <alignment vertical="center"/>
    </xf>
    <xf numFmtId="0" fontId="24" fillId="26" borderId="7" xfId="0" applyFont="1" applyFill="1" applyBorder="1" applyAlignment="1">
      <alignment vertical="center"/>
    </xf>
    <xf numFmtId="3" fontId="24" fillId="26" borderId="7" xfId="0" applyNumberFormat="1" applyFont="1" applyFill="1" applyBorder="1" applyAlignment="1">
      <alignment vertical="center"/>
    </xf>
    <xf numFmtId="0" fontId="24" fillId="0" borderId="0" xfId="0" applyFont="1" applyFill="1" applyBorder="1" applyAlignment="1">
      <alignment vertical="center" wrapText="1"/>
    </xf>
    <xf numFmtId="0" fontId="24" fillId="0" borderId="0" xfId="0" applyNumberFormat="1" applyFont="1" applyFill="1" applyBorder="1" applyAlignment="1">
      <alignment horizontal="left" vertical="center" wrapText="1"/>
    </xf>
    <xf numFmtId="172" fontId="24" fillId="0" borderId="0" xfId="370" applyNumberFormat="1" applyFont="1" applyFill="1" applyBorder="1" applyAlignment="1">
      <alignment vertical="center" wrapText="1"/>
    </xf>
    <xf numFmtId="3" fontId="24" fillId="0" borderId="0" xfId="0" applyNumberFormat="1" applyFont="1" applyFill="1" applyBorder="1" applyAlignment="1">
      <alignment vertical="center" wrapText="1"/>
    </xf>
    <xf numFmtId="207" fontId="24" fillId="0" borderId="11" xfId="0" applyNumberFormat="1" applyFont="1" applyFill="1" applyBorder="1" applyAlignment="1">
      <alignment vertical="center" wrapText="1"/>
    </xf>
    <xf numFmtId="0" fontId="70" fillId="0" borderId="7" xfId="0" applyFont="1" applyFill="1" applyBorder="1" applyAlignment="1">
      <alignment horizontal="center" vertical="center" wrapText="1"/>
    </xf>
    <xf numFmtId="207" fontId="24" fillId="0" borderId="7" xfId="0" applyNumberFormat="1" applyFont="1" applyFill="1" applyBorder="1" applyAlignment="1">
      <alignment vertical="center" wrapText="1"/>
    </xf>
    <xf numFmtId="244" fontId="236" fillId="0" borderId="0" xfId="394" applyNumberFormat="1" applyFont="1" applyFill="1" applyBorder="1" applyAlignment="1">
      <alignment vertical="center"/>
    </xf>
    <xf numFmtId="0" fontId="73" fillId="0" borderId="0" xfId="604" applyFont="1" applyFill="1" applyAlignment="1">
      <alignment horizontal="left" vertical="center" wrapText="1"/>
    </xf>
    <xf numFmtId="3" fontId="76" fillId="0" borderId="21" xfId="604" applyNumberFormat="1" applyFont="1" applyFill="1" applyBorder="1" applyAlignment="1">
      <alignment horizontal="center" vertical="center"/>
    </xf>
    <xf numFmtId="0" fontId="60" fillId="0" borderId="0" xfId="0" applyFont="1" applyFill="1" applyAlignment="1">
      <alignment horizontal="centerContinuous" vertical="center" wrapText="1"/>
    </xf>
    <xf numFmtId="210" fontId="60" fillId="0" borderId="0" xfId="370" applyNumberFormat="1" applyFont="1" applyFill="1" applyAlignment="1">
      <alignment horizontal="center" vertical="center" wrapText="1"/>
    </xf>
    <xf numFmtId="195" fontId="60" fillId="0" borderId="9" xfId="370" applyNumberFormat="1" applyFont="1" applyFill="1" applyBorder="1" applyAlignment="1">
      <alignment horizontal="center" vertical="center"/>
    </xf>
    <xf numFmtId="3" fontId="24" fillId="0" borderId="9" xfId="370" applyNumberFormat="1" applyFont="1" applyFill="1" applyBorder="1" applyAlignment="1">
      <alignment vertical="center"/>
    </xf>
    <xf numFmtId="4" fontId="24" fillId="0" borderId="0" xfId="370" applyNumberFormat="1" applyFont="1" applyFill="1" applyAlignment="1">
      <alignment vertical="center"/>
    </xf>
    <xf numFmtId="4" fontId="60" fillId="0" borderId="0" xfId="370" applyNumberFormat="1" applyFont="1" applyFill="1" applyAlignment="1">
      <alignment vertical="center"/>
    </xf>
    <xf numFmtId="0" fontId="248" fillId="0" borderId="0" xfId="0" applyFont="1"/>
    <xf numFmtId="0" fontId="1" fillId="0" borderId="0" xfId="0" applyFont="1"/>
    <xf numFmtId="0" fontId="250" fillId="0" borderId="11" xfId="0" applyFont="1" applyFill="1" applyBorder="1" applyAlignment="1">
      <alignment horizontal="center" vertical="center" wrapText="1"/>
    </xf>
    <xf numFmtId="172" fontId="249" fillId="0" borderId="7" xfId="370" applyNumberFormat="1" applyFont="1" applyFill="1" applyBorder="1" applyAlignment="1">
      <alignment vertical="center" wrapText="1"/>
    </xf>
    <xf numFmtId="9" fontId="249" fillId="26" borderId="7" xfId="0" applyNumberFormat="1" applyFont="1" applyFill="1" applyBorder="1" applyAlignment="1">
      <alignment vertical="center"/>
    </xf>
    <xf numFmtId="0" fontId="249" fillId="26" borderId="7" xfId="0" applyFont="1" applyFill="1" applyBorder="1" applyAlignment="1">
      <alignment vertical="center"/>
    </xf>
    <xf numFmtId="3" fontId="249" fillId="26" borderId="7" xfId="0" applyNumberFormat="1" applyFont="1" applyFill="1" applyBorder="1" applyAlignment="1">
      <alignment vertical="center"/>
    </xf>
    <xf numFmtId="0" fontId="249" fillId="0" borderId="35" xfId="0" applyFont="1" applyFill="1" applyBorder="1" applyAlignment="1">
      <alignment horizontal="center" vertical="center" wrapText="1"/>
    </xf>
    <xf numFmtId="0" fontId="250" fillId="0" borderId="35" xfId="0" applyFont="1" applyFill="1" applyBorder="1" applyAlignment="1">
      <alignment horizontal="center" vertical="center" wrapText="1"/>
    </xf>
    <xf numFmtId="49" fontId="24" fillId="0" borderId="35" xfId="0" applyNumberFormat="1" applyFont="1" applyFill="1" applyBorder="1" applyAlignment="1">
      <alignment horizontal="center" vertical="center"/>
    </xf>
    <xf numFmtId="0" fontId="58" fillId="0" borderId="18" xfId="0" applyFont="1" applyFill="1" applyBorder="1" applyAlignment="1">
      <alignment horizontal="center" vertical="center" wrapText="1"/>
    </xf>
    <xf numFmtId="0" fontId="58" fillId="0" borderId="7" xfId="0" applyFont="1" applyFill="1" applyBorder="1" applyAlignment="1">
      <alignment horizontal="center" vertical="center" wrapText="1"/>
    </xf>
    <xf numFmtId="0" fontId="45" fillId="0" borderId="7" xfId="0" applyFont="1" applyFill="1" applyBorder="1" applyAlignment="1">
      <alignment horizontal="center" vertical="center" wrapText="1"/>
    </xf>
    <xf numFmtId="4" fontId="45" fillId="0" borderId="7" xfId="370" applyNumberFormat="1" applyFont="1" applyFill="1" applyBorder="1" applyAlignment="1">
      <alignment vertical="center"/>
    </xf>
    <xf numFmtId="3" fontId="45" fillId="0" borderId="7" xfId="370" applyNumberFormat="1" applyFont="1" applyFill="1" applyBorder="1" applyAlignment="1">
      <alignment vertical="center"/>
    </xf>
    <xf numFmtId="195" fontId="45" fillId="0" borderId="7" xfId="370" applyNumberFormat="1" applyFont="1" applyFill="1" applyBorder="1" applyAlignment="1">
      <alignment vertical="center"/>
    </xf>
    <xf numFmtId="0" fontId="24" fillId="0" borderId="0" xfId="370" applyNumberFormat="1" applyFont="1" applyFill="1" applyAlignment="1">
      <alignment horizontal="centerContinuous" vertical="center" wrapText="1"/>
    </xf>
    <xf numFmtId="4" fontId="24" fillId="0" borderId="0" xfId="370" applyNumberFormat="1" applyFont="1" applyFill="1" applyAlignment="1">
      <alignment horizontal="centerContinuous" vertical="center" wrapText="1"/>
    </xf>
    <xf numFmtId="0" fontId="24" fillId="0" borderId="0" xfId="370" applyNumberFormat="1" applyFont="1" applyFill="1" applyAlignment="1">
      <alignment horizontal="left" vertical="center"/>
    </xf>
    <xf numFmtId="0" fontId="45" fillId="0" borderId="7" xfId="0" applyFont="1" applyFill="1" applyBorder="1" applyAlignment="1">
      <alignment horizontal="justify" vertical="center" wrapText="1"/>
    </xf>
    <xf numFmtId="0" fontId="58" fillId="0" borderId="7" xfId="0" applyNumberFormat="1" applyFont="1" applyFill="1" applyBorder="1" applyAlignment="1">
      <alignment horizontal="justify" vertical="center" wrapText="1"/>
    </xf>
    <xf numFmtId="0" fontId="252" fillId="0" borderId="7" xfId="0" applyFont="1" applyFill="1" applyBorder="1" applyAlignment="1">
      <alignment horizontal="justify" vertical="center" wrapText="1"/>
    </xf>
    <xf numFmtId="0" fontId="191" fillId="0" borderId="7" xfId="0" applyFont="1" applyFill="1" applyBorder="1" applyAlignment="1">
      <alignment horizontal="justify" vertical="center" wrapText="1"/>
    </xf>
    <xf numFmtId="0" fontId="191" fillId="0" borderId="7" xfId="0" applyNumberFormat="1" applyFont="1" applyFill="1" applyBorder="1" applyAlignment="1">
      <alignment horizontal="justify" vertical="center" wrapText="1"/>
    </xf>
    <xf numFmtId="0" fontId="24" fillId="10" borderId="0" xfId="0" applyFont="1" applyFill="1" applyAlignment="1">
      <alignment vertical="center"/>
    </xf>
    <xf numFmtId="3" fontId="24" fillId="10" borderId="9" xfId="370" applyNumberFormat="1" applyFont="1" applyFill="1" applyBorder="1" applyAlignment="1">
      <alignment vertical="center"/>
    </xf>
    <xf numFmtId="0" fontId="45" fillId="0" borderId="7" xfId="0" applyNumberFormat="1" applyFont="1" applyFill="1" applyBorder="1" applyAlignment="1">
      <alignment horizontal="justify" vertical="center" wrapText="1"/>
    </xf>
    <xf numFmtId="4" fontId="58" fillId="0" borderId="18" xfId="370" applyNumberFormat="1" applyFont="1" applyFill="1" applyBorder="1" applyAlignment="1">
      <alignment vertical="center" wrapText="1"/>
    </xf>
    <xf numFmtId="3" fontId="58" fillId="0" borderId="18" xfId="370" applyNumberFormat="1" applyFont="1" applyFill="1" applyBorder="1" applyAlignment="1">
      <alignment vertical="center" wrapText="1"/>
    </xf>
    <xf numFmtId="4" fontId="58" fillId="0" borderId="7" xfId="370" applyNumberFormat="1" applyFont="1" applyFill="1" applyBorder="1" applyAlignment="1">
      <alignment vertical="center" wrapText="1"/>
    </xf>
    <xf numFmtId="3" fontId="58" fillId="0" borderId="7" xfId="370" applyNumberFormat="1" applyFont="1" applyFill="1" applyBorder="1" applyAlignment="1">
      <alignment vertical="center" wrapText="1"/>
    </xf>
    <xf numFmtId="4" fontId="45" fillId="0" borderId="7" xfId="370" applyNumberFormat="1" applyFont="1" applyFill="1" applyBorder="1" applyAlignment="1">
      <alignment vertical="center" wrapText="1"/>
    </xf>
    <xf numFmtId="3" fontId="45" fillId="0" borderId="7" xfId="370" applyNumberFormat="1" applyFont="1" applyFill="1" applyBorder="1" applyAlignment="1">
      <alignment vertical="center" wrapText="1"/>
    </xf>
    <xf numFmtId="0" fontId="58" fillId="0" borderId="18" xfId="370" applyNumberFormat="1" applyFont="1" applyFill="1" applyBorder="1" applyAlignment="1">
      <alignment horizontal="justify" vertical="center" wrapText="1"/>
    </xf>
    <xf numFmtId="0" fontId="71" fillId="0" borderId="7" xfId="0" applyFont="1" applyFill="1" applyBorder="1" applyAlignment="1">
      <alignment horizontal="center" vertical="center" wrapText="1"/>
    </xf>
    <xf numFmtId="0" fontId="258" fillId="0" borderId="7" xfId="0" applyFont="1" applyFill="1" applyBorder="1" applyAlignment="1">
      <alignment horizontal="center" vertical="center" wrapText="1"/>
    </xf>
    <xf numFmtId="3" fontId="60" fillId="0" borderId="33" xfId="0" applyNumberFormat="1" applyFont="1" applyFill="1" applyBorder="1" applyAlignment="1">
      <alignment vertical="center"/>
    </xf>
    <xf numFmtId="3" fontId="61" fillId="0" borderId="33" xfId="0" applyNumberFormat="1" applyFont="1" applyFill="1" applyBorder="1" applyAlignment="1">
      <alignment vertical="center"/>
    </xf>
    <xf numFmtId="9" fontId="24" fillId="26" borderId="7" xfId="0" applyNumberFormat="1" applyFont="1" applyFill="1" applyBorder="1" applyAlignment="1">
      <alignment horizontal="center" vertical="center"/>
    </xf>
    <xf numFmtId="3" fontId="86" fillId="0" borderId="7" xfId="370" applyNumberFormat="1" applyFont="1" applyFill="1" applyBorder="1" applyAlignment="1">
      <alignment vertical="center" wrapText="1"/>
    </xf>
    <xf numFmtId="0" fontId="86" fillId="26" borderId="7" xfId="0" applyFont="1" applyFill="1" applyBorder="1" applyAlignment="1">
      <alignment vertical="center"/>
    </xf>
    <xf numFmtId="3" fontId="86" fillId="26" borderId="7" xfId="0" applyNumberFormat="1" applyFont="1" applyFill="1" applyBorder="1" applyAlignment="1">
      <alignment vertical="center"/>
    </xf>
    <xf numFmtId="9" fontId="86" fillId="26" borderId="7" xfId="0" applyNumberFormat="1" applyFont="1" applyFill="1" applyBorder="1" applyAlignment="1">
      <alignment horizontal="center" vertical="center"/>
    </xf>
    <xf numFmtId="0" fontId="86" fillId="0" borderId="7" xfId="0" applyFont="1" applyFill="1" applyBorder="1" applyAlignment="1">
      <alignment horizontal="center" vertical="center" wrapText="1"/>
    </xf>
    <xf numFmtId="0" fontId="250" fillId="0" borderId="7" xfId="0" applyFont="1" applyFill="1" applyBorder="1" applyAlignment="1">
      <alignment horizontal="center" vertical="center" wrapText="1"/>
    </xf>
    <xf numFmtId="207" fontId="86" fillId="0" borderId="7" xfId="0" applyNumberFormat="1" applyFont="1" applyFill="1" applyBorder="1" applyAlignment="1">
      <alignment vertical="center" wrapText="1"/>
    </xf>
    <xf numFmtId="3" fontId="24" fillId="0" borderId="7" xfId="0" applyNumberFormat="1" applyFont="1" applyBorder="1"/>
    <xf numFmtId="0" fontId="85" fillId="0" borderId="7" xfId="0" applyFont="1" applyFill="1" applyBorder="1" applyAlignment="1">
      <alignment horizontal="center" vertical="center" wrapText="1"/>
    </xf>
    <xf numFmtId="0" fontId="256" fillId="0" borderId="7" xfId="0" applyFont="1" applyFill="1" applyBorder="1" applyAlignment="1">
      <alignment horizontal="center" vertical="center" wrapText="1"/>
    </xf>
    <xf numFmtId="0" fontId="73" fillId="0" borderId="30" xfId="0" applyNumberFormat="1" applyFont="1" applyFill="1" applyBorder="1" applyAlignment="1">
      <alignment horizontal="center" vertical="top" wrapText="1"/>
    </xf>
    <xf numFmtId="0" fontId="256" fillId="0" borderId="48" xfId="0" applyFont="1" applyFill="1" applyBorder="1" applyAlignment="1">
      <alignment horizontal="center" vertical="center" wrapText="1"/>
    </xf>
    <xf numFmtId="0" fontId="60" fillId="0" borderId="48" xfId="0" applyFont="1" applyBorder="1"/>
    <xf numFmtId="0" fontId="71" fillId="0" borderId="48" xfId="0" applyFont="1" applyFill="1" applyBorder="1" applyAlignment="1">
      <alignment horizontal="center" vertical="center" wrapText="1"/>
    </xf>
    <xf numFmtId="0" fontId="85" fillId="30" borderId="27" xfId="0" applyFont="1" applyFill="1" applyBorder="1" applyAlignment="1">
      <alignment horizontal="center" vertical="center" wrapText="1"/>
    </xf>
    <xf numFmtId="0" fontId="256" fillId="30" borderId="27" xfId="0" applyFont="1" applyFill="1" applyBorder="1" applyAlignment="1">
      <alignment horizontal="center" vertical="center" wrapText="1"/>
    </xf>
    <xf numFmtId="0" fontId="71" fillId="30" borderId="27" xfId="0" applyFont="1" applyFill="1" applyBorder="1" applyAlignment="1">
      <alignment horizontal="center" vertical="center" wrapText="1"/>
    </xf>
    <xf numFmtId="0" fontId="259" fillId="30" borderId="27" xfId="0" applyFont="1" applyFill="1" applyBorder="1" applyAlignment="1">
      <alignment horizontal="center" vertical="center" wrapText="1"/>
    </xf>
    <xf numFmtId="0" fontId="260" fillId="30" borderId="27" xfId="0" applyFont="1" applyFill="1" applyBorder="1" applyAlignment="1">
      <alignment horizontal="center" vertical="center" wrapText="1"/>
    </xf>
    <xf numFmtId="0" fontId="261" fillId="0" borderId="7" xfId="0" applyFont="1" applyFill="1" applyBorder="1" applyAlignment="1">
      <alignment horizontal="center" vertical="center" wrapText="1"/>
    </xf>
    <xf numFmtId="0" fontId="262" fillId="0" borderId="7" xfId="0" applyFont="1" applyFill="1" applyBorder="1" applyAlignment="1">
      <alignment horizontal="center" vertical="center" wrapText="1"/>
    </xf>
    <xf numFmtId="207" fontId="261" fillId="0" borderId="7" xfId="0" applyNumberFormat="1" applyFont="1" applyFill="1" applyBorder="1" applyAlignment="1">
      <alignment vertical="center" wrapText="1"/>
    </xf>
    <xf numFmtId="3" fontId="261" fillId="0" borderId="7" xfId="370" applyNumberFormat="1" applyFont="1" applyFill="1" applyBorder="1" applyAlignment="1">
      <alignment vertical="center" wrapText="1"/>
    </xf>
    <xf numFmtId="0" fontId="262" fillId="0" borderId="11" xfId="0" applyFont="1" applyFill="1" applyBorder="1" applyAlignment="1">
      <alignment horizontal="center" vertical="center" wrapText="1"/>
    </xf>
    <xf numFmtId="0" fontId="259" fillId="0" borderId="7" xfId="0" applyFont="1" applyFill="1" applyBorder="1" applyAlignment="1">
      <alignment horizontal="center" vertical="center" wrapText="1"/>
    </xf>
    <xf numFmtId="0" fontId="260" fillId="0" borderId="7" xfId="0" applyFont="1" applyFill="1" applyBorder="1" applyAlignment="1">
      <alignment horizontal="center" vertical="center" wrapText="1"/>
    </xf>
    <xf numFmtId="0" fontId="261" fillId="26" borderId="7" xfId="0" applyFont="1" applyFill="1" applyBorder="1" applyAlignment="1">
      <alignment vertical="center"/>
    </xf>
    <xf numFmtId="3" fontId="261" fillId="26" borderId="7" xfId="0" applyNumberFormat="1" applyFont="1" applyFill="1" applyBorder="1" applyAlignment="1">
      <alignment vertical="center"/>
    </xf>
    <xf numFmtId="9" fontId="261" fillId="26" borderId="7" xfId="0" applyNumberFormat="1" applyFont="1" applyFill="1" applyBorder="1" applyAlignment="1">
      <alignment horizontal="center" vertical="center"/>
    </xf>
    <xf numFmtId="0" fontId="260" fillId="0" borderId="48" xfId="0" applyFont="1" applyFill="1" applyBorder="1" applyAlignment="1">
      <alignment horizontal="center" vertical="center" wrapText="1"/>
    </xf>
    <xf numFmtId="3" fontId="261" fillId="0" borderId="7" xfId="0" applyNumberFormat="1" applyFont="1" applyBorder="1"/>
    <xf numFmtId="0" fontId="261" fillId="0" borderId="7" xfId="0" applyFont="1" applyBorder="1"/>
    <xf numFmtId="0" fontId="259" fillId="0" borderId="48" xfId="0" applyFont="1" applyBorder="1"/>
    <xf numFmtId="0" fontId="58" fillId="0" borderId="7" xfId="0" applyFont="1" applyFill="1" applyBorder="1" applyAlignment="1">
      <alignment horizontal="justify" vertical="center" wrapText="1"/>
    </xf>
    <xf numFmtId="0" fontId="191" fillId="0" borderId="7" xfId="0" applyFont="1" applyFill="1" applyBorder="1" applyAlignment="1">
      <alignment horizontal="center" vertical="center" wrapText="1"/>
    </xf>
    <xf numFmtId="3" fontId="191" fillId="0" borderId="7" xfId="370" applyNumberFormat="1" applyFont="1" applyFill="1" applyBorder="1" applyAlignment="1">
      <alignment vertical="center" wrapText="1"/>
    </xf>
    <xf numFmtId="4" fontId="191" fillId="0" borderId="7" xfId="370" applyNumberFormat="1" applyFont="1" applyFill="1" applyBorder="1" applyAlignment="1">
      <alignment vertical="center" wrapText="1"/>
    </xf>
    <xf numFmtId="0" fontId="58" fillId="0" borderId="0" xfId="0" applyFont="1" applyFill="1" applyAlignment="1">
      <alignment horizontal="centerContinuous" vertical="center" wrapText="1"/>
    </xf>
    <xf numFmtId="0" fontId="58" fillId="0" borderId="0" xfId="370" applyNumberFormat="1" applyFont="1" applyFill="1" applyAlignment="1">
      <alignment horizontal="centerContinuous" vertical="center" wrapText="1"/>
    </xf>
    <xf numFmtId="4" fontId="58" fillId="0" borderId="0" xfId="370" applyNumberFormat="1" applyFont="1" applyFill="1" applyAlignment="1">
      <alignment horizontal="centerContinuous" vertical="center" wrapText="1"/>
    </xf>
    <xf numFmtId="4" fontId="58" fillId="0" borderId="0" xfId="370" applyNumberFormat="1" applyFont="1" applyFill="1" applyAlignment="1">
      <alignment vertical="center"/>
    </xf>
    <xf numFmtId="0" fontId="45" fillId="0" borderId="0" xfId="0" applyFont="1" applyFill="1" applyAlignment="1">
      <alignment vertical="center"/>
    </xf>
    <xf numFmtId="4" fontId="58" fillId="0" borderId="0" xfId="370" applyNumberFormat="1" applyFont="1" applyFill="1" applyAlignment="1">
      <alignment horizontal="center" vertical="center"/>
    </xf>
    <xf numFmtId="0" fontId="58" fillId="0" borderId="0" xfId="0" applyFont="1" applyFill="1" applyAlignment="1">
      <alignment horizontal="center" vertical="center"/>
    </xf>
    <xf numFmtId="0" fontId="58" fillId="0" borderId="0" xfId="370" applyNumberFormat="1" applyFont="1" applyFill="1" applyAlignment="1">
      <alignment horizontal="left" vertical="center"/>
    </xf>
    <xf numFmtId="0" fontId="58" fillId="0" borderId="0" xfId="0" applyFont="1" applyFill="1" applyAlignment="1">
      <alignment horizontal="center" vertical="center" wrapText="1"/>
    </xf>
    <xf numFmtId="0" fontId="58" fillId="0" borderId="0" xfId="0" applyFont="1" applyFill="1" applyAlignment="1">
      <alignment vertical="center"/>
    </xf>
    <xf numFmtId="0" fontId="45" fillId="3" borderId="0" xfId="0" applyFont="1" applyFill="1" applyAlignment="1">
      <alignment vertical="center"/>
    </xf>
    <xf numFmtId="0" fontId="58" fillId="0" borderId="0" xfId="0" applyFont="1"/>
    <xf numFmtId="0" fontId="191" fillId="0" borderId="0" xfId="0" applyFont="1" applyFill="1" applyAlignment="1">
      <alignment vertical="center"/>
    </xf>
    <xf numFmtId="0" fontId="45" fillId="0" borderId="0" xfId="370" applyNumberFormat="1" applyFont="1" applyFill="1" applyAlignment="1">
      <alignment horizontal="left" vertical="center"/>
    </xf>
    <xf numFmtId="0" fontId="45" fillId="0" borderId="0" xfId="0" applyFont="1" applyFill="1" applyAlignment="1">
      <alignment vertical="center" wrapText="1"/>
    </xf>
    <xf numFmtId="4" fontId="45" fillId="0" borderId="0" xfId="370" applyNumberFormat="1" applyFont="1" applyFill="1" applyAlignment="1">
      <alignment vertical="center"/>
    </xf>
    <xf numFmtId="4" fontId="58" fillId="0" borderId="0" xfId="370" applyNumberFormat="1" applyFont="1" applyFill="1" applyBorder="1" applyAlignment="1">
      <alignment vertical="center"/>
    </xf>
    <xf numFmtId="0" fontId="58" fillId="0" borderId="7" xfId="0" applyFont="1" applyBorder="1"/>
    <xf numFmtId="0" fontId="45" fillId="0" borderId="35" xfId="0" applyFont="1" applyFill="1" applyBorder="1" applyAlignment="1">
      <alignment horizontal="center" vertical="center" wrapText="1"/>
    </xf>
    <xf numFmtId="0" fontId="45" fillId="0" borderId="35" xfId="0" applyFont="1" applyFill="1" applyBorder="1" applyAlignment="1">
      <alignment horizontal="justify" vertical="center" wrapText="1"/>
    </xf>
    <xf numFmtId="0" fontId="45" fillId="0" borderId="7" xfId="0" applyFont="1" applyFill="1" applyBorder="1" applyAlignment="1">
      <alignment horizontal="center" vertical="center"/>
    </xf>
    <xf numFmtId="0" fontId="45" fillId="0" borderId="0" xfId="0" applyFont="1" applyFill="1" applyAlignment="1">
      <alignment horizontal="center" vertical="center"/>
    </xf>
    <xf numFmtId="0" fontId="58" fillId="0" borderId="7" xfId="370" applyNumberFormat="1" applyFont="1" applyFill="1" applyBorder="1" applyAlignment="1">
      <alignment horizontal="justify" vertical="center" wrapText="1"/>
    </xf>
    <xf numFmtId="0" fontId="45" fillId="0" borderId="35" xfId="0" applyFont="1" applyFill="1" applyBorder="1" applyAlignment="1">
      <alignment horizontal="center" vertical="center"/>
    </xf>
    <xf numFmtId="3" fontId="45" fillId="0" borderId="35" xfId="370" applyNumberFormat="1" applyFont="1" applyFill="1" applyBorder="1" applyAlignment="1">
      <alignment vertical="center"/>
    </xf>
    <xf numFmtId="172" fontId="261" fillId="0" borderId="7" xfId="370" applyNumberFormat="1" applyFont="1" applyFill="1" applyBorder="1" applyAlignment="1">
      <alignment vertical="center" wrapText="1"/>
    </xf>
    <xf numFmtId="9" fontId="261" fillId="26" borderId="7" xfId="0" applyNumberFormat="1" applyFont="1" applyFill="1" applyBorder="1" applyAlignment="1">
      <alignment vertical="center"/>
    </xf>
    <xf numFmtId="0" fontId="261" fillId="0" borderId="35" xfId="0" applyFont="1" applyFill="1" applyBorder="1" applyAlignment="1">
      <alignment horizontal="center" vertical="center" wrapText="1"/>
    </xf>
    <xf numFmtId="0" fontId="262" fillId="0" borderId="35" xfId="0" applyFont="1" applyFill="1" applyBorder="1" applyAlignment="1">
      <alignment horizontal="center" vertical="center" wrapText="1"/>
    </xf>
    <xf numFmtId="4" fontId="45" fillId="0" borderId="35" xfId="370" applyNumberFormat="1" applyFont="1" applyFill="1" applyBorder="1" applyAlignment="1">
      <alignment vertical="center"/>
    </xf>
    <xf numFmtId="0" fontId="45" fillId="0" borderId="48" xfId="0" applyFont="1" applyFill="1" applyBorder="1" applyAlignment="1">
      <alignment horizontal="justify" vertical="center" wrapText="1"/>
    </xf>
    <xf numFmtId="4" fontId="45" fillId="0" borderId="48" xfId="370" applyNumberFormat="1" applyFont="1" applyFill="1" applyBorder="1" applyAlignment="1">
      <alignment vertical="center"/>
    </xf>
    <xf numFmtId="0" fontId="45" fillId="0" borderId="48" xfId="0" applyFont="1" applyFill="1" applyBorder="1" applyAlignment="1">
      <alignment horizontal="center" vertical="center"/>
    </xf>
    <xf numFmtId="0" fontId="59" fillId="0" borderId="8" xfId="604" applyNumberFormat="1" applyFont="1" applyFill="1" applyBorder="1" applyAlignment="1">
      <alignment vertical="center"/>
    </xf>
    <xf numFmtId="172" fontId="59" fillId="0" borderId="8" xfId="380" applyNumberFormat="1" applyFont="1" applyFill="1" applyBorder="1" applyAlignment="1">
      <alignment horizontal="center" vertical="center"/>
    </xf>
    <xf numFmtId="3" fontId="59" fillId="0" borderId="8" xfId="380" applyNumberFormat="1" applyFont="1" applyFill="1" applyBorder="1" applyAlignment="1">
      <alignment horizontal="right" vertical="center"/>
    </xf>
    <xf numFmtId="0" fontId="59" fillId="0" borderId="18" xfId="604" applyFont="1" applyFill="1" applyBorder="1" applyAlignment="1">
      <alignment horizontal="center" vertical="center"/>
    </xf>
    <xf numFmtId="0" fontId="59" fillId="0" borderId="18" xfId="604" applyNumberFormat="1" applyFont="1" applyFill="1" applyBorder="1" applyAlignment="1">
      <alignment horizontal="center" vertical="center"/>
    </xf>
    <xf numFmtId="3" fontId="73" fillId="0" borderId="18" xfId="604" applyNumberFormat="1" applyFont="1" applyFill="1" applyBorder="1" applyAlignment="1">
      <alignment horizontal="centerContinuous" vertical="center" wrapText="1"/>
    </xf>
    <xf numFmtId="172" fontId="59" fillId="0" borderId="7" xfId="380" applyNumberFormat="1" applyFont="1" applyFill="1" applyBorder="1" applyAlignment="1">
      <alignment horizontal="center" vertical="center"/>
    </xf>
    <xf numFmtId="242" fontId="59" fillId="0" borderId="35" xfId="604" applyNumberFormat="1" applyFont="1" applyFill="1" applyBorder="1" applyAlignment="1">
      <alignment horizontal="center" vertical="center"/>
    </xf>
    <xf numFmtId="3" fontId="59" fillId="0" borderId="35" xfId="380" applyNumberFormat="1" applyFont="1" applyFill="1" applyBorder="1" applyAlignment="1">
      <alignment horizontal="center" vertical="center"/>
    </xf>
    <xf numFmtId="0" fontId="0" fillId="0" borderId="0" xfId="0" applyAlignment="1">
      <alignment vertical="center"/>
    </xf>
    <xf numFmtId="0" fontId="205" fillId="0" borderId="0" xfId="598" quotePrefix="1" applyFont="1" applyFill="1" applyAlignment="1">
      <alignment horizontal="left" vertical="center"/>
    </xf>
    <xf numFmtId="0" fontId="59" fillId="0" borderId="0" xfId="594" applyFont="1" applyFill="1" applyAlignment="1">
      <alignment vertical="center"/>
    </xf>
    <xf numFmtId="0" fontId="241" fillId="0" borderId="0" xfId="594" applyFont="1" applyFill="1" applyAlignment="1">
      <alignment vertical="center"/>
    </xf>
    <xf numFmtId="0" fontId="242" fillId="0" borderId="0" xfId="598" quotePrefix="1" applyFont="1" applyFill="1" applyAlignment="1">
      <alignment horizontal="left" vertical="center"/>
    </xf>
    <xf numFmtId="0" fontId="0" fillId="0" borderId="0" xfId="0" applyFill="1" applyAlignment="1">
      <alignment vertical="center"/>
    </xf>
    <xf numFmtId="195" fontId="24" fillId="0" borderId="0" xfId="574" applyNumberFormat="1" applyFont="1" applyFill="1" applyAlignment="1">
      <alignment horizontal="left" vertical="center"/>
    </xf>
    <xf numFmtId="196" fontId="0" fillId="0" borderId="0" xfId="0" applyNumberFormat="1" applyAlignment="1">
      <alignment vertical="center"/>
    </xf>
    <xf numFmtId="0" fontId="244" fillId="0" borderId="0" xfId="0" applyFont="1" applyAlignment="1">
      <alignment vertical="center"/>
    </xf>
    <xf numFmtId="195" fontId="69" fillId="0" borderId="8" xfId="574" applyNumberFormat="1" applyFont="1" applyFill="1" applyBorder="1" applyAlignment="1">
      <alignment horizontal="center" vertical="center" wrapText="1"/>
    </xf>
    <xf numFmtId="0" fontId="60" fillId="0" borderId="8" xfId="574" applyFont="1" applyFill="1" applyBorder="1" applyAlignment="1">
      <alignment horizontal="center" vertical="center" wrapText="1"/>
    </xf>
    <xf numFmtId="172" fontId="60" fillId="0" borderId="4" xfId="370" applyNumberFormat="1" applyFont="1" applyFill="1" applyBorder="1" applyAlignment="1">
      <alignment vertical="center" wrapText="1"/>
    </xf>
    <xf numFmtId="172" fontId="24" fillId="0" borderId="39" xfId="370" applyNumberFormat="1" applyFont="1" applyFill="1" applyBorder="1" applyAlignment="1">
      <alignment vertical="center" wrapText="1"/>
    </xf>
    <xf numFmtId="172" fontId="60" fillId="0" borderId="39" xfId="370" applyNumberFormat="1" applyFont="1" applyFill="1" applyBorder="1" applyAlignment="1">
      <alignment vertical="center" wrapText="1"/>
    </xf>
    <xf numFmtId="0" fontId="73" fillId="0" borderId="30" xfId="0" applyFont="1" applyFill="1" applyBorder="1" applyAlignment="1">
      <alignment horizontal="center" vertical="center"/>
    </xf>
    <xf numFmtId="0" fontId="73" fillId="0" borderId="30" xfId="0" applyNumberFormat="1" applyFont="1" applyFill="1" applyBorder="1" applyAlignment="1">
      <alignment horizontal="center" vertical="center"/>
    </xf>
    <xf numFmtId="0" fontId="60" fillId="0" borderId="30" xfId="0" applyFont="1" applyFill="1" applyBorder="1" applyAlignment="1">
      <alignment horizontal="center" vertical="center"/>
    </xf>
    <xf numFmtId="0" fontId="73" fillId="0" borderId="30" xfId="370" applyNumberFormat="1" applyFont="1" applyFill="1" applyBorder="1" applyAlignment="1">
      <alignment horizontal="center" vertical="center"/>
    </xf>
    <xf numFmtId="3" fontId="73" fillId="0" borderId="30" xfId="370" applyNumberFormat="1" applyFont="1" applyFill="1" applyBorder="1" applyAlignment="1">
      <alignment horizontal="center" vertical="center"/>
    </xf>
    <xf numFmtId="0" fontId="24" fillId="0" borderId="48" xfId="0" applyFont="1" applyFill="1" applyBorder="1" applyAlignment="1">
      <alignment horizontal="left" vertical="center" indent="1"/>
    </xf>
    <xf numFmtId="0" fontId="60" fillId="0" borderId="11" xfId="0" applyNumberFormat="1" applyFont="1" applyFill="1" applyBorder="1" applyAlignment="1">
      <alignment vertical="center"/>
    </xf>
    <xf numFmtId="0" fontId="24" fillId="0" borderId="18" xfId="0" applyFont="1" applyFill="1" applyBorder="1" applyAlignment="1">
      <alignment horizontal="center" vertical="center"/>
    </xf>
    <xf numFmtId="0" fontId="61" fillId="0" borderId="18" xfId="0" applyFont="1" applyFill="1" applyBorder="1" applyAlignment="1">
      <alignment vertical="center"/>
    </xf>
    <xf numFmtId="0" fontId="60" fillId="0" borderId="18" xfId="0" applyFont="1" applyFill="1" applyBorder="1" applyAlignment="1">
      <alignment horizontal="center" vertical="center"/>
    </xf>
    <xf numFmtId="0" fontId="24" fillId="0" borderId="18" xfId="0" applyNumberFormat="1" applyFont="1" applyFill="1" applyBorder="1" applyAlignment="1">
      <alignment horizontal="center" vertical="center"/>
    </xf>
    <xf numFmtId="195" fontId="24" fillId="0" borderId="35" xfId="370" applyNumberFormat="1" applyFont="1" applyFill="1" applyBorder="1" applyAlignment="1">
      <alignment horizontal="center" vertical="center"/>
    </xf>
    <xf numFmtId="0" fontId="12" fillId="0" borderId="11" xfId="605" applyFont="1" applyFill="1" applyBorder="1" applyAlignment="1">
      <alignment horizontal="center"/>
    </xf>
    <xf numFmtId="0" fontId="24" fillId="0" borderId="11" xfId="380" applyNumberFormat="1" applyFont="1" applyFill="1" applyBorder="1" applyAlignment="1">
      <alignment horizontal="right" vertical="center"/>
    </xf>
    <xf numFmtId="3" fontId="24" fillId="0" borderId="11" xfId="380" applyNumberFormat="1" applyFont="1" applyFill="1" applyBorder="1" applyAlignment="1">
      <alignment horizontal="right" vertical="center"/>
    </xf>
    <xf numFmtId="3" fontId="60" fillId="0" borderId="11" xfId="380" applyNumberFormat="1" applyFont="1" applyFill="1" applyBorder="1" applyAlignment="1">
      <alignment horizontal="right" vertical="center"/>
    </xf>
    <xf numFmtId="176" fontId="24" fillId="0" borderId="35" xfId="0" applyNumberFormat="1" applyFont="1" applyFill="1" applyBorder="1" applyAlignment="1">
      <alignment horizontal="center" vertical="center"/>
    </xf>
    <xf numFmtId="3" fontId="24" fillId="0" borderId="35" xfId="380" applyNumberFormat="1" applyFont="1" applyFill="1" applyBorder="1" applyAlignment="1">
      <alignment horizontal="right" vertical="center"/>
    </xf>
    <xf numFmtId="0" fontId="24" fillId="0" borderId="7" xfId="0" quotePrefix="1" applyFont="1" applyFill="1" applyBorder="1" applyAlignment="1">
      <alignment horizontal="center" vertical="center"/>
    </xf>
    <xf numFmtId="0" fontId="24" fillId="0" borderId="35" xfId="0" quotePrefix="1" applyFont="1" applyFill="1" applyBorder="1" applyAlignment="1">
      <alignment horizontal="center" vertical="center"/>
    </xf>
    <xf numFmtId="0" fontId="62" fillId="0" borderId="35" xfId="404" applyNumberFormat="1" applyFont="1" applyFill="1" applyBorder="1" applyAlignment="1">
      <alignment vertical="center"/>
    </xf>
    <xf numFmtId="0" fontId="60" fillId="26" borderId="1" xfId="587" applyFont="1" applyFill="1" applyBorder="1" applyAlignment="1" applyProtection="1">
      <alignment horizontal="centerContinuous" vertical="center" wrapText="1"/>
      <protection locked="0"/>
    </xf>
    <xf numFmtId="3" fontId="60" fillId="2" borderId="15" xfId="587" applyNumberFormat="1" applyFont="1" applyFill="1" applyBorder="1" applyAlignment="1" applyProtection="1">
      <alignment horizontal="centerContinuous" vertical="center" wrapText="1"/>
      <protection locked="0"/>
    </xf>
    <xf numFmtId="3" fontId="60" fillId="2" borderId="27" xfId="587" applyNumberFormat="1" applyFont="1" applyFill="1" applyBorder="1" applyAlignment="1" applyProtection="1">
      <alignment horizontal="centerContinuous" vertical="center" wrapText="1"/>
      <protection locked="0"/>
    </xf>
    <xf numFmtId="0" fontId="60" fillId="0" borderId="1" xfId="567" applyFont="1" applyBorder="1" applyAlignment="1">
      <alignment horizontal="center" vertical="center" wrapText="1"/>
    </xf>
    <xf numFmtId="0" fontId="60" fillId="0" borderId="1" xfId="567" applyNumberFormat="1" applyFont="1" applyBorder="1" applyAlignment="1">
      <alignment horizontal="center" vertical="center" wrapText="1"/>
    </xf>
    <xf numFmtId="3" fontId="60" fillId="2" borderId="27" xfId="587" applyNumberFormat="1" applyFont="1" applyFill="1" applyBorder="1" applyAlignment="1" applyProtection="1">
      <alignment horizontal="center" vertical="center" wrapText="1"/>
      <protection locked="0"/>
    </xf>
    <xf numFmtId="0" fontId="74" fillId="0" borderId="0" xfId="602" applyFont="1" applyFill="1" applyAlignment="1">
      <alignment horizontal="centerContinuous" vertical="center" wrapText="1"/>
    </xf>
    <xf numFmtId="0" fontId="58" fillId="0" borderId="0" xfId="602" applyFont="1" applyFill="1" applyAlignment="1">
      <alignment horizontal="centerContinuous" vertical="center"/>
    </xf>
    <xf numFmtId="172" fontId="58" fillId="0" borderId="0" xfId="370" applyNumberFormat="1" applyFont="1" applyFill="1" applyAlignment="1">
      <alignment horizontal="centerContinuous" vertical="center" wrapText="1"/>
    </xf>
    <xf numFmtId="3" fontId="58" fillId="0" borderId="0" xfId="370" applyNumberFormat="1" applyFont="1" applyFill="1" applyAlignment="1">
      <alignment horizontal="centerContinuous" vertical="center" wrapText="1"/>
    </xf>
    <xf numFmtId="172" fontId="58" fillId="0" borderId="0" xfId="370" applyNumberFormat="1" applyFont="1" applyFill="1" applyBorder="1" applyAlignment="1">
      <alignment vertical="center" wrapText="1"/>
    </xf>
    <xf numFmtId="0" fontId="74" fillId="0" borderId="0" xfId="370" applyNumberFormat="1" applyFont="1" applyFill="1" applyAlignment="1">
      <alignment horizontal="centerContinuous" vertical="center" wrapText="1"/>
    </xf>
    <xf numFmtId="4" fontId="74" fillId="0" borderId="0" xfId="370" applyNumberFormat="1" applyFont="1" applyFill="1" applyAlignment="1">
      <alignment horizontal="centerContinuous" vertical="center" wrapText="1"/>
    </xf>
    <xf numFmtId="0" fontId="58" fillId="0" borderId="48" xfId="0" applyFont="1" applyFill="1" applyBorder="1" applyAlignment="1">
      <alignment horizontal="center" vertical="center" wrapText="1"/>
    </xf>
    <xf numFmtId="0" fontId="58" fillId="0" borderId="48" xfId="0" applyFont="1" applyFill="1" applyBorder="1" applyAlignment="1">
      <alignment horizontal="center" vertical="center"/>
    </xf>
    <xf numFmtId="4" fontId="58" fillId="0" borderId="48" xfId="370" applyNumberFormat="1" applyFont="1" applyFill="1" applyBorder="1" applyAlignment="1">
      <alignment vertical="center"/>
    </xf>
    <xf numFmtId="0" fontId="58" fillId="0" borderId="48" xfId="0" applyFont="1" applyFill="1" applyBorder="1" applyAlignment="1">
      <alignment horizontal="justify" vertical="center" wrapText="1"/>
    </xf>
    <xf numFmtId="3" fontId="45" fillId="0" borderId="7" xfId="0" applyNumberFormat="1" applyFont="1" applyFill="1" applyBorder="1" applyAlignment="1">
      <alignment vertical="center"/>
    </xf>
    <xf numFmtId="4" fontId="45" fillId="0" borderId="7" xfId="0" applyNumberFormat="1" applyFont="1" applyFill="1" applyBorder="1" applyAlignment="1">
      <alignment vertical="center"/>
    </xf>
    <xf numFmtId="3" fontId="58" fillId="0" borderId="7" xfId="0" applyNumberFormat="1" applyFont="1" applyFill="1" applyBorder="1" applyAlignment="1">
      <alignment vertical="center"/>
    </xf>
    <xf numFmtId="4" fontId="58" fillId="0" borderId="7" xfId="0" applyNumberFormat="1" applyFont="1" applyFill="1" applyBorder="1" applyAlignment="1">
      <alignment vertical="center"/>
    </xf>
    <xf numFmtId="3" fontId="58" fillId="0" borderId="0" xfId="370" applyNumberFormat="1" applyFont="1" applyFill="1" applyBorder="1" applyAlignment="1">
      <alignment vertical="center"/>
    </xf>
    <xf numFmtId="3" fontId="45" fillId="0" borderId="0" xfId="370" applyNumberFormat="1" applyFont="1" applyFill="1" applyBorder="1" applyAlignment="1">
      <alignment vertical="center"/>
    </xf>
    <xf numFmtId="3" fontId="45" fillId="29" borderId="0" xfId="370" applyNumberFormat="1" applyFont="1" applyFill="1" applyBorder="1" applyAlignment="1">
      <alignment vertical="center"/>
    </xf>
    <xf numFmtId="3" fontId="45" fillId="0" borderId="0" xfId="0" applyNumberFormat="1" applyFont="1"/>
    <xf numFmtId="3" fontId="45" fillId="20" borderId="0" xfId="370" applyNumberFormat="1" applyFont="1" applyFill="1" applyBorder="1" applyAlignment="1">
      <alignment vertical="center"/>
    </xf>
    <xf numFmtId="3" fontId="58" fillId="0" borderId="0" xfId="0" applyNumberFormat="1" applyFont="1"/>
    <xf numFmtId="3" fontId="191" fillId="0" borderId="0" xfId="370" applyNumberFormat="1" applyFont="1" applyFill="1" applyBorder="1" applyAlignment="1">
      <alignment vertical="center"/>
    </xf>
    <xf numFmtId="3" fontId="58" fillId="0" borderId="0" xfId="0" applyNumberFormat="1" applyFont="1" applyFill="1" applyAlignment="1">
      <alignment vertical="center"/>
    </xf>
    <xf numFmtId="0" fontId="251" fillId="0" borderId="7" xfId="0" applyFont="1" applyFill="1" applyBorder="1" applyAlignment="1">
      <alignment horizontal="center" vertical="center" wrapText="1"/>
    </xf>
    <xf numFmtId="0" fontId="257" fillId="0" borderId="7" xfId="0" applyFont="1" applyFill="1" applyBorder="1" applyAlignment="1">
      <alignment horizontal="center" vertical="center" wrapText="1"/>
    </xf>
    <xf numFmtId="0" fontId="263" fillId="0" borderId="7" xfId="0" applyFont="1" applyFill="1" applyBorder="1" applyAlignment="1">
      <alignment horizontal="center" vertical="center" wrapText="1"/>
    </xf>
    <xf numFmtId="0" fontId="264" fillId="0" borderId="7" xfId="0" applyFont="1" applyFill="1" applyBorder="1" applyAlignment="1">
      <alignment horizontal="center" vertical="center" wrapText="1"/>
    </xf>
    <xf numFmtId="0" fontId="60" fillId="0" borderId="35" xfId="0" applyFont="1" applyBorder="1"/>
    <xf numFmtId="3" fontId="45" fillId="0" borderId="0" xfId="370" applyNumberFormat="1" applyFont="1" applyFill="1" applyAlignment="1">
      <alignment vertical="center"/>
    </xf>
    <xf numFmtId="3" fontId="58" fillId="0" borderId="48" xfId="370" applyNumberFormat="1" applyFont="1" applyFill="1" applyBorder="1" applyAlignment="1">
      <alignment vertical="center"/>
    </xf>
    <xf numFmtId="3" fontId="45" fillId="0" borderId="48" xfId="370" applyNumberFormat="1" applyFont="1" applyFill="1" applyBorder="1" applyAlignment="1">
      <alignment vertical="center"/>
    </xf>
    <xf numFmtId="0" fontId="268" fillId="0" borderId="0" xfId="940" applyFont="1" applyFill="1" applyAlignment="1">
      <alignment vertical="center"/>
    </xf>
    <xf numFmtId="2" fontId="24" fillId="0" borderId="0" xfId="940" applyNumberFormat="1" applyFont="1" applyFill="1" applyBorder="1" applyAlignment="1" applyProtection="1">
      <alignment vertical="center"/>
      <protection locked="0"/>
    </xf>
    <xf numFmtId="0" fontId="271" fillId="0" borderId="57" xfId="940" applyFont="1" applyFill="1" applyBorder="1" applyAlignment="1">
      <alignment horizontal="center" vertical="center" wrapText="1"/>
    </xf>
    <xf numFmtId="0" fontId="59" fillId="0" borderId="0" xfId="940" applyFont="1" applyFill="1" applyAlignment="1">
      <alignment vertical="center"/>
    </xf>
    <xf numFmtId="0" fontId="185" fillId="0" borderId="61" xfId="940" applyFont="1" applyFill="1" applyBorder="1" applyAlignment="1">
      <alignment horizontal="center" vertical="center"/>
    </xf>
    <xf numFmtId="172" fontId="59" fillId="0" borderId="0" xfId="940" applyNumberFormat="1" applyFont="1" applyFill="1" applyAlignment="1">
      <alignment vertical="center"/>
    </xf>
    <xf numFmtId="172" fontId="58" fillId="0" borderId="0" xfId="942" applyNumberFormat="1" applyFont="1" applyAlignment="1">
      <alignment horizontal="justify" vertical="center"/>
    </xf>
    <xf numFmtId="0" fontId="272" fillId="0" borderId="0" xfId="940" applyFont="1" applyFill="1" applyAlignment="1">
      <alignment horizontal="centerContinuous" vertical="center"/>
    </xf>
    <xf numFmtId="0" fontId="249" fillId="0" borderId="7" xfId="0" applyFont="1" applyFill="1" applyBorder="1" applyAlignment="1">
      <alignment horizontal="center" vertical="center" wrapText="1"/>
    </xf>
    <xf numFmtId="207" fontId="249" fillId="0" borderId="7" xfId="0" applyNumberFormat="1" applyFont="1" applyFill="1" applyBorder="1" applyAlignment="1">
      <alignment vertical="center" wrapText="1"/>
    </xf>
    <xf numFmtId="0" fontId="250" fillId="30" borderId="27" xfId="0" applyFont="1" applyFill="1" applyBorder="1" applyAlignment="1">
      <alignment horizontal="center" vertical="center" wrapText="1"/>
    </xf>
    <xf numFmtId="0" fontId="70" fillId="30" borderId="27" xfId="0" applyFont="1" applyFill="1" applyBorder="1" applyAlignment="1">
      <alignment horizontal="center" vertical="center" wrapText="1"/>
    </xf>
    <xf numFmtId="0" fontId="261" fillId="30" borderId="27" xfId="0" applyFont="1" applyFill="1" applyBorder="1" applyAlignment="1">
      <alignment horizontal="center" vertical="center" wrapText="1"/>
    </xf>
    <xf numFmtId="0" fontId="262" fillId="30" borderId="27" xfId="0" applyFont="1" applyFill="1" applyBorder="1" applyAlignment="1">
      <alignment horizontal="center" vertical="center" wrapText="1"/>
    </xf>
    <xf numFmtId="4" fontId="58" fillId="0" borderId="0" xfId="0" applyNumberFormat="1" applyFont="1" applyFill="1" applyAlignment="1">
      <alignment vertical="center"/>
    </xf>
    <xf numFmtId="0" fontId="185" fillId="0" borderId="64" xfId="940" applyFont="1" applyFill="1" applyBorder="1" applyAlignment="1">
      <alignment horizontal="center" vertical="center"/>
    </xf>
    <xf numFmtId="0" fontId="271" fillId="27" borderId="54" xfId="940" applyFont="1" applyFill="1" applyBorder="1" applyAlignment="1">
      <alignment horizontal="center" vertical="center"/>
    </xf>
    <xf numFmtId="169" fontId="271" fillId="27" borderId="56" xfId="941" applyFont="1" applyFill="1" applyBorder="1" applyAlignment="1">
      <alignment horizontal="center" vertical="center"/>
    </xf>
    <xf numFmtId="0" fontId="269" fillId="0" borderId="0" xfId="940" applyFont="1" applyFill="1" applyAlignment="1">
      <alignment vertical="center"/>
    </xf>
    <xf numFmtId="0" fontId="270" fillId="0" borderId="0" xfId="940" applyFont="1" applyFill="1" applyAlignment="1">
      <alignment horizontal="center" vertical="center"/>
    </xf>
    <xf numFmtId="0" fontId="59" fillId="0" borderId="0" xfId="940" applyFont="1" applyFill="1" applyAlignment="1">
      <alignment horizontal="centerContinuous" vertical="center"/>
    </xf>
    <xf numFmtId="0" fontId="59" fillId="0" borderId="0" xfId="940" applyFont="1" applyFill="1" applyAlignment="1">
      <alignment horizontal="center" vertical="center"/>
    </xf>
    <xf numFmtId="0" fontId="45" fillId="0" borderId="0" xfId="940" applyFont="1" applyFill="1" applyAlignment="1">
      <alignment horizontal="center" vertical="center"/>
    </xf>
    <xf numFmtId="0" fontId="45" fillId="0" borderId="0" xfId="940" applyFont="1" applyFill="1" applyAlignment="1">
      <alignment vertical="center"/>
    </xf>
    <xf numFmtId="37" fontId="271" fillId="0" borderId="66" xfId="941" applyNumberFormat="1" applyFont="1" applyFill="1" applyBorder="1" applyAlignment="1">
      <alignment vertical="center"/>
    </xf>
    <xf numFmtId="37" fontId="185" fillId="0" borderId="0" xfId="940" applyNumberFormat="1" applyFont="1" applyFill="1" applyBorder="1" applyAlignment="1">
      <alignment vertical="center"/>
    </xf>
    <xf numFmtId="37" fontId="271" fillId="0" borderId="0" xfId="941" applyNumberFormat="1" applyFont="1" applyFill="1" applyBorder="1" applyAlignment="1">
      <alignment vertical="center"/>
    </xf>
    <xf numFmtId="0" fontId="185" fillId="0" borderId="66" xfId="940" applyFont="1" applyFill="1" applyBorder="1" applyAlignment="1">
      <alignment vertical="center"/>
    </xf>
    <xf numFmtId="3" fontId="185" fillId="0" borderId="0" xfId="940" applyNumberFormat="1" applyFont="1" applyFill="1" applyBorder="1" applyAlignment="1">
      <alignment vertical="center"/>
    </xf>
    <xf numFmtId="37" fontId="271" fillId="0" borderId="0" xfId="940" applyNumberFormat="1" applyFont="1" applyFill="1" applyBorder="1" applyAlignment="1">
      <alignment vertical="center"/>
    </xf>
    <xf numFmtId="0" fontId="59" fillId="0" borderId="0" xfId="940" applyFont="1" applyFill="1" applyBorder="1" applyAlignment="1">
      <alignment vertical="center"/>
    </xf>
    <xf numFmtId="37" fontId="59" fillId="0" borderId="0" xfId="940" applyNumberFormat="1" applyFont="1" applyFill="1" applyBorder="1" applyAlignment="1">
      <alignment vertical="center"/>
    </xf>
    <xf numFmtId="172" fontId="59" fillId="0" borderId="66" xfId="941" applyNumberFormat="1" applyFont="1" applyFill="1" applyBorder="1" applyAlignment="1">
      <alignment vertical="center"/>
    </xf>
    <xf numFmtId="172" fontId="59" fillId="0" borderId="0" xfId="940" applyNumberFormat="1" applyFont="1" applyFill="1" applyBorder="1" applyAlignment="1">
      <alignment vertical="center"/>
    </xf>
    <xf numFmtId="0" fontId="24" fillId="0" borderId="35" xfId="587" applyFont="1" applyBorder="1" applyAlignment="1" applyProtection="1">
      <alignment horizontal="center" vertical="center"/>
      <protection locked="0"/>
    </xf>
    <xf numFmtId="0" fontId="24" fillId="0" borderId="35" xfId="587" applyFont="1" applyBorder="1" applyAlignment="1" applyProtection="1">
      <alignment horizontal="left" vertical="center" wrapText="1"/>
      <protection locked="0"/>
    </xf>
    <xf numFmtId="3" fontId="24" fillId="0" borderId="35" xfId="567" applyNumberFormat="1" applyFont="1" applyBorder="1" applyAlignment="1">
      <alignment horizontal="right" vertical="center"/>
    </xf>
    <xf numFmtId="172" fontId="24" fillId="0" borderId="33" xfId="0" applyNumberFormat="1" applyFont="1" applyFill="1" applyBorder="1" applyAlignment="1">
      <alignment horizontal="center" vertical="center"/>
    </xf>
    <xf numFmtId="1" fontId="60" fillId="0" borderId="1" xfId="370" applyNumberFormat="1" applyFont="1" applyFill="1" applyBorder="1" applyAlignment="1">
      <alignment horizontal="center" vertical="center"/>
    </xf>
    <xf numFmtId="169" fontId="60" fillId="0" borderId="1" xfId="370" applyFont="1" applyFill="1" applyBorder="1" applyAlignment="1">
      <alignment horizontal="center" vertical="center"/>
    </xf>
    <xf numFmtId="169" fontId="60" fillId="0" borderId="1" xfId="370" applyFont="1" applyFill="1" applyBorder="1" applyAlignment="1">
      <alignment horizontal="center" vertical="center" wrapText="1"/>
    </xf>
    <xf numFmtId="0" fontId="73" fillId="0" borderId="1" xfId="0" applyFont="1" applyFill="1" applyBorder="1" applyAlignment="1">
      <alignment horizontal="centerContinuous" vertical="center" wrapText="1"/>
    </xf>
    <xf numFmtId="0" fontId="73" fillId="0" borderId="1" xfId="0" applyFont="1" applyFill="1" applyBorder="1" applyAlignment="1">
      <alignment horizontal="left" vertical="center" wrapText="1"/>
    </xf>
    <xf numFmtId="169" fontId="60" fillId="0" borderId="1" xfId="370" applyFont="1" applyFill="1" applyBorder="1" applyAlignment="1">
      <alignment vertical="center"/>
    </xf>
    <xf numFmtId="0" fontId="73" fillId="0" borderId="1" xfId="0" applyFont="1" applyFill="1" applyBorder="1" applyAlignment="1">
      <alignment horizontal="center" vertical="center" wrapText="1"/>
    </xf>
    <xf numFmtId="3" fontId="73" fillId="0" borderId="1" xfId="370" applyNumberFormat="1" applyFont="1" applyFill="1" applyBorder="1" applyAlignment="1">
      <alignment horizontal="center" vertical="center" wrapText="1"/>
    </xf>
    <xf numFmtId="3" fontId="73" fillId="0" borderId="1" xfId="0" applyNumberFormat="1" applyFont="1" applyFill="1" applyBorder="1" applyAlignment="1">
      <alignment horizontal="center" vertical="center" wrapText="1"/>
    </xf>
    <xf numFmtId="1" fontId="24" fillId="0" borderId="18" xfId="0" applyNumberFormat="1" applyFont="1" applyFill="1" applyBorder="1" applyAlignment="1">
      <alignment horizontal="center" vertical="center"/>
    </xf>
    <xf numFmtId="0" fontId="24" fillId="0" borderId="18" xfId="370" applyNumberFormat="1" applyFont="1" applyFill="1" applyBorder="1" applyAlignment="1">
      <alignment vertical="center"/>
    </xf>
    <xf numFmtId="172" fontId="24" fillId="3" borderId="35" xfId="370" applyNumberFormat="1" applyFont="1" applyFill="1" applyBorder="1" applyAlignment="1">
      <alignment vertical="center"/>
    </xf>
    <xf numFmtId="1" fontId="58" fillId="0" borderId="0" xfId="0" applyNumberFormat="1" applyFont="1" applyFill="1" applyAlignment="1">
      <alignment horizontal="centerContinuous" vertical="center"/>
    </xf>
    <xf numFmtId="211" fontId="70" fillId="0" borderId="30" xfId="0" applyNumberFormat="1" applyFont="1" applyFill="1" applyBorder="1" applyAlignment="1">
      <alignment horizontal="center" vertical="center"/>
    </xf>
    <xf numFmtId="3" fontId="60" fillId="3" borderId="33" xfId="0" applyNumberFormat="1" applyFont="1" applyFill="1" applyBorder="1" applyAlignment="1">
      <alignment vertical="center"/>
    </xf>
    <xf numFmtId="3" fontId="60" fillId="3" borderId="7" xfId="0" applyNumberFormat="1" applyFont="1" applyFill="1" applyBorder="1" applyAlignment="1">
      <alignment vertical="center"/>
    </xf>
    <xf numFmtId="0" fontId="60" fillId="0" borderId="35" xfId="0" applyFont="1" applyBorder="1" applyAlignment="1">
      <alignment vertical="center"/>
    </xf>
    <xf numFmtId="3" fontId="60" fillId="0" borderId="0" xfId="0" applyNumberFormat="1" applyFont="1" applyFill="1" applyBorder="1" applyAlignment="1">
      <alignment vertical="center"/>
    </xf>
    <xf numFmtId="0" fontId="24" fillId="0" borderId="0" xfId="0" applyNumberFormat="1" applyFont="1" applyFill="1" applyBorder="1" applyAlignment="1">
      <alignment horizontal="center" vertical="center"/>
    </xf>
    <xf numFmtId="0" fontId="274" fillId="30" borderId="27" xfId="0" applyFont="1" applyFill="1" applyBorder="1" applyAlignment="1">
      <alignment horizontal="justify" vertical="center" wrapText="1"/>
    </xf>
    <xf numFmtId="0" fontId="274" fillId="30" borderId="27" xfId="0" applyFont="1" applyFill="1" applyBorder="1" applyAlignment="1">
      <alignment horizontal="center" vertical="center" wrapText="1"/>
    </xf>
    <xf numFmtId="207" fontId="274" fillId="30" borderId="27" xfId="0" applyNumberFormat="1" applyFont="1" applyFill="1" applyBorder="1" applyAlignment="1">
      <alignment vertical="center" wrapText="1"/>
    </xf>
    <xf numFmtId="3" fontId="274" fillId="30" borderId="27" xfId="370" applyNumberFormat="1" applyFont="1" applyFill="1" applyBorder="1" applyAlignment="1">
      <alignment vertical="center" wrapText="1"/>
    </xf>
    <xf numFmtId="0" fontId="275" fillId="0" borderId="7" xfId="0" applyFont="1" applyFill="1" applyBorder="1" applyAlignment="1">
      <alignment horizontal="justify" vertical="center" wrapText="1"/>
    </xf>
    <xf numFmtId="0" fontId="276" fillId="0" borderId="7" xfId="0" applyFont="1" applyFill="1" applyBorder="1" applyAlignment="1">
      <alignment horizontal="center" vertical="center" wrapText="1"/>
    </xf>
    <xf numFmtId="207" fontId="276" fillId="0" borderId="7" xfId="0" applyNumberFormat="1" applyFont="1" applyFill="1" applyBorder="1" applyAlignment="1">
      <alignment vertical="center" wrapText="1"/>
    </xf>
    <xf numFmtId="3" fontId="276" fillId="0" borderId="7" xfId="370" applyNumberFormat="1" applyFont="1" applyFill="1" applyBorder="1" applyAlignment="1">
      <alignment vertical="center" wrapText="1"/>
    </xf>
    <xf numFmtId="3" fontId="275" fillId="31" borderId="7" xfId="370" applyNumberFormat="1" applyFont="1" applyFill="1" applyBorder="1" applyAlignment="1">
      <alignment vertical="center" wrapText="1"/>
    </xf>
    <xf numFmtId="0" fontId="276" fillId="0" borderId="7" xfId="0" applyFont="1" applyFill="1" applyBorder="1" applyAlignment="1">
      <alignment horizontal="justify" vertical="center" wrapText="1"/>
    </xf>
    <xf numFmtId="3" fontId="275" fillId="32" borderId="7" xfId="370" applyNumberFormat="1" applyFont="1" applyFill="1" applyBorder="1" applyAlignment="1">
      <alignment vertical="center" wrapText="1"/>
    </xf>
    <xf numFmtId="3" fontId="275" fillId="3" borderId="7" xfId="370" applyNumberFormat="1" applyFont="1" applyFill="1" applyBorder="1" applyAlignment="1">
      <alignment vertical="center" wrapText="1"/>
    </xf>
    <xf numFmtId="0" fontId="275" fillId="26" borderId="7" xfId="0" applyFont="1" applyFill="1" applyBorder="1" applyAlignment="1">
      <alignment vertical="center" wrapText="1"/>
    </xf>
    <xf numFmtId="9" fontId="275" fillId="26" borderId="7" xfId="0" applyNumberFormat="1" applyFont="1" applyFill="1" applyBorder="1" applyAlignment="1">
      <alignment horizontal="center" vertical="center"/>
    </xf>
    <xf numFmtId="207" fontId="275" fillId="0" borderId="7" xfId="0" applyNumberFormat="1" applyFont="1" applyFill="1" applyBorder="1" applyAlignment="1">
      <alignment vertical="center" wrapText="1"/>
    </xf>
    <xf numFmtId="3" fontId="275" fillId="0" borderId="7" xfId="370" applyNumberFormat="1" applyFont="1" applyFill="1" applyBorder="1" applyAlignment="1">
      <alignment vertical="center" wrapText="1"/>
    </xf>
    <xf numFmtId="3" fontId="275" fillId="26" borderId="7" xfId="0" applyNumberFormat="1" applyFont="1" applyFill="1" applyBorder="1" applyAlignment="1">
      <alignment vertical="center"/>
    </xf>
    <xf numFmtId="0" fontId="274" fillId="26" borderId="7" xfId="0" applyFont="1" applyFill="1" applyBorder="1" applyAlignment="1">
      <alignment vertical="center"/>
    </xf>
    <xf numFmtId="0" fontId="274" fillId="26" borderId="7" xfId="0" applyFont="1" applyFill="1" applyBorder="1" applyAlignment="1">
      <alignment horizontal="center" vertical="center"/>
    </xf>
    <xf numFmtId="207" fontId="274" fillId="0" borderId="7" xfId="0" applyNumberFormat="1" applyFont="1" applyFill="1" applyBorder="1" applyAlignment="1">
      <alignment vertical="center" wrapText="1"/>
    </xf>
    <xf numFmtId="3" fontId="274" fillId="0" borderId="7" xfId="370" applyNumberFormat="1" applyFont="1" applyFill="1" applyBorder="1" applyAlignment="1">
      <alignment vertical="center" wrapText="1"/>
    </xf>
    <xf numFmtId="3" fontId="274" fillId="26" borderId="7" xfId="0" applyNumberFormat="1" applyFont="1" applyFill="1" applyBorder="1" applyAlignment="1">
      <alignment vertical="center"/>
    </xf>
    <xf numFmtId="0" fontId="276" fillId="26" borderId="7" xfId="0" applyFont="1" applyFill="1" applyBorder="1" applyAlignment="1">
      <alignment vertical="center"/>
    </xf>
    <xf numFmtId="191" fontId="276" fillId="26" borderId="7" xfId="0" applyNumberFormat="1" applyFont="1" applyFill="1" applyBorder="1" applyAlignment="1">
      <alignment horizontal="center" vertical="center"/>
    </xf>
    <xf numFmtId="3" fontId="276" fillId="26" borderId="7" xfId="0" applyNumberFormat="1" applyFont="1" applyFill="1" applyBorder="1" applyAlignment="1">
      <alignment vertical="center"/>
    </xf>
    <xf numFmtId="9" fontId="276" fillId="26" borderId="7" xfId="0" applyNumberFormat="1" applyFont="1" applyFill="1" applyBorder="1" applyAlignment="1">
      <alignment horizontal="center" vertical="center"/>
    </xf>
    <xf numFmtId="0" fontId="277" fillId="30" borderId="27" xfId="0" applyFont="1" applyFill="1" applyBorder="1" applyAlignment="1">
      <alignment horizontal="justify" vertical="center" wrapText="1"/>
    </xf>
    <xf numFmtId="0" fontId="277" fillId="30" borderId="27" xfId="0" applyFont="1" applyFill="1" applyBorder="1" applyAlignment="1">
      <alignment horizontal="center" vertical="center" wrapText="1"/>
    </xf>
    <xf numFmtId="207" fontId="277" fillId="30" borderId="27" xfId="0" applyNumberFormat="1" applyFont="1" applyFill="1" applyBorder="1" applyAlignment="1">
      <alignment vertical="center" wrapText="1"/>
    </xf>
    <xf numFmtId="3" fontId="277" fillId="30" borderId="27" xfId="0" applyNumberFormat="1" applyFont="1" applyFill="1" applyBorder="1" applyAlignment="1">
      <alignment vertical="center"/>
    </xf>
    <xf numFmtId="0" fontId="278" fillId="0" borderId="7" xfId="0" applyFont="1" applyFill="1" applyBorder="1" applyAlignment="1">
      <alignment horizontal="justify" vertical="center" wrapText="1"/>
    </xf>
    <xf numFmtId="0" fontId="279" fillId="0" borderId="7" xfId="0" applyFont="1" applyFill="1" applyBorder="1" applyAlignment="1">
      <alignment horizontal="center" vertical="center" wrapText="1"/>
    </xf>
    <xf numFmtId="207" fontId="279" fillId="0" borderId="7" xfId="0" applyNumberFormat="1" applyFont="1" applyFill="1" applyBorder="1" applyAlignment="1">
      <alignment vertical="center" wrapText="1"/>
    </xf>
    <xf numFmtId="3" fontId="279" fillId="0" borderId="7" xfId="0" applyNumberFormat="1" applyFont="1" applyBorder="1" applyAlignment="1">
      <alignment vertical="center"/>
    </xf>
    <xf numFmtId="3" fontId="278" fillId="31" borderId="7" xfId="0" applyNumberFormat="1" applyFont="1" applyFill="1" applyBorder="1" applyAlignment="1">
      <alignment vertical="center"/>
    </xf>
    <xf numFmtId="0" fontId="279" fillId="0" borderId="7" xfId="0" applyFont="1" applyFill="1" applyBorder="1" applyAlignment="1">
      <alignment horizontal="justify" vertical="center" wrapText="1"/>
    </xf>
    <xf numFmtId="3" fontId="278" fillId="32" borderId="7" xfId="0" applyNumberFormat="1" applyFont="1" applyFill="1" applyBorder="1" applyAlignment="1">
      <alignment vertical="center"/>
    </xf>
    <xf numFmtId="3" fontId="278" fillId="0" borderId="7" xfId="0" applyNumberFormat="1" applyFont="1" applyBorder="1" applyAlignment="1">
      <alignment vertical="center"/>
    </xf>
    <xf numFmtId="0" fontId="278" fillId="0" borderId="7" xfId="0" applyFont="1" applyBorder="1" applyAlignment="1">
      <alignment vertical="center"/>
    </xf>
    <xf numFmtId="9" fontId="278" fillId="26" borderId="7" xfId="0" applyNumberFormat="1" applyFont="1" applyFill="1" applyBorder="1" applyAlignment="1">
      <alignment horizontal="center" vertical="center"/>
    </xf>
    <xf numFmtId="207" fontId="278" fillId="0" borderId="7" xfId="0" applyNumberFormat="1" applyFont="1" applyFill="1" applyBorder="1" applyAlignment="1">
      <alignment vertical="center" wrapText="1"/>
    </xf>
    <xf numFmtId="0" fontId="277" fillId="0" borderId="7" xfId="0" applyFont="1" applyBorder="1" applyAlignment="1">
      <alignment vertical="center"/>
    </xf>
    <xf numFmtId="0" fontId="277" fillId="0" borderId="7" xfId="0" applyFont="1" applyBorder="1" applyAlignment="1">
      <alignment horizontal="center" vertical="center"/>
    </xf>
    <xf numFmtId="207" fontId="277" fillId="0" borderId="7" xfId="0" applyNumberFormat="1" applyFont="1" applyFill="1" applyBorder="1" applyAlignment="1">
      <alignment vertical="center" wrapText="1"/>
    </xf>
    <xf numFmtId="3" fontId="277" fillId="0" borderId="7" xfId="0" applyNumberFormat="1" applyFont="1" applyBorder="1" applyAlignment="1">
      <alignment vertical="center"/>
    </xf>
    <xf numFmtId="0" fontId="279" fillId="0" borderId="7" xfId="0" applyFont="1" applyBorder="1" applyAlignment="1">
      <alignment vertical="center"/>
    </xf>
    <xf numFmtId="191" fontId="279" fillId="26" borderId="7" xfId="0" applyNumberFormat="1" applyFont="1" applyFill="1" applyBorder="1" applyAlignment="1">
      <alignment horizontal="center" vertical="center"/>
    </xf>
    <xf numFmtId="191" fontId="277" fillId="26" borderId="7" xfId="0" applyNumberFormat="1" applyFont="1" applyFill="1" applyBorder="1" applyAlignment="1">
      <alignment horizontal="center" vertical="center"/>
    </xf>
    <xf numFmtId="9" fontId="279" fillId="26" borderId="7" xfId="0" applyNumberFormat="1" applyFont="1" applyFill="1" applyBorder="1" applyAlignment="1">
      <alignment horizontal="center" vertical="center"/>
    </xf>
    <xf numFmtId="191" fontId="274" fillId="30" borderId="27" xfId="0" applyNumberFormat="1" applyFont="1" applyFill="1" applyBorder="1" applyAlignment="1">
      <alignment horizontal="center" vertical="center"/>
    </xf>
    <xf numFmtId="3" fontId="274" fillId="30" borderId="27" xfId="0" applyNumberFormat="1" applyFont="1" applyFill="1" applyBorder="1" applyAlignment="1">
      <alignment vertical="center" wrapText="1"/>
    </xf>
    <xf numFmtId="191" fontId="274" fillId="26" borderId="7" xfId="0" applyNumberFormat="1" applyFont="1" applyFill="1" applyBorder="1" applyAlignment="1">
      <alignment horizontal="center" vertical="center"/>
    </xf>
    <xf numFmtId="3" fontId="59" fillId="0" borderId="7" xfId="370" applyNumberFormat="1" applyFont="1" applyFill="1" applyBorder="1" applyAlignment="1">
      <alignment vertical="center" wrapText="1"/>
    </xf>
    <xf numFmtId="3" fontId="276" fillId="0" borderId="7" xfId="370" applyNumberFormat="1" applyFont="1" applyFill="1" applyBorder="1" applyAlignment="1" applyProtection="1">
      <alignment vertical="center" wrapText="1"/>
      <protection hidden="1"/>
    </xf>
    <xf numFmtId="191" fontId="277" fillId="30" borderId="27" xfId="0" applyNumberFormat="1" applyFont="1" applyFill="1" applyBorder="1" applyAlignment="1">
      <alignment horizontal="center" vertical="center"/>
    </xf>
    <xf numFmtId="3" fontId="76" fillId="30" borderId="27" xfId="0" applyNumberFormat="1" applyFont="1" applyFill="1" applyBorder="1" applyAlignment="1">
      <alignment vertical="center"/>
    </xf>
    <xf numFmtId="3" fontId="59" fillId="0" borderId="7" xfId="0" applyNumberFormat="1" applyFont="1" applyBorder="1" applyAlignment="1">
      <alignment vertical="center"/>
    </xf>
    <xf numFmtId="3" fontId="280" fillId="31" borderId="7" xfId="0" applyNumberFormat="1" applyFont="1" applyFill="1" applyBorder="1" applyAlignment="1">
      <alignment vertical="center"/>
    </xf>
    <xf numFmtId="3" fontId="280" fillId="32" borderId="7" xfId="0" applyNumberFormat="1" applyFont="1" applyFill="1" applyBorder="1" applyAlignment="1">
      <alignment vertical="center"/>
    </xf>
    <xf numFmtId="3" fontId="280" fillId="0" borderId="7" xfId="0" applyNumberFormat="1" applyFont="1" applyBorder="1" applyAlignment="1">
      <alignment vertical="center"/>
    </xf>
    <xf numFmtId="0" fontId="280" fillId="0" borderId="7" xfId="0" applyFont="1" applyBorder="1" applyAlignment="1">
      <alignment vertical="center"/>
    </xf>
    <xf numFmtId="0" fontId="76" fillId="0" borderId="7" xfId="0" applyFont="1" applyBorder="1" applyAlignment="1">
      <alignment vertical="center"/>
    </xf>
    <xf numFmtId="3" fontId="76" fillId="0" borderId="7" xfId="0" applyNumberFormat="1" applyFont="1" applyBorder="1" applyAlignment="1">
      <alignment vertical="center"/>
    </xf>
    <xf numFmtId="0" fontId="59" fillId="0" borderId="7" xfId="0" applyFont="1" applyBorder="1" applyAlignment="1">
      <alignment vertical="center"/>
    </xf>
    <xf numFmtId="0" fontId="76" fillId="30" borderId="27" xfId="0" applyFont="1" applyFill="1" applyBorder="1" applyAlignment="1">
      <alignment horizontal="justify" vertical="center" wrapText="1"/>
    </xf>
    <xf numFmtId="207" fontId="76" fillId="30" borderId="27" xfId="0" applyNumberFormat="1" applyFont="1" applyFill="1" applyBorder="1" applyAlignment="1">
      <alignment vertical="center" wrapText="1"/>
    </xf>
    <xf numFmtId="3" fontId="76" fillId="30" borderId="27" xfId="370" applyNumberFormat="1" applyFont="1" applyFill="1" applyBorder="1" applyAlignment="1">
      <alignment vertical="center" wrapText="1"/>
    </xf>
    <xf numFmtId="3" fontId="76" fillId="30" borderId="27" xfId="0" applyNumberFormat="1" applyFont="1" applyFill="1" applyBorder="1" applyAlignment="1">
      <alignment vertical="center" wrapText="1"/>
    </xf>
    <xf numFmtId="0" fontId="280" fillId="0" borderId="7" xfId="0" applyFont="1" applyFill="1" applyBorder="1" applyAlignment="1">
      <alignment horizontal="justify" vertical="center" wrapText="1"/>
    </xf>
    <xf numFmtId="207" fontId="59" fillId="0" borderId="7" xfId="0" applyNumberFormat="1" applyFont="1" applyFill="1" applyBorder="1" applyAlignment="1">
      <alignment vertical="center" wrapText="1"/>
    </xf>
    <xf numFmtId="3" fontId="280" fillId="31" borderId="7" xfId="370" applyNumberFormat="1" applyFont="1" applyFill="1" applyBorder="1" applyAlignment="1">
      <alignment vertical="center" wrapText="1"/>
    </xf>
    <xf numFmtId="0" fontId="59" fillId="0" borderId="7" xfId="0" applyFont="1" applyFill="1" applyBorder="1" applyAlignment="1">
      <alignment horizontal="justify" vertical="center" wrapText="1"/>
    </xf>
    <xf numFmtId="3" fontId="280" fillId="32" borderId="7" xfId="370" applyNumberFormat="1" applyFont="1" applyFill="1" applyBorder="1" applyAlignment="1">
      <alignment vertical="center" wrapText="1"/>
    </xf>
    <xf numFmtId="0" fontId="280" fillId="26" borderId="7" xfId="0" applyFont="1" applyFill="1" applyBorder="1" applyAlignment="1">
      <alignment vertical="center" wrapText="1"/>
    </xf>
    <xf numFmtId="207" fontId="280" fillId="0" borderId="7" xfId="0" applyNumberFormat="1" applyFont="1" applyFill="1" applyBorder="1" applyAlignment="1">
      <alignment vertical="center" wrapText="1"/>
    </xf>
    <xf numFmtId="3" fontId="280" fillId="0" borderId="7" xfId="370" applyNumberFormat="1" applyFont="1" applyFill="1" applyBorder="1" applyAlignment="1">
      <alignment vertical="center" wrapText="1"/>
    </xf>
    <xf numFmtId="3" fontId="280" fillId="26" borderId="7" xfId="0" applyNumberFormat="1" applyFont="1" applyFill="1" applyBorder="1" applyAlignment="1">
      <alignment vertical="center"/>
    </xf>
    <xf numFmtId="0" fontId="76" fillId="26" borderId="7" xfId="0" applyFont="1" applyFill="1" applyBorder="1" applyAlignment="1">
      <alignment vertical="center"/>
    </xf>
    <xf numFmtId="207" fontId="76" fillId="0" borderId="7" xfId="0" applyNumberFormat="1" applyFont="1" applyFill="1" applyBorder="1" applyAlignment="1">
      <alignment vertical="center" wrapText="1"/>
    </xf>
    <xf numFmtId="3" fontId="76" fillId="0" borderId="7" xfId="370" applyNumberFormat="1" applyFont="1" applyFill="1" applyBorder="1" applyAlignment="1">
      <alignment vertical="center" wrapText="1"/>
    </xf>
    <xf numFmtId="3" fontId="76" fillId="26" borderId="7" xfId="0" applyNumberFormat="1" applyFont="1" applyFill="1" applyBorder="1" applyAlignment="1">
      <alignment vertical="center"/>
    </xf>
    <xf numFmtId="0" fontId="59" fillId="26" borderId="7" xfId="0" applyFont="1" applyFill="1" applyBorder="1" applyAlignment="1">
      <alignment vertical="center"/>
    </xf>
    <xf numFmtId="3" fontId="59" fillId="26" borderId="7" xfId="0" applyNumberFormat="1" applyFont="1" applyFill="1" applyBorder="1" applyAlignment="1">
      <alignment vertical="center"/>
    </xf>
    <xf numFmtId="3" fontId="277" fillId="30" borderId="27" xfId="370" applyNumberFormat="1" applyFont="1" applyFill="1" applyBorder="1" applyAlignment="1">
      <alignment vertical="center" wrapText="1"/>
    </xf>
    <xf numFmtId="3" fontId="279" fillId="0" borderId="7" xfId="370" applyNumberFormat="1" applyFont="1" applyFill="1" applyBorder="1" applyAlignment="1">
      <alignment vertical="center" wrapText="1"/>
    </xf>
    <xf numFmtId="3" fontId="278" fillId="31" borderId="7" xfId="370" applyNumberFormat="1" applyFont="1" applyFill="1" applyBorder="1" applyAlignment="1">
      <alignment vertical="center" wrapText="1"/>
    </xf>
    <xf numFmtId="3" fontId="278" fillId="32" borderId="7" xfId="370" applyNumberFormat="1" applyFont="1" applyFill="1" applyBorder="1" applyAlignment="1">
      <alignment vertical="center" wrapText="1"/>
    </xf>
    <xf numFmtId="3" fontId="278" fillId="3" borderId="7" xfId="370" applyNumberFormat="1" applyFont="1" applyFill="1" applyBorder="1" applyAlignment="1">
      <alignment vertical="center" wrapText="1"/>
    </xf>
    <xf numFmtId="0" fontId="278" fillId="26" borderId="7" xfId="0" applyFont="1" applyFill="1" applyBorder="1" applyAlignment="1">
      <alignment vertical="center" wrapText="1"/>
    </xf>
    <xf numFmtId="3" fontId="278" fillId="0" borderId="7" xfId="370" applyNumberFormat="1" applyFont="1" applyFill="1" applyBorder="1" applyAlignment="1">
      <alignment vertical="center" wrapText="1"/>
    </xf>
    <xf numFmtId="3" fontId="278" fillId="26" borderId="7" xfId="0" applyNumberFormat="1" applyFont="1" applyFill="1" applyBorder="1" applyAlignment="1">
      <alignment vertical="center"/>
    </xf>
    <xf numFmtId="0" fontId="277" fillId="26" borderId="7" xfId="0" applyFont="1" applyFill="1" applyBorder="1" applyAlignment="1">
      <alignment vertical="center"/>
    </xf>
    <xf numFmtId="3" fontId="277" fillId="0" borderId="7" xfId="370" applyNumberFormat="1" applyFont="1" applyFill="1" applyBorder="1" applyAlignment="1">
      <alignment vertical="center" wrapText="1"/>
    </xf>
    <xf numFmtId="3" fontId="277" fillId="26" borderId="7" xfId="0" applyNumberFormat="1" applyFont="1" applyFill="1" applyBorder="1" applyAlignment="1">
      <alignment vertical="center"/>
    </xf>
    <xf numFmtId="0" fontId="279" fillId="26" borderId="7" xfId="0" applyFont="1" applyFill="1" applyBorder="1" applyAlignment="1">
      <alignment vertical="center"/>
    </xf>
    <xf numFmtId="3" fontId="279" fillId="26" borderId="7" xfId="0" applyNumberFormat="1" applyFont="1" applyFill="1" applyBorder="1" applyAlignment="1">
      <alignment vertical="center"/>
    </xf>
    <xf numFmtId="3" fontId="277" fillId="30" borderId="27" xfId="0" applyNumberFormat="1" applyFont="1" applyFill="1" applyBorder="1" applyAlignment="1">
      <alignment vertical="center" wrapText="1"/>
    </xf>
    <xf numFmtId="3" fontId="277" fillId="30" borderId="27" xfId="370" applyNumberFormat="1" applyFont="1" applyFill="1" applyBorder="1" applyAlignment="1" applyProtection="1">
      <alignment vertical="center" wrapText="1"/>
      <protection hidden="1"/>
    </xf>
    <xf numFmtId="3" fontId="279" fillId="0" borderId="7" xfId="370" applyNumberFormat="1" applyFont="1" applyFill="1" applyBorder="1" applyAlignment="1" applyProtection="1">
      <alignment vertical="center" wrapText="1"/>
      <protection hidden="1"/>
    </xf>
    <xf numFmtId="3" fontId="278" fillId="31" borderId="7" xfId="370" applyNumberFormat="1" applyFont="1" applyFill="1" applyBorder="1" applyAlignment="1" applyProtection="1">
      <alignment vertical="center" wrapText="1"/>
      <protection hidden="1"/>
    </xf>
    <xf numFmtId="3" fontId="279" fillId="0" borderId="7" xfId="370" applyNumberFormat="1" applyFont="1" applyFill="1" applyBorder="1" applyAlignment="1">
      <alignment horizontal="center" vertical="center" wrapText="1"/>
    </xf>
    <xf numFmtId="3" fontId="278" fillId="3" borderId="7" xfId="370" applyNumberFormat="1" applyFont="1" applyFill="1" applyBorder="1" applyAlignment="1" applyProtection="1">
      <alignment vertical="center" wrapText="1"/>
      <protection hidden="1"/>
    </xf>
    <xf numFmtId="3" fontId="278" fillId="30" borderId="27" xfId="370" applyNumberFormat="1" applyFont="1" applyFill="1" applyBorder="1" applyAlignment="1">
      <alignment vertical="center" wrapText="1"/>
    </xf>
    <xf numFmtId="3" fontId="274" fillId="30" borderId="27" xfId="370" applyNumberFormat="1" applyFont="1" applyFill="1" applyBorder="1" applyAlignment="1" applyProtection="1">
      <alignment vertical="center" wrapText="1"/>
      <protection hidden="1"/>
    </xf>
    <xf numFmtId="3" fontId="274" fillId="30" borderId="27" xfId="370" applyNumberFormat="1" applyFont="1" applyFill="1" applyBorder="1" applyAlignment="1">
      <alignment horizontal="center" vertical="center" wrapText="1"/>
    </xf>
    <xf numFmtId="3" fontId="276" fillId="0" borderId="7" xfId="370" applyNumberFormat="1" applyFont="1" applyFill="1" applyBorder="1" applyAlignment="1">
      <alignment horizontal="center" vertical="center" wrapText="1"/>
    </xf>
    <xf numFmtId="3" fontId="275" fillId="31" borderId="7" xfId="370" applyNumberFormat="1" applyFont="1" applyFill="1" applyBorder="1" applyAlignment="1" applyProtection="1">
      <alignment vertical="center" wrapText="1"/>
      <protection hidden="1"/>
    </xf>
    <xf numFmtId="3" fontId="281" fillId="0" borderId="7" xfId="370" applyNumberFormat="1" applyFont="1" applyFill="1" applyBorder="1" applyAlignment="1">
      <alignment vertical="center" wrapText="1"/>
    </xf>
    <xf numFmtId="0" fontId="279" fillId="30" borderId="27" xfId="0" applyFont="1" applyFill="1" applyBorder="1" applyAlignment="1">
      <alignment horizontal="justify" vertical="center" wrapText="1"/>
    </xf>
    <xf numFmtId="0" fontId="279" fillId="30" borderId="27" xfId="0" applyFont="1" applyFill="1" applyBorder="1" applyAlignment="1">
      <alignment horizontal="center" vertical="center" wrapText="1"/>
    </xf>
    <xf numFmtId="207" fontId="279" fillId="30" borderId="27" xfId="0" applyNumberFormat="1" applyFont="1" applyFill="1" applyBorder="1" applyAlignment="1">
      <alignment vertical="center" wrapText="1"/>
    </xf>
    <xf numFmtId="172" fontId="279" fillId="30" borderId="27" xfId="370" applyNumberFormat="1" applyFont="1" applyFill="1" applyBorder="1" applyAlignment="1">
      <alignment vertical="center" wrapText="1"/>
    </xf>
    <xf numFmtId="3" fontId="279" fillId="30" borderId="27" xfId="370" applyNumberFormat="1" applyFont="1" applyFill="1" applyBorder="1" applyAlignment="1">
      <alignment vertical="center" wrapText="1"/>
    </xf>
    <xf numFmtId="172" fontId="279" fillId="0" borderId="7" xfId="370" applyNumberFormat="1" applyFont="1" applyFill="1" applyBorder="1" applyAlignment="1">
      <alignment vertical="center" wrapText="1"/>
    </xf>
    <xf numFmtId="3" fontId="281" fillId="3" borderId="7" xfId="370" applyNumberFormat="1" applyFont="1" applyFill="1" applyBorder="1" applyAlignment="1">
      <alignment vertical="center" wrapText="1"/>
    </xf>
    <xf numFmtId="172" fontId="279" fillId="0" borderId="7" xfId="370" applyNumberFormat="1" applyFont="1" applyFill="1" applyBorder="1" applyAlignment="1" applyProtection="1">
      <alignment vertical="center" wrapText="1"/>
      <protection hidden="1"/>
    </xf>
    <xf numFmtId="9" fontId="279" fillId="26" borderId="7" xfId="0" applyNumberFormat="1" applyFont="1" applyFill="1" applyBorder="1" applyAlignment="1">
      <alignment vertical="center"/>
    </xf>
    <xf numFmtId="280" fontId="278" fillId="26" borderId="7" xfId="0" applyNumberFormat="1" applyFont="1" applyFill="1" applyBorder="1" applyAlignment="1">
      <alignment vertical="center"/>
    </xf>
    <xf numFmtId="191" fontId="279" fillId="26" borderId="7" xfId="0" applyNumberFormat="1" applyFont="1" applyFill="1" applyBorder="1" applyAlignment="1">
      <alignment vertical="center"/>
    </xf>
    <xf numFmtId="0" fontId="277" fillId="26" borderId="35" xfId="0" applyFont="1" applyFill="1" applyBorder="1" applyAlignment="1">
      <alignment vertical="center"/>
    </xf>
    <xf numFmtId="207" fontId="279" fillId="0" borderId="35" xfId="0" applyNumberFormat="1" applyFont="1" applyFill="1" applyBorder="1" applyAlignment="1">
      <alignment vertical="center" wrapText="1"/>
    </xf>
    <xf numFmtId="172" fontId="279" fillId="0" borderId="35" xfId="370" applyNumberFormat="1" applyFont="1" applyFill="1" applyBorder="1" applyAlignment="1">
      <alignment vertical="center" wrapText="1"/>
    </xf>
    <xf numFmtId="3" fontId="277" fillId="14" borderId="35" xfId="0" applyNumberFormat="1" applyFont="1" applyFill="1" applyBorder="1" applyAlignment="1">
      <alignment vertical="center"/>
    </xf>
    <xf numFmtId="280" fontId="277" fillId="26" borderId="7" xfId="0" applyNumberFormat="1" applyFont="1" applyFill="1" applyBorder="1" applyAlignment="1">
      <alignment vertical="center"/>
    </xf>
    <xf numFmtId="0" fontId="276" fillId="30" borderId="27" xfId="0" applyFont="1" applyFill="1" applyBorder="1" applyAlignment="1">
      <alignment horizontal="justify" vertical="center" wrapText="1"/>
    </xf>
    <xf numFmtId="0" fontId="276" fillId="30" borderId="27" xfId="0" applyFont="1" applyFill="1" applyBorder="1" applyAlignment="1">
      <alignment horizontal="center" vertical="center" wrapText="1"/>
    </xf>
    <xf numFmtId="207" fontId="276" fillId="30" borderId="27" xfId="0" applyNumberFormat="1" applyFont="1" applyFill="1" applyBorder="1" applyAlignment="1">
      <alignment vertical="center" wrapText="1"/>
    </xf>
    <xf numFmtId="172" fontId="276" fillId="30" borderId="27" xfId="370" applyNumberFormat="1" applyFont="1" applyFill="1" applyBorder="1" applyAlignment="1">
      <alignment vertical="center" wrapText="1"/>
    </xf>
    <xf numFmtId="3" fontId="276" fillId="30" borderId="27" xfId="370" applyNumberFormat="1" applyFont="1" applyFill="1" applyBorder="1" applyAlignment="1">
      <alignment vertical="center" wrapText="1"/>
    </xf>
    <xf numFmtId="172" fontId="276" fillId="0" borderId="7" xfId="370" applyNumberFormat="1" applyFont="1" applyFill="1" applyBorder="1" applyAlignment="1">
      <alignment vertical="center" wrapText="1"/>
    </xf>
    <xf numFmtId="3" fontId="282" fillId="3" borderId="7" xfId="370" applyNumberFormat="1" applyFont="1" applyFill="1" applyBorder="1" applyAlignment="1">
      <alignment vertical="center" wrapText="1"/>
    </xf>
    <xf numFmtId="9" fontId="276" fillId="26" borderId="7" xfId="0" applyNumberFormat="1" applyFont="1" applyFill="1" applyBorder="1" applyAlignment="1">
      <alignment vertical="center"/>
    </xf>
    <xf numFmtId="280" fontId="274" fillId="26" borderId="7" xfId="0" applyNumberFormat="1" applyFont="1" applyFill="1" applyBorder="1" applyAlignment="1">
      <alignment vertical="center"/>
    </xf>
    <xf numFmtId="191" fontId="276" fillId="26" borderId="7" xfId="0" applyNumberFormat="1" applyFont="1" applyFill="1" applyBorder="1" applyAlignment="1">
      <alignment vertical="center"/>
    </xf>
    <xf numFmtId="0" fontId="274" fillId="26" borderId="35" xfId="0" applyFont="1" applyFill="1" applyBorder="1" applyAlignment="1">
      <alignment vertical="center"/>
    </xf>
    <xf numFmtId="207" fontId="276" fillId="0" borderId="35" xfId="0" applyNumberFormat="1" applyFont="1" applyFill="1" applyBorder="1" applyAlignment="1">
      <alignment vertical="center" wrapText="1"/>
    </xf>
    <xf numFmtId="172" fontId="276" fillId="0" borderId="35" xfId="370" applyNumberFormat="1" applyFont="1" applyFill="1" applyBorder="1" applyAlignment="1">
      <alignment vertical="center" wrapText="1"/>
    </xf>
    <xf numFmtId="0" fontId="59" fillId="30" borderId="27" xfId="0" applyFont="1" applyFill="1" applyBorder="1" applyAlignment="1">
      <alignment horizontal="justify" vertical="center" wrapText="1"/>
    </xf>
    <xf numFmtId="0" fontId="59" fillId="30" borderId="27" xfId="0" applyFont="1" applyFill="1" applyBorder="1" applyAlignment="1">
      <alignment horizontal="center" vertical="center" wrapText="1"/>
    </xf>
    <xf numFmtId="207" fontId="59" fillId="30" borderId="27" xfId="0" applyNumberFormat="1" applyFont="1" applyFill="1" applyBorder="1" applyAlignment="1">
      <alignment vertical="center" wrapText="1"/>
    </xf>
    <xf numFmtId="172" fontId="59" fillId="30" borderId="27" xfId="370" applyNumberFormat="1" applyFont="1" applyFill="1" applyBorder="1" applyAlignment="1">
      <alignment vertical="center" wrapText="1"/>
    </xf>
    <xf numFmtId="3" fontId="59" fillId="30" borderId="27" xfId="370" applyNumberFormat="1" applyFont="1" applyFill="1" applyBorder="1" applyAlignment="1">
      <alignment vertical="center" wrapText="1"/>
    </xf>
    <xf numFmtId="0" fontId="59" fillId="0" borderId="7" xfId="0" applyFont="1" applyFill="1" applyBorder="1" applyAlignment="1">
      <alignment horizontal="center" vertical="center" wrapText="1"/>
    </xf>
    <xf numFmtId="172" fontId="59" fillId="0" borderId="7" xfId="370" applyNumberFormat="1" applyFont="1" applyFill="1" applyBorder="1" applyAlignment="1">
      <alignment vertical="center" wrapText="1"/>
    </xf>
    <xf numFmtId="3" fontId="283" fillId="3" borderId="7" xfId="370" applyNumberFormat="1" applyFont="1" applyFill="1" applyBorder="1" applyAlignment="1">
      <alignment vertical="center" wrapText="1"/>
    </xf>
    <xf numFmtId="9" fontId="59" fillId="26" borderId="7" xfId="0" applyNumberFormat="1" applyFont="1" applyFill="1" applyBorder="1" applyAlignment="1">
      <alignment vertical="center"/>
    </xf>
    <xf numFmtId="280" fontId="76" fillId="26" borderId="7" xfId="0" applyNumberFormat="1" applyFont="1" applyFill="1" applyBorder="1" applyAlignment="1">
      <alignment vertical="center"/>
    </xf>
    <xf numFmtId="191" fontId="59" fillId="26" borderId="7" xfId="0" applyNumberFormat="1" applyFont="1" applyFill="1" applyBorder="1" applyAlignment="1">
      <alignment vertical="center"/>
    </xf>
    <xf numFmtId="0" fontId="76" fillId="26" borderId="35" xfId="0" applyFont="1" applyFill="1" applyBorder="1" applyAlignment="1">
      <alignment vertical="center"/>
    </xf>
    <xf numFmtId="207" fontId="59" fillId="0" borderId="35" xfId="0" applyNumberFormat="1" applyFont="1" applyFill="1" applyBorder="1" applyAlignment="1">
      <alignment vertical="center" wrapText="1"/>
    </xf>
    <xf numFmtId="172" fontId="59" fillId="0" borderId="35" xfId="370" applyNumberFormat="1" applyFont="1" applyFill="1" applyBorder="1" applyAlignment="1">
      <alignment vertical="center" wrapText="1"/>
    </xf>
    <xf numFmtId="3" fontId="76" fillId="14" borderId="35" xfId="0" applyNumberFormat="1" applyFont="1" applyFill="1" applyBorder="1" applyAlignment="1">
      <alignment vertical="center"/>
    </xf>
    <xf numFmtId="3" fontId="279" fillId="30" borderId="27" xfId="0" applyNumberFormat="1" applyFont="1" applyFill="1" applyBorder="1" applyAlignment="1">
      <alignment vertical="center" wrapText="1"/>
    </xf>
    <xf numFmtId="172" fontId="279" fillId="30" borderId="27" xfId="370" applyNumberFormat="1" applyFont="1" applyFill="1" applyBorder="1" applyAlignment="1" applyProtection="1">
      <alignment vertical="center" wrapText="1"/>
      <protection hidden="1"/>
    </xf>
    <xf numFmtId="3" fontId="279" fillId="30" borderId="27" xfId="370" applyNumberFormat="1" applyFont="1" applyFill="1" applyBorder="1" applyAlignment="1" applyProtection="1">
      <alignment vertical="center" wrapText="1"/>
      <protection hidden="1"/>
    </xf>
    <xf numFmtId="172" fontId="279" fillId="0" borderId="7" xfId="370" applyNumberFormat="1" applyFont="1" applyFill="1" applyBorder="1" applyAlignment="1">
      <alignment horizontal="center" vertical="center" wrapText="1"/>
    </xf>
    <xf numFmtId="3" fontId="281" fillId="3" borderId="7" xfId="370" applyNumberFormat="1" applyFont="1" applyFill="1" applyBorder="1" applyAlignment="1" applyProtection="1">
      <alignment vertical="center" wrapText="1"/>
      <protection hidden="1"/>
    </xf>
    <xf numFmtId="3" fontId="279" fillId="0" borderId="7" xfId="370" applyNumberFormat="1" applyFont="1" applyFill="1" applyBorder="1" applyAlignment="1">
      <alignment horizontal="right" vertical="center" wrapText="1"/>
    </xf>
    <xf numFmtId="0" fontId="279" fillId="0" borderId="7" xfId="0" applyNumberFormat="1" applyFont="1" applyFill="1" applyBorder="1" applyAlignment="1">
      <alignment vertical="center" wrapText="1"/>
    </xf>
    <xf numFmtId="172" fontId="59" fillId="0" borderId="7" xfId="370" applyNumberFormat="1" applyFont="1" applyFill="1" applyBorder="1" applyAlignment="1" applyProtection="1">
      <alignment vertical="center" wrapText="1"/>
      <protection hidden="1"/>
    </xf>
    <xf numFmtId="3" fontId="59" fillId="0" borderId="7" xfId="370" applyNumberFormat="1" applyFont="1" applyFill="1" applyBorder="1" applyAlignment="1">
      <alignment horizontal="right" vertical="center" wrapText="1"/>
    </xf>
    <xf numFmtId="3" fontId="281" fillId="3" borderId="7" xfId="0" applyNumberFormat="1" applyFont="1" applyFill="1" applyBorder="1" applyAlignment="1">
      <alignment vertical="center" wrapText="1"/>
    </xf>
    <xf numFmtId="0" fontId="59" fillId="0" borderId="11" xfId="0" applyFont="1" applyFill="1" applyBorder="1" applyAlignment="1">
      <alignment horizontal="justify" vertical="center" wrapText="1"/>
    </xf>
    <xf numFmtId="0" fontId="59" fillId="0" borderId="11" xfId="0" applyFont="1" applyFill="1" applyBorder="1" applyAlignment="1">
      <alignment horizontal="center" vertical="center" wrapText="1"/>
    </xf>
    <xf numFmtId="207" fontId="59" fillId="0" borderId="11" xfId="0" applyNumberFormat="1" applyFont="1" applyFill="1" applyBorder="1" applyAlignment="1">
      <alignment vertical="center" wrapText="1"/>
    </xf>
    <xf numFmtId="9" fontId="59" fillId="26" borderId="7" xfId="0" applyNumberFormat="1" applyFont="1" applyFill="1" applyBorder="1" applyAlignment="1">
      <alignment horizontal="center" vertical="center"/>
    </xf>
    <xf numFmtId="280" fontId="280" fillId="26" borderId="7" xfId="0" applyNumberFormat="1" applyFont="1" applyFill="1" applyBorder="1" applyAlignment="1">
      <alignment vertical="center"/>
    </xf>
    <xf numFmtId="0" fontId="76" fillId="26" borderId="7" xfId="0" applyFont="1" applyFill="1" applyBorder="1" applyAlignment="1">
      <alignment horizontal="center" vertical="center"/>
    </xf>
    <xf numFmtId="191" fontId="59" fillId="26" borderId="7" xfId="0" applyNumberFormat="1" applyFont="1" applyFill="1" applyBorder="1" applyAlignment="1">
      <alignment horizontal="center" vertical="center"/>
    </xf>
    <xf numFmtId="0" fontId="76" fillId="26" borderId="35" xfId="0" applyFont="1" applyFill="1" applyBorder="1" applyAlignment="1">
      <alignment horizontal="center" vertical="center"/>
    </xf>
    <xf numFmtId="0" fontId="71" fillId="0" borderId="11" xfId="0" applyFont="1" applyFill="1" applyBorder="1" applyAlignment="1">
      <alignment horizontal="center" vertical="center" wrapText="1"/>
    </xf>
    <xf numFmtId="0" fontId="76" fillId="0" borderId="11" xfId="0" applyFont="1" applyFill="1" applyBorder="1" applyAlignment="1">
      <alignment horizontal="justify" vertical="center" wrapText="1"/>
    </xf>
    <xf numFmtId="0" fontId="76" fillId="0" borderId="11" xfId="0" applyFont="1" applyFill="1" applyBorder="1" applyAlignment="1">
      <alignment horizontal="center" vertical="center" wrapText="1"/>
    </xf>
    <xf numFmtId="207" fontId="76" fillId="0" borderId="11" xfId="0" applyNumberFormat="1" applyFont="1" applyFill="1" applyBorder="1" applyAlignment="1">
      <alignment vertical="center" wrapText="1"/>
    </xf>
    <xf numFmtId="172" fontId="76" fillId="0" borderId="11" xfId="370" applyNumberFormat="1" applyFont="1" applyFill="1" applyBorder="1" applyAlignment="1">
      <alignment vertical="center" wrapText="1"/>
    </xf>
    <xf numFmtId="3" fontId="76" fillId="0" borderId="11" xfId="370" applyNumberFormat="1" applyFont="1" applyFill="1" applyBorder="1" applyAlignment="1">
      <alignment vertical="center" wrapText="1"/>
    </xf>
    <xf numFmtId="245" fontId="45" fillId="0" borderId="7" xfId="370" applyNumberFormat="1" applyFont="1" applyFill="1" applyBorder="1" applyAlignment="1">
      <alignment vertical="center" wrapText="1"/>
    </xf>
    <xf numFmtId="245" fontId="58" fillId="0" borderId="7" xfId="370" applyNumberFormat="1" applyFont="1" applyFill="1" applyBorder="1" applyAlignment="1">
      <alignment vertical="center" wrapText="1"/>
    </xf>
    <xf numFmtId="245" fontId="45" fillId="0" borderId="7" xfId="370" applyNumberFormat="1" applyFont="1" applyFill="1" applyBorder="1" applyAlignment="1">
      <alignment vertical="center"/>
    </xf>
    <xf numFmtId="195" fontId="58" fillId="0" borderId="0" xfId="370" applyNumberFormat="1" applyFont="1" applyFill="1" applyBorder="1" applyAlignment="1">
      <alignment horizontal="center" vertical="center"/>
    </xf>
    <xf numFmtId="0" fontId="58" fillId="0" borderId="69" xfId="0" applyFont="1" applyFill="1" applyBorder="1" applyAlignment="1">
      <alignment horizontal="center" vertical="center" wrapText="1"/>
    </xf>
    <xf numFmtId="3" fontId="58" fillId="0" borderId="70" xfId="370" applyNumberFormat="1" applyFont="1" applyFill="1" applyBorder="1" applyAlignment="1">
      <alignment vertical="center" wrapText="1"/>
    </xf>
    <xf numFmtId="0" fontId="58" fillId="0" borderId="60" xfId="0" applyFont="1" applyFill="1" applyBorder="1" applyAlignment="1">
      <alignment horizontal="center" vertical="center" wrapText="1"/>
    </xf>
    <xf numFmtId="3" fontId="58" fillId="0" borderId="59" xfId="370" applyNumberFormat="1" applyFont="1" applyFill="1" applyBorder="1" applyAlignment="1">
      <alignment vertical="center" wrapText="1"/>
    </xf>
    <xf numFmtId="175" fontId="58" fillId="0" borderId="60" xfId="0" applyNumberFormat="1" applyFont="1" applyFill="1" applyBorder="1" applyAlignment="1">
      <alignment horizontal="center" vertical="center" wrapText="1"/>
    </xf>
    <xf numFmtId="0" fontId="45" fillId="0" borderId="60" xfId="0" applyFont="1" applyFill="1" applyBorder="1" applyAlignment="1">
      <alignment horizontal="center" vertical="center" wrapText="1"/>
    </xf>
    <xf numFmtId="3" fontId="45" fillId="0" borderId="59" xfId="370" applyNumberFormat="1" applyFont="1" applyFill="1" applyBorder="1" applyAlignment="1">
      <alignment vertical="center" wrapText="1"/>
    </xf>
    <xf numFmtId="0" fontId="58" fillId="0" borderId="60" xfId="0" applyFont="1" applyBorder="1" applyAlignment="1">
      <alignment horizontal="center"/>
    </xf>
    <xf numFmtId="0" fontId="58" fillId="0" borderId="59" xfId="0" applyFont="1" applyBorder="1"/>
    <xf numFmtId="0" fontId="191" fillId="0" borderId="60" xfId="0" applyFont="1" applyFill="1" applyBorder="1" applyAlignment="1">
      <alignment horizontal="center" vertical="center" wrapText="1"/>
    </xf>
    <xf numFmtId="3" fontId="191" fillId="0" borderId="59" xfId="370" applyNumberFormat="1" applyFont="1" applyFill="1" applyBorder="1" applyAlignment="1">
      <alignment vertical="center" wrapText="1"/>
    </xf>
    <xf numFmtId="0" fontId="45" fillId="0" borderId="60" xfId="0" applyFont="1" applyFill="1" applyBorder="1" applyAlignment="1">
      <alignment horizontal="center" vertical="center"/>
    </xf>
    <xf numFmtId="0" fontId="58" fillId="0" borderId="71" xfId="0" applyFont="1" applyFill="1" applyBorder="1" applyAlignment="1">
      <alignment horizontal="center" vertical="center"/>
    </xf>
    <xf numFmtId="3" fontId="58" fillId="0" borderId="72" xfId="370" applyNumberFormat="1" applyFont="1" applyFill="1" applyBorder="1" applyAlignment="1">
      <alignment vertical="center" wrapText="1"/>
    </xf>
    <xf numFmtId="0" fontId="45" fillId="0" borderId="71" xfId="0" applyFont="1" applyFill="1" applyBorder="1" applyAlignment="1">
      <alignment horizontal="center" vertical="center"/>
    </xf>
    <xf numFmtId="0" fontId="45" fillId="0" borderId="61" xfId="0" applyFont="1" applyFill="1" applyBorder="1" applyAlignment="1">
      <alignment horizontal="center" vertical="center" wrapText="1"/>
    </xf>
    <xf numFmtId="0" fontId="58" fillId="0" borderId="62" xfId="0" applyFont="1" applyFill="1" applyBorder="1" applyAlignment="1">
      <alignment horizontal="center" vertical="center" wrapText="1"/>
    </xf>
    <xf numFmtId="0" fontId="45" fillId="0" borderId="62" xfId="0" applyFont="1" applyFill="1" applyBorder="1" applyAlignment="1">
      <alignment horizontal="center" vertical="center" wrapText="1"/>
    </xf>
    <xf numFmtId="4" fontId="45" fillId="0" borderId="62" xfId="370" applyNumberFormat="1" applyFont="1" applyFill="1" applyBorder="1" applyAlignment="1">
      <alignment vertical="center" wrapText="1"/>
    </xf>
    <xf numFmtId="3" fontId="45" fillId="0" borderId="62" xfId="370" applyNumberFormat="1" applyFont="1" applyFill="1" applyBorder="1" applyAlignment="1">
      <alignment vertical="center" wrapText="1"/>
    </xf>
    <xf numFmtId="3" fontId="58" fillId="0" borderId="63" xfId="370" applyNumberFormat="1" applyFont="1" applyFill="1" applyBorder="1" applyAlignment="1">
      <alignment vertical="center" wrapText="1"/>
    </xf>
    <xf numFmtId="0" fontId="45" fillId="0" borderId="0" xfId="0" applyFont="1" applyFill="1" applyBorder="1" applyAlignment="1">
      <alignment vertical="top"/>
    </xf>
    <xf numFmtId="0" fontId="45" fillId="0" borderId="0" xfId="0" applyFont="1" applyFill="1" applyBorder="1" applyAlignment="1">
      <alignment horizontal="center" vertical="center"/>
    </xf>
    <xf numFmtId="0" fontId="191" fillId="0" borderId="0" xfId="0" applyFont="1" applyFill="1" applyBorder="1" applyAlignment="1">
      <alignment horizontal="left" vertical="center"/>
    </xf>
    <xf numFmtId="0" fontId="45" fillId="0" borderId="0" xfId="0" applyFont="1" applyFill="1" applyBorder="1" applyAlignment="1">
      <alignment horizontal="center" vertical="top"/>
    </xf>
    <xf numFmtId="169" fontId="45" fillId="0" borderId="0" xfId="370" applyFont="1" applyFill="1" applyBorder="1"/>
    <xf numFmtId="3" fontId="58" fillId="0" borderId="0" xfId="370" applyNumberFormat="1" applyFont="1" applyFill="1" applyBorder="1"/>
    <xf numFmtId="0" fontId="45" fillId="0" borderId="0" xfId="0" applyFont="1" applyFill="1" applyBorder="1"/>
    <xf numFmtId="0" fontId="58" fillId="0" borderId="0" xfId="0" applyFont="1" applyFill="1" applyBorder="1" applyAlignment="1">
      <alignment horizontal="left" vertical="center" wrapText="1"/>
    </xf>
    <xf numFmtId="0" fontId="271" fillId="0" borderId="0" xfId="587" applyNumberFormat="1" applyFont="1" applyAlignment="1">
      <alignment horizontal="centerContinuous" vertical="center"/>
    </xf>
    <xf numFmtId="37" fontId="78" fillId="0" borderId="58" xfId="941" applyNumberFormat="1" applyFont="1" applyFill="1" applyBorder="1" applyAlignment="1">
      <alignment vertical="center"/>
    </xf>
    <xf numFmtId="37" fontId="78" fillId="0" borderId="59" xfId="941" applyNumberFormat="1" applyFont="1" applyFill="1" applyBorder="1" applyAlignment="1">
      <alignment vertical="center"/>
    </xf>
    <xf numFmtId="37" fontId="78" fillId="0" borderId="65" xfId="940" applyNumberFormat="1" applyFont="1" applyFill="1" applyBorder="1" applyAlignment="1">
      <alignment vertical="center"/>
    </xf>
    <xf numFmtId="37" fontId="78" fillId="0" borderId="63" xfId="940" applyNumberFormat="1" applyFont="1" applyFill="1" applyBorder="1" applyAlignment="1">
      <alignment vertical="center"/>
    </xf>
    <xf numFmtId="4" fontId="276" fillId="0" borderId="7" xfId="0" applyNumberFormat="1" applyFont="1" applyFill="1" applyBorder="1" applyAlignment="1">
      <alignment vertical="center" wrapText="1"/>
    </xf>
    <xf numFmtId="281" fontId="58" fillId="33" borderId="1" xfId="0" applyNumberFormat="1" applyFont="1" applyFill="1" applyBorder="1" applyAlignment="1">
      <alignment horizontal="center" vertical="center"/>
    </xf>
    <xf numFmtId="0" fontId="58" fillId="33" borderId="1" xfId="0" applyFont="1" applyFill="1" applyBorder="1" applyAlignment="1">
      <alignment horizontal="justify" vertical="center" wrapText="1"/>
    </xf>
    <xf numFmtId="0" fontId="58" fillId="33" borderId="1" xfId="0" applyFont="1" applyFill="1" applyBorder="1" applyAlignment="1">
      <alignment horizontal="center" vertical="center" wrapText="1"/>
    </xf>
    <xf numFmtId="4" fontId="58" fillId="33" borderId="1" xfId="370" applyNumberFormat="1" applyFont="1" applyFill="1" applyBorder="1" applyAlignment="1">
      <alignment vertical="center"/>
    </xf>
    <xf numFmtId="3" fontId="58" fillId="33" borderId="1" xfId="370" applyNumberFormat="1" applyFont="1" applyFill="1" applyBorder="1" applyAlignment="1">
      <alignment vertical="center"/>
    </xf>
    <xf numFmtId="0" fontId="45" fillId="33" borderId="7" xfId="0" applyFont="1" applyFill="1" applyBorder="1" applyAlignment="1">
      <alignment horizontal="center" vertical="center"/>
    </xf>
    <xf numFmtId="0" fontId="45" fillId="33" borderId="7" xfId="0" applyFont="1" applyFill="1" applyBorder="1" applyAlignment="1">
      <alignment horizontal="justify" vertical="center" wrapText="1"/>
    </xf>
    <xf numFmtId="0" fontId="45" fillId="33" borderId="7" xfId="0" applyFont="1" applyFill="1" applyBorder="1" applyAlignment="1">
      <alignment horizontal="center" vertical="center" wrapText="1"/>
    </xf>
    <xf numFmtId="3" fontId="45" fillId="33" borderId="7" xfId="370" applyNumberFormat="1" applyFont="1" applyFill="1" applyBorder="1" applyAlignment="1">
      <alignment vertical="center"/>
    </xf>
    <xf numFmtId="195" fontId="279" fillId="0" borderId="7" xfId="0" applyNumberFormat="1" applyFont="1" applyFill="1" applyBorder="1" applyAlignment="1">
      <alignment vertical="center" wrapText="1"/>
    </xf>
    <xf numFmtId="4" fontId="279" fillId="0" borderId="7" xfId="0" applyNumberFormat="1" applyFont="1" applyFill="1" applyBorder="1" applyAlignment="1">
      <alignment vertical="center" wrapText="1"/>
    </xf>
    <xf numFmtId="245" fontId="279" fillId="0" borderId="7" xfId="0" applyNumberFormat="1" applyFont="1" applyFill="1" applyBorder="1" applyAlignment="1">
      <alignment vertical="center" wrapText="1"/>
    </xf>
    <xf numFmtId="0" fontId="60" fillId="0" borderId="1" xfId="0" applyFont="1" applyFill="1" applyBorder="1" applyAlignment="1">
      <alignment horizontal="center" vertical="center" wrapText="1"/>
    </xf>
    <xf numFmtId="173" fontId="60" fillId="0" borderId="1" xfId="0" applyNumberFormat="1" applyFont="1" applyFill="1" applyBorder="1" applyAlignment="1">
      <alignment horizontal="center" vertical="center" wrapText="1"/>
    </xf>
    <xf numFmtId="0" fontId="60" fillId="0" borderId="1" xfId="0" applyNumberFormat="1" applyFont="1" applyFill="1" applyBorder="1" applyAlignment="1">
      <alignment horizontal="center" vertical="center" wrapText="1"/>
    </xf>
    <xf numFmtId="172" fontId="60" fillId="0" borderId="1" xfId="370" applyNumberFormat="1" applyFont="1" applyFill="1" applyBorder="1" applyAlignment="1">
      <alignment horizontal="center" vertical="center" wrapText="1"/>
    </xf>
    <xf numFmtId="3" fontId="60" fillId="0" borderId="1" xfId="370" applyNumberFormat="1" applyFont="1" applyFill="1" applyBorder="1" applyAlignment="1">
      <alignment horizontal="center" vertical="center" wrapText="1"/>
    </xf>
    <xf numFmtId="1" fontId="60" fillId="0" borderId="0" xfId="0" applyNumberFormat="1" applyFont="1" applyFill="1" applyAlignment="1">
      <alignment horizontal="centerContinuous" vertical="center"/>
    </xf>
    <xf numFmtId="0" fontId="24" fillId="0" borderId="7" xfId="0" applyFont="1" applyBorder="1" applyAlignment="1">
      <alignment horizontal="center"/>
    </xf>
    <xf numFmtId="3" fontId="275" fillId="0" borderId="7" xfId="0" applyNumberFormat="1" applyFont="1" applyFill="1" applyBorder="1" applyAlignment="1">
      <alignment vertical="center"/>
    </xf>
    <xf numFmtId="3" fontId="274" fillId="0" borderId="7" xfId="0" applyNumberFormat="1" applyFont="1" applyFill="1" applyBorder="1" applyAlignment="1">
      <alignment vertical="center"/>
    </xf>
    <xf numFmtId="3" fontId="276" fillId="0" borderId="7" xfId="0" applyNumberFormat="1" applyFont="1" applyFill="1" applyBorder="1" applyAlignment="1">
      <alignment vertical="center"/>
    </xf>
    <xf numFmtId="3" fontId="278" fillId="0" borderId="7" xfId="0" applyNumberFormat="1" applyFont="1" applyFill="1" applyBorder="1" applyAlignment="1">
      <alignment vertical="center"/>
    </xf>
    <xf numFmtId="3" fontId="279" fillId="0" borderId="7" xfId="0" applyNumberFormat="1" applyFont="1" applyFill="1" applyBorder="1" applyAlignment="1">
      <alignment vertical="center"/>
    </xf>
    <xf numFmtId="172" fontId="284" fillId="0" borderId="7" xfId="370" applyNumberFormat="1" applyFont="1" applyFill="1" applyBorder="1" applyAlignment="1">
      <alignment vertical="center"/>
    </xf>
    <xf numFmtId="172" fontId="284" fillId="0" borderId="18" xfId="370" applyNumberFormat="1" applyFont="1" applyFill="1" applyBorder="1" applyAlignment="1">
      <alignment vertical="center"/>
    </xf>
    <xf numFmtId="195" fontId="276" fillId="0" borderId="7" xfId="0" applyNumberFormat="1" applyFont="1" applyFill="1" applyBorder="1" applyAlignment="1">
      <alignment vertical="center" wrapText="1"/>
    </xf>
    <xf numFmtId="245" fontId="276" fillId="0" borderId="7" xfId="0" applyNumberFormat="1" applyFont="1" applyFill="1" applyBorder="1" applyAlignment="1">
      <alignment vertical="center" wrapText="1"/>
    </xf>
    <xf numFmtId="4" fontId="277" fillId="30" borderId="27" xfId="0" applyNumberFormat="1" applyFont="1" applyFill="1" applyBorder="1" applyAlignment="1">
      <alignment vertical="center" wrapText="1"/>
    </xf>
    <xf numFmtId="3" fontId="276" fillId="0" borderId="7" xfId="0" applyNumberFormat="1" applyFont="1" applyFill="1" applyBorder="1" applyAlignment="1">
      <alignment vertical="center" wrapText="1"/>
    </xf>
    <xf numFmtId="191" fontId="274" fillId="30" borderId="27" xfId="0" applyNumberFormat="1" applyFont="1" applyFill="1" applyBorder="1" applyAlignment="1">
      <alignment horizontal="center" vertical="center" wrapText="1"/>
    </xf>
    <xf numFmtId="0" fontId="285" fillId="0" borderId="7" xfId="0" applyFont="1" applyFill="1" applyBorder="1" applyAlignment="1">
      <alignment horizontal="center" vertical="center" wrapText="1"/>
    </xf>
    <xf numFmtId="3" fontId="286" fillId="0" borderId="7" xfId="370" applyNumberFormat="1" applyFont="1" applyFill="1" applyBorder="1" applyAlignment="1">
      <alignment vertical="center" wrapText="1"/>
    </xf>
    <xf numFmtId="0" fontId="62" fillId="0" borderId="7" xfId="380" applyNumberFormat="1" applyFont="1" applyFill="1" applyBorder="1" applyAlignment="1">
      <alignment horizontal="center" vertical="center"/>
    </xf>
    <xf numFmtId="0" fontId="62" fillId="0" borderId="7" xfId="404" applyNumberFormat="1" applyFont="1" applyFill="1" applyBorder="1" applyAlignment="1">
      <alignment horizontal="center" vertical="center"/>
    </xf>
    <xf numFmtId="176" fontId="24" fillId="0" borderId="48" xfId="0" applyNumberFormat="1" applyFont="1" applyFill="1" applyBorder="1" applyAlignment="1">
      <alignment horizontal="center" vertical="center"/>
    </xf>
    <xf numFmtId="172" fontId="24" fillId="0" borderId="50" xfId="370" applyNumberFormat="1" applyFont="1" applyFill="1" applyBorder="1" applyAlignment="1">
      <alignment vertical="center" wrapText="1"/>
    </xf>
    <xf numFmtId="0" fontId="24" fillId="0" borderId="48" xfId="0" applyNumberFormat="1" applyFont="1" applyFill="1" applyBorder="1" applyAlignment="1">
      <alignment horizontal="center" vertical="center"/>
    </xf>
    <xf numFmtId="0" fontId="62" fillId="0" borderId="35" xfId="380" applyNumberFormat="1" applyFont="1" applyFill="1" applyBorder="1" applyAlignment="1">
      <alignment horizontal="right" vertical="center"/>
    </xf>
    <xf numFmtId="0" fontId="276" fillId="34" borderId="7" xfId="0" applyFont="1" applyFill="1" applyBorder="1" applyAlignment="1">
      <alignment horizontal="center" vertical="center"/>
    </xf>
    <xf numFmtId="49" fontId="276" fillId="34" borderId="7" xfId="0" applyNumberFormat="1" applyFont="1" applyFill="1" applyBorder="1" applyAlignment="1">
      <alignment vertical="center"/>
    </xf>
    <xf numFmtId="0" fontId="276" fillId="34" borderId="7" xfId="0" applyFont="1" applyFill="1" applyBorder="1" applyAlignment="1">
      <alignment horizontal="right" vertical="center"/>
    </xf>
    <xf numFmtId="280" fontId="276" fillId="34" borderId="7" xfId="0" applyNumberFormat="1" applyFont="1" applyFill="1" applyBorder="1" applyAlignment="1">
      <alignment vertical="center"/>
    </xf>
    <xf numFmtId="280" fontId="275" fillId="34" borderId="7" xfId="0" applyNumberFormat="1" applyFont="1" applyFill="1" applyBorder="1" applyAlignment="1">
      <alignment vertical="center"/>
    </xf>
    <xf numFmtId="0" fontId="59" fillId="34" borderId="7" xfId="0" applyFont="1" applyFill="1" applyBorder="1" applyAlignment="1">
      <alignment horizontal="center" vertical="center"/>
    </xf>
    <xf numFmtId="49" fontId="59" fillId="34" borderId="7" xfId="0" applyNumberFormat="1" applyFont="1" applyFill="1" applyBorder="1" applyAlignment="1">
      <alignment vertical="center"/>
    </xf>
    <xf numFmtId="0" fontId="59" fillId="34" borderId="7" xfId="0" applyFont="1" applyFill="1" applyBorder="1" applyAlignment="1">
      <alignment vertical="center" wrapText="1"/>
    </xf>
    <xf numFmtId="282" fontId="59" fillId="34" borderId="7" xfId="0" applyNumberFormat="1" applyFont="1" applyFill="1" applyBorder="1" applyAlignment="1">
      <alignment horizontal="right" vertical="center"/>
    </xf>
    <xf numFmtId="280" fontId="59" fillId="34" borderId="7" xfId="0" applyNumberFormat="1" applyFont="1" applyFill="1" applyBorder="1" applyAlignment="1">
      <alignment vertical="center"/>
    </xf>
    <xf numFmtId="280" fontId="59" fillId="0" borderId="7" xfId="0" applyNumberFormat="1" applyFont="1" applyFill="1" applyBorder="1" applyAlignment="1">
      <alignment vertical="center"/>
    </xf>
    <xf numFmtId="0" fontId="59" fillId="34" borderId="7" xfId="0" applyFont="1" applyFill="1" applyBorder="1" applyAlignment="1">
      <alignment vertical="center"/>
    </xf>
    <xf numFmtId="169" fontId="59" fillId="34" borderId="7" xfId="370" applyFont="1" applyFill="1" applyBorder="1" applyAlignment="1">
      <alignment vertical="center"/>
    </xf>
    <xf numFmtId="169" fontId="274" fillId="34" borderId="7" xfId="370" applyFont="1" applyFill="1" applyBorder="1" applyAlignment="1">
      <alignment vertical="center"/>
    </xf>
    <xf numFmtId="0" fontId="275" fillId="34" borderId="7" xfId="0" applyFont="1" applyFill="1" applyBorder="1" applyAlignment="1">
      <alignment horizontal="left" vertical="center" wrapText="1"/>
    </xf>
    <xf numFmtId="0" fontId="24" fillId="32" borderId="0" xfId="0" applyFont="1" applyFill="1" applyAlignment="1">
      <alignment vertical="center" wrapText="1"/>
    </xf>
    <xf numFmtId="172" fontId="60" fillId="32" borderId="0" xfId="370" applyNumberFormat="1" applyFont="1" applyFill="1" applyAlignment="1">
      <alignment vertical="center" wrapText="1"/>
    </xf>
    <xf numFmtId="0" fontId="76" fillId="0" borderId="7" xfId="0" applyFont="1" applyFill="1" applyBorder="1" applyAlignment="1">
      <alignment horizontal="justify" vertical="center" wrapText="1"/>
    </xf>
    <xf numFmtId="0" fontId="78" fillId="0" borderId="0" xfId="0" applyFont="1" applyFill="1" applyAlignment="1">
      <alignment horizontal="centerContinuous"/>
    </xf>
    <xf numFmtId="0" fontId="45" fillId="0" borderId="0" xfId="0" applyFont="1" applyFill="1" applyAlignment="1">
      <alignment horizontal="centerContinuous"/>
    </xf>
    <xf numFmtId="0" fontId="0" fillId="0" borderId="18" xfId="0" applyFill="1" applyBorder="1" applyAlignment="1">
      <alignment horizontal="center"/>
    </xf>
    <xf numFmtId="0" fontId="0" fillId="0" borderId="11" xfId="0" applyFill="1" applyBorder="1" applyAlignment="1">
      <alignment horizontal="center"/>
    </xf>
    <xf numFmtId="0" fontId="0" fillId="0" borderId="11" xfId="0" applyFill="1" applyBorder="1"/>
    <xf numFmtId="3" fontId="24" fillId="0" borderId="48" xfId="380" applyNumberFormat="1" applyFont="1" applyFill="1" applyBorder="1" applyAlignment="1">
      <alignment horizontal="right" vertical="center"/>
    </xf>
    <xf numFmtId="0" fontId="277" fillId="0" borderId="7" xfId="0" applyFont="1" applyFill="1" applyBorder="1" applyAlignment="1">
      <alignment horizontal="justify" vertical="center" wrapText="1"/>
    </xf>
    <xf numFmtId="0" fontId="274" fillId="0" borderId="7" xfId="0" applyFont="1" applyFill="1" applyBorder="1" applyAlignment="1">
      <alignment horizontal="justify" vertical="center" wrapText="1"/>
    </xf>
    <xf numFmtId="0" fontId="261" fillId="0" borderId="27" xfId="0" applyFont="1" applyFill="1" applyBorder="1" applyAlignment="1">
      <alignment horizontal="center" vertical="center" wrapText="1"/>
    </xf>
    <xf numFmtId="4" fontId="24" fillId="0" borderId="0" xfId="0" applyNumberFormat="1" applyFont="1" applyFill="1" applyAlignment="1">
      <alignment vertical="center"/>
    </xf>
    <xf numFmtId="0" fontId="45" fillId="0" borderId="30" xfId="0" applyFont="1" applyFill="1" applyBorder="1" applyAlignment="1">
      <alignment horizontal="center" vertical="center"/>
    </xf>
    <xf numFmtId="0" fontId="45" fillId="0" borderId="30" xfId="0" applyFont="1" applyFill="1" applyBorder="1" applyAlignment="1">
      <alignment horizontal="center" vertical="center" wrapText="1"/>
    </xf>
    <xf numFmtId="3" fontId="288" fillId="0" borderId="7" xfId="370" applyNumberFormat="1" applyFont="1" applyFill="1" applyBorder="1" applyAlignment="1">
      <alignment vertical="center" wrapText="1"/>
    </xf>
    <xf numFmtId="3" fontId="286" fillId="0" borderId="7" xfId="370" applyNumberFormat="1" applyFont="1" applyFill="1" applyBorder="1" applyAlignment="1">
      <alignment vertical="center"/>
    </xf>
    <xf numFmtId="0" fontId="45" fillId="0" borderId="18" xfId="0" applyFont="1" applyFill="1" applyBorder="1" applyAlignment="1">
      <alignment horizontal="center" vertical="center"/>
    </xf>
    <xf numFmtId="0" fontId="45" fillId="0" borderId="18" xfId="0" applyFont="1" applyFill="1" applyBorder="1" applyAlignment="1">
      <alignment horizontal="justify" vertical="center" wrapText="1"/>
    </xf>
    <xf numFmtId="0" fontId="45" fillId="0" borderId="18" xfId="0" applyFont="1" applyFill="1" applyBorder="1" applyAlignment="1">
      <alignment horizontal="center" vertical="center" wrapText="1"/>
    </xf>
    <xf numFmtId="4" fontId="45" fillId="0" borderId="18" xfId="370" applyNumberFormat="1" applyFont="1" applyFill="1" applyBorder="1" applyAlignment="1">
      <alignment vertical="center"/>
    </xf>
    <xf numFmtId="3" fontId="286" fillId="0" borderId="18" xfId="370" applyNumberFormat="1" applyFont="1" applyFill="1" applyBorder="1" applyAlignment="1">
      <alignment vertical="center"/>
    </xf>
    <xf numFmtId="3" fontId="45" fillId="0" borderId="18" xfId="370" applyNumberFormat="1" applyFont="1" applyFill="1" applyBorder="1" applyAlignment="1">
      <alignment vertical="center"/>
    </xf>
    <xf numFmtId="0" fontId="191" fillId="0" borderId="35" xfId="0" applyFont="1" applyFill="1" applyBorder="1" applyAlignment="1">
      <alignment horizontal="justify" vertical="center" wrapText="1"/>
    </xf>
    <xf numFmtId="3" fontId="286" fillId="0" borderId="35" xfId="370" applyNumberFormat="1" applyFont="1" applyFill="1" applyBorder="1" applyAlignment="1">
      <alignment vertical="center"/>
    </xf>
    <xf numFmtId="0" fontId="191" fillId="0" borderId="30" xfId="0" applyFont="1" applyFill="1" applyBorder="1" applyAlignment="1">
      <alignment horizontal="center" vertical="center" wrapText="1"/>
    </xf>
    <xf numFmtId="281" fontId="58" fillId="33" borderId="27" xfId="0" applyNumberFormat="1" applyFont="1" applyFill="1" applyBorder="1" applyAlignment="1">
      <alignment horizontal="center" vertical="center"/>
    </xf>
    <xf numFmtId="0" fontId="58" fillId="33" borderId="27" xfId="0" applyFont="1" applyFill="1" applyBorder="1" applyAlignment="1">
      <alignment horizontal="justify" vertical="center" wrapText="1"/>
    </xf>
    <xf numFmtId="0" fontId="58" fillId="33" borderId="27" xfId="0" applyFont="1" applyFill="1" applyBorder="1" applyAlignment="1">
      <alignment horizontal="center" vertical="center" wrapText="1"/>
    </xf>
    <xf numFmtId="4" fontId="58" fillId="33" borderId="27" xfId="370" applyNumberFormat="1" applyFont="1" applyFill="1" applyBorder="1" applyAlignment="1">
      <alignment vertical="center"/>
    </xf>
    <xf numFmtId="3" fontId="58" fillId="33" borderId="27" xfId="370" applyNumberFormat="1" applyFont="1" applyFill="1" applyBorder="1" applyAlignment="1">
      <alignment vertical="center"/>
    </xf>
    <xf numFmtId="4" fontId="45" fillId="0" borderId="30" xfId="370" applyNumberFormat="1" applyFont="1" applyFill="1" applyBorder="1" applyAlignment="1">
      <alignment vertical="center" wrapText="1"/>
    </xf>
    <xf numFmtId="0" fontId="89" fillId="26" borderId="0" xfId="587" applyFont="1" applyFill="1" applyAlignment="1" applyProtection="1">
      <alignment vertical="center"/>
      <protection locked="0"/>
    </xf>
    <xf numFmtId="0" fontId="24" fillId="0" borderId="1" xfId="567" applyFont="1" applyBorder="1" applyAlignment="1">
      <alignment horizontal="center" vertical="center" wrapText="1"/>
    </xf>
    <xf numFmtId="0" fontId="24" fillId="0" borderId="1" xfId="567" applyNumberFormat="1" applyFont="1" applyBorder="1" applyAlignment="1">
      <alignment horizontal="center" vertical="center" wrapText="1"/>
    </xf>
    <xf numFmtId="0" fontId="24" fillId="26" borderId="18" xfId="567" applyFont="1" applyFill="1" applyBorder="1" applyAlignment="1">
      <alignment vertical="center"/>
    </xf>
    <xf numFmtId="3" fontId="24" fillId="26" borderId="7" xfId="567" applyNumberFormat="1" applyFont="1" applyFill="1" applyBorder="1" applyAlignment="1">
      <alignment horizontal="right" vertical="center"/>
    </xf>
    <xf numFmtId="3" fontId="24" fillId="2" borderId="7" xfId="567" applyNumberFormat="1" applyFont="1" applyFill="1" applyBorder="1" applyAlignment="1">
      <alignment horizontal="right" vertical="center"/>
    </xf>
    <xf numFmtId="3" fontId="24" fillId="3" borderId="7" xfId="567" applyNumberFormat="1" applyFont="1" applyFill="1" applyBorder="1" applyAlignment="1">
      <alignment horizontal="right" vertical="center"/>
    </xf>
    <xf numFmtId="3" fontId="24" fillId="26" borderId="35" xfId="567" applyNumberFormat="1" applyFont="1" applyFill="1" applyBorder="1" applyAlignment="1">
      <alignment horizontal="right" vertical="center"/>
    </xf>
    <xf numFmtId="211" fontId="24" fillId="0" borderId="1" xfId="567" applyNumberFormat="1" applyFont="1" applyBorder="1" applyAlignment="1">
      <alignment horizontal="center" vertical="center" wrapText="1"/>
    </xf>
    <xf numFmtId="211" fontId="24" fillId="2" borderId="1" xfId="567" applyNumberFormat="1" applyFont="1" applyFill="1" applyBorder="1" applyAlignment="1">
      <alignment horizontal="center" vertical="center" wrapText="1"/>
    </xf>
    <xf numFmtId="211" fontId="24" fillId="0" borderId="1" xfId="567" applyNumberFormat="1" applyFont="1" applyBorder="1" applyAlignment="1">
      <alignment vertical="center" wrapText="1"/>
    </xf>
    <xf numFmtId="211" fontId="24" fillId="0" borderId="1" xfId="567" applyNumberFormat="1" applyFont="1" applyBorder="1" applyAlignment="1">
      <alignment horizontal="right" vertical="center" wrapText="1"/>
    </xf>
    <xf numFmtId="3" fontId="24" fillId="0" borderId="30" xfId="587" applyNumberFormat="1" applyFont="1" applyBorder="1" applyAlignment="1">
      <alignment vertical="center"/>
    </xf>
    <xf numFmtId="3" fontId="60" fillId="0" borderId="30" xfId="587" applyNumberFormat="1" applyFont="1" applyBorder="1" applyAlignment="1">
      <alignment vertical="center"/>
    </xf>
    <xf numFmtId="3" fontId="60" fillId="10" borderId="30" xfId="587" applyNumberFormat="1" applyFont="1" applyFill="1" applyBorder="1" applyAlignment="1">
      <alignment vertical="center"/>
    </xf>
    <xf numFmtId="3" fontId="24" fillId="3" borderId="30" xfId="587" applyNumberFormat="1" applyFont="1" applyFill="1" applyBorder="1" applyAlignment="1">
      <alignment vertical="center"/>
    </xf>
    <xf numFmtId="3" fontId="60" fillId="3" borderId="30" xfId="587" applyNumberFormat="1" applyFont="1" applyFill="1" applyBorder="1" applyAlignment="1">
      <alignment vertical="center"/>
    </xf>
    <xf numFmtId="2" fontId="24" fillId="26" borderId="7" xfId="587" applyNumberFormat="1" applyFont="1" applyFill="1" applyBorder="1" applyAlignment="1" applyProtection="1">
      <alignment horizontal="center" vertical="center"/>
      <protection locked="0"/>
    </xf>
    <xf numFmtId="0" fontId="24" fillId="0" borderId="30" xfId="587" applyFont="1" applyBorder="1" applyAlignment="1">
      <alignment vertical="center"/>
    </xf>
    <xf numFmtId="0" fontId="24" fillId="12" borderId="7" xfId="587" applyFont="1" applyFill="1" applyBorder="1" applyAlignment="1" applyProtection="1">
      <alignment vertical="center"/>
      <protection locked="0"/>
    </xf>
    <xf numFmtId="0" fontId="45" fillId="0" borderId="0" xfId="587" applyFont="1" applyAlignment="1" applyProtection="1">
      <alignment horizontal="center" vertical="center"/>
      <protection locked="0"/>
    </xf>
    <xf numFmtId="3" fontId="45" fillId="26" borderId="0" xfId="587" applyNumberFormat="1" applyFont="1" applyFill="1" applyAlignment="1" applyProtection="1">
      <alignment horizontal="right" vertical="center"/>
      <protection locked="0"/>
    </xf>
    <xf numFmtId="172" fontId="58" fillId="26" borderId="0" xfId="370" applyNumberFormat="1" applyFont="1" applyFill="1" applyAlignment="1" applyProtection="1">
      <alignment vertical="center"/>
      <protection locked="0"/>
    </xf>
    <xf numFmtId="172" fontId="45" fillId="26" borderId="0" xfId="370" applyNumberFormat="1" applyFont="1" applyFill="1" applyAlignment="1" applyProtection="1">
      <alignment vertical="center"/>
      <protection locked="0"/>
    </xf>
    <xf numFmtId="207" fontId="274" fillId="30" borderId="27" xfId="0" applyNumberFormat="1" applyFont="1" applyFill="1" applyBorder="1" applyAlignment="1">
      <alignment horizontal="center" vertical="center" wrapText="1"/>
    </xf>
    <xf numFmtId="0" fontId="45" fillId="10" borderId="35" xfId="0" applyFont="1" applyFill="1" applyBorder="1" applyAlignment="1">
      <alignment horizontal="center" vertical="center"/>
    </xf>
    <xf numFmtId="0" fontId="45" fillId="10" borderId="35" xfId="0" applyFont="1" applyFill="1" applyBorder="1" applyAlignment="1">
      <alignment horizontal="justify" vertical="center" wrapText="1"/>
    </xf>
    <xf numFmtId="0" fontId="45" fillId="10" borderId="35" xfId="0" applyFont="1" applyFill="1" applyBorder="1" applyAlignment="1">
      <alignment horizontal="center" vertical="center" wrapText="1"/>
    </xf>
    <xf numFmtId="4" fontId="45" fillId="10" borderId="35" xfId="370" applyNumberFormat="1" applyFont="1" applyFill="1" applyBorder="1" applyAlignment="1">
      <alignment vertical="center"/>
    </xf>
    <xf numFmtId="3" fontId="45" fillId="10" borderId="35" xfId="370" applyNumberFormat="1" applyFont="1" applyFill="1" applyBorder="1" applyAlignment="1">
      <alignment vertical="center"/>
    </xf>
    <xf numFmtId="0" fontId="45" fillId="0" borderId="11" xfId="0" applyFont="1" applyFill="1" applyBorder="1" applyAlignment="1">
      <alignment horizontal="center" vertical="center"/>
    </xf>
    <xf numFmtId="3" fontId="45" fillId="0" borderId="11" xfId="370" applyNumberFormat="1" applyFont="1" applyFill="1" applyBorder="1" applyAlignment="1">
      <alignment vertical="center"/>
    </xf>
    <xf numFmtId="37" fontId="45" fillId="0" borderId="0" xfId="0" applyNumberFormat="1" applyFont="1" applyFill="1" applyAlignment="1">
      <alignment vertical="center"/>
    </xf>
    <xf numFmtId="3" fontId="58" fillId="29" borderId="0" xfId="370" applyNumberFormat="1" applyFont="1" applyFill="1" applyBorder="1" applyAlignment="1">
      <alignment vertical="center"/>
    </xf>
    <xf numFmtId="0" fontId="58" fillId="0" borderId="0" xfId="370" applyNumberFormat="1" applyFont="1" applyFill="1" applyBorder="1" applyAlignment="1">
      <alignment vertical="center"/>
    </xf>
    <xf numFmtId="0" fontId="60" fillId="0" borderId="0" xfId="370" applyNumberFormat="1" applyFont="1" applyFill="1" applyBorder="1" applyAlignment="1">
      <alignment vertical="center"/>
    </xf>
    <xf numFmtId="4" fontId="45" fillId="33" borderId="7" xfId="370" applyNumberFormat="1" applyFont="1" applyFill="1" applyBorder="1" applyAlignment="1">
      <alignment vertical="center"/>
    </xf>
    <xf numFmtId="3" fontId="287" fillId="33" borderId="1" xfId="370" applyNumberFormat="1" applyFont="1" applyFill="1" applyBorder="1" applyAlignment="1">
      <alignment vertical="center"/>
    </xf>
    <xf numFmtId="4" fontId="286" fillId="0" borderId="18" xfId="370" applyNumberFormat="1" applyFont="1" applyFill="1" applyBorder="1" applyAlignment="1">
      <alignment vertical="center"/>
    </xf>
    <xf numFmtId="4" fontId="286" fillId="0" borderId="7" xfId="370" applyNumberFormat="1" applyFont="1" applyFill="1" applyBorder="1" applyAlignment="1">
      <alignment vertical="center"/>
    </xf>
    <xf numFmtId="3" fontId="286" fillId="0" borderId="7" xfId="0" applyNumberFormat="1" applyFont="1" applyFill="1" applyBorder="1" applyAlignment="1">
      <alignment vertical="center" wrapText="1"/>
    </xf>
    <xf numFmtId="195" fontId="277" fillId="30" borderId="27" xfId="0" applyNumberFormat="1" applyFont="1" applyFill="1" applyBorder="1" applyAlignment="1">
      <alignment vertical="center" wrapText="1"/>
    </xf>
    <xf numFmtId="3" fontId="286" fillId="0" borderId="30" xfId="370" applyNumberFormat="1" applyFont="1" applyFill="1" applyBorder="1" applyAlignment="1">
      <alignment vertical="center" wrapText="1"/>
    </xf>
    <xf numFmtId="4" fontId="59" fillId="0" borderId="7" xfId="0" applyNumberFormat="1" applyFont="1" applyFill="1" applyBorder="1" applyAlignment="1">
      <alignment vertical="center" wrapText="1"/>
    </xf>
    <xf numFmtId="0" fontId="58" fillId="0" borderId="11" xfId="0" applyFont="1" applyFill="1" applyBorder="1" applyAlignment="1">
      <alignment horizontal="justify" vertical="center" wrapText="1"/>
    </xf>
    <xf numFmtId="0" fontId="45" fillId="0" borderId="11" xfId="0" applyFont="1" applyFill="1" applyBorder="1" applyAlignment="1">
      <alignment horizontal="center" vertical="center" wrapText="1"/>
    </xf>
    <xf numFmtId="4" fontId="45" fillId="0" borderId="11" xfId="370" applyNumberFormat="1" applyFont="1" applyFill="1" applyBorder="1" applyAlignment="1">
      <alignment vertical="center"/>
    </xf>
    <xf numFmtId="3" fontId="45" fillId="0" borderId="35" xfId="370" applyNumberFormat="1" applyFont="1" applyFill="1" applyBorder="1" applyAlignment="1">
      <alignment vertical="center" wrapText="1"/>
    </xf>
    <xf numFmtId="0" fontId="58" fillId="35" borderId="28" xfId="0" applyFont="1" applyFill="1" applyBorder="1" applyAlignment="1">
      <alignment horizontal="center" vertical="center" wrapText="1"/>
    </xf>
    <xf numFmtId="169" fontId="58" fillId="35" borderId="67" xfId="370" applyFont="1" applyFill="1" applyBorder="1" applyAlignment="1">
      <alignment horizontal="center" vertical="center" wrapText="1"/>
    </xf>
    <xf numFmtId="0" fontId="58" fillId="35" borderId="67" xfId="0" applyFont="1" applyFill="1" applyBorder="1" applyAlignment="1">
      <alignment horizontal="center" vertical="center" wrapText="1"/>
    </xf>
    <xf numFmtId="4" fontId="58" fillId="35" borderId="67" xfId="370" applyNumberFormat="1" applyFont="1" applyFill="1" applyBorder="1" applyAlignment="1">
      <alignment horizontal="center" vertical="center" wrapText="1"/>
    </xf>
    <xf numFmtId="4" fontId="58" fillId="35" borderId="68" xfId="370" applyNumberFormat="1" applyFont="1" applyFill="1" applyBorder="1" applyAlignment="1">
      <alignment horizontal="center" vertical="center" wrapText="1"/>
    </xf>
    <xf numFmtId="3" fontId="45" fillId="0" borderId="59" xfId="370" applyNumberFormat="1" applyFont="1" applyFill="1" applyBorder="1" applyAlignment="1">
      <alignment vertical="center"/>
    </xf>
    <xf numFmtId="4" fontId="274" fillId="30" borderId="27" xfId="0" applyNumberFormat="1" applyFont="1" applyFill="1" applyBorder="1" applyAlignment="1">
      <alignment vertical="center" wrapText="1"/>
    </xf>
    <xf numFmtId="0" fontId="289" fillId="30" borderId="27" xfId="0" applyFont="1" applyFill="1" applyBorder="1" applyAlignment="1">
      <alignment horizontal="justify" vertical="center" wrapText="1"/>
    </xf>
    <xf numFmtId="0" fontId="290" fillId="0" borderId="7" xfId="0" applyFont="1" applyFill="1" applyBorder="1" applyAlignment="1">
      <alignment horizontal="center" vertical="center" wrapText="1"/>
    </xf>
    <xf numFmtId="191" fontId="289" fillId="30" borderId="27" xfId="0" applyNumberFormat="1" applyFont="1" applyFill="1" applyBorder="1" applyAlignment="1">
      <alignment horizontal="center" vertical="center" wrapText="1"/>
    </xf>
    <xf numFmtId="191" fontId="259" fillId="30" borderId="27" xfId="0" applyNumberFormat="1" applyFont="1" applyFill="1" applyBorder="1" applyAlignment="1">
      <alignment horizontal="center" vertical="center" wrapText="1"/>
    </xf>
    <xf numFmtId="191" fontId="291" fillId="30" borderId="27" xfId="0" applyNumberFormat="1" applyFont="1" applyFill="1" applyBorder="1" applyAlignment="1">
      <alignment horizontal="center" vertical="center" wrapText="1"/>
    </xf>
    <xf numFmtId="3" fontId="256" fillId="30" borderId="27" xfId="0" applyNumberFormat="1" applyFont="1" applyFill="1" applyBorder="1" applyAlignment="1">
      <alignment horizontal="center" vertical="center" wrapText="1"/>
    </xf>
    <xf numFmtId="245" fontId="59" fillId="0" borderId="7" xfId="0" applyNumberFormat="1" applyFont="1" applyFill="1" applyBorder="1" applyAlignment="1">
      <alignment vertical="center" wrapText="1"/>
    </xf>
    <xf numFmtId="245" fontId="277" fillId="30" borderId="27" xfId="0" applyNumberFormat="1" applyFont="1" applyFill="1" applyBorder="1" applyAlignment="1">
      <alignment vertical="center" wrapText="1"/>
    </xf>
    <xf numFmtId="0" fontId="85" fillId="36" borderId="48" xfId="0" applyFont="1" applyFill="1" applyBorder="1" applyAlignment="1">
      <alignment horizontal="center" vertical="center" wrapText="1"/>
    </xf>
    <xf numFmtId="0" fontId="256" fillId="36" borderId="48" xfId="0" applyFont="1" applyFill="1" applyBorder="1" applyAlignment="1">
      <alignment horizontal="center" vertical="center" wrapText="1"/>
    </xf>
    <xf numFmtId="0" fontId="274" fillId="36" borderId="48" xfId="0" applyFont="1" applyFill="1" applyBorder="1" applyAlignment="1">
      <alignment vertical="center"/>
    </xf>
    <xf numFmtId="0" fontId="274" fillId="36" borderId="48" xfId="0" applyFont="1" applyFill="1" applyBorder="1" applyAlignment="1">
      <alignment horizontal="center" vertical="center"/>
    </xf>
    <xf numFmtId="207" fontId="274" fillId="36" borderId="48" xfId="0" applyNumberFormat="1" applyFont="1" applyFill="1" applyBorder="1" applyAlignment="1">
      <alignment vertical="center" wrapText="1"/>
    </xf>
    <xf numFmtId="3" fontId="274" fillId="36" borderId="48" xfId="370" applyNumberFormat="1" applyFont="1" applyFill="1" applyBorder="1" applyAlignment="1">
      <alignment vertical="center" wrapText="1"/>
    </xf>
    <xf numFmtId="3" fontId="274" fillId="36" borderId="48" xfId="0" applyNumberFormat="1" applyFont="1" applyFill="1" applyBorder="1" applyAlignment="1">
      <alignment vertical="center"/>
    </xf>
    <xf numFmtId="0" fontId="259" fillId="36" borderId="48" xfId="0" applyFont="1" applyFill="1" applyBorder="1" applyAlignment="1">
      <alignment vertical="center"/>
    </xf>
    <xf numFmtId="0" fontId="277" fillId="36" borderId="48" xfId="0" applyFont="1" applyFill="1" applyBorder="1" applyAlignment="1">
      <alignment vertical="center"/>
    </xf>
    <xf numFmtId="191" fontId="277" fillId="36" borderId="48" xfId="0" applyNumberFormat="1" applyFont="1" applyFill="1" applyBorder="1" applyAlignment="1">
      <alignment horizontal="center" vertical="center"/>
    </xf>
    <xf numFmtId="3" fontId="277" fillId="36" borderId="48" xfId="0" applyNumberFormat="1" applyFont="1" applyFill="1" applyBorder="1" applyAlignment="1">
      <alignment vertical="center"/>
    </xf>
    <xf numFmtId="191" fontId="274" fillId="36" borderId="48" xfId="0" applyNumberFormat="1" applyFont="1" applyFill="1" applyBorder="1" applyAlignment="1">
      <alignment horizontal="center" vertical="center"/>
    </xf>
    <xf numFmtId="0" fontId="60" fillId="36" borderId="48" xfId="0" applyFont="1" applyFill="1" applyBorder="1" applyAlignment="1">
      <alignment vertical="center"/>
    </xf>
    <xf numFmtId="0" fontId="76" fillId="36" borderId="48" xfId="0" applyFont="1" applyFill="1" applyBorder="1" applyAlignment="1">
      <alignment vertical="center"/>
    </xf>
    <xf numFmtId="3" fontId="76" fillId="36" borderId="48" xfId="0" applyNumberFormat="1" applyFont="1" applyFill="1" applyBorder="1" applyAlignment="1">
      <alignment vertical="center"/>
    </xf>
    <xf numFmtId="0" fontId="60" fillId="36" borderId="48" xfId="0" applyFont="1" applyFill="1" applyBorder="1" applyAlignment="1">
      <alignment horizontal="center" vertical="center" wrapText="1"/>
    </xf>
    <xf numFmtId="0" fontId="71" fillId="36" borderId="48" xfId="0" applyFont="1" applyFill="1" applyBorder="1" applyAlignment="1">
      <alignment horizontal="center" vertical="center" wrapText="1"/>
    </xf>
    <xf numFmtId="207" fontId="76" fillId="36" borderId="48" xfId="0" applyNumberFormat="1" applyFont="1" applyFill="1" applyBorder="1" applyAlignment="1">
      <alignment vertical="center" wrapText="1"/>
    </xf>
    <xf numFmtId="3" fontId="76" fillId="36" borderId="48" xfId="370" applyNumberFormat="1" applyFont="1" applyFill="1" applyBorder="1" applyAlignment="1">
      <alignment vertical="center" wrapText="1"/>
    </xf>
    <xf numFmtId="0" fontId="259" fillId="36" borderId="48" xfId="0" applyFont="1" applyFill="1" applyBorder="1" applyAlignment="1">
      <alignment horizontal="center" vertical="center" wrapText="1"/>
    </xf>
    <xf numFmtId="0" fontId="260" fillId="36" borderId="48" xfId="0" applyFont="1" applyFill="1" applyBorder="1" applyAlignment="1">
      <alignment horizontal="center" vertical="center" wrapText="1"/>
    </xf>
    <xf numFmtId="207" fontId="277" fillId="36" borderId="48" xfId="0" applyNumberFormat="1" applyFont="1" applyFill="1" applyBorder="1" applyAlignment="1">
      <alignment vertical="center" wrapText="1"/>
    </xf>
    <xf numFmtId="3" fontId="277" fillId="36" borderId="48" xfId="370" applyNumberFormat="1" applyFont="1" applyFill="1" applyBorder="1" applyAlignment="1">
      <alignment vertical="center" wrapText="1"/>
    </xf>
    <xf numFmtId="0" fontId="60" fillId="36" borderId="35" xfId="0" applyFont="1" applyFill="1" applyBorder="1" applyAlignment="1">
      <alignment vertical="center"/>
    </xf>
    <xf numFmtId="0" fontId="76" fillId="36" borderId="35" xfId="0" applyFont="1" applyFill="1" applyBorder="1" applyAlignment="1">
      <alignment vertical="center"/>
    </xf>
    <xf numFmtId="191" fontId="274" fillId="36" borderId="35" xfId="0" applyNumberFormat="1" applyFont="1" applyFill="1" applyBorder="1" applyAlignment="1">
      <alignment horizontal="center" vertical="center"/>
    </xf>
    <xf numFmtId="3" fontId="76" fillId="36" borderId="35" xfId="0" applyNumberFormat="1" applyFont="1" applyFill="1" applyBorder="1" applyAlignment="1">
      <alignment vertical="center"/>
    </xf>
    <xf numFmtId="0" fontId="24" fillId="36" borderId="35" xfId="0" applyFont="1" applyFill="1" applyBorder="1" applyAlignment="1">
      <alignment vertical="center" wrapText="1"/>
    </xf>
    <xf numFmtId="3" fontId="274" fillId="36" borderId="35" xfId="0" applyNumberFormat="1" applyFont="1" applyFill="1" applyBorder="1" applyAlignment="1">
      <alignment vertical="center"/>
    </xf>
    <xf numFmtId="0" fontId="58" fillId="0" borderId="1" xfId="0" applyFont="1" applyBorder="1" applyAlignment="1">
      <alignment horizontal="center" vertical="center" wrapText="1"/>
    </xf>
    <xf numFmtId="211" fontId="24" fillId="0" borderId="27" xfId="0" applyNumberFormat="1" applyFont="1" applyFill="1" applyBorder="1" applyAlignment="1">
      <alignment horizontal="center" vertical="center" wrapText="1"/>
    </xf>
    <xf numFmtId="0" fontId="45" fillId="0" borderId="11" xfId="0" applyFont="1" applyFill="1" applyBorder="1" applyAlignment="1">
      <alignment horizontal="justify" vertical="center" wrapText="1"/>
    </xf>
    <xf numFmtId="3" fontId="286" fillId="0" borderId="11" xfId="370" applyNumberFormat="1" applyFont="1" applyFill="1" applyBorder="1" applyAlignment="1">
      <alignment vertical="center"/>
    </xf>
    <xf numFmtId="0" fontId="24" fillId="32" borderId="11" xfId="0" applyFont="1" applyFill="1" applyBorder="1" applyAlignment="1">
      <alignment horizontal="center" vertical="center" wrapText="1"/>
    </xf>
    <xf numFmtId="0" fontId="24" fillId="32" borderId="7" xfId="0" applyFont="1" applyFill="1" applyBorder="1" applyAlignment="1">
      <alignment horizontal="center" vertical="center" wrapText="1"/>
    </xf>
    <xf numFmtId="173" fontId="24" fillId="32" borderId="7" xfId="0" applyNumberFormat="1" applyFont="1" applyFill="1" applyBorder="1" applyAlignment="1">
      <alignment horizontal="center" vertical="center" wrapText="1"/>
    </xf>
    <xf numFmtId="0" fontId="24" fillId="32" borderId="7" xfId="0" applyNumberFormat="1" applyFont="1" applyFill="1" applyBorder="1" applyAlignment="1">
      <alignment horizontal="left" vertical="center" wrapText="1"/>
    </xf>
    <xf numFmtId="0" fontId="24" fillId="32" borderId="7" xfId="0" applyNumberFormat="1" applyFont="1" applyFill="1" applyBorder="1" applyAlignment="1">
      <alignment horizontal="center" vertical="center" wrapText="1"/>
    </xf>
    <xf numFmtId="172" fontId="24" fillId="32" borderId="7" xfId="370" applyNumberFormat="1" applyFont="1" applyFill="1" applyBorder="1" applyAlignment="1">
      <alignment vertical="center" wrapText="1"/>
    </xf>
    <xf numFmtId="3" fontId="24" fillId="32" borderId="7" xfId="370" applyNumberFormat="1" applyFont="1" applyFill="1" applyBorder="1" applyAlignment="1">
      <alignment horizontal="right" vertical="center" wrapText="1"/>
    </xf>
    <xf numFmtId="4" fontId="24" fillId="32" borderId="11" xfId="370" applyNumberFormat="1" applyFont="1" applyFill="1" applyBorder="1" applyAlignment="1">
      <alignment vertical="center" wrapText="1"/>
    </xf>
    <xf numFmtId="4" fontId="236" fillId="32" borderId="11" xfId="370" applyNumberFormat="1" applyFont="1" applyFill="1" applyBorder="1" applyAlignment="1">
      <alignment horizontal="center" vertical="center" wrapText="1"/>
    </xf>
    <xf numFmtId="176" fontId="24" fillId="32" borderId="7" xfId="0" applyNumberFormat="1" applyFont="1" applyFill="1" applyBorder="1" applyAlignment="1">
      <alignment horizontal="center" vertical="center" wrapText="1"/>
    </xf>
    <xf numFmtId="0" fontId="60" fillId="32" borderId="0" xfId="0" applyFont="1" applyFill="1" applyAlignment="1">
      <alignment vertical="center" wrapText="1"/>
    </xf>
    <xf numFmtId="0" fontId="58" fillId="0" borderId="0" xfId="940" applyFont="1" applyFill="1" applyAlignment="1">
      <alignment horizontal="center" vertical="center"/>
    </xf>
    <xf numFmtId="0" fontId="271" fillId="0" borderId="0" xfId="940" applyFont="1" applyFill="1" applyAlignment="1">
      <alignment horizontal="center" vertical="center"/>
    </xf>
    <xf numFmtId="0" fontId="59" fillId="0" borderId="0" xfId="940" applyFont="1" applyFill="1" applyAlignment="1">
      <alignment horizontal="center" vertical="center"/>
    </xf>
    <xf numFmtId="0" fontId="271" fillId="0" borderId="11" xfId="940" applyFont="1" applyFill="1" applyBorder="1" applyAlignment="1">
      <alignment horizontal="justify" vertical="center" wrapText="1"/>
    </xf>
    <xf numFmtId="0" fontId="271" fillId="0" borderId="1" xfId="940" applyFont="1" applyFill="1" applyBorder="1" applyAlignment="1">
      <alignment horizontal="center" vertical="center"/>
    </xf>
    <xf numFmtId="0" fontId="271" fillId="0" borderId="62" xfId="940" applyFont="1" applyFill="1" applyBorder="1" applyAlignment="1">
      <alignment horizontal="center" vertical="center"/>
    </xf>
    <xf numFmtId="0" fontId="273" fillId="0" borderId="0" xfId="940" applyFont="1" applyFill="1" applyBorder="1" applyAlignment="1">
      <alignment horizontal="justify" vertical="center" wrapText="1"/>
    </xf>
    <xf numFmtId="0" fontId="74" fillId="0" borderId="0" xfId="940" applyFont="1" applyFill="1" applyAlignment="1">
      <alignment horizontal="center" vertical="center"/>
    </xf>
    <xf numFmtId="0" fontId="267" fillId="0" borderId="0" xfId="940" applyFont="1" applyFill="1" applyAlignment="1">
      <alignment horizontal="center" vertical="center" wrapText="1"/>
    </xf>
    <xf numFmtId="0" fontId="271" fillId="27" borderId="55" xfId="940" applyFont="1" applyFill="1" applyBorder="1" applyAlignment="1">
      <alignment horizontal="center" vertical="center"/>
    </xf>
    <xf numFmtId="0" fontId="265" fillId="0" borderId="0" xfId="0" applyFont="1" applyAlignment="1">
      <alignment horizontal="center" vertical="center"/>
    </xf>
    <xf numFmtId="0" fontId="0" fillId="0" borderId="0" xfId="0" applyAlignment="1">
      <alignment horizontal="center" vertical="center"/>
    </xf>
    <xf numFmtId="0" fontId="0" fillId="0" borderId="0" xfId="0"/>
    <xf numFmtId="0" fontId="60" fillId="0" borderId="32" xfId="574" applyFont="1" applyFill="1" applyBorder="1" applyAlignment="1">
      <alignment horizontal="center" vertical="center"/>
    </xf>
    <xf numFmtId="0" fontId="60" fillId="0" borderId="21" xfId="574" applyFont="1" applyFill="1" applyBorder="1" applyAlignment="1">
      <alignment horizontal="center" vertical="center"/>
    </xf>
    <xf numFmtId="0" fontId="60" fillId="0" borderId="31" xfId="574" applyFont="1" applyFill="1" applyBorder="1" applyAlignment="1">
      <alignment horizontal="center" vertical="center"/>
    </xf>
    <xf numFmtId="0" fontId="60" fillId="0" borderId="45" xfId="574" applyFont="1" applyFill="1" applyBorder="1" applyAlignment="1">
      <alignment horizontal="center" vertical="center"/>
    </xf>
    <xf numFmtId="0" fontId="60" fillId="0" borderId="27" xfId="587" applyFont="1" applyFill="1" applyBorder="1" applyAlignment="1" applyProtection="1">
      <alignment horizontal="center" vertical="center" wrapText="1"/>
      <protection locked="0"/>
    </xf>
    <xf numFmtId="0" fontId="60" fillId="0" borderId="8" xfId="587" applyFont="1" applyFill="1" applyBorder="1" applyAlignment="1" applyProtection="1">
      <alignment horizontal="center" vertical="center" wrapText="1"/>
      <protection locked="0"/>
    </xf>
    <xf numFmtId="0" fontId="0" fillId="0" borderId="27" xfId="0" applyBorder="1" applyAlignment="1">
      <alignment horizontal="center" vertical="center" wrapText="1"/>
    </xf>
    <xf numFmtId="0" fontId="0" fillId="0" borderId="8" xfId="0" applyBorder="1" applyAlignment="1">
      <alignment horizontal="center" vertical="center" wrapText="1"/>
    </xf>
    <xf numFmtId="0" fontId="4" fillId="0" borderId="27" xfId="0" applyFont="1" applyBorder="1" applyAlignment="1">
      <alignment horizontal="center" vertical="center" wrapText="1"/>
    </xf>
    <xf numFmtId="0" fontId="4" fillId="0" borderId="8" xfId="0" applyFont="1" applyBorder="1" applyAlignment="1">
      <alignment horizontal="center" vertical="center" wrapText="1"/>
    </xf>
    <xf numFmtId="3" fontId="60" fillId="2" borderId="27" xfId="587" applyNumberFormat="1" applyFont="1" applyFill="1" applyBorder="1" applyAlignment="1" applyProtection="1">
      <alignment horizontal="center" vertical="center" wrapText="1"/>
      <protection locked="0"/>
    </xf>
    <xf numFmtId="3" fontId="60" fillId="2" borderId="8" xfId="587" applyNumberFormat="1" applyFont="1" applyFill="1" applyBorder="1" applyAlignment="1" applyProtection="1">
      <alignment horizontal="center" vertical="center" wrapText="1"/>
      <protection locked="0"/>
    </xf>
    <xf numFmtId="3" fontId="59" fillId="0" borderId="9" xfId="604" applyNumberFormat="1" applyFont="1" applyFill="1" applyBorder="1" applyAlignment="1">
      <alignment horizontal="center" vertical="center"/>
    </xf>
    <xf numFmtId="3" fontId="59" fillId="0" borderId="0" xfId="604" applyNumberFormat="1" applyFont="1" applyFill="1" applyBorder="1" applyAlignment="1">
      <alignment horizontal="center" vertical="center"/>
    </xf>
    <xf numFmtId="3" fontId="59" fillId="0" borderId="44" xfId="604" applyNumberFormat="1" applyFont="1" applyFill="1" applyBorder="1" applyAlignment="1">
      <alignment horizontal="center" vertical="center"/>
    </xf>
  </cellXfs>
  <cellStyles count="943">
    <cellStyle name="_x0001_" xfId="1"/>
    <cellStyle name="          _x000d__x000a_shell=progman.exe_x000d__x000a_m" xfId="2"/>
    <cellStyle name="#,##0" xfId="3"/>
    <cellStyle name="%" xfId="4"/>
    <cellStyle name="." xfId="5"/>
    <cellStyle name=".d©y" xfId="6"/>
    <cellStyle name="??" xfId="7"/>
    <cellStyle name="?? [0.00]_ Att. 1- Cover" xfId="8"/>
    <cellStyle name="?? [0]" xfId="9"/>
    <cellStyle name="?_x001d_??%U©÷u&amp;H©÷9_x0008_?_x0009_s_x000a__x0007__x0001__x0001_" xfId="10"/>
    <cellStyle name="???? [0.00]_BE-BQ" xfId="11"/>
    <cellStyle name="??????" xfId="12"/>
    <cellStyle name="????_??" xfId="13"/>
    <cellStyle name="???[0]_?? DI" xfId="14"/>
    <cellStyle name="???_?? DI" xfId="15"/>
    <cellStyle name="??[0]_BRE" xfId="16"/>
    <cellStyle name="??_ ??? ???? " xfId="17"/>
    <cellStyle name="??A? [0]_laroux_1_¢¬???¢â? " xfId="18"/>
    <cellStyle name="??A?_laroux_1_¢¬???¢â? " xfId="19"/>
    <cellStyle name="?¡±¢¥?_?¨ù??¢´¢¥_¢¬???¢â? " xfId="20"/>
    <cellStyle name="?ðÇ%U?&amp;H?_x0008_?s_x000a__x0007__x0001__x0001_" xfId="21"/>
    <cellStyle name="_1 TONG HOP - CA NA" xfId="22"/>
    <cellStyle name="_Bang Chi tieu (2)" xfId="23"/>
    <cellStyle name="_Bang NSTV theo QD10&amp;11-2005" xfId="24"/>
    <cellStyle name="_báo cáo tuần 17.5.2010 (moi  TH Tùng. )" xfId="25"/>
    <cellStyle name="_BAO GIA NGAY 24-10-08 (co dam)" xfId="26"/>
    <cellStyle name="_Book1" xfId="27"/>
    <cellStyle name="_Book1_1" xfId="28"/>
    <cellStyle name="_Book1_2" xfId="29"/>
    <cellStyle name="_Book1_3" xfId="30"/>
    <cellStyle name="_Book1_báo cáo tuần 17.5.2010 (moi  TH Tùng. )" xfId="31"/>
    <cellStyle name="_Book1_Book1" xfId="32"/>
    <cellStyle name="_Book1_Copy of Khoi luong Du toan" xfId="33"/>
    <cellStyle name="_Book1_DT tho" xfId="34"/>
    <cellStyle name="_Book1_DT765+" xfId="35"/>
    <cellStyle name="_Book1_DT768_1i" xfId="36"/>
    <cellStyle name="_Book1_HSTV" xfId="37"/>
    <cellStyle name="_Book1_HSTV_i" xfId="38"/>
    <cellStyle name="_Book1_Kính gửi A Khoa file BC+KH2010 (DUC 21-9-09) (version 1)" xfId="39"/>
    <cellStyle name="_Book1_NSHSTV" xfId="40"/>
    <cellStyle name="_Book1_O_KEO_1" xfId="41"/>
    <cellStyle name="_Book1_QL15-PA1" xfId="42"/>
    <cellStyle name="_C.cong+B.luong-Sanluong" xfId="43"/>
    <cellStyle name="_Copy of Khoi luong Du toan" xfId="44"/>
    <cellStyle name="_DO-D1500-KHONG CO TRONG DT" xfId="45"/>
    <cellStyle name="_DT tho" xfId="46"/>
    <cellStyle name="_DT765+" xfId="47"/>
    <cellStyle name="_DT768_1i" xfId="48"/>
    <cellStyle name="_Dtoan Cay xanh K1-K1+25s" xfId="49"/>
    <cellStyle name="_Dtoan Cay xanh K1-K1+25sS" xfId="50"/>
    <cellStyle name="_Du toan Phuoc An-sua" xfId="51"/>
    <cellStyle name="_Du toan_DOAN NGOAI TX TAN AN_tach Xlap(sua)" xfId="52"/>
    <cellStyle name="_Du toan-in" xfId="53"/>
    <cellStyle name="_DUTOAN BOKE NHC PA2i" xfId="54"/>
    <cellStyle name="_GOITHAUSO2" xfId="56"/>
    <cellStyle name="_GOITHAUSO3" xfId="57"/>
    <cellStyle name="_GOITHAUSO4" xfId="58"/>
    <cellStyle name="_Giai Doan 3 Hong Ngu" xfId="55"/>
    <cellStyle name="_HaHoa_TDT_DienCSang" xfId="59"/>
    <cellStyle name="_HaHoa19-5-07" xfId="60"/>
    <cellStyle name="_HSTV" xfId="61"/>
    <cellStyle name="_HSTV_i" xfId="62"/>
    <cellStyle name="_HSTV06" xfId="63"/>
    <cellStyle name="_Kính gửi A Khoa file BC+KH2010 (DUC 21-9-09) (version 1)" xfId="65"/>
    <cellStyle name="_KL" xfId="66"/>
    <cellStyle name="_ks" xfId="67"/>
    <cellStyle name="_KT (2)" xfId="68"/>
    <cellStyle name="_KT (2)_1" xfId="69"/>
    <cellStyle name="_KT (2)_2" xfId="70"/>
    <cellStyle name="_KT (2)_2_TG-TH" xfId="71"/>
    <cellStyle name="_KT (2)_2_TG-TH_BANG TONG HOP TINH HINH THANH QUYET TOAN (MOI I)" xfId="72"/>
    <cellStyle name="_KT (2)_2_TG-TH_BAO GIA NGAY 24-10-08 (co dam)" xfId="73"/>
    <cellStyle name="_KT (2)_2_TG-TH_Book1" xfId="74"/>
    <cellStyle name="_KT (2)_2_TG-TH_Book1_1" xfId="75"/>
    <cellStyle name="_KT (2)_2_TG-TH_Book1_Book1" xfId="76"/>
    <cellStyle name="_KT (2)_2_TG-TH_Book1_Kính gửi A Khoa file BC+KH2010 (DUC 21-9-09) (version 1)" xfId="77"/>
    <cellStyle name="_KT (2)_2_TG-TH_CAU Khanh Nam(Thi Cong)" xfId="78"/>
    <cellStyle name="_KT (2)_2_TG-TH_DU TRU VAT TU" xfId="79"/>
    <cellStyle name="_KT (2)_2_TG-TH_Giai Doan 3 Hong Ngu" xfId="80"/>
    <cellStyle name="_KT (2)_2_TG-TH_Kính gửi A Khoa file BC+KH2010 (DUC 21-9-09) (version 1)" xfId="81"/>
    <cellStyle name="_KT (2)_2_TG-TH_PT02-02" xfId="82"/>
    <cellStyle name="_KT (2)_2_TG-TH_PT02-03" xfId="83"/>
    <cellStyle name="_KT (2)_2_TG-TH_Tach Khoi luong mo M1-KNM-PA1-Dat ktr" xfId="84"/>
    <cellStyle name="_KT (2)_2_TG-TH_ÿÿÿÿÿ" xfId="85"/>
    <cellStyle name="_KT (2)_3" xfId="86"/>
    <cellStyle name="_KT (2)_3_TG-TH" xfId="87"/>
    <cellStyle name="_KT (2)_3_TG-TH_báo cáo tuần 17.5.2010 (moi  TH Tùng. )" xfId="88"/>
    <cellStyle name="_KT (2)_3_TG-TH_Book1" xfId="89"/>
    <cellStyle name="_KT (2)_3_TG-TH_Book1_1" xfId="90"/>
    <cellStyle name="_KT (2)_3_TG-TH_Book1_2" xfId="91"/>
    <cellStyle name="_KT (2)_3_TG-TH_Giai Doan 3 Hong Ngu" xfId="92"/>
    <cellStyle name="_KT (2)_3_TG-TH_Kính gửi A Khoa file BC+KH2010 (DUC 21-9-09) (version 1)" xfId="93"/>
    <cellStyle name="_KT (2)_3_TG-TH_PERSONAL" xfId="94"/>
    <cellStyle name="_KT (2)_3_TG-TH_PERSONAL_Book1" xfId="95"/>
    <cellStyle name="_KT (2)_3_TG-TH_PERSONAL_Kính gửi A Khoa file BC+KH2010 (DUC 21-9-09) (version 1)" xfId="96"/>
    <cellStyle name="_KT (2)_3_TG-TH_PERSONAL_Tong hop KHCB 2001" xfId="97"/>
    <cellStyle name="_KT (2)_4" xfId="98"/>
    <cellStyle name="_KT (2)_4_BANG TONG HOP TINH HINH THANH QUYET TOAN (MOI I)" xfId="99"/>
    <cellStyle name="_KT (2)_4_BAO GIA NGAY 24-10-08 (co dam)" xfId="100"/>
    <cellStyle name="_KT (2)_4_Book1" xfId="101"/>
    <cellStyle name="_KT (2)_4_Book1_1" xfId="102"/>
    <cellStyle name="_KT (2)_4_Book1_Book1" xfId="103"/>
    <cellStyle name="_KT (2)_4_Book1_Kính gửi A Khoa file BC+KH2010 (DUC 21-9-09) (version 1)" xfId="104"/>
    <cellStyle name="_KT (2)_4_CAU Khanh Nam(Thi Cong)" xfId="105"/>
    <cellStyle name="_KT (2)_4_DU TRU VAT TU" xfId="106"/>
    <cellStyle name="_KT (2)_4_Giai Doan 3 Hong Ngu" xfId="107"/>
    <cellStyle name="_KT (2)_4_Kính gửi A Khoa file BC+KH2010 (DUC 21-9-09) (version 1)" xfId="108"/>
    <cellStyle name="_KT (2)_4_PT02-02" xfId="109"/>
    <cellStyle name="_KT (2)_4_PT02-03" xfId="110"/>
    <cellStyle name="_KT (2)_4_Tach Khoi luong mo M1-KNM-PA1-Dat ktr" xfId="111"/>
    <cellStyle name="_KT (2)_4_TG-TH" xfId="112"/>
    <cellStyle name="_KT (2)_4_ÿÿÿÿÿ" xfId="113"/>
    <cellStyle name="_KT (2)_5" xfId="114"/>
    <cellStyle name="_KT (2)_5_BANG TONG HOP TINH HINH THANH QUYET TOAN (MOI I)" xfId="115"/>
    <cellStyle name="_KT (2)_5_BAO GIA NGAY 24-10-08 (co dam)" xfId="116"/>
    <cellStyle name="_KT (2)_5_Book1" xfId="117"/>
    <cellStyle name="_KT (2)_5_Book1_1" xfId="118"/>
    <cellStyle name="_KT (2)_5_Book1_Book1" xfId="119"/>
    <cellStyle name="_KT (2)_5_Book1_Kính gửi A Khoa file BC+KH2010 (DUC 21-9-09) (version 1)" xfId="120"/>
    <cellStyle name="_KT (2)_5_CAU Khanh Nam(Thi Cong)" xfId="121"/>
    <cellStyle name="_KT (2)_5_DU TRU VAT TU" xfId="122"/>
    <cellStyle name="_KT (2)_5_Giai Doan 3 Hong Ngu" xfId="123"/>
    <cellStyle name="_KT (2)_5_Kính gửi A Khoa file BC+KH2010 (DUC 21-9-09) (version 1)" xfId="124"/>
    <cellStyle name="_KT (2)_5_PT02-02" xfId="125"/>
    <cellStyle name="_KT (2)_5_PT02-03" xfId="126"/>
    <cellStyle name="_KT (2)_5_Tach Khoi luong mo M1-KNM-PA1-Dat ktr" xfId="127"/>
    <cellStyle name="_KT (2)_5_ÿÿÿÿÿ" xfId="128"/>
    <cellStyle name="_KT (2)_báo cáo tuần 17.5.2010 (moi  TH Tùng. )" xfId="129"/>
    <cellStyle name="_KT (2)_Book1" xfId="130"/>
    <cellStyle name="_KT (2)_Book1_1" xfId="131"/>
    <cellStyle name="_KT (2)_Book1_2" xfId="132"/>
    <cellStyle name="_KT (2)_Giai Doan 3 Hong Ngu" xfId="133"/>
    <cellStyle name="_KT (2)_Kính gửi A Khoa file BC+KH2010 (DUC 21-9-09) (version 1)" xfId="134"/>
    <cellStyle name="_KT (2)_PERSONAL" xfId="135"/>
    <cellStyle name="_KT (2)_PERSONAL_Book1" xfId="136"/>
    <cellStyle name="_KT (2)_PERSONAL_Kính gửi A Khoa file BC+KH2010 (DUC 21-9-09) (version 1)" xfId="137"/>
    <cellStyle name="_KT (2)_PERSONAL_Tong hop KHCB 2001" xfId="138"/>
    <cellStyle name="_KT (2)_TG-TH" xfId="139"/>
    <cellStyle name="_KT_TG" xfId="140"/>
    <cellStyle name="_KT_TG_1" xfId="141"/>
    <cellStyle name="_KT_TG_1_BANG TONG HOP TINH HINH THANH QUYET TOAN (MOI I)" xfId="142"/>
    <cellStyle name="_KT_TG_1_BAO GIA NGAY 24-10-08 (co dam)" xfId="143"/>
    <cellStyle name="_KT_TG_1_Book1" xfId="144"/>
    <cellStyle name="_KT_TG_1_Book1_1" xfId="145"/>
    <cellStyle name="_KT_TG_1_Book1_Book1" xfId="146"/>
    <cellStyle name="_KT_TG_1_Book1_Kính gửi A Khoa file BC+KH2010 (DUC 21-9-09) (version 1)" xfId="147"/>
    <cellStyle name="_KT_TG_1_CAU Khanh Nam(Thi Cong)" xfId="148"/>
    <cellStyle name="_KT_TG_1_DU TRU VAT TU" xfId="149"/>
    <cellStyle name="_KT_TG_1_Giai Doan 3 Hong Ngu" xfId="150"/>
    <cellStyle name="_KT_TG_1_Kính gửi A Khoa file BC+KH2010 (DUC 21-9-09) (version 1)" xfId="151"/>
    <cellStyle name="_KT_TG_1_PT02-02" xfId="152"/>
    <cellStyle name="_KT_TG_1_PT02-03" xfId="153"/>
    <cellStyle name="_KT_TG_1_Tach Khoi luong mo M1-KNM-PA1-Dat ktr" xfId="154"/>
    <cellStyle name="_KT_TG_1_ÿÿÿÿÿ" xfId="155"/>
    <cellStyle name="_KT_TG_2" xfId="156"/>
    <cellStyle name="_KT_TG_2_BANG TONG HOP TINH HINH THANH QUYET TOAN (MOI I)" xfId="157"/>
    <cellStyle name="_KT_TG_2_BAO GIA NGAY 24-10-08 (co dam)" xfId="158"/>
    <cellStyle name="_KT_TG_2_Book1" xfId="159"/>
    <cellStyle name="_KT_TG_2_Book1_1" xfId="160"/>
    <cellStyle name="_KT_TG_2_Book1_Book1" xfId="161"/>
    <cellStyle name="_KT_TG_2_Book1_Kính gửi A Khoa file BC+KH2010 (DUC 21-9-09) (version 1)" xfId="162"/>
    <cellStyle name="_KT_TG_2_CAU Khanh Nam(Thi Cong)" xfId="163"/>
    <cellStyle name="_KT_TG_2_DU TRU VAT TU" xfId="164"/>
    <cellStyle name="_KT_TG_2_Giai Doan 3 Hong Ngu" xfId="165"/>
    <cellStyle name="_KT_TG_2_Kính gửi A Khoa file BC+KH2010 (DUC 21-9-09) (version 1)" xfId="166"/>
    <cellStyle name="_KT_TG_2_PT02-02" xfId="167"/>
    <cellStyle name="_KT_TG_2_PT02-03" xfId="168"/>
    <cellStyle name="_KT_TG_2_Tach Khoi luong mo M1-KNM-PA1-Dat ktr" xfId="169"/>
    <cellStyle name="_KT_TG_2_ÿÿÿÿÿ" xfId="170"/>
    <cellStyle name="_KT_TG_3" xfId="171"/>
    <cellStyle name="_KT_TG_4" xfId="172"/>
    <cellStyle name="_KToanT1" xfId="173"/>
    <cellStyle name="_Khai toan_(Theo TT04)" xfId="64"/>
    <cellStyle name="_MauThanTKKT-goi7-DonGia2143(vl t7)" xfId="174"/>
    <cellStyle name="_NSHSTV" xfId="175"/>
    <cellStyle name="_O_KEO_1" xfId="176"/>
    <cellStyle name="_PERSONAL" xfId="177"/>
    <cellStyle name="_PERSONAL_Book1" xfId="178"/>
    <cellStyle name="_PERSONAL_Kính gửi A Khoa file BC+KH2010 (DUC 21-9-09) (version 1)" xfId="179"/>
    <cellStyle name="_PERSONAL_Tong hop KHCB 2001" xfId="180"/>
    <cellStyle name="_Q TOAN  SCTX QL.62 QUI I ( oanh)" xfId="181"/>
    <cellStyle name="_Q TOAN  SCTX QL.62 QUI II ( oanh)" xfId="182"/>
    <cellStyle name="_QL15-CX1" xfId="183"/>
    <cellStyle name="_QL15-PA1" xfId="184"/>
    <cellStyle name="_QL15-PA1_1" xfId="185"/>
    <cellStyle name="_QL62-680(adjust1)" xfId="186"/>
    <cellStyle name="_QT SCTXQL62_QT1 (Cty QL)" xfId="187"/>
    <cellStyle name="_Sheet1" xfId="188"/>
    <cellStyle name="_Sheet2" xfId="189"/>
    <cellStyle name="_TD" xfId="190"/>
    <cellStyle name="_TD-DA" xfId="191"/>
    <cellStyle name="_TD-TKKT" xfId="192"/>
    <cellStyle name="_TD-TKKT_ii" xfId="193"/>
    <cellStyle name="_TD-TKKT_Km0+00-Km0+400_DM24" xfId="194"/>
    <cellStyle name="_TG-TH" xfId="195"/>
    <cellStyle name="_TG-TH_1" xfId="196"/>
    <cellStyle name="_TG-TH_1_BANG TONG HOP TINH HINH THANH QUYET TOAN (MOI I)" xfId="197"/>
    <cellStyle name="_TG-TH_1_BAO GIA NGAY 24-10-08 (co dam)" xfId="198"/>
    <cellStyle name="_TG-TH_1_Book1" xfId="199"/>
    <cellStyle name="_TG-TH_1_Book1_1" xfId="200"/>
    <cellStyle name="_TG-TH_1_Book1_Book1" xfId="201"/>
    <cellStyle name="_TG-TH_1_Book1_Kính gửi A Khoa file BC+KH2010 (DUC 21-9-09) (version 1)" xfId="202"/>
    <cellStyle name="_TG-TH_1_CAU Khanh Nam(Thi Cong)" xfId="203"/>
    <cellStyle name="_TG-TH_1_DU TRU VAT TU" xfId="204"/>
    <cellStyle name="_TG-TH_1_Giai Doan 3 Hong Ngu" xfId="205"/>
    <cellStyle name="_TG-TH_1_Kính gửi A Khoa file BC+KH2010 (DUC 21-9-09) (version 1)" xfId="206"/>
    <cellStyle name="_TG-TH_1_PT02-02" xfId="207"/>
    <cellStyle name="_TG-TH_1_PT02-03" xfId="208"/>
    <cellStyle name="_TG-TH_1_Tach Khoi luong mo M1-KNM-PA1-Dat ktr" xfId="209"/>
    <cellStyle name="_TG-TH_1_ÿÿÿÿÿ" xfId="210"/>
    <cellStyle name="_TG-TH_2" xfId="211"/>
    <cellStyle name="_TG-TH_2_BANG TONG HOP TINH HINH THANH QUYET TOAN (MOI I)" xfId="212"/>
    <cellStyle name="_TG-TH_2_BAO GIA NGAY 24-10-08 (co dam)" xfId="213"/>
    <cellStyle name="_TG-TH_2_Book1" xfId="214"/>
    <cellStyle name="_TG-TH_2_Book1_1" xfId="215"/>
    <cellStyle name="_TG-TH_2_Book1_Book1" xfId="216"/>
    <cellStyle name="_TG-TH_2_Book1_Kính gửi A Khoa file BC+KH2010 (DUC 21-9-09) (version 1)" xfId="217"/>
    <cellStyle name="_TG-TH_2_CAU Khanh Nam(Thi Cong)" xfId="218"/>
    <cellStyle name="_TG-TH_2_DU TRU VAT TU" xfId="219"/>
    <cellStyle name="_TG-TH_2_Giai Doan 3 Hong Ngu" xfId="220"/>
    <cellStyle name="_TG-TH_2_Kính gửi A Khoa file BC+KH2010 (DUC 21-9-09) (version 1)" xfId="221"/>
    <cellStyle name="_TG-TH_2_PT02-02" xfId="222"/>
    <cellStyle name="_TG-TH_2_PT02-03" xfId="223"/>
    <cellStyle name="_TG-TH_2_Tach Khoi luong mo M1-KNM-PA1-Dat ktr" xfId="224"/>
    <cellStyle name="_TG-TH_2_ÿÿÿÿÿ" xfId="225"/>
    <cellStyle name="_TG-TH_3" xfId="226"/>
    <cellStyle name="_TG-TH_4" xfId="227"/>
    <cellStyle name="_Tong dutoan PP LAHAI" xfId="228"/>
    <cellStyle name="_Tong hop may cheu nganh 1" xfId="229"/>
    <cellStyle name="_VTD-TC." xfId="230"/>
    <cellStyle name="_ÿÿÿÿÿ" xfId="231"/>
    <cellStyle name="_ÿÿÿÿÿ_báo cáo tuần 17.5.2010 (moi  TH Tùng. )" xfId="232"/>
    <cellStyle name="~1" xfId="233"/>
    <cellStyle name="’Ê‰Ý [0.00]_laroux" xfId="234"/>
    <cellStyle name="’Ê‰Ý_laroux" xfId="235"/>
    <cellStyle name="=" xfId="236"/>
    <cellStyle name="=_Book1" xfId="237"/>
    <cellStyle name="=_Book1_1" xfId="238"/>
    <cellStyle name="=_Book2" xfId="239"/>
    <cellStyle name="=_Book2_Khu ve sinh, Truong Day Nghe TN" xfId="240"/>
    <cellStyle name="=_capnuoc" xfId="241"/>
    <cellStyle name="=_cong bot gac hang rao" xfId="242"/>
    <cellStyle name="=_cong bot gac hang rao_Khu ve sinh, Truong Day Nghe TN" xfId="243"/>
    <cellStyle name="=_DIEN 855" xfId="244"/>
    <cellStyle name="=_He thong cap nuoc" xfId="245"/>
    <cellStyle name="=_He thong cap nuoc_Khu ve sinh, Truong Day Nghe TN" xfId="246"/>
    <cellStyle name="=_Khu ve sinh, Truong Day Nghe TN" xfId="247"/>
    <cellStyle name="=_nttdtctruongmamnon" xfId="258"/>
    <cellStyle name="=_NHA AN DIEU DUONG BDBP" xfId="248"/>
    <cellStyle name="=_NHA AN DIEU DUONG BDBP_Khu ve sinh, Truong Day Nghe TN" xfId="249"/>
    <cellStyle name="=_nha khach BDBP" xfId="250"/>
    <cellStyle name="=_nha khach BDBP_Khu ve sinh, Truong Day Nghe TN" xfId="251"/>
    <cellStyle name="=_nhabepnhaan" xfId="252"/>
    <cellStyle name="=_nhachieudaiso" xfId="253"/>
    <cellStyle name="=_nhachieudaiso_Khu ve sinh, Truong Day Nghe TN" xfId="254"/>
    <cellStyle name="=_nhatamgiu" xfId="255"/>
    <cellStyle name="=_nhaVANHOATRUCBAN" xfId="256"/>
    <cellStyle name="=_nhaVANHOATRUCBAN_Khu ve sinh, Truong Day Nghe TN" xfId="257"/>
    <cellStyle name="=_VC_Q_CAU" xfId="259"/>
    <cellStyle name="•W?_Format" xfId="260"/>
    <cellStyle name="•W€_¯–ì" xfId="261"/>
    <cellStyle name="•W_’·Šú‰p•¶" xfId="262"/>
    <cellStyle name="W_MARINE" xfId="263"/>
    <cellStyle name="0" xfId="264"/>
    <cellStyle name="0.0" xfId="265"/>
    <cellStyle name="0.00" xfId="266"/>
    <cellStyle name="1" xfId="267"/>
    <cellStyle name="1_BAO GIA NGAY 24-10-08 (co dam)" xfId="268"/>
    <cellStyle name="1_Book1" xfId="269"/>
    <cellStyle name="1_Book1_1" xfId="270"/>
    <cellStyle name="1_Ca may duong song" xfId="271"/>
    <cellStyle name="1_Cau thuy dien Ban La (Cu Anh)" xfId="272"/>
    <cellStyle name="1_Dtdchinh2397" xfId="273"/>
    <cellStyle name="1_Du toan 558 (Km17+508.12 - Km 22)" xfId="274"/>
    <cellStyle name="1_Duong-g9" xfId="275"/>
    <cellStyle name="1_goi 9-lan 1-thang7-2011" xfId="277"/>
    <cellStyle name="1_Gia_VLQL48_duyet " xfId="276"/>
    <cellStyle name="1_Kính gửi A Khoa file BC+KH2010 (DUC 21-9-09) (version 1)" xfId="278"/>
    <cellStyle name="1_KlQdinhduyet" xfId="279"/>
    <cellStyle name="1_van chuyen dat dap-dat set-goi9" xfId="280"/>
    <cellStyle name="1_ÿÿÿÿÿ" xfId="281"/>
    <cellStyle name="1_ÿÿÿÿÿ_báo cáo tuần 17.5.2010 (moi  TH Tùng. )" xfId="282"/>
    <cellStyle name="18" xfId="283"/>
    <cellStyle name="¹éºÐÀ²_      " xfId="284"/>
    <cellStyle name="2" xfId="285"/>
    <cellStyle name="2_Book1" xfId="286"/>
    <cellStyle name="2_Book1_1" xfId="287"/>
    <cellStyle name="2_Cau thuy dien Ban La (Cu Anh)" xfId="288"/>
    <cellStyle name="2_Dtdchinh2397" xfId="289"/>
    <cellStyle name="2_Du toan 558 (Km17+508.12 - Km 22)" xfId="290"/>
    <cellStyle name="2_Gia_VLQL48_duyet " xfId="291"/>
    <cellStyle name="2_KlQdinhduyet" xfId="292"/>
    <cellStyle name="2_ÿÿÿÿÿ" xfId="293"/>
    <cellStyle name="20" xfId="294"/>
    <cellStyle name="-2001" xfId="295"/>
    <cellStyle name="3" xfId="296"/>
    <cellStyle name="3_Book1" xfId="297"/>
    <cellStyle name="3_Book1_1" xfId="298"/>
    <cellStyle name="3_Cau thuy dien Ban La (Cu Anh)" xfId="299"/>
    <cellStyle name="3_Dtdchinh2397" xfId="300"/>
    <cellStyle name="3_Du toan 558 (Km17+508.12 - Km 22)" xfId="301"/>
    <cellStyle name="3_Gia_VLQL48_duyet " xfId="302"/>
    <cellStyle name="3_KlQdinhduyet" xfId="303"/>
    <cellStyle name="3_ÿÿÿÿÿ" xfId="304"/>
    <cellStyle name="4" xfId="305"/>
    <cellStyle name="4_Book1" xfId="306"/>
    <cellStyle name="4_Book1_1" xfId="307"/>
    <cellStyle name="4_Cau thuy dien Ban La (Cu Anh)" xfId="308"/>
    <cellStyle name="4_Dtdchinh2397" xfId="309"/>
    <cellStyle name="4_Du toan 558 (Km17+508.12 - Km 22)" xfId="310"/>
    <cellStyle name="4_Gia_VLQL48_duyet " xfId="311"/>
    <cellStyle name="4_KlQdinhduyet" xfId="312"/>
    <cellStyle name="4_ÿÿÿÿÿ" xfId="313"/>
    <cellStyle name="6" xfId="314"/>
    <cellStyle name="6_6.GIA" xfId="315"/>
    <cellStyle name="6_cau Vinh Hy-7-2010" xfId="316"/>
    <cellStyle name="6_DToan duong Ly Thuong Kiet+ Dien Bien Phu-lan 1" xfId="317"/>
    <cellStyle name="6_duong" xfId="318"/>
    <cellStyle name="6_Duong-g9" xfId="319"/>
    <cellStyle name="6_goi 9-lan 1-thang7-2011" xfId="320"/>
    <cellStyle name="6_van chuyen dat dap-dat set-goi9" xfId="321"/>
    <cellStyle name="9" xfId="322"/>
    <cellStyle name="A" xfId="323"/>
    <cellStyle name="a_Goi 4 phan ITS (28-2-09)" xfId="324"/>
    <cellStyle name="ÅëÈ­ [0]_      " xfId="325"/>
    <cellStyle name="AeE­ [0]_INQUIRY ¿?¾÷AßAø " xfId="326"/>
    <cellStyle name="ÅëÈ­ [0]_L601CPT" xfId="327"/>
    <cellStyle name="ÅëÈ­_      " xfId="328"/>
    <cellStyle name="AeE­_INQUIRY ¿?¾÷AßAø " xfId="329"/>
    <cellStyle name="ÅëÈ­_L601CPT" xfId="330"/>
    <cellStyle name="args.style" xfId="331"/>
    <cellStyle name="at" xfId="332"/>
    <cellStyle name="ÄÞ¸¶ [0]_      " xfId="333"/>
    <cellStyle name="AÞ¸¶ [0]_INQUIRY ¿?¾÷AßAø " xfId="334"/>
    <cellStyle name="ÄÞ¸¶ [0]_L601CPT" xfId="335"/>
    <cellStyle name="ÄÞ¸¶_      " xfId="336"/>
    <cellStyle name="AÞ¸¶_INQUIRY ¿?¾÷AßAø " xfId="337"/>
    <cellStyle name="ÄÞ¸¶_L601CPT" xfId="338"/>
    <cellStyle name="AutoFormat Options" xfId="339"/>
    <cellStyle name="B_U" xfId="340"/>
    <cellStyle name="B_U_A" xfId="341"/>
    <cellStyle name="B_U_Mauqtvtd-99" xfId="342"/>
    <cellStyle name="B_U_Qtnbdtmau" xfId="343"/>
    <cellStyle name="Body" xfId="344"/>
    <cellStyle name="C?AØ_¿?¾÷CoE² " xfId="345"/>
    <cellStyle name="C~1" xfId="346"/>
    <cellStyle name="Ç¥ÁØ_      " xfId="347"/>
    <cellStyle name="C￥AØ_¿μ¾÷CoE² " xfId="348"/>
    <cellStyle name="Ç¥ÁØ_±¸¹Ì´ëÃ¥" xfId="349"/>
    <cellStyle name="C￥AØ_Sheet1_¿μ¾÷CoE² " xfId="350"/>
    <cellStyle name="Ç¥ÁØ_ÿÿÿÿÿÿ_4_ÃÑÇÕ°è " xfId="351"/>
    <cellStyle name="Calc Currency (0)" xfId="352"/>
    <cellStyle name="Calc Currency (0) 2" xfId="353"/>
    <cellStyle name="Calc Currency (2)" xfId="354"/>
    <cellStyle name="Calc Percent (0)" xfId="355"/>
    <cellStyle name="Calc Percent (0) 2" xfId="356"/>
    <cellStyle name="Calc Percent (1)" xfId="357"/>
    <cellStyle name="Calc Percent (1) 2" xfId="358"/>
    <cellStyle name="Calc Percent (2)" xfId="359"/>
    <cellStyle name="Calc Units (0)" xfId="360"/>
    <cellStyle name="Calc Units (1)" xfId="361"/>
    <cellStyle name="Calc Units (2)" xfId="362"/>
    <cellStyle name="category" xfId="363"/>
    <cellStyle name="CC1" xfId="364"/>
    <cellStyle name="CC2" xfId="365"/>
    <cellStyle name="Cerrency_Sheet2_XANGDAU" xfId="366"/>
    <cellStyle name="Comma" xfId="370" builtinId="3"/>
    <cellStyle name="Comma  - Style1" xfId="371"/>
    <cellStyle name="Comma  - Style2" xfId="372"/>
    <cellStyle name="Comma  - Style3" xfId="373"/>
    <cellStyle name="Comma  - Style4" xfId="374"/>
    <cellStyle name="Comma  - Style5" xfId="375"/>
    <cellStyle name="Comma  - Style6" xfId="376"/>
    <cellStyle name="Comma  - Style7" xfId="377"/>
    <cellStyle name="Comma  - Style8" xfId="378"/>
    <cellStyle name="Comma [00]" xfId="379"/>
    <cellStyle name="Comma 10" xfId="380"/>
    <cellStyle name="Comma 10 2" xfId="381"/>
    <cellStyle name="Comma 11" xfId="382"/>
    <cellStyle name="Comma 12" xfId="383"/>
    <cellStyle name="Comma 13" xfId="384"/>
    <cellStyle name="Comma 13 2" xfId="385"/>
    <cellStyle name="Comma 14" xfId="386"/>
    <cellStyle name="Comma 15" xfId="387"/>
    <cellStyle name="Comma 16" xfId="388"/>
    <cellStyle name="Comma 16 2" xfId="389"/>
    <cellStyle name="Comma 17" xfId="390"/>
    <cellStyle name="Comma 17 2" xfId="391"/>
    <cellStyle name="Comma 17 3" xfId="392"/>
    <cellStyle name="Comma 2" xfId="393"/>
    <cellStyle name="Comma 2 2" xfId="394"/>
    <cellStyle name="Comma 2 3" xfId="395"/>
    <cellStyle name="Comma 2 4" xfId="396"/>
    <cellStyle name="Comma 2 5" xfId="397"/>
    <cellStyle name="Comma 2_Goi 4 phan ITS (28-2-09)" xfId="398"/>
    <cellStyle name="Comma 20" xfId="399"/>
    <cellStyle name="Comma 3" xfId="400"/>
    <cellStyle name="Comma 3 2" xfId="401"/>
    <cellStyle name="Comma 3 2 2" xfId="402"/>
    <cellStyle name="Comma 3 3" xfId="403"/>
    <cellStyle name="Comma 4" xfId="404"/>
    <cellStyle name="Comma 4 2" xfId="941"/>
    <cellStyle name="Comma 5" xfId="405"/>
    <cellStyle name="Comma 5 2" xfId="406"/>
    <cellStyle name="Comma 5_6.GIA" xfId="407"/>
    <cellStyle name="Comma 6" xfId="408"/>
    <cellStyle name="Comma 6 2" xfId="409"/>
    <cellStyle name="Comma 7" xfId="410"/>
    <cellStyle name="Comma 7 2" xfId="411"/>
    <cellStyle name="Comma 8" xfId="412"/>
    <cellStyle name="Comma 9" xfId="413"/>
    <cellStyle name="Comma 9 2" xfId="414"/>
    <cellStyle name="comma zerodec" xfId="415"/>
    <cellStyle name="Comma_DT THEO DGCT" xfId="416"/>
    <cellStyle name="Comma0" xfId="417"/>
    <cellStyle name="Comma0 2" xfId="418"/>
    <cellStyle name="Copied" xfId="419"/>
    <cellStyle name="Cࡵrrency_Sheet1_PRODUCTĠ" xfId="420"/>
    <cellStyle name="CT1" xfId="421"/>
    <cellStyle name="CT2" xfId="422"/>
    <cellStyle name="CT4" xfId="423"/>
    <cellStyle name="CT5" xfId="424"/>
    <cellStyle name="ct7" xfId="425"/>
    <cellStyle name="ct8" xfId="426"/>
    <cellStyle name="cth1" xfId="427"/>
    <cellStyle name="Cthuc" xfId="428"/>
    <cellStyle name="Cthuc1" xfId="429"/>
    <cellStyle name="Curråncy [0]_FCST_RESULTS" xfId="430"/>
    <cellStyle name="Currency [0]ßmud plant bolted_RESULTS" xfId="431"/>
    <cellStyle name="Currency [00]" xfId="432"/>
    <cellStyle name="Currency![0]_FCSt (2)" xfId="433"/>
    <cellStyle name="Currency0" xfId="434"/>
    <cellStyle name="Currency0 2" xfId="435"/>
    <cellStyle name="Currency1" xfId="436"/>
    <cellStyle name="Currency1 2" xfId="437"/>
    <cellStyle name="chchuyen" xfId="367"/>
    <cellStyle name="Chi phÝ kh¸c_Book1" xfId="368"/>
    <cellStyle name="CHUONG" xfId="369"/>
    <cellStyle name="d" xfId="438"/>
    <cellStyle name="d%" xfId="439"/>
    <cellStyle name="D_G_A" xfId="440"/>
    <cellStyle name="D1" xfId="441"/>
    <cellStyle name="Date" xfId="442"/>
    <cellStyle name="Date 2" xfId="443"/>
    <cellStyle name="Date Short" xfId="444"/>
    <cellStyle name="Dezimal [0]_ALLE_ITEMS_280800_EV_NL" xfId="445"/>
    <cellStyle name="Dezimal_AKE_100N" xfId="446"/>
    <cellStyle name="Dollar (zero dec)" xfId="447"/>
    <cellStyle name="Dollar (zero dec) 2" xfId="448"/>
    <cellStyle name="Dziesi?tny [0]_Invoices2001Slovakia" xfId="449"/>
    <cellStyle name="Dziesi?tny_Invoices2001Slovakia" xfId="450"/>
    <cellStyle name="Dziesietny [0]_Invoices2001Slovakia" xfId="451"/>
    <cellStyle name="Dziesiętny [0]_Invoices2001Slovakia" xfId="452"/>
    <cellStyle name="Dziesietny [0]_Invoices2001Slovakia_Book1" xfId="453"/>
    <cellStyle name="Dziesiętny [0]_Invoices2001Slovakia_Book1" xfId="454"/>
    <cellStyle name="Dziesietny [0]_Invoices2001Slovakia_Book1_Tong hop Cac tuyen(9-1-06)" xfId="455"/>
    <cellStyle name="Dziesiętny [0]_Invoices2001Slovakia_Book1_Tong hop Cac tuyen(9-1-06)" xfId="456"/>
    <cellStyle name="Dziesietny [0]_Invoices2001Slovakia_Duong-g9" xfId="457"/>
    <cellStyle name="Dziesiętny [0]_Invoices2001Slovakia_Nhalamviec VTC(25-1-05)" xfId="458"/>
    <cellStyle name="Dziesietny [0]_Invoices2001Slovakia_TDT KHANH HOA" xfId="459"/>
    <cellStyle name="Dziesiętny [0]_Invoices2001Slovakia_TDT KHANH HOA" xfId="460"/>
    <cellStyle name="Dziesietny [0]_Invoices2001Slovakia_TDT KHANH HOA_Tong hop Cac tuyen(9-1-06)" xfId="461"/>
    <cellStyle name="Dziesiętny [0]_Invoices2001Slovakia_TDT KHANH HOA_Tong hop Cac tuyen(9-1-06)" xfId="462"/>
    <cellStyle name="Dziesietny [0]_Invoices2001Slovakia_TDT quangngai" xfId="463"/>
    <cellStyle name="Dziesiętny [0]_Invoices2001Slovakia_TDT quangngai" xfId="464"/>
    <cellStyle name="Dziesietny [0]_Invoices2001Slovakia_THKL-Total" xfId="465"/>
    <cellStyle name="Dziesietny_Invoices2001Slovakia" xfId="466"/>
    <cellStyle name="Dziesiętny_Invoices2001Slovakia" xfId="467"/>
    <cellStyle name="Dziesietny_Invoices2001Slovakia_Book1" xfId="468"/>
    <cellStyle name="Dziesiętny_Invoices2001Slovakia_Book1" xfId="469"/>
    <cellStyle name="Dziesietny_Invoices2001Slovakia_Book1_Tong hop Cac tuyen(9-1-06)" xfId="470"/>
    <cellStyle name="Dziesiętny_Invoices2001Slovakia_Book1_Tong hop Cac tuyen(9-1-06)" xfId="471"/>
    <cellStyle name="Dziesietny_Invoices2001Slovakia_Duong-g9" xfId="472"/>
    <cellStyle name="Dziesiętny_Invoices2001Slovakia_Nhalamviec VTC(25-1-05)" xfId="473"/>
    <cellStyle name="Dziesietny_Invoices2001Slovakia_TDT KHANH HOA" xfId="474"/>
    <cellStyle name="Dziesiętny_Invoices2001Slovakia_TDT KHANH HOA" xfId="475"/>
    <cellStyle name="Dziesietny_Invoices2001Slovakia_TDT KHANH HOA_Tong hop Cac tuyen(9-1-06)" xfId="476"/>
    <cellStyle name="Dziesiętny_Invoices2001Slovakia_TDT KHANH HOA_Tong hop Cac tuyen(9-1-06)" xfId="477"/>
    <cellStyle name="Dziesietny_Invoices2001Slovakia_TDT quangngai" xfId="478"/>
    <cellStyle name="Dziesiętny_Invoices2001Slovakia_TDT quangngai" xfId="479"/>
    <cellStyle name="Dziesietny_Invoices2001Slovakia_THKL-Total" xfId="480"/>
    <cellStyle name="e" xfId="481"/>
    <cellStyle name="Enter Currency (0)" xfId="482"/>
    <cellStyle name="Enter Currency (0) 2" xfId="483"/>
    <cellStyle name="Enter Currency (2)" xfId="484"/>
    <cellStyle name="Enter Units (0)" xfId="485"/>
    <cellStyle name="Enter Units (1)" xfId="486"/>
    <cellStyle name="Enter Units (2)" xfId="487"/>
    <cellStyle name="Entered" xfId="488"/>
    <cellStyle name="Euro" xfId="489"/>
    <cellStyle name="f" xfId="490"/>
    <cellStyle name="Fixed" xfId="491"/>
    <cellStyle name="Fixed 2" xfId="492"/>
    <cellStyle name="font aptima9" xfId="493"/>
    <cellStyle name="Grey" xfId="495"/>
    <cellStyle name="Grey 2" xfId="496"/>
    <cellStyle name="GIANG" xfId="494"/>
    <cellStyle name="H" xfId="497"/>
    <cellStyle name="ha" xfId="498"/>
    <cellStyle name="Head 1" xfId="499"/>
    <cellStyle name="HEADER" xfId="500"/>
    <cellStyle name="Header1" xfId="501"/>
    <cellStyle name="Header2" xfId="502"/>
    <cellStyle name="Heading 1" xfId="503" builtinId="16" customBuiltin="1"/>
    <cellStyle name="Heading 2" xfId="504" builtinId="17" customBuiltin="1"/>
    <cellStyle name="HEADING1" xfId="505"/>
    <cellStyle name="HEADING1 2" xfId="506"/>
    <cellStyle name="HEADING2" xfId="507"/>
    <cellStyle name="HEADING2 2" xfId="508"/>
    <cellStyle name="HEADINGS" xfId="509"/>
    <cellStyle name="HEADINGSTOP" xfId="510"/>
    <cellStyle name="headoption" xfId="511"/>
    <cellStyle name="Hoa-Scholl" xfId="512"/>
    <cellStyle name="HUY" xfId="513"/>
    <cellStyle name="i·0" xfId="514"/>
    <cellStyle name="Input" xfId="515" builtinId="20" customBuiltin="1"/>
    <cellStyle name="Input [yellow]" xfId="516"/>
    <cellStyle name="Input [yellow] 2" xfId="517"/>
    <cellStyle name="k" xfId="518"/>
    <cellStyle name="k_TONG HOP KINH PHI" xfId="519"/>
    <cellStyle name="k_ÿÿÿÿÿ" xfId="520"/>
    <cellStyle name="k_ÿÿÿÿÿ_1" xfId="521"/>
    <cellStyle name="k_ÿÿÿÿÿ_2" xfId="522"/>
    <cellStyle name="khanh" xfId="523"/>
    <cellStyle name="khung" xfId="524"/>
    <cellStyle name="Ledger 17 x 11 in" xfId="525"/>
    <cellStyle name="Line" xfId="526"/>
    <cellStyle name="Link Currency (0)" xfId="527"/>
    <cellStyle name="Link Currency (0) 2" xfId="528"/>
    <cellStyle name="Link Currency (2)" xfId="529"/>
    <cellStyle name="Link Units (0)" xfId="530"/>
    <cellStyle name="Link Units (1)" xfId="531"/>
    <cellStyle name="Link Units (2)" xfId="532"/>
    <cellStyle name="luc" xfId="533"/>
    <cellStyle name="luc2" xfId="534"/>
    <cellStyle name="MAU" xfId="535"/>
    <cellStyle name="Millares [0]_Well Timing" xfId="536"/>
    <cellStyle name="Millares_Well Timing" xfId="537"/>
    <cellStyle name="Milliers [0]_      " xfId="538"/>
    <cellStyle name="Milliers_      " xfId="539"/>
    <cellStyle name="Model" xfId="541"/>
    <cellStyle name="moi" xfId="542"/>
    <cellStyle name="Moneda [0]_Well Timing" xfId="543"/>
    <cellStyle name="Moneda_Well Timing" xfId="544"/>
    <cellStyle name="Monétaire [0]_      " xfId="545"/>
    <cellStyle name="Monétaire_      " xfId="546"/>
    <cellStyle name="Môc" xfId="540"/>
    <cellStyle name="n" xfId="547"/>
    <cellStyle name="n1" xfId="548"/>
    <cellStyle name="New Times Roman" xfId="549"/>
    <cellStyle name="no dec" xfId="551"/>
    <cellStyle name="ÑONVÒ" xfId="552"/>
    <cellStyle name="Normal" xfId="0" builtinId="0"/>
    <cellStyle name="Normal - Style1" xfId="553"/>
    <cellStyle name="Normal - 유형1" xfId="554"/>
    <cellStyle name="Normal 10" xfId="555"/>
    <cellStyle name="Normal 11" xfId="556"/>
    <cellStyle name="Normal 11 2" xfId="557"/>
    <cellStyle name="Normal 12" xfId="558"/>
    <cellStyle name="Normal 13" xfId="559"/>
    <cellStyle name="Normal 14" xfId="560"/>
    <cellStyle name="Normal 15" xfId="561"/>
    <cellStyle name="Normal 16" xfId="562"/>
    <cellStyle name="Normal 17" xfId="563"/>
    <cellStyle name="Normal 18" xfId="564"/>
    <cellStyle name="Normal 19" xfId="565"/>
    <cellStyle name="Normal 2" xfId="566"/>
    <cellStyle name="Normal 2 2" xfId="567"/>
    <cellStyle name="Normal 2 2 2" xfId="568"/>
    <cellStyle name="Normal 2 2_AnHuu" xfId="569"/>
    <cellStyle name="Normal 2 3" xfId="570"/>
    <cellStyle name="Normal 2 3 2" xfId="571"/>
    <cellStyle name="Normal 2 4" xfId="572"/>
    <cellStyle name="Normal 2_6.GIA" xfId="573"/>
    <cellStyle name="Normal 2_cau Kenh Cai Tat-lan 3(Dinh)-sua" xfId="574"/>
    <cellStyle name="Normal 3" xfId="575"/>
    <cellStyle name="Normal 3 2" xfId="576"/>
    <cellStyle name="Normal 3 3" xfId="577"/>
    <cellStyle name="Normal 3 4" xfId="578"/>
    <cellStyle name="Normal 3_ca may-Soc Trăng" xfId="579"/>
    <cellStyle name="Normal 4" xfId="580"/>
    <cellStyle name="Normal 4 2" xfId="581"/>
    <cellStyle name="Normal 4 3" xfId="940"/>
    <cellStyle name="Normal 4_6.GIA" xfId="582"/>
    <cellStyle name="Normal 5" xfId="583"/>
    <cellStyle name="Normal 5 2" xfId="584"/>
    <cellStyle name="Normal 5 3" xfId="585"/>
    <cellStyle name="Normal 5_6.GIA" xfId="586"/>
    <cellStyle name="Normal 6" xfId="587"/>
    <cellStyle name="Normal 6 2" xfId="588"/>
    <cellStyle name="Normal 6_ca may-Soc Trăng" xfId="589"/>
    <cellStyle name="Normal 7" xfId="590"/>
    <cellStyle name="Normal 8" xfId="591"/>
    <cellStyle name="Normal 8 2" xfId="592"/>
    <cellStyle name="Normal 9" xfId="593"/>
    <cellStyle name="Normal_cau Kenh Cai Tat-lan 3(Dinh)-sua" xfId="594"/>
    <cellStyle name="Normal_DGTH-4" xfId="595"/>
    <cellStyle name="Normal_DGTH-4_gia vat tu" xfId="596"/>
    <cellStyle name="Normal_DT THEO DGCT" xfId="597"/>
    <cellStyle name="Normal_dtmau moi" xfId="598"/>
    <cellStyle name="Normal_du toan Xa no-lan 2" xfId="599"/>
    <cellStyle name="Normal_DUTOAN1" xfId="942"/>
    <cellStyle name="Normal_gia ca may-bluong" xfId="600"/>
    <cellStyle name="Normal_gia vat tu" xfId="601"/>
    <cellStyle name="Normal_HM 5-32" xfId="602"/>
    <cellStyle name="Normal_Hop dong 4.4 Cau duong Km22+730-km24+00-M" xfId="603"/>
    <cellStyle name="Normal_Hop dong 4.7-Cau Cay Gao Km29+275-trinh sua 07-03" xfId="604"/>
    <cellStyle name="Normal_Ptdm" xfId="605"/>
    <cellStyle name="Normal_Sheet1" xfId="606"/>
    <cellStyle name="Normal_Tan Ly 02-02" xfId="607"/>
    <cellStyle name="Normal_Tuyen 0-7" xfId="609"/>
    <cellStyle name="Normal_THKL3" xfId="608"/>
    <cellStyle name="Normal1" xfId="610"/>
    <cellStyle name="Normal2" xfId="611"/>
    <cellStyle name="Normal8" xfId="612"/>
    <cellStyle name="Normalny_Cennik obowiazuje od 06-08-2001 r (1)" xfId="613"/>
    <cellStyle name="nga" xfId="550"/>
    <cellStyle name="Ò_x000d_Normal_123569" xfId="614"/>
    <cellStyle name="Œ…‹æØ‚è [0.00]_laroux" xfId="615"/>
    <cellStyle name="Œ…‹æØ‚è_laroux" xfId="616"/>
    <cellStyle name="oft Excel]_x000d__x000a_Comment=open=/f ‚ðw’è‚·‚é‚ÆAƒ†[ƒU[’è‹`ŠÖ”‚ðŠÖ”“\‚è•t‚¯‚Ìˆê——‚É“o˜^‚·‚é‚±‚Æ‚ª‚Å‚«‚Ü‚·B_x000d__x000a_Maximized" xfId="617"/>
    <cellStyle name="oft Excel]_x000d__x000a_Comment=open=/f ‚ðŽw’è‚·‚é‚ÆAƒ†[ƒU[’è‹`ŠÖ”‚ðŠÖ”“\‚è•t‚¯‚Ìˆê——‚É“o˜^‚·‚é‚±‚Æ‚ª‚Å‚«‚Ü‚·B_x000d__x000a_Maximized" xfId="618"/>
    <cellStyle name="oft Excel]_x000d__x000a_Comment=The open=/f lines load custom functions into the Paste Function list._x000d__x000a_Maximized=2_x000d__x000a_Basics=1_x000d__x000a_A" xfId="619"/>
    <cellStyle name="oft Excel]_x000d__x000a_Comment=The open=/f lines load custom functions into the Paste Function list._x000d__x000a_Maximized=3_x000d__x000a_Basics=1_x000d__x000a_A" xfId="620"/>
    <cellStyle name="omma [0]_Mktg Prog" xfId="621"/>
    <cellStyle name="ormal_Sheet1_1" xfId="622"/>
    <cellStyle name="Pattern" xfId="623"/>
    <cellStyle name="per.style" xfId="624"/>
    <cellStyle name="Percent" xfId="625" builtinId="5"/>
    <cellStyle name="Percent [0]" xfId="626"/>
    <cellStyle name="Percent [00]" xfId="627"/>
    <cellStyle name="Percent [2]" xfId="628"/>
    <cellStyle name="Percent [2] 2" xfId="629"/>
    <cellStyle name="Percent 2" xfId="630"/>
    <cellStyle name="Percent 2 2" xfId="631"/>
    <cellStyle name="Percent 3" xfId="632"/>
    <cellStyle name="Percent 4" xfId="633"/>
    <cellStyle name="Percent 5" xfId="634"/>
    <cellStyle name="Percent 6" xfId="635"/>
    <cellStyle name="PERCENTAGE" xfId="636"/>
    <cellStyle name="PrePop Currency (0)" xfId="638"/>
    <cellStyle name="PrePop Currency (0) 2" xfId="639"/>
    <cellStyle name="PrePop Currency (2)" xfId="640"/>
    <cellStyle name="PrePop Units (0)" xfId="641"/>
    <cellStyle name="PrePop Units (1)" xfId="642"/>
    <cellStyle name="PrePop Units (2)" xfId="643"/>
    <cellStyle name="pricing" xfId="644"/>
    <cellStyle name="PSChar" xfId="645"/>
    <cellStyle name="PSHeading" xfId="646"/>
    <cellStyle name="phi" xfId="637"/>
    <cellStyle name="regstoresfromspecstores" xfId="647"/>
    <cellStyle name="RevList" xfId="648"/>
    <cellStyle name="rlink_tiªn l­în_x001b_Hyperlink_TONG HOP KINH PHI" xfId="649"/>
    <cellStyle name="rmal_ADAdot" xfId="650"/>
    <cellStyle name="S—_x0008_" xfId="651"/>
    <cellStyle name="s]_x000d__x000a_spooler=yes_x000d__x000a_load=_x000d__x000a_Beep=yes_x000d__x000a_NullPort=None_x000d__x000a_BorderWidth=3_x000d__x000a_CursorBlinkRate=1200_x000d__x000a_DoubleClickSpeed=452_x000d__x000a_Programs=co" xfId="652"/>
    <cellStyle name="S¬" xfId="653"/>
    <cellStyle name="SAPBEXaggData" xfId="654"/>
    <cellStyle name="SAPBEXaggDataEmph" xfId="655"/>
    <cellStyle name="SAPBEXaggItem" xfId="656"/>
    <cellStyle name="SAPBEXchaText" xfId="657"/>
    <cellStyle name="SAPBEXexcBad7" xfId="658"/>
    <cellStyle name="SAPBEXexcBad8" xfId="659"/>
    <cellStyle name="SAPBEXexcBad9" xfId="660"/>
    <cellStyle name="SAPBEXexcCritical4" xfId="661"/>
    <cellStyle name="SAPBEXexcCritical5" xfId="662"/>
    <cellStyle name="SAPBEXexcCritical6" xfId="663"/>
    <cellStyle name="SAPBEXexcGood1" xfId="664"/>
    <cellStyle name="SAPBEXexcGood2" xfId="665"/>
    <cellStyle name="SAPBEXexcGood3" xfId="666"/>
    <cellStyle name="SAPBEXfilterDrill" xfId="667"/>
    <cellStyle name="SAPBEXfilterItem" xfId="668"/>
    <cellStyle name="SAPBEXfilterText" xfId="669"/>
    <cellStyle name="SAPBEXformats" xfId="670"/>
    <cellStyle name="SAPBEXheaderItem" xfId="671"/>
    <cellStyle name="SAPBEXheaderText" xfId="672"/>
    <cellStyle name="SAPBEXresData" xfId="673"/>
    <cellStyle name="SAPBEXresDataEmph" xfId="674"/>
    <cellStyle name="SAPBEXresItem" xfId="675"/>
    <cellStyle name="SAPBEXstdData" xfId="676"/>
    <cellStyle name="SAPBEXstdDataEmph" xfId="677"/>
    <cellStyle name="SAPBEXstdItem" xfId="678"/>
    <cellStyle name="SAPBEXtitle" xfId="679"/>
    <cellStyle name="SAPBEXundefined" xfId="680"/>
    <cellStyle name="serJet 1200 Series PCL 6" xfId="681"/>
    <cellStyle name="SHADEDSTORES" xfId="682"/>
    <cellStyle name="songuyen" xfId="683"/>
    <cellStyle name="specstores" xfId="684"/>
    <cellStyle name="Standard_AAbgleich" xfId="685"/>
    <cellStyle name="STTDG" xfId="686"/>
    <cellStyle name="Style 1" xfId="687"/>
    <cellStyle name="Style 1 2" xfId="688"/>
    <cellStyle name="Style 10" xfId="689"/>
    <cellStyle name="Style 11" xfId="690"/>
    <cellStyle name="Style 12" xfId="691"/>
    <cellStyle name="Style 13" xfId="692"/>
    <cellStyle name="Style 14" xfId="693"/>
    <cellStyle name="Style 15" xfId="694"/>
    <cellStyle name="Style 16" xfId="695"/>
    <cellStyle name="Style 17" xfId="696"/>
    <cellStyle name="Style 18" xfId="697"/>
    <cellStyle name="Style 19" xfId="698"/>
    <cellStyle name="Style 2" xfId="699"/>
    <cellStyle name="Style 20" xfId="700"/>
    <cellStyle name="Style 21" xfId="701"/>
    <cellStyle name="Style 22" xfId="702"/>
    <cellStyle name="Style 23" xfId="703"/>
    <cellStyle name="Style 24" xfId="704"/>
    <cellStyle name="Style 25" xfId="705"/>
    <cellStyle name="Style 26" xfId="706"/>
    <cellStyle name="Style 27" xfId="707"/>
    <cellStyle name="Style 28" xfId="708"/>
    <cellStyle name="Style 29" xfId="709"/>
    <cellStyle name="Style 3" xfId="710"/>
    <cellStyle name="Style 30" xfId="711"/>
    <cellStyle name="Style 31" xfId="712"/>
    <cellStyle name="Style 32" xfId="713"/>
    <cellStyle name="Style 33" xfId="714"/>
    <cellStyle name="Style 34" xfId="715"/>
    <cellStyle name="Style 35" xfId="716"/>
    <cellStyle name="Style 36" xfId="717"/>
    <cellStyle name="Style 37" xfId="718"/>
    <cellStyle name="Style 38" xfId="719"/>
    <cellStyle name="Style 39" xfId="720"/>
    <cellStyle name="Style 4" xfId="721"/>
    <cellStyle name="Style 40" xfId="722"/>
    <cellStyle name="Style 41" xfId="723"/>
    <cellStyle name="Style 42" xfId="724"/>
    <cellStyle name="Style 43" xfId="725"/>
    <cellStyle name="Style 44" xfId="726"/>
    <cellStyle name="Style 45" xfId="727"/>
    <cellStyle name="Style 46" xfId="728"/>
    <cellStyle name="Style 47" xfId="729"/>
    <cellStyle name="Style 48" xfId="730"/>
    <cellStyle name="Style 49" xfId="731"/>
    <cellStyle name="Style 5" xfId="732"/>
    <cellStyle name="Style 50" xfId="733"/>
    <cellStyle name="Style 51" xfId="734"/>
    <cellStyle name="Style 52" xfId="735"/>
    <cellStyle name="Style 6" xfId="736"/>
    <cellStyle name="Style 7" xfId="737"/>
    <cellStyle name="Style 8" xfId="738"/>
    <cellStyle name="Style 9" xfId="739"/>
    <cellStyle name="style_1" xfId="740"/>
    <cellStyle name="subhead" xfId="741"/>
    <cellStyle name="Subtotal" xfId="742"/>
    <cellStyle name="T" xfId="743"/>
    <cellStyle name="T_6.GIA" xfId="744"/>
    <cellStyle name="T_báo cáo tuần 17.5.2010 (moi  TH Tùng. )" xfId="745"/>
    <cellStyle name="T_BBTNG-06" xfId="746"/>
    <cellStyle name="T_Book1" xfId="747"/>
    <cellStyle name="T_Book1_1" xfId="748"/>
    <cellStyle name="T_Book1_1_Book1" xfId="749"/>
    <cellStyle name="T_Book1_2" xfId="750"/>
    <cellStyle name="T_Book1_báo cáo tuần 17.5.2010 (moi  TH Tùng. )" xfId="751"/>
    <cellStyle name="T_Book1_Book1" xfId="752"/>
    <cellStyle name="T_Book1_Book1_1" xfId="753"/>
    <cellStyle name="T_Book1_Duong-g9" xfId="754"/>
    <cellStyle name="T_Book1_Goi 4 phan ITS (28-2-09)" xfId="755"/>
    <cellStyle name="T_Book1_Hang Tom goi9 9-07(Cau 12 sua)" xfId="756"/>
    <cellStyle name="T_Book1_Khoi luong chinh Hang Tom" xfId="757"/>
    <cellStyle name="T_Book1_Sheet1" xfId="758"/>
    <cellStyle name="T_Book1_THKL-Total" xfId="759"/>
    <cellStyle name="T_cau Vinh Hy-7-2010" xfId="760"/>
    <cellStyle name="T_Coc cat" xfId="761"/>
    <cellStyle name="T_Cuoc van chuyen" xfId="762"/>
    <cellStyle name="T_Dieu chinh TT07 va TT03 ca goi thau so 4" xfId="783"/>
    <cellStyle name="T_Dieu chinh TT07 va TT03 ca goi thau so 4_ca may" xfId="784"/>
    <cellStyle name="T_Dieu chinh TT07 va TT03 ca goi thau so 4_ca may-Soc Trăng" xfId="785"/>
    <cellStyle name="T_Dieu chinh TT07 va TT03 ca goi thau so 4_cau Kenh Cai Tat 1" xfId="786"/>
    <cellStyle name="T_Dieu chinh TT07 va TT03 ca goi thau so 4_cau Sau Nan" xfId="787"/>
    <cellStyle name="T_Dieu chinh TT07 va TT03 ca goi thau so 4_Cau Thanh An-QD duyet-chinh" xfId="788"/>
    <cellStyle name="T_Dieu chinh TT07 va TT03 ca goi thau so 4_cau Trang Bang- thang 8-2009" xfId="789"/>
    <cellStyle name="T_Dieu chinh TT07 va TT03 ca goi thau so 4_cau Vinh Hy-7-2010" xfId="790"/>
    <cellStyle name="T_Dieu chinh TT07 va TT03 ca goi thau so 4_Copy of cau Thanh An-lan 2-cuoc tay ninh-DM dam theo cao toc-2(Dinh)-2" xfId="791"/>
    <cellStyle name="T_Dieu chinh TT07 va TT03 ca goi thau so 4_DBGT thuy Thanh An-10-2009" xfId="792"/>
    <cellStyle name="T_Dieu chinh theo TT03.2-2" xfId="763"/>
    <cellStyle name="T_Dieu chinh theo TT03.2-2_ca may" xfId="764"/>
    <cellStyle name="T_Dieu chinh theo TT03.2-2_ca may-Soc Trăng" xfId="765"/>
    <cellStyle name="T_Dieu chinh theo TT03.2-2_cau Kenh Cai Tat 1" xfId="766"/>
    <cellStyle name="T_Dieu chinh theo TT03.2-2_cau Sau Nan" xfId="767"/>
    <cellStyle name="T_Dieu chinh theo TT03.2-2_Cau Thanh An-QD duyet-chinh" xfId="768"/>
    <cellStyle name="T_Dieu chinh theo TT03.2-2_cau Trang Bang- thang 8-2009" xfId="769"/>
    <cellStyle name="T_Dieu chinh theo TT03.2-2_cau Vinh Hy-7-2010" xfId="770"/>
    <cellStyle name="T_Dieu chinh theo TT03.2-2_Copy of cau Thanh An-lan 2-cuoc tay ninh-DM dam theo cao toc-2(Dinh)-2" xfId="771"/>
    <cellStyle name="T_Dieu chinh theo TT03.2-2_DBGT thuy Thanh An-10-2009" xfId="772"/>
    <cellStyle name="T_Dieu chinh theo TT09.2-2" xfId="773"/>
    <cellStyle name="T_Dieu chinh theo TT09.2-2_ca may" xfId="774"/>
    <cellStyle name="T_Dieu chinh theo TT09.2-2_ca may-Soc Trăng" xfId="775"/>
    <cellStyle name="T_Dieu chinh theo TT09.2-2_cau Kenh Cai Tat 1" xfId="776"/>
    <cellStyle name="T_Dieu chinh theo TT09.2-2_cau Sau Nan" xfId="777"/>
    <cellStyle name="T_Dieu chinh theo TT09.2-2_Cau Thanh An-QD duyet-chinh" xfId="778"/>
    <cellStyle name="T_Dieu chinh theo TT09.2-2_cau Trang Bang- thang 8-2009" xfId="779"/>
    <cellStyle name="T_Dieu chinh theo TT09.2-2_cau Vinh Hy-7-2010" xfId="780"/>
    <cellStyle name="T_Dieu chinh theo TT09.2-2_Copy of cau Thanh An-lan 2-cuoc tay ninh-DM dam theo cao toc-2(Dinh)-2" xfId="781"/>
    <cellStyle name="T_Dieu chinh theo TT09.2-2_DBGT thuy Thanh An-10-2009" xfId="782"/>
    <cellStyle name="T_Don gia bo trai song to lich (Cau moi - duong 70)" xfId="793"/>
    <cellStyle name="T_Don gia bo trai song to lich (Cau moi - duong 70)_ca may" xfId="794"/>
    <cellStyle name="T_Don gia bo trai song to lich (Cau moi - duong 70)_ca may-Soc Trăng" xfId="795"/>
    <cellStyle name="T_Don gia bo trai song to lich (Cau moi - duong 70)_cau Kenh Cai Tat 1" xfId="796"/>
    <cellStyle name="T_Don gia bo trai song to lich (Cau moi - duong 70)_cau Sau Nan" xfId="797"/>
    <cellStyle name="T_Don gia bo trai song to lich (Cau moi - duong 70)_Cau Thanh An-QD duyet-chinh" xfId="798"/>
    <cellStyle name="T_Don gia bo trai song to lich (Cau moi - duong 70)_cau Trang Bang- thang 8-2009" xfId="799"/>
    <cellStyle name="T_Don gia bo trai song to lich (Cau moi - duong 70)_cau Vinh Hy-7-2010" xfId="800"/>
    <cellStyle name="T_Don gia bo trai song to lich (Cau moi - duong 70)_Copy of cau Thanh An-lan 2-cuoc tay ninh-DM dam theo cao toc-2(Dinh)-2" xfId="801"/>
    <cellStyle name="T_Don gia bo trai song to lich (Cau moi - duong 70)_DBGT thuy Thanh An-10-2009" xfId="802"/>
    <cellStyle name="T_DToan duong Ly Thuong Kiet+ Dien Bien Phu-lan 1" xfId="803"/>
    <cellStyle name="T_du toan dieu chinh  20-8-2006" xfId="804"/>
    <cellStyle name="T_duong" xfId="805"/>
    <cellStyle name="T_goiso9.sua" xfId="806"/>
    <cellStyle name="T_GTXD G3 tuyen Btham dung va cat trung" xfId="807"/>
    <cellStyle name="T_kich thuoc can thiet" xfId="808"/>
    <cellStyle name="T_Kính gửi A Khoa file BC+KH2010 (DUC 21-9-09) (version 1)" xfId="809"/>
    <cellStyle name="T_Long Binh9" xfId="810"/>
    <cellStyle name="T_Me_Tri_6_07" xfId="811"/>
    <cellStyle name="T_N2 thay dat (N1-1)" xfId="812"/>
    <cellStyle name="T_N2.G9.TUYEN" xfId="813"/>
    <cellStyle name="T_N2-goi 6-theo DG Long An- Phan cau-sua theo PMU" xfId="814"/>
    <cellStyle name="T_PTDG" xfId="825"/>
    <cellStyle name="T_Phu luc 4-2 den 4-5-Lan2" xfId="815"/>
    <cellStyle name="T_Phu luc 4-2 den 4-5-Lan2_ca may" xfId="816"/>
    <cellStyle name="T_Phu luc 4-2 den 4-5-Lan2_ca may-Soc Trăng" xfId="817"/>
    <cellStyle name="T_Phu luc 4-2 den 4-5-Lan2_cau Kenh Cai Tat 1" xfId="818"/>
    <cellStyle name="T_Phu luc 4-2 den 4-5-Lan2_cau Sau Nan" xfId="819"/>
    <cellStyle name="T_Phu luc 4-2 den 4-5-Lan2_Cau Thanh An-QD duyet-chinh" xfId="820"/>
    <cellStyle name="T_Phu luc 4-2 den 4-5-Lan2_cau Trang Bang- thang 8-2009" xfId="821"/>
    <cellStyle name="T_Phu luc 4-2 den 4-5-Lan2_cau Vinh Hy-7-2010" xfId="822"/>
    <cellStyle name="T_Phu luc 4-2 den 4-5-Lan2_Copy of cau Thanh An-lan 2-cuoc tay ninh-DM dam theo cao toc-2(Dinh)-2" xfId="823"/>
    <cellStyle name="T_Phu luc 4-2 den 4-5-Lan2_DBGT thuy Thanh An-10-2009" xfId="824"/>
    <cellStyle name="T_Seagame(BTL)" xfId="826"/>
    <cellStyle name="T_SGT - SAU AU" xfId="827"/>
    <cellStyle name="T_Sheet2" xfId="828"/>
    <cellStyle name="T_Sheet2_ca may" xfId="829"/>
    <cellStyle name="T_Sheet2_ca may-Soc Trăng" xfId="830"/>
    <cellStyle name="T_Sheet2_cau Kenh Cai Tat 1" xfId="831"/>
    <cellStyle name="T_Sheet2_cau Sau Nan" xfId="832"/>
    <cellStyle name="T_Sheet2_Cau Thanh An-QD duyet-chinh" xfId="833"/>
    <cellStyle name="T_Sheet2_cau Trang Bang- thang 8-2009" xfId="834"/>
    <cellStyle name="T_Sheet2_cau Vinh Hy-7-2010" xfId="835"/>
    <cellStyle name="T_Sheet2_Copy of cau Thanh An-lan 2-cuoc tay ninh-DM dam theo cao toc-2(Dinh)-2" xfId="836"/>
    <cellStyle name="T_Sheet2_DBGT thuy Thanh An-10-2009" xfId="837"/>
    <cellStyle name="T_Tach Khoi luong mo M1-KNM-PA1-Dat ktr" xfId="838"/>
    <cellStyle name="T_TCHI - ECD 2004" xfId="839"/>
    <cellStyle name="T_TK_HT" xfId="841"/>
    <cellStyle name="T_TK_HT_Book1" xfId="842"/>
    <cellStyle name="T_TT09 .3B-3" xfId="843"/>
    <cellStyle name="T_TT09 .3B-3_ca may" xfId="844"/>
    <cellStyle name="T_TT09 .3B-3_ca may-Soc Trăng" xfId="845"/>
    <cellStyle name="T_TT09 .3B-3_cau Kenh Cai Tat 1" xfId="846"/>
    <cellStyle name="T_TT09 .3B-3_cau Sau Nan" xfId="847"/>
    <cellStyle name="T_TT09 .3B-3_Cau Thanh An-QD duyet-chinh" xfId="848"/>
    <cellStyle name="T_TT09 .3B-3_cau Trang Bang- thang 8-2009" xfId="849"/>
    <cellStyle name="T_TT09 .3B-3_cau Vinh Hy-7-2010" xfId="850"/>
    <cellStyle name="T_TT09 .3B-3_Copy of cau Thanh An-lan 2-cuoc tay ninh-DM dam theo cao toc-2(Dinh)-2" xfId="851"/>
    <cellStyle name="T_TT09 .3B-3_DBGT thuy Thanh An-10-2009" xfId="852"/>
    <cellStyle name="T_tham_tra_du_toan" xfId="840"/>
    <cellStyle name="T_VCVL goi 6" xfId="853"/>
    <cellStyle name="T_ÿÿÿÿÿ" xfId="854"/>
    <cellStyle name="tde" xfId="855"/>
    <cellStyle name="Text Indent A" xfId="856"/>
    <cellStyle name="Text Indent B" xfId="857"/>
    <cellStyle name="Text Indent B 2" xfId="858"/>
    <cellStyle name="Text Indent C" xfId="859"/>
    <cellStyle name="Tiªu ®Ì" xfId="869"/>
    <cellStyle name="Tieu_de_1" xfId="870"/>
    <cellStyle name="Times New Roman" xfId="871"/>
    <cellStyle name="TiÓu môc" xfId="872"/>
    <cellStyle name="tit1" xfId="873"/>
    <cellStyle name="tit2" xfId="874"/>
    <cellStyle name="tit3" xfId="875"/>
    <cellStyle name="tit4" xfId="876"/>
    <cellStyle name="Tongcong" xfId="877"/>
    <cellStyle name="Total" xfId="878" builtinId="25" customBuiltin="1"/>
    <cellStyle name="Total 2" xfId="879"/>
    <cellStyle name="Tusental (0)_pldt" xfId="880"/>
    <cellStyle name="Tusental_pldt" xfId="881"/>
    <cellStyle name="TH" xfId="860"/>
    <cellStyle name="than" xfId="861"/>
    <cellStyle name="þ_x001d_ð¤_x000c_¯þ_x0014__x000d_¨þU_x0001_À_x0004_ _x0015__x000f__x0001__x0001_" xfId="862"/>
    <cellStyle name="þ_x001d_ð·_x000c_æþ'_x000d_ßþU_x0001_Ø_x0005_ü_x0014__x0007__x0001__x0001_" xfId="863"/>
    <cellStyle name="þ_x001d_ðÇ%Uý—&amp;Hý9_x0008_Ÿ_x0009_s_x000a__x0007__x0001__x0001_" xfId="864"/>
    <cellStyle name="þ_x001d_ðK_x000c_Fý_x001b__x000d_9ýU_x0001_Ð_x0008_¦)_x0007__x0001__x0001_" xfId="865"/>
    <cellStyle name="thuong-10" xfId="866"/>
    <cellStyle name="thuong-11" xfId="867"/>
    <cellStyle name="Thuyet minh" xfId="868"/>
    <cellStyle name="Valuta (0)_pldt" xfId="882"/>
    <cellStyle name="Valuta_pldt" xfId="883"/>
    <cellStyle name="VANG1" xfId="884"/>
    <cellStyle name="viet" xfId="885"/>
    <cellStyle name="viet2" xfId="886"/>
    <cellStyle name="VN new romanNormal" xfId="887"/>
    <cellStyle name="vn time 10" xfId="888"/>
    <cellStyle name="Vn Time 13" xfId="889"/>
    <cellStyle name="Vn Time 14" xfId="890"/>
    <cellStyle name="VN time new roman" xfId="891"/>
    <cellStyle name="vnbo" xfId="892"/>
    <cellStyle name="vntxt1" xfId="897"/>
    <cellStyle name="vntxt2" xfId="898"/>
    <cellStyle name="vnhead1" xfId="893"/>
    <cellStyle name="vnhead2" xfId="894"/>
    <cellStyle name="vnhead3" xfId="895"/>
    <cellStyle name="vnhead4" xfId="896"/>
    <cellStyle name="Währung [0]_ALLE_ITEMS_280800_EV_NL" xfId="899"/>
    <cellStyle name="Währung_AKE_100N" xfId="900"/>
    <cellStyle name="Walutowy [0]_Invoices2001Slovakia" xfId="901"/>
    <cellStyle name="Walutowy_Invoices2001Slovakia" xfId="902"/>
    <cellStyle name="xuan" xfId="903"/>
    <cellStyle name=" [0.00]_ Att. 1- Cover" xfId="904"/>
    <cellStyle name="_ Att. 1- Cover" xfId="905"/>
    <cellStyle name="?_ Att. 1- Cover" xfId="906"/>
    <cellStyle name="똿뗦먛귟 [0.00]_PRODUCT DETAIL Q1" xfId="907"/>
    <cellStyle name="똿뗦먛귟_PRODUCT DETAIL Q1" xfId="908"/>
    <cellStyle name="믅됞 [0.00]_PRODUCT DETAIL Q1" xfId="909"/>
    <cellStyle name="믅됞_PRODUCT DETAIL Q1" xfId="910"/>
    <cellStyle name="백분율_95" xfId="911"/>
    <cellStyle name="뷭?_BOOKSHIP" xfId="912"/>
    <cellStyle name="안건회계법인" xfId="913"/>
    <cellStyle name="콤맀_Sheet1_총괄표 (수출입) (2)" xfId="914"/>
    <cellStyle name="콤마 [ - 유형1" xfId="915"/>
    <cellStyle name="콤마 [ - 유형2" xfId="916"/>
    <cellStyle name="콤마 [ - 유형3" xfId="917"/>
    <cellStyle name="콤마 [ - 유형4" xfId="918"/>
    <cellStyle name="콤마 [ - 유형5" xfId="919"/>
    <cellStyle name="콤마 [ - 유형6" xfId="920"/>
    <cellStyle name="콤마 [ - 유형7" xfId="921"/>
    <cellStyle name="콤마 [ - 유형8" xfId="922"/>
    <cellStyle name="콤마 [0]_ 비목별 월별기술 " xfId="923"/>
    <cellStyle name="콤마_ 비목별 월별기술 " xfId="924"/>
    <cellStyle name="통화 [0]_1" xfId="925"/>
    <cellStyle name="통화_1" xfId="926"/>
    <cellStyle name="표섀_변경(최종)" xfId="927"/>
    <cellStyle name="표준_ 97년 경영분석(안)" xfId="928"/>
    <cellStyle name="一般_00Q3902REV.1" xfId="929"/>
    <cellStyle name="千分位[0]_00Q3902REV.1" xfId="930"/>
    <cellStyle name="千分位_00Q3902REV.1" xfId="931"/>
    <cellStyle name="桁区切り [0.00]_BE-BQ" xfId="932"/>
    <cellStyle name="桁区切り_BE-BQ" xfId="933"/>
    <cellStyle name="標準_(A1)BOQ " xfId="934"/>
    <cellStyle name="貨幣 [0]_00Q3902REV.1" xfId="935"/>
    <cellStyle name="貨幣[0]_BRE" xfId="936"/>
    <cellStyle name="貨幣_00Q3902REV.1" xfId="937"/>
    <cellStyle name="通貨 [0.00]_BE-BQ" xfId="938"/>
    <cellStyle name="通貨_BE-BQ" xfId="939"/>
  </cellStyles>
  <dxfs count="1">
    <dxf>
      <font>
        <color indexed="9"/>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EAEAEA"/>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1191</xdr:row>
      <xdr:rowOff>0</xdr:rowOff>
    </xdr:from>
    <xdr:to>
      <xdr:col>1</xdr:col>
      <xdr:colOff>95250</xdr:colOff>
      <xdr:row>1191</xdr:row>
      <xdr:rowOff>0</xdr:rowOff>
    </xdr:to>
    <xdr:pic>
      <xdr:nvPicPr>
        <xdr:cNvPr id="57929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29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29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29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29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0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30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0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0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0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0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0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1136</xdr:row>
      <xdr:rowOff>0</xdr:rowOff>
    </xdr:from>
    <xdr:to>
      <xdr:col>7</xdr:col>
      <xdr:colOff>0</xdr:colOff>
      <xdr:row>1136</xdr:row>
      <xdr:rowOff>0</xdr:rowOff>
    </xdr:to>
    <xdr:pic>
      <xdr:nvPicPr>
        <xdr:cNvPr id="57930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1141</xdr:row>
      <xdr:rowOff>0</xdr:rowOff>
    </xdr:from>
    <xdr:to>
      <xdr:col>7</xdr:col>
      <xdr:colOff>0</xdr:colOff>
      <xdr:row>1141</xdr:row>
      <xdr:rowOff>0</xdr:rowOff>
    </xdr:to>
    <xdr:pic>
      <xdr:nvPicPr>
        <xdr:cNvPr id="57930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1136</xdr:row>
      <xdr:rowOff>0</xdr:rowOff>
    </xdr:from>
    <xdr:to>
      <xdr:col>7</xdr:col>
      <xdr:colOff>0</xdr:colOff>
      <xdr:row>1136</xdr:row>
      <xdr:rowOff>0</xdr:rowOff>
    </xdr:to>
    <xdr:pic>
      <xdr:nvPicPr>
        <xdr:cNvPr id="57930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1141</xdr:row>
      <xdr:rowOff>0</xdr:rowOff>
    </xdr:from>
    <xdr:to>
      <xdr:col>7</xdr:col>
      <xdr:colOff>0</xdr:colOff>
      <xdr:row>1141</xdr:row>
      <xdr:rowOff>0</xdr:rowOff>
    </xdr:to>
    <xdr:pic>
      <xdr:nvPicPr>
        <xdr:cNvPr id="57931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1204</xdr:row>
      <xdr:rowOff>0</xdr:rowOff>
    </xdr:from>
    <xdr:to>
      <xdr:col>7</xdr:col>
      <xdr:colOff>0</xdr:colOff>
      <xdr:row>1204</xdr:row>
      <xdr:rowOff>0</xdr:rowOff>
    </xdr:to>
    <xdr:pic>
      <xdr:nvPicPr>
        <xdr:cNvPr id="57931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1209</xdr:row>
      <xdr:rowOff>0</xdr:rowOff>
    </xdr:from>
    <xdr:to>
      <xdr:col>7</xdr:col>
      <xdr:colOff>0</xdr:colOff>
      <xdr:row>1209</xdr:row>
      <xdr:rowOff>0</xdr:rowOff>
    </xdr:to>
    <xdr:pic>
      <xdr:nvPicPr>
        <xdr:cNvPr id="57931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1204</xdr:row>
      <xdr:rowOff>0</xdr:rowOff>
    </xdr:from>
    <xdr:to>
      <xdr:col>7</xdr:col>
      <xdr:colOff>0</xdr:colOff>
      <xdr:row>1204</xdr:row>
      <xdr:rowOff>0</xdr:rowOff>
    </xdr:to>
    <xdr:pic>
      <xdr:nvPicPr>
        <xdr:cNvPr id="57931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1209</xdr:row>
      <xdr:rowOff>0</xdr:rowOff>
    </xdr:from>
    <xdr:to>
      <xdr:col>7</xdr:col>
      <xdr:colOff>0</xdr:colOff>
      <xdr:row>1209</xdr:row>
      <xdr:rowOff>0</xdr:rowOff>
    </xdr:to>
    <xdr:pic>
      <xdr:nvPicPr>
        <xdr:cNvPr id="57931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1136</xdr:row>
      <xdr:rowOff>0</xdr:rowOff>
    </xdr:from>
    <xdr:to>
      <xdr:col>7</xdr:col>
      <xdr:colOff>0</xdr:colOff>
      <xdr:row>1136</xdr:row>
      <xdr:rowOff>0</xdr:rowOff>
    </xdr:to>
    <xdr:pic>
      <xdr:nvPicPr>
        <xdr:cNvPr id="57931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1141</xdr:row>
      <xdr:rowOff>0</xdr:rowOff>
    </xdr:from>
    <xdr:to>
      <xdr:col>7</xdr:col>
      <xdr:colOff>0</xdr:colOff>
      <xdr:row>1141</xdr:row>
      <xdr:rowOff>0</xdr:rowOff>
    </xdr:to>
    <xdr:pic>
      <xdr:nvPicPr>
        <xdr:cNvPr id="57931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1136</xdr:row>
      <xdr:rowOff>0</xdr:rowOff>
    </xdr:from>
    <xdr:to>
      <xdr:col>7</xdr:col>
      <xdr:colOff>0</xdr:colOff>
      <xdr:row>1136</xdr:row>
      <xdr:rowOff>0</xdr:rowOff>
    </xdr:to>
    <xdr:pic>
      <xdr:nvPicPr>
        <xdr:cNvPr id="57931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1141</xdr:row>
      <xdr:rowOff>0</xdr:rowOff>
    </xdr:from>
    <xdr:to>
      <xdr:col>7</xdr:col>
      <xdr:colOff>0</xdr:colOff>
      <xdr:row>1141</xdr:row>
      <xdr:rowOff>0</xdr:rowOff>
    </xdr:to>
    <xdr:pic>
      <xdr:nvPicPr>
        <xdr:cNvPr id="57931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1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2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2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2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32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2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32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2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2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2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2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3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33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33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33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33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33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1244</xdr:row>
      <xdr:rowOff>0</xdr:rowOff>
    </xdr:from>
    <xdr:to>
      <xdr:col>7</xdr:col>
      <xdr:colOff>95250</xdr:colOff>
      <xdr:row>1244</xdr:row>
      <xdr:rowOff>0</xdr:rowOff>
    </xdr:to>
    <xdr:pic>
      <xdr:nvPicPr>
        <xdr:cNvPr id="57933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33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1244</xdr:row>
      <xdr:rowOff>0</xdr:rowOff>
    </xdr:from>
    <xdr:to>
      <xdr:col>7</xdr:col>
      <xdr:colOff>95250</xdr:colOff>
      <xdr:row>1244</xdr:row>
      <xdr:rowOff>0</xdr:rowOff>
    </xdr:to>
    <xdr:pic>
      <xdr:nvPicPr>
        <xdr:cNvPr id="57933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33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34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34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34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34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34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34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34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1224</xdr:row>
      <xdr:rowOff>0</xdr:rowOff>
    </xdr:from>
    <xdr:to>
      <xdr:col>1</xdr:col>
      <xdr:colOff>0</xdr:colOff>
      <xdr:row>1224</xdr:row>
      <xdr:rowOff>0</xdr:rowOff>
    </xdr:to>
    <xdr:pic>
      <xdr:nvPicPr>
        <xdr:cNvPr id="57934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056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34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1224</xdr:row>
      <xdr:rowOff>0</xdr:rowOff>
    </xdr:from>
    <xdr:to>
      <xdr:col>1</xdr:col>
      <xdr:colOff>0</xdr:colOff>
      <xdr:row>1224</xdr:row>
      <xdr:rowOff>0</xdr:rowOff>
    </xdr:to>
    <xdr:pic>
      <xdr:nvPicPr>
        <xdr:cNvPr id="57934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056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35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35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35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35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35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5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5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5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5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35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6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36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36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6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6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36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36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1170</xdr:row>
      <xdr:rowOff>0</xdr:rowOff>
    </xdr:from>
    <xdr:to>
      <xdr:col>7</xdr:col>
      <xdr:colOff>95250</xdr:colOff>
      <xdr:row>1170</xdr:row>
      <xdr:rowOff>0</xdr:rowOff>
    </xdr:to>
    <xdr:pic>
      <xdr:nvPicPr>
        <xdr:cNvPr id="57936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1175</xdr:row>
      <xdr:rowOff>0</xdr:rowOff>
    </xdr:from>
    <xdr:to>
      <xdr:col>7</xdr:col>
      <xdr:colOff>95250</xdr:colOff>
      <xdr:row>1175</xdr:row>
      <xdr:rowOff>0</xdr:rowOff>
    </xdr:to>
    <xdr:pic>
      <xdr:nvPicPr>
        <xdr:cNvPr id="57936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1170</xdr:row>
      <xdr:rowOff>0</xdr:rowOff>
    </xdr:from>
    <xdr:to>
      <xdr:col>7</xdr:col>
      <xdr:colOff>95250</xdr:colOff>
      <xdr:row>1170</xdr:row>
      <xdr:rowOff>0</xdr:rowOff>
    </xdr:to>
    <xdr:pic>
      <xdr:nvPicPr>
        <xdr:cNvPr id="57936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1175</xdr:row>
      <xdr:rowOff>0</xdr:rowOff>
    </xdr:from>
    <xdr:to>
      <xdr:col>7</xdr:col>
      <xdr:colOff>95250</xdr:colOff>
      <xdr:row>1175</xdr:row>
      <xdr:rowOff>0</xdr:rowOff>
    </xdr:to>
    <xdr:pic>
      <xdr:nvPicPr>
        <xdr:cNvPr id="57937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1238</xdr:row>
      <xdr:rowOff>0</xdr:rowOff>
    </xdr:from>
    <xdr:to>
      <xdr:col>7</xdr:col>
      <xdr:colOff>95250</xdr:colOff>
      <xdr:row>1238</xdr:row>
      <xdr:rowOff>0</xdr:rowOff>
    </xdr:to>
    <xdr:pic>
      <xdr:nvPicPr>
        <xdr:cNvPr id="57937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1243</xdr:row>
      <xdr:rowOff>0</xdr:rowOff>
    </xdr:from>
    <xdr:to>
      <xdr:col>7</xdr:col>
      <xdr:colOff>95250</xdr:colOff>
      <xdr:row>1243</xdr:row>
      <xdr:rowOff>0</xdr:rowOff>
    </xdr:to>
    <xdr:pic>
      <xdr:nvPicPr>
        <xdr:cNvPr id="57937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1238</xdr:row>
      <xdr:rowOff>0</xdr:rowOff>
    </xdr:from>
    <xdr:to>
      <xdr:col>7</xdr:col>
      <xdr:colOff>95250</xdr:colOff>
      <xdr:row>1238</xdr:row>
      <xdr:rowOff>0</xdr:rowOff>
    </xdr:to>
    <xdr:pic>
      <xdr:nvPicPr>
        <xdr:cNvPr id="57937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1243</xdr:row>
      <xdr:rowOff>0</xdr:rowOff>
    </xdr:from>
    <xdr:to>
      <xdr:col>7</xdr:col>
      <xdr:colOff>95250</xdr:colOff>
      <xdr:row>1243</xdr:row>
      <xdr:rowOff>0</xdr:rowOff>
    </xdr:to>
    <xdr:pic>
      <xdr:nvPicPr>
        <xdr:cNvPr id="57937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1170</xdr:row>
      <xdr:rowOff>0</xdr:rowOff>
    </xdr:from>
    <xdr:to>
      <xdr:col>7</xdr:col>
      <xdr:colOff>95250</xdr:colOff>
      <xdr:row>1170</xdr:row>
      <xdr:rowOff>0</xdr:rowOff>
    </xdr:to>
    <xdr:pic>
      <xdr:nvPicPr>
        <xdr:cNvPr id="57937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1175</xdr:row>
      <xdr:rowOff>0</xdr:rowOff>
    </xdr:from>
    <xdr:to>
      <xdr:col>7</xdr:col>
      <xdr:colOff>95250</xdr:colOff>
      <xdr:row>1175</xdr:row>
      <xdr:rowOff>0</xdr:rowOff>
    </xdr:to>
    <xdr:pic>
      <xdr:nvPicPr>
        <xdr:cNvPr id="57937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1170</xdr:row>
      <xdr:rowOff>0</xdr:rowOff>
    </xdr:from>
    <xdr:to>
      <xdr:col>7</xdr:col>
      <xdr:colOff>95250</xdr:colOff>
      <xdr:row>1170</xdr:row>
      <xdr:rowOff>0</xdr:rowOff>
    </xdr:to>
    <xdr:pic>
      <xdr:nvPicPr>
        <xdr:cNvPr id="57937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1175</xdr:row>
      <xdr:rowOff>0</xdr:rowOff>
    </xdr:from>
    <xdr:to>
      <xdr:col>7</xdr:col>
      <xdr:colOff>95250</xdr:colOff>
      <xdr:row>1175</xdr:row>
      <xdr:rowOff>0</xdr:rowOff>
    </xdr:to>
    <xdr:pic>
      <xdr:nvPicPr>
        <xdr:cNvPr id="57937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1157</xdr:row>
      <xdr:rowOff>0</xdr:rowOff>
    </xdr:from>
    <xdr:to>
      <xdr:col>1</xdr:col>
      <xdr:colOff>0</xdr:colOff>
      <xdr:row>1157</xdr:row>
      <xdr:rowOff>0</xdr:rowOff>
    </xdr:to>
    <xdr:pic>
      <xdr:nvPicPr>
        <xdr:cNvPr id="57937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01874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1162</xdr:row>
      <xdr:rowOff>0</xdr:rowOff>
    </xdr:from>
    <xdr:to>
      <xdr:col>1</xdr:col>
      <xdr:colOff>0</xdr:colOff>
      <xdr:row>1162</xdr:row>
      <xdr:rowOff>0</xdr:rowOff>
    </xdr:to>
    <xdr:pic>
      <xdr:nvPicPr>
        <xdr:cNvPr id="57938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5209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1157</xdr:row>
      <xdr:rowOff>0</xdr:rowOff>
    </xdr:from>
    <xdr:to>
      <xdr:col>1</xdr:col>
      <xdr:colOff>0</xdr:colOff>
      <xdr:row>1157</xdr:row>
      <xdr:rowOff>0</xdr:rowOff>
    </xdr:to>
    <xdr:pic>
      <xdr:nvPicPr>
        <xdr:cNvPr id="57938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01874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1162</xdr:row>
      <xdr:rowOff>0</xdr:rowOff>
    </xdr:from>
    <xdr:to>
      <xdr:col>1</xdr:col>
      <xdr:colOff>0</xdr:colOff>
      <xdr:row>1162</xdr:row>
      <xdr:rowOff>0</xdr:rowOff>
    </xdr:to>
    <xdr:pic>
      <xdr:nvPicPr>
        <xdr:cNvPr id="57938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5209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1225</xdr:row>
      <xdr:rowOff>0</xdr:rowOff>
    </xdr:from>
    <xdr:to>
      <xdr:col>1</xdr:col>
      <xdr:colOff>0</xdr:colOff>
      <xdr:row>1225</xdr:row>
      <xdr:rowOff>0</xdr:rowOff>
    </xdr:to>
    <xdr:pic>
      <xdr:nvPicPr>
        <xdr:cNvPr id="57938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3230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1230</xdr:row>
      <xdr:rowOff>0</xdr:rowOff>
    </xdr:from>
    <xdr:to>
      <xdr:col>1</xdr:col>
      <xdr:colOff>0</xdr:colOff>
      <xdr:row>1230</xdr:row>
      <xdr:rowOff>0</xdr:rowOff>
    </xdr:to>
    <xdr:pic>
      <xdr:nvPicPr>
        <xdr:cNvPr id="57938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6565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1225</xdr:row>
      <xdr:rowOff>0</xdr:rowOff>
    </xdr:from>
    <xdr:to>
      <xdr:col>1</xdr:col>
      <xdr:colOff>0</xdr:colOff>
      <xdr:row>1225</xdr:row>
      <xdr:rowOff>0</xdr:rowOff>
    </xdr:to>
    <xdr:pic>
      <xdr:nvPicPr>
        <xdr:cNvPr id="57938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3230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1230</xdr:row>
      <xdr:rowOff>0</xdr:rowOff>
    </xdr:from>
    <xdr:to>
      <xdr:col>1</xdr:col>
      <xdr:colOff>0</xdr:colOff>
      <xdr:row>1230</xdr:row>
      <xdr:rowOff>0</xdr:rowOff>
    </xdr:to>
    <xdr:pic>
      <xdr:nvPicPr>
        <xdr:cNvPr id="57938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6565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1157</xdr:row>
      <xdr:rowOff>0</xdr:rowOff>
    </xdr:from>
    <xdr:to>
      <xdr:col>1</xdr:col>
      <xdr:colOff>0</xdr:colOff>
      <xdr:row>1157</xdr:row>
      <xdr:rowOff>0</xdr:rowOff>
    </xdr:to>
    <xdr:pic>
      <xdr:nvPicPr>
        <xdr:cNvPr id="57938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01874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1162</xdr:row>
      <xdr:rowOff>0</xdr:rowOff>
    </xdr:from>
    <xdr:to>
      <xdr:col>1</xdr:col>
      <xdr:colOff>0</xdr:colOff>
      <xdr:row>1162</xdr:row>
      <xdr:rowOff>0</xdr:rowOff>
    </xdr:to>
    <xdr:pic>
      <xdr:nvPicPr>
        <xdr:cNvPr id="57938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5209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1157</xdr:row>
      <xdr:rowOff>0</xdr:rowOff>
    </xdr:from>
    <xdr:to>
      <xdr:col>1</xdr:col>
      <xdr:colOff>0</xdr:colOff>
      <xdr:row>1157</xdr:row>
      <xdr:rowOff>0</xdr:rowOff>
    </xdr:to>
    <xdr:pic>
      <xdr:nvPicPr>
        <xdr:cNvPr id="57938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01874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1162</xdr:row>
      <xdr:rowOff>0</xdr:rowOff>
    </xdr:from>
    <xdr:to>
      <xdr:col>1</xdr:col>
      <xdr:colOff>0</xdr:colOff>
      <xdr:row>1162</xdr:row>
      <xdr:rowOff>0</xdr:rowOff>
    </xdr:to>
    <xdr:pic>
      <xdr:nvPicPr>
        <xdr:cNvPr id="57939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5209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1192</xdr:row>
      <xdr:rowOff>0</xdr:rowOff>
    </xdr:from>
    <xdr:to>
      <xdr:col>1</xdr:col>
      <xdr:colOff>95250</xdr:colOff>
      <xdr:row>1192</xdr:row>
      <xdr:rowOff>0</xdr:rowOff>
    </xdr:to>
    <xdr:pic>
      <xdr:nvPicPr>
        <xdr:cNvPr id="57939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5219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1197</xdr:row>
      <xdr:rowOff>0</xdr:rowOff>
    </xdr:from>
    <xdr:to>
      <xdr:col>1</xdr:col>
      <xdr:colOff>95250</xdr:colOff>
      <xdr:row>1197</xdr:row>
      <xdr:rowOff>0</xdr:rowOff>
    </xdr:to>
    <xdr:pic>
      <xdr:nvPicPr>
        <xdr:cNvPr id="57939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8554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1192</xdr:row>
      <xdr:rowOff>0</xdr:rowOff>
    </xdr:from>
    <xdr:to>
      <xdr:col>1</xdr:col>
      <xdr:colOff>95250</xdr:colOff>
      <xdr:row>1192</xdr:row>
      <xdr:rowOff>0</xdr:rowOff>
    </xdr:to>
    <xdr:pic>
      <xdr:nvPicPr>
        <xdr:cNvPr id="57939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5219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1197</xdr:row>
      <xdr:rowOff>0</xdr:rowOff>
    </xdr:from>
    <xdr:to>
      <xdr:col>1</xdr:col>
      <xdr:colOff>95250</xdr:colOff>
      <xdr:row>1197</xdr:row>
      <xdr:rowOff>0</xdr:rowOff>
    </xdr:to>
    <xdr:pic>
      <xdr:nvPicPr>
        <xdr:cNvPr id="57939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8554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1260</xdr:row>
      <xdr:rowOff>0</xdr:rowOff>
    </xdr:from>
    <xdr:to>
      <xdr:col>1</xdr:col>
      <xdr:colOff>95250</xdr:colOff>
      <xdr:row>1260</xdr:row>
      <xdr:rowOff>0</xdr:rowOff>
    </xdr:to>
    <xdr:pic>
      <xdr:nvPicPr>
        <xdr:cNvPr id="57939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657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1265</xdr:row>
      <xdr:rowOff>0</xdr:rowOff>
    </xdr:from>
    <xdr:to>
      <xdr:col>1</xdr:col>
      <xdr:colOff>95250</xdr:colOff>
      <xdr:row>1265</xdr:row>
      <xdr:rowOff>0</xdr:rowOff>
    </xdr:to>
    <xdr:pic>
      <xdr:nvPicPr>
        <xdr:cNvPr id="57939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991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1260</xdr:row>
      <xdr:rowOff>0</xdr:rowOff>
    </xdr:from>
    <xdr:to>
      <xdr:col>1</xdr:col>
      <xdr:colOff>95250</xdr:colOff>
      <xdr:row>1260</xdr:row>
      <xdr:rowOff>0</xdr:rowOff>
    </xdr:to>
    <xdr:pic>
      <xdr:nvPicPr>
        <xdr:cNvPr id="57939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657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1265</xdr:row>
      <xdr:rowOff>0</xdr:rowOff>
    </xdr:from>
    <xdr:to>
      <xdr:col>1</xdr:col>
      <xdr:colOff>95250</xdr:colOff>
      <xdr:row>1265</xdr:row>
      <xdr:rowOff>0</xdr:rowOff>
    </xdr:to>
    <xdr:pic>
      <xdr:nvPicPr>
        <xdr:cNvPr id="57939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991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1192</xdr:row>
      <xdr:rowOff>0</xdr:rowOff>
    </xdr:from>
    <xdr:to>
      <xdr:col>1</xdr:col>
      <xdr:colOff>95250</xdr:colOff>
      <xdr:row>1192</xdr:row>
      <xdr:rowOff>0</xdr:rowOff>
    </xdr:to>
    <xdr:pic>
      <xdr:nvPicPr>
        <xdr:cNvPr id="57939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5219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1197</xdr:row>
      <xdr:rowOff>0</xdr:rowOff>
    </xdr:from>
    <xdr:to>
      <xdr:col>1</xdr:col>
      <xdr:colOff>95250</xdr:colOff>
      <xdr:row>1197</xdr:row>
      <xdr:rowOff>0</xdr:rowOff>
    </xdr:to>
    <xdr:pic>
      <xdr:nvPicPr>
        <xdr:cNvPr id="57940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8554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1192</xdr:row>
      <xdr:rowOff>0</xdr:rowOff>
    </xdr:from>
    <xdr:to>
      <xdr:col>1</xdr:col>
      <xdr:colOff>95250</xdr:colOff>
      <xdr:row>1192</xdr:row>
      <xdr:rowOff>0</xdr:rowOff>
    </xdr:to>
    <xdr:pic>
      <xdr:nvPicPr>
        <xdr:cNvPr id="57940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5219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1197</xdr:row>
      <xdr:rowOff>0</xdr:rowOff>
    </xdr:from>
    <xdr:to>
      <xdr:col>1</xdr:col>
      <xdr:colOff>95250</xdr:colOff>
      <xdr:row>1197</xdr:row>
      <xdr:rowOff>0</xdr:rowOff>
    </xdr:to>
    <xdr:pic>
      <xdr:nvPicPr>
        <xdr:cNvPr id="57940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8554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0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0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0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0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0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0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0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1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1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1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1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1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1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41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1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41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41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1244</xdr:row>
      <xdr:rowOff>0</xdr:rowOff>
    </xdr:from>
    <xdr:to>
      <xdr:col>7</xdr:col>
      <xdr:colOff>95250</xdr:colOff>
      <xdr:row>1244</xdr:row>
      <xdr:rowOff>0</xdr:rowOff>
    </xdr:to>
    <xdr:pic>
      <xdr:nvPicPr>
        <xdr:cNvPr id="57942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42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1244</xdr:row>
      <xdr:rowOff>0</xdr:rowOff>
    </xdr:from>
    <xdr:to>
      <xdr:col>7</xdr:col>
      <xdr:colOff>95250</xdr:colOff>
      <xdr:row>1244</xdr:row>
      <xdr:rowOff>0</xdr:rowOff>
    </xdr:to>
    <xdr:pic>
      <xdr:nvPicPr>
        <xdr:cNvPr id="57942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2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42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2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1176</xdr:row>
      <xdr:rowOff>0</xdr:rowOff>
    </xdr:from>
    <xdr:to>
      <xdr:col>7</xdr:col>
      <xdr:colOff>95250</xdr:colOff>
      <xdr:row>1176</xdr:row>
      <xdr:rowOff>0</xdr:rowOff>
    </xdr:to>
    <xdr:pic>
      <xdr:nvPicPr>
        <xdr:cNvPr id="57942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42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2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42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3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1224</xdr:row>
      <xdr:rowOff>0</xdr:rowOff>
    </xdr:from>
    <xdr:to>
      <xdr:col>1</xdr:col>
      <xdr:colOff>0</xdr:colOff>
      <xdr:row>1224</xdr:row>
      <xdr:rowOff>0</xdr:rowOff>
    </xdr:to>
    <xdr:pic>
      <xdr:nvPicPr>
        <xdr:cNvPr id="57943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056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43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1224</xdr:row>
      <xdr:rowOff>0</xdr:rowOff>
    </xdr:from>
    <xdr:to>
      <xdr:col>1</xdr:col>
      <xdr:colOff>0</xdr:colOff>
      <xdr:row>1224</xdr:row>
      <xdr:rowOff>0</xdr:rowOff>
    </xdr:to>
    <xdr:pic>
      <xdr:nvPicPr>
        <xdr:cNvPr id="57943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8056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43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43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3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1156</xdr:row>
      <xdr:rowOff>0</xdr:rowOff>
    </xdr:from>
    <xdr:to>
      <xdr:col>1</xdr:col>
      <xdr:colOff>0</xdr:colOff>
      <xdr:row>1156</xdr:row>
      <xdr:rowOff>0</xdr:rowOff>
    </xdr:to>
    <xdr:pic>
      <xdr:nvPicPr>
        <xdr:cNvPr id="57943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9920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3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3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4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4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4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4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4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4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4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4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4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4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5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1190</xdr:row>
      <xdr:rowOff>0</xdr:rowOff>
    </xdr:from>
    <xdr:to>
      <xdr:col>1</xdr:col>
      <xdr:colOff>95250</xdr:colOff>
      <xdr:row>1190</xdr:row>
      <xdr:rowOff>0</xdr:rowOff>
    </xdr:to>
    <xdr:pic>
      <xdr:nvPicPr>
        <xdr:cNvPr id="57945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8988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45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1190</xdr:row>
      <xdr:rowOff>0</xdr:rowOff>
    </xdr:from>
    <xdr:to>
      <xdr:col>1</xdr:col>
      <xdr:colOff>95250</xdr:colOff>
      <xdr:row>1190</xdr:row>
      <xdr:rowOff>0</xdr:rowOff>
    </xdr:to>
    <xdr:pic>
      <xdr:nvPicPr>
        <xdr:cNvPr id="57945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8988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45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1258</xdr:row>
      <xdr:rowOff>0</xdr:rowOff>
    </xdr:from>
    <xdr:to>
      <xdr:col>1</xdr:col>
      <xdr:colOff>95250</xdr:colOff>
      <xdr:row>1258</xdr:row>
      <xdr:rowOff>0</xdr:rowOff>
    </xdr:to>
    <xdr:pic>
      <xdr:nvPicPr>
        <xdr:cNvPr id="57945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124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1263</xdr:row>
      <xdr:rowOff>0</xdr:rowOff>
    </xdr:from>
    <xdr:to>
      <xdr:col>1</xdr:col>
      <xdr:colOff>95250</xdr:colOff>
      <xdr:row>1263</xdr:row>
      <xdr:rowOff>0</xdr:rowOff>
    </xdr:to>
    <xdr:pic>
      <xdr:nvPicPr>
        <xdr:cNvPr id="57945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457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1258</xdr:row>
      <xdr:rowOff>0</xdr:rowOff>
    </xdr:from>
    <xdr:to>
      <xdr:col>1</xdr:col>
      <xdr:colOff>95250</xdr:colOff>
      <xdr:row>1258</xdr:row>
      <xdr:rowOff>0</xdr:rowOff>
    </xdr:to>
    <xdr:pic>
      <xdr:nvPicPr>
        <xdr:cNvPr id="57945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124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1263</xdr:row>
      <xdr:rowOff>0</xdr:rowOff>
    </xdr:from>
    <xdr:to>
      <xdr:col>1</xdr:col>
      <xdr:colOff>95250</xdr:colOff>
      <xdr:row>1263</xdr:row>
      <xdr:rowOff>0</xdr:rowOff>
    </xdr:to>
    <xdr:pic>
      <xdr:nvPicPr>
        <xdr:cNvPr id="57945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457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1190</xdr:row>
      <xdr:rowOff>0</xdr:rowOff>
    </xdr:from>
    <xdr:to>
      <xdr:col>1</xdr:col>
      <xdr:colOff>95250</xdr:colOff>
      <xdr:row>1190</xdr:row>
      <xdr:rowOff>0</xdr:rowOff>
    </xdr:to>
    <xdr:pic>
      <xdr:nvPicPr>
        <xdr:cNvPr id="57945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8988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46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1190</xdr:row>
      <xdr:rowOff>0</xdr:rowOff>
    </xdr:from>
    <xdr:to>
      <xdr:col>1</xdr:col>
      <xdr:colOff>95250</xdr:colOff>
      <xdr:row>1190</xdr:row>
      <xdr:rowOff>0</xdr:rowOff>
    </xdr:to>
    <xdr:pic>
      <xdr:nvPicPr>
        <xdr:cNvPr id="57946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8988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46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6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6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6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6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6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6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46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47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7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7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47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7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1166</xdr:row>
      <xdr:rowOff>0</xdr:rowOff>
    </xdr:from>
    <xdr:to>
      <xdr:col>7</xdr:col>
      <xdr:colOff>95250</xdr:colOff>
      <xdr:row>1166</xdr:row>
      <xdr:rowOff>0</xdr:rowOff>
    </xdr:to>
    <xdr:pic>
      <xdr:nvPicPr>
        <xdr:cNvPr id="57947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7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1166</xdr:row>
      <xdr:rowOff>0</xdr:rowOff>
    </xdr:from>
    <xdr:to>
      <xdr:col>7</xdr:col>
      <xdr:colOff>95250</xdr:colOff>
      <xdr:row>1166</xdr:row>
      <xdr:rowOff>0</xdr:rowOff>
    </xdr:to>
    <xdr:pic>
      <xdr:nvPicPr>
        <xdr:cNvPr id="57947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7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1234</xdr:row>
      <xdr:rowOff>0</xdr:rowOff>
    </xdr:from>
    <xdr:to>
      <xdr:col>7</xdr:col>
      <xdr:colOff>95250</xdr:colOff>
      <xdr:row>1234</xdr:row>
      <xdr:rowOff>0</xdr:rowOff>
    </xdr:to>
    <xdr:pic>
      <xdr:nvPicPr>
        <xdr:cNvPr id="57947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48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1234</xdr:row>
      <xdr:rowOff>0</xdr:rowOff>
    </xdr:from>
    <xdr:to>
      <xdr:col>7</xdr:col>
      <xdr:colOff>95250</xdr:colOff>
      <xdr:row>1234</xdr:row>
      <xdr:rowOff>0</xdr:rowOff>
    </xdr:to>
    <xdr:pic>
      <xdr:nvPicPr>
        <xdr:cNvPr id="57948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1239</xdr:row>
      <xdr:rowOff>0</xdr:rowOff>
    </xdr:from>
    <xdr:to>
      <xdr:col>7</xdr:col>
      <xdr:colOff>95250</xdr:colOff>
      <xdr:row>1239</xdr:row>
      <xdr:rowOff>0</xdr:rowOff>
    </xdr:to>
    <xdr:pic>
      <xdr:nvPicPr>
        <xdr:cNvPr id="57948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1166</xdr:row>
      <xdr:rowOff>0</xdr:rowOff>
    </xdr:from>
    <xdr:to>
      <xdr:col>7</xdr:col>
      <xdr:colOff>95250</xdr:colOff>
      <xdr:row>1166</xdr:row>
      <xdr:rowOff>0</xdr:rowOff>
    </xdr:to>
    <xdr:pic>
      <xdr:nvPicPr>
        <xdr:cNvPr id="57948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8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1166</xdr:row>
      <xdr:rowOff>0</xdr:rowOff>
    </xdr:from>
    <xdr:to>
      <xdr:col>7</xdr:col>
      <xdr:colOff>95250</xdr:colOff>
      <xdr:row>1166</xdr:row>
      <xdr:rowOff>0</xdr:rowOff>
    </xdr:to>
    <xdr:pic>
      <xdr:nvPicPr>
        <xdr:cNvPr id="57948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1171</xdr:row>
      <xdr:rowOff>0</xdr:rowOff>
    </xdr:from>
    <xdr:to>
      <xdr:col>7</xdr:col>
      <xdr:colOff>95250</xdr:colOff>
      <xdr:row>1171</xdr:row>
      <xdr:rowOff>0</xdr:rowOff>
    </xdr:to>
    <xdr:pic>
      <xdr:nvPicPr>
        <xdr:cNvPr id="57948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8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0</xdr:colOff>
      <xdr:row>1166</xdr:row>
      <xdr:rowOff>0</xdr:rowOff>
    </xdr:to>
    <xdr:pic>
      <xdr:nvPicPr>
        <xdr:cNvPr id="57948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8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0</xdr:colOff>
      <xdr:row>1166</xdr:row>
      <xdr:rowOff>0</xdr:rowOff>
    </xdr:to>
    <xdr:pic>
      <xdr:nvPicPr>
        <xdr:cNvPr id="57949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49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0</xdr:colOff>
      <xdr:row>1234</xdr:row>
      <xdr:rowOff>0</xdr:rowOff>
    </xdr:to>
    <xdr:pic>
      <xdr:nvPicPr>
        <xdr:cNvPr id="57949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1229</xdr:row>
      <xdr:rowOff>0</xdr:rowOff>
    </xdr:from>
    <xdr:to>
      <xdr:col>1</xdr:col>
      <xdr:colOff>0</xdr:colOff>
      <xdr:row>1229</xdr:row>
      <xdr:rowOff>0</xdr:rowOff>
    </xdr:to>
    <xdr:pic>
      <xdr:nvPicPr>
        <xdr:cNvPr id="57949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9389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0</xdr:colOff>
      <xdr:row>1234</xdr:row>
      <xdr:rowOff>0</xdr:rowOff>
    </xdr:to>
    <xdr:pic>
      <xdr:nvPicPr>
        <xdr:cNvPr id="57949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9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0</xdr:colOff>
      <xdr:row>1166</xdr:row>
      <xdr:rowOff>0</xdr:rowOff>
    </xdr:to>
    <xdr:pic>
      <xdr:nvPicPr>
        <xdr:cNvPr id="57949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1161</xdr:row>
      <xdr:rowOff>0</xdr:rowOff>
    </xdr:from>
    <xdr:to>
      <xdr:col>1</xdr:col>
      <xdr:colOff>0</xdr:colOff>
      <xdr:row>1161</xdr:row>
      <xdr:rowOff>0</xdr:rowOff>
    </xdr:to>
    <xdr:pic>
      <xdr:nvPicPr>
        <xdr:cNvPr id="57949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1254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0</xdr:colOff>
      <xdr:row>1166</xdr:row>
      <xdr:rowOff>0</xdr:rowOff>
    </xdr:to>
    <xdr:pic>
      <xdr:nvPicPr>
        <xdr:cNvPr id="57949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49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0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0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0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0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1269</xdr:row>
      <xdr:rowOff>0</xdr:rowOff>
    </xdr:from>
    <xdr:to>
      <xdr:col>1</xdr:col>
      <xdr:colOff>95250</xdr:colOff>
      <xdr:row>1269</xdr:row>
      <xdr:rowOff>0</xdr:rowOff>
    </xdr:to>
    <xdr:pic>
      <xdr:nvPicPr>
        <xdr:cNvPr id="57950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10057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0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1269</xdr:row>
      <xdr:rowOff>0</xdr:rowOff>
    </xdr:from>
    <xdr:to>
      <xdr:col>1</xdr:col>
      <xdr:colOff>95250</xdr:colOff>
      <xdr:row>1269</xdr:row>
      <xdr:rowOff>0</xdr:rowOff>
    </xdr:to>
    <xdr:pic>
      <xdr:nvPicPr>
        <xdr:cNvPr id="57950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10057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0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0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0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1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51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1200</xdr:row>
      <xdr:rowOff>0</xdr:rowOff>
    </xdr:from>
    <xdr:to>
      <xdr:col>1</xdr:col>
      <xdr:colOff>95250</xdr:colOff>
      <xdr:row>1200</xdr:row>
      <xdr:rowOff>0</xdr:rowOff>
    </xdr:to>
    <xdr:pic>
      <xdr:nvPicPr>
        <xdr:cNvPr id="57951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655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51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1200</xdr:row>
      <xdr:rowOff>0</xdr:rowOff>
    </xdr:from>
    <xdr:to>
      <xdr:col>1</xdr:col>
      <xdr:colOff>95250</xdr:colOff>
      <xdr:row>1200</xdr:row>
      <xdr:rowOff>0</xdr:rowOff>
    </xdr:to>
    <xdr:pic>
      <xdr:nvPicPr>
        <xdr:cNvPr id="57951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655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1263</xdr:row>
      <xdr:rowOff>0</xdr:rowOff>
    </xdr:from>
    <xdr:to>
      <xdr:col>1</xdr:col>
      <xdr:colOff>95250</xdr:colOff>
      <xdr:row>1263</xdr:row>
      <xdr:rowOff>0</xdr:rowOff>
    </xdr:to>
    <xdr:pic>
      <xdr:nvPicPr>
        <xdr:cNvPr id="57951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457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1268</xdr:row>
      <xdr:rowOff>0</xdr:rowOff>
    </xdr:from>
    <xdr:to>
      <xdr:col>1</xdr:col>
      <xdr:colOff>95250</xdr:colOff>
      <xdr:row>1268</xdr:row>
      <xdr:rowOff>0</xdr:rowOff>
    </xdr:to>
    <xdr:pic>
      <xdr:nvPicPr>
        <xdr:cNvPr id="57951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9791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1263</xdr:row>
      <xdr:rowOff>0</xdr:rowOff>
    </xdr:from>
    <xdr:to>
      <xdr:col>1</xdr:col>
      <xdr:colOff>95250</xdr:colOff>
      <xdr:row>1263</xdr:row>
      <xdr:rowOff>0</xdr:rowOff>
    </xdr:to>
    <xdr:pic>
      <xdr:nvPicPr>
        <xdr:cNvPr id="57951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457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1268</xdr:row>
      <xdr:rowOff>0</xdr:rowOff>
    </xdr:from>
    <xdr:to>
      <xdr:col>1</xdr:col>
      <xdr:colOff>95250</xdr:colOff>
      <xdr:row>1268</xdr:row>
      <xdr:rowOff>0</xdr:rowOff>
    </xdr:to>
    <xdr:pic>
      <xdr:nvPicPr>
        <xdr:cNvPr id="57951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9791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51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1200</xdr:row>
      <xdr:rowOff>0</xdr:rowOff>
    </xdr:from>
    <xdr:to>
      <xdr:col>1</xdr:col>
      <xdr:colOff>95250</xdr:colOff>
      <xdr:row>1200</xdr:row>
      <xdr:rowOff>0</xdr:rowOff>
    </xdr:to>
    <xdr:pic>
      <xdr:nvPicPr>
        <xdr:cNvPr id="57952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655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1195</xdr:row>
      <xdr:rowOff>0</xdr:rowOff>
    </xdr:from>
    <xdr:to>
      <xdr:col>1</xdr:col>
      <xdr:colOff>95250</xdr:colOff>
      <xdr:row>1195</xdr:row>
      <xdr:rowOff>0</xdr:rowOff>
    </xdr:to>
    <xdr:pic>
      <xdr:nvPicPr>
        <xdr:cNvPr id="57952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322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1200</xdr:row>
      <xdr:rowOff>0</xdr:rowOff>
    </xdr:from>
    <xdr:to>
      <xdr:col>1</xdr:col>
      <xdr:colOff>95250</xdr:colOff>
      <xdr:row>1200</xdr:row>
      <xdr:rowOff>0</xdr:rowOff>
    </xdr:to>
    <xdr:pic>
      <xdr:nvPicPr>
        <xdr:cNvPr id="57952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655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2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2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2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2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2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1269</xdr:row>
      <xdr:rowOff>0</xdr:rowOff>
    </xdr:from>
    <xdr:to>
      <xdr:col>1</xdr:col>
      <xdr:colOff>95250</xdr:colOff>
      <xdr:row>1269</xdr:row>
      <xdr:rowOff>0</xdr:rowOff>
    </xdr:to>
    <xdr:pic>
      <xdr:nvPicPr>
        <xdr:cNvPr id="57952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10057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2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1269</xdr:row>
      <xdr:rowOff>0</xdr:rowOff>
    </xdr:from>
    <xdr:to>
      <xdr:col>1</xdr:col>
      <xdr:colOff>95250</xdr:colOff>
      <xdr:row>1269</xdr:row>
      <xdr:rowOff>0</xdr:rowOff>
    </xdr:to>
    <xdr:pic>
      <xdr:nvPicPr>
        <xdr:cNvPr id="57953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10057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3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3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3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1201</xdr:row>
      <xdr:rowOff>0</xdr:rowOff>
    </xdr:from>
    <xdr:to>
      <xdr:col>1</xdr:col>
      <xdr:colOff>95250</xdr:colOff>
      <xdr:row>1201</xdr:row>
      <xdr:rowOff>0</xdr:rowOff>
    </xdr:to>
    <xdr:pic>
      <xdr:nvPicPr>
        <xdr:cNvPr id="57953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1922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53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3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53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3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53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4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54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54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54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4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54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54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54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54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54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55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1204</xdr:row>
      <xdr:rowOff>0</xdr:rowOff>
    </xdr:from>
    <xdr:to>
      <xdr:col>1</xdr:col>
      <xdr:colOff>0</xdr:colOff>
      <xdr:row>1204</xdr:row>
      <xdr:rowOff>0</xdr:rowOff>
    </xdr:to>
    <xdr:pic>
      <xdr:nvPicPr>
        <xdr:cNvPr id="57955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1209</xdr:row>
      <xdr:rowOff>0</xdr:rowOff>
    </xdr:from>
    <xdr:to>
      <xdr:col>1</xdr:col>
      <xdr:colOff>0</xdr:colOff>
      <xdr:row>1209</xdr:row>
      <xdr:rowOff>0</xdr:rowOff>
    </xdr:to>
    <xdr:pic>
      <xdr:nvPicPr>
        <xdr:cNvPr id="57955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1204</xdr:row>
      <xdr:rowOff>0</xdr:rowOff>
    </xdr:from>
    <xdr:to>
      <xdr:col>1</xdr:col>
      <xdr:colOff>0</xdr:colOff>
      <xdr:row>1204</xdr:row>
      <xdr:rowOff>0</xdr:rowOff>
    </xdr:to>
    <xdr:pic>
      <xdr:nvPicPr>
        <xdr:cNvPr id="57955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1209</xdr:row>
      <xdr:rowOff>0</xdr:rowOff>
    </xdr:from>
    <xdr:to>
      <xdr:col>1</xdr:col>
      <xdr:colOff>0</xdr:colOff>
      <xdr:row>1209</xdr:row>
      <xdr:rowOff>0</xdr:rowOff>
    </xdr:to>
    <xdr:pic>
      <xdr:nvPicPr>
        <xdr:cNvPr id="57955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55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55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55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55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5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6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6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6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56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56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56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56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6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6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6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7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57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57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57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57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1238</xdr:row>
      <xdr:rowOff>0</xdr:rowOff>
    </xdr:from>
    <xdr:to>
      <xdr:col>1</xdr:col>
      <xdr:colOff>95250</xdr:colOff>
      <xdr:row>1238</xdr:row>
      <xdr:rowOff>0</xdr:rowOff>
    </xdr:to>
    <xdr:pic>
      <xdr:nvPicPr>
        <xdr:cNvPr id="57957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1243</xdr:row>
      <xdr:rowOff>0</xdr:rowOff>
    </xdr:from>
    <xdr:to>
      <xdr:col>1</xdr:col>
      <xdr:colOff>95250</xdr:colOff>
      <xdr:row>1243</xdr:row>
      <xdr:rowOff>0</xdr:rowOff>
    </xdr:to>
    <xdr:pic>
      <xdr:nvPicPr>
        <xdr:cNvPr id="57957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1238</xdr:row>
      <xdr:rowOff>0</xdr:rowOff>
    </xdr:from>
    <xdr:to>
      <xdr:col>1</xdr:col>
      <xdr:colOff>95250</xdr:colOff>
      <xdr:row>1238</xdr:row>
      <xdr:rowOff>0</xdr:rowOff>
    </xdr:to>
    <xdr:pic>
      <xdr:nvPicPr>
        <xdr:cNvPr id="57957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1243</xdr:row>
      <xdr:rowOff>0</xdr:rowOff>
    </xdr:from>
    <xdr:to>
      <xdr:col>1</xdr:col>
      <xdr:colOff>95250</xdr:colOff>
      <xdr:row>1243</xdr:row>
      <xdr:rowOff>0</xdr:rowOff>
    </xdr:to>
    <xdr:pic>
      <xdr:nvPicPr>
        <xdr:cNvPr id="57957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57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58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58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58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8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8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8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8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58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58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58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59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9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9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9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59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59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9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59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59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95250</xdr:colOff>
      <xdr:row>1234</xdr:row>
      <xdr:rowOff>0</xdr:rowOff>
    </xdr:to>
    <xdr:pic>
      <xdr:nvPicPr>
        <xdr:cNvPr id="57959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0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95250</xdr:colOff>
      <xdr:row>1234</xdr:row>
      <xdr:rowOff>0</xdr:rowOff>
    </xdr:to>
    <xdr:pic>
      <xdr:nvPicPr>
        <xdr:cNvPr id="57960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0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0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0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0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0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1191</xdr:row>
      <xdr:rowOff>0</xdr:rowOff>
    </xdr:from>
    <xdr:to>
      <xdr:col>7</xdr:col>
      <xdr:colOff>95250</xdr:colOff>
      <xdr:row>1191</xdr:row>
      <xdr:rowOff>0</xdr:rowOff>
    </xdr:to>
    <xdr:pic>
      <xdr:nvPicPr>
        <xdr:cNvPr id="57960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1196</xdr:row>
      <xdr:rowOff>0</xdr:rowOff>
    </xdr:from>
    <xdr:to>
      <xdr:col>7</xdr:col>
      <xdr:colOff>95250</xdr:colOff>
      <xdr:row>1196</xdr:row>
      <xdr:rowOff>0</xdr:rowOff>
    </xdr:to>
    <xdr:pic>
      <xdr:nvPicPr>
        <xdr:cNvPr id="57960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1191</xdr:row>
      <xdr:rowOff>0</xdr:rowOff>
    </xdr:from>
    <xdr:to>
      <xdr:col>7</xdr:col>
      <xdr:colOff>95250</xdr:colOff>
      <xdr:row>1191</xdr:row>
      <xdr:rowOff>0</xdr:rowOff>
    </xdr:to>
    <xdr:pic>
      <xdr:nvPicPr>
        <xdr:cNvPr id="57960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1196</xdr:row>
      <xdr:rowOff>0</xdr:rowOff>
    </xdr:from>
    <xdr:to>
      <xdr:col>7</xdr:col>
      <xdr:colOff>95250</xdr:colOff>
      <xdr:row>1196</xdr:row>
      <xdr:rowOff>0</xdr:rowOff>
    </xdr:to>
    <xdr:pic>
      <xdr:nvPicPr>
        <xdr:cNvPr id="57961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1259</xdr:row>
      <xdr:rowOff>0</xdr:rowOff>
    </xdr:from>
    <xdr:to>
      <xdr:col>7</xdr:col>
      <xdr:colOff>95250</xdr:colOff>
      <xdr:row>1259</xdr:row>
      <xdr:rowOff>0</xdr:rowOff>
    </xdr:to>
    <xdr:pic>
      <xdr:nvPicPr>
        <xdr:cNvPr id="57961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1264</xdr:row>
      <xdr:rowOff>0</xdr:rowOff>
    </xdr:from>
    <xdr:to>
      <xdr:col>7</xdr:col>
      <xdr:colOff>95250</xdr:colOff>
      <xdr:row>1264</xdr:row>
      <xdr:rowOff>0</xdr:rowOff>
    </xdr:to>
    <xdr:pic>
      <xdr:nvPicPr>
        <xdr:cNvPr id="57961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1259</xdr:row>
      <xdr:rowOff>0</xdr:rowOff>
    </xdr:from>
    <xdr:to>
      <xdr:col>7</xdr:col>
      <xdr:colOff>95250</xdr:colOff>
      <xdr:row>1259</xdr:row>
      <xdr:rowOff>0</xdr:rowOff>
    </xdr:to>
    <xdr:pic>
      <xdr:nvPicPr>
        <xdr:cNvPr id="57961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1264</xdr:row>
      <xdr:rowOff>0</xdr:rowOff>
    </xdr:from>
    <xdr:to>
      <xdr:col>7</xdr:col>
      <xdr:colOff>95250</xdr:colOff>
      <xdr:row>1264</xdr:row>
      <xdr:rowOff>0</xdr:rowOff>
    </xdr:to>
    <xdr:pic>
      <xdr:nvPicPr>
        <xdr:cNvPr id="57961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1191</xdr:row>
      <xdr:rowOff>0</xdr:rowOff>
    </xdr:from>
    <xdr:to>
      <xdr:col>7</xdr:col>
      <xdr:colOff>95250</xdr:colOff>
      <xdr:row>1191</xdr:row>
      <xdr:rowOff>0</xdr:rowOff>
    </xdr:to>
    <xdr:pic>
      <xdr:nvPicPr>
        <xdr:cNvPr id="57961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1196</xdr:row>
      <xdr:rowOff>0</xdr:rowOff>
    </xdr:from>
    <xdr:to>
      <xdr:col>7</xdr:col>
      <xdr:colOff>95250</xdr:colOff>
      <xdr:row>1196</xdr:row>
      <xdr:rowOff>0</xdr:rowOff>
    </xdr:to>
    <xdr:pic>
      <xdr:nvPicPr>
        <xdr:cNvPr id="57961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1191</xdr:row>
      <xdr:rowOff>0</xdr:rowOff>
    </xdr:from>
    <xdr:to>
      <xdr:col>7</xdr:col>
      <xdr:colOff>95250</xdr:colOff>
      <xdr:row>1191</xdr:row>
      <xdr:rowOff>0</xdr:rowOff>
    </xdr:to>
    <xdr:pic>
      <xdr:nvPicPr>
        <xdr:cNvPr id="57961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0</xdr:colOff>
      <xdr:row>1196</xdr:row>
      <xdr:rowOff>0</xdr:rowOff>
    </xdr:from>
    <xdr:to>
      <xdr:col>7</xdr:col>
      <xdr:colOff>95250</xdr:colOff>
      <xdr:row>1196</xdr:row>
      <xdr:rowOff>0</xdr:rowOff>
    </xdr:to>
    <xdr:pic>
      <xdr:nvPicPr>
        <xdr:cNvPr id="57961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870585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61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62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62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62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1204</xdr:row>
      <xdr:rowOff>0</xdr:rowOff>
    </xdr:from>
    <xdr:to>
      <xdr:col>1</xdr:col>
      <xdr:colOff>0</xdr:colOff>
      <xdr:row>1204</xdr:row>
      <xdr:rowOff>0</xdr:rowOff>
    </xdr:to>
    <xdr:pic>
      <xdr:nvPicPr>
        <xdr:cNvPr id="57962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1209</xdr:row>
      <xdr:rowOff>0</xdr:rowOff>
    </xdr:from>
    <xdr:to>
      <xdr:col>1</xdr:col>
      <xdr:colOff>0</xdr:colOff>
      <xdr:row>1209</xdr:row>
      <xdr:rowOff>0</xdr:rowOff>
    </xdr:to>
    <xdr:pic>
      <xdr:nvPicPr>
        <xdr:cNvPr id="57962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1204</xdr:row>
      <xdr:rowOff>0</xdr:rowOff>
    </xdr:from>
    <xdr:to>
      <xdr:col>1</xdr:col>
      <xdr:colOff>0</xdr:colOff>
      <xdr:row>1204</xdr:row>
      <xdr:rowOff>0</xdr:rowOff>
    </xdr:to>
    <xdr:pic>
      <xdr:nvPicPr>
        <xdr:cNvPr id="57962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27223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1209</xdr:row>
      <xdr:rowOff>0</xdr:rowOff>
    </xdr:from>
    <xdr:to>
      <xdr:col>1</xdr:col>
      <xdr:colOff>0</xdr:colOff>
      <xdr:row>1209</xdr:row>
      <xdr:rowOff>0</xdr:rowOff>
    </xdr:to>
    <xdr:pic>
      <xdr:nvPicPr>
        <xdr:cNvPr id="57962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40558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62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62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1136</xdr:row>
      <xdr:rowOff>0</xdr:rowOff>
    </xdr:from>
    <xdr:to>
      <xdr:col>1</xdr:col>
      <xdr:colOff>0</xdr:colOff>
      <xdr:row>1136</xdr:row>
      <xdr:rowOff>0</xdr:rowOff>
    </xdr:to>
    <xdr:pic>
      <xdr:nvPicPr>
        <xdr:cNvPr id="57962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45867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1141</xdr:row>
      <xdr:rowOff>0</xdr:rowOff>
    </xdr:from>
    <xdr:to>
      <xdr:col>1</xdr:col>
      <xdr:colOff>0</xdr:colOff>
      <xdr:row>1141</xdr:row>
      <xdr:rowOff>0</xdr:rowOff>
    </xdr:to>
    <xdr:pic>
      <xdr:nvPicPr>
        <xdr:cNvPr id="57963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75920200"/>
          <a:ext cx="42862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31"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32"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33"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34"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35"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636"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37"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638"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39"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40"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41"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42"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643"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644"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645"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646"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1238</xdr:row>
      <xdr:rowOff>0</xdr:rowOff>
    </xdr:from>
    <xdr:to>
      <xdr:col>1</xdr:col>
      <xdr:colOff>95250</xdr:colOff>
      <xdr:row>1238</xdr:row>
      <xdr:rowOff>0</xdr:rowOff>
    </xdr:to>
    <xdr:pic>
      <xdr:nvPicPr>
        <xdr:cNvPr id="579647"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1243</xdr:row>
      <xdr:rowOff>0</xdr:rowOff>
    </xdr:from>
    <xdr:to>
      <xdr:col>1</xdr:col>
      <xdr:colOff>95250</xdr:colOff>
      <xdr:row>1243</xdr:row>
      <xdr:rowOff>0</xdr:rowOff>
    </xdr:to>
    <xdr:pic>
      <xdr:nvPicPr>
        <xdr:cNvPr id="579648"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1238</xdr:row>
      <xdr:rowOff>0</xdr:rowOff>
    </xdr:from>
    <xdr:to>
      <xdr:col>1</xdr:col>
      <xdr:colOff>95250</xdr:colOff>
      <xdr:row>1238</xdr:row>
      <xdr:rowOff>0</xdr:rowOff>
    </xdr:to>
    <xdr:pic>
      <xdr:nvPicPr>
        <xdr:cNvPr id="579649"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17901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1243</xdr:row>
      <xdr:rowOff>0</xdr:rowOff>
    </xdr:from>
    <xdr:to>
      <xdr:col>1</xdr:col>
      <xdr:colOff>95250</xdr:colOff>
      <xdr:row>1243</xdr:row>
      <xdr:rowOff>0</xdr:rowOff>
    </xdr:to>
    <xdr:pic>
      <xdr:nvPicPr>
        <xdr:cNvPr id="579650"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1236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651"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652"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1170</xdr:row>
      <xdr:rowOff>0</xdr:rowOff>
    </xdr:from>
    <xdr:to>
      <xdr:col>1</xdr:col>
      <xdr:colOff>95250</xdr:colOff>
      <xdr:row>1170</xdr:row>
      <xdr:rowOff>0</xdr:rowOff>
    </xdr:to>
    <xdr:pic>
      <xdr:nvPicPr>
        <xdr:cNvPr id="579653"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6545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1175</xdr:row>
      <xdr:rowOff>0</xdr:rowOff>
    </xdr:from>
    <xdr:to>
      <xdr:col>1</xdr:col>
      <xdr:colOff>95250</xdr:colOff>
      <xdr:row>1175</xdr:row>
      <xdr:rowOff>0</xdr:rowOff>
    </xdr:to>
    <xdr:pic>
      <xdr:nvPicPr>
        <xdr:cNvPr id="579654"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49880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55"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56"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57"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58"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59"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660"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61"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1244</xdr:row>
      <xdr:rowOff>0</xdr:rowOff>
    </xdr:from>
    <xdr:to>
      <xdr:col>1</xdr:col>
      <xdr:colOff>95250</xdr:colOff>
      <xdr:row>1244</xdr:row>
      <xdr:rowOff>0</xdr:rowOff>
    </xdr:to>
    <xdr:pic>
      <xdr:nvPicPr>
        <xdr:cNvPr id="579662"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3390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63"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64"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65"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1176</xdr:row>
      <xdr:rowOff>0</xdr:rowOff>
    </xdr:from>
    <xdr:to>
      <xdr:col>1</xdr:col>
      <xdr:colOff>95250</xdr:colOff>
      <xdr:row>1176</xdr:row>
      <xdr:rowOff>0</xdr:rowOff>
    </xdr:to>
    <xdr:pic>
      <xdr:nvPicPr>
        <xdr:cNvPr id="579666"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5254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67"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68"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69"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70"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95250</xdr:colOff>
      <xdr:row>1234</xdr:row>
      <xdr:rowOff>0</xdr:rowOff>
    </xdr:to>
    <xdr:pic>
      <xdr:nvPicPr>
        <xdr:cNvPr id="579671"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72"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1234</xdr:row>
      <xdr:rowOff>0</xdr:rowOff>
    </xdr:from>
    <xdr:to>
      <xdr:col>1</xdr:col>
      <xdr:colOff>95250</xdr:colOff>
      <xdr:row>1234</xdr:row>
      <xdr:rowOff>0</xdr:rowOff>
    </xdr:to>
    <xdr:pic>
      <xdr:nvPicPr>
        <xdr:cNvPr id="579673"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0723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1239</xdr:row>
      <xdr:rowOff>0</xdr:rowOff>
    </xdr:from>
    <xdr:to>
      <xdr:col>1</xdr:col>
      <xdr:colOff>95250</xdr:colOff>
      <xdr:row>1239</xdr:row>
      <xdr:rowOff>0</xdr:rowOff>
    </xdr:to>
    <xdr:pic>
      <xdr:nvPicPr>
        <xdr:cNvPr id="579674"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2056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75"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76"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1166</xdr:row>
      <xdr:rowOff>0</xdr:rowOff>
    </xdr:from>
    <xdr:to>
      <xdr:col>1</xdr:col>
      <xdr:colOff>95250</xdr:colOff>
      <xdr:row>1166</xdr:row>
      <xdr:rowOff>0</xdr:rowOff>
    </xdr:to>
    <xdr:pic>
      <xdr:nvPicPr>
        <xdr:cNvPr id="579677"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2587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1171</xdr:row>
      <xdr:rowOff>0</xdr:rowOff>
    </xdr:from>
    <xdr:to>
      <xdr:col>1</xdr:col>
      <xdr:colOff>95250</xdr:colOff>
      <xdr:row>1171</xdr:row>
      <xdr:rowOff>0</xdr:rowOff>
    </xdr:to>
    <xdr:pic>
      <xdr:nvPicPr>
        <xdr:cNvPr id="579678"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3921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679" name="Picture 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680" name="Picture 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681" name="Picture 3"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682" name="Picture 4"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683" name="Picture 5"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684" name="Picture 6"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1259</xdr:row>
      <xdr:rowOff>0</xdr:rowOff>
    </xdr:from>
    <xdr:to>
      <xdr:col>1</xdr:col>
      <xdr:colOff>95250</xdr:colOff>
      <xdr:row>1259</xdr:row>
      <xdr:rowOff>0</xdr:rowOff>
    </xdr:to>
    <xdr:pic>
      <xdr:nvPicPr>
        <xdr:cNvPr id="579685" name="Picture 7"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73908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1264</xdr:row>
      <xdr:rowOff>0</xdr:rowOff>
    </xdr:from>
    <xdr:to>
      <xdr:col>1</xdr:col>
      <xdr:colOff>95250</xdr:colOff>
      <xdr:row>1264</xdr:row>
      <xdr:rowOff>0</xdr:rowOff>
    </xdr:to>
    <xdr:pic>
      <xdr:nvPicPr>
        <xdr:cNvPr id="579686" name="Picture 8"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3087243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687" name="Picture 9"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688" name="Picture 10"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1191</xdr:row>
      <xdr:rowOff>0</xdr:rowOff>
    </xdr:from>
    <xdr:to>
      <xdr:col>1</xdr:col>
      <xdr:colOff>95250</xdr:colOff>
      <xdr:row>1191</xdr:row>
      <xdr:rowOff>0</xdr:rowOff>
    </xdr:to>
    <xdr:pic>
      <xdr:nvPicPr>
        <xdr:cNvPr id="579689" name="Picture 11"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892552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1196</xdr:row>
      <xdr:rowOff>0</xdr:rowOff>
    </xdr:from>
    <xdr:to>
      <xdr:col>1</xdr:col>
      <xdr:colOff>95250</xdr:colOff>
      <xdr:row>1196</xdr:row>
      <xdr:rowOff>0</xdr:rowOff>
    </xdr:to>
    <xdr:pic>
      <xdr:nvPicPr>
        <xdr:cNvPr id="579690" name="Picture 12" descr="026 copy"/>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rot="-2289510">
          <a:off x="0" y="290588700"/>
          <a:ext cx="5238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ntt1\02.%20Nut%20cay%20Go\BVTC\05.%20Cons\KL\Bang%20khoi%20luong%20thicong%20nhip%20vo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huong\e\Thap%20KTDT%2039B\Cang%20sai%20gon\Thanh%20toan\QTCT%20Sua%20chua%20bai%20RT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in%208%2032bit%20VS7/Desktop/Documents%20and%20Settings/thuynb/My%20Documents/Downloads/Co%20Chien/check%20CO%20CHIEN%2030.8/Du%20toan_3/Vom%20Cong%203.6.2013/Du%20an%20Vom%20Cong1/Tach%20VL/001_Cauchinh_Cau%20DanFal%20Vam%20Cong%20(tach%20VLC%20-%20Cau%20dan)%20su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HUCNGUYEN/PHONG%20K.HOACH/CAU%20CO%20CHIEN(BOT+NS)/HD%20CAC%20LOAI/Gia%20thau%20Co%20Chien%20Von%20NS%20(13-12-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LE%20VAN%20CONG/SkyDrive/TUAN%20LOC%20CIC/Dau%20Thau/Users/Win%208%2032bit%20VS7/Desktop/Van%20Anh/DU%20TOAN/Cau%20Long%20Binh/Long%20Binh%20thang%208-2013%20theo%20van%20ban%20108-BQLDA7/Long%20Binh%20song%20ngu%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LE%20VAN%20CONG/SkyDrive/TUAN%20LOC%20CIC/Dau%20Thau/Users/Win%208%2032bit%20VS7/Desktop/Van%20Anh/DU%20TOAN/Cau%20Long%20Binh/Long%20Binh%20thang%208-2013%20theo%20van%20ban%20108-BQLDA7/My%20Hang/cong%20trinh/cao%20toc%20SG%20-%20trung%20luong/xu%20ly%20goi%20thau%207-43/thang%207/xu%20ly%20print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LE%20VAN%20CONG/SkyDrive/TUAN%20LOC%20CIC/Dau%20Thau/Users/Win%208%2032bit%20VS7/Desktop/Users/puma/Downloads/Long%20Binh-_t9-2013_dieu%20chinh%20tctc7.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hip vom dam I1000chi phan  (2)"/>
      <sheetName val="nhip vom dam I1000chi phan duoi"/>
      <sheetName val="nhip vom dam I1000 1"/>
      <sheetName val="nhip vom dam I1000"/>
      <sheetName val="So sanh kl"/>
      <sheetName val="d"/>
      <sheetName val="So sanh"/>
      <sheetName val="nhip vom dan thep"/>
      <sheetName val="Thong ke vat lieu co"/>
      <sheetName val="tru chong va xo"/>
      <sheetName val="Sheet1"/>
      <sheetName val="M0-T1"/>
      <sheetName val="T2-T3"/>
      <sheetName val="T3-T4"/>
      <sheetName val="T4-T5"/>
      <sheetName val="T7-T8"/>
      <sheetName val="T8-T9"/>
      <sheetName val="tru T1"/>
      <sheetName val="Tru T2"/>
      <sheetName val="Tru T3"/>
      <sheetName val="Tru T4"/>
      <sheetName val="Sheet2"/>
      <sheetName val="Sheet3"/>
      <sheetName val="Sheet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0">
          <cell r="J30">
            <v>14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THVATTU"/>
      <sheetName val="TKKPHI"/>
      <sheetName val="DUTOAN"/>
      <sheetName val="DMVT"/>
      <sheetName val="Tong hop thanh toan"/>
      <sheetName val="Bang thanh toan."/>
      <sheetName val="Bang phan tích"/>
      <sheetName val="Tong hop VT"/>
      <sheetName val="Ptich hoa don"/>
      <sheetName val="may,"/>
      <sheetName val="Hoa don,"/>
      <sheetName val="PTGTVLK"/>
      <sheetName val="GT Vl khac"/>
      <sheetName val="Van khuon va sat"/>
      <sheetName val="catdasatthep"/>
      <sheetName val="BTN"/>
      <sheetName val="May"/>
      <sheetName val="Hoa don"/>
      <sheetName val="Tong hop VT (2)"/>
      <sheetName val="Phan tich CT"/>
      <sheetName val="can doi"/>
      <sheetName val="da"/>
      <sheetName val="cat"/>
      <sheetName val="DG DUTOAN"/>
      <sheetName val="UBVG"/>
      <sheetName val="PrintDialog"/>
      <sheetName val="AboutDialog"/>
      <sheetName val="XL4Popp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TC (bo Can Tho)"/>
      <sheetName val="VTC (bo Can Tho) (2)"/>
      <sheetName val="VTC (bo Can Tho) (3)"/>
      <sheetName val="VTC (bo Dong Thap)"/>
      <sheetName val="VTC (bo Dong Thap) (2)"/>
      <sheetName val="VTC (bo Dong Thap) (3)"/>
      <sheetName val="Sheet1"/>
      <sheetName val="Sum"/>
      <sheetName val="Sum (2)"/>
      <sheetName val="General"/>
      <sheetName val="Serveyor "/>
      <sheetName val="Daywork"/>
      <sheetName val="Main Bridge"/>
      <sheetName val="Pile"/>
      <sheetName val="Approach Bridge"/>
      <sheetName val="YC sua cua Ms DIEP"/>
      <sheetName val="Approach Bridge (2)"/>
      <sheetName val="Girder and pile"/>
      <sheetName val="Process cost"/>
      <sheetName val="Price"/>
      <sheetName val="Sum En"/>
      <sheetName val="24.Quantity"/>
      <sheetName val="DAM_coc"/>
      <sheetName val="Mortar"/>
      <sheetName val="Materials"/>
      <sheetName val="Labor"/>
      <sheetName val="Equipment"/>
      <sheetName val="MayDT"/>
      <sheetName val="MayDT (2)"/>
      <sheetName val="Transport_"/>
      <sheetName val="Compaire"/>
      <sheetName val="Construction Item (VN)"/>
      <sheetName val="BOQ General Item (VN)"/>
      <sheetName val="Distance"/>
      <sheetName val="Input"/>
      <sheetName val="Pay"/>
      <sheetName val="Con"/>
      <sheetName val="LabCost1"/>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5">
          <cell r="L5" t="str">
            <v>Vietnamese</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2">
          <cell r="D2" t="str">
            <v xml:space="preserve">DỰ ÁN KẾT NỐI KHU VỰC TRUNG TÂM ĐỒNG BẰNG MÊKÔNG </v>
          </cell>
        </row>
        <row r="3">
          <cell r="D3" t="str">
            <v>DỰ ÁN XÂY DỰNG CẦU VÀM CỐNG</v>
          </cell>
        </row>
        <row r="5">
          <cell r="D5" t="str">
            <v xml:space="preserve">TỔNG HỢP KHỐI LƯỢNG PHÍA CẦN THƠ </v>
          </cell>
        </row>
        <row r="7">
          <cell r="B7" t="str">
            <v>NO.
STT</v>
          </cell>
          <cell r="C7" t="str">
            <v>NO.
STT</v>
          </cell>
          <cell r="D7" t="str">
            <v>Thành phần chi phí</v>
          </cell>
          <cell r="E7" t="str">
            <v>Thành phần chi phí</v>
          </cell>
          <cell r="F7" t="str">
            <v>UNIT</v>
          </cell>
          <cell r="G7" t="str">
            <v>ĐƠN VỊ</v>
          </cell>
          <cell r="H7" t="str">
            <v>QUANTITY/ KHỐI LƯỢNG</v>
          </cell>
          <cell r="I7" t="str">
            <v>QUANTITY/ KHỐI LƯỢNG</v>
          </cell>
          <cell r="J7" t="str">
            <v>TOTAL</v>
          </cell>
        </row>
        <row r="8">
          <cell r="H8" t="str">
            <v>ĐÔNG THÁP</v>
          </cell>
          <cell r="I8" t="str">
            <v>CẦN THƠ</v>
          </cell>
        </row>
        <row r="9">
          <cell r="D9" t="str">
            <v>1. MAIN BRIDGE</v>
          </cell>
          <cell r="E9" t="str">
            <v>1. PHẦN CẦU CHÍNH</v>
          </cell>
        </row>
        <row r="10">
          <cell r="D10" t="str">
            <v>I. SUPERSTRUCTURE</v>
          </cell>
          <cell r="E10" t="str">
            <v>I. KẾT CẤU PHẦN TRÊN</v>
          </cell>
        </row>
        <row r="11">
          <cell r="B11">
            <v>1</v>
          </cell>
          <cell r="C11">
            <v>1</v>
          </cell>
          <cell r="D11" t="str">
            <v>1. Steel Structure</v>
          </cell>
          <cell r="E11" t="str">
            <v>1. Kết cấu thép</v>
          </cell>
          <cell r="F11" t="str">
            <v>ton</v>
          </cell>
          <cell r="G11" t="str">
            <v>tấn</v>
          </cell>
          <cell r="H11">
            <v>6511.9579999999996</v>
          </cell>
          <cell r="I11">
            <v>6511.9579999999996</v>
          </cell>
          <cell r="J11">
            <v>6511.9579999999996</v>
          </cell>
        </row>
        <row r="12">
          <cell r="B12">
            <v>2</v>
          </cell>
          <cell r="C12">
            <v>2</v>
          </cell>
          <cell r="D12" t="str">
            <v>Manufacture of steel girder in Korea</v>
          </cell>
          <cell r="E12" t="str">
            <v>Chế tạo dầm thép tại Hàn Quốc</v>
          </cell>
          <cell r="F12" t="str">
            <v>ton</v>
          </cell>
          <cell r="G12" t="str">
            <v>tấn</v>
          </cell>
          <cell r="H12">
            <v>6511.9579999999996</v>
          </cell>
          <cell r="I12">
            <v>6511.9579999999996</v>
          </cell>
          <cell r="J12">
            <v>6511.9579999999996</v>
          </cell>
        </row>
        <row r="13">
          <cell r="B13">
            <v>3</v>
          </cell>
          <cell r="C13">
            <v>3</v>
          </cell>
          <cell r="D13" t="str">
            <v>Radiographic test (RT)</v>
          </cell>
          <cell r="E13" t="str">
            <v>Thử nghiệm bằng tia X(RT)</v>
          </cell>
          <cell r="F13" t="str">
            <v>Sheet</v>
          </cell>
          <cell r="G13" t="str">
            <v>tấm</v>
          </cell>
          <cell r="H13">
            <v>4646</v>
          </cell>
          <cell r="I13">
            <v>4646</v>
          </cell>
          <cell r="J13">
            <v>4646</v>
          </cell>
        </row>
        <row r="14">
          <cell r="B14">
            <v>4</v>
          </cell>
          <cell r="C14">
            <v>4</v>
          </cell>
          <cell r="D14" t="str">
            <v>Magnetic particle test(MT)</v>
          </cell>
          <cell r="E14" t="str">
            <v>Thử nghiệm phần tử từ tính(MT)</v>
          </cell>
          <cell r="F14" t="str">
            <v>m</v>
          </cell>
          <cell r="G14" t="str">
            <v>m</v>
          </cell>
          <cell r="H14">
            <v>17406</v>
          </cell>
          <cell r="I14">
            <v>17406</v>
          </cell>
          <cell r="J14">
            <v>17406</v>
          </cell>
        </row>
        <row r="15">
          <cell r="B15">
            <v>5</v>
          </cell>
          <cell r="C15">
            <v>5</v>
          </cell>
          <cell r="D15" t="str">
            <v>Ultrasonic flow detection test(UT)</v>
          </cell>
          <cell r="E15" t="str">
            <v>Thử nghiệm đo lưu lượng bằng siêu âm (UT)</v>
          </cell>
          <cell r="F15" t="str">
            <v>m</v>
          </cell>
          <cell r="G15" t="str">
            <v>m</v>
          </cell>
          <cell r="H15">
            <v>17978</v>
          </cell>
          <cell r="I15">
            <v>17978</v>
          </cell>
          <cell r="J15">
            <v>17978</v>
          </cell>
        </row>
        <row r="16">
          <cell r="B16">
            <v>6</v>
          </cell>
          <cell r="C16">
            <v>6</v>
          </cell>
          <cell r="D16" t="str">
            <v>Coating of Splice (shop coating)</v>
          </cell>
          <cell r="E16" t="str">
            <v>Lớp phủ bộ nối (tại xưởng)</v>
          </cell>
          <cell r="F16" t="str">
            <v>m²</v>
          </cell>
          <cell r="G16" t="str">
            <v>m²</v>
          </cell>
          <cell r="H16">
            <v>2503.9580000000001</v>
          </cell>
          <cell r="I16">
            <v>2503.9580000000001</v>
          </cell>
          <cell r="J16">
            <v>2503.9580000000001</v>
          </cell>
        </row>
        <row r="17">
          <cell r="B17">
            <v>7</v>
          </cell>
          <cell r="C17">
            <v>7</v>
          </cell>
          <cell r="D17" t="str">
            <v>Out-side Coating (shop coating)</v>
          </cell>
          <cell r="E17" t="str">
            <v>Lớp phủ ngoài (tại xưởng)</v>
          </cell>
          <cell r="F17" t="str">
            <v>m²</v>
          </cell>
          <cell r="G17" t="str">
            <v>m²</v>
          </cell>
          <cell r="H17">
            <v>55662.875999999997</v>
          </cell>
          <cell r="I17">
            <v>55662.875999999997</v>
          </cell>
          <cell r="J17">
            <v>55662.875999999997</v>
          </cell>
        </row>
        <row r="18">
          <cell r="B18">
            <v>8</v>
          </cell>
          <cell r="C18">
            <v>8</v>
          </cell>
          <cell r="D18" t="str">
            <v>Out-side Coating on upper (shop coating)</v>
          </cell>
          <cell r="E18" t="str">
            <v>Lớp phủ ngoài phần cánh trên (tại xưởng)</v>
          </cell>
          <cell r="F18" t="str">
            <v>m²</v>
          </cell>
          <cell r="G18" t="str">
            <v>m²</v>
          </cell>
          <cell r="H18">
            <v>3670.364</v>
          </cell>
          <cell r="I18">
            <v>3670.364</v>
          </cell>
          <cell r="J18">
            <v>3670.364</v>
          </cell>
        </row>
        <row r="19">
          <cell r="B19">
            <v>9</v>
          </cell>
          <cell r="C19">
            <v>9</v>
          </cell>
          <cell r="D19" t="str">
            <v>Transportation of steel girder from Korea to site</v>
          </cell>
          <cell r="E19" t="str">
            <v>Vận chuyển dầm thép từ Hàn Quốc tới công trường</v>
          </cell>
          <cell r="F19" t="str">
            <v>ton</v>
          </cell>
          <cell r="G19" t="str">
            <v>tấn</v>
          </cell>
          <cell r="H19">
            <v>6511.9579999999996</v>
          </cell>
          <cell r="I19">
            <v>6511.9579999999996</v>
          </cell>
          <cell r="J19">
            <v>6511.9579999999996</v>
          </cell>
        </row>
        <row r="20">
          <cell r="B20">
            <v>10</v>
          </cell>
          <cell r="C20">
            <v>10</v>
          </cell>
          <cell r="D20" t="str">
            <v>Painting (on site)</v>
          </cell>
          <cell r="E20" t="str">
            <v>Sơn phủ (tại hiện trường)</v>
          </cell>
          <cell r="F20" t="str">
            <v>m²</v>
          </cell>
          <cell r="G20" t="str">
            <v>m²</v>
          </cell>
          <cell r="H20">
            <v>55662.875999999997</v>
          </cell>
          <cell r="I20">
            <v>55662.875999999997</v>
          </cell>
          <cell r="J20">
            <v>55662.875999999997</v>
          </cell>
        </row>
        <row r="21">
          <cell r="B21">
            <v>11</v>
          </cell>
          <cell r="C21">
            <v>11</v>
          </cell>
          <cell r="D21" t="str">
            <v>Painting on bolt and splice (on site)</v>
          </cell>
          <cell r="E21" t="str">
            <v>Sơn phủ lên bu-lông và mối liên kết (tại hiện trường)</v>
          </cell>
          <cell r="F21" t="str">
            <v>m²</v>
          </cell>
          <cell r="G21" t="str">
            <v>m²</v>
          </cell>
          <cell r="H21">
            <v>1203.663</v>
          </cell>
          <cell r="I21">
            <v>1203.663</v>
          </cell>
          <cell r="J21">
            <v>1203.663</v>
          </cell>
        </row>
        <row r="22">
          <cell r="B22">
            <v>12</v>
          </cell>
          <cell r="C22">
            <v>12</v>
          </cell>
          <cell r="D22" t="str">
            <v>Erection of steel girder on Pylon</v>
          </cell>
          <cell r="E22" t="str">
            <v>Thi công dầm thép tại trụ tháp</v>
          </cell>
          <cell r="F22" t="str">
            <v>set</v>
          </cell>
          <cell r="G22" t="str">
            <v>đoạn</v>
          </cell>
          <cell r="H22">
            <v>4</v>
          </cell>
          <cell r="I22">
            <v>4</v>
          </cell>
          <cell r="J22">
            <v>4</v>
          </cell>
        </row>
        <row r="23">
          <cell r="B23">
            <v>13</v>
          </cell>
          <cell r="C23">
            <v>13</v>
          </cell>
          <cell r="D23" t="str">
            <v>Dynamictest construction steel girder and floor slab at Pylon</v>
          </cell>
          <cell r="E23" t="str">
            <v>Thử tải thi công dầm thép và bản mặt cầu tại trụ tháp</v>
          </cell>
          <cell r="F23" t="str">
            <v>ton</v>
          </cell>
          <cell r="G23" t="str">
            <v>tấn</v>
          </cell>
          <cell r="H23">
            <v>1825.44</v>
          </cell>
          <cell r="I23">
            <v>1825.44</v>
          </cell>
          <cell r="J23">
            <v>1825.44</v>
          </cell>
        </row>
        <row r="24">
          <cell r="B24">
            <v>14</v>
          </cell>
          <cell r="C24">
            <v>14</v>
          </cell>
          <cell r="D24" t="str">
            <v>Fabrication for bracket system on Pylon</v>
          </cell>
          <cell r="E24" t="str">
            <v>Gia công giá đỡ tạm tại trụ tháp</v>
          </cell>
          <cell r="F24" t="str">
            <v>ton</v>
          </cell>
          <cell r="G24" t="str">
            <v>tấn</v>
          </cell>
          <cell r="H24">
            <v>140.91078969075849</v>
          </cell>
          <cell r="I24">
            <v>140.91078969075849</v>
          </cell>
          <cell r="J24">
            <v>140.91078969075849</v>
          </cell>
        </row>
        <row r="25">
          <cell r="B25">
            <v>15</v>
          </cell>
          <cell r="C25">
            <v>15</v>
          </cell>
          <cell r="D25" t="str">
            <v>Install and Remove bracket system on Pylon</v>
          </cell>
          <cell r="E25" t="str">
            <v>Lắp dựng và tháo dỡ giá đỡ dưới nước</v>
          </cell>
          <cell r="F25" t="str">
            <v>ton</v>
          </cell>
          <cell r="G25" t="str">
            <v>tấn</v>
          </cell>
          <cell r="H25">
            <v>140.91078969075849</v>
          </cell>
          <cell r="I25">
            <v>140.91078969075849</v>
          </cell>
          <cell r="J25">
            <v>140.91078969075849</v>
          </cell>
        </row>
        <row r="26">
          <cell r="B26">
            <v>16</v>
          </cell>
          <cell r="C26">
            <v>16</v>
          </cell>
          <cell r="D26" t="str">
            <v xml:space="preserve">Erection of steel girder on anchor Pier </v>
          </cell>
          <cell r="E26" t="str">
            <v>Thi công dầm thép tại trụ neo</v>
          </cell>
          <cell r="F26" t="str">
            <v>set</v>
          </cell>
          <cell r="G26" t="str">
            <v>đoạn</v>
          </cell>
          <cell r="H26">
            <v>2</v>
          </cell>
          <cell r="I26">
            <v>2</v>
          </cell>
          <cell r="J26">
            <v>2</v>
          </cell>
        </row>
        <row r="27">
          <cell r="B27">
            <v>17</v>
          </cell>
          <cell r="C27">
            <v>17</v>
          </cell>
          <cell r="D27" t="str">
            <v>Dynamictest construction steel girder and floor slab at anchor pier</v>
          </cell>
          <cell r="E27" t="str">
            <v>Thử tải thi công dầm thép và bản mặt cầu tại trụ neo</v>
          </cell>
          <cell r="F27" t="str">
            <v>ton</v>
          </cell>
          <cell r="G27" t="str">
            <v>tấn</v>
          </cell>
          <cell r="H27">
            <v>1553.5920000000001</v>
          </cell>
          <cell r="I27">
            <v>1553.5920000000001</v>
          </cell>
          <cell r="J27">
            <v>1553.5920000000001</v>
          </cell>
        </row>
        <row r="28">
          <cell r="B28">
            <v>18</v>
          </cell>
          <cell r="C28">
            <v>18</v>
          </cell>
          <cell r="D28" t="str">
            <v>Fabrication for bracket system on anchor Pier</v>
          </cell>
          <cell r="E28" t="str">
            <v>Gia công giá đỡ tại trụ neo</v>
          </cell>
          <cell r="F28" t="str">
            <v>ton</v>
          </cell>
          <cell r="G28" t="str">
            <v>tấn</v>
          </cell>
          <cell r="H28">
            <v>44.79697978456268</v>
          </cell>
          <cell r="I28">
            <v>44.79697978456268</v>
          </cell>
          <cell r="J28">
            <v>44.79697978456268</v>
          </cell>
        </row>
        <row r="29">
          <cell r="B29">
            <v>19</v>
          </cell>
          <cell r="C29">
            <v>19</v>
          </cell>
          <cell r="D29" t="str">
            <v>Install &amp; Remove bracket system</v>
          </cell>
          <cell r="E29" t="str">
            <v>Lắp dựng và tháo dỡ giá đỡ dưới nước</v>
          </cell>
          <cell r="F29" t="str">
            <v>ton</v>
          </cell>
          <cell r="G29" t="str">
            <v>tấn</v>
          </cell>
          <cell r="H29">
            <v>44.79697978456268</v>
          </cell>
          <cell r="I29">
            <v>44.79697978456268</v>
          </cell>
          <cell r="J29">
            <v>44.79697978456268</v>
          </cell>
        </row>
        <row r="30">
          <cell r="B30">
            <v>20</v>
          </cell>
          <cell r="C30">
            <v>20</v>
          </cell>
          <cell r="D30" t="str">
            <v>Transportation and return crane 550T and Barge 2650T</v>
          </cell>
          <cell r="E30" t="str">
            <v>Chuyển đến và đi cẩu 550T và sà lan 2650T</v>
          </cell>
          <cell r="F30" t="str">
            <v>Time</v>
          </cell>
          <cell r="G30" t="str">
            <v>lần</v>
          </cell>
          <cell r="H30">
            <v>1</v>
          </cell>
          <cell r="I30">
            <v>1</v>
          </cell>
          <cell r="J30">
            <v>1</v>
          </cell>
        </row>
        <row r="31">
          <cell r="B31">
            <v>21</v>
          </cell>
          <cell r="C31">
            <v>21</v>
          </cell>
          <cell r="D31" t="str">
            <v>Rent of Crane 550T and Barge 2650T to site</v>
          </cell>
          <cell r="E31" t="str">
            <v>Thuê cẩu 550T và sà lan 2650T</v>
          </cell>
          <cell r="F31" t="str">
            <v>Month</v>
          </cell>
          <cell r="G31" t="str">
            <v>Tháng</v>
          </cell>
          <cell r="H31">
            <v>1.6</v>
          </cell>
          <cell r="I31">
            <v>1.6</v>
          </cell>
          <cell r="J31">
            <v>1.6</v>
          </cell>
        </row>
        <row r="32">
          <cell r="B32">
            <v>22</v>
          </cell>
          <cell r="C32">
            <v>22</v>
          </cell>
          <cell r="D32" t="str">
            <v>Erection of steel girder of typical set part</v>
          </cell>
          <cell r="E32" t="str">
            <v>Thi công dầm thép tại đoạn thông thường</v>
          </cell>
          <cell r="F32" t="str">
            <v>set</v>
          </cell>
          <cell r="G32" t="str">
            <v>đoạn</v>
          </cell>
          <cell r="H32">
            <v>66</v>
          </cell>
          <cell r="I32">
            <v>66</v>
          </cell>
          <cell r="J32">
            <v>66</v>
          </cell>
        </row>
        <row r="33">
          <cell r="B33">
            <v>23</v>
          </cell>
          <cell r="C33">
            <v>23</v>
          </cell>
          <cell r="D33" t="str">
            <v>Erection of steel girder of Keyseg part</v>
          </cell>
          <cell r="E33" t="str">
            <v>Thi công dầm thép tại đoạn hợp long</v>
          </cell>
          <cell r="F33" t="str">
            <v>set</v>
          </cell>
          <cell r="G33" t="str">
            <v>đoạn</v>
          </cell>
          <cell r="H33">
            <v>1</v>
          </cell>
          <cell r="I33">
            <v>1</v>
          </cell>
          <cell r="J33">
            <v>1</v>
          </cell>
        </row>
        <row r="34">
          <cell r="B34">
            <v>24</v>
          </cell>
          <cell r="C34">
            <v>24</v>
          </cell>
          <cell r="D34" t="str">
            <v>Derrick Crane 210T</v>
          </cell>
          <cell r="E34" t="str">
            <v>Chi phí cẩu derrick 210T</v>
          </cell>
          <cell r="F34" t="str">
            <v>Set</v>
          </cell>
          <cell r="G34" t="str">
            <v>Cái</v>
          </cell>
          <cell r="H34">
            <v>4</v>
          </cell>
          <cell r="I34">
            <v>4</v>
          </cell>
          <cell r="J34">
            <v>4</v>
          </cell>
        </row>
        <row r="35">
          <cell r="B35">
            <v>25</v>
          </cell>
          <cell r="C35">
            <v>25</v>
          </cell>
          <cell r="D35" t="str">
            <v>Epoxy</v>
          </cell>
          <cell r="E35" t="str">
            <v>Keo Epoxy</v>
          </cell>
          <cell r="F35" t="str">
            <v>m2</v>
          </cell>
          <cell r="G35" t="str">
            <v>m2</v>
          </cell>
          <cell r="H35">
            <v>155.95999999999998</v>
          </cell>
          <cell r="I35">
            <v>155.95999999999998</v>
          </cell>
          <cell r="J35">
            <v>155.95999999999998</v>
          </cell>
        </row>
        <row r="36">
          <cell r="B36">
            <v>26</v>
          </cell>
          <cell r="C36">
            <v>26</v>
          </cell>
          <cell r="D36" t="str">
            <v>Supplying Bolts for steel girder</v>
          </cell>
          <cell r="E36" t="str">
            <v>Cung cấp bu lông dầm thép</v>
          </cell>
          <cell r="F36" t="str">
            <v>ton</v>
          </cell>
          <cell r="G36" t="str">
            <v>tấn</v>
          </cell>
          <cell r="H36">
            <v>153.30600000000001</v>
          </cell>
          <cell r="I36">
            <v>153.30600000000001</v>
          </cell>
          <cell r="J36">
            <v>153.30600000000001</v>
          </cell>
        </row>
        <row r="37">
          <cell r="B37">
            <v>27</v>
          </cell>
          <cell r="C37">
            <v>27</v>
          </cell>
          <cell r="D37" t="str">
            <v>Scaffolding system for Screwing Bolts</v>
          </cell>
          <cell r="E37" t="str">
            <v>Hệ đà giáo thi công bu lông</v>
          </cell>
          <cell r="F37" t="str">
            <v>ton</v>
          </cell>
          <cell r="G37" t="str">
            <v>tấn</v>
          </cell>
          <cell r="H37">
            <v>15.866926400000001</v>
          </cell>
          <cell r="I37">
            <v>15.866926400000001</v>
          </cell>
          <cell r="J37">
            <v>15.866926400000001</v>
          </cell>
        </row>
        <row r="38">
          <cell r="B38">
            <v>28</v>
          </cell>
          <cell r="C38">
            <v>28</v>
          </cell>
          <cell r="D38" t="str">
            <v>Install &amp; Remove Scaffolding system</v>
          </cell>
          <cell r="E38" t="str">
            <v>Lắp dựng và tháo dỡ giá đỡ dưới nước</v>
          </cell>
          <cell r="F38" t="str">
            <v>ton</v>
          </cell>
          <cell r="G38" t="str">
            <v>tấn</v>
          </cell>
          <cell r="H38">
            <v>15.866926400000001</v>
          </cell>
          <cell r="I38">
            <v>15.866926400000001</v>
          </cell>
          <cell r="J38">
            <v>15.866926400000001</v>
          </cell>
        </row>
        <row r="39">
          <cell r="B39">
            <v>29</v>
          </cell>
          <cell r="D39" t="str">
            <v>2. Precast Deck Slab</v>
          </cell>
          <cell r="E39" t="str">
            <v>2. Bản mặt cầu đúc sẵn</v>
          </cell>
          <cell r="J39">
            <v>0</v>
          </cell>
        </row>
        <row r="40">
          <cell r="B40">
            <v>30</v>
          </cell>
          <cell r="C40">
            <v>1</v>
          </cell>
          <cell r="D40" t="str">
            <v>Concrete C50 of Precast Deck slap</v>
          </cell>
          <cell r="E40" t="str">
            <v>Bê tông C50 cho bản mặt cầu đúc sẵn</v>
          </cell>
          <cell r="F40" t="str">
            <v>m³</v>
          </cell>
          <cell r="G40" t="str">
            <v>m³</v>
          </cell>
          <cell r="H40">
            <v>4645.8720000000003</v>
          </cell>
          <cell r="I40">
            <v>4645.8720000000003</v>
          </cell>
          <cell r="J40">
            <v>4645.8720000000003</v>
          </cell>
        </row>
        <row r="41">
          <cell r="B41">
            <v>31</v>
          </cell>
          <cell r="C41">
            <v>2</v>
          </cell>
          <cell r="D41" t="str">
            <v>Concrete C50 precast deck panel</v>
          </cell>
          <cell r="E41" t="str">
            <v>Bê tông C50 cho bản mặt cầu đúc sẵn</v>
          </cell>
          <cell r="F41" t="str">
            <v>m³</v>
          </cell>
          <cell r="G41" t="str">
            <v>m³</v>
          </cell>
          <cell r="H41">
            <v>4645.8720000000003</v>
          </cell>
          <cell r="I41">
            <v>4645.8720000000003</v>
          </cell>
          <cell r="J41">
            <v>4645.8720000000003</v>
          </cell>
        </row>
        <row r="42">
          <cell r="B42">
            <v>32</v>
          </cell>
          <cell r="C42">
            <v>3</v>
          </cell>
          <cell r="D42" t="str">
            <v>Fabricate ready 50 m³/h mixed concrete</v>
          </cell>
          <cell r="E42" t="str">
            <v>Sản xuất vữa bê tông trạm trộn 50m³/h</v>
          </cell>
          <cell r="F42" t="str">
            <v>m³</v>
          </cell>
          <cell r="G42" t="str">
            <v>m³</v>
          </cell>
          <cell r="H42">
            <v>4715.5600800000002</v>
          </cell>
          <cell r="I42">
            <v>4715.5600800000002</v>
          </cell>
          <cell r="J42">
            <v>4715.5600800000002</v>
          </cell>
        </row>
        <row r="43">
          <cell r="B43">
            <v>33</v>
          </cell>
          <cell r="C43">
            <v>4</v>
          </cell>
          <cell r="D43" t="str">
            <v>Transport ready mixed concrete distance 0,5km</v>
          </cell>
          <cell r="E43" t="str">
            <v>Vận chuyển bê tông cự ly 0,5km</v>
          </cell>
          <cell r="F43" t="str">
            <v>m³</v>
          </cell>
          <cell r="G43" t="str">
            <v>m³</v>
          </cell>
          <cell r="H43">
            <v>4715.5600800000002</v>
          </cell>
          <cell r="I43">
            <v>4715.5600800000002</v>
          </cell>
          <cell r="J43">
            <v>4715.5600800000002</v>
          </cell>
        </row>
        <row r="44">
          <cell r="B44">
            <v>34</v>
          </cell>
          <cell r="C44">
            <v>5</v>
          </cell>
          <cell r="D44" t="str">
            <v>Formwork for precast structure</v>
          </cell>
          <cell r="E44" t="str">
            <v>Ván khuôn tấm bê tông đúc sẵn</v>
          </cell>
          <cell r="F44" t="str">
            <v>m²</v>
          </cell>
          <cell r="G44" t="str">
            <v>m²</v>
          </cell>
          <cell r="H44">
            <v>3500</v>
          </cell>
          <cell r="I44">
            <v>3500</v>
          </cell>
          <cell r="J44">
            <v>3500</v>
          </cell>
        </row>
        <row r="45">
          <cell r="B45">
            <v>35</v>
          </cell>
          <cell r="C45">
            <v>6</v>
          </cell>
          <cell r="D45" t="str">
            <v>Rebar for precast Ф ≤ 10</v>
          </cell>
          <cell r="E45" t="str">
            <v>Cốt thép đúc sẵn, Ф ≤ 10</v>
          </cell>
          <cell r="F45" t="str">
            <v>ton</v>
          </cell>
          <cell r="G45" t="str">
            <v>tấn</v>
          </cell>
          <cell r="H45">
            <v>26.696000000000002</v>
          </cell>
          <cell r="I45">
            <v>26.696000000000002</v>
          </cell>
          <cell r="J45">
            <v>26.696000000000002</v>
          </cell>
        </row>
        <row r="46">
          <cell r="B46">
            <v>36</v>
          </cell>
          <cell r="C46">
            <v>7</v>
          </cell>
          <cell r="D46" t="str">
            <v>Rebar for precast Ф &gt; 10</v>
          </cell>
          <cell r="E46" t="str">
            <v>Cốt thép đúc sẵn, Ф &gt; 10</v>
          </cell>
          <cell r="F46" t="str">
            <v>ton</v>
          </cell>
          <cell r="G46" t="str">
            <v>tấn</v>
          </cell>
          <cell r="H46">
            <v>1500.3150000000001</v>
          </cell>
          <cell r="I46">
            <v>1500.3150000000001</v>
          </cell>
          <cell r="J46">
            <v>1500.3150000000001</v>
          </cell>
        </row>
        <row r="47">
          <cell r="B47">
            <v>37</v>
          </cell>
          <cell r="C47">
            <v>8</v>
          </cell>
          <cell r="D47" t="str">
            <v>Transport precast deck panel to the site</v>
          </cell>
          <cell r="E47" t="str">
            <v>Chuyển bản mặt cầu đúc sẵn ra hiện trường</v>
          </cell>
          <cell r="F47" t="str">
            <v xml:space="preserve">unit </v>
          </cell>
          <cell r="G47" t="str">
            <v>tấm</v>
          </cell>
          <cell r="H47">
            <v>404</v>
          </cell>
          <cell r="I47">
            <v>404</v>
          </cell>
          <cell r="J47">
            <v>404</v>
          </cell>
        </row>
        <row r="48">
          <cell r="B48">
            <v>38</v>
          </cell>
          <cell r="C48">
            <v>9</v>
          </cell>
          <cell r="D48" t="str">
            <v>Installation of precast deck panel</v>
          </cell>
          <cell r="E48" t="str">
            <v>Lắp bản mặt cầu đúc sẵn</v>
          </cell>
          <cell r="F48" t="str">
            <v xml:space="preserve">unit </v>
          </cell>
          <cell r="G48" t="str">
            <v>tấm</v>
          </cell>
          <cell r="H48">
            <v>404</v>
          </cell>
          <cell r="I48">
            <v>404</v>
          </cell>
          <cell r="J48">
            <v>404</v>
          </cell>
        </row>
        <row r="49">
          <cell r="B49">
            <v>39</v>
          </cell>
          <cell r="C49">
            <v>10</v>
          </cell>
          <cell r="D49" t="str">
            <v xml:space="preserve"> Installation of neoprene 30x50</v>
          </cell>
          <cell r="E49" t="str">
            <v>Lắp đệm cao su tổng hợp 30x50</v>
          </cell>
          <cell r="F49" t="str">
            <v>m</v>
          </cell>
          <cell r="G49" t="str">
            <v>m</v>
          </cell>
          <cell r="H49">
            <v>3500</v>
          </cell>
          <cell r="I49">
            <v>3500</v>
          </cell>
          <cell r="J49">
            <v>3500</v>
          </cell>
        </row>
        <row r="50">
          <cell r="B50">
            <v>40</v>
          </cell>
          <cell r="C50">
            <v>11</v>
          </cell>
          <cell r="D50" t="str">
            <v>3. Casting CIP Deck Slab</v>
          </cell>
          <cell r="E50" t="str">
            <v>3. Bản mặt cầu đổ tại chỗ</v>
          </cell>
          <cell r="J50">
            <v>0</v>
          </cell>
        </row>
        <row r="51">
          <cell r="B51">
            <v>41</v>
          </cell>
          <cell r="C51">
            <v>12</v>
          </cell>
          <cell r="D51" t="str">
            <v>Casting concrete C50 of  CIP deck slab</v>
          </cell>
          <cell r="E51" t="str">
            <v>Đổ bê tông C50 cho bản mặt cầu đổ tại chỗ</v>
          </cell>
          <cell r="F51" t="str">
            <v>m³</v>
          </cell>
          <cell r="G51" t="str">
            <v>m³</v>
          </cell>
          <cell r="H51">
            <v>646.80600000000004</v>
          </cell>
          <cell r="I51">
            <v>646.80600000000004</v>
          </cell>
          <cell r="J51">
            <v>646.80600000000004</v>
          </cell>
        </row>
        <row r="52">
          <cell r="B52">
            <v>42</v>
          </cell>
          <cell r="C52">
            <v>13</v>
          </cell>
          <cell r="D52" t="str">
            <v>Casting concrete C50 of CIP deck slab</v>
          </cell>
          <cell r="E52" t="str">
            <v>Đổ bê tông C50 cho bản mặt cầu đổ tại chỗ</v>
          </cell>
          <cell r="F52" t="str">
            <v>m³</v>
          </cell>
          <cell r="G52" t="str">
            <v>m³</v>
          </cell>
          <cell r="H52">
            <v>646.80600000000004</v>
          </cell>
          <cell r="I52">
            <v>646.80600000000004</v>
          </cell>
          <cell r="J52">
            <v>646.80600000000004</v>
          </cell>
        </row>
        <row r="53">
          <cell r="B53">
            <v>43</v>
          </cell>
          <cell r="C53">
            <v>14</v>
          </cell>
          <cell r="D53" t="str">
            <v>Manufacture concrete by mixing plant 50m³/h</v>
          </cell>
          <cell r="E53" t="str">
            <v>Sản xuât bê tông bằng trạm trộn 50m³/h</v>
          </cell>
          <cell r="F53" t="str">
            <v>m³</v>
          </cell>
          <cell r="G53" t="str">
            <v>m³</v>
          </cell>
          <cell r="H53">
            <v>662.97614999999996</v>
          </cell>
          <cell r="I53">
            <v>662.97614999999996</v>
          </cell>
          <cell r="J53">
            <v>662.97614999999996</v>
          </cell>
        </row>
        <row r="54">
          <cell r="B54">
            <v>44</v>
          </cell>
          <cell r="C54">
            <v>15</v>
          </cell>
          <cell r="D54" t="str">
            <v>Transport ready mixed concrete distance 0.5km</v>
          </cell>
          <cell r="E54" t="str">
            <v>Vận chuyển bê tông cự ly 0.5km</v>
          </cell>
          <cell r="F54" t="str">
            <v>m³</v>
          </cell>
          <cell r="G54" t="str">
            <v>m³</v>
          </cell>
          <cell r="H54">
            <v>662.97614999999996</v>
          </cell>
          <cell r="I54">
            <v>662.97614999999996</v>
          </cell>
          <cell r="J54">
            <v>662.97614999999996</v>
          </cell>
        </row>
        <row r="55">
          <cell r="B55">
            <v>45</v>
          </cell>
          <cell r="C55">
            <v>16</v>
          </cell>
          <cell r="D55" t="str">
            <v>Formwork</v>
          </cell>
          <cell r="E55" t="str">
            <v>Ván khuôn</v>
          </cell>
          <cell r="F55" t="str">
            <v>m²</v>
          </cell>
          <cell r="G55" t="str">
            <v>m²</v>
          </cell>
          <cell r="H55">
            <v>2106.3119999999999</v>
          </cell>
          <cell r="I55">
            <v>2106.3119999999999</v>
          </cell>
          <cell r="J55">
            <v>2106.3119999999999</v>
          </cell>
        </row>
        <row r="56">
          <cell r="B56">
            <v>46</v>
          </cell>
          <cell r="C56">
            <v>17</v>
          </cell>
          <cell r="D56" t="str">
            <v>Fabrication for scaffolding system on CIP deck slab</v>
          </cell>
          <cell r="E56" t="str">
            <v>Gia công hệ thống giàn giáo bản mặt cầu đổ tại chỗ</v>
          </cell>
          <cell r="F56" t="str">
            <v>ton</v>
          </cell>
          <cell r="G56" t="str">
            <v>tấn</v>
          </cell>
          <cell r="H56">
            <v>50.529455754916789</v>
          </cell>
          <cell r="I56">
            <v>50.529455754916789</v>
          </cell>
          <cell r="J56">
            <v>50.529455754916789</v>
          </cell>
        </row>
        <row r="57">
          <cell r="B57">
            <v>47</v>
          </cell>
          <cell r="C57">
            <v>18</v>
          </cell>
          <cell r="D57" t="str">
            <v>Install and Remove scaffolding system</v>
          </cell>
          <cell r="E57" t="str">
            <v xml:space="preserve">Lắp dựng và tháo dỡ hệ thống giàn giáo </v>
          </cell>
          <cell r="F57" t="str">
            <v>ton</v>
          </cell>
          <cell r="G57" t="str">
            <v>tấn</v>
          </cell>
          <cell r="H57">
            <v>50.529455754916789</v>
          </cell>
          <cell r="I57">
            <v>50.529455754916789</v>
          </cell>
          <cell r="J57">
            <v>50.529455754916789</v>
          </cell>
        </row>
        <row r="58">
          <cell r="B58">
            <v>48</v>
          </cell>
          <cell r="C58">
            <v>19</v>
          </cell>
          <cell r="D58" t="str">
            <v>Rebar for CIP deck slab Ф ≤ 10</v>
          </cell>
          <cell r="E58" t="str">
            <v>Cốt thép bản mặt cầu đổ tại chỗ, Ф ≤ 10</v>
          </cell>
          <cell r="F58" t="str">
            <v>ton</v>
          </cell>
          <cell r="G58" t="str">
            <v>tấn</v>
          </cell>
          <cell r="H58">
            <v>2.3820000000000001</v>
          </cell>
          <cell r="I58">
            <v>2.3820000000000001</v>
          </cell>
          <cell r="J58">
            <v>2.3820000000000001</v>
          </cell>
        </row>
        <row r="59">
          <cell r="B59">
            <v>49</v>
          </cell>
          <cell r="C59">
            <v>20</v>
          </cell>
          <cell r="D59" t="str">
            <v>Rebar for CIP deck slab Ф &gt; 10</v>
          </cell>
          <cell r="E59" t="str">
            <v>Cốt thép mặt cầu đổ tại chỗ, Ф &gt; 10</v>
          </cell>
          <cell r="F59" t="str">
            <v>ton</v>
          </cell>
          <cell r="G59" t="str">
            <v>tấn</v>
          </cell>
          <cell r="H59">
            <v>145.43700000000001</v>
          </cell>
          <cell r="I59">
            <v>145.43700000000001</v>
          </cell>
          <cell r="J59">
            <v>145.43700000000001</v>
          </cell>
        </row>
        <row r="60">
          <cell r="B60">
            <v>50</v>
          </cell>
          <cell r="C60">
            <v>21</v>
          </cell>
          <cell r="D60" t="str">
            <v>Rebar for precast Ф &gt; 10</v>
          </cell>
          <cell r="E60" t="str">
            <v>Cốt thép mặt cầu đổ tại chỗ, Ф &gt; 10</v>
          </cell>
          <cell r="F60" t="str">
            <v>ton</v>
          </cell>
          <cell r="G60" t="str">
            <v>tấn</v>
          </cell>
          <cell r="H60">
            <v>145.43700000000001</v>
          </cell>
          <cell r="I60">
            <v>145.43700000000001</v>
          </cell>
          <cell r="J60">
            <v>145.43700000000001</v>
          </cell>
        </row>
        <row r="61">
          <cell r="B61">
            <v>51</v>
          </cell>
          <cell r="C61">
            <v>22</v>
          </cell>
          <cell r="D61" t="str">
            <v>Coupler D18</v>
          </cell>
          <cell r="E61" t="str">
            <v>Bộ nối cốt thép D18</v>
          </cell>
          <cell r="F61" t="str">
            <v>bộ</v>
          </cell>
          <cell r="G61" t="str">
            <v>set</v>
          </cell>
          <cell r="H61">
            <v>24</v>
          </cell>
          <cell r="I61">
            <v>24</v>
          </cell>
          <cell r="J61">
            <v>24</v>
          </cell>
        </row>
        <row r="62">
          <cell r="B62">
            <v>52</v>
          </cell>
          <cell r="C62">
            <v>23</v>
          </cell>
          <cell r="D62" t="str">
            <v>Coupler D22</v>
          </cell>
          <cell r="E62" t="str">
            <v>Bộ nối cốt thép D22</v>
          </cell>
          <cell r="F62" t="str">
            <v>bộ</v>
          </cell>
          <cell r="G62" t="str">
            <v>set</v>
          </cell>
          <cell r="H62">
            <v>20</v>
          </cell>
          <cell r="I62">
            <v>20</v>
          </cell>
          <cell r="J62">
            <v>20</v>
          </cell>
        </row>
        <row r="63">
          <cell r="B63">
            <v>53</v>
          </cell>
          <cell r="C63">
            <v>24</v>
          </cell>
          <cell r="D63" t="str">
            <v>Coupler D22-20</v>
          </cell>
          <cell r="E63" t="str">
            <v>Bộ nối cốt thép D22-20</v>
          </cell>
          <cell r="F63" t="str">
            <v>bộ</v>
          </cell>
          <cell r="G63" t="str">
            <v>set</v>
          </cell>
          <cell r="H63">
            <v>20</v>
          </cell>
          <cell r="I63">
            <v>20</v>
          </cell>
          <cell r="J63">
            <v>20</v>
          </cell>
        </row>
        <row r="64">
          <cell r="B64">
            <v>54</v>
          </cell>
          <cell r="C64">
            <v>25</v>
          </cell>
          <cell r="D64" t="str">
            <v>Coupler D25-18</v>
          </cell>
          <cell r="E64" t="str">
            <v>Bộ nối cốt thép D25-18</v>
          </cell>
          <cell r="F64" t="str">
            <v>bộ</v>
          </cell>
          <cell r="G64" t="str">
            <v>set</v>
          </cell>
          <cell r="H64">
            <v>20</v>
          </cell>
          <cell r="I64">
            <v>20</v>
          </cell>
          <cell r="J64">
            <v>20</v>
          </cell>
        </row>
        <row r="65">
          <cell r="B65">
            <v>55</v>
          </cell>
          <cell r="C65">
            <v>26</v>
          </cell>
          <cell r="D65" t="str">
            <v>Epoxy</v>
          </cell>
          <cell r="E65" t="str">
            <v>Keo Epoxy</v>
          </cell>
          <cell r="F65" t="str">
            <v>m²</v>
          </cell>
          <cell r="G65" t="str">
            <v>m²</v>
          </cell>
          <cell r="H65">
            <v>3321.4479999999999</v>
          </cell>
          <cell r="I65">
            <v>3321.4479999999999</v>
          </cell>
          <cell r="J65">
            <v>3321.4479999999999</v>
          </cell>
        </row>
        <row r="66">
          <cell r="B66">
            <v>56</v>
          </cell>
          <cell r="D66" t="str">
            <v>4. Concrete C50 of CIP gaps deck Slab</v>
          </cell>
          <cell r="E66" t="str">
            <v>4. Bê tông C50 cho khe nối bản mặt cầu đổ tại chỗ</v>
          </cell>
          <cell r="J66">
            <v>0</v>
          </cell>
        </row>
        <row r="67">
          <cell r="B67">
            <v>57</v>
          </cell>
          <cell r="C67">
            <v>1</v>
          </cell>
          <cell r="D67" t="str">
            <v>Concrete C50 (Nonshrinking) of CIP gaps deck slab</v>
          </cell>
          <cell r="E67" t="str">
            <v>Bê tông C50 (không co ngót) cho khe nối bản mặt cầu đổ tại chỗ</v>
          </cell>
          <cell r="F67" t="str">
            <v>m³</v>
          </cell>
          <cell r="G67" t="str">
            <v>m³</v>
          </cell>
          <cell r="H67">
            <v>884.66200000000003</v>
          </cell>
          <cell r="I67">
            <v>884.66200000000003</v>
          </cell>
          <cell r="J67">
            <v>884.66200000000003</v>
          </cell>
        </row>
        <row r="68">
          <cell r="B68">
            <v>58</v>
          </cell>
          <cell r="C68">
            <v>2</v>
          </cell>
          <cell r="D68" t="str">
            <v>Casting concrete C50 of CIP gaps deck slab</v>
          </cell>
          <cell r="E68" t="str">
            <v>Đổ bê tông C50 cho khe nối bản mặt cầu đổ tại chỗ</v>
          </cell>
          <cell r="F68" t="str">
            <v>m³</v>
          </cell>
          <cell r="G68" t="str">
            <v>m³</v>
          </cell>
          <cell r="H68">
            <v>884.66200000000003</v>
          </cell>
          <cell r="I68">
            <v>884.66200000000003</v>
          </cell>
          <cell r="J68">
            <v>884.66200000000003</v>
          </cell>
        </row>
        <row r="69">
          <cell r="B69">
            <v>59</v>
          </cell>
          <cell r="C69">
            <v>3</v>
          </cell>
          <cell r="D69" t="str">
            <v>Manufacture concrete by mixing plant 50m³/h</v>
          </cell>
          <cell r="E69" t="str">
            <v>Sản xuât bê tông bằng trạm trộn 50m³/h</v>
          </cell>
          <cell r="F69" t="str">
            <v>m³</v>
          </cell>
          <cell r="G69" t="str">
            <v>m³</v>
          </cell>
          <cell r="H69">
            <v>906.77855</v>
          </cell>
          <cell r="I69">
            <v>906.77855</v>
          </cell>
          <cell r="J69">
            <v>906.77855</v>
          </cell>
        </row>
        <row r="70">
          <cell r="B70">
            <v>60</v>
          </cell>
          <cell r="C70">
            <v>4</v>
          </cell>
          <cell r="D70" t="str">
            <v>Transport ready mixed concrete distance 0,5km</v>
          </cell>
          <cell r="E70" t="str">
            <v>Vận chuyển bê tông cự ly 0,5km</v>
          </cell>
          <cell r="F70" t="str">
            <v>m³</v>
          </cell>
          <cell r="G70" t="str">
            <v>m³</v>
          </cell>
          <cell r="H70">
            <v>906.77855</v>
          </cell>
          <cell r="I70">
            <v>906.77855</v>
          </cell>
          <cell r="J70">
            <v>906.77855</v>
          </cell>
        </row>
        <row r="71">
          <cell r="B71">
            <v>61</v>
          </cell>
          <cell r="C71">
            <v>5</v>
          </cell>
          <cell r="D71" t="str">
            <v>Formwork</v>
          </cell>
          <cell r="E71" t="str">
            <v>Ván khuôn</v>
          </cell>
          <cell r="F71" t="str">
            <v>m²</v>
          </cell>
          <cell r="G71" t="str">
            <v>m²</v>
          </cell>
          <cell r="H71">
            <v>24.128</v>
          </cell>
          <cell r="I71">
            <v>24.128</v>
          </cell>
          <cell r="J71">
            <v>24.128</v>
          </cell>
        </row>
        <row r="72">
          <cell r="B72">
            <v>62</v>
          </cell>
          <cell r="C72">
            <v>6</v>
          </cell>
          <cell r="D72" t="str">
            <v>Foam plastic 20mm thickness</v>
          </cell>
          <cell r="E72" t="str">
            <v>Tấm nhựa xốp dày 20mm</v>
          </cell>
          <cell r="F72" t="str">
            <v>m²</v>
          </cell>
          <cell r="G72" t="str">
            <v>m²</v>
          </cell>
          <cell r="H72">
            <v>0</v>
          </cell>
          <cell r="I72">
            <v>0</v>
          </cell>
          <cell r="J72">
            <v>0</v>
          </cell>
        </row>
        <row r="73">
          <cell r="B73">
            <v>63</v>
          </cell>
          <cell r="C73">
            <v>7</v>
          </cell>
          <cell r="D73" t="str">
            <v>Rebar for CIP deck slab Ф &gt; 10</v>
          </cell>
          <cell r="E73" t="str">
            <v>Cốt thép  khe nối bản mặt cầu đổ tại chỗ, Ф &gt; 10</v>
          </cell>
          <cell r="F73" t="str">
            <v>ton</v>
          </cell>
          <cell r="G73" t="str">
            <v>tấn</v>
          </cell>
          <cell r="H73">
            <v>118.28</v>
          </cell>
          <cell r="I73">
            <v>118.28</v>
          </cell>
          <cell r="J73">
            <v>118.28</v>
          </cell>
        </row>
        <row r="74">
          <cell r="B74">
            <v>64</v>
          </cell>
          <cell r="C74">
            <v>8</v>
          </cell>
          <cell r="D74" t="str">
            <v>Rebar for CIP gaps deck slab Ф &gt; 10</v>
          </cell>
          <cell r="E74" t="str">
            <v>Cốt thép khe nối bản mặt cầu đổ tại chỗ, Ф &gt; 10</v>
          </cell>
          <cell r="F74" t="str">
            <v>ton</v>
          </cell>
          <cell r="G74" t="str">
            <v>tấn</v>
          </cell>
          <cell r="H74">
            <v>118.28</v>
          </cell>
          <cell r="I74">
            <v>118.28</v>
          </cell>
          <cell r="J74">
            <v>118.28</v>
          </cell>
        </row>
        <row r="75">
          <cell r="B75">
            <v>65</v>
          </cell>
          <cell r="C75">
            <v>9</v>
          </cell>
          <cell r="D75" t="str">
            <v>Coupler D18</v>
          </cell>
          <cell r="E75" t="str">
            <v>Bộ nối cốt thép D18</v>
          </cell>
          <cell r="F75" t="str">
            <v>bộ</v>
          </cell>
          <cell r="G75" t="str">
            <v>set</v>
          </cell>
          <cell r="H75">
            <v>768</v>
          </cell>
          <cell r="I75">
            <v>768</v>
          </cell>
          <cell r="J75">
            <v>768</v>
          </cell>
        </row>
        <row r="76">
          <cell r="B76">
            <v>66</v>
          </cell>
          <cell r="C76">
            <v>10</v>
          </cell>
          <cell r="D76" t="str">
            <v>Coupler D22</v>
          </cell>
          <cell r="E76" t="str">
            <v>Bộ nối cốt thép D22</v>
          </cell>
          <cell r="F76" t="str">
            <v>bộ</v>
          </cell>
          <cell r="G76" t="str">
            <v>set</v>
          </cell>
          <cell r="H76">
            <v>640</v>
          </cell>
          <cell r="I76">
            <v>640</v>
          </cell>
          <cell r="J76">
            <v>640</v>
          </cell>
        </row>
        <row r="77">
          <cell r="B77">
            <v>67</v>
          </cell>
          <cell r="C77">
            <v>11</v>
          </cell>
          <cell r="D77" t="str">
            <v>5. Installation and tensioning of PC strand</v>
          </cell>
          <cell r="E77" t="str">
            <v>5. Lắp đặt và kéo căng tao cáp dự ứng lực</v>
          </cell>
          <cell r="J77">
            <v>0</v>
          </cell>
        </row>
        <row r="78">
          <cell r="B78">
            <v>68</v>
          </cell>
          <cell r="C78">
            <v>12</v>
          </cell>
          <cell r="D78" t="str">
            <v>PC strand deck slab (Type 15.2mm)</v>
          </cell>
          <cell r="E78" t="str">
            <v>Cáp dự ứng lực bản mặt cầu (Type 15.2mm)</v>
          </cell>
          <cell r="F78" t="str">
            <v>ton</v>
          </cell>
          <cell r="G78" t="str">
            <v>tấn</v>
          </cell>
          <cell r="H78">
            <v>42.116</v>
          </cell>
          <cell r="I78">
            <v>42.116</v>
          </cell>
          <cell r="J78">
            <v>42.116</v>
          </cell>
        </row>
        <row r="79">
          <cell r="B79">
            <v>69</v>
          </cell>
          <cell r="C79">
            <v>13</v>
          </cell>
          <cell r="D79" t="str">
            <v>PC strand (Type 15.2mm)</v>
          </cell>
          <cell r="E79" t="str">
            <v>Cáp dự ứng lực (loại 15.2mm)</v>
          </cell>
          <cell r="F79" t="str">
            <v>ton</v>
          </cell>
          <cell r="G79" t="str">
            <v>tấn</v>
          </cell>
          <cell r="H79">
            <v>42.116</v>
          </cell>
          <cell r="I79">
            <v>42.116</v>
          </cell>
          <cell r="J79">
            <v>42.116</v>
          </cell>
        </row>
        <row r="80">
          <cell r="B80">
            <v>70</v>
          </cell>
          <cell r="C80">
            <v>14</v>
          </cell>
          <cell r="D80" t="str">
            <v>Anchorage 4-15.2mm</v>
          </cell>
          <cell r="E80" t="str">
            <v>Neo 4-15.2mm</v>
          </cell>
          <cell r="F80" t="str">
            <v>set</v>
          </cell>
          <cell r="G80" t="str">
            <v>bộ</v>
          </cell>
          <cell r="H80">
            <v>240</v>
          </cell>
          <cell r="I80">
            <v>240</v>
          </cell>
          <cell r="J80">
            <v>240</v>
          </cell>
        </row>
        <row r="81">
          <cell r="B81">
            <v>71</v>
          </cell>
          <cell r="C81">
            <v>15</v>
          </cell>
          <cell r="D81" t="str">
            <v>Installation of Duct Cable 70mmx19mm</v>
          </cell>
          <cell r="E81" t="str">
            <v>Lắp đặt ống luồn cáp 70mmx19mm</v>
          </cell>
          <cell r="F81" t="str">
            <v>m</v>
          </cell>
          <cell r="G81" t="str">
            <v>m</v>
          </cell>
          <cell r="H81">
            <v>9203.2000000000007</v>
          </cell>
          <cell r="I81">
            <v>9203.2000000000007</v>
          </cell>
          <cell r="J81">
            <v>9203.2000000000007</v>
          </cell>
        </row>
        <row r="82">
          <cell r="B82">
            <v>72</v>
          </cell>
          <cell r="C82">
            <v>16</v>
          </cell>
          <cell r="D82" t="str">
            <v>Inject cement mortar into Duct Cable</v>
          </cell>
          <cell r="E82" t="str">
            <v>Bơm vữa xi măng ống luồn cáp</v>
          </cell>
          <cell r="F82" t="str">
            <v>m³</v>
          </cell>
          <cell r="G82" t="str">
            <v>m³</v>
          </cell>
          <cell r="H82">
            <v>7.1340000000000003</v>
          </cell>
          <cell r="I82">
            <v>7.1340000000000003</v>
          </cell>
          <cell r="J82">
            <v>7.1340000000000003</v>
          </cell>
        </row>
        <row r="83">
          <cell r="B83">
            <v>73</v>
          </cell>
          <cell r="C83">
            <v>17</v>
          </cell>
          <cell r="D83" t="str">
            <v>Install of PVC duct Ф60</v>
          </cell>
          <cell r="E83" t="str">
            <v>Lắp đặt ống nhựa Ф60</v>
          </cell>
          <cell r="F83" t="str">
            <v>m</v>
          </cell>
          <cell r="G83" t="str">
            <v>m</v>
          </cell>
          <cell r="H83">
            <v>0</v>
          </cell>
          <cell r="I83">
            <v>0</v>
          </cell>
          <cell r="J83">
            <v>0</v>
          </cell>
        </row>
        <row r="84">
          <cell r="B84">
            <v>74</v>
          </cell>
          <cell r="C84">
            <v>18</v>
          </cell>
          <cell r="D84" t="str">
            <v>Casting concrete C50 (Nonshrinking)</v>
          </cell>
          <cell r="E84" t="str">
            <v>Đổ bê tông C50 (không co ngót)</v>
          </cell>
          <cell r="F84" t="str">
            <v>m³</v>
          </cell>
          <cell r="G84" t="str">
            <v>m³</v>
          </cell>
          <cell r="H84">
            <v>0.67100000000000004</v>
          </cell>
          <cell r="I84">
            <v>0.67100000000000004</v>
          </cell>
          <cell r="J84">
            <v>0.67100000000000004</v>
          </cell>
        </row>
        <row r="85">
          <cell r="B85">
            <v>75</v>
          </cell>
          <cell r="D85" t="str">
            <v>6. Stay cable</v>
          </cell>
          <cell r="E85" t="str">
            <v>6. Cáp dây văng</v>
          </cell>
          <cell r="J85">
            <v>0</v>
          </cell>
        </row>
        <row r="86">
          <cell r="B86">
            <v>76</v>
          </cell>
          <cell r="D86" t="str">
            <v>Stay cable</v>
          </cell>
          <cell r="E86" t="str">
            <v>Cáp dây văng</v>
          </cell>
          <cell r="J86">
            <v>0</v>
          </cell>
        </row>
        <row r="87">
          <cell r="B87">
            <v>77</v>
          </cell>
          <cell r="C87">
            <v>1</v>
          </cell>
          <cell r="D87" t="str">
            <v xml:space="preserve">Installation of Stay Cable </v>
          </cell>
          <cell r="E87" t="str">
            <v>Lắp đặt cáp văng</v>
          </cell>
          <cell r="F87" t="str">
            <v>ton</v>
          </cell>
          <cell r="G87" t="str">
            <v>tấn</v>
          </cell>
          <cell r="H87">
            <v>1203.684</v>
          </cell>
          <cell r="I87">
            <v>1203.684</v>
          </cell>
          <cell r="J87">
            <v>1203.684</v>
          </cell>
        </row>
        <row r="88">
          <cell r="B88">
            <v>78</v>
          </cell>
          <cell r="C88">
            <v>2</v>
          </cell>
          <cell r="D88" t="str">
            <v>Installation of Stay Cable 15.7mm</v>
          </cell>
          <cell r="E88" t="str">
            <v>Lắp đặt cáp văng 15.7mm</v>
          </cell>
          <cell r="F88" t="str">
            <v>ton</v>
          </cell>
          <cell r="G88" t="str">
            <v>tấn</v>
          </cell>
          <cell r="H88">
            <v>1203.684</v>
          </cell>
          <cell r="I88">
            <v>1203.684</v>
          </cell>
          <cell r="J88">
            <v>1203.684</v>
          </cell>
        </row>
        <row r="89">
          <cell r="B89">
            <v>79</v>
          </cell>
          <cell r="C89">
            <v>3</v>
          </cell>
          <cell r="D89" t="str">
            <v>Damper supply &amp; installation</v>
          </cell>
          <cell r="E89" t="str">
            <v>Cung cấp và lắp đặt bộ giảm chấn</v>
          </cell>
          <cell r="F89" t="str">
            <v>Set</v>
          </cell>
          <cell r="G89" t="str">
            <v>bộ</v>
          </cell>
          <cell r="H89">
            <v>144</v>
          </cell>
          <cell r="I89">
            <v>144</v>
          </cell>
          <cell r="J89">
            <v>144</v>
          </cell>
        </row>
        <row r="90">
          <cell r="B90">
            <v>80</v>
          </cell>
          <cell r="C90">
            <v>4</v>
          </cell>
          <cell r="D90" t="str">
            <v>Scaffolding system on Stay Cable</v>
          </cell>
          <cell r="E90" t="str">
            <v>Hệ đà giáo trên cáp dây văng</v>
          </cell>
          <cell r="F90" t="str">
            <v>m²</v>
          </cell>
          <cell r="G90" t="str">
            <v>m²</v>
          </cell>
          <cell r="J90">
            <v>0</v>
          </cell>
        </row>
        <row r="91">
          <cell r="B91">
            <v>81</v>
          </cell>
          <cell r="C91">
            <v>5</v>
          </cell>
          <cell r="D91" t="str">
            <v>Fabrication for bracket system on Stay Cable</v>
          </cell>
          <cell r="E91" t="str">
            <v>Gia công hệ giá đỡ trên cáp dây văng</v>
          </cell>
          <cell r="F91" t="str">
            <v>ton</v>
          </cell>
          <cell r="G91" t="str">
            <v>tấn</v>
          </cell>
          <cell r="H91">
            <v>64</v>
          </cell>
          <cell r="I91">
            <v>64</v>
          </cell>
          <cell r="J91">
            <v>64</v>
          </cell>
        </row>
        <row r="92">
          <cell r="B92">
            <v>82</v>
          </cell>
          <cell r="C92">
            <v>6</v>
          </cell>
          <cell r="D92" t="str">
            <v>Install and Remove bracket system</v>
          </cell>
          <cell r="E92" t="str">
            <v>Lắp dựng và tháo dỡ giá đỡ</v>
          </cell>
          <cell r="F92" t="str">
            <v>ton</v>
          </cell>
          <cell r="G92" t="str">
            <v>tấn</v>
          </cell>
          <cell r="H92">
            <v>64</v>
          </cell>
          <cell r="I92">
            <v>64</v>
          </cell>
          <cell r="J92">
            <v>64</v>
          </cell>
        </row>
        <row r="93">
          <cell r="B93">
            <v>83</v>
          </cell>
          <cell r="C93">
            <v>7</v>
          </cell>
          <cell r="D93" t="str">
            <v>Stay Cable Fatigue Test</v>
          </cell>
          <cell r="E93" t="str">
            <v>Thử hiện tượng mỏi của cáp văng</v>
          </cell>
          <cell r="F93" t="str">
            <v>cái</v>
          </cell>
          <cell r="G93" t="str">
            <v>nos</v>
          </cell>
          <cell r="H93">
            <v>3</v>
          </cell>
          <cell r="I93">
            <v>3</v>
          </cell>
          <cell r="J93">
            <v>3</v>
          </cell>
        </row>
        <row r="94">
          <cell r="B94">
            <v>84</v>
          </cell>
          <cell r="C94">
            <v>8</v>
          </cell>
          <cell r="D94" t="str">
            <v>Wind cable</v>
          </cell>
          <cell r="E94" t="str">
            <v>Cáp chống gió</v>
          </cell>
          <cell r="J94">
            <v>0</v>
          </cell>
        </row>
        <row r="95">
          <cell r="B95">
            <v>85</v>
          </cell>
          <cell r="C95">
            <v>9</v>
          </cell>
          <cell r="D95" t="str">
            <v>Installation of Wind Cable (depreciation: 50%)</v>
          </cell>
          <cell r="E95" t="str">
            <v>Lắp đặt cáp chóng gió (khấu hao VL 50%)</v>
          </cell>
          <cell r="F95" t="str">
            <v>ton</v>
          </cell>
          <cell r="G95" t="str">
            <v>tấn</v>
          </cell>
          <cell r="H95">
            <v>27.481999999999999</v>
          </cell>
          <cell r="I95">
            <v>27.481999999999999</v>
          </cell>
          <cell r="J95">
            <v>27.481999999999999</v>
          </cell>
        </row>
        <row r="96">
          <cell r="B96">
            <v>86</v>
          </cell>
          <cell r="C96">
            <v>10</v>
          </cell>
          <cell r="D96" t="str">
            <v>Concrete C30 of Precast Anchorge block</v>
          </cell>
          <cell r="E96" t="str">
            <v>Bê tông C30 cho khối neo đúc sẵn</v>
          </cell>
          <cell r="F96" t="str">
            <v>m³</v>
          </cell>
          <cell r="G96" t="str">
            <v>m³</v>
          </cell>
          <cell r="H96">
            <v>4000</v>
          </cell>
          <cell r="I96">
            <v>4000</v>
          </cell>
          <cell r="J96">
            <v>4000</v>
          </cell>
        </row>
        <row r="97">
          <cell r="B97">
            <v>87</v>
          </cell>
          <cell r="C97">
            <v>11</v>
          </cell>
          <cell r="D97" t="str">
            <v>Fabricate ready 50 m³/h mixed concrete</v>
          </cell>
          <cell r="E97" t="str">
            <v>Sản xuất vữa bê tông trạm trộn 50m³/h</v>
          </cell>
          <cell r="F97" t="str">
            <v>m³</v>
          </cell>
          <cell r="G97" t="str">
            <v>m³</v>
          </cell>
          <cell r="H97">
            <v>4059.9999999999995</v>
          </cell>
          <cell r="I97">
            <v>4059.9999999999995</v>
          </cell>
          <cell r="J97">
            <v>4059.9999999999995</v>
          </cell>
        </row>
        <row r="98">
          <cell r="B98">
            <v>88</v>
          </cell>
          <cell r="C98">
            <v>12</v>
          </cell>
          <cell r="D98" t="str">
            <v>Transport ready mixed concrete distance 0,5km</v>
          </cell>
          <cell r="E98" t="str">
            <v>Vận chuyển bê tông cự ly 0,5km</v>
          </cell>
          <cell r="F98" t="str">
            <v>m³</v>
          </cell>
          <cell r="G98" t="str">
            <v>m³</v>
          </cell>
          <cell r="H98">
            <v>4059.9999999999995</v>
          </cell>
          <cell r="I98">
            <v>4059.9999999999995</v>
          </cell>
          <cell r="J98">
            <v>4059.9999999999995</v>
          </cell>
        </row>
        <row r="99">
          <cell r="B99">
            <v>89</v>
          </cell>
          <cell r="C99">
            <v>13</v>
          </cell>
          <cell r="D99" t="str">
            <v>Formwork for Precast Anchorge block</v>
          </cell>
          <cell r="E99" t="str">
            <v>Ván khuôn cho khối neo đúc sẵn</v>
          </cell>
          <cell r="F99" t="str">
            <v>m²</v>
          </cell>
          <cell r="G99" t="str">
            <v>m²</v>
          </cell>
          <cell r="H99">
            <v>4000</v>
          </cell>
          <cell r="I99">
            <v>4000</v>
          </cell>
          <cell r="J99">
            <v>4000</v>
          </cell>
        </row>
        <row r="100">
          <cell r="B100">
            <v>90</v>
          </cell>
          <cell r="C100">
            <v>14</v>
          </cell>
          <cell r="D100" t="str">
            <v>Rebar for Precast Anchorge block Ф &gt; 10</v>
          </cell>
          <cell r="E100" t="str">
            <v>Cốt thép cho khối neo đúc sẵn, Ф &gt; 10</v>
          </cell>
          <cell r="F100" t="str">
            <v>ton</v>
          </cell>
          <cell r="G100" t="str">
            <v>tấn</v>
          </cell>
          <cell r="H100">
            <v>80</v>
          </cell>
          <cell r="I100">
            <v>80</v>
          </cell>
          <cell r="J100">
            <v>80</v>
          </cell>
        </row>
        <row r="101">
          <cell r="B101">
            <v>91</v>
          </cell>
          <cell r="C101">
            <v>15</v>
          </cell>
          <cell r="D101" t="str">
            <v>Transport Precast Anchorge block</v>
          </cell>
          <cell r="E101" t="str">
            <v>Chuyển khối neo đúc sẵn ra hiện trường</v>
          </cell>
          <cell r="F101" t="str">
            <v xml:space="preserve">unit </v>
          </cell>
          <cell r="G101" t="str">
            <v>tấm</v>
          </cell>
          <cell r="H101">
            <v>32</v>
          </cell>
          <cell r="I101">
            <v>32</v>
          </cell>
          <cell r="J101">
            <v>32</v>
          </cell>
        </row>
        <row r="102">
          <cell r="B102">
            <v>92</v>
          </cell>
          <cell r="C102">
            <v>16</v>
          </cell>
          <cell r="D102" t="str">
            <v>Installation of Precast Anchorge block</v>
          </cell>
          <cell r="E102" t="str">
            <v>Lắp đặt khối neo đúc sẵn</v>
          </cell>
          <cell r="F102" t="str">
            <v>set</v>
          </cell>
          <cell r="G102" t="str">
            <v>đoạn</v>
          </cell>
          <cell r="H102">
            <v>32</v>
          </cell>
          <cell r="I102">
            <v>32</v>
          </cell>
          <cell r="J102">
            <v>32</v>
          </cell>
        </row>
        <row r="105">
          <cell r="B105">
            <v>93</v>
          </cell>
          <cell r="D105" t="str">
            <v>Tie down cable</v>
          </cell>
          <cell r="E105" t="str">
            <v>Cáp neo chống nhổ</v>
          </cell>
          <cell r="J105">
            <v>0</v>
          </cell>
        </row>
        <row r="106">
          <cell r="B106">
            <v>94</v>
          </cell>
          <cell r="C106">
            <v>1</v>
          </cell>
          <cell r="D106" t="str">
            <v>Installation for Tie down cable</v>
          </cell>
          <cell r="E106" t="str">
            <v>Lắp đặt cáp neo chống nhổ</v>
          </cell>
          <cell r="F106" t="str">
            <v>ton</v>
          </cell>
          <cell r="G106" t="str">
            <v>tấn</v>
          </cell>
          <cell r="H106">
            <v>7.6639999999999997</v>
          </cell>
          <cell r="I106">
            <v>7.6639999999999997</v>
          </cell>
          <cell r="J106">
            <v>7.6639999999999997</v>
          </cell>
        </row>
        <row r="107">
          <cell r="B107">
            <v>95</v>
          </cell>
          <cell r="D107" t="str">
            <v>Load and Vibration Test</v>
          </cell>
          <cell r="E107" t="str">
            <v>Kiểm tra tải trọng và độ rung</v>
          </cell>
          <cell r="J107">
            <v>0</v>
          </cell>
        </row>
        <row r="108">
          <cell r="B108">
            <v>96</v>
          </cell>
          <cell r="C108">
            <v>1</v>
          </cell>
          <cell r="D108" t="str">
            <v>Load and Vibration Test</v>
          </cell>
          <cell r="E108" t="str">
            <v>Kiểm tra tải trọng và độ rung</v>
          </cell>
          <cell r="F108" t="str">
            <v>LS</v>
          </cell>
          <cell r="G108" t="str">
            <v>Trọn gói</v>
          </cell>
          <cell r="H108">
            <v>1</v>
          </cell>
          <cell r="I108">
            <v>1</v>
          </cell>
          <cell r="J108">
            <v>1</v>
          </cell>
        </row>
        <row r="109">
          <cell r="B109">
            <v>97</v>
          </cell>
          <cell r="D109" t="str">
            <v xml:space="preserve">7.Wearing surface </v>
          </cell>
          <cell r="E109" t="str">
            <v>7. Lớp phủ mặt cầu</v>
          </cell>
          <cell r="J109">
            <v>0</v>
          </cell>
        </row>
        <row r="110">
          <cell r="B110">
            <v>98</v>
          </cell>
          <cell r="C110">
            <v>1</v>
          </cell>
          <cell r="D110" t="str">
            <v>Tack coat 0.5 kg/m2</v>
          </cell>
          <cell r="E110" t="str">
            <v>Lớp nhựa dính bám 0.5 kg/m2</v>
          </cell>
          <cell r="F110" t="str">
            <v>m²</v>
          </cell>
          <cell r="G110" t="str">
            <v>m²</v>
          </cell>
          <cell r="H110">
            <v>20184.324000000001</v>
          </cell>
          <cell r="I110">
            <v>20184.324000000001</v>
          </cell>
          <cell r="J110">
            <v>20184.324000000001</v>
          </cell>
        </row>
        <row r="111">
          <cell r="B111">
            <v>99</v>
          </cell>
          <cell r="C111">
            <v>2</v>
          </cell>
          <cell r="D111" t="str">
            <v>Water proof layer</v>
          </cell>
          <cell r="E111" t="str">
            <v>Lớp chống nước</v>
          </cell>
          <cell r="F111" t="str">
            <v>m²</v>
          </cell>
          <cell r="G111" t="str">
            <v>m²</v>
          </cell>
          <cell r="H111">
            <v>20184.324000000001</v>
          </cell>
          <cell r="I111">
            <v>20184.324000000001</v>
          </cell>
          <cell r="J111">
            <v>20184.324000000001</v>
          </cell>
        </row>
        <row r="112">
          <cell r="B112">
            <v>100</v>
          </cell>
          <cell r="C112">
            <v>3</v>
          </cell>
          <cell r="D112" t="str">
            <v>Spread AC surface curse 7cm thick</v>
          </cell>
          <cell r="E112" t="str">
            <v>Rải bê tông nhựa hạt mịn dày 7cm</v>
          </cell>
          <cell r="F112" t="str">
            <v>m²</v>
          </cell>
          <cell r="G112" t="str">
            <v>m²</v>
          </cell>
          <cell r="H112">
            <v>20184.324000000001</v>
          </cell>
          <cell r="I112">
            <v>20184.324000000001</v>
          </cell>
          <cell r="J112">
            <v>20184.324000000001</v>
          </cell>
        </row>
        <row r="113">
          <cell r="B113">
            <v>101</v>
          </cell>
          <cell r="C113">
            <v>4</v>
          </cell>
          <cell r="D113" t="str">
            <v>Spread AC surface curse 7cm thick</v>
          </cell>
          <cell r="E113" t="str">
            <v>Rải bê tông nhựa hạt mịn dày 7cm</v>
          </cell>
          <cell r="F113" t="str">
            <v>m²</v>
          </cell>
          <cell r="G113" t="str">
            <v>m²</v>
          </cell>
          <cell r="H113">
            <v>20184.324000000001</v>
          </cell>
          <cell r="I113">
            <v>20184.324000000001</v>
          </cell>
          <cell r="J113">
            <v>20184.324000000001</v>
          </cell>
        </row>
        <row r="114">
          <cell r="B114">
            <v>102</v>
          </cell>
          <cell r="C114">
            <v>5</v>
          </cell>
          <cell r="D114" t="str">
            <v>Product AC surface curse (0,1697 ton/m2)</v>
          </cell>
          <cell r="E114" t="str">
            <v>Sản xuất bê tông nhựa hạt mịn (0,1697tấn/m2)</v>
          </cell>
          <cell r="F114" t="str">
            <v>ton</v>
          </cell>
          <cell r="G114" t="str">
            <v>tấn</v>
          </cell>
          <cell r="H114">
            <v>3425.2797827999998</v>
          </cell>
          <cell r="I114">
            <v>3425.2797827999998</v>
          </cell>
          <cell r="J114">
            <v>3425.2797827999998</v>
          </cell>
        </row>
        <row r="115">
          <cell r="B115">
            <v>103</v>
          </cell>
          <cell r="C115">
            <v>6</v>
          </cell>
          <cell r="D115" t="str">
            <v>Transport Asphalt Concrete 6Km</v>
          </cell>
          <cell r="E115" t="str">
            <v>Vận chuyển bê tông nhựa 6km</v>
          </cell>
          <cell r="F115" t="str">
            <v>ton</v>
          </cell>
          <cell r="G115" t="str">
            <v>tấn</v>
          </cell>
          <cell r="H115">
            <v>3425.2797827999998</v>
          </cell>
          <cell r="I115">
            <v>3425.2797827999998</v>
          </cell>
          <cell r="J115">
            <v>3425.2797827999998</v>
          </cell>
        </row>
        <row r="116">
          <cell r="B116">
            <v>104</v>
          </cell>
          <cell r="D116" t="str">
            <v>8. Bearing</v>
          </cell>
          <cell r="E116" t="str">
            <v>8. Gối cầu</v>
          </cell>
          <cell r="J116">
            <v>0</v>
          </cell>
        </row>
        <row r="117">
          <cell r="B117">
            <v>105</v>
          </cell>
          <cell r="D117" t="str">
            <v>Pot bearings</v>
          </cell>
          <cell r="E117" t="str">
            <v>Gối chậu</v>
          </cell>
          <cell r="J117">
            <v>0</v>
          </cell>
        </row>
        <row r="118">
          <cell r="B118">
            <v>106</v>
          </cell>
          <cell r="C118">
            <v>1</v>
          </cell>
          <cell r="D118" t="str">
            <v>Pot bearing at PY1</v>
          </cell>
          <cell r="E118" t="str">
            <v>Gối chậu tại trụ PY1</v>
          </cell>
          <cell r="F118" t="str">
            <v>set</v>
          </cell>
          <cell r="G118" t="str">
            <v>bộ</v>
          </cell>
          <cell r="H118">
            <v>2</v>
          </cell>
          <cell r="I118">
            <v>2</v>
          </cell>
          <cell r="J118">
            <v>2</v>
          </cell>
        </row>
        <row r="119">
          <cell r="B119">
            <v>107</v>
          </cell>
          <cell r="C119">
            <v>2</v>
          </cell>
          <cell r="D119" t="str">
            <v>Pot bearing at PY2</v>
          </cell>
          <cell r="E119" t="str">
            <v>Gối chậu tại trụ PY2</v>
          </cell>
          <cell r="F119" t="str">
            <v>set</v>
          </cell>
          <cell r="G119" t="str">
            <v>bộ</v>
          </cell>
          <cell r="H119">
            <v>2</v>
          </cell>
          <cell r="I119">
            <v>2</v>
          </cell>
          <cell r="J119">
            <v>2</v>
          </cell>
        </row>
        <row r="120">
          <cell r="B120">
            <v>108</v>
          </cell>
          <cell r="C120">
            <v>3</v>
          </cell>
          <cell r="D120" t="str">
            <v>Pot bearing at AP1</v>
          </cell>
          <cell r="E120" t="str">
            <v>Gối chậu tại trụ neo AP1</v>
          </cell>
          <cell r="F120" t="str">
            <v>set</v>
          </cell>
          <cell r="G120" t="str">
            <v>bộ</v>
          </cell>
          <cell r="H120">
            <v>2</v>
          </cell>
          <cell r="I120">
            <v>2</v>
          </cell>
          <cell r="J120">
            <v>2</v>
          </cell>
        </row>
        <row r="121">
          <cell r="B121">
            <v>109</v>
          </cell>
          <cell r="C121">
            <v>4</v>
          </cell>
          <cell r="D121" t="str">
            <v>Pot bearing at AP2</v>
          </cell>
          <cell r="E121" t="str">
            <v>Gối chậu tại trụ neo AP2</v>
          </cell>
          <cell r="F121" t="str">
            <v>set</v>
          </cell>
          <cell r="G121" t="str">
            <v>bộ</v>
          </cell>
          <cell r="H121">
            <v>2</v>
          </cell>
          <cell r="I121">
            <v>2</v>
          </cell>
          <cell r="J121">
            <v>2</v>
          </cell>
        </row>
        <row r="122">
          <cell r="B122">
            <v>110</v>
          </cell>
          <cell r="D122" t="str">
            <v>Wind bearings</v>
          </cell>
          <cell r="E122" t="str">
            <v>Gối chống gió</v>
          </cell>
          <cell r="J122">
            <v>0</v>
          </cell>
        </row>
        <row r="123">
          <cell r="B123">
            <v>111</v>
          </cell>
          <cell r="C123">
            <v>1</v>
          </cell>
          <cell r="D123" t="str">
            <v>Install Wind bearing at PY1</v>
          </cell>
          <cell r="E123" t="str">
            <v>Lắp đặt gối chống gió tại trụ PY1</v>
          </cell>
          <cell r="F123" t="str">
            <v>set</v>
          </cell>
          <cell r="G123" t="str">
            <v>bộ</v>
          </cell>
          <cell r="H123">
            <v>2</v>
          </cell>
          <cell r="I123">
            <v>2</v>
          </cell>
          <cell r="J123">
            <v>2</v>
          </cell>
        </row>
        <row r="124">
          <cell r="B124">
            <v>112</v>
          </cell>
          <cell r="C124">
            <v>2</v>
          </cell>
          <cell r="D124" t="str">
            <v>Install Wind bearing at PY2</v>
          </cell>
          <cell r="E124" t="str">
            <v>Lắp đặt gối chống gió tại trụ PY2</v>
          </cell>
          <cell r="F124" t="str">
            <v>set</v>
          </cell>
          <cell r="G124" t="str">
            <v>bộ</v>
          </cell>
          <cell r="H124">
            <v>2</v>
          </cell>
          <cell r="I124">
            <v>2</v>
          </cell>
          <cell r="J124">
            <v>2</v>
          </cell>
        </row>
        <row r="125">
          <cell r="B125">
            <v>113</v>
          </cell>
          <cell r="C125">
            <v>3</v>
          </cell>
          <cell r="D125" t="str">
            <v>Wind bearing at AP1</v>
          </cell>
          <cell r="E125" t="str">
            <v>Gối chống gió tại trụ AP1</v>
          </cell>
          <cell r="F125" t="str">
            <v>set</v>
          </cell>
          <cell r="G125" t="str">
            <v>bộ</v>
          </cell>
          <cell r="H125">
            <v>2</v>
          </cell>
          <cell r="I125">
            <v>2</v>
          </cell>
          <cell r="J125">
            <v>2</v>
          </cell>
        </row>
        <row r="126">
          <cell r="B126">
            <v>114</v>
          </cell>
          <cell r="C126">
            <v>4</v>
          </cell>
          <cell r="D126" t="str">
            <v>Wind bearing at AP2</v>
          </cell>
          <cell r="E126" t="str">
            <v>Gối chống gió tại trụ AP2</v>
          </cell>
          <cell r="F126" t="str">
            <v>set</v>
          </cell>
          <cell r="G126" t="str">
            <v>bộ</v>
          </cell>
          <cell r="H126">
            <v>2</v>
          </cell>
          <cell r="I126">
            <v>2</v>
          </cell>
          <cell r="J126">
            <v>2</v>
          </cell>
        </row>
        <row r="127">
          <cell r="B127">
            <v>115</v>
          </cell>
          <cell r="D127" t="str">
            <v>Stoppers &amp; Lock up Device</v>
          </cell>
          <cell r="E127" t="str">
            <v>Chốt cố định và khóa dầm chính</v>
          </cell>
          <cell r="J127">
            <v>0</v>
          </cell>
        </row>
        <row r="128">
          <cell r="B128">
            <v>116</v>
          </cell>
          <cell r="C128">
            <v>1</v>
          </cell>
          <cell r="D128" t="str">
            <v>Stopper at PY1</v>
          </cell>
          <cell r="E128" t="str">
            <v>Gối kháng chuyển vị dọc tại trụ PY1</v>
          </cell>
          <cell r="F128" t="str">
            <v>set</v>
          </cell>
          <cell r="G128" t="str">
            <v>bộ</v>
          </cell>
          <cell r="H128">
            <v>4</v>
          </cell>
          <cell r="I128">
            <v>4</v>
          </cell>
          <cell r="J128">
            <v>4</v>
          </cell>
        </row>
        <row r="129">
          <cell r="B129">
            <v>117</v>
          </cell>
          <cell r="C129">
            <v>2</v>
          </cell>
          <cell r="D129" t="str">
            <v>Shock Transmission Units at PY2</v>
          </cell>
          <cell r="E129" t="str">
            <v>Thiết bị giảm chấn kháng chuyển vị dọc tại PY2</v>
          </cell>
          <cell r="F129" t="str">
            <v>set</v>
          </cell>
          <cell r="G129" t="str">
            <v>bộ</v>
          </cell>
          <cell r="H129">
            <v>8</v>
          </cell>
          <cell r="I129">
            <v>8</v>
          </cell>
          <cell r="J129">
            <v>8</v>
          </cell>
        </row>
        <row r="130">
          <cell r="B130">
            <v>118</v>
          </cell>
          <cell r="D130" t="str">
            <v xml:space="preserve">9. Expansion joint </v>
          </cell>
          <cell r="E130" t="str">
            <v>9. Khe co giãn</v>
          </cell>
          <cell r="J130">
            <v>0</v>
          </cell>
        </row>
        <row r="131">
          <cell r="B131">
            <v>119</v>
          </cell>
          <cell r="C131">
            <v>1</v>
          </cell>
          <cell r="D131" t="str">
            <v>Expansion joint type 1400</v>
          </cell>
          <cell r="E131" t="str">
            <v>Khe co giãn loại 1400</v>
          </cell>
          <cell r="F131" t="str">
            <v>m</v>
          </cell>
          <cell r="G131" t="str">
            <v>m</v>
          </cell>
          <cell r="H131">
            <v>47</v>
          </cell>
          <cell r="I131">
            <v>47</v>
          </cell>
          <cell r="J131">
            <v>47</v>
          </cell>
        </row>
        <row r="132">
          <cell r="B132">
            <v>120</v>
          </cell>
          <cell r="C132">
            <v>2</v>
          </cell>
          <cell r="D132" t="str">
            <v>Install expansion joint 1400</v>
          </cell>
          <cell r="E132" t="str">
            <v>Lắp đặt khe co giãn loại 1400</v>
          </cell>
          <cell r="F132" t="str">
            <v>m</v>
          </cell>
          <cell r="G132" t="str">
            <v>m</v>
          </cell>
          <cell r="H132">
            <v>47</v>
          </cell>
          <cell r="I132">
            <v>47</v>
          </cell>
          <cell r="J132">
            <v>47</v>
          </cell>
        </row>
        <row r="133">
          <cell r="B133">
            <v>121</v>
          </cell>
          <cell r="C133">
            <v>3</v>
          </cell>
          <cell r="D133" t="str">
            <v>Nonshrinking concrete C50</v>
          </cell>
          <cell r="E133" t="str">
            <v>Bê tông không co ngót C50</v>
          </cell>
          <cell r="F133" t="str">
            <v>m³</v>
          </cell>
          <cell r="G133" t="str">
            <v>m³</v>
          </cell>
          <cell r="H133">
            <v>87.43</v>
          </cell>
          <cell r="I133">
            <v>87.43</v>
          </cell>
          <cell r="J133">
            <v>87.43</v>
          </cell>
        </row>
        <row r="134">
          <cell r="B134">
            <v>122</v>
          </cell>
          <cell r="J134">
            <v>0</v>
          </cell>
        </row>
        <row r="135">
          <cell r="B135">
            <v>123</v>
          </cell>
          <cell r="D135" t="str">
            <v>II. SUBSTRUCTURE</v>
          </cell>
          <cell r="E135" t="str">
            <v>II. KẾT CẤU PHẦN DƯỚI</v>
          </cell>
          <cell r="J135">
            <v>0</v>
          </cell>
        </row>
        <row r="136">
          <cell r="B136">
            <v>124</v>
          </cell>
          <cell r="D136" t="str">
            <v>1. Pylon</v>
          </cell>
          <cell r="E136" t="str">
            <v>1.Trụ tháp</v>
          </cell>
          <cell r="J136">
            <v>0</v>
          </cell>
        </row>
        <row r="137">
          <cell r="B137">
            <v>125</v>
          </cell>
          <cell r="D137" t="str">
            <v>Pylon</v>
          </cell>
          <cell r="E137" t="str">
            <v>Trụ tháp</v>
          </cell>
          <cell r="J137">
            <v>0</v>
          </cell>
        </row>
        <row r="138">
          <cell r="B138">
            <v>126</v>
          </cell>
          <cell r="C138">
            <v>1</v>
          </cell>
          <cell r="D138" t="str">
            <v>Concrete C50 of pylon on river</v>
          </cell>
          <cell r="E138" t="str">
            <v>Bê tông C50 trụ tháp dưới nước</v>
          </cell>
          <cell r="F138" t="str">
            <v>m³</v>
          </cell>
          <cell r="G138" t="str">
            <v>m³</v>
          </cell>
          <cell r="H138">
            <v>11066.400000000001</v>
          </cell>
          <cell r="I138">
            <v>11066.400000000001</v>
          </cell>
          <cell r="J138">
            <v>11066.400000000001</v>
          </cell>
        </row>
        <row r="139">
          <cell r="B139">
            <v>127</v>
          </cell>
          <cell r="C139">
            <v>2</v>
          </cell>
          <cell r="D139" t="str">
            <v>Concrete C50 of pylon on river</v>
          </cell>
          <cell r="E139" t="str">
            <v>Bê tông C50 trụ tháp dưới nước</v>
          </cell>
          <cell r="F139" t="str">
            <v>m³</v>
          </cell>
          <cell r="G139" t="str">
            <v>m³</v>
          </cell>
          <cell r="H139">
            <v>11066.400000000001</v>
          </cell>
          <cell r="I139">
            <v>11066.400000000001</v>
          </cell>
          <cell r="J139">
            <v>11066.400000000001</v>
          </cell>
        </row>
        <row r="140">
          <cell r="B140">
            <v>128</v>
          </cell>
          <cell r="C140">
            <v>3</v>
          </cell>
          <cell r="D140" t="str">
            <v>Fabricate ready 50 m³/h mixed concrete</v>
          </cell>
          <cell r="E140" t="str">
            <v>Sản xuất vữa bê tông trạm trộn 50m³/h</v>
          </cell>
          <cell r="F140" t="str">
            <v>m³</v>
          </cell>
          <cell r="G140" t="str">
            <v>m³</v>
          </cell>
          <cell r="H140">
            <v>11343.060000000001</v>
          </cell>
          <cell r="I140">
            <v>11343.060000000001</v>
          </cell>
          <cell r="J140">
            <v>11343.060000000001</v>
          </cell>
        </row>
        <row r="141">
          <cell r="B141">
            <v>129</v>
          </cell>
          <cell r="C141">
            <v>4</v>
          </cell>
          <cell r="D141" t="str">
            <v>Transport ready mixed concrete distance 0,5km</v>
          </cell>
          <cell r="E141" t="str">
            <v>Vận chuyển bê tông cự ly 0,5km</v>
          </cell>
          <cell r="F141" t="str">
            <v>m³</v>
          </cell>
          <cell r="G141" t="str">
            <v>m³</v>
          </cell>
          <cell r="H141">
            <v>11343.060000000001</v>
          </cell>
          <cell r="I141">
            <v>11343.060000000001</v>
          </cell>
          <cell r="J141">
            <v>11343.060000000001</v>
          </cell>
        </row>
        <row r="142">
          <cell r="B142">
            <v>130</v>
          </cell>
          <cell r="C142">
            <v>5</v>
          </cell>
          <cell r="D142" t="str">
            <v>Climbing Form of pylon on river</v>
          </cell>
          <cell r="E142" t="str">
            <v>Ván khuôn leo trụ tháp dưới nước</v>
          </cell>
          <cell r="F142" t="str">
            <v>set</v>
          </cell>
          <cell r="G142" t="str">
            <v>bộ</v>
          </cell>
          <cell r="H142">
            <v>2</v>
          </cell>
          <cell r="I142">
            <v>2</v>
          </cell>
          <cell r="J142">
            <v>2</v>
          </cell>
        </row>
        <row r="143">
          <cell r="B143">
            <v>131</v>
          </cell>
          <cell r="C143">
            <v>6</v>
          </cell>
          <cell r="D143" t="str">
            <v>Steel formwork of pylon on river</v>
          </cell>
          <cell r="E143" t="str">
            <v>Ván khuôn kim loại trụ tháp dưới nước</v>
          </cell>
          <cell r="F143" t="str">
            <v>m²</v>
          </cell>
          <cell r="G143" t="str">
            <v>m²</v>
          </cell>
          <cell r="H143">
            <v>2533.3999999999996</v>
          </cell>
          <cell r="I143">
            <v>2533.3999999999996</v>
          </cell>
          <cell r="J143">
            <v>2533.3999999999996</v>
          </cell>
        </row>
        <row r="144">
          <cell r="B144">
            <v>132</v>
          </cell>
          <cell r="C144">
            <v>7</v>
          </cell>
          <cell r="D144" t="str">
            <v>Anchor Bolt (M36, L=1.150m)</v>
          </cell>
          <cell r="E144" t="str">
            <v>Bu lông neo (M36, L=1.150m)</v>
          </cell>
          <cell r="F144" t="str">
            <v>Ea</v>
          </cell>
          <cell r="G144" t="str">
            <v>Cái</v>
          </cell>
          <cell r="H144">
            <v>232</v>
          </cell>
          <cell r="I144">
            <v>232</v>
          </cell>
          <cell r="J144">
            <v>232</v>
          </cell>
        </row>
        <row r="145">
          <cell r="B145">
            <v>133</v>
          </cell>
          <cell r="C145">
            <v>8</v>
          </cell>
          <cell r="D145" t="str">
            <v>Anchor Plate (t=20mm)</v>
          </cell>
          <cell r="E145" t="str">
            <v>Bản neo dày 20mm</v>
          </cell>
          <cell r="F145" t="str">
            <v>ton</v>
          </cell>
          <cell r="G145" t="str">
            <v>tấn</v>
          </cell>
          <cell r="H145">
            <v>3.2719999999999998</v>
          </cell>
          <cell r="I145">
            <v>3.2719999999999998</v>
          </cell>
          <cell r="J145">
            <v>3.2719999999999998</v>
          </cell>
        </row>
        <row r="146">
          <cell r="B146">
            <v>134</v>
          </cell>
          <cell r="C146">
            <v>9</v>
          </cell>
          <cell r="D146" t="str">
            <v>Coupler Anchor D40</v>
          </cell>
          <cell r="E146" t="str">
            <v>Bộ nối neo D40</v>
          </cell>
          <cell r="F146" t="str">
            <v>bộ</v>
          </cell>
          <cell r="G146" t="str">
            <v>set</v>
          </cell>
          <cell r="J146">
            <v>0</v>
          </cell>
        </row>
        <row r="147">
          <cell r="B147">
            <v>135</v>
          </cell>
          <cell r="C147">
            <v>10</v>
          </cell>
          <cell r="D147" t="str">
            <v>Dynamictest construction lower cross beam</v>
          </cell>
          <cell r="E147" t="str">
            <v>Thử tải thi công dầm ngang dưới</v>
          </cell>
          <cell r="F147" t="str">
            <v>ton</v>
          </cell>
          <cell r="G147" t="str">
            <v>tấn</v>
          </cell>
          <cell r="H147">
            <v>3474</v>
          </cell>
          <cell r="I147">
            <v>3474</v>
          </cell>
          <cell r="J147">
            <v>3474</v>
          </cell>
        </row>
        <row r="148">
          <cell r="B148">
            <v>136</v>
          </cell>
          <cell r="C148">
            <v>11</v>
          </cell>
          <cell r="D148" t="str">
            <v>Fabrication for YUKM on Pylon</v>
          </cell>
          <cell r="E148" t="str">
            <v>Gia công hệ khung thi công tại trụ tháp</v>
          </cell>
          <cell r="F148" t="str">
            <v>ton</v>
          </cell>
          <cell r="G148" t="str">
            <v>tấn</v>
          </cell>
          <cell r="H148">
            <v>178.12729200000001</v>
          </cell>
          <cell r="I148">
            <v>178.12729200000001</v>
          </cell>
          <cell r="J148">
            <v>178.12729200000001</v>
          </cell>
        </row>
        <row r="149">
          <cell r="B149">
            <v>137</v>
          </cell>
          <cell r="C149">
            <v>12</v>
          </cell>
          <cell r="D149" t="str">
            <v>Install and Remove YUKM system on Pylon</v>
          </cell>
          <cell r="E149" t="str">
            <v>Lắp dựng và tháo dỡ hệ khung thi công tại trụ tháp</v>
          </cell>
          <cell r="F149" t="str">
            <v>ton</v>
          </cell>
          <cell r="G149" t="str">
            <v>tấn</v>
          </cell>
          <cell r="H149">
            <v>178.12729200000001</v>
          </cell>
          <cell r="I149">
            <v>178.12729200000001</v>
          </cell>
          <cell r="J149">
            <v>178.12729200000001</v>
          </cell>
        </row>
        <row r="151">
          <cell r="B151">
            <v>138</v>
          </cell>
          <cell r="C151">
            <v>1</v>
          </cell>
          <cell r="D151" t="str">
            <v>Fabrication for Shape steel of platform</v>
          </cell>
          <cell r="E151" t="str">
            <v>Gia công thép hình hệ sàn đạo</v>
          </cell>
          <cell r="F151" t="str">
            <v>ton</v>
          </cell>
          <cell r="G151" t="str">
            <v>tấn</v>
          </cell>
          <cell r="H151">
            <v>366.51337799999999</v>
          </cell>
          <cell r="I151">
            <v>366.51337799999999</v>
          </cell>
          <cell r="J151">
            <v>366.51337799999999</v>
          </cell>
        </row>
        <row r="152">
          <cell r="B152">
            <v>139</v>
          </cell>
          <cell r="C152">
            <v>2</v>
          </cell>
          <cell r="D152" t="str">
            <v>Install &amp;remove for shape steel of platform</v>
          </cell>
          <cell r="E152" t="str">
            <v>Lắp dựng &amp; tháo dỡ thép hình hệ sàn đạo</v>
          </cell>
          <cell r="F152" t="str">
            <v>ton</v>
          </cell>
          <cell r="G152" t="str">
            <v>tấn</v>
          </cell>
          <cell r="H152">
            <v>366.51337799999999</v>
          </cell>
          <cell r="I152">
            <v>366.51337799999999</v>
          </cell>
          <cell r="J152">
            <v>366.51337799999999</v>
          </cell>
        </row>
        <row r="153">
          <cell r="B153">
            <v>140</v>
          </cell>
          <cell r="C153">
            <v>3</v>
          </cell>
          <cell r="D153" t="str">
            <v>Rebars, Ф32</v>
          </cell>
          <cell r="E153" t="str">
            <v>Cốt thép Ф32</v>
          </cell>
          <cell r="F153" t="str">
            <v>ton</v>
          </cell>
          <cell r="G153" t="str">
            <v>tấn</v>
          </cell>
          <cell r="H153">
            <v>1.0920000000000001</v>
          </cell>
          <cell r="I153">
            <v>1.0920000000000001</v>
          </cell>
          <cell r="J153">
            <v>1.0920000000000001</v>
          </cell>
        </row>
        <row r="154">
          <cell r="B154">
            <v>141</v>
          </cell>
          <cell r="C154">
            <v>4</v>
          </cell>
          <cell r="D154" t="str">
            <v>Anchor bolt M22</v>
          </cell>
          <cell r="E154" t="str">
            <v>Bu lông neo M22</v>
          </cell>
          <cell r="F154" t="str">
            <v>set</v>
          </cell>
          <cell r="G154" t="str">
            <v>bộ</v>
          </cell>
          <cell r="H154">
            <v>1744</v>
          </cell>
          <cell r="I154">
            <v>1744</v>
          </cell>
          <cell r="J154">
            <v>1744</v>
          </cell>
        </row>
        <row r="155">
          <cell r="B155">
            <v>142</v>
          </cell>
          <cell r="C155">
            <v>5</v>
          </cell>
          <cell r="D155" t="str">
            <v>Concrete C20 of Pylon</v>
          </cell>
          <cell r="E155" t="str">
            <v>Bê tông C20 lót trụ tháp</v>
          </cell>
          <cell r="F155" t="str">
            <v>m³</v>
          </cell>
          <cell r="G155" t="str">
            <v>m³</v>
          </cell>
          <cell r="H155">
            <v>422.286</v>
          </cell>
          <cell r="I155">
            <v>422.286</v>
          </cell>
          <cell r="J155">
            <v>422.286</v>
          </cell>
        </row>
        <row r="156">
          <cell r="B156">
            <v>143</v>
          </cell>
          <cell r="C156">
            <v>6</v>
          </cell>
          <cell r="D156" t="str">
            <v>Concrete C20</v>
          </cell>
          <cell r="E156" t="str">
            <v>Bê tông C20</v>
          </cell>
          <cell r="F156" t="str">
            <v>m³</v>
          </cell>
          <cell r="G156" t="str">
            <v>m³</v>
          </cell>
          <cell r="H156">
            <v>422.286</v>
          </cell>
          <cell r="I156">
            <v>422.286</v>
          </cell>
          <cell r="J156">
            <v>422.286</v>
          </cell>
        </row>
        <row r="157">
          <cell r="B157">
            <v>144</v>
          </cell>
          <cell r="C157">
            <v>7</v>
          </cell>
          <cell r="D157" t="str">
            <v>Fabricate ready 50 m³/h mixed concrete</v>
          </cell>
          <cell r="E157" t="str">
            <v>Sản xuất vữa bê tông trạm trộn 50m³/h</v>
          </cell>
          <cell r="F157" t="str">
            <v>m³</v>
          </cell>
          <cell r="G157" t="str">
            <v>m³</v>
          </cell>
          <cell r="H157">
            <v>434.95458000000002</v>
          </cell>
          <cell r="I157">
            <v>434.95458000000002</v>
          </cell>
          <cell r="J157">
            <v>434.95458000000002</v>
          </cell>
        </row>
        <row r="158">
          <cell r="B158">
            <v>145</v>
          </cell>
          <cell r="C158">
            <v>8</v>
          </cell>
          <cell r="D158" t="str">
            <v>Transport ready mixed concrete distance 0,5km</v>
          </cell>
          <cell r="E158" t="str">
            <v>Vận chuyển bê tông cự ly 0,5km</v>
          </cell>
          <cell r="F158" t="str">
            <v>m³</v>
          </cell>
          <cell r="G158" t="str">
            <v>m³</v>
          </cell>
          <cell r="H158">
            <v>434.95458000000002</v>
          </cell>
          <cell r="I158">
            <v>434.95458000000002</v>
          </cell>
          <cell r="J158">
            <v>434.95458000000002</v>
          </cell>
        </row>
        <row r="159">
          <cell r="B159">
            <v>146</v>
          </cell>
          <cell r="C159">
            <v>9</v>
          </cell>
          <cell r="D159" t="str">
            <v>Rebars for Pylon on river,  Ф12~Ф18</v>
          </cell>
          <cell r="E159" t="str">
            <v>Cốt thép trụ tháp dưới nước, Ф12~Ф18</v>
          </cell>
          <cell r="F159" t="str">
            <v>ton</v>
          </cell>
          <cell r="G159" t="str">
            <v>tấn</v>
          </cell>
          <cell r="H159">
            <v>194.60399999999998</v>
          </cell>
          <cell r="I159">
            <v>194.60399999999998</v>
          </cell>
          <cell r="J159">
            <v>194.60399999999998</v>
          </cell>
        </row>
        <row r="160">
          <cell r="B160">
            <v>147</v>
          </cell>
          <cell r="C160">
            <v>10</v>
          </cell>
          <cell r="D160" t="str">
            <v>Rebars for Pylon on river, Ф &gt; 32</v>
          </cell>
          <cell r="E160" t="str">
            <v>Cốt thép trụ tháp dưới nước, Ф &gt; 32</v>
          </cell>
          <cell r="F160" t="str">
            <v>ton</v>
          </cell>
          <cell r="G160" t="str">
            <v>tấn</v>
          </cell>
          <cell r="H160">
            <v>3761.76</v>
          </cell>
          <cell r="I160">
            <v>3761.76</v>
          </cell>
          <cell r="J160">
            <v>3761.76</v>
          </cell>
        </row>
        <row r="161">
          <cell r="B161">
            <v>148</v>
          </cell>
          <cell r="C161">
            <v>11</v>
          </cell>
          <cell r="D161" t="str">
            <v>Rebars for Pylon on river, Ф &gt; 32</v>
          </cell>
          <cell r="E161" t="str">
            <v>Cốt thép trụ tháp dưới nước, Ф &gt; 32</v>
          </cell>
          <cell r="F161" t="str">
            <v>ton</v>
          </cell>
          <cell r="G161" t="str">
            <v>tấn</v>
          </cell>
          <cell r="H161">
            <v>3761.76</v>
          </cell>
          <cell r="I161">
            <v>3761.76</v>
          </cell>
          <cell r="J161">
            <v>3761.76</v>
          </cell>
        </row>
        <row r="162">
          <cell r="B162">
            <v>149</v>
          </cell>
          <cell r="C162">
            <v>12</v>
          </cell>
          <cell r="D162" t="str">
            <v>Coupler D36</v>
          </cell>
          <cell r="E162" t="str">
            <v>Bộ nối cốt thép D36</v>
          </cell>
          <cell r="F162" t="str">
            <v>bộ</v>
          </cell>
          <cell r="G162" t="str">
            <v>set</v>
          </cell>
          <cell r="H162">
            <v>952</v>
          </cell>
          <cell r="I162">
            <v>952</v>
          </cell>
          <cell r="J162">
            <v>952</v>
          </cell>
        </row>
        <row r="163">
          <cell r="B163">
            <v>150</v>
          </cell>
          <cell r="C163">
            <v>13</v>
          </cell>
          <cell r="D163" t="str">
            <v>Coupler D40</v>
          </cell>
          <cell r="E163" t="str">
            <v>Bộ nối cốt thép D40</v>
          </cell>
          <cell r="F163" t="str">
            <v>bộ</v>
          </cell>
          <cell r="G163" t="str">
            <v>set</v>
          </cell>
          <cell r="H163">
            <v>44700</v>
          </cell>
          <cell r="I163">
            <v>44700</v>
          </cell>
          <cell r="J163">
            <v>44700</v>
          </cell>
        </row>
        <row r="164">
          <cell r="B164">
            <v>151</v>
          </cell>
          <cell r="C164">
            <v>14</v>
          </cell>
          <cell r="D164" t="str">
            <v>PC strand (Type 15.2mm)</v>
          </cell>
          <cell r="E164" t="str">
            <v>Tao cáp dự ứng lực (loại 15.2mm)</v>
          </cell>
          <cell r="F164" t="str">
            <v>ton</v>
          </cell>
          <cell r="G164" t="str">
            <v>tấn</v>
          </cell>
          <cell r="H164">
            <v>104.419888152</v>
          </cell>
          <cell r="I164">
            <v>104.419888152</v>
          </cell>
          <cell r="J164">
            <v>104.419888152</v>
          </cell>
        </row>
        <row r="165">
          <cell r="B165">
            <v>152</v>
          </cell>
          <cell r="C165">
            <v>15</v>
          </cell>
          <cell r="D165" t="str">
            <v>PC strand (Type 15.2mm)</v>
          </cell>
          <cell r="E165" t="str">
            <v>Tao cáp dự ứng lực (loại 15.2mm)</v>
          </cell>
          <cell r="F165" t="str">
            <v>ton</v>
          </cell>
          <cell r="G165" t="str">
            <v>tấn</v>
          </cell>
          <cell r="H165">
            <v>104.419888152</v>
          </cell>
          <cell r="I165">
            <v>104.419888152</v>
          </cell>
          <cell r="J165">
            <v>104.419888152</v>
          </cell>
        </row>
        <row r="166">
          <cell r="B166">
            <v>153</v>
          </cell>
          <cell r="C166">
            <v>16</v>
          </cell>
          <cell r="D166" t="str">
            <v>Installation of Duct Cable D120/127mm</v>
          </cell>
          <cell r="E166" t="str">
            <v>Lắp đặt ống luồn cáp D120/127mm</v>
          </cell>
          <cell r="F166" t="str">
            <v>m</v>
          </cell>
          <cell r="G166" t="str">
            <v>m</v>
          </cell>
          <cell r="H166">
            <v>1954.1120000000001</v>
          </cell>
          <cell r="I166">
            <v>1954.1120000000001</v>
          </cell>
          <cell r="J166">
            <v>1954.1120000000001</v>
          </cell>
        </row>
        <row r="167">
          <cell r="B167">
            <v>154</v>
          </cell>
          <cell r="C167">
            <v>17</v>
          </cell>
          <cell r="D167" t="str">
            <v>Installation of Duct Cable D130/137mm</v>
          </cell>
          <cell r="E167" t="str">
            <v>Lắp đặt ống luồn cáp D130/137mm</v>
          </cell>
          <cell r="F167" t="str">
            <v>m</v>
          </cell>
          <cell r="G167" t="str">
            <v>m</v>
          </cell>
          <cell r="H167">
            <v>926.04</v>
          </cell>
          <cell r="I167">
            <v>926.04</v>
          </cell>
          <cell r="J167">
            <v>926.04</v>
          </cell>
        </row>
        <row r="168">
          <cell r="B168">
            <v>155</v>
          </cell>
          <cell r="C168">
            <v>18</v>
          </cell>
          <cell r="D168" t="str">
            <v>Anchorage 15.2mmx37</v>
          </cell>
          <cell r="E168" t="str">
            <v>Lắp đặt neo công cụ 15.2mmx37</v>
          </cell>
          <cell r="F168" t="str">
            <v>set</v>
          </cell>
          <cell r="G168" t="str">
            <v>bộ</v>
          </cell>
          <cell r="H168">
            <v>88</v>
          </cell>
          <cell r="I168">
            <v>88</v>
          </cell>
          <cell r="J168">
            <v>88</v>
          </cell>
        </row>
        <row r="169">
          <cell r="B169">
            <v>156</v>
          </cell>
          <cell r="C169">
            <v>19</v>
          </cell>
          <cell r="D169" t="str">
            <v>Anchorage 15.2mmx31</v>
          </cell>
          <cell r="E169" t="str">
            <v>Lắp đặt neo công cụ 15.2mmx31</v>
          </cell>
          <cell r="F169" t="str">
            <v>set</v>
          </cell>
          <cell r="G169" t="str">
            <v>bộ</v>
          </cell>
          <cell r="H169">
            <v>96</v>
          </cell>
          <cell r="I169">
            <v>96</v>
          </cell>
          <cell r="J169">
            <v>96</v>
          </cell>
        </row>
        <row r="170">
          <cell r="B170">
            <v>157</v>
          </cell>
          <cell r="C170">
            <v>20</v>
          </cell>
          <cell r="D170" t="str">
            <v>Inject cement mortar into Duct Cable</v>
          </cell>
          <cell r="E170" t="str">
            <v>Bơm vữa xi măng ống luồn cáp</v>
          </cell>
          <cell r="F170" t="str">
            <v>m³</v>
          </cell>
          <cell r="G170" t="str">
            <v>m³</v>
          </cell>
          <cell r="H170">
            <v>26.914000000000001</v>
          </cell>
          <cell r="I170">
            <v>26.914000000000001</v>
          </cell>
          <cell r="J170">
            <v>26.914000000000001</v>
          </cell>
        </row>
        <row r="171">
          <cell r="B171">
            <v>158</v>
          </cell>
          <cell r="C171">
            <v>21</v>
          </cell>
          <cell r="D171" t="str">
            <v>Nonshrinking Mortar</v>
          </cell>
          <cell r="E171" t="str">
            <v>Vữa không co ngót</v>
          </cell>
          <cell r="F171" t="str">
            <v>m³</v>
          </cell>
          <cell r="G171" t="str">
            <v>m³</v>
          </cell>
          <cell r="J171">
            <v>0</v>
          </cell>
        </row>
        <row r="172">
          <cell r="B172">
            <v>159</v>
          </cell>
          <cell r="C172">
            <v>22</v>
          </cell>
          <cell r="D172" t="str">
            <v>PC Bar Ф47~Ф75mm</v>
          </cell>
          <cell r="E172" t="str">
            <v>Thanh dự ứng lực trụ tháp (loại Ф36~Ф75mm)</v>
          </cell>
          <cell r="F172" t="str">
            <v>ton</v>
          </cell>
          <cell r="G172" t="str">
            <v>tấn</v>
          </cell>
          <cell r="H172">
            <v>106.65047200000001</v>
          </cell>
          <cell r="I172">
            <v>106.65047200000001</v>
          </cell>
          <cell r="J172">
            <v>106.65047200000001</v>
          </cell>
        </row>
        <row r="173">
          <cell r="B173">
            <v>160</v>
          </cell>
          <cell r="C173">
            <v>23</v>
          </cell>
          <cell r="D173" t="str">
            <v>Installation of PC Bar Ф36~Ф75mm for pylon</v>
          </cell>
          <cell r="E173" t="str">
            <v xml:space="preserve">Lắp dựng thanh dự ứng lực Ф36~Ф75mm trụ tháp </v>
          </cell>
          <cell r="F173" t="str">
            <v>ton</v>
          </cell>
          <cell r="G173" t="str">
            <v>tấn</v>
          </cell>
          <cell r="H173">
            <v>106.65047200000001</v>
          </cell>
          <cell r="I173">
            <v>106.65047200000001</v>
          </cell>
          <cell r="J173">
            <v>106.65047200000001</v>
          </cell>
        </row>
        <row r="174">
          <cell r="B174">
            <v>161</v>
          </cell>
          <cell r="C174">
            <v>24</v>
          </cell>
          <cell r="D174" t="str">
            <v>Installation of Anchorage flat (Nut and plate)</v>
          </cell>
          <cell r="E174" t="str">
            <v>Lắp đặt thiết bị neo (nút và tấm)</v>
          </cell>
          <cell r="F174" t="str">
            <v>set</v>
          </cell>
          <cell r="G174" t="str">
            <v>bộ</v>
          </cell>
          <cell r="H174">
            <v>844</v>
          </cell>
          <cell r="I174">
            <v>844</v>
          </cell>
          <cell r="J174">
            <v>844</v>
          </cell>
        </row>
        <row r="175">
          <cell r="B175">
            <v>162</v>
          </cell>
          <cell r="C175">
            <v>25</v>
          </cell>
          <cell r="D175" t="str">
            <v>Sheath tube assembly</v>
          </cell>
          <cell r="E175" t="str">
            <v>Lắp ống bọc thanh dự ứng lực</v>
          </cell>
          <cell r="F175" t="str">
            <v>m</v>
          </cell>
          <cell r="G175" t="str">
            <v>m</v>
          </cell>
          <cell r="H175">
            <v>4066.16</v>
          </cell>
          <cell r="I175">
            <v>4066.16</v>
          </cell>
          <cell r="J175">
            <v>4066.16</v>
          </cell>
        </row>
        <row r="176">
          <cell r="B176">
            <v>163</v>
          </cell>
          <cell r="C176">
            <v>26</v>
          </cell>
          <cell r="D176" t="str">
            <v>Inject cement mortar into Duct Cable</v>
          </cell>
          <cell r="E176" t="str">
            <v>Bơm vữa xi măng ống luồn cáp</v>
          </cell>
          <cell r="F176" t="str">
            <v>m³</v>
          </cell>
          <cell r="G176" t="str">
            <v>m³</v>
          </cell>
          <cell r="H176">
            <v>5.87</v>
          </cell>
          <cell r="I176">
            <v>5.87</v>
          </cell>
          <cell r="J176">
            <v>5.87</v>
          </cell>
        </row>
        <row r="177">
          <cell r="B177">
            <v>164</v>
          </cell>
          <cell r="C177">
            <v>27</v>
          </cell>
          <cell r="D177" t="str">
            <v>Casting concrete C50 (Nonshrinking)</v>
          </cell>
          <cell r="E177" t="str">
            <v>Đổ bê tông C50 (không co ngót)</v>
          </cell>
          <cell r="F177" t="str">
            <v>m³</v>
          </cell>
          <cell r="G177" t="str">
            <v>m³</v>
          </cell>
          <cell r="H177">
            <v>82.117360000000019</v>
          </cell>
          <cell r="I177">
            <v>82.117360000000019</v>
          </cell>
          <cell r="J177">
            <v>82.117360000000019</v>
          </cell>
        </row>
        <row r="178">
          <cell r="B178">
            <v>165</v>
          </cell>
          <cell r="C178">
            <v>28</v>
          </cell>
          <cell r="D178" t="str">
            <v xml:space="preserve">Doors on </v>
          </cell>
          <cell r="E178" t="str">
            <v>Cửa trụ tháp</v>
          </cell>
          <cell r="F178" t="str">
            <v>Ea</v>
          </cell>
          <cell r="G178" t="str">
            <v>Cái</v>
          </cell>
          <cell r="H178">
            <v>6</v>
          </cell>
          <cell r="I178">
            <v>6</v>
          </cell>
          <cell r="J178">
            <v>6</v>
          </cell>
        </row>
        <row r="179">
          <cell r="B179">
            <v>166</v>
          </cell>
          <cell r="C179">
            <v>29</v>
          </cell>
          <cell r="D179" t="str">
            <v>Manufacture of  Door</v>
          </cell>
          <cell r="E179" t="str">
            <v>Sản xuất Cửa</v>
          </cell>
          <cell r="F179" t="str">
            <v>ton</v>
          </cell>
          <cell r="G179" t="str">
            <v>tấn</v>
          </cell>
          <cell r="H179">
            <v>1.6760000000000002</v>
          </cell>
          <cell r="I179">
            <v>1.6760000000000002</v>
          </cell>
          <cell r="J179">
            <v>1.6760000000000002</v>
          </cell>
        </row>
        <row r="180">
          <cell r="B180">
            <v>167</v>
          </cell>
          <cell r="C180">
            <v>30</v>
          </cell>
          <cell r="D180" t="str">
            <v>Installation of Door</v>
          </cell>
          <cell r="E180" t="str">
            <v>Lắp đặt cửa</v>
          </cell>
          <cell r="F180" t="str">
            <v>ton</v>
          </cell>
          <cell r="G180" t="str">
            <v>tấn</v>
          </cell>
          <cell r="H180">
            <v>1.6760000000000002</v>
          </cell>
          <cell r="I180">
            <v>1.6760000000000002</v>
          </cell>
          <cell r="J180">
            <v>1.6760000000000002</v>
          </cell>
        </row>
        <row r="181">
          <cell r="B181">
            <v>168</v>
          </cell>
          <cell r="D181" t="str">
            <v>Pile cap of Pylon</v>
          </cell>
          <cell r="E181" t="str">
            <v>Bệ cọc trụ tháp</v>
          </cell>
          <cell r="J181">
            <v>0</v>
          </cell>
        </row>
        <row r="182">
          <cell r="B182">
            <v>169</v>
          </cell>
          <cell r="C182">
            <v>1</v>
          </cell>
          <cell r="D182" t="str">
            <v>Concrete C50 for pile cap of pylon on river</v>
          </cell>
          <cell r="E182" t="str">
            <v>Bê tông C50 bệ cọc trụ tháp dưới nước</v>
          </cell>
          <cell r="F182" t="str">
            <v>m³</v>
          </cell>
          <cell r="G182" t="str">
            <v>m³</v>
          </cell>
          <cell r="H182">
            <v>1578.8</v>
          </cell>
          <cell r="I182">
            <v>1578.8</v>
          </cell>
          <cell r="J182">
            <v>1578.8</v>
          </cell>
        </row>
        <row r="183">
          <cell r="B183">
            <v>170</v>
          </cell>
          <cell r="C183">
            <v>2</v>
          </cell>
          <cell r="D183" t="str">
            <v>Concrete C50 for Pile cap of Pylon on river</v>
          </cell>
          <cell r="E183" t="str">
            <v>Bê tông C50 bệ cọc trụ tháp dưới nước</v>
          </cell>
          <cell r="F183" t="str">
            <v>m³</v>
          </cell>
          <cell r="G183" t="str">
            <v>m³</v>
          </cell>
          <cell r="H183">
            <v>1578.8</v>
          </cell>
          <cell r="I183">
            <v>1578.8</v>
          </cell>
          <cell r="J183">
            <v>1578.8</v>
          </cell>
        </row>
        <row r="184">
          <cell r="B184">
            <v>171</v>
          </cell>
          <cell r="C184">
            <v>3</v>
          </cell>
          <cell r="D184" t="str">
            <v>Fabricate ready 50 m³/h mixed concrete</v>
          </cell>
          <cell r="E184" t="str">
            <v>Sản xuất vữa bê tông trạm trộn 50m³/h</v>
          </cell>
          <cell r="F184" t="str">
            <v>m³</v>
          </cell>
          <cell r="G184" t="str">
            <v>m³</v>
          </cell>
          <cell r="H184">
            <v>1618.2699999999998</v>
          </cell>
          <cell r="I184">
            <v>1618.2699999999998</v>
          </cell>
          <cell r="J184">
            <v>1618.2699999999998</v>
          </cell>
        </row>
        <row r="185">
          <cell r="B185">
            <v>172</v>
          </cell>
          <cell r="C185">
            <v>4</v>
          </cell>
          <cell r="D185" t="str">
            <v>Transport ready mixed concrete distance 0,5km</v>
          </cell>
          <cell r="E185" t="str">
            <v>Vận chuyển bê tông cự ly 0,5km</v>
          </cell>
          <cell r="F185" t="str">
            <v>m³</v>
          </cell>
          <cell r="G185" t="str">
            <v>m³</v>
          </cell>
          <cell r="H185">
            <v>1618.2699999999998</v>
          </cell>
          <cell r="I185">
            <v>1618.2699999999998</v>
          </cell>
          <cell r="J185">
            <v>1618.2699999999998</v>
          </cell>
        </row>
        <row r="186">
          <cell r="B186">
            <v>173</v>
          </cell>
          <cell r="C186">
            <v>5</v>
          </cell>
          <cell r="D186" t="str">
            <v>Steel formwork for pile cap of pylon on river</v>
          </cell>
          <cell r="E186" t="str">
            <v>Ván khuôn kim loại trụ cầu dưới nước</v>
          </cell>
          <cell r="F186" t="str">
            <v>m²</v>
          </cell>
          <cell r="G186" t="str">
            <v>m²</v>
          </cell>
          <cell r="H186">
            <v>1223.2940000000001</v>
          </cell>
          <cell r="I186">
            <v>1223.2940000000001</v>
          </cell>
          <cell r="J186">
            <v>1223.2940000000001</v>
          </cell>
        </row>
        <row r="187">
          <cell r="B187">
            <v>174</v>
          </cell>
          <cell r="C187">
            <v>6</v>
          </cell>
          <cell r="D187" t="str">
            <v>Concrete C40 for Pile cap of pylon on river</v>
          </cell>
          <cell r="E187" t="str">
            <v>Bê tông C40 bệ cọc trụ tháp dưới nước</v>
          </cell>
          <cell r="F187" t="str">
            <v>m³</v>
          </cell>
          <cell r="G187" t="str">
            <v>m³</v>
          </cell>
          <cell r="H187">
            <v>18836.599999999999</v>
          </cell>
          <cell r="I187">
            <v>18836.599999999999</v>
          </cell>
          <cell r="J187">
            <v>18836.599999999999</v>
          </cell>
        </row>
        <row r="188">
          <cell r="B188">
            <v>175</v>
          </cell>
          <cell r="C188">
            <v>7</v>
          </cell>
          <cell r="D188" t="str">
            <v>Concrete C40 for Pile cap of Pylon on river</v>
          </cell>
          <cell r="E188" t="str">
            <v>Bê tông C40 bệ cọc trụ tháp dưới nước</v>
          </cell>
          <cell r="F188" t="str">
            <v>m³</v>
          </cell>
          <cell r="G188" t="str">
            <v>m³</v>
          </cell>
          <cell r="H188">
            <v>18836.599999999999</v>
          </cell>
          <cell r="I188">
            <v>18836.599999999999</v>
          </cell>
          <cell r="J188">
            <v>18836.599999999999</v>
          </cell>
        </row>
        <row r="189">
          <cell r="B189">
            <v>176</v>
          </cell>
          <cell r="C189">
            <v>8</v>
          </cell>
          <cell r="D189" t="str">
            <v>Fabricate ready 50 m³/h mixed concrete</v>
          </cell>
          <cell r="E189" t="str">
            <v>Sản xuất vữa bê tông trạm trộn 50m³/h</v>
          </cell>
          <cell r="F189" t="str">
            <v>m³</v>
          </cell>
          <cell r="G189" t="str">
            <v>m³</v>
          </cell>
          <cell r="H189">
            <v>19307.514999999996</v>
          </cell>
          <cell r="I189">
            <v>19307.514999999996</v>
          </cell>
          <cell r="J189">
            <v>19307.514999999996</v>
          </cell>
        </row>
        <row r="190">
          <cell r="B190">
            <v>177</v>
          </cell>
          <cell r="C190">
            <v>9</v>
          </cell>
          <cell r="D190" t="str">
            <v>Transport ready mixed concrete distance 0,5km</v>
          </cell>
          <cell r="E190" t="str">
            <v>Vận chuyển bê tông cự ly 0,5km</v>
          </cell>
          <cell r="F190" t="str">
            <v>m³</v>
          </cell>
          <cell r="G190" t="str">
            <v>m³</v>
          </cell>
          <cell r="H190">
            <v>19307.514999999996</v>
          </cell>
          <cell r="I190">
            <v>19307.514999999996</v>
          </cell>
          <cell r="J190">
            <v>19307.514999999996</v>
          </cell>
        </row>
        <row r="191">
          <cell r="B191">
            <v>178</v>
          </cell>
          <cell r="C191">
            <v>10</v>
          </cell>
          <cell r="D191" t="str">
            <v>Rebars for pile cap of pylon on river, Ф ≤ 18</v>
          </cell>
          <cell r="E191" t="str">
            <v>Cốt thép bệ cọc trụ tháp dưới nước, Ф ≤ 18</v>
          </cell>
          <cell r="F191" t="str">
            <v>ton</v>
          </cell>
          <cell r="G191" t="str">
            <v>tấn</v>
          </cell>
          <cell r="H191">
            <v>16.646000000000001</v>
          </cell>
          <cell r="I191">
            <v>16.646000000000001</v>
          </cell>
          <cell r="J191">
            <v>16.646000000000001</v>
          </cell>
        </row>
        <row r="192">
          <cell r="B192">
            <v>179</v>
          </cell>
          <cell r="C192">
            <v>11</v>
          </cell>
          <cell r="D192" t="str">
            <v>Rebars for pile cap of pylon on river, Ф &gt; 18</v>
          </cell>
          <cell r="E192" t="str">
            <v>Cốt thép bệ cọc trụ tháp dưới nước, Ф &gt; 18</v>
          </cell>
          <cell r="F192" t="str">
            <v>ton</v>
          </cell>
          <cell r="G192" t="str">
            <v>tấn</v>
          </cell>
          <cell r="H192">
            <v>4082.5039999999999</v>
          </cell>
          <cell r="I192">
            <v>4082.5039999999999</v>
          </cell>
          <cell r="J192">
            <v>4082.5039999999999</v>
          </cell>
        </row>
        <row r="193">
          <cell r="B193">
            <v>180</v>
          </cell>
          <cell r="C193">
            <v>12</v>
          </cell>
          <cell r="D193" t="str">
            <v>Rebars for pile cap of pylon on river, Ф &gt; 18</v>
          </cell>
          <cell r="E193" t="str">
            <v>Cốt thép bệ cọc trụ tháp dưới nước, Ф &gt; 18</v>
          </cell>
          <cell r="F193" t="str">
            <v>ton</v>
          </cell>
          <cell r="G193" t="str">
            <v>tấn</v>
          </cell>
          <cell r="H193">
            <v>4082.5039999999999</v>
          </cell>
          <cell r="I193">
            <v>4082.5039999999999</v>
          </cell>
          <cell r="J193">
            <v>4082.5039999999999</v>
          </cell>
        </row>
        <row r="194">
          <cell r="B194">
            <v>181</v>
          </cell>
          <cell r="C194">
            <v>13</v>
          </cell>
          <cell r="D194" t="str">
            <v>Coupler D36</v>
          </cell>
          <cell r="E194" t="str">
            <v>Bộ nối cốt thép D36</v>
          </cell>
          <cell r="F194" t="str">
            <v>bộ</v>
          </cell>
          <cell r="G194" t="str">
            <v>set</v>
          </cell>
          <cell r="H194">
            <v>3502</v>
          </cell>
          <cell r="I194">
            <v>3502</v>
          </cell>
          <cell r="J194">
            <v>3502</v>
          </cell>
        </row>
        <row r="195">
          <cell r="B195">
            <v>182</v>
          </cell>
          <cell r="C195">
            <v>14</v>
          </cell>
          <cell r="D195" t="str">
            <v>Coupler D40</v>
          </cell>
          <cell r="E195" t="str">
            <v>Bộ nối cốt thép D40</v>
          </cell>
          <cell r="F195" t="str">
            <v>bộ</v>
          </cell>
          <cell r="G195" t="str">
            <v>set</v>
          </cell>
          <cell r="H195">
            <v>30456</v>
          </cell>
          <cell r="I195">
            <v>30456</v>
          </cell>
          <cell r="J195">
            <v>30456</v>
          </cell>
        </row>
        <row r="196">
          <cell r="B196">
            <v>183</v>
          </cell>
          <cell r="D196" t="str">
            <v>Soffit &amp; Skirt Panels</v>
          </cell>
          <cell r="E196" t="str">
            <v>Khung tấm bê tông đúc sẵn</v>
          </cell>
          <cell r="J196">
            <v>0</v>
          </cell>
        </row>
        <row r="197">
          <cell r="B197">
            <v>184</v>
          </cell>
          <cell r="C197">
            <v>1</v>
          </cell>
          <cell r="D197" t="str">
            <v>Casting concrete C25 of Precast panen of pylon</v>
          </cell>
          <cell r="E197" t="str">
            <v>Bê tông C25 cho tấm đúc sẵn trụ tháp</v>
          </cell>
          <cell r="F197" t="str">
            <v>m³</v>
          </cell>
          <cell r="G197" t="str">
            <v>m³</v>
          </cell>
          <cell r="H197">
            <v>1542.1460000000002</v>
          </cell>
          <cell r="I197">
            <v>1542.1460000000002</v>
          </cell>
          <cell r="J197">
            <v>1542.1460000000002</v>
          </cell>
        </row>
        <row r="198">
          <cell r="B198">
            <v>185</v>
          </cell>
          <cell r="C198">
            <v>2</v>
          </cell>
          <cell r="D198" t="str">
            <v>Casting concrete C25 of Precast panen</v>
          </cell>
          <cell r="E198" t="str">
            <v>Bê tông C25 cho tấm đúc sẵn trụ tháp</v>
          </cell>
          <cell r="F198" t="str">
            <v>m³</v>
          </cell>
          <cell r="G198" t="str">
            <v>m³</v>
          </cell>
          <cell r="H198">
            <v>1542.1460000000002</v>
          </cell>
          <cell r="I198">
            <v>1542.1460000000002</v>
          </cell>
          <cell r="J198">
            <v>1542.1460000000002</v>
          </cell>
        </row>
        <row r="199">
          <cell r="B199">
            <v>186</v>
          </cell>
          <cell r="C199">
            <v>3</v>
          </cell>
          <cell r="D199" t="str">
            <v>Fabricate ready 50 m³/h mixed concrete</v>
          </cell>
          <cell r="E199" t="str">
            <v>Sản xuất vữa bê tông trạm trộn 50m³/h</v>
          </cell>
          <cell r="F199" t="str">
            <v>m³</v>
          </cell>
          <cell r="G199" t="str">
            <v>m³</v>
          </cell>
          <cell r="H199">
            <v>1565.27819</v>
          </cell>
          <cell r="I199">
            <v>1565.27819</v>
          </cell>
          <cell r="J199">
            <v>1565.27819</v>
          </cell>
        </row>
        <row r="200">
          <cell r="B200">
            <v>187</v>
          </cell>
          <cell r="C200">
            <v>4</v>
          </cell>
          <cell r="D200" t="str">
            <v>Transport ready mixed concrete distance 0,5km</v>
          </cell>
          <cell r="E200" t="str">
            <v>Vận chuyển bê tông cự ly 0,5km</v>
          </cell>
          <cell r="F200" t="str">
            <v>m³</v>
          </cell>
          <cell r="G200" t="str">
            <v>m³</v>
          </cell>
          <cell r="H200">
            <v>1565.27819</v>
          </cell>
          <cell r="I200">
            <v>1565.27819</v>
          </cell>
          <cell r="J200">
            <v>1565.27819</v>
          </cell>
        </row>
        <row r="201">
          <cell r="B201">
            <v>188</v>
          </cell>
          <cell r="C201">
            <v>5</v>
          </cell>
          <cell r="D201" t="str">
            <v>Formwork for precast structure</v>
          </cell>
          <cell r="E201" t="str">
            <v>Ván khuôn tấm bê tông đúc sẵn</v>
          </cell>
          <cell r="F201" t="str">
            <v>m²</v>
          </cell>
          <cell r="G201" t="str">
            <v>m²</v>
          </cell>
          <cell r="H201">
            <v>1352.96</v>
          </cell>
          <cell r="I201">
            <v>1352.96</v>
          </cell>
          <cell r="J201">
            <v>1352.96</v>
          </cell>
        </row>
        <row r="202">
          <cell r="B202">
            <v>189</v>
          </cell>
          <cell r="C202">
            <v>6</v>
          </cell>
          <cell r="D202" t="str">
            <v>Rebar for precast Ф12~Ф18</v>
          </cell>
          <cell r="E202" t="str">
            <v>Cốt thép đúc sẵn, Ф12~Ф18</v>
          </cell>
          <cell r="F202" t="str">
            <v>ton</v>
          </cell>
          <cell r="G202" t="str">
            <v>tấn</v>
          </cell>
          <cell r="H202">
            <v>258.90800000000002</v>
          </cell>
          <cell r="I202">
            <v>258.90800000000002</v>
          </cell>
          <cell r="J202">
            <v>258.90800000000002</v>
          </cell>
        </row>
        <row r="203">
          <cell r="B203">
            <v>190</v>
          </cell>
          <cell r="C203">
            <v>7</v>
          </cell>
          <cell r="D203" t="str">
            <v>Rebar for precast Ф20~Ф32</v>
          </cell>
          <cell r="E203" t="str">
            <v>Cốt thép đúc sẵn, Ф20~Ф32</v>
          </cell>
          <cell r="F203" t="str">
            <v>ton</v>
          </cell>
          <cell r="G203" t="str">
            <v>tấn</v>
          </cell>
          <cell r="H203">
            <v>13.85</v>
          </cell>
          <cell r="I203">
            <v>13.85</v>
          </cell>
          <cell r="J203">
            <v>13.85</v>
          </cell>
        </row>
        <row r="204">
          <cell r="B204">
            <v>191</v>
          </cell>
          <cell r="C204">
            <v>8</v>
          </cell>
          <cell r="D204" t="str">
            <v>Transport precast deck panel to the site</v>
          </cell>
          <cell r="E204" t="str">
            <v>Chuyển tấm đúc sẵn ra hiện trường</v>
          </cell>
          <cell r="F204" t="str">
            <v>set</v>
          </cell>
          <cell r="G204" t="str">
            <v>tấm</v>
          </cell>
          <cell r="H204">
            <v>284</v>
          </cell>
          <cell r="I204">
            <v>284</v>
          </cell>
          <cell r="J204">
            <v>284</v>
          </cell>
        </row>
        <row r="205">
          <cell r="B205">
            <v>192</v>
          </cell>
          <cell r="C205">
            <v>9</v>
          </cell>
          <cell r="D205" t="str">
            <v>Installation of precast deck panel</v>
          </cell>
          <cell r="E205" t="str">
            <v>Lắp tấm BTCT đúc sẵn</v>
          </cell>
          <cell r="F205" t="str">
            <v>set</v>
          </cell>
          <cell r="G205" t="str">
            <v>tấm</v>
          </cell>
          <cell r="H205">
            <v>284</v>
          </cell>
          <cell r="I205">
            <v>284</v>
          </cell>
          <cell r="J205">
            <v>284</v>
          </cell>
        </row>
        <row r="206">
          <cell r="B206">
            <v>193</v>
          </cell>
          <cell r="C206">
            <v>10</v>
          </cell>
          <cell r="D206" t="str">
            <v xml:space="preserve">Fabrication for Shape steel of notch support </v>
          </cell>
          <cell r="E206" t="str">
            <v xml:space="preserve">Gia công thép hình phục vụ thi công mấu đỡ </v>
          </cell>
          <cell r="F206" t="str">
            <v>ton</v>
          </cell>
          <cell r="G206" t="str">
            <v>tấn</v>
          </cell>
          <cell r="H206">
            <v>542.76</v>
          </cell>
          <cell r="I206">
            <v>542.76</v>
          </cell>
          <cell r="J206">
            <v>542.76</v>
          </cell>
        </row>
        <row r="207">
          <cell r="B207">
            <v>194</v>
          </cell>
          <cell r="C207">
            <v>11</v>
          </cell>
          <cell r="D207" t="str">
            <v xml:space="preserve">Install Shape steel of notch support </v>
          </cell>
          <cell r="E207" t="str">
            <v xml:space="preserve">Lắp dựng thép hình phục vụ thi công mấu đỡ </v>
          </cell>
          <cell r="F207" t="str">
            <v>ton</v>
          </cell>
          <cell r="G207" t="str">
            <v>tấn</v>
          </cell>
          <cell r="H207">
            <v>542.76</v>
          </cell>
          <cell r="I207">
            <v>542.76</v>
          </cell>
          <cell r="J207">
            <v>542.76</v>
          </cell>
        </row>
        <row r="208">
          <cell r="B208">
            <v>195</v>
          </cell>
          <cell r="D208" t="str">
            <v>CIP Bored  Pile D2500mm (on river)</v>
          </cell>
          <cell r="E208" t="str">
            <v>Cọc khoan nhồi D2500mm dưới nước</v>
          </cell>
          <cell r="J208">
            <v>0</v>
          </cell>
        </row>
        <row r="209">
          <cell r="B209">
            <v>196</v>
          </cell>
          <cell r="C209">
            <v>1</v>
          </cell>
          <cell r="D209" t="str">
            <v>CIP Bored  Pile D2500mm (on river)</v>
          </cell>
          <cell r="E209" t="str">
            <v>Cọc khoan nhồi D2500mm dưới nước</v>
          </cell>
          <cell r="F209" t="str">
            <v>md</v>
          </cell>
          <cell r="G209" t="str">
            <v>md</v>
          </cell>
          <cell r="H209">
            <v>7328</v>
          </cell>
          <cell r="I209">
            <v>7328</v>
          </cell>
          <cell r="J209">
            <v>7328</v>
          </cell>
        </row>
        <row r="210">
          <cell r="B210">
            <v>197</v>
          </cell>
          <cell r="C210">
            <v>2</v>
          </cell>
          <cell r="D210" t="str">
            <v>Base Grouting on 2.5m in dia. Pile</v>
          </cell>
          <cell r="E210" t="str">
            <v>Bơm vữa xi măng mũi cọc 2.5m</v>
          </cell>
          <cell r="F210" t="str">
            <v>pile</v>
          </cell>
          <cell r="G210" t="str">
            <v>cọc</v>
          </cell>
          <cell r="H210">
            <v>64</v>
          </cell>
          <cell r="I210">
            <v>64</v>
          </cell>
          <cell r="J210">
            <v>64</v>
          </cell>
        </row>
        <row r="211">
          <cell r="B211">
            <v>198</v>
          </cell>
          <cell r="D211" t="str">
            <v>Load test Bored Pile</v>
          </cell>
          <cell r="E211" t="str">
            <v>Thử tải cọc khoan nhồi</v>
          </cell>
          <cell r="J211">
            <v>0</v>
          </cell>
        </row>
        <row r="212">
          <cell r="B212">
            <v>199</v>
          </cell>
          <cell r="C212">
            <v>1</v>
          </cell>
          <cell r="D212" t="str">
            <v>Static load test D2500 (O_Cell - 6000T)</v>
          </cell>
          <cell r="E212" t="str">
            <v>Thử tải tĩnh cọc D2500 (O_Cell) dưới nước (6000T)</v>
          </cell>
          <cell r="F212" t="str">
            <v>pile</v>
          </cell>
          <cell r="G212" t="str">
            <v>cọc</v>
          </cell>
          <cell r="H212">
            <v>2</v>
          </cell>
          <cell r="I212">
            <v>2</v>
          </cell>
          <cell r="J212">
            <v>2</v>
          </cell>
        </row>
        <row r="213">
          <cell r="B213">
            <v>200</v>
          </cell>
          <cell r="C213">
            <v>2</v>
          </cell>
          <cell r="D213" t="str">
            <v>Pile Dynamic Analysis</v>
          </cell>
          <cell r="E213" t="str">
            <v>Thử tải cọc bằng phương pháp PDA</v>
          </cell>
          <cell r="F213" t="str">
            <v>pile</v>
          </cell>
          <cell r="G213" t="str">
            <v>cọc</v>
          </cell>
          <cell r="H213">
            <v>2</v>
          </cell>
          <cell r="I213">
            <v>2</v>
          </cell>
          <cell r="J213">
            <v>2</v>
          </cell>
        </row>
        <row r="215">
          <cell r="B215">
            <v>201</v>
          </cell>
          <cell r="C215">
            <v>1</v>
          </cell>
          <cell r="D215" t="str">
            <v>Drill for checking and treatment of bottom bored pile</v>
          </cell>
          <cell r="E215" t="str">
            <v>Khoan kiểm tra, xử lý đáy cọc khoan nhồi</v>
          </cell>
          <cell r="F215" t="str">
            <v>pile</v>
          </cell>
          <cell r="G215" t="str">
            <v>cọc</v>
          </cell>
          <cell r="H215">
            <v>2</v>
          </cell>
          <cell r="I215">
            <v>2</v>
          </cell>
          <cell r="J215">
            <v>2</v>
          </cell>
        </row>
        <row r="218">
          <cell r="B218">
            <v>202</v>
          </cell>
          <cell r="D218" t="str">
            <v>2. Anchorage Pier</v>
          </cell>
          <cell r="E218" t="str">
            <v>2.Trụ neo</v>
          </cell>
          <cell r="J218">
            <v>0</v>
          </cell>
        </row>
        <row r="219">
          <cell r="B219">
            <v>203</v>
          </cell>
          <cell r="D219" t="str">
            <v>Anchorage Pier</v>
          </cell>
          <cell r="E219" t="str">
            <v>Trụ neo</v>
          </cell>
          <cell r="J219">
            <v>0</v>
          </cell>
        </row>
        <row r="220">
          <cell r="B220">
            <v>204</v>
          </cell>
          <cell r="C220">
            <v>1</v>
          </cell>
          <cell r="D220" t="str">
            <v>Concrete C40 of Anchorage pier on river</v>
          </cell>
          <cell r="E220" t="str">
            <v>Bê tông C40 trụ neo dưới nước</v>
          </cell>
          <cell r="F220" t="str">
            <v>m³</v>
          </cell>
          <cell r="G220" t="str">
            <v>m³</v>
          </cell>
          <cell r="H220">
            <v>3109.002</v>
          </cell>
          <cell r="I220">
            <v>3109.002</v>
          </cell>
          <cell r="J220">
            <v>3109.002</v>
          </cell>
        </row>
        <row r="221">
          <cell r="B221">
            <v>205</v>
          </cell>
          <cell r="C221">
            <v>2</v>
          </cell>
          <cell r="D221" t="str">
            <v>Concrete C40 for Anchorage Pier on river</v>
          </cell>
          <cell r="E221" t="str">
            <v>Bê tông C40 trụ neo dưới nước</v>
          </cell>
          <cell r="F221" t="str">
            <v>m³</v>
          </cell>
          <cell r="G221" t="str">
            <v>m³</v>
          </cell>
          <cell r="H221">
            <v>3109.002</v>
          </cell>
          <cell r="I221">
            <v>3109.002</v>
          </cell>
          <cell r="J221">
            <v>3109.002</v>
          </cell>
        </row>
        <row r="222">
          <cell r="B222">
            <v>206</v>
          </cell>
          <cell r="C222">
            <v>3</v>
          </cell>
          <cell r="D222" t="str">
            <v>Fabricate ready 50m³/h mixed concrete</v>
          </cell>
          <cell r="E222" t="str">
            <v>Sản xuất vữa bê tông trạm trộn 50m³/h</v>
          </cell>
          <cell r="F222" t="str">
            <v>m³</v>
          </cell>
          <cell r="G222" t="str">
            <v>m³</v>
          </cell>
          <cell r="H222">
            <v>3186.7270499999995</v>
          </cell>
          <cell r="I222">
            <v>3186.7270499999995</v>
          </cell>
          <cell r="J222">
            <v>3186.7270499999995</v>
          </cell>
        </row>
        <row r="223">
          <cell r="B223">
            <v>207</v>
          </cell>
          <cell r="C223">
            <v>4</v>
          </cell>
          <cell r="D223" t="str">
            <v>Transport ready mixed concrete distance 0,5km</v>
          </cell>
          <cell r="E223" t="str">
            <v>Vận chuyển bê tông cự ly 0,5km</v>
          </cell>
          <cell r="F223" t="str">
            <v>m³</v>
          </cell>
          <cell r="G223" t="str">
            <v>m³</v>
          </cell>
          <cell r="H223">
            <v>3186.7270499999995</v>
          </cell>
          <cell r="I223">
            <v>3186.7270499999995</v>
          </cell>
          <cell r="J223">
            <v>3186.7270499999995</v>
          </cell>
        </row>
        <row r="224">
          <cell r="B224">
            <v>208</v>
          </cell>
          <cell r="C224">
            <v>5</v>
          </cell>
          <cell r="D224" t="str">
            <v>Steel formwork for Anchorage Pier on river</v>
          </cell>
          <cell r="E224" t="str">
            <v>Ván khuôn kim loại trụ neo dưới nước</v>
          </cell>
          <cell r="F224" t="str">
            <v>m²</v>
          </cell>
          <cell r="G224" t="str">
            <v>m²</v>
          </cell>
          <cell r="H224">
            <v>1371.88</v>
          </cell>
          <cell r="I224">
            <v>1371.88</v>
          </cell>
          <cell r="J224">
            <v>1371.88</v>
          </cell>
        </row>
        <row r="225">
          <cell r="B225">
            <v>209</v>
          </cell>
          <cell r="C225">
            <v>6</v>
          </cell>
          <cell r="D225" t="str">
            <v>Fabrication for Shape steel of platform</v>
          </cell>
          <cell r="E225" t="str">
            <v>Gia công thép hình hệ sàn đạo</v>
          </cell>
          <cell r="F225" t="str">
            <v>ton</v>
          </cell>
          <cell r="G225" t="str">
            <v>tấn</v>
          </cell>
          <cell r="H225">
            <v>23.165198745920005</v>
          </cell>
          <cell r="I225">
            <v>23.165198745920005</v>
          </cell>
          <cell r="J225">
            <v>23.165198745920005</v>
          </cell>
        </row>
        <row r="226">
          <cell r="B226">
            <v>210</v>
          </cell>
          <cell r="C226">
            <v>7</v>
          </cell>
          <cell r="D226" t="str">
            <v>Install &amp;remove for shape steel of platform</v>
          </cell>
          <cell r="E226" t="str">
            <v>Lắp dựng &amp; tháo dỡ thép hình hệ sàn đạo</v>
          </cell>
          <cell r="F226" t="str">
            <v>ton</v>
          </cell>
          <cell r="G226" t="str">
            <v>tấn</v>
          </cell>
          <cell r="H226">
            <v>23.165198745920005</v>
          </cell>
          <cell r="I226">
            <v>23.165198745920005</v>
          </cell>
          <cell r="J226">
            <v>23.165198745920005</v>
          </cell>
        </row>
        <row r="227">
          <cell r="B227">
            <v>211</v>
          </cell>
          <cell r="C227">
            <v>8</v>
          </cell>
          <cell r="D227" t="str">
            <v>Installation of Duct Cable D140/143mm</v>
          </cell>
          <cell r="E227" t="str">
            <v>Lắp đặt ống luồn cáp D140/143mm</v>
          </cell>
          <cell r="F227" t="str">
            <v>m</v>
          </cell>
          <cell r="G227" t="str">
            <v>m</v>
          </cell>
          <cell r="H227">
            <v>76.8</v>
          </cell>
          <cell r="I227">
            <v>76.8</v>
          </cell>
          <cell r="J227">
            <v>76.8</v>
          </cell>
        </row>
        <row r="228">
          <cell r="B228">
            <v>212</v>
          </cell>
          <cell r="C228">
            <v>9</v>
          </cell>
          <cell r="D228" t="str">
            <v>Rebars for Anchorage Pier on the river, Ф12~ Ф18</v>
          </cell>
          <cell r="E228" t="str">
            <v>Cốt thép trụ neo dưới nước, Ф12~ Ф18</v>
          </cell>
          <cell r="F228" t="str">
            <v>ton</v>
          </cell>
          <cell r="G228" t="str">
            <v>tấn</v>
          </cell>
          <cell r="H228">
            <v>30.826000000000001</v>
          </cell>
          <cell r="I228">
            <v>30.826000000000001</v>
          </cell>
          <cell r="J228">
            <v>30.826000000000001</v>
          </cell>
        </row>
        <row r="229">
          <cell r="B229">
            <v>213</v>
          </cell>
          <cell r="C229">
            <v>10</v>
          </cell>
          <cell r="D229" t="str">
            <v>Rebars for Anchorage Pier on the river, Ф &gt;18</v>
          </cell>
          <cell r="E229" t="str">
            <v>Cốt thép trụ neo dưới nước, Ф &gt;18</v>
          </cell>
          <cell r="F229" t="str">
            <v>ton</v>
          </cell>
          <cell r="G229" t="str">
            <v>tấn</v>
          </cell>
          <cell r="H229">
            <v>354.15999999999997</v>
          </cell>
          <cell r="I229">
            <v>354.15999999999997</v>
          </cell>
          <cell r="J229">
            <v>354.15999999999997</v>
          </cell>
        </row>
        <row r="230">
          <cell r="B230">
            <v>214</v>
          </cell>
          <cell r="C230">
            <v>11</v>
          </cell>
          <cell r="D230" t="str">
            <v>Rebars for Pylon on river, Ф &gt;18</v>
          </cell>
          <cell r="E230" t="str">
            <v>Cốt thép trụ tháp dưới nước, Ф &gt; 18</v>
          </cell>
          <cell r="F230" t="str">
            <v>ton</v>
          </cell>
          <cell r="G230" t="str">
            <v>tấn</v>
          </cell>
          <cell r="H230">
            <v>354.15999999999997</v>
          </cell>
          <cell r="I230">
            <v>354.15999999999997</v>
          </cell>
          <cell r="J230">
            <v>354.15999999999997</v>
          </cell>
        </row>
        <row r="231">
          <cell r="B231">
            <v>215</v>
          </cell>
          <cell r="C231">
            <v>12</v>
          </cell>
          <cell r="D231" t="str">
            <v>Coupler D40</v>
          </cell>
          <cell r="E231" t="str">
            <v>Bộ nối cốt thép D40</v>
          </cell>
          <cell r="F231" t="str">
            <v>bộ</v>
          </cell>
          <cell r="G231" t="str">
            <v>set</v>
          </cell>
          <cell r="H231">
            <v>372</v>
          </cell>
          <cell r="I231">
            <v>372</v>
          </cell>
          <cell r="J231">
            <v>372</v>
          </cell>
        </row>
        <row r="232">
          <cell r="B232">
            <v>216</v>
          </cell>
          <cell r="C232">
            <v>13</v>
          </cell>
          <cell r="D232" t="str">
            <v>Bedding concrete C20Anchorage Pier</v>
          </cell>
          <cell r="E232" t="str">
            <v>Bê tông C20 lót móng trụ neo</v>
          </cell>
          <cell r="F232" t="str">
            <v>m³</v>
          </cell>
          <cell r="G232" t="str">
            <v>m³</v>
          </cell>
          <cell r="H232">
            <v>640.46400000000006</v>
          </cell>
          <cell r="I232">
            <v>640.46400000000006</v>
          </cell>
          <cell r="J232">
            <v>640.46400000000006</v>
          </cell>
        </row>
        <row r="233">
          <cell r="B233">
            <v>217</v>
          </cell>
          <cell r="C233">
            <v>14</v>
          </cell>
          <cell r="D233" t="str">
            <v>Bedding concrete C20</v>
          </cell>
          <cell r="E233" t="str">
            <v>Bê tông C20 lót móng</v>
          </cell>
          <cell r="F233" t="str">
            <v>m³</v>
          </cell>
          <cell r="G233" t="str">
            <v>m³</v>
          </cell>
          <cell r="H233">
            <v>640.46400000000006</v>
          </cell>
          <cell r="I233">
            <v>640.46400000000006</v>
          </cell>
          <cell r="J233">
            <v>640.46400000000006</v>
          </cell>
        </row>
        <row r="234">
          <cell r="B234">
            <v>218</v>
          </cell>
          <cell r="C234">
            <v>15</v>
          </cell>
          <cell r="D234" t="str">
            <v>Fabricate ready 50 m³/h mixed concrete</v>
          </cell>
          <cell r="E234" t="str">
            <v>Sản xuất vữa bê tông trạm trộn 50m³/h</v>
          </cell>
          <cell r="F234" t="str">
            <v>m³</v>
          </cell>
          <cell r="G234" t="str">
            <v>m³</v>
          </cell>
          <cell r="H234">
            <v>659.67792000000009</v>
          </cell>
          <cell r="I234">
            <v>659.67792000000009</v>
          </cell>
          <cell r="J234">
            <v>659.67792000000009</v>
          </cell>
        </row>
        <row r="235">
          <cell r="B235">
            <v>219</v>
          </cell>
          <cell r="C235">
            <v>16</v>
          </cell>
          <cell r="D235" t="str">
            <v>Transport ready mixed concrete distance 0,5km</v>
          </cell>
          <cell r="E235" t="str">
            <v>Vận chuyển bê tông cự ly 0,5km</v>
          </cell>
          <cell r="F235" t="str">
            <v>m³</v>
          </cell>
          <cell r="G235" t="str">
            <v>m³</v>
          </cell>
          <cell r="H235">
            <v>659.67792000000009</v>
          </cell>
          <cell r="I235">
            <v>659.67792000000009</v>
          </cell>
          <cell r="J235">
            <v>659.67792000000009</v>
          </cell>
        </row>
        <row r="236">
          <cell r="B236">
            <v>220</v>
          </cell>
          <cell r="D236" t="str">
            <v xml:space="preserve">Doors on Anchorage Pier </v>
          </cell>
          <cell r="E236" t="str">
            <v>Cửa trụ neo</v>
          </cell>
          <cell r="F236" t="str">
            <v>cai</v>
          </cell>
          <cell r="G236" t="str">
            <v>tấn</v>
          </cell>
          <cell r="H236">
            <v>4</v>
          </cell>
          <cell r="I236">
            <v>4</v>
          </cell>
          <cell r="J236">
            <v>4</v>
          </cell>
        </row>
        <row r="237">
          <cell r="B237">
            <v>221</v>
          </cell>
          <cell r="C237">
            <v>1</v>
          </cell>
          <cell r="D237" t="str">
            <v>Manufacture of  Door</v>
          </cell>
          <cell r="E237" t="str">
            <v>Sản xuất Cửa</v>
          </cell>
          <cell r="F237" t="str">
            <v>ton</v>
          </cell>
          <cell r="G237" t="str">
            <v>tấn</v>
          </cell>
          <cell r="H237">
            <v>0.34</v>
          </cell>
          <cell r="I237">
            <v>0.34</v>
          </cell>
          <cell r="J237">
            <v>0.34</v>
          </cell>
        </row>
        <row r="238">
          <cell r="B238">
            <v>222</v>
          </cell>
          <cell r="C238">
            <v>2</v>
          </cell>
          <cell r="D238" t="str">
            <v>Installation of Door</v>
          </cell>
          <cell r="E238" t="str">
            <v>Lắp đặt cửa</v>
          </cell>
          <cell r="F238" t="str">
            <v>ton</v>
          </cell>
          <cell r="G238" t="str">
            <v>tấn</v>
          </cell>
          <cell r="H238">
            <v>0.34</v>
          </cell>
          <cell r="I238">
            <v>0.34</v>
          </cell>
          <cell r="J238">
            <v>0.34</v>
          </cell>
        </row>
        <row r="239">
          <cell r="B239">
            <v>223</v>
          </cell>
          <cell r="D239" t="str">
            <v>Pile cap</v>
          </cell>
          <cell r="E239" t="str">
            <v>Bệ cọc</v>
          </cell>
          <cell r="J239">
            <v>0</v>
          </cell>
        </row>
        <row r="240">
          <cell r="B240">
            <v>224</v>
          </cell>
          <cell r="C240">
            <v>1</v>
          </cell>
          <cell r="D240" t="str">
            <v>Concrete C40 for Pile cap of pier on river</v>
          </cell>
          <cell r="E240" t="str">
            <v>Bê tông C40 bệ cọc trụ neo dưới nước</v>
          </cell>
          <cell r="F240" t="str">
            <v>m³</v>
          </cell>
          <cell r="G240" t="str">
            <v>m³</v>
          </cell>
          <cell r="H240">
            <v>2186.1999999999998</v>
          </cell>
          <cell r="I240">
            <v>2186.1999999999998</v>
          </cell>
          <cell r="J240">
            <v>2186.1999999999998</v>
          </cell>
        </row>
        <row r="241">
          <cell r="B241">
            <v>225</v>
          </cell>
          <cell r="C241">
            <v>2</v>
          </cell>
          <cell r="D241" t="str">
            <v>Concrete C40 for Anchorage Pier on river</v>
          </cell>
          <cell r="E241" t="str">
            <v>Bê tông C40 bệ cọc trụ neo dưới nước</v>
          </cell>
          <cell r="F241" t="str">
            <v>m³</v>
          </cell>
          <cell r="G241" t="str">
            <v>m³</v>
          </cell>
          <cell r="H241">
            <v>2186.1999999999998</v>
          </cell>
          <cell r="I241">
            <v>2186.1999999999998</v>
          </cell>
          <cell r="J241">
            <v>2186.1999999999998</v>
          </cell>
        </row>
        <row r="242">
          <cell r="B242">
            <v>226</v>
          </cell>
          <cell r="C242">
            <v>3</v>
          </cell>
          <cell r="D242" t="str">
            <v>Fabricate ready 50m³/h mixed concrete</v>
          </cell>
          <cell r="E242" t="str">
            <v>Sản xuất vữa bê tông trạm trộn 50m³/h</v>
          </cell>
          <cell r="F242" t="str">
            <v>m³</v>
          </cell>
          <cell r="G242" t="str">
            <v>m³</v>
          </cell>
          <cell r="H242">
            <v>2240.8549999999996</v>
          </cell>
          <cell r="I242">
            <v>2240.8549999999996</v>
          </cell>
          <cell r="J242">
            <v>2240.8549999999996</v>
          </cell>
        </row>
        <row r="243">
          <cell r="B243">
            <v>227</v>
          </cell>
          <cell r="C243">
            <v>4</v>
          </cell>
          <cell r="D243" t="str">
            <v>Transport ready mixed concrete distance 0,5km</v>
          </cell>
          <cell r="E243" t="str">
            <v>Vận chuyển bê tông cự ly 0,5km</v>
          </cell>
          <cell r="F243" t="str">
            <v>m³</v>
          </cell>
          <cell r="G243" t="str">
            <v>m³</v>
          </cell>
          <cell r="H243">
            <v>2240.8549999999996</v>
          </cell>
          <cell r="I243">
            <v>2240.8549999999996</v>
          </cell>
          <cell r="J243">
            <v>2240.8549999999996</v>
          </cell>
        </row>
        <row r="244">
          <cell r="B244">
            <v>228</v>
          </cell>
          <cell r="C244">
            <v>5</v>
          </cell>
          <cell r="D244" t="str">
            <v>Steel formwork for Pile cap of Anchorage Pier on river</v>
          </cell>
          <cell r="E244" t="str">
            <v>Ván khuôn kim loại bệ cọc trụ neo dưới nước</v>
          </cell>
          <cell r="F244" t="str">
            <v>m²</v>
          </cell>
          <cell r="G244" t="str">
            <v>m²</v>
          </cell>
          <cell r="H244">
            <v>0</v>
          </cell>
          <cell r="I244">
            <v>0</v>
          </cell>
          <cell r="J244">
            <v>0</v>
          </cell>
        </row>
        <row r="245">
          <cell r="B245">
            <v>229</v>
          </cell>
          <cell r="C245">
            <v>6</v>
          </cell>
          <cell r="D245" t="str">
            <v>Rebars for Pile cap of Anchorage Pier on river, Ф20~ Ф32</v>
          </cell>
          <cell r="E245" t="str">
            <v>Cốt thép bệ cọc trụ neo dưới nước, Ф20~ Ф32</v>
          </cell>
          <cell r="F245" t="str">
            <v>ton</v>
          </cell>
          <cell r="G245" t="str">
            <v>tấn</v>
          </cell>
          <cell r="H245">
            <v>114.30800000000001</v>
          </cell>
          <cell r="I245">
            <v>114.30800000000001</v>
          </cell>
          <cell r="J245">
            <v>114.30800000000001</v>
          </cell>
        </row>
        <row r="246">
          <cell r="B246">
            <v>230</v>
          </cell>
          <cell r="C246">
            <v>7</v>
          </cell>
          <cell r="D246" t="str">
            <v>Rebars for Pylon on river, Ф &gt; 32</v>
          </cell>
          <cell r="E246" t="str">
            <v>Cốt thép bệ cọc trụ neo dưới nước, Ф&gt;32</v>
          </cell>
          <cell r="F246" t="str">
            <v>ton</v>
          </cell>
          <cell r="G246" t="str">
            <v>tấn</v>
          </cell>
          <cell r="H246">
            <v>189.19800000000001</v>
          </cell>
          <cell r="I246">
            <v>189.19800000000001</v>
          </cell>
          <cell r="J246">
            <v>189.19800000000001</v>
          </cell>
        </row>
        <row r="247">
          <cell r="B247">
            <v>231</v>
          </cell>
          <cell r="C247">
            <v>8</v>
          </cell>
          <cell r="D247" t="str">
            <v>Rebars for Pylon on river, Ф &gt; 32</v>
          </cell>
          <cell r="E247" t="str">
            <v>Cốt thép trụ tháp dưới nước, Ф &gt; 32</v>
          </cell>
          <cell r="F247" t="str">
            <v>ton</v>
          </cell>
          <cell r="G247" t="str">
            <v>tấn</v>
          </cell>
          <cell r="H247">
            <v>189.19800000000001</v>
          </cell>
          <cell r="I247">
            <v>189.19800000000001</v>
          </cell>
          <cell r="J247">
            <v>189.19800000000001</v>
          </cell>
        </row>
        <row r="248">
          <cell r="B248">
            <v>232</v>
          </cell>
          <cell r="C248">
            <v>9</v>
          </cell>
          <cell r="D248" t="str">
            <v>Coupler D36</v>
          </cell>
          <cell r="E248" t="str">
            <v>Bộ nối cốt thép D36</v>
          </cell>
          <cell r="F248" t="str">
            <v>bộ</v>
          </cell>
          <cell r="G248" t="str">
            <v>set</v>
          </cell>
          <cell r="H248">
            <v>900</v>
          </cell>
          <cell r="I248">
            <v>900</v>
          </cell>
          <cell r="J248">
            <v>900</v>
          </cell>
        </row>
        <row r="249">
          <cell r="B249">
            <v>233</v>
          </cell>
          <cell r="C249">
            <v>10</v>
          </cell>
          <cell r="D249" t="str">
            <v>Coupler D40</v>
          </cell>
          <cell r="E249" t="str">
            <v>Bộ nối cốt thép D40</v>
          </cell>
          <cell r="F249" t="str">
            <v>bộ</v>
          </cell>
          <cell r="G249" t="str">
            <v>set</v>
          </cell>
          <cell r="H249">
            <v>924</v>
          </cell>
          <cell r="I249">
            <v>924</v>
          </cell>
          <cell r="J249">
            <v>924</v>
          </cell>
        </row>
        <row r="250">
          <cell r="B250">
            <v>234</v>
          </cell>
          <cell r="D250" t="str">
            <v>Soffit &amp; Skirt Panels</v>
          </cell>
          <cell r="E250" t="str">
            <v>Khung tấm bê tông đúc sẵn</v>
          </cell>
          <cell r="J250">
            <v>0</v>
          </cell>
        </row>
        <row r="251">
          <cell r="B251">
            <v>235</v>
          </cell>
          <cell r="C251">
            <v>1</v>
          </cell>
          <cell r="D251" t="str">
            <v>Casting concrete C25 of Precast panen</v>
          </cell>
          <cell r="E251" t="str">
            <v>Bê tông C25 cho tấm đúc sẵn</v>
          </cell>
          <cell r="H251">
            <v>415.2</v>
          </cell>
          <cell r="I251">
            <v>415.2</v>
          </cell>
          <cell r="J251">
            <v>415.2</v>
          </cell>
        </row>
        <row r="252">
          <cell r="B252">
            <v>236</v>
          </cell>
          <cell r="C252">
            <v>2</v>
          </cell>
          <cell r="D252" t="str">
            <v>Casting concrete C25 of Precast panen</v>
          </cell>
          <cell r="E252" t="str">
            <v>Bê tông C25 cho tấm đúc sẵn</v>
          </cell>
          <cell r="F252" t="str">
            <v>m³</v>
          </cell>
          <cell r="G252" t="str">
            <v>m³</v>
          </cell>
          <cell r="H252">
            <v>415.2</v>
          </cell>
          <cell r="I252">
            <v>415.2</v>
          </cell>
          <cell r="J252">
            <v>415.2</v>
          </cell>
        </row>
        <row r="253">
          <cell r="B253">
            <v>237</v>
          </cell>
          <cell r="C253">
            <v>3</v>
          </cell>
          <cell r="D253" t="str">
            <v>Fabricate ready 40 m³/h mixed concrete</v>
          </cell>
          <cell r="E253" t="str">
            <v>Sản xuất vữa bê tông trạm trộn 40m³/h</v>
          </cell>
          <cell r="F253" t="str">
            <v>m³</v>
          </cell>
          <cell r="G253" t="str">
            <v>m³</v>
          </cell>
          <cell r="H253">
            <v>421.42799999999994</v>
          </cell>
          <cell r="I253">
            <v>421.42799999999994</v>
          </cell>
          <cell r="J253">
            <v>421.42799999999994</v>
          </cell>
        </row>
        <row r="254">
          <cell r="B254">
            <v>238</v>
          </cell>
          <cell r="C254">
            <v>4</v>
          </cell>
          <cell r="D254" t="str">
            <v>Transport ready mixed concrete distance 0,5km</v>
          </cell>
          <cell r="E254" t="str">
            <v>Vận chuyển bê tông cự ly 0,5km</v>
          </cell>
          <cell r="F254" t="str">
            <v>m³</v>
          </cell>
          <cell r="G254" t="str">
            <v>m³</v>
          </cell>
          <cell r="H254">
            <v>421.42799999999994</v>
          </cell>
          <cell r="I254">
            <v>421.42799999999994</v>
          </cell>
          <cell r="J254">
            <v>421.42799999999994</v>
          </cell>
        </row>
        <row r="255">
          <cell r="B255">
            <v>239</v>
          </cell>
          <cell r="C255">
            <v>5</v>
          </cell>
          <cell r="D255" t="str">
            <v>Formwork for precast structure</v>
          </cell>
          <cell r="E255" t="str">
            <v>Ván khuôn tấm bê tông đúc sẵn</v>
          </cell>
          <cell r="F255" t="str">
            <v>m²</v>
          </cell>
          <cell r="G255" t="str">
            <v>m²</v>
          </cell>
          <cell r="H255">
            <v>534.20000000000005</v>
          </cell>
          <cell r="I255">
            <v>534.20000000000005</v>
          </cell>
          <cell r="J255">
            <v>534.20000000000005</v>
          </cell>
        </row>
        <row r="256">
          <cell r="B256">
            <v>240</v>
          </cell>
          <cell r="C256">
            <v>6</v>
          </cell>
          <cell r="D256" t="str">
            <v>Rebar for precast Ф12~Ф18</v>
          </cell>
          <cell r="E256" t="str">
            <v>Cốt thép đúc sẵn, Ф12~Ф18</v>
          </cell>
          <cell r="F256" t="str">
            <v>ton</v>
          </cell>
          <cell r="G256" t="str">
            <v>tấn</v>
          </cell>
          <cell r="H256">
            <v>72.683999999999997</v>
          </cell>
          <cell r="I256">
            <v>72.683999999999997</v>
          </cell>
          <cell r="J256">
            <v>72.683999999999997</v>
          </cell>
        </row>
        <row r="257">
          <cell r="B257">
            <v>241</v>
          </cell>
          <cell r="C257">
            <v>7</v>
          </cell>
          <cell r="D257" t="str">
            <v>Rebar for precast Ф20~Ф32</v>
          </cell>
          <cell r="E257" t="str">
            <v>Cốt thép đúc sẵn, Ф20~Ф32</v>
          </cell>
          <cell r="F257" t="str">
            <v>ton</v>
          </cell>
          <cell r="G257" t="str">
            <v>tấn</v>
          </cell>
          <cell r="H257">
            <v>5.5019999999999998</v>
          </cell>
          <cell r="I257">
            <v>5.5019999999999998</v>
          </cell>
          <cell r="J257">
            <v>5.5019999999999998</v>
          </cell>
        </row>
        <row r="258">
          <cell r="B258">
            <v>242</v>
          </cell>
          <cell r="C258">
            <v>8</v>
          </cell>
          <cell r="D258" t="str">
            <v>Transport precast deck panel to the site</v>
          </cell>
          <cell r="E258" t="str">
            <v>Chuyển tấm đúc sẵn ra hiện trường</v>
          </cell>
          <cell r="F258" t="str">
            <v>set</v>
          </cell>
          <cell r="G258" t="str">
            <v>tấm</v>
          </cell>
          <cell r="H258">
            <v>146</v>
          </cell>
          <cell r="I258">
            <v>146</v>
          </cell>
          <cell r="J258">
            <v>146</v>
          </cell>
        </row>
        <row r="259">
          <cell r="B259">
            <v>243</v>
          </cell>
          <cell r="C259">
            <v>9</v>
          </cell>
          <cell r="D259" t="str">
            <v>Installation of precast deck panel</v>
          </cell>
          <cell r="E259" t="str">
            <v>Lắp bản mặt cầu đúc sẵn</v>
          </cell>
          <cell r="F259" t="str">
            <v>set</v>
          </cell>
          <cell r="G259" t="str">
            <v>tấm</v>
          </cell>
          <cell r="H259">
            <v>146</v>
          </cell>
          <cell r="I259">
            <v>146</v>
          </cell>
          <cell r="J259">
            <v>146</v>
          </cell>
        </row>
        <row r="260">
          <cell r="B260">
            <v>244</v>
          </cell>
          <cell r="C260">
            <v>10</v>
          </cell>
          <cell r="D260" t="str">
            <v xml:space="preserve">Fabrication for Shape steel of notch support </v>
          </cell>
          <cell r="E260" t="str">
            <v xml:space="preserve">Gia công thép hình phục vụ thi công mấu đỡ </v>
          </cell>
          <cell r="F260" t="str">
            <v>ton</v>
          </cell>
          <cell r="G260" t="str">
            <v>tấn</v>
          </cell>
          <cell r="H260">
            <v>131</v>
          </cell>
          <cell r="I260">
            <v>131</v>
          </cell>
          <cell r="J260">
            <v>131</v>
          </cell>
        </row>
        <row r="261">
          <cell r="B261">
            <v>245</v>
          </cell>
          <cell r="C261">
            <v>11</v>
          </cell>
          <cell r="D261" t="str">
            <v xml:space="preserve">Install Shape steel of notch support </v>
          </cell>
          <cell r="E261" t="str">
            <v xml:space="preserve">Lắp dựng thép hình phục vụ thi công mấu đỡ </v>
          </cell>
          <cell r="F261" t="str">
            <v>ton</v>
          </cell>
          <cell r="G261" t="str">
            <v>tấn</v>
          </cell>
          <cell r="H261">
            <v>131</v>
          </cell>
          <cell r="I261">
            <v>131</v>
          </cell>
          <cell r="J261">
            <v>131</v>
          </cell>
        </row>
        <row r="262">
          <cell r="B262">
            <v>246</v>
          </cell>
          <cell r="D262" t="str">
            <v>Cast - in-Place Bored  Pile D1500mm (on river)</v>
          </cell>
          <cell r="E262" t="str">
            <v>Cọc khoan nhồi D1500mm dưới nước</v>
          </cell>
          <cell r="J262">
            <v>0</v>
          </cell>
        </row>
        <row r="263">
          <cell r="B263">
            <v>247</v>
          </cell>
          <cell r="C263">
            <v>1</v>
          </cell>
          <cell r="D263" t="str">
            <v>Cast - in-Place Bored  Pile D1500mm (on river)</v>
          </cell>
          <cell r="E263" t="str">
            <v>Cọc khoan nhồi D1500mm dưới nước</v>
          </cell>
          <cell r="F263" t="str">
            <v>md</v>
          </cell>
          <cell r="G263" t="str">
            <v>md</v>
          </cell>
          <cell r="H263">
            <v>4131</v>
          </cell>
          <cell r="I263">
            <v>4131</v>
          </cell>
          <cell r="J263">
            <v>4131</v>
          </cell>
        </row>
        <row r="264">
          <cell r="B264">
            <v>248</v>
          </cell>
          <cell r="D264" t="str">
            <v>Load test Bored Pile</v>
          </cell>
          <cell r="E264" t="str">
            <v>Thử tải cọc khoan nhồi</v>
          </cell>
          <cell r="J264">
            <v>0</v>
          </cell>
        </row>
        <row r="265">
          <cell r="B265">
            <v>249</v>
          </cell>
          <cell r="C265">
            <v>1</v>
          </cell>
          <cell r="D265" t="str">
            <v>Static load test D1500 (O_ - 1600T)</v>
          </cell>
          <cell r="E265" t="str">
            <v>Cọc D1500 (O_Cell) dưới nước (1600T)</v>
          </cell>
          <cell r="F265" t="str">
            <v>m</v>
          </cell>
          <cell r="G265" t="str">
            <v>m</v>
          </cell>
          <cell r="H265">
            <v>2</v>
          </cell>
          <cell r="I265">
            <v>2</v>
          </cell>
          <cell r="J265">
            <v>2</v>
          </cell>
        </row>
        <row r="266">
          <cell r="B266">
            <v>250</v>
          </cell>
          <cell r="C266">
            <v>2</v>
          </cell>
          <cell r="D266" t="str">
            <v>Pile Dynamic Analysis</v>
          </cell>
          <cell r="E266" t="str">
            <v>Thử tải cọc bằng phương pháp PDA</v>
          </cell>
          <cell r="F266" t="str">
            <v>pile</v>
          </cell>
          <cell r="G266" t="str">
            <v>cọc</v>
          </cell>
          <cell r="H266">
            <v>2</v>
          </cell>
          <cell r="I266">
            <v>2</v>
          </cell>
          <cell r="J266">
            <v>2</v>
          </cell>
        </row>
        <row r="268">
          <cell r="B268">
            <v>251</v>
          </cell>
          <cell r="C268">
            <v>1</v>
          </cell>
          <cell r="D268" t="str">
            <v>Drill for checking and treatment of bottom bored pile</v>
          </cell>
          <cell r="E268" t="str">
            <v>Khoan kiểm tra, xử lý đáy cọc khoan nhồi</v>
          </cell>
          <cell r="F268" t="str">
            <v>pile</v>
          </cell>
          <cell r="G268" t="str">
            <v>cọc</v>
          </cell>
          <cell r="H268">
            <v>2</v>
          </cell>
          <cell r="I268">
            <v>2</v>
          </cell>
          <cell r="J268">
            <v>2</v>
          </cell>
        </row>
        <row r="271">
          <cell r="B271">
            <v>252</v>
          </cell>
          <cell r="J271">
            <v>0</v>
          </cell>
        </row>
        <row r="272">
          <cell r="B272">
            <v>253</v>
          </cell>
          <cell r="D272" t="str">
            <v>III. MISCELLANEOUS</v>
          </cell>
          <cell r="E272" t="str">
            <v>III. KẾT CẤU KHÁC</v>
          </cell>
          <cell r="J272">
            <v>0</v>
          </cell>
        </row>
        <row r="273">
          <cell r="B273">
            <v>254</v>
          </cell>
          <cell r="D273" t="str">
            <v>1. Galvanize railing</v>
          </cell>
          <cell r="E273" t="str">
            <v>1. Lan can mạ kẽm</v>
          </cell>
          <cell r="J273">
            <v>0</v>
          </cell>
        </row>
        <row r="274">
          <cell r="B274">
            <v>255</v>
          </cell>
          <cell r="C274">
            <v>1</v>
          </cell>
          <cell r="D274" t="str">
            <v>Galvanize railing (131kg/m)</v>
          </cell>
          <cell r="E274" t="str">
            <v>Lan can mạ kẽm (131kg/m)</v>
          </cell>
          <cell r="F274" t="str">
            <v>m</v>
          </cell>
          <cell r="G274" t="str">
            <v>m</v>
          </cell>
          <cell r="H274">
            <v>1749.05</v>
          </cell>
          <cell r="I274">
            <v>1749.05</v>
          </cell>
          <cell r="J274">
            <v>1749.05</v>
          </cell>
        </row>
        <row r="275">
          <cell r="B275">
            <v>256</v>
          </cell>
          <cell r="C275">
            <v>2</v>
          </cell>
          <cell r="D275" t="str">
            <v>Bolt þ22x85</v>
          </cell>
          <cell r="E275" t="str">
            <v>Bu lông þ22x85</v>
          </cell>
          <cell r="F275" t="str">
            <v>Nos</v>
          </cell>
          <cell r="G275" t="str">
            <v>cái</v>
          </cell>
          <cell r="H275">
            <v>3528</v>
          </cell>
          <cell r="I275">
            <v>3528</v>
          </cell>
          <cell r="J275">
            <v>3528</v>
          </cell>
        </row>
        <row r="276">
          <cell r="B276">
            <v>257</v>
          </cell>
          <cell r="C276">
            <v>3</v>
          </cell>
          <cell r="D276" t="str">
            <v>Bolt þ20x175</v>
          </cell>
          <cell r="E276" t="str">
            <v xml:space="preserve">Bu lông þ20x175                                           </v>
          </cell>
          <cell r="F276" t="str">
            <v>Nos</v>
          </cell>
          <cell r="G276" t="str">
            <v>cái</v>
          </cell>
          <cell r="H276">
            <v>2640</v>
          </cell>
          <cell r="I276">
            <v>2640</v>
          </cell>
          <cell r="J276">
            <v>2640</v>
          </cell>
        </row>
        <row r="277">
          <cell r="B277">
            <v>258</v>
          </cell>
          <cell r="C277">
            <v>4</v>
          </cell>
          <cell r="D277" t="str">
            <v>Bolt þ25x300</v>
          </cell>
          <cell r="E277" t="str">
            <v xml:space="preserve">Bu lông þ25x300                                 </v>
          </cell>
          <cell r="F277" t="str">
            <v>Nos</v>
          </cell>
          <cell r="G277" t="str">
            <v>cái</v>
          </cell>
          <cell r="H277">
            <v>3528</v>
          </cell>
          <cell r="I277">
            <v>3528</v>
          </cell>
          <cell r="J277">
            <v>3528</v>
          </cell>
        </row>
        <row r="278">
          <cell r="B278">
            <v>259</v>
          </cell>
          <cell r="C278">
            <v>5</v>
          </cell>
          <cell r="D278" t="str">
            <v>Galvanize and Installation of railing</v>
          </cell>
          <cell r="E278" t="str">
            <v>Mạ kẽm và lắp dựng lan can</v>
          </cell>
          <cell r="F278" t="str">
            <v>m</v>
          </cell>
          <cell r="G278" t="str">
            <v>m</v>
          </cell>
          <cell r="H278">
            <v>1749.05</v>
          </cell>
          <cell r="I278">
            <v>1749.05</v>
          </cell>
          <cell r="J278">
            <v>1749.05</v>
          </cell>
        </row>
        <row r="279">
          <cell r="B279">
            <v>260</v>
          </cell>
          <cell r="C279">
            <v>6</v>
          </cell>
          <cell r="D279" t="str">
            <v>Concrete C25 for parapet cast in place</v>
          </cell>
          <cell r="E279" t="str">
            <v>Bê tông lan can C25 đổ tại chỗ</v>
          </cell>
          <cell r="F279" t="str">
            <v>m³</v>
          </cell>
          <cell r="G279" t="str">
            <v>m³</v>
          </cell>
          <cell r="H279">
            <v>288.59300000000002</v>
          </cell>
          <cell r="I279">
            <v>288.59300000000002</v>
          </cell>
          <cell r="J279">
            <v>288.59300000000002</v>
          </cell>
        </row>
        <row r="280">
          <cell r="B280">
            <v>261</v>
          </cell>
          <cell r="C280">
            <v>7</v>
          </cell>
          <cell r="D280" t="str">
            <v>Concrete C25 for parapet cast in place</v>
          </cell>
          <cell r="E280" t="str">
            <v>Bê tông C25 lan can đổ tại chỗ</v>
          </cell>
          <cell r="F280" t="str">
            <v>m³</v>
          </cell>
          <cell r="G280" t="str">
            <v>m³</v>
          </cell>
          <cell r="H280">
            <v>288.59300000000002</v>
          </cell>
          <cell r="I280">
            <v>288.59300000000002</v>
          </cell>
          <cell r="J280">
            <v>288.59300000000002</v>
          </cell>
        </row>
        <row r="281">
          <cell r="B281">
            <v>262</v>
          </cell>
          <cell r="C281">
            <v>8</v>
          </cell>
          <cell r="D281" t="str">
            <v>Fabricate ready 50 m³/h mixed concrete</v>
          </cell>
          <cell r="E281" t="str">
            <v>Sản xuất vữa bê tông trạm trộn 50m³/h</v>
          </cell>
          <cell r="F281" t="str">
            <v>m³</v>
          </cell>
          <cell r="G281" t="str">
            <v>m³</v>
          </cell>
          <cell r="H281">
            <v>295.80782499999998</v>
          </cell>
          <cell r="I281">
            <v>295.80782499999998</v>
          </cell>
          <cell r="J281">
            <v>295.80782499999998</v>
          </cell>
        </row>
        <row r="282">
          <cell r="B282">
            <v>263</v>
          </cell>
          <cell r="C282">
            <v>9</v>
          </cell>
          <cell r="D282" t="str">
            <v>Transport ready mixed concrete distance 0,5km</v>
          </cell>
          <cell r="E282" t="str">
            <v>Vận chuyển bê tông cự ly 0,5km</v>
          </cell>
          <cell r="F282" t="str">
            <v>m³</v>
          </cell>
          <cell r="G282" t="str">
            <v>m³</v>
          </cell>
          <cell r="H282">
            <v>295.80782499999998</v>
          </cell>
          <cell r="I282">
            <v>295.80782499999998</v>
          </cell>
          <cell r="J282">
            <v>295.80782499999998</v>
          </cell>
        </row>
        <row r="283">
          <cell r="B283">
            <v>264</v>
          </cell>
          <cell r="C283">
            <v>10</v>
          </cell>
          <cell r="D283" t="str">
            <v>Formwork for parapet</v>
          </cell>
          <cell r="E283" t="str">
            <v>Ván khuôn lan can đổ tại chỗ</v>
          </cell>
          <cell r="F283" t="str">
            <v>m²</v>
          </cell>
          <cell r="G283" t="str">
            <v>m²</v>
          </cell>
          <cell r="H283">
            <v>577.18700000000001</v>
          </cell>
          <cell r="I283">
            <v>577.18700000000001</v>
          </cell>
          <cell r="J283">
            <v>577.18700000000001</v>
          </cell>
        </row>
        <row r="284">
          <cell r="B284">
            <v>265</v>
          </cell>
          <cell r="C284">
            <v>11</v>
          </cell>
          <cell r="D284" t="str">
            <v>Rebar Ф ≤ 18 for parapet</v>
          </cell>
          <cell r="E284" t="str">
            <v>Cốt thép lan can Ф ≤ 18</v>
          </cell>
          <cell r="F284" t="str">
            <v>ton</v>
          </cell>
          <cell r="G284" t="str">
            <v>tấn</v>
          </cell>
          <cell r="H284">
            <v>16.581</v>
          </cell>
          <cell r="I284">
            <v>16.581</v>
          </cell>
          <cell r="J284">
            <v>16.581</v>
          </cell>
        </row>
        <row r="285">
          <cell r="B285">
            <v>266</v>
          </cell>
          <cell r="D285" t="str">
            <v>2. Barrier and Separating strip</v>
          </cell>
          <cell r="E285" t="str">
            <v>2. Gờ chắn và dải phân cách</v>
          </cell>
          <cell r="J285">
            <v>0</v>
          </cell>
        </row>
        <row r="286">
          <cell r="B286">
            <v>267</v>
          </cell>
          <cell r="D286" t="str">
            <v xml:space="preserve"> Barrier Cast in place block</v>
          </cell>
          <cell r="E286" t="str">
            <v>Gờ chắn đổ tại chỗ</v>
          </cell>
          <cell r="J286">
            <v>0</v>
          </cell>
        </row>
        <row r="287">
          <cell r="B287">
            <v>268</v>
          </cell>
          <cell r="C287">
            <v>1</v>
          </cell>
          <cell r="D287" t="str">
            <v>Concrete C25 for Barrier cast in place</v>
          </cell>
          <cell r="E287" t="str">
            <v>Bê tông gờ chắn C25 đổ tại chỗ</v>
          </cell>
          <cell r="F287" t="str">
            <v>m³</v>
          </cell>
          <cell r="G287" t="str">
            <v>m³</v>
          </cell>
          <cell r="H287">
            <v>74.45</v>
          </cell>
          <cell r="I287">
            <v>74.45</v>
          </cell>
          <cell r="J287">
            <v>74.45</v>
          </cell>
        </row>
        <row r="288">
          <cell r="B288">
            <v>269</v>
          </cell>
          <cell r="C288">
            <v>2</v>
          </cell>
          <cell r="D288" t="str">
            <v>Concrete C25 for Barrier cast in place</v>
          </cell>
          <cell r="E288" t="str">
            <v>Bê tông C25 gờ chắn đổ tại chỗ</v>
          </cell>
          <cell r="F288" t="str">
            <v>m³</v>
          </cell>
          <cell r="G288" t="str">
            <v>m³</v>
          </cell>
          <cell r="H288">
            <v>74.45</v>
          </cell>
          <cell r="I288">
            <v>74.45</v>
          </cell>
          <cell r="J288">
            <v>74.45</v>
          </cell>
        </row>
        <row r="289">
          <cell r="B289">
            <v>270</v>
          </cell>
          <cell r="C289">
            <v>3</v>
          </cell>
          <cell r="D289" t="str">
            <v>Fabricate ready 50 m³/h mixed concrete</v>
          </cell>
          <cell r="E289" t="str">
            <v>Sản xuất vữa bê tông trạm trộn 50m³/h</v>
          </cell>
          <cell r="F289" t="str">
            <v>m³</v>
          </cell>
          <cell r="G289" t="str">
            <v>m³</v>
          </cell>
          <cell r="H289">
            <v>76.311250000000001</v>
          </cell>
          <cell r="I289">
            <v>76.311250000000001</v>
          </cell>
          <cell r="J289">
            <v>76.311250000000001</v>
          </cell>
        </row>
        <row r="290">
          <cell r="B290">
            <v>271</v>
          </cell>
          <cell r="C290">
            <v>4</v>
          </cell>
          <cell r="D290" t="str">
            <v>Transport ready mixed concrete distance 0,5km</v>
          </cell>
          <cell r="E290" t="str">
            <v>Vận chuyển bê tông cự ly 0,5km</v>
          </cell>
          <cell r="F290" t="str">
            <v>m³</v>
          </cell>
          <cell r="G290" t="str">
            <v>m³</v>
          </cell>
          <cell r="H290">
            <v>76.311250000000001</v>
          </cell>
          <cell r="I290">
            <v>76.311250000000001</v>
          </cell>
          <cell r="J290">
            <v>76.311250000000001</v>
          </cell>
        </row>
        <row r="291">
          <cell r="B291">
            <v>272</v>
          </cell>
          <cell r="C291">
            <v>5</v>
          </cell>
          <cell r="D291" t="str">
            <v>Formwork for barrier</v>
          </cell>
          <cell r="E291" t="str">
            <v>Ván khuôn gờ chắn đổ tại chỗ</v>
          </cell>
          <cell r="F291" t="str">
            <v>m²</v>
          </cell>
          <cell r="G291" t="str">
            <v>m²</v>
          </cell>
          <cell r="H291">
            <v>502.02199999999999</v>
          </cell>
          <cell r="I291">
            <v>502.02199999999999</v>
          </cell>
          <cell r="J291">
            <v>502.02199999999999</v>
          </cell>
        </row>
        <row r="292">
          <cell r="B292">
            <v>273</v>
          </cell>
          <cell r="C292">
            <v>6</v>
          </cell>
          <cell r="D292" t="str">
            <v>Rebar Ф ≤ 18 for barrier</v>
          </cell>
          <cell r="E292" t="str">
            <v>Cốt thép gờ chắn lan can Ф ≤ 18</v>
          </cell>
          <cell r="F292" t="str">
            <v>ton</v>
          </cell>
          <cell r="G292" t="str">
            <v>tấn</v>
          </cell>
          <cell r="H292">
            <v>10.645</v>
          </cell>
          <cell r="I292">
            <v>10.645</v>
          </cell>
          <cell r="J292">
            <v>10.645</v>
          </cell>
        </row>
        <row r="293">
          <cell r="B293">
            <v>274</v>
          </cell>
          <cell r="D293" t="str">
            <v>* Barrier Precast</v>
          </cell>
          <cell r="E293" t="str">
            <v>* Gờ chắn đúc sẵn</v>
          </cell>
          <cell r="J293">
            <v>0</v>
          </cell>
        </row>
        <row r="294">
          <cell r="B294">
            <v>275</v>
          </cell>
          <cell r="C294">
            <v>1</v>
          </cell>
          <cell r="D294" t="str">
            <v>Concrete of precast C25 for Barrier</v>
          </cell>
          <cell r="E294" t="str">
            <v>Bê tông gờ chắn C25 đúc sẵn</v>
          </cell>
          <cell r="F294" t="str">
            <v>m³</v>
          </cell>
          <cell r="G294" t="str">
            <v>m³</v>
          </cell>
          <cell r="H294">
            <v>415.52499999999998</v>
          </cell>
          <cell r="I294">
            <v>415.52499999999998</v>
          </cell>
          <cell r="J294">
            <v>415.52499999999998</v>
          </cell>
        </row>
        <row r="295">
          <cell r="B295">
            <v>276</v>
          </cell>
          <cell r="C295">
            <v>2</v>
          </cell>
          <cell r="D295" t="str">
            <v>Concrete of precast C25 for Barrier</v>
          </cell>
          <cell r="E295" t="str">
            <v>Bê tông gờ chắn C25 đúc sẵn</v>
          </cell>
          <cell r="F295" t="str">
            <v>m³</v>
          </cell>
          <cell r="G295" t="str">
            <v>m³</v>
          </cell>
          <cell r="H295">
            <v>415.52499999999998</v>
          </cell>
          <cell r="I295">
            <v>415.52499999999998</v>
          </cell>
          <cell r="J295">
            <v>415.52499999999998</v>
          </cell>
        </row>
        <row r="296">
          <cell r="B296">
            <v>277</v>
          </cell>
          <cell r="C296">
            <v>3</v>
          </cell>
          <cell r="D296" t="str">
            <v>Fabricate ready 50 m³/h mixed concrete</v>
          </cell>
          <cell r="E296" t="str">
            <v>Sản xuất vữa bê tông trạm trộn 50m³/h</v>
          </cell>
          <cell r="F296" t="str">
            <v>m³</v>
          </cell>
          <cell r="G296" t="str">
            <v>m³</v>
          </cell>
          <cell r="H296">
            <v>421.75787499999996</v>
          </cell>
          <cell r="I296">
            <v>421.75787499999996</v>
          </cell>
          <cell r="J296">
            <v>421.75787499999996</v>
          </cell>
        </row>
        <row r="297">
          <cell r="B297">
            <v>278</v>
          </cell>
          <cell r="C297">
            <v>4</v>
          </cell>
          <cell r="D297" t="str">
            <v>Transport ready mixed concrete distance 0,5km</v>
          </cell>
          <cell r="E297" t="str">
            <v>Vận chuyển bê tông cự ly 0,5km</v>
          </cell>
          <cell r="F297" t="str">
            <v>m³</v>
          </cell>
          <cell r="G297" t="str">
            <v>m³</v>
          </cell>
          <cell r="H297">
            <v>421.75787499999996</v>
          </cell>
          <cell r="I297">
            <v>421.75787499999996</v>
          </cell>
          <cell r="J297">
            <v>421.75787499999996</v>
          </cell>
        </row>
        <row r="298">
          <cell r="B298">
            <v>279</v>
          </cell>
          <cell r="C298">
            <v>5</v>
          </cell>
          <cell r="D298" t="str">
            <v>Formwork for precast structure</v>
          </cell>
          <cell r="E298" t="str">
            <v>Ván khuôn các loại kết cấu đúc sẵn</v>
          </cell>
          <cell r="F298" t="str">
            <v>m²</v>
          </cell>
          <cell r="G298" t="str">
            <v>m²</v>
          </cell>
          <cell r="H298">
            <v>3654.1610000000001</v>
          </cell>
          <cell r="I298">
            <v>3654.1610000000001</v>
          </cell>
          <cell r="J298">
            <v>3654.1610000000001</v>
          </cell>
        </row>
        <row r="299">
          <cell r="B299">
            <v>280</v>
          </cell>
          <cell r="C299">
            <v>6</v>
          </cell>
          <cell r="D299" t="str">
            <v>Install precast R.C plank of Barrier</v>
          </cell>
          <cell r="E299" t="str">
            <v>Lắp đặt gờ chắn đúc sẵn</v>
          </cell>
          <cell r="F299" t="str">
            <v>each</v>
          </cell>
          <cell r="G299" t="str">
            <v>tấm</v>
          </cell>
          <cell r="H299">
            <v>0</v>
          </cell>
          <cell r="I299">
            <v>0</v>
          </cell>
          <cell r="J299">
            <v>0</v>
          </cell>
        </row>
        <row r="300">
          <cell r="B300">
            <v>281</v>
          </cell>
          <cell r="C300">
            <v>7</v>
          </cell>
          <cell r="D300" t="str">
            <v>Rebar Ф ≤ 18 for Precast block</v>
          </cell>
          <cell r="E300" t="str">
            <v>Cốt thép gờ chắn đúc sẵn Ф ≤ 18</v>
          </cell>
          <cell r="F300" t="str">
            <v>ton</v>
          </cell>
          <cell r="G300" t="str">
            <v>tấn</v>
          </cell>
          <cell r="H300">
            <v>81.616</v>
          </cell>
          <cell r="I300">
            <v>81.616</v>
          </cell>
          <cell r="J300">
            <v>81.616</v>
          </cell>
        </row>
        <row r="301">
          <cell r="B301">
            <v>282</v>
          </cell>
          <cell r="D301" t="str">
            <v>Separating strip</v>
          </cell>
          <cell r="E301" t="str">
            <v>Dải phân cách</v>
          </cell>
          <cell r="J301">
            <v>0</v>
          </cell>
        </row>
        <row r="302">
          <cell r="B302">
            <v>283</v>
          </cell>
          <cell r="D302" t="str">
            <v>* Cast in place block</v>
          </cell>
          <cell r="E302" t="str">
            <v>* Khối đổ tại chỗ</v>
          </cell>
          <cell r="J302">
            <v>0</v>
          </cell>
        </row>
        <row r="303">
          <cell r="B303">
            <v>284</v>
          </cell>
          <cell r="C303">
            <v>1</v>
          </cell>
          <cell r="D303" t="str">
            <v>Concrete C25 for cast in place Separating strip</v>
          </cell>
          <cell r="E303" t="str">
            <v>Bê tông dải phân cách C25 đổ tại chỗ</v>
          </cell>
          <cell r="F303" t="str">
            <v>m³</v>
          </cell>
          <cell r="G303" t="str">
            <v>m³</v>
          </cell>
          <cell r="H303">
            <v>140.94</v>
          </cell>
          <cell r="I303">
            <v>140.94</v>
          </cell>
          <cell r="J303">
            <v>140.94</v>
          </cell>
        </row>
        <row r="304">
          <cell r="B304">
            <v>285</v>
          </cell>
          <cell r="C304">
            <v>2</v>
          </cell>
          <cell r="D304" t="str">
            <v>Concrete C25 for Separating strip</v>
          </cell>
          <cell r="E304" t="str">
            <v>Bê tông C25 dải phấn cách</v>
          </cell>
          <cell r="F304" t="str">
            <v>m³</v>
          </cell>
          <cell r="G304" t="str">
            <v>m³</v>
          </cell>
          <cell r="H304">
            <v>140.94</v>
          </cell>
          <cell r="I304">
            <v>140.94</v>
          </cell>
          <cell r="J304">
            <v>140.94</v>
          </cell>
        </row>
        <row r="305">
          <cell r="B305">
            <v>286</v>
          </cell>
          <cell r="C305">
            <v>3</v>
          </cell>
          <cell r="D305" t="str">
            <v>Fabricate ready 50 m³/h mixed concrete</v>
          </cell>
          <cell r="E305" t="str">
            <v>Sản xuất vữa bê tông trạm trộn 50m³/h</v>
          </cell>
          <cell r="F305" t="str">
            <v>m³</v>
          </cell>
          <cell r="G305" t="str">
            <v>m³</v>
          </cell>
          <cell r="H305">
            <v>144.46349999999998</v>
          </cell>
          <cell r="I305">
            <v>144.46349999999998</v>
          </cell>
          <cell r="J305">
            <v>144.46349999999998</v>
          </cell>
        </row>
        <row r="306">
          <cell r="B306">
            <v>287</v>
          </cell>
          <cell r="C306">
            <v>4</v>
          </cell>
          <cell r="D306" t="str">
            <v>Transport ready mixed concrete distance 0,5km</v>
          </cell>
          <cell r="E306" t="str">
            <v>Vận chuyển bê tông cự ly 0,5km</v>
          </cell>
          <cell r="F306" t="str">
            <v>m³</v>
          </cell>
          <cell r="G306" t="str">
            <v>m³</v>
          </cell>
          <cell r="H306">
            <v>144.46349999999998</v>
          </cell>
          <cell r="I306">
            <v>144.46349999999998</v>
          </cell>
          <cell r="J306">
            <v>144.46349999999998</v>
          </cell>
        </row>
        <row r="307">
          <cell r="B307">
            <v>288</v>
          </cell>
          <cell r="C307">
            <v>5</v>
          </cell>
          <cell r="D307" t="str">
            <v>Mortar C10</v>
          </cell>
          <cell r="E307" t="str">
            <v>Vữa tạo phẳng C10</v>
          </cell>
          <cell r="F307" t="str">
            <v>m³</v>
          </cell>
          <cell r="G307" t="str">
            <v>m³</v>
          </cell>
          <cell r="H307">
            <v>4.05</v>
          </cell>
          <cell r="I307">
            <v>4.05</v>
          </cell>
          <cell r="J307">
            <v>4.05</v>
          </cell>
        </row>
        <row r="308">
          <cell r="B308">
            <v>289</v>
          </cell>
          <cell r="C308">
            <v>6</v>
          </cell>
          <cell r="D308" t="str">
            <v>Formwork for separating strip</v>
          </cell>
          <cell r="E308" t="str">
            <v>Ván khuôn dải phân cách</v>
          </cell>
          <cell r="F308" t="str">
            <v>m²</v>
          </cell>
          <cell r="G308" t="str">
            <v>m²</v>
          </cell>
          <cell r="H308">
            <v>865.07999999999993</v>
          </cell>
          <cell r="I308">
            <v>865.07999999999993</v>
          </cell>
          <cell r="J308">
            <v>865.07999999999993</v>
          </cell>
        </row>
        <row r="309">
          <cell r="B309">
            <v>290</v>
          </cell>
          <cell r="C309">
            <v>7</v>
          </cell>
          <cell r="D309" t="str">
            <v>Rebar Ф ≤ 18 for Separating strip</v>
          </cell>
          <cell r="E309" t="str">
            <v>Cốt thép dải phân cách Ф ≤ 18</v>
          </cell>
          <cell r="F309" t="str">
            <v>ton</v>
          </cell>
          <cell r="G309" t="str">
            <v>tấn</v>
          </cell>
          <cell r="H309">
            <v>15.444626400000002</v>
          </cell>
          <cell r="I309">
            <v>15.444626400000002</v>
          </cell>
          <cell r="J309">
            <v>15.444626400000002</v>
          </cell>
        </row>
        <row r="310">
          <cell r="B310">
            <v>291</v>
          </cell>
          <cell r="C310">
            <v>8</v>
          </cell>
          <cell r="D310" t="str">
            <v>Bushing HDPE D85/65</v>
          </cell>
          <cell r="E310" t="str">
            <v>Ống HDPE D85/65</v>
          </cell>
          <cell r="F310" t="str">
            <v>m</v>
          </cell>
          <cell r="G310" t="str">
            <v>m</v>
          </cell>
          <cell r="H310">
            <v>162</v>
          </cell>
          <cell r="I310">
            <v>162</v>
          </cell>
          <cell r="J310">
            <v>162</v>
          </cell>
        </row>
        <row r="311">
          <cell r="B311">
            <v>292</v>
          </cell>
          <cell r="C311">
            <v>9</v>
          </cell>
          <cell r="D311" t="str">
            <v>Bolt M24</v>
          </cell>
          <cell r="E311" t="str">
            <v>Bu lông M24</v>
          </cell>
          <cell r="F311" t="str">
            <v>nos</v>
          </cell>
          <cell r="G311" t="str">
            <v>cái</v>
          </cell>
          <cell r="H311">
            <v>312</v>
          </cell>
          <cell r="I311">
            <v>312</v>
          </cell>
          <cell r="J311">
            <v>312</v>
          </cell>
        </row>
        <row r="312">
          <cell r="B312">
            <v>293</v>
          </cell>
          <cell r="D312" t="str">
            <v>* Precast block</v>
          </cell>
          <cell r="E312" t="str">
            <v>* Khối đúc sẵn</v>
          </cell>
          <cell r="H312">
            <v>0</v>
          </cell>
          <cell r="I312">
            <v>0</v>
          </cell>
          <cell r="J312">
            <v>0</v>
          </cell>
        </row>
        <row r="313">
          <cell r="B313">
            <v>294</v>
          </cell>
          <cell r="C313">
            <v>1</v>
          </cell>
          <cell r="D313" t="str">
            <v>Concrete of precast C25 for Separating strip</v>
          </cell>
          <cell r="E313" t="str">
            <v>Bê tông dải phấn cách C25 đúc sẵn</v>
          </cell>
          <cell r="F313" t="str">
            <v>m³</v>
          </cell>
          <cell r="G313" t="str">
            <v>m³</v>
          </cell>
          <cell r="H313">
            <v>620.20799999999997</v>
          </cell>
          <cell r="I313">
            <v>620.20799999999997</v>
          </cell>
          <cell r="J313">
            <v>620.20799999999997</v>
          </cell>
        </row>
        <row r="314">
          <cell r="B314">
            <v>295</v>
          </cell>
          <cell r="C314">
            <v>2</v>
          </cell>
          <cell r="D314" t="str">
            <v>Concrete of precast C25 for Separating strip</v>
          </cell>
          <cell r="E314" t="str">
            <v>Bê tông dải phân cách C25 đúc sẵn</v>
          </cell>
          <cell r="F314" t="str">
            <v>m³</v>
          </cell>
          <cell r="G314" t="str">
            <v>m³</v>
          </cell>
          <cell r="H314">
            <v>620.20799999999997</v>
          </cell>
          <cell r="I314">
            <v>620.20799999999997</v>
          </cell>
          <cell r="J314">
            <v>620.20799999999997</v>
          </cell>
        </row>
        <row r="315">
          <cell r="B315">
            <v>296</v>
          </cell>
          <cell r="C315">
            <v>3</v>
          </cell>
          <cell r="D315" t="str">
            <v>Fabricate ready 50 m³/h mixed concrete</v>
          </cell>
          <cell r="E315" t="str">
            <v>Sản xuất vữa bê tông trạm trộn 50m³/h</v>
          </cell>
          <cell r="F315" t="str">
            <v>m³</v>
          </cell>
          <cell r="G315" t="str">
            <v>m³</v>
          </cell>
          <cell r="H315">
            <v>629.51111999999989</v>
          </cell>
          <cell r="I315">
            <v>629.51111999999989</v>
          </cell>
          <cell r="J315">
            <v>629.51111999999989</v>
          </cell>
        </row>
        <row r="316">
          <cell r="B316">
            <v>297</v>
          </cell>
          <cell r="C316">
            <v>4</v>
          </cell>
          <cell r="D316" t="str">
            <v>Transport ready mixed concrete distance 0,5km</v>
          </cell>
          <cell r="E316" t="str">
            <v>Vận chuyển bê tông cự ly 0,5km</v>
          </cell>
          <cell r="F316" t="str">
            <v>m³</v>
          </cell>
          <cell r="G316" t="str">
            <v>m³</v>
          </cell>
          <cell r="H316">
            <v>629.51111999999989</v>
          </cell>
          <cell r="I316">
            <v>629.51111999999989</v>
          </cell>
          <cell r="J316">
            <v>629.51111999999989</v>
          </cell>
        </row>
        <row r="317">
          <cell r="B317">
            <v>298</v>
          </cell>
          <cell r="C317">
            <v>5</v>
          </cell>
          <cell r="D317" t="str">
            <v>Mortar C10</v>
          </cell>
          <cell r="E317" t="str">
            <v>Vữa tạo phẳng C10</v>
          </cell>
          <cell r="F317" t="str">
            <v>m³</v>
          </cell>
          <cell r="G317" t="str">
            <v>m³</v>
          </cell>
          <cell r="H317">
            <v>17.7</v>
          </cell>
          <cell r="I317">
            <v>17.7</v>
          </cell>
          <cell r="J317">
            <v>17.7</v>
          </cell>
        </row>
        <row r="318">
          <cell r="B318">
            <v>299</v>
          </cell>
          <cell r="C318">
            <v>6</v>
          </cell>
          <cell r="D318" t="str">
            <v>Formwork for precast Separating strip</v>
          </cell>
          <cell r="E318" t="str">
            <v>Ván khuôn dải phấn cách đúc sẵn</v>
          </cell>
          <cell r="F318" t="str">
            <v>m²</v>
          </cell>
          <cell r="G318" t="str">
            <v>m²</v>
          </cell>
          <cell r="H318">
            <v>3780.7200000000003</v>
          </cell>
          <cell r="I318">
            <v>3780.7200000000003</v>
          </cell>
          <cell r="J318">
            <v>3780.7200000000003</v>
          </cell>
        </row>
        <row r="319">
          <cell r="B319">
            <v>300</v>
          </cell>
          <cell r="C319">
            <v>7</v>
          </cell>
          <cell r="D319" t="str">
            <v>Install precast R.C Separating strip</v>
          </cell>
          <cell r="E319" t="str">
            <v>Lắp đặt các tấm bê tông dải phấn cách đúc sẵn</v>
          </cell>
          <cell r="F319" t="str">
            <v>each</v>
          </cell>
          <cell r="G319" t="str">
            <v>tấm</v>
          </cell>
          <cell r="H319">
            <v>531</v>
          </cell>
          <cell r="I319">
            <v>531</v>
          </cell>
          <cell r="J319">
            <v>531</v>
          </cell>
        </row>
        <row r="320">
          <cell r="B320">
            <v>301</v>
          </cell>
          <cell r="C320">
            <v>8</v>
          </cell>
          <cell r="D320" t="str">
            <v>Rebar Ф ≤ 18 for Precast Separating strip</v>
          </cell>
          <cell r="E320" t="str">
            <v>Cốt thép dải phân cách đúc sẵn Ф ≤ 18</v>
          </cell>
          <cell r="F320" t="str">
            <v>ton</v>
          </cell>
          <cell r="G320" t="str">
            <v>tấn</v>
          </cell>
          <cell r="H320">
            <v>117.21389580000002</v>
          </cell>
          <cell r="I320">
            <v>117.21389580000002</v>
          </cell>
          <cell r="J320">
            <v>117.21389580000002</v>
          </cell>
        </row>
        <row r="321">
          <cell r="B321">
            <v>302</v>
          </cell>
          <cell r="C321">
            <v>9</v>
          </cell>
          <cell r="D321" t="str">
            <v>Bushing HDPE D85/65</v>
          </cell>
          <cell r="E321" t="str">
            <v>Ống HDPE D85/65</v>
          </cell>
          <cell r="F321" t="str">
            <v>m</v>
          </cell>
          <cell r="G321" t="str">
            <v>m</v>
          </cell>
          <cell r="H321">
            <v>708</v>
          </cell>
          <cell r="I321">
            <v>708</v>
          </cell>
          <cell r="J321">
            <v>708</v>
          </cell>
        </row>
        <row r="322">
          <cell r="B322">
            <v>303</v>
          </cell>
          <cell r="D322" t="str">
            <v>3. Parapet at pile cap of pylon</v>
          </cell>
          <cell r="E322" t="str">
            <v>3. Lan can tại bệ trụ tháp</v>
          </cell>
          <cell r="J322">
            <v>0</v>
          </cell>
        </row>
        <row r="323">
          <cell r="B323">
            <v>304</v>
          </cell>
          <cell r="C323">
            <v>1</v>
          </cell>
          <cell r="D323" t="str">
            <v>Shape stee</v>
          </cell>
          <cell r="E323" t="str">
            <v>Thép hình</v>
          </cell>
          <cell r="F323" t="str">
            <v>ton</v>
          </cell>
          <cell r="G323" t="str">
            <v>tấn</v>
          </cell>
          <cell r="H323">
            <v>11.862653000000002</v>
          </cell>
          <cell r="I323">
            <v>11.862653000000002</v>
          </cell>
          <cell r="J323">
            <v>11.862653000000002</v>
          </cell>
        </row>
        <row r="324">
          <cell r="B324">
            <v>305</v>
          </cell>
          <cell r="C324">
            <v>2</v>
          </cell>
          <cell r="D324" t="str">
            <v>Fabricate shape stee</v>
          </cell>
          <cell r="E324" t="str">
            <v>Sản xuất thép hình</v>
          </cell>
          <cell r="F324" t="str">
            <v>ton</v>
          </cell>
          <cell r="G324" t="str">
            <v>tấn</v>
          </cell>
          <cell r="H324">
            <v>11.862653000000002</v>
          </cell>
          <cell r="I324">
            <v>11.862653000000002</v>
          </cell>
          <cell r="J324">
            <v>11.862653000000002</v>
          </cell>
        </row>
        <row r="325">
          <cell r="B325">
            <v>306</v>
          </cell>
          <cell r="C325">
            <v>3</v>
          </cell>
          <cell r="D325" t="str">
            <v>Install shape stee</v>
          </cell>
          <cell r="E325" t="str">
            <v>Lắp đặt thép hình</v>
          </cell>
          <cell r="F325" t="str">
            <v>ton</v>
          </cell>
          <cell r="G325" t="str">
            <v>tấn</v>
          </cell>
          <cell r="H325">
            <v>11.862653000000002</v>
          </cell>
          <cell r="I325">
            <v>11.862653000000002</v>
          </cell>
          <cell r="J325">
            <v>11.862653000000002</v>
          </cell>
        </row>
        <row r="326">
          <cell r="B326">
            <v>307</v>
          </cell>
          <cell r="D326" t="str">
            <v>4. Drainage</v>
          </cell>
          <cell r="E326" t="str">
            <v xml:space="preserve">4. Thoát nước </v>
          </cell>
          <cell r="J326">
            <v>0</v>
          </cell>
        </row>
        <row r="327">
          <cell r="B327">
            <v>308</v>
          </cell>
          <cell r="C327">
            <v>1</v>
          </cell>
          <cell r="D327" t="str">
            <v>Drainage by steel pipe D=150mm</v>
          </cell>
          <cell r="E327" t="str">
            <v>Hệ thống thoát nước ống thép D150</v>
          </cell>
          <cell r="F327" t="str">
            <v>m</v>
          </cell>
          <cell r="G327" t="str">
            <v>m</v>
          </cell>
          <cell r="H327">
            <v>481.46999999999997</v>
          </cell>
          <cell r="I327">
            <v>481.46999999999997</v>
          </cell>
          <cell r="J327">
            <v>481.46999999999997</v>
          </cell>
        </row>
        <row r="328">
          <cell r="B328">
            <v>309</v>
          </cell>
          <cell r="C328">
            <v>2</v>
          </cell>
          <cell r="D328" t="str">
            <v>Production of catch pit, grating, bracket, chain</v>
          </cell>
          <cell r="E328" t="str">
            <v>Sản xuất phễu thu nước, cửa thu, kẹp ống, dây xích</v>
          </cell>
          <cell r="F328" t="str">
            <v>ton</v>
          </cell>
          <cell r="G328" t="str">
            <v>tấn</v>
          </cell>
          <cell r="H328">
            <v>17.256540000000001</v>
          </cell>
          <cell r="I328">
            <v>17.256540000000001</v>
          </cell>
          <cell r="J328">
            <v>17.256540000000001</v>
          </cell>
        </row>
        <row r="329">
          <cell r="B329">
            <v>310</v>
          </cell>
          <cell r="C329">
            <v>3</v>
          </cell>
          <cell r="D329" t="str">
            <v>Installation of catch pit, grating, bracket, chain</v>
          </cell>
          <cell r="E329" t="str">
            <v>Lắp đặt phễu thu nước, cửa thu, kẹp ống, dây xích</v>
          </cell>
          <cell r="F329" t="str">
            <v>ton</v>
          </cell>
          <cell r="G329" t="str">
            <v>tấn</v>
          </cell>
          <cell r="H329">
            <v>17.256540000000001</v>
          </cell>
          <cell r="I329">
            <v>17.256540000000001</v>
          </cell>
          <cell r="J329">
            <v>17.256540000000001</v>
          </cell>
        </row>
        <row r="330">
          <cell r="B330">
            <v>311</v>
          </cell>
          <cell r="C330">
            <v>4</v>
          </cell>
          <cell r="D330" t="str">
            <v>Install steel pipe D=150mm</v>
          </cell>
          <cell r="E330" t="str">
            <v>Ống thép thoát nước, D=150mm</v>
          </cell>
          <cell r="F330" t="str">
            <v>m</v>
          </cell>
          <cell r="G330" t="str">
            <v>m</v>
          </cell>
          <cell r="H330">
            <v>481.46999999999997</v>
          </cell>
          <cell r="I330">
            <v>481.46999999999997</v>
          </cell>
          <cell r="J330">
            <v>481.46999999999997</v>
          </cell>
        </row>
        <row r="331">
          <cell r="B331">
            <v>312</v>
          </cell>
          <cell r="C331">
            <v>5</v>
          </cell>
          <cell r="D331" t="str">
            <v>Bolt D12mm, L=40mm</v>
          </cell>
          <cell r="E331" t="str">
            <v>Bu lông  D12mm, L=40mm</v>
          </cell>
          <cell r="F331" t="str">
            <v>set</v>
          </cell>
          <cell r="G331" t="str">
            <v>bộ</v>
          </cell>
          <cell r="H331">
            <v>1296</v>
          </cell>
          <cell r="I331">
            <v>1296</v>
          </cell>
          <cell r="J331">
            <v>1296</v>
          </cell>
        </row>
        <row r="332">
          <cell r="B332">
            <v>313</v>
          </cell>
          <cell r="C332">
            <v>6</v>
          </cell>
          <cell r="D332" t="str">
            <v>Install PVC pipe D=150mm</v>
          </cell>
          <cell r="E332" t="str">
            <v>Lắp đặt ống PVC D150</v>
          </cell>
          <cell r="F332" t="str">
            <v>m</v>
          </cell>
          <cell r="G332" t="str">
            <v>m</v>
          </cell>
          <cell r="H332">
            <v>0</v>
          </cell>
          <cell r="I332">
            <v>0</v>
          </cell>
          <cell r="J332">
            <v>0</v>
          </cell>
        </row>
        <row r="333">
          <cell r="B333">
            <v>314</v>
          </cell>
          <cell r="D333" t="str">
            <v>5. Traffic safety</v>
          </cell>
          <cell r="E333" t="str">
            <v>5. An toàn giao thông</v>
          </cell>
          <cell r="J333">
            <v>0</v>
          </cell>
        </row>
        <row r="334">
          <cell r="B334">
            <v>315</v>
          </cell>
          <cell r="C334">
            <v>1</v>
          </cell>
          <cell r="D334" t="str">
            <v>Paint bridge marking reflection painting, t=2mm</v>
          </cell>
          <cell r="E334" t="str">
            <v>Sơn dẻo nhiệt phản quang dày 2mm</v>
          </cell>
          <cell r="F334" t="str">
            <v>m2</v>
          </cell>
          <cell r="G334" t="str">
            <v>m2</v>
          </cell>
          <cell r="H334">
            <v>628.20000000000005</v>
          </cell>
          <cell r="I334">
            <v>628.20000000000005</v>
          </cell>
          <cell r="J334">
            <v>628.20000000000005</v>
          </cell>
        </row>
        <row r="335">
          <cell r="B335">
            <v>316</v>
          </cell>
          <cell r="C335">
            <v>2</v>
          </cell>
          <cell r="D335" t="str">
            <v>Fabrication and Installation of reflected traffic sign. (Rectangle sign 120x120cm); C2.1&amp;C2.3</v>
          </cell>
          <cell r="E335" t="str">
            <v>Sản xuất và lắp đặt biển báo phản quang 
(Biển chữ nhật 120x120cm); Biển báo số C2.1&amp;C2.3</v>
          </cell>
          <cell r="F335" t="str">
            <v>each</v>
          </cell>
          <cell r="G335" t="str">
            <v>cái</v>
          </cell>
          <cell r="H335">
            <v>4</v>
          </cell>
          <cell r="I335">
            <v>4</v>
          </cell>
          <cell r="J335">
            <v>4</v>
          </cell>
        </row>
        <row r="336">
          <cell r="B336">
            <v>317</v>
          </cell>
          <cell r="C336">
            <v>3</v>
          </cell>
          <cell r="D336" t="str">
            <v>Supply and Installation of Navigation lantern BH-140D</v>
          </cell>
          <cell r="E336" t="str">
            <v>Cung cấp và lắp đặt đèn tính hiệu đường thủy BH-140D</v>
          </cell>
          <cell r="F336" t="str">
            <v>each</v>
          </cell>
          <cell r="G336" t="str">
            <v>cái</v>
          </cell>
          <cell r="H336">
            <v>24</v>
          </cell>
          <cell r="I336">
            <v>24</v>
          </cell>
          <cell r="J336">
            <v>24</v>
          </cell>
        </row>
        <row r="337">
          <cell r="B337">
            <v>318</v>
          </cell>
          <cell r="D337" t="str">
            <v>6. Inspection facilities</v>
          </cell>
          <cell r="E337" t="str">
            <v>6. Phương tiện kiểm tra kết cấu</v>
          </cell>
          <cell r="J337">
            <v>0</v>
          </cell>
        </row>
        <row r="338">
          <cell r="B338">
            <v>319</v>
          </cell>
          <cell r="C338">
            <v>1</v>
          </cell>
          <cell r="D338" t="str">
            <v>Inspection facilities for superstructure</v>
          </cell>
          <cell r="E338" t="str">
            <v>Phương tiện kiểm tra kết cấu phần trên</v>
          </cell>
          <cell r="F338" t="str">
            <v>LS</v>
          </cell>
          <cell r="G338" t="str">
            <v>Trọn gói</v>
          </cell>
          <cell r="H338">
            <v>1</v>
          </cell>
          <cell r="I338">
            <v>1</v>
          </cell>
          <cell r="J338">
            <v>1</v>
          </cell>
        </row>
        <row r="339">
          <cell r="B339">
            <v>320</v>
          </cell>
          <cell r="C339">
            <v>2</v>
          </cell>
          <cell r="D339" t="str">
            <v>Production and installation of steel shapes (rail)</v>
          </cell>
          <cell r="E339" t="str">
            <v>Sản xuất, lắp đặt thép hình (ray)</v>
          </cell>
          <cell r="F339" t="str">
            <v>ton</v>
          </cell>
          <cell r="G339" t="str">
            <v>tấn</v>
          </cell>
          <cell r="H339">
            <v>113.97</v>
          </cell>
          <cell r="I339">
            <v>113.97</v>
          </cell>
          <cell r="J339">
            <v>113.97</v>
          </cell>
        </row>
        <row r="340">
          <cell r="B340">
            <v>321</v>
          </cell>
          <cell r="C340">
            <v>3</v>
          </cell>
          <cell r="D340" t="str">
            <v>Inspection facilities for Pylon</v>
          </cell>
          <cell r="E340" t="str">
            <v>Phương tiện kiểm tra trụ tháp</v>
          </cell>
          <cell r="F340" t="str">
            <v>LS</v>
          </cell>
          <cell r="G340" t="str">
            <v>Trọn gói</v>
          </cell>
          <cell r="H340">
            <v>1</v>
          </cell>
          <cell r="I340">
            <v>1</v>
          </cell>
          <cell r="J340">
            <v>1</v>
          </cell>
        </row>
        <row r="341">
          <cell r="B341">
            <v>322</v>
          </cell>
          <cell r="C341">
            <v>4</v>
          </cell>
          <cell r="D341" t="str">
            <v>Production ladder and flatform of inspection for Pylon</v>
          </cell>
          <cell r="E341" t="str">
            <v>Sản xuất thang cho việc kiểm tra trụ tháp</v>
          </cell>
          <cell r="F341" t="str">
            <v>ton</v>
          </cell>
          <cell r="G341" t="str">
            <v>tấn</v>
          </cell>
          <cell r="H341">
            <v>119.42</v>
          </cell>
          <cell r="I341">
            <v>119.42</v>
          </cell>
          <cell r="J341">
            <v>119.42</v>
          </cell>
        </row>
        <row r="342">
          <cell r="B342">
            <v>323</v>
          </cell>
          <cell r="C342">
            <v>5</v>
          </cell>
          <cell r="D342" t="str">
            <v>Installation ladder and flatform of inspection for Pylon</v>
          </cell>
          <cell r="E342" t="str">
            <v>Lắp đặt thang cho việc kiểm tra trụ tháp</v>
          </cell>
          <cell r="F342" t="str">
            <v>ton</v>
          </cell>
          <cell r="G342" t="str">
            <v>tấn</v>
          </cell>
          <cell r="H342">
            <v>119.42</v>
          </cell>
          <cell r="I342">
            <v>119.42</v>
          </cell>
          <cell r="J342">
            <v>119.42</v>
          </cell>
        </row>
        <row r="343">
          <cell r="B343">
            <v>324</v>
          </cell>
          <cell r="C343">
            <v>6</v>
          </cell>
          <cell r="D343" t="str">
            <v>Inspection facilities for anchor pier</v>
          </cell>
          <cell r="E343" t="str">
            <v>Phương tiện kiểm tra trụ neo</v>
          </cell>
          <cell r="F343" t="str">
            <v>LS</v>
          </cell>
          <cell r="G343" t="str">
            <v>Trọn gói</v>
          </cell>
          <cell r="H343">
            <v>1</v>
          </cell>
          <cell r="I343">
            <v>1</v>
          </cell>
          <cell r="J343">
            <v>1</v>
          </cell>
        </row>
        <row r="344">
          <cell r="B344">
            <v>325</v>
          </cell>
          <cell r="C344">
            <v>7</v>
          </cell>
          <cell r="D344" t="str">
            <v>Production ladder and flatform of inspection for anchor pier</v>
          </cell>
          <cell r="E344" t="str">
            <v>Sản xuất thang cho việc kiểm tra trụ neo</v>
          </cell>
          <cell r="F344" t="str">
            <v>ton</v>
          </cell>
          <cell r="G344" t="str">
            <v>tấn</v>
          </cell>
          <cell r="H344">
            <v>0.88</v>
          </cell>
          <cell r="I344">
            <v>0.88</v>
          </cell>
          <cell r="J344">
            <v>0.88</v>
          </cell>
        </row>
        <row r="345">
          <cell r="B345">
            <v>326</v>
          </cell>
          <cell r="C345">
            <v>8</v>
          </cell>
          <cell r="D345" t="str">
            <v>Installation ladder and flatform of inspection for anchor pier</v>
          </cell>
          <cell r="E345" t="str">
            <v>Lắp đặt thang cho việc kiểm tra trụ neo</v>
          </cell>
          <cell r="F345" t="str">
            <v>ton</v>
          </cell>
          <cell r="G345" t="str">
            <v>tấn</v>
          </cell>
          <cell r="H345">
            <v>0.88</v>
          </cell>
          <cell r="I345">
            <v>0.88</v>
          </cell>
          <cell r="J345">
            <v>0.88</v>
          </cell>
        </row>
        <row r="347">
          <cell r="D347" t="str">
            <v>5. TECHNICAL BOX</v>
          </cell>
          <cell r="E347" t="str">
            <v>5. HỘP KỸ THUẬT</v>
          </cell>
          <cell r="J347">
            <v>0</v>
          </cell>
        </row>
        <row r="348">
          <cell r="B348">
            <v>327</v>
          </cell>
          <cell r="C348">
            <v>1</v>
          </cell>
          <cell r="D348" t="str">
            <v>Technical Box</v>
          </cell>
          <cell r="E348" t="str">
            <v>Hộp kỹ thuật</v>
          </cell>
          <cell r="F348" t="str">
            <v>ton</v>
          </cell>
          <cell r="G348" t="str">
            <v>tấn</v>
          </cell>
          <cell r="H348">
            <v>78.059059999999988</v>
          </cell>
          <cell r="I348">
            <v>69.170879999999997</v>
          </cell>
          <cell r="J348">
            <v>147.22994</v>
          </cell>
        </row>
        <row r="349">
          <cell r="B349">
            <v>328</v>
          </cell>
          <cell r="C349">
            <v>2</v>
          </cell>
          <cell r="D349" t="str">
            <v>Production of shape steel</v>
          </cell>
          <cell r="E349" t="str">
            <v>Sản xuất thép hình</v>
          </cell>
          <cell r="F349" t="str">
            <v>ton</v>
          </cell>
          <cell r="G349" t="str">
            <v>tấn</v>
          </cell>
          <cell r="H349">
            <v>65.87554999999999</v>
          </cell>
          <cell r="I349">
            <v>58.288969999999992</v>
          </cell>
          <cell r="J349">
            <v>124.16451999999998</v>
          </cell>
        </row>
        <row r="350">
          <cell r="B350">
            <v>329</v>
          </cell>
          <cell r="C350">
            <v>3</v>
          </cell>
          <cell r="D350" t="str">
            <v>Production of steel plate</v>
          </cell>
          <cell r="E350" t="str">
            <v>Sản xuất thép bản</v>
          </cell>
          <cell r="F350" t="str">
            <v>ton</v>
          </cell>
          <cell r="G350" t="str">
            <v>tấn</v>
          </cell>
          <cell r="H350">
            <v>12.183510000000004</v>
          </cell>
          <cell r="I350">
            <v>10.881910000000003</v>
          </cell>
          <cell r="J350">
            <v>23.065420000000007</v>
          </cell>
        </row>
        <row r="351">
          <cell r="B351">
            <v>330</v>
          </cell>
          <cell r="C351">
            <v>4</v>
          </cell>
          <cell r="D351" t="str">
            <v>Galvanize and Installation of steel plate, shape steel</v>
          </cell>
          <cell r="E351" t="str">
            <v>Mạ kẽm và lắp đặt thép bản, thép hình</v>
          </cell>
          <cell r="F351" t="str">
            <v>ton</v>
          </cell>
          <cell r="G351" t="str">
            <v>tấn</v>
          </cell>
          <cell r="H351">
            <v>78.059059999999988</v>
          </cell>
          <cell r="I351">
            <v>69.170879999999997</v>
          </cell>
          <cell r="J351">
            <v>147.22994</v>
          </cell>
        </row>
        <row r="352">
          <cell r="B352">
            <v>331</v>
          </cell>
          <cell r="C352">
            <v>5</v>
          </cell>
          <cell r="D352" t="str">
            <v>Install galvanized steel pipe D27mm, 2mm thick</v>
          </cell>
          <cell r="E352" t="str">
            <v>Ống thép tráng kẽm, D=27mm, dày 2mm</v>
          </cell>
          <cell r="F352" t="str">
            <v>m</v>
          </cell>
          <cell r="G352" t="str">
            <v>m</v>
          </cell>
          <cell r="H352">
            <v>1030.8943089430895</v>
          </cell>
          <cell r="I352">
            <v>916.89430894308953</v>
          </cell>
          <cell r="J352">
            <v>1947.7886178861791</v>
          </cell>
        </row>
        <row r="353">
          <cell r="B353">
            <v>332</v>
          </cell>
          <cell r="C353">
            <v>6</v>
          </cell>
          <cell r="D353" t="str">
            <v>Install galvanized steel pipe D115mm, 3mm thick</v>
          </cell>
          <cell r="E353" t="str">
            <v>Ống thép tráng kẽm, D=115mm, dày 3mm</v>
          </cell>
          <cell r="F353" t="str">
            <v>m</v>
          </cell>
          <cell r="G353" t="str">
            <v>m</v>
          </cell>
          <cell r="H353">
            <v>1053.7871107892831</v>
          </cell>
          <cell r="I353">
            <v>938.56625633598856</v>
          </cell>
          <cell r="J353">
            <v>1992.3533671252717</v>
          </cell>
        </row>
        <row r="354">
          <cell r="B354">
            <v>333</v>
          </cell>
          <cell r="C354">
            <v>7</v>
          </cell>
          <cell r="D354" t="str">
            <v>Expanded metal</v>
          </cell>
          <cell r="E354" t="str">
            <v xml:space="preserve">Lưới thép sàn </v>
          </cell>
          <cell r="F354" t="str">
            <v>ton</v>
          </cell>
          <cell r="G354" t="str">
            <v>tấn</v>
          </cell>
          <cell r="H354">
            <v>17.558400000000002</v>
          </cell>
          <cell r="I354">
            <v>15.458180000000002</v>
          </cell>
          <cell r="J354">
            <v>33.016580000000005</v>
          </cell>
        </row>
        <row r="355">
          <cell r="B355">
            <v>334</v>
          </cell>
          <cell r="C355">
            <v>8</v>
          </cell>
          <cell r="D355" t="str">
            <v>Installation of expanded metal</v>
          </cell>
          <cell r="E355" t="str">
            <v>Lắp đặt lưới thép sàn</v>
          </cell>
          <cell r="F355" t="str">
            <v>ton</v>
          </cell>
          <cell r="G355" t="str">
            <v>tấn</v>
          </cell>
          <cell r="H355">
            <v>17.558400000000002</v>
          </cell>
          <cell r="I355">
            <v>15.458180000000002</v>
          </cell>
          <cell r="J355">
            <v>33.016580000000005</v>
          </cell>
        </row>
        <row r="356">
          <cell r="B356">
            <v>335</v>
          </cell>
          <cell r="C356">
            <v>9</v>
          </cell>
          <cell r="D356" t="str">
            <v>Bolt D12mm, L=30mm</v>
          </cell>
          <cell r="E356" t="str">
            <v>Bu lông  D12mm, L=30mm</v>
          </cell>
          <cell r="F356" t="str">
            <v>set</v>
          </cell>
          <cell r="G356" t="str">
            <v>bộ</v>
          </cell>
          <cell r="H356">
            <v>108</v>
          </cell>
          <cell r="I356">
            <v>96</v>
          </cell>
          <cell r="J356">
            <v>204</v>
          </cell>
        </row>
        <row r="357">
          <cell r="B357">
            <v>336</v>
          </cell>
          <cell r="C357">
            <v>10</v>
          </cell>
          <cell r="D357" t="str">
            <v>Bolt D12mm, L=40mm</v>
          </cell>
          <cell r="E357" t="str">
            <v>Bu lông  D12mm, L=40mm</v>
          </cell>
          <cell r="F357" t="str">
            <v>set</v>
          </cell>
          <cell r="G357" t="str">
            <v>bộ</v>
          </cell>
          <cell r="H357">
            <v>864</v>
          </cell>
          <cell r="I357">
            <v>768</v>
          </cell>
          <cell r="J357">
            <v>1632</v>
          </cell>
        </row>
        <row r="358">
          <cell r="B358">
            <v>337</v>
          </cell>
          <cell r="C358">
            <v>11</v>
          </cell>
          <cell r="D358" t="str">
            <v xml:space="preserve">Bolt D16mm, L=90mm  </v>
          </cell>
          <cell r="E358" t="str">
            <v>Bu lông  D16mm, L=90mm</v>
          </cell>
          <cell r="F358" t="str">
            <v>set</v>
          </cell>
          <cell r="G358" t="str">
            <v>bộ</v>
          </cell>
          <cell r="H358">
            <v>4628</v>
          </cell>
          <cell r="I358">
            <v>4068</v>
          </cell>
          <cell r="J358">
            <v>8696</v>
          </cell>
        </row>
        <row r="359">
          <cell r="B359">
            <v>338</v>
          </cell>
          <cell r="C359">
            <v>12</v>
          </cell>
          <cell r="D359" t="str">
            <v xml:space="preserve">Bolt D16mm, L=50mm  </v>
          </cell>
          <cell r="E359" t="str">
            <v>Bu lông  D16mm, L=50mm</v>
          </cell>
          <cell r="F359" t="str">
            <v>set</v>
          </cell>
          <cell r="G359" t="str">
            <v>bộ</v>
          </cell>
          <cell r="H359">
            <v>4996</v>
          </cell>
          <cell r="I359">
            <v>4500</v>
          </cell>
          <cell r="J359">
            <v>9496</v>
          </cell>
        </row>
        <row r="360">
          <cell r="B360">
            <v>339</v>
          </cell>
          <cell r="C360">
            <v>13</v>
          </cell>
          <cell r="D360" t="str">
            <v xml:space="preserve">Bolt D18mm, L=60mm  </v>
          </cell>
          <cell r="E360" t="str">
            <v>Bu lông  D18mm, L=60mm</v>
          </cell>
          <cell r="F360" t="str">
            <v>set</v>
          </cell>
          <cell r="G360" t="str">
            <v>bộ</v>
          </cell>
          <cell r="H360">
            <v>1224</v>
          </cell>
          <cell r="I360">
            <v>1188</v>
          </cell>
          <cell r="J360">
            <v>2412</v>
          </cell>
        </row>
        <row r="361">
          <cell r="B361">
            <v>340</v>
          </cell>
          <cell r="C361">
            <v>14</v>
          </cell>
          <cell r="D361" t="str">
            <v>Install PVC pipe D=115mm</v>
          </cell>
          <cell r="E361" t="str">
            <v>Lắp đặt ống PVC D115</v>
          </cell>
          <cell r="F361" t="str">
            <v>m</v>
          </cell>
          <cell r="G361" t="str">
            <v>m</v>
          </cell>
          <cell r="H361">
            <v>115.2</v>
          </cell>
          <cell r="I361">
            <v>115.2</v>
          </cell>
          <cell r="J361">
            <v>230.4</v>
          </cell>
        </row>
        <row r="362">
          <cell r="B362">
            <v>341</v>
          </cell>
          <cell r="C362">
            <v>15</v>
          </cell>
          <cell r="D362" t="str">
            <v>Rebar D16</v>
          </cell>
          <cell r="E362" t="str">
            <v>Thép tròn D16</v>
          </cell>
          <cell r="F362" t="str">
            <v>ton</v>
          </cell>
          <cell r="G362" t="str">
            <v>tấn</v>
          </cell>
          <cell r="H362">
            <v>2.8949600000000002</v>
          </cell>
          <cell r="I362">
            <v>2.6033600000000003</v>
          </cell>
          <cell r="J362">
            <v>5.4983200000000005</v>
          </cell>
        </row>
        <row r="363">
          <cell r="J363">
            <v>0</v>
          </cell>
        </row>
        <row r="364">
          <cell r="D364" t="str">
            <v>8. LANDSCAPE</v>
          </cell>
          <cell r="E364" t="str">
            <v>8. CẢNH QUAN</v>
          </cell>
          <cell r="J364">
            <v>0</v>
          </cell>
        </row>
        <row r="365">
          <cell r="B365">
            <v>342</v>
          </cell>
          <cell r="C365">
            <v>1</v>
          </cell>
          <cell r="D365" t="str">
            <v>Area of grass planting</v>
          </cell>
          <cell r="E365" t="str">
            <v>Diện tích trồng cỏ</v>
          </cell>
          <cell r="F365" t="str">
            <v>m2</v>
          </cell>
          <cell r="G365" t="str">
            <v>m2</v>
          </cell>
          <cell r="H365">
            <v>60340</v>
          </cell>
          <cell r="I365">
            <v>64330</v>
          </cell>
          <cell r="J365">
            <v>124670</v>
          </cell>
        </row>
        <row r="366">
          <cell r="B366">
            <v>343</v>
          </cell>
          <cell r="C366">
            <v>2</v>
          </cell>
          <cell r="D366" t="str">
            <v>Tree planting</v>
          </cell>
          <cell r="E366" t="str">
            <v>Trồng cây tróc bạc</v>
          </cell>
          <cell r="F366" t="str">
            <v>tree</v>
          </cell>
          <cell r="G366" t="str">
            <v>cây</v>
          </cell>
          <cell r="H366">
            <v>108</v>
          </cell>
          <cell r="I366">
            <v>120</v>
          </cell>
          <cell r="J366">
            <v>228</v>
          </cell>
        </row>
        <row r="367">
          <cell r="B367">
            <v>344</v>
          </cell>
          <cell r="C367">
            <v>3</v>
          </cell>
          <cell r="D367" t="str">
            <v>Structural Excavation ( by manpower)</v>
          </cell>
          <cell r="E367" t="str">
            <v>Đào móng công trình (bằng thủ công)</v>
          </cell>
          <cell r="F367" t="str">
            <v>m³</v>
          </cell>
          <cell r="G367" t="str">
            <v>m³</v>
          </cell>
          <cell r="H367">
            <v>230.43200000000002</v>
          </cell>
          <cell r="I367">
            <v>249.73600000000002</v>
          </cell>
          <cell r="J367">
            <v>480.16800000000001</v>
          </cell>
        </row>
        <row r="368">
          <cell r="B368">
            <v>345</v>
          </cell>
          <cell r="C368">
            <v>4</v>
          </cell>
          <cell r="D368" t="str">
            <v>Earth base fill K90</v>
          </cell>
          <cell r="E368" t="str">
            <v>San nền K90 của mố trên cạn</v>
          </cell>
          <cell r="F368" t="str">
            <v>m³</v>
          </cell>
          <cell r="G368" t="str">
            <v>m³</v>
          </cell>
          <cell r="H368">
            <v>30170</v>
          </cell>
          <cell r="I368">
            <v>32165</v>
          </cell>
          <cell r="J368">
            <v>62335</v>
          </cell>
        </row>
        <row r="369">
          <cell r="B369">
            <v>346</v>
          </cell>
          <cell r="C369">
            <v>5</v>
          </cell>
          <cell r="D369" t="str">
            <v xml:space="preserve">Backfill </v>
          </cell>
          <cell r="E369" t="str">
            <v>Đắp đất trồng cỏ</v>
          </cell>
          <cell r="F369" t="str">
            <v>m³</v>
          </cell>
          <cell r="G369" t="str">
            <v>m³</v>
          </cell>
          <cell r="H369">
            <v>6034</v>
          </cell>
          <cell r="I369">
            <v>6433</v>
          </cell>
          <cell r="J369">
            <v>12467</v>
          </cell>
        </row>
        <row r="370">
          <cell r="B370">
            <v>347</v>
          </cell>
          <cell r="C370">
            <v>6</v>
          </cell>
          <cell r="D370" t="str">
            <v>Concrete C25 for precast panels</v>
          </cell>
          <cell r="E370" t="str">
            <v>Bê tông bó vỉa +tấm BT C25 đúc sẵn</v>
          </cell>
          <cell r="F370" t="str">
            <v>m³</v>
          </cell>
          <cell r="G370" t="str">
            <v>m³</v>
          </cell>
          <cell r="H370">
            <v>429.30399999999997</v>
          </cell>
          <cell r="I370">
            <v>434.39200000000005</v>
          </cell>
          <cell r="J370">
            <v>885.28839999999991</v>
          </cell>
        </row>
        <row r="371">
          <cell r="B371">
            <v>348</v>
          </cell>
          <cell r="C371">
            <v>7</v>
          </cell>
          <cell r="D371" t="str">
            <v>Fabricate ready 50 m³/h mixed concrete</v>
          </cell>
          <cell r="E371" t="str">
            <v>Sản xuất vữa bê tông trạm trộn 50m³/h</v>
          </cell>
          <cell r="F371" t="str">
            <v>m³</v>
          </cell>
          <cell r="G371" t="str">
            <v>m³</v>
          </cell>
          <cell r="H371">
            <v>440.03659999999991</v>
          </cell>
          <cell r="I371">
            <v>445.2518</v>
          </cell>
          <cell r="J371">
            <v>885.28839999999991</v>
          </cell>
        </row>
        <row r="372">
          <cell r="B372">
            <v>349</v>
          </cell>
          <cell r="C372">
            <v>8</v>
          </cell>
          <cell r="D372" t="str">
            <v>Transport ready mixed concrete distance 0,5km</v>
          </cell>
          <cell r="E372" t="str">
            <v>Vận chuyển bê tông cự ly 0,5km</v>
          </cell>
          <cell r="F372" t="str">
            <v>m³</v>
          </cell>
          <cell r="G372" t="str">
            <v>m³</v>
          </cell>
          <cell r="H372">
            <v>440.03659999999991</v>
          </cell>
          <cell r="I372">
            <v>445.2518</v>
          </cell>
          <cell r="J372">
            <v>885.28839999999991</v>
          </cell>
        </row>
        <row r="373">
          <cell r="B373">
            <v>350</v>
          </cell>
          <cell r="C373">
            <v>9</v>
          </cell>
          <cell r="D373" t="str">
            <v>Formwork for precast panel</v>
          </cell>
          <cell r="E373" t="str">
            <v>Ván khuôn các loại kết cấu đúc sẵn</v>
          </cell>
          <cell r="F373" t="str">
            <v>m²</v>
          </cell>
          <cell r="G373" t="str">
            <v>m²</v>
          </cell>
          <cell r="H373">
            <v>1529.6</v>
          </cell>
          <cell r="I373">
            <v>1611.4</v>
          </cell>
          <cell r="J373">
            <v>3141</v>
          </cell>
        </row>
        <row r="374">
          <cell r="B374">
            <v>351</v>
          </cell>
          <cell r="C374">
            <v>10</v>
          </cell>
          <cell r="D374" t="str">
            <v>Installation of precast panels</v>
          </cell>
          <cell r="E374" t="str">
            <v>Lắp đặt các tấm bê tông lan can đúc sẵn</v>
          </cell>
          <cell r="F374" t="str">
            <v>each</v>
          </cell>
          <cell r="G374" t="str">
            <v>tấm</v>
          </cell>
          <cell r="H374">
            <v>528</v>
          </cell>
          <cell r="I374">
            <v>495</v>
          </cell>
          <cell r="J374">
            <v>1023</v>
          </cell>
        </row>
        <row r="375">
          <cell r="B375">
            <v>352</v>
          </cell>
          <cell r="C375">
            <v>11</v>
          </cell>
          <cell r="D375" t="str">
            <v>Rebar Ф ≤ 18 (100kg/m3)</v>
          </cell>
          <cell r="E375" t="str">
            <v>Cốt thép cấu kiện đúc sẵn Ф ≤ 18 (100kg/m3)</v>
          </cell>
          <cell r="F375" t="str">
            <v>ton</v>
          </cell>
          <cell r="G375" t="str">
            <v>tấn</v>
          </cell>
          <cell r="H375">
            <v>42.930399999999999</v>
          </cell>
          <cell r="I375">
            <v>43.439200000000007</v>
          </cell>
          <cell r="J375">
            <v>86.369600000000005</v>
          </cell>
        </row>
        <row r="376">
          <cell r="J376">
            <v>0</v>
          </cell>
        </row>
        <row r="377">
          <cell r="D377" t="str">
            <v>9. FIRE FIGHTING SYSTEM</v>
          </cell>
          <cell r="E377" t="str">
            <v>9. HỆ THỐNG CHỮA CHÁY</v>
          </cell>
          <cell r="J377">
            <v>0</v>
          </cell>
        </row>
        <row r="378">
          <cell r="B378">
            <v>353</v>
          </cell>
          <cell r="C378">
            <v>1</v>
          </cell>
          <cell r="D378" t="str">
            <v>Fire Fighting System</v>
          </cell>
          <cell r="E378" t="str">
            <v>Phòng cháy chữa cháy</v>
          </cell>
          <cell r="F378" t="str">
            <v>PS</v>
          </cell>
          <cell r="G378" t="str">
            <v>Tạm tính</v>
          </cell>
          <cell r="H378">
            <v>1</v>
          </cell>
          <cell r="J378">
            <v>1</v>
          </cell>
        </row>
        <row r="379">
          <cell r="B379">
            <v>354</v>
          </cell>
          <cell r="C379">
            <v>2</v>
          </cell>
          <cell r="D379" t="str">
            <v>Fire Pump Systems</v>
          </cell>
          <cell r="E379" t="str">
            <v>Hệ thống bơm chữa cháy</v>
          </cell>
          <cell r="F379" t="str">
            <v>LS</v>
          </cell>
          <cell r="G379" t="str">
            <v>Trọn gói</v>
          </cell>
          <cell r="H379">
            <v>1</v>
          </cell>
          <cell r="J379">
            <v>1</v>
          </cell>
        </row>
        <row r="380">
          <cell r="B380">
            <v>355</v>
          </cell>
          <cell r="C380">
            <v>3</v>
          </cell>
          <cell r="D380" t="str">
            <v>Cabinet fighting foam / water</v>
          </cell>
          <cell r="E380" t="str">
            <v>Tử chữa cháy foam/ nước</v>
          </cell>
          <cell r="F380" t="str">
            <v>LS</v>
          </cell>
          <cell r="G380" t="str">
            <v>Trọn gói</v>
          </cell>
          <cell r="H380">
            <v>1</v>
          </cell>
          <cell r="J380">
            <v>1</v>
          </cell>
        </row>
        <row r="381">
          <cell r="B381">
            <v>356</v>
          </cell>
          <cell r="C381">
            <v>4</v>
          </cell>
          <cell r="D381" t="str">
            <v>Valves, pipe fire</v>
          </cell>
          <cell r="E381" t="str">
            <v>Van, đường ống chữa cháy</v>
          </cell>
          <cell r="F381" t="str">
            <v>LS</v>
          </cell>
          <cell r="G381" t="str">
            <v>Trọn gói</v>
          </cell>
          <cell r="H381">
            <v>1</v>
          </cell>
          <cell r="J381">
            <v>1</v>
          </cell>
        </row>
        <row r="382">
          <cell r="B382">
            <v>357</v>
          </cell>
          <cell r="C382">
            <v>5</v>
          </cell>
          <cell r="D382" t="str">
            <v>Cost Management</v>
          </cell>
          <cell r="E382" t="str">
            <v>Chi phí quản lý</v>
          </cell>
          <cell r="F382" t="str">
            <v>LS</v>
          </cell>
          <cell r="G382" t="str">
            <v>Trọn gói</v>
          </cell>
          <cell r="H382">
            <v>1</v>
          </cell>
          <cell r="J382">
            <v>1</v>
          </cell>
        </row>
        <row r="384">
          <cell r="B384">
            <v>358</v>
          </cell>
          <cell r="D384" t="str">
            <v>2. APPROACH BRIDGE</v>
          </cell>
          <cell r="E384" t="str">
            <v>2. PHẦN CẦU DẪN</v>
          </cell>
          <cell r="J384">
            <v>0</v>
          </cell>
        </row>
        <row r="385">
          <cell r="B385">
            <v>359</v>
          </cell>
          <cell r="D385" t="str">
            <v>I. SUPERSTRUCTURE</v>
          </cell>
          <cell r="E385" t="str">
            <v>I. KẾT CẤU PHẦN TRÊN</v>
          </cell>
          <cell r="J385">
            <v>0</v>
          </cell>
        </row>
        <row r="386">
          <cell r="B386">
            <v>360</v>
          </cell>
          <cell r="D386" t="str">
            <v>1. Installation Super-T girder</v>
          </cell>
          <cell r="E386" t="str">
            <v>1. Cung cấp, Lao lắp dầm Super-T</v>
          </cell>
          <cell r="J386">
            <v>0</v>
          </cell>
        </row>
        <row r="387">
          <cell r="B387">
            <v>361</v>
          </cell>
          <cell r="C387">
            <v>1</v>
          </cell>
          <cell r="D387" t="str">
            <v>Concrete C50 for Super-T Girder, L=30m</v>
          </cell>
          <cell r="E387" t="str">
            <v>Cung cấp dầm Super-T đúc sẵn, L=30m</v>
          </cell>
          <cell r="F387" t="str">
            <v>beam</v>
          </cell>
          <cell r="G387" t="str">
            <v>dầm</v>
          </cell>
          <cell r="H387">
            <v>22</v>
          </cell>
          <cell r="I387">
            <v>0</v>
          </cell>
          <cell r="J387">
            <v>0</v>
          </cell>
        </row>
        <row r="388">
          <cell r="B388">
            <v>362</v>
          </cell>
          <cell r="C388">
            <v>2</v>
          </cell>
          <cell r="D388" t="str">
            <v>Concrete C50 for Super-T Girder, L=30m</v>
          </cell>
          <cell r="E388" t="str">
            <v>Cung cấp dầm Super-T đúc sẵn, L=30m</v>
          </cell>
          <cell r="F388" t="str">
            <v>beam</v>
          </cell>
          <cell r="G388" t="str">
            <v>dầm</v>
          </cell>
          <cell r="H388">
            <v>22</v>
          </cell>
          <cell r="I388">
            <v>0</v>
          </cell>
          <cell r="J388">
            <v>0</v>
          </cell>
        </row>
        <row r="389">
          <cell r="B389">
            <v>363</v>
          </cell>
          <cell r="C389">
            <v>3</v>
          </cell>
          <cell r="D389" t="str">
            <v>Launching super T girder by Girder lift-lower equipment</v>
          </cell>
          <cell r="E389" t="str">
            <v>Lắp đặt dầm Super-T  bằng thiết bị nâng hạ dầm</v>
          </cell>
          <cell r="F389" t="str">
            <v>beam</v>
          </cell>
          <cell r="G389" t="str">
            <v>dầm</v>
          </cell>
          <cell r="H389">
            <v>22</v>
          </cell>
          <cell r="I389">
            <v>0</v>
          </cell>
          <cell r="J389">
            <v>0</v>
          </cell>
        </row>
        <row r="390">
          <cell r="B390">
            <v>364</v>
          </cell>
          <cell r="C390">
            <v>4</v>
          </cell>
          <cell r="D390" t="str">
            <v>Moving girder lauching crane</v>
          </cell>
          <cell r="E390" t="str">
            <v>Di chuyển cẩu long môn</v>
          </cell>
          <cell r="F390" t="str">
            <v>time</v>
          </cell>
          <cell r="G390" t="str">
            <v>lần</v>
          </cell>
          <cell r="H390">
            <v>2</v>
          </cell>
          <cell r="J390">
            <v>0</v>
          </cell>
        </row>
        <row r="391">
          <cell r="B391">
            <v>365</v>
          </cell>
          <cell r="C391">
            <v>5</v>
          </cell>
          <cell r="D391" t="str">
            <v>Concrete C50 for Super-T Girder, L=40m</v>
          </cell>
          <cell r="E391" t="str">
            <v>Cung cấp dầm Super-T đúc sẵn, L=40m</v>
          </cell>
          <cell r="F391" t="str">
            <v>beam</v>
          </cell>
          <cell r="G391" t="str">
            <v>dầm</v>
          </cell>
          <cell r="H391">
            <v>286</v>
          </cell>
          <cell r="I391">
            <v>275</v>
          </cell>
          <cell r="J391">
            <v>275</v>
          </cell>
        </row>
        <row r="392">
          <cell r="B392">
            <v>366</v>
          </cell>
          <cell r="C392">
            <v>6</v>
          </cell>
          <cell r="D392" t="str">
            <v>Launching super T girder by Girder lift-lower equipment</v>
          </cell>
          <cell r="E392" t="str">
            <v>Lắp đặt dầm Super-T  bằng thiết bị nâng hạ dầm</v>
          </cell>
          <cell r="F392" t="str">
            <v>beam</v>
          </cell>
          <cell r="G392" t="str">
            <v>dầm</v>
          </cell>
          <cell r="H392">
            <v>253</v>
          </cell>
          <cell r="I392">
            <v>220</v>
          </cell>
          <cell r="J392">
            <v>220</v>
          </cell>
        </row>
        <row r="393">
          <cell r="B393">
            <v>367</v>
          </cell>
          <cell r="C393">
            <v>7</v>
          </cell>
          <cell r="D393" t="str">
            <v>Moving girder lauching crane</v>
          </cell>
          <cell r="E393" t="str">
            <v>Di chuyển cẩu long môn</v>
          </cell>
          <cell r="F393" t="str">
            <v>time</v>
          </cell>
          <cell r="G393" t="str">
            <v>lần</v>
          </cell>
          <cell r="H393">
            <v>19</v>
          </cell>
          <cell r="I393">
            <v>22</v>
          </cell>
          <cell r="J393">
            <v>22</v>
          </cell>
        </row>
        <row r="394">
          <cell r="B394">
            <v>368</v>
          </cell>
          <cell r="C394">
            <v>8</v>
          </cell>
          <cell r="D394" t="str">
            <v>Launching super T girder by 2 crane</v>
          </cell>
          <cell r="E394" t="str">
            <v>Lắp dầm Super-T bằng phương pháp đấu cẩu</v>
          </cell>
          <cell r="F394" t="str">
            <v>beam</v>
          </cell>
          <cell r="G394" t="str">
            <v>dầm</v>
          </cell>
          <cell r="H394">
            <v>33</v>
          </cell>
          <cell r="I394">
            <v>55</v>
          </cell>
          <cell r="J394">
            <v>55</v>
          </cell>
        </row>
        <row r="395">
          <cell r="B395">
            <v>369</v>
          </cell>
          <cell r="D395" t="str">
            <v>2. Precast Concrete Plank</v>
          </cell>
          <cell r="E395" t="str">
            <v>2. Tấm đan bê tông đúc sẵn</v>
          </cell>
          <cell r="J395">
            <v>0</v>
          </cell>
        </row>
        <row r="396">
          <cell r="B396">
            <v>370</v>
          </cell>
          <cell r="C396">
            <v>1</v>
          </cell>
          <cell r="D396" t="str">
            <v>Precast Concrete Plank</v>
          </cell>
          <cell r="E396" t="str">
            <v>Tấm đan bê tông đúc sẵn</v>
          </cell>
          <cell r="F396" t="str">
            <v>m³</v>
          </cell>
          <cell r="G396" t="str">
            <v>m³</v>
          </cell>
          <cell r="H396">
            <v>288.08703000000003</v>
          </cell>
          <cell r="I396">
            <v>262.6868475</v>
          </cell>
          <cell r="J396">
            <v>262.6868475</v>
          </cell>
        </row>
        <row r="397">
          <cell r="B397">
            <v>371</v>
          </cell>
          <cell r="C397">
            <v>2</v>
          </cell>
          <cell r="D397" t="str">
            <v>Concrete stone 1x2 C30 for precast R.C plank</v>
          </cell>
          <cell r="E397" t="str">
            <v>Bê tông đá 1x2 C30 tấm bê tông đúc sẵn</v>
          </cell>
          <cell r="F397" t="str">
            <v>m³</v>
          </cell>
          <cell r="G397" t="str">
            <v>m³</v>
          </cell>
          <cell r="H397">
            <v>288.08703000000003</v>
          </cell>
          <cell r="I397">
            <v>262.6868475</v>
          </cell>
          <cell r="J397">
            <v>262.6868475</v>
          </cell>
        </row>
        <row r="398">
          <cell r="B398">
            <v>372</v>
          </cell>
          <cell r="C398">
            <v>3</v>
          </cell>
          <cell r="D398" t="str">
            <v>Fabricate ready 50 m³/h mixed concrete</v>
          </cell>
          <cell r="E398" t="str">
            <v>Sản xuất vữa bê tông trạm trộn 50m³/h</v>
          </cell>
          <cell r="F398" t="str">
            <v>m³</v>
          </cell>
          <cell r="G398" t="str">
            <v>m³</v>
          </cell>
          <cell r="H398">
            <v>292.40833544999998</v>
          </cell>
          <cell r="I398">
            <v>266.6271502125</v>
          </cell>
          <cell r="J398">
            <v>266.6271502125</v>
          </cell>
        </row>
        <row r="399">
          <cell r="B399">
            <v>373</v>
          </cell>
          <cell r="C399">
            <v>4</v>
          </cell>
          <cell r="D399" t="str">
            <v>Transport ready mixed concrete distance 0,5km</v>
          </cell>
          <cell r="E399" t="str">
            <v>Vận chuyển bê tông cự ly 0,5km</v>
          </cell>
          <cell r="F399" t="str">
            <v>m³</v>
          </cell>
          <cell r="G399" t="str">
            <v>m³</v>
          </cell>
          <cell r="H399">
            <v>292.40833544999998</v>
          </cell>
          <cell r="I399">
            <v>266.6271502125</v>
          </cell>
          <cell r="J399">
            <v>266.6271502125</v>
          </cell>
        </row>
        <row r="400">
          <cell r="B400">
            <v>374</v>
          </cell>
          <cell r="C400">
            <v>5</v>
          </cell>
          <cell r="D400" t="str">
            <v>Formwork for precast structure</v>
          </cell>
          <cell r="E400" t="str">
            <v>Ván khuôn tấm bê tông đúc sẵn</v>
          </cell>
          <cell r="F400" t="str">
            <v>m²</v>
          </cell>
          <cell r="G400" t="str">
            <v>m²</v>
          </cell>
          <cell r="H400">
            <v>1109.3852000000002</v>
          </cell>
          <cell r="I400">
            <v>936.56640000000004</v>
          </cell>
          <cell r="J400">
            <v>936.56640000000004</v>
          </cell>
        </row>
        <row r="401">
          <cell r="B401">
            <v>375</v>
          </cell>
          <cell r="C401">
            <v>6</v>
          </cell>
          <cell r="D401" t="str">
            <v>Install precast R.C plank</v>
          </cell>
          <cell r="E401" t="str">
            <v>Lắp đặt tấm bê tông đúc sẵn</v>
          </cell>
          <cell r="F401" t="str">
            <v>each</v>
          </cell>
          <cell r="G401" t="str">
            <v>tấm</v>
          </cell>
          <cell r="H401">
            <v>8756</v>
          </cell>
          <cell r="I401">
            <v>7392</v>
          </cell>
          <cell r="J401">
            <v>7392</v>
          </cell>
        </row>
        <row r="402">
          <cell r="B402">
            <v>376</v>
          </cell>
          <cell r="C402">
            <v>7</v>
          </cell>
          <cell r="D402" t="str">
            <v>Rebar for precast R.C plank, Ф ≤ 18</v>
          </cell>
          <cell r="E402" t="str">
            <v>Cốt thép tấm bê tông đúc sẵn, Ф ≤ 18</v>
          </cell>
          <cell r="F402" t="str">
            <v>ton</v>
          </cell>
          <cell r="G402" t="str">
            <v>tấn</v>
          </cell>
          <cell r="H402">
            <v>43.429945788414535</v>
          </cell>
          <cell r="I402">
            <v>39.595439423190328</v>
          </cell>
          <cell r="J402">
            <v>39.595439423190328</v>
          </cell>
        </row>
        <row r="403">
          <cell r="B403">
            <v>377</v>
          </cell>
          <cell r="D403" t="str">
            <v xml:space="preserve">3. Cross beam </v>
          </cell>
          <cell r="E403" t="str">
            <v>3. Dầm ngang</v>
          </cell>
          <cell r="J403">
            <v>0</v>
          </cell>
        </row>
        <row r="404">
          <cell r="B404">
            <v>378</v>
          </cell>
          <cell r="C404">
            <v>1</v>
          </cell>
          <cell r="D404" t="str">
            <v>Concrete C35 for cross beam</v>
          </cell>
          <cell r="E404" t="str">
            <v>Bê tông dầm ngang C35</v>
          </cell>
          <cell r="F404" t="str">
            <v>m³</v>
          </cell>
          <cell r="G404" t="str">
            <v>m³</v>
          </cell>
          <cell r="H404">
            <v>318.1516837050001</v>
          </cell>
          <cell r="I404">
            <v>306.44643989500008</v>
          </cell>
          <cell r="J404">
            <v>306.44643989500008</v>
          </cell>
        </row>
        <row r="405">
          <cell r="B405">
            <v>379</v>
          </cell>
          <cell r="C405">
            <v>2</v>
          </cell>
          <cell r="D405" t="str">
            <v>Concrete C35 for cross beam</v>
          </cell>
          <cell r="E405" t="str">
            <v>Bê tông dầm ngang C35</v>
          </cell>
          <cell r="F405" t="str">
            <v>m³</v>
          </cell>
          <cell r="G405" t="str">
            <v>m³</v>
          </cell>
          <cell r="H405">
            <v>318.1516837050001</v>
          </cell>
          <cell r="I405">
            <v>306.44643989500008</v>
          </cell>
          <cell r="J405">
            <v>306.44643989500008</v>
          </cell>
        </row>
        <row r="406">
          <cell r="B406">
            <v>380</v>
          </cell>
          <cell r="C406">
            <v>3</v>
          </cell>
          <cell r="D406" t="str">
            <v>Fabricate ready 50 m³/h mixed concrete</v>
          </cell>
          <cell r="E406" t="str">
            <v>Sản xuất vữa bê tông trạm trộn 50m³/h</v>
          </cell>
          <cell r="F406" t="str">
            <v>m³</v>
          </cell>
          <cell r="G406" t="str">
            <v>m³</v>
          </cell>
          <cell r="H406">
            <v>326.10547579762505</v>
          </cell>
          <cell r="I406">
            <v>314.10760089237505</v>
          </cell>
          <cell r="J406">
            <v>314.10760089237505</v>
          </cell>
        </row>
        <row r="407">
          <cell r="B407">
            <v>381</v>
          </cell>
          <cell r="C407">
            <v>4</v>
          </cell>
          <cell r="D407" t="str">
            <v>Transport ready mixed concrete distance 0,5km</v>
          </cell>
          <cell r="E407" t="str">
            <v>Vận chuyển bê tông cự ly 0,5km</v>
          </cell>
          <cell r="F407" t="str">
            <v>m³</v>
          </cell>
          <cell r="G407" t="str">
            <v>m³</v>
          </cell>
          <cell r="H407">
            <v>326.10547579762505</v>
          </cell>
          <cell r="I407">
            <v>314.10760089237505</v>
          </cell>
          <cell r="J407">
            <v>314.10760089237505</v>
          </cell>
        </row>
        <row r="408">
          <cell r="B408">
            <v>382</v>
          </cell>
          <cell r="C408">
            <v>5</v>
          </cell>
          <cell r="D408" t="str">
            <v>Formwork for cross beam</v>
          </cell>
          <cell r="E408" t="str">
            <v>Ván khuôn dầm ngang</v>
          </cell>
          <cell r="F408" t="str">
            <v>m²</v>
          </cell>
          <cell r="G408" t="str">
            <v>m²</v>
          </cell>
          <cell r="H408">
            <v>1803</v>
          </cell>
          <cell r="I408">
            <v>1610</v>
          </cell>
          <cell r="J408">
            <v>1610</v>
          </cell>
        </row>
        <row r="409">
          <cell r="B409">
            <v>383</v>
          </cell>
          <cell r="C409">
            <v>6</v>
          </cell>
          <cell r="D409" t="str">
            <v>Shape steel for contruction of cross beam</v>
          </cell>
          <cell r="E409" t="str">
            <v>Thép hình phục vụ thi công dầm ngang</v>
          </cell>
          <cell r="F409" t="str">
            <v>ton</v>
          </cell>
          <cell r="G409" t="str">
            <v>tấn</v>
          </cell>
          <cell r="H409">
            <v>75</v>
          </cell>
          <cell r="I409">
            <v>67</v>
          </cell>
          <cell r="J409">
            <v>67</v>
          </cell>
        </row>
        <row r="410">
          <cell r="B410">
            <v>384</v>
          </cell>
          <cell r="C410">
            <v>7</v>
          </cell>
          <cell r="D410" t="str">
            <v>Rebar for cross beam, Ф ≤ 18</v>
          </cell>
          <cell r="E410" t="str">
            <v>Cốt thép dầm ngang, Ф ≤ 18</v>
          </cell>
          <cell r="F410" t="str">
            <v>ton</v>
          </cell>
          <cell r="G410" t="str">
            <v>tấn</v>
          </cell>
          <cell r="H410">
            <v>29.303460000000001</v>
          </cell>
          <cell r="I410">
            <v>28.217940000000002</v>
          </cell>
          <cell r="J410">
            <v>28.217940000000002</v>
          </cell>
        </row>
        <row r="411">
          <cell r="B411">
            <v>385</v>
          </cell>
          <cell r="C411">
            <v>8</v>
          </cell>
          <cell r="D411" t="str">
            <v>Rebar for cross beam, Ф &gt; 18</v>
          </cell>
          <cell r="E411" t="str">
            <v>Cốt thép dầm ngang, Ф &gt; 18</v>
          </cell>
          <cell r="F411" t="str">
            <v>ton</v>
          </cell>
          <cell r="G411" t="str">
            <v>tấn</v>
          </cell>
          <cell r="H411">
            <v>25.075440000000004</v>
          </cell>
          <cell r="I411">
            <v>24.146720000000002</v>
          </cell>
          <cell r="J411">
            <v>24.146720000000002</v>
          </cell>
        </row>
        <row r="412">
          <cell r="B412">
            <v>386</v>
          </cell>
          <cell r="D412" t="str">
            <v>4. Deck Slab</v>
          </cell>
          <cell r="E412" t="str">
            <v>4. Bản mặt cầu</v>
          </cell>
          <cell r="J412">
            <v>0</v>
          </cell>
        </row>
        <row r="413">
          <cell r="B413">
            <v>387</v>
          </cell>
          <cell r="C413">
            <v>1</v>
          </cell>
          <cell r="D413" t="str">
            <v>Concrete C35 for deck slab</v>
          </cell>
          <cell r="E413" t="str">
            <v>Bê tông bản mặt cầu C35</v>
          </cell>
          <cell r="F413" t="str">
            <v>m³</v>
          </cell>
          <cell r="G413" t="str">
            <v>m³</v>
          </cell>
          <cell r="H413">
            <v>5150.1091589999996</v>
          </cell>
          <cell r="I413">
            <v>4677.9166589999995</v>
          </cell>
          <cell r="J413">
            <v>4677.9166589999995</v>
          </cell>
        </row>
        <row r="414">
          <cell r="B414">
            <v>388</v>
          </cell>
          <cell r="C414">
            <v>2</v>
          </cell>
          <cell r="D414" t="str">
            <v>Concrete C35 for deck slab</v>
          </cell>
          <cell r="E414" t="str">
            <v>Bê tông bản mặt cầu C35</v>
          </cell>
          <cell r="F414" t="str">
            <v>m³</v>
          </cell>
          <cell r="G414" t="str">
            <v>m³</v>
          </cell>
          <cell r="H414">
            <v>5150.1091589999996</v>
          </cell>
          <cell r="I414">
            <v>4677.9166589999995</v>
          </cell>
          <cell r="J414">
            <v>4677.9166589999995</v>
          </cell>
        </row>
        <row r="415">
          <cell r="B415">
            <v>389</v>
          </cell>
          <cell r="C415">
            <v>3</v>
          </cell>
          <cell r="D415" t="str">
            <v>Fabricate ready 50 m³/h mixed concrete</v>
          </cell>
          <cell r="E415" t="str">
            <v>Sản xuất vữa bê tông trạm trộn 50m³/h</v>
          </cell>
          <cell r="F415" t="str">
            <v>m³</v>
          </cell>
          <cell r="G415" t="str">
            <v>m³</v>
          </cell>
          <cell r="H415">
            <v>5278.8618879749993</v>
          </cell>
          <cell r="I415">
            <v>4794.8645754749987</v>
          </cell>
          <cell r="J415">
            <v>4794.8645754749987</v>
          </cell>
        </row>
        <row r="416">
          <cell r="B416">
            <v>390</v>
          </cell>
          <cell r="C416">
            <v>4</v>
          </cell>
          <cell r="D416" t="str">
            <v>Transport ready mixed concrete distance 0,5km</v>
          </cell>
          <cell r="E416" t="str">
            <v>Vận chuyển bê tông cự ly 0,5km</v>
          </cell>
          <cell r="F416" t="str">
            <v>m³</v>
          </cell>
          <cell r="G416" t="str">
            <v>m³</v>
          </cell>
          <cell r="H416">
            <v>5278.8618879749993</v>
          </cell>
          <cell r="I416">
            <v>4794.8645754749987</v>
          </cell>
          <cell r="J416">
            <v>4794.8645754749987</v>
          </cell>
        </row>
        <row r="417">
          <cell r="B417">
            <v>391</v>
          </cell>
          <cell r="C417">
            <v>5</v>
          </cell>
          <cell r="D417" t="str">
            <v>Formwork for slab</v>
          </cell>
          <cell r="E417" t="str">
            <v>Ván khuôn bản mặt cầu</v>
          </cell>
          <cell r="F417" t="str">
            <v>m²</v>
          </cell>
          <cell r="G417" t="str">
            <v>m²</v>
          </cell>
          <cell r="H417">
            <v>718.81600000000003</v>
          </cell>
          <cell r="I417">
            <v>641.80000000000007</v>
          </cell>
          <cell r="J417">
            <v>641.80000000000007</v>
          </cell>
        </row>
        <row r="418">
          <cell r="B418">
            <v>392</v>
          </cell>
          <cell r="C418">
            <v>6</v>
          </cell>
          <cell r="D418" t="str">
            <v>Install steel tube D=61mm, 5mm thick</v>
          </cell>
          <cell r="E418" t="str">
            <v>Lắp đặt ống thép D61, dày 5mm</v>
          </cell>
          <cell r="F418" t="str">
            <v>m</v>
          </cell>
          <cell r="G418" t="str">
            <v>m</v>
          </cell>
          <cell r="H418">
            <v>61.59999999999998</v>
          </cell>
          <cell r="I418">
            <v>53.46</v>
          </cell>
          <cell r="J418">
            <v>53.46</v>
          </cell>
        </row>
        <row r="419">
          <cell r="B419">
            <v>393</v>
          </cell>
          <cell r="C419">
            <v>7</v>
          </cell>
          <cell r="D419" t="str">
            <v>Install steel tube D106mm, 5mm thick</v>
          </cell>
          <cell r="E419" t="str">
            <v>Lắp đặt ống thép D106 dày 5mm</v>
          </cell>
          <cell r="F419" t="str">
            <v>m</v>
          </cell>
          <cell r="G419" t="str">
            <v>m</v>
          </cell>
          <cell r="H419">
            <v>61.599999999999994</v>
          </cell>
          <cell r="I419">
            <v>53.46</v>
          </cell>
          <cell r="J419">
            <v>53.46</v>
          </cell>
        </row>
        <row r="420">
          <cell r="B420">
            <v>394</v>
          </cell>
          <cell r="C420">
            <v>8</v>
          </cell>
          <cell r="D420" t="str">
            <v>Plate Steel</v>
          </cell>
          <cell r="E420" t="str">
            <v>Thép bản</v>
          </cell>
          <cell r="F420" t="str">
            <v>ton</v>
          </cell>
          <cell r="G420" t="str">
            <v>tấn</v>
          </cell>
          <cell r="H420">
            <v>0.32084417240195867</v>
          </cell>
          <cell r="I420">
            <v>0.27844690676312839</v>
          </cell>
          <cell r="J420">
            <v>0.27844690676312839</v>
          </cell>
        </row>
        <row r="421">
          <cell r="B421">
            <v>395</v>
          </cell>
          <cell r="C421">
            <v>9</v>
          </cell>
          <cell r="D421" t="str">
            <v>20mm thick natural rubber IHRD 53±5</v>
          </cell>
          <cell r="E421" t="str">
            <v>Cao su tự nhiên IHRD 53±5 dày 20mm</v>
          </cell>
          <cell r="F421" t="str">
            <v>m³</v>
          </cell>
          <cell r="G421" t="str">
            <v>m³</v>
          </cell>
          <cell r="H421">
            <v>0.29971736393042703</v>
          </cell>
          <cell r="I421">
            <v>0.26011185512533486</v>
          </cell>
          <cell r="J421">
            <v>0.26011185512533486</v>
          </cell>
        </row>
        <row r="422">
          <cell r="B422">
            <v>396</v>
          </cell>
          <cell r="C422">
            <v>10</v>
          </cell>
          <cell r="D422" t="str">
            <v>Foam plastic 20mm thickness</v>
          </cell>
          <cell r="E422" t="str">
            <v>Tấm cao su đệm dày 20mm</v>
          </cell>
          <cell r="F422" t="str">
            <v>m²</v>
          </cell>
          <cell r="G422" t="str">
            <v>m²</v>
          </cell>
          <cell r="H422">
            <v>967.2</v>
          </cell>
          <cell r="I422">
            <v>851.13600000000008</v>
          </cell>
          <cell r="J422">
            <v>851.13600000000008</v>
          </cell>
        </row>
        <row r="423">
          <cell r="B423">
            <v>397</v>
          </cell>
          <cell r="C423">
            <v>11</v>
          </cell>
          <cell r="D423" t="str">
            <v>Rebar Ф ≤ 18 for deck slab</v>
          </cell>
          <cell r="E423" t="str">
            <v>Cốt thép Ф ≤ 18 bản mặt cầu</v>
          </cell>
          <cell r="F423" t="str">
            <v>ton</v>
          </cell>
          <cell r="G423" t="str">
            <v>tấn</v>
          </cell>
          <cell r="H423">
            <v>1107.656923969985</v>
          </cell>
          <cell r="I423">
            <v>1006.9938978409338</v>
          </cell>
          <cell r="J423">
            <v>1006.9938978409338</v>
          </cell>
        </row>
        <row r="424">
          <cell r="B424">
            <v>398</v>
          </cell>
          <cell r="C424">
            <v>12</v>
          </cell>
          <cell r="D424" t="str">
            <v>Rebar Ф &gt; 18 for deck slab</v>
          </cell>
          <cell r="E424" t="str">
            <v>Cốt thép Ф &gt; 18 bản mặt cầu</v>
          </cell>
          <cell r="F424" t="str">
            <v>ton</v>
          </cell>
          <cell r="G424" t="str">
            <v>tấn</v>
          </cell>
          <cell r="H424">
            <v>146.74640500000004</v>
          </cell>
          <cell r="I424">
            <v>129.13683640000002</v>
          </cell>
          <cell r="J424">
            <v>129.13683640000002</v>
          </cell>
        </row>
        <row r="425">
          <cell r="B425">
            <v>399</v>
          </cell>
          <cell r="D425" t="str">
            <v xml:space="preserve">5. Wearing surface </v>
          </cell>
          <cell r="E425" t="str">
            <v>5. Lớp phủ mặt cầu</v>
          </cell>
          <cell r="J425">
            <v>0</v>
          </cell>
        </row>
        <row r="426">
          <cell r="B426">
            <v>400</v>
          </cell>
          <cell r="C426">
            <v>1</v>
          </cell>
          <cell r="D426" t="str">
            <v>Tack coat 0.5 kg/m2</v>
          </cell>
          <cell r="E426" t="str">
            <v>Lớp nhựa dính bám 0.5 kg/m2</v>
          </cell>
          <cell r="F426" t="str">
            <v>m²</v>
          </cell>
          <cell r="G426" t="str">
            <v>m²</v>
          </cell>
          <cell r="H426">
            <v>23994.959999999999</v>
          </cell>
          <cell r="I426">
            <v>21794.959999999999</v>
          </cell>
          <cell r="J426">
            <v>21794.959999999999</v>
          </cell>
        </row>
        <row r="427">
          <cell r="B427">
            <v>401</v>
          </cell>
          <cell r="C427">
            <v>2</v>
          </cell>
          <cell r="D427" t="str">
            <v>Water proof layer</v>
          </cell>
          <cell r="E427" t="str">
            <v>Lớp phòng nước</v>
          </cell>
          <cell r="F427" t="str">
            <v>m²</v>
          </cell>
          <cell r="G427" t="str">
            <v>m²</v>
          </cell>
          <cell r="H427">
            <v>23994.959999999999</v>
          </cell>
          <cell r="I427">
            <v>21794.959999999999</v>
          </cell>
          <cell r="J427">
            <v>21794.959999999999</v>
          </cell>
        </row>
        <row r="428">
          <cell r="B428">
            <v>402</v>
          </cell>
          <cell r="C428">
            <v>3</v>
          </cell>
          <cell r="D428" t="str">
            <v>Spread AC surface curse 7cm thick</v>
          </cell>
          <cell r="E428" t="str">
            <v>Rải bê tông nhựa hạt mịn dày 7cm</v>
          </cell>
          <cell r="F428" t="str">
            <v>m²</v>
          </cell>
          <cell r="G428" t="str">
            <v>m²</v>
          </cell>
          <cell r="H428">
            <v>23994.959999999999</v>
          </cell>
          <cell r="I428">
            <v>21794.959999999999</v>
          </cell>
          <cell r="J428">
            <v>21794.959999999999</v>
          </cell>
        </row>
        <row r="429">
          <cell r="B429">
            <v>403</v>
          </cell>
          <cell r="C429">
            <v>4</v>
          </cell>
          <cell r="D429" t="str">
            <v>Spread AC surface curse 7cm thick</v>
          </cell>
          <cell r="E429" t="str">
            <v>Rải bê tông nhựa hạt mịn dày 7cm</v>
          </cell>
          <cell r="F429" t="str">
            <v>m²</v>
          </cell>
          <cell r="G429" t="str">
            <v>m²</v>
          </cell>
          <cell r="H429">
            <v>23994.959999999999</v>
          </cell>
          <cell r="I429">
            <v>21794.959999999999</v>
          </cell>
          <cell r="J429">
            <v>21794.959999999999</v>
          </cell>
        </row>
        <row r="430">
          <cell r="B430">
            <v>404</v>
          </cell>
          <cell r="C430">
            <v>5</v>
          </cell>
          <cell r="D430" t="str">
            <v>Product AC surface curse (0,1697 ton/m2)</v>
          </cell>
          <cell r="E430" t="str">
            <v>Sản xuất bê tông nhựa hạt mịn (0,1697tấn/m2)</v>
          </cell>
          <cell r="F430" t="str">
            <v>ton</v>
          </cell>
          <cell r="G430" t="str">
            <v>tấn</v>
          </cell>
          <cell r="H430">
            <v>4071.9447119999995</v>
          </cell>
          <cell r="I430">
            <v>3698.6047119999998</v>
          </cell>
          <cell r="J430">
            <v>3698.6047119999998</v>
          </cell>
        </row>
        <row r="431">
          <cell r="B431">
            <v>405</v>
          </cell>
          <cell r="C431">
            <v>6</v>
          </cell>
          <cell r="D431" t="str">
            <v>Transport Asphalt Concrete 6Km</v>
          </cell>
          <cell r="E431" t="str">
            <v>Vận chuyển bê tông nhựa 6km</v>
          </cell>
          <cell r="F431" t="str">
            <v>ton</v>
          </cell>
          <cell r="G431" t="str">
            <v>tấn</v>
          </cell>
          <cell r="H431">
            <v>4071.9447119999995</v>
          </cell>
          <cell r="I431">
            <v>3698.6047119999998</v>
          </cell>
          <cell r="J431">
            <v>3698.6047119999998</v>
          </cell>
        </row>
        <row r="432">
          <cell r="B432">
            <v>406</v>
          </cell>
          <cell r="D432" t="str">
            <v>6. Bearing</v>
          </cell>
          <cell r="E432" t="str">
            <v>6. Gối cầu</v>
          </cell>
          <cell r="J432">
            <v>0</v>
          </cell>
        </row>
        <row r="433">
          <cell r="B433">
            <v>407</v>
          </cell>
          <cell r="C433">
            <v>1</v>
          </cell>
          <cell r="D433" t="str">
            <v>Rubber bearing 600x250x85mm</v>
          </cell>
          <cell r="E433" t="str">
            <v>Gối cao su 600x250x85mm</v>
          </cell>
          <cell r="F433" t="str">
            <v>set</v>
          </cell>
          <cell r="G433" t="str">
            <v>bộ</v>
          </cell>
          <cell r="H433">
            <v>572</v>
          </cell>
          <cell r="I433">
            <v>506</v>
          </cell>
          <cell r="J433">
            <v>506</v>
          </cell>
        </row>
        <row r="434">
          <cell r="B434">
            <v>408</v>
          </cell>
          <cell r="C434">
            <v>2</v>
          </cell>
          <cell r="D434" t="str">
            <v>Install rubber bearing 600x250x85mm</v>
          </cell>
          <cell r="E434" t="str">
            <v>Lắp đặt gối cao su 600x250x85mm</v>
          </cell>
          <cell r="F434" t="str">
            <v>set</v>
          </cell>
          <cell r="G434" t="str">
            <v>bộ</v>
          </cell>
          <cell r="H434">
            <v>572</v>
          </cell>
          <cell r="I434">
            <v>506</v>
          </cell>
          <cell r="J434">
            <v>506</v>
          </cell>
        </row>
        <row r="435">
          <cell r="B435">
            <v>409</v>
          </cell>
          <cell r="C435">
            <v>3</v>
          </cell>
          <cell r="D435" t="str">
            <v>Plate Steel</v>
          </cell>
          <cell r="E435" t="str">
            <v>Thép bản</v>
          </cell>
          <cell r="F435" t="str">
            <v>ton</v>
          </cell>
          <cell r="G435" t="str">
            <v>tấn</v>
          </cell>
          <cell r="H435">
            <v>27.560847600000002</v>
          </cell>
          <cell r="I435">
            <v>24.380749800000004</v>
          </cell>
          <cell r="J435">
            <v>24.380749800000004</v>
          </cell>
        </row>
        <row r="436">
          <cell r="B436">
            <v>410</v>
          </cell>
          <cell r="C436">
            <v>4</v>
          </cell>
          <cell r="D436" t="str">
            <v>Anchor bolt M22</v>
          </cell>
          <cell r="E436" t="str">
            <v>Bu lông M22</v>
          </cell>
          <cell r="F436" t="str">
            <v>Each</v>
          </cell>
          <cell r="G436" t="str">
            <v>Cái</v>
          </cell>
          <cell r="H436">
            <v>2288</v>
          </cell>
          <cell r="I436">
            <v>2024</v>
          </cell>
          <cell r="J436">
            <v>2024</v>
          </cell>
        </row>
        <row r="437">
          <cell r="B437">
            <v>411</v>
          </cell>
          <cell r="C437">
            <v>5</v>
          </cell>
          <cell r="D437" t="str">
            <v>Non-shrinkage mortar</v>
          </cell>
          <cell r="E437" t="str">
            <v>Vữa không co ngót</v>
          </cell>
          <cell r="F437" t="str">
            <v>m³</v>
          </cell>
          <cell r="G437" t="str">
            <v>m³</v>
          </cell>
          <cell r="H437">
            <v>11.714559999999999</v>
          </cell>
          <cell r="I437">
            <v>10.362879999999999</v>
          </cell>
          <cell r="J437">
            <v>10.362879999999999</v>
          </cell>
        </row>
        <row r="438">
          <cell r="B438">
            <v>412</v>
          </cell>
          <cell r="C438">
            <v>6</v>
          </cell>
          <cell r="D438" t="str">
            <v>Fix pot bearing for abutment A1, A2 (1800-600KN)</v>
          </cell>
          <cell r="E438" t="str">
            <v>Gối chậu cố định cho mố A1, A2 (1800-600KN)</v>
          </cell>
          <cell r="F438" t="str">
            <v>set</v>
          </cell>
          <cell r="G438" t="str">
            <v>bộ</v>
          </cell>
          <cell r="H438">
            <v>4</v>
          </cell>
          <cell r="I438">
            <v>4</v>
          </cell>
          <cell r="J438">
            <v>4</v>
          </cell>
        </row>
        <row r="439">
          <cell r="B439">
            <v>413</v>
          </cell>
          <cell r="C439">
            <v>7</v>
          </cell>
          <cell r="D439" t="str">
            <v>Install fix pot bearing for Super-T (1800-600KN)</v>
          </cell>
          <cell r="E439" t="str">
            <v>Lắp đặt gối chậu cố định dầm Super-T (1800-600KN)</v>
          </cell>
          <cell r="F439" t="str">
            <v>set</v>
          </cell>
          <cell r="G439" t="str">
            <v>bộ</v>
          </cell>
          <cell r="H439">
            <v>4</v>
          </cell>
          <cell r="I439">
            <v>4</v>
          </cell>
          <cell r="J439">
            <v>4</v>
          </cell>
        </row>
        <row r="440">
          <cell r="B440">
            <v>414</v>
          </cell>
          <cell r="C440">
            <v>8</v>
          </cell>
          <cell r="D440" t="str">
            <v>Plate Steel</v>
          </cell>
          <cell r="E440" t="str">
            <v>Thép bản</v>
          </cell>
          <cell r="F440" t="str">
            <v>ton</v>
          </cell>
          <cell r="G440" t="str">
            <v>tấn</v>
          </cell>
          <cell r="H440">
            <v>0.30002699999999999</v>
          </cell>
          <cell r="I440">
            <v>0.30002699999999999</v>
          </cell>
          <cell r="J440">
            <v>0.30002699999999999</v>
          </cell>
        </row>
        <row r="441">
          <cell r="B441">
            <v>415</v>
          </cell>
          <cell r="C441">
            <v>9</v>
          </cell>
          <cell r="D441" t="str">
            <v>Anchor bolt M16</v>
          </cell>
          <cell r="E441" t="str">
            <v>Bu lông M16</v>
          </cell>
          <cell r="F441" t="str">
            <v>Each</v>
          </cell>
          <cell r="G441" t="str">
            <v>Cái</v>
          </cell>
          <cell r="H441">
            <v>16</v>
          </cell>
          <cell r="I441">
            <v>16</v>
          </cell>
          <cell r="J441">
            <v>16</v>
          </cell>
        </row>
        <row r="442">
          <cell r="B442">
            <v>416</v>
          </cell>
          <cell r="C442">
            <v>10</v>
          </cell>
          <cell r="D442" t="str">
            <v>Non-shrinkage mortar</v>
          </cell>
          <cell r="E442" t="str">
            <v>Vữa không co ngót</v>
          </cell>
          <cell r="F442" t="str">
            <v>m³</v>
          </cell>
          <cell r="G442" t="str">
            <v>m³</v>
          </cell>
          <cell r="H442">
            <v>0.44</v>
          </cell>
          <cell r="I442">
            <v>0.44</v>
          </cell>
          <cell r="J442">
            <v>0.44</v>
          </cell>
        </row>
        <row r="443">
          <cell r="B443">
            <v>417</v>
          </cell>
          <cell r="C443">
            <v>11</v>
          </cell>
          <cell r="D443" t="str">
            <v>Fix pot bearing for piers P7, P47 (1800-600KN)</v>
          </cell>
          <cell r="E443" t="str">
            <v>Gối chậu cố định cho trụ P7, P47 (1800-600KN)</v>
          </cell>
          <cell r="F443" t="str">
            <v>Nos</v>
          </cell>
          <cell r="G443" t="str">
            <v>bộ</v>
          </cell>
          <cell r="H443">
            <v>5</v>
          </cell>
          <cell r="I443">
            <v>5</v>
          </cell>
          <cell r="J443">
            <v>5</v>
          </cell>
        </row>
        <row r="444">
          <cell r="B444">
            <v>418</v>
          </cell>
          <cell r="C444">
            <v>12</v>
          </cell>
          <cell r="D444" t="str">
            <v>Install fix pot bearing for Super-T (1800-600KN)</v>
          </cell>
          <cell r="E444" t="str">
            <v>Lắp đặt gối chậu cố định dầm Super-T (1800-600KN)</v>
          </cell>
          <cell r="F444" t="str">
            <v>set</v>
          </cell>
          <cell r="G444" t="str">
            <v>bộ</v>
          </cell>
          <cell r="H444">
            <v>5</v>
          </cell>
          <cell r="I444">
            <v>5</v>
          </cell>
          <cell r="J444">
            <v>5</v>
          </cell>
        </row>
        <row r="445">
          <cell r="B445">
            <v>419</v>
          </cell>
          <cell r="C445">
            <v>13</v>
          </cell>
          <cell r="D445" t="str">
            <v>Plate Steel</v>
          </cell>
          <cell r="E445" t="str">
            <v>Thép bản</v>
          </cell>
          <cell r="F445" t="str">
            <v>ton</v>
          </cell>
          <cell r="G445" t="str">
            <v>tấn</v>
          </cell>
          <cell r="H445">
            <v>0.46775893125000012</v>
          </cell>
          <cell r="I445">
            <v>0.46775893125000012</v>
          </cell>
          <cell r="J445">
            <v>0.46775893125000012</v>
          </cell>
        </row>
        <row r="446">
          <cell r="B446">
            <v>420</v>
          </cell>
          <cell r="C446">
            <v>14</v>
          </cell>
          <cell r="D446" t="str">
            <v>Anchor bolt M16</v>
          </cell>
          <cell r="E446" t="str">
            <v>Bu lông M16</v>
          </cell>
          <cell r="F446" t="str">
            <v>Each</v>
          </cell>
          <cell r="G446" t="str">
            <v>Cái</v>
          </cell>
          <cell r="H446">
            <v>40</v>
          </cell>
          <cell r="I446">
            <v>40</v>
          </cell>
          <cell r="J446">
            <v>40</v>
          </cell>
        </row>
        <row r="447">
          <cell r="B447">
            <v>421</v>
          </cell>
          <cell r="C447">
            <v>15</v>
          </cell>
          <cell r="D447" t="str">
            <v>Non-shrinkage mortar</v>
          </cell>
          <cell r="E447" t="str">
            <v>Vữa không co ngót</v>
          </cell>
          <cell r="F447" t="str">
            <v>m³</v>
          </cell>
          <cell r="G447" t="str">
            <v>m³</v>
          </cell>
          <cell r="H447">
            <v>0.55000000000000004</v>
          </cell>
          <cell r="I447">
            <v>0.55000000000000004</v>
          </cell>
          <cell r="J447">
            <v>0.55000000000000004</v>
          </cell>
        </row>
        <row r="448">
          <cell r="B448">
            <v>422</v>
          </cell>
          <cell r="C448">
            <v>16</v>
          </cell>
          <cell r="D448" t="str">
            <v>Fix pot bearing for piers P18, P28, P29, P38 (1800-600KN)</v>
          </cell>
          <cell r="E448" t="str">
            <v>Gối chậu cố định cho trụ P18, P28, P29, P38 (1800-600KN)</v>
          </cell>
          <cell r="F448" t="str">
            <v>Nos</v>
          </cell>
          <cell r="G448" t="str">
            <v>bộ</v>
          </cell>
          <cell r="H448">
            <v>16</v>
          </cell>
          <cell r="I448">
            <v>16</v>
          </cell>
          <cell r="J448">
            <v>16</v>
          </cell>
        </row>
        <row r="449">
          <cell r="B449">
            <v>423</v>
          </cell>
          <cell r="C449">
            <v>17</v>
          </cell>
          <cell r="D449" t="str">
            <v>Install fix pot bearing for Super-T (1800-600KN)</v>
          </cell>
          <cell r="E449" t="str">
            <v>Lắp đặt gối chậu cố định dầm Super-T (1800-600KN)</v>
          </cell>
          <cell r="F449" t="str">
            <v>set</v>
          </cell>
          <cell r="G449" t="str">
            <v>bộ</v>
          </cell>
          <cell r="H449">
            <v>16</v>
          </cell>
          <cell r="I449">
            <v>16</v>
          </cell>
          <cell r="J449">
            <v>16</v>
          </cell>
        </row>
        <row r="450">
          <cell r="B450">
            <v>424</v>
          </cell>
          <cell r="C450">
            <v>18</v>
          </cell>
          <cell r="D450" t="str">
            <v>Plate Steel</v>
          </cell>
          <cell r="E450" t="str">
            <v>Thép bản</v>
          </cell>
          <cell r="F450" t="str">
            <v>ton</v>
          </cell>
          <cell r="G450" t="str">
            <v>tấn</v>
          </cell>
          <cell r="H450">
            <v>2.1184623281250001</v>
          </cell>
          <cell r="I450">
            <v>2.1184623281250001</v>
          </cell>
          <cell r="J450">
            <v>2.1184623281250001</v>
          </cell>
        </row>
        <row r="451">
          <cell r="B451">
            <v>425</v>
          </cell>
          <cell r="C451">
            <v>19</v>
          </cell>
          <cell r="D451" t="str">
            <v>Anchor bolt M16</v>
          </cell>
          <cell r="E451" t="str">
            <v>Bu lông M16</v>
          </cell>
          <cell r="F451" t="str">
            <v>Each</v>
          </cell>
          <cell r="G451" t="str">
            <v>Cái</v>
          </cell>
          <cell r="H451">
            <v>75</v>
          </cell>
          <cell r="I451">
            <v>75</v>
          </cell>
          <cell r="J451">
            <v>75</v>
          </cell>
        </row>
        <row r="452">
          <cell r="B452">
            <v>426</v>
          </cell>
          <cell r="C452">
            <v>20</v>
          </cell>
          <cell r="D452" t="str">
            <v>Non-shrinkage mortar</v>
          </cell>
          <cell r="E452" t="str">
            <v>Vữa không co ngót</v>
          </cell>
          <cell r="F452" t="str">
            <v>m³</v>
          </cell>
          <cell r="G452" t="str">
            <v>m³</v>
          </cell>
          <cell r="H452">
            <v>1.76</v>
          </cell>
          <cell r="I452">
            <v>1.76</v>
          </cell>
          <cell r="J452">
            <v>1.76</v>
          </cell>
        </row>
        <row r="453">
          <cell r="B453">
            <v>427</v>
          </cell>
          <cell r="C453">
            <v>21</v>
          </cell>
          <cell r="D453" t="str">
            <v>Movable bearing for abutment A1, A2  (1800KN)</v>
          </cell>
          <cell r="E453" t="str">
            <v>Gối chậu di động cho mố A1, A2 (1800KN)</v>
          </cell>
          <cell r="F453" t="str">
            <v>Nos</v>
          </cell>
          <cell r="G453" t="str">
            <v>bộ</v>
          </cell>
          <cell r="H453">
            <v>7</v>
          </cell>
          <cell r="I453">
            <v>7</v>
          </cell>
          <cell r="J453">
            <v>7</v>
          </cell>
        </row>
        <row r="454">
          <cell r="B454">
            <v>428</v>
          </cell>
          <cell r="C454">
            <v>22</v>
          </cell>
          <cell r="D454" t="str">
            <v>Install movable bearing for Super-T (1800KN)</v>
          </cell>
          <cell r="E454" t="str">
            <v>Lắp đặt gối chậu di động dầm Super-T (1800KN)</v>
          </cell>
          <cell r="F454" t="str">
            <v>set</v>
          </cell>
          <cell r="G454" t="str">
            <v>bộ</v>
          </cell>
          <cell r="H454">
            <v>7</v>
          </cell>
          <cell r="I454">
            <v>7</v>
          </cell>
          <cell r="J454">
            <v>7</v>
          </cell>
        </row>
        <row r="455">
          <cell r="B455">
            <v>429</v>
          </cell>
          <cell r="C455">
            <v>23</v>
          </cell>
          <cell r="D455" t="str">
            <v>Plate Steel</v>
          </cell>
          <cell r="E455" t="str">
            <v>Thép bản</v>
          </cell>
          <cell r="F455" t="str">
            <v>ton</v>
          </cell>
          <cell r="G455" t="str">
            <v>tấn</v>
          </cell>
          <cell r="H455">
            <v>0.52504724999999997</v>
          </cell>
          <cell r="I455">
            <v>0.52504724999999997</v>
          </cell>
          <cell r="J455">
            <v>0.52504724999999997</v>
          </cell>
        </row>
        <row r="456">
          <cell r="B456">
            <v>430</v>
          </cell>
          <cell r="C456">
            <v>24</v>
          </cell>
          <cell r="D456" t="str">
            <v>Anchor bolt M16</v>
          </cell>
          <cell r="E456" t="str">
            <v>Bu lông M16</v>
          </cell>
          <cell r="F456" t="str">
            <v>Each</v>
          </cell>
          <cell r="G456" t="str">
            <v>Cái</v>
          </cell>
          <cell r="H456">
            <v>28</v>
          </cell>
          <cell r="I456">
            <v>28</v>
          </cell>
          <cell r="J456">
            <v>28</v>
          </cell>
        </row>
        <row r="457">
          <cell r="B457">
            <v>431</v>
          </cell>
          <cell r="C457">
            <v>25</v>
          </cell>
          <cell r="D457" t="str">
            <v>Non-shrinkage mortar</v>
          </cell>
          <cell r="E457" t="str">
            <v>Vữa không co ngót</v>
          </cell>
          <cell r="F457" t="str">
            <v>m³</v>
          </cell>
          <cell r="G457" t="str">
            <v>m³</v>
          </cell>
          <cell r="H457">
            <v>0.77</v>
          </cell>
          <cell r="I457">
            <v>0.77</v>
          </cell>
          <cell r="J457">
            <v>0.77</v>
          </cell>
        </row>
        <row r="458">
          <cell r="B458">
            <v>432</v>
          </cell>
          <cell r="C458">
            <v>26</v>
          </cell>
          <cell r="D458" t="str">
            <v>Movable bearing for for piers P7, P47  (1800KN)</v>
          </cell>
          <cell r="E458" t="str">
            <v>Gối chậu di động cho trụ P7, P47 (1800KN)</v>
          </cell>
          <cell r="F458" t="str">
            <v>Nos</v>
          </cell>
          <cell r="G458" t="str">
            <v>bộ</v>
          </cell>
          <cell r="H458">
            <v>6</v>
          </cell>
          <cell r="I458">
            <v>6</v>
          </cell>
          <cell r="J458">
            <v>6</v>
          </cell>
        </row>
        <row r="459">
          <cell r="B459">
            <v>433</v>
          </cell>
          <cell r="C459">
            <v>27</v>
          </cell>
          <cell r="D459" t="str">
            <v>Install movable bearing for Super-T (1800KN)</v>
          </cell>
          <cell r="E459" t="str">
            <v>Lắp đặt gối chậu di động dầm Super-T (1800KN)</v>
          </cell>
          <cell r="F459" t="str">
            <v>set</v>
          </cell>
          <cell r="G459" t="str">
            <v>bộ</v>
          </cell>
          <cell r="H459">
            <v>6</v>
          </cell>
          <cell r="I459">
            <v>6</v>
          </cell>
          <cell r="J459">
            <v>6</v>
          </cell>
        </row>
        <row r="460">
          <cell r="B460">
            <v>434</v>
          </cell>
          <cell r="C460">
            <v>28</v>
          </cell>
          <cell r="D460" t="str">
            <v>Plate Steel</v>
          </cell>
          <cell r="E460" t="str">
            <v>Thép bản</v>
          </cell>
          <cell r="F460" t="str">
            <v>ton</v>
          </cell>
          <cell r="G460" t="str">
            <v>tấn</v>
          </cell>
          <cell r="H460">
            <v>0.56131071750000017</v>
          </cell>
          <cell r="I460">
            <v>0.56131071750000017</v>
          </cell>
          <cell r="J460">
            <v>0.56131071750000017</v>
          </cell>
        </row>
        <row r="461">
          <cell r="B461">
            <v>435</v>
          </cell>
          <cell r="C461">
            <v>29</v>
          </cell>
          <cell r="D461" t="str">
            <v>Anchor bolt M16</v>
          </cell>
          <cell r="E461" t="str">
            <v>Bu lông M16</v>
          </cell>
          <cell r="F461" t="str">
            <v>Each</v>
          </cell>
          <cell r="G461" t="str">
            <v>Cái</v>
          </cell>
          <cell r="H461">
            <v>48</v>
          </cell>
          <cell r="I461">
            <v>48</v>
          </cell>
          <cell r="J461">
            <v>48</v>
          </cell>
        </row>
        <row r="462">
          <cell r="B462">
            <v>436</v>
          </cell>
          <cell r="C462">
            <v>30</v>
          </cell>
          <cell r="D462" t="str">
            <v>Non-shrinkage mortar</v>
          </cell>
          <cell r="E462" t="str">
            <v>Vữa không co ngót</v>
          </cell>
          <cell r="F462" t="str">
            <v>m³</v>
          </cell>
          <cell r="G462" t="str">
            <v>m³</v>
          </cell>
          <cell r="H462">
            <v>0.66</v>
          </cell>
          <cell r="I462">
            <v>0.66</v>
          </cell>
          <cell r="J462">
            <v>0.66</v>
          </cell>
        </row>
        <row r="463">
          <cell r="B463">
            <v>437</v>
          </cell>
          <cell r="C463">
            <v>31</v>
          </cell>
          <cell r="D463" t="str">
            <v>Movable bearing for piers P18, P28, P29, P38 (1800KN)</v>
          </cell>
          <cell r="E463" t="str">
            <v>Gối chậu di động cho trụ P18, P28, P29, P38 (1800KN)</v>
          </cell>
          <cell r="F463" t="str">
            <v>Nos</v>
          </cell>
          <cell r="G463" t="str">
            <v>bộ</v>
          </cell>
          <cell r="H463">
            <v>6</v>
          </cell>
          <cell r="I463">
            <v>6</v>
          </cell>
          <cell r="J463">
            <v>6</v>
          </cell>
        </row>
        <row r="464">
          <cell r="B464">
            <v>438</v>
          </cell>
          <cell r="C464">
            <v>32</v>
          </cell>
          <cell r="D464" t="str">
            <v>Install movable bearing for Super-T (1800KN)</v>
          </cell>
          <cell r="E464" t="str">
            <v>Lắp đặt gối chậu di động dầm Super-T (1800KN)</v>
          </cell>
          <cell r="F464" t="str">
            <v>set</v>
          </cell>
          <cell r="G464" t="str">
            <v>bộ</v>
          </cell>
          <cell r="H464">
            <v>6</v>
          </cell>
          <cell r="I464">
            <v>6</v>
          </cell>
          <cell r="J464">
            <v>6</v>
          </cell>
        </row>
        <row r="465">
          <cell r="B465">
            <v>439</v>
          </cell>
          <cell r="C465">
            <v>33</v>
          </cell>
          <cell r="D465" t="str">
            <v>Plate Steel</v>
          </cell>
          <cell r="E465" t="str">
            <v>Thép bản</v>
          </cell>
          <cell r="F465" t="str">
            <v>ton</v>
          </cell>
          <cell r="G465" t="str">
            <v>tấn</v>
          </cell>
          <cell r="H465">
            <v>0.75772125000000012</v>
          </cell>
          <cell r="I465">
            <v>0.75772125000000012</v>
          </cell>
          <cell r="J465">
            <v>0.75772125000000012</v>
          </cell>
        </row>
        <row r="466">
          <cell r="B466">
            <v>440</v>
          </cell>
          <cell r="C466">
            <v>34</v>
          </cell>
          <cell r="D466" t="str">
            <v>Anchor bolt M16</v>
          </cell>
          <cell r="E466" t="str">
            <v>Bu lông M16</v>
          </cell>
          <cell r="F466" t="str">
            <v>Each</v>
          </cell>
          <cell r="G466" t="str">
            <v>Cái</v>
          </cell>
          <cell r="H466">
            <v>48</v>
          </cell>
          <cell r="I466">
            <v>48</v>
          </cell>
          <cell r="J466">
            <v>48</v>
          </cell>
        </row>
        <row r="467">
          <cell r="B467">
            <v>441</v>
          </cell>
          <cell r="C467">
            <v>35</v>
          </cell>
          <cell r="D467" t="str">
            <v>Non-shrinkage mortar</v>
          </cell>
          <cell r="E467" t="str">
            <v>Vữa không co ngót</v>
          </cell>
          <cell r="F467" t="str">
            <v>m³</v>
          </cell>
          <cell r="G467" t="str">
            <v>m³</v>
          </cell>
          <cell r="H467">
            <v>0.66</v>
          </cell>
          <cell r="I467">
            <v>0.66</v>
          </cell>
          <cell r="J467">
            <v>0.66</v>
          </cell>
        </row>
        <row r="468">
          <cell r="B468">
            <v>442</v>
          </cell>
          <cell r="C468">
            <v>36</v>
          </cell>
          <cell r="D468" t="str">
            <v xml:space="preserve">7. Expansion joint </v>
          </cell>
          <cell r="E468" t="str">
            <v>6. Khe co giãn</v>
          </cell>
          <cell r="J468">
            <v>0</v>
          </cell>
        </row>
        <row r="469">
          <cell r="B469">
            <v>443</v>
          </cell>
          <cell r="C469">
            <v>37</v>
          </cell>
          <cell r="D469" t="str">
            <v>Expansion joint type Wd-160</v>
          </cell>
          <cell r="E469" t="str">
            <v>Khe co giãn loại Wd-160</v>
          </cell>
          <cell r="F469" t="str">
            <v>m</v>
          </cell>
          <cell r="G469" t="str">
            <v>m</v>
          </cell>
          <cell r="H469">
            <v>23.9</v>
          </cell>
          <cell r="I469">
            <v>23.9</v>
          </cell>
          <cell r="J469">
            <v>23.9</v>
          </cell>
        </row>
        <row r="470">
          <cell r="B470">
            <v>444</v>
          </cell>
          <cell r="C470">
            <v>38</v>
          </cell>
          <cell r="D470" t="str">
            <v>Install expansion joint type Wd-160</v>
          </cell>
          <cell r="E470" t="str">
            <v>Lắp đặt khe co giãn loại Wd-160</v>
          </cell>
          <cell r="F470" t="str">
            <v>m</v>
          </cell>
          <cell r="G470" t="str">
            <v>m</v>
          </cell>
          <cell r="H470">
            <v>23.9</v>
          </cell>
          <cell r="I470">
            <v>23.9</v>
          </cell>
          <cell r="J470">
            <v>23.9</v>
          </cell>
        </row>
        <row r="471">
          <cell r="B471">
            <v>445</v>
          </cell>
          <cell r="C471">
            <v>39</v>
          </cell>
          <cell r="D471" t="str">
            <v>Non-shrinkage concrete C50</v>
          </cell>
          <cell r="E471" t="str">
            <v>Bê tông không co ngót C50</v>
          </cell>
          <cell r="F471" t="str">
            <v>m³</v>
          </cell>
          <cell r="G471" t="str">
            <v>m³</v>
          </cell>
          <cell r="H471">
            <v>7.8982399999999995</v>
          </cell>
          <cell r="I471">
            <v>7.8982399999999995</v>
          </cell>
          <cell r="J471">
            <v>7.8982399999999995</v>
          </cell>
        </row>
        <row r="472">
          <cell r="B472">
            <v>446</v>
          </cell>
          <cell r="C472">
            <v>40</v>
          </cell>
          <cell r="D472" t="str">
            <v>Rebar Ф ≤ 18</v>
          </cell>
          <cell r="E472" t="str">
            <v>Cốt thép Ф ≤ 18</v>
          </cell>
          <cell r="F472" t="str">
            <v>ton</v>
          </cell>
          <cell r="G472" t="str">
            <v>tấn</v>
          </cell>
          <cell r="H472">
            <v>0.30405067577485889</v>
          </cell>
          <cell r="I472">
            <v>0.30405067577485889</v>
          </cell>
          <cell r="J472">
            <v>0.30405067577485889</v>
          </cell>
        </row>
        <row r="473">
          <cell r="B473">
            <v>447</v>
          </cell>
          <cell r="C473">
            <v>41</v>
          </cell>
          <cell r="D473" t="str">
            <v>Expansion joint type WP400</v>
          </cell>
          <cell r="E473" t="str">
            <v>Khe co giãn loại WP400</v>
          </cell>
          <cell r="F473" t="str">
            <v>m</v>
          </cell>
          <cell r="G473" t="str">
            <v>m</v>
          </cell>
          <cell r="H473">
            <v>23.5</v>
          </cell>
          <cell r="I473">
            <v>23.5</v>
          </cell>
          <cell r="J473">
            <v>23.5</v>
          </cell>
        </row>
        <row r="474">
          <cell r="B474">
            <v>448</v>
          </cell>
          <cell r="C474">
            <v>42</v>
          </cell>
          <cell r="D474" t="str">
            <v>Install expansion joint type WP400</v>
          </cell>
          <cell r="E474" t="str">
            <v>Lắp đặt khe co giãn loại WP400</v>
          </cell>
          <cell r="F474" t="str">
            <v>m</v>
          </cell>
          <cell r="G474" t="str">
            <v>m</v>
          </cell>
          <cell r="H474">
            <v>23.5</v>
          </cell>
          <cell r="I474">
            <v>23.5</v>
          </cell>
          <cell r="J474">
            <v>23.5</v>
          </cell>
        </row>
        <row r="475">
          <cell r="B475">
            <v>449</v>
          </cell>
          <cell r="C475">
            <v>43</v>
          </cell>
          <cell r="D475" t="str">
            <v>Non-shrinkage mortar</v>
          </cell>
          <cell r="E475" t="str">
            <v>Vữa không co ngót</v>
          </cell>
          <cell r="F475" t="str">
            <v>m³</v>
          </cell>
          <cell r="G475" t="str">
            <v>m³</v>
          </cell>
          <cell r="H475">
            <v>7.5370399999999993</v>
          </cell>
          <cell r="I475">
            <v>7.5370399999999993</v>
          </cell>
          <cell r="J475">
            <v>7.5370399999999993</v>
          </cell>
        </row>
        <row r="476">
          <cell r="B476">
            <v>450</v>
          </cell>
          <cell r="C476">
            <v>44</v>
          </cell>
          <cell r="D476" t="str">
            <v>Rebar Ф ≤ 18</v>
          </cell>
          <cell r="E476" t="str">
            <v>Cốt thép Ф ≤ 18</v>
          </cell>
          <cell r="F476" t="str">
            <v>ton</v>
          </cell>
          <cell r="G476" t="str">
            <v>tấn</v>
          </cell>
          <cell r="H476">
            <v>0.30405067577485889</v>
          </cell>
          <cell r="I476">
            <v>0.30405067577485889</v>
          </cell>
          <cell r="J476">
            <v>0.30405067577485889</v>
          </cell>
        </row>
        <row r="477">
          <cell r="B477">
            <v>451</v>
          </cell>
          <cell r="C477">
            <v>45</v>
          </cell>
          <cell r="D477" t="str">
            <v>Expansion joint type WP600</v>
          </cell>
          <cell r="E477" t="str">
            <v>Khe co giãn loại WP600</v>
          </cell>
          <cell r="F477" t="str">
            <v>m</v>
          </cell>
          <cell r="G477" t="str">
            <v>m</v>
          </cell>
          <cell r="H477">
            <v>23.5</v>
          </cell>
          <cell r="I477">
            <v>23.5</v>
          </cell>
          <cell r="J477">
            <v>23.5</v>
          </cell>
        </row>
        <row r="478">
          <cell r="B478">
            <v>452</v>
          </cell>
          <cell r="C478">
            <v>46</v>
          </cell>
          <cell r="D478" t="str">
            <v>Install expansion joint type WP600</v>
          </cell>
          <cell r="E478" t="str">
            <v>Lắp đặt khe co giãn loại WP600</v>
          </cell>
          <cell r="F478" t="str">
            <v>m</v>
          </cell>
          <cell r="G478" t="str">
            <v>m</v>
          </cell>
          <cell r="H478">
            <v>23.5</v>
          </cell>
          <cell r="I478">
            <v>23.5</v>
          </cell>
          <cell r="J478">
            <v>23.5</v>
          </cell>
        </row>
        <row r="479">
          <cell r="B479">
            <v>453</v>
          </cell>
          <cell r="C479">
            <v>47</v>
          </cell>
          <cell r="D479" t="str">
            <v>Non-shrinkage mortar</v>
          </cell>
          <cell r="E479" t="str">
            <v>Vữa không co ngót</v>
          </cell>
          <cell r="F479" t="str">
            <v>m³</v>
          </cell>
          <cell r="G479" t="str">
            <v>m³</v>
          </cell>
          <cell r="H479">
            <v>5.9477599999999997</v>
          </cell>
          <cell r="I479">
            <v>5.9477599999999997</v>
          </cell>
          <cell r="J479">
            <v>5.9477599999999997</v>
          </cell>
        </row>
        <row r="480">
          <cell r="B480">
            <v>454</v>
          </cell>
          <cell r="C480">
            <v>48</v>
          </cell>
          <cell r="D480" t="str">
            <v>Rebar Ф ≤ 18</v>
          </cell>
          <cell r="E480" t="str">
            <v>Cốt thép Ф ≤ 18</v>
          </cell>
          <cell r="F480" t="str">
            <v>ton</v>
          </cell>
          <cell r="G480" t="str">
            <v>tấn</v>
          </cell>
          <cell r="H480">
            <v>0.30405067577485889</v>
          </cell>
          <cell r="I480">
            <v>0.30405067577485889</v>
          </cell>
          <cell r="J480">
            <v>0.30405067577485889</v>
          </cell>
        </row>
        <row r="481">
          <cell r="B481">
            <v>455</v>
          </cell>
          <cell r="J481">
            <v>0</v>
          </cell>
        </row>
        <row r="482">
          <cell r="B482">
            <v>456</v>
          </cell>
          <cell r="D482" t="str">
            <v>II. SUBSTRUCTURE</v>
          </cell>
          <cell r="E482" t="str">
            <v>II. KẾT CẤU PHẦN DƯỚI</v>
          </cell>
          <cell r="J482">
            <v>0</v>
          </cell>
        </row>
        <row r="483">
          <cell r="B483">
            <v>457</v>
          </cell>
          <cell r="D483" t="str">
            <v>1. Abutment</v>
          </cell>
          <cell r="E483" t="str">
            <v>1. Mố cầu</v>
          </cell>
          <cell r="J483">
            <v>0</v>
          </cell>
        </row>
        <row r="484">
          <cell r="B484">
            <v>458</v>
          </cell>
          <cell r="D484" t="str">
            <v>Abutment</v>
          </cell>
          <cell r="E484" t="str">
            <v>Kết cấu mố cầu</v>
          </cell>
          <cell r="J484">
            <v>0</v>
          </cell>
        </row>
        <row r="485">
          <cell r="B485">
            <v>459</v>
          </cell>
          <cell r="C485">
            <v>1</v>
          </cell>
          <cell r="D485" t="str">
            <v>Concrete C30 of abutment on land</v>
          </cell>
          <cell r="E485" t="str">
            <v>Bê tông mố C30 trên cạn</v>
          </cell>
          <cell r="F485" t="str">
            <v>m³</v>
          </cell>
          <cell r="G485" t="str">
            <v>m³</v>
          </cell>
          <cell r="H485">
            <v>675.70530000000019</v>
          </cell>
          <cell r="I485">
            <v>692.61621000000002</v>
          </cell>
          <cell r="J485">
            <v>692.61621000000002</v>
          </cell>
        </row>
        <row r="486">
          <cell r="B486">
            <v>460</v>
          </cell>
          <cell r="C486">
            <v>2</v>
          </cell>
          <cell r="D486" t="str">
            <v>Concrete C30 for pile cap, abutment on land</v>
          </cell>
          <cell r="E486" t="str">
            <v>Bê tông C30 móng, mố trên cạn</v>
          </cell>
          <cell r="F486" t="str">
            <v>m³</v>
          </cell>
          <cell r="G486" t="str">
            <v>m³</v>
          </cell>
          <cell r="H486">
            <v>675.70530000000019</v>
          </cell>
          <cell r="I486">
            <v>692.61621000000002</v>
          </cell>
          <cell r="J486">
            <v>692.61621000000002</v>
          </cell>
        </row>
        <row r="487">
          <cell r="B487">
            <v>461</v>
          </cell>
          <cell r="C487">
            <v>3</v>
          </cell>
          <cell r="D487" t="str">
            <v>Fabricate ready 50 m³/h mixed concrete</v>
          </cell>
          <cell r="E487" t="str">
            <v>Sản xuất vữa bê tông trạm trộn 50m³/h</v>
          </cell>
          <cell r="F487" t="str">
            <v>m³</v>
          </cell>
          <cell r="G487" t="str">
            <v>m³</v>
          </cell>
          <cell r="H487">
            <v>692.59793250000018</v>
          </cell>
          <cell r="I487">
            <v>709.93161524999994</v>
          </cell>
          <cell r="J487">
            <v>709.93161524999994</v>
          </cell>
        </row>
        <row r="488">
          <cell r="B488">
            <v>462</v>
          </cell>
          <cell r="C488">
            <v>4</v>
          </cell>
          <cell r="D488" t="str">
            <v>Transport ready mixed concrete distance 0,5km</v>
          </cell>
          <cell r="E488" t="str">
            <v>Vận chuyển bê tông cự ly 0,5km</v>
          </cell>
          <cell r="F488" t="str">
            <v>m³</v>
          </cell>
          <cell r="G488" t="str">
            <v>m³</v>
          </cell>
          <cell r="H488">
            <v>692.59793250000018</v>
          </cell>
          <cell r="I488">
            <v>709.93161524999994</v>
          </cell>
          <cell r="J488">
            <v>709.93161524999994</v>
          </cell>
        </row>
        <row r="489">
          <cell r="B489">
            <v>463</v>
          </cell>
          <cell r="C489">
            <v>5</v>
          </cell>
          <cell r="D489" t="str">
            <v>Steel formwork for abutment on land</v>
          </cell>
          <cell r="E489" t="str">
            <v>Ván khuôn kim loại mố cầu trên cạn</v>
          </cell>
          <cell r="F489" t="str">
            <v>m²</v>
          </cell>
          <cell r="G489" t="str">
            <v>m²</v>
          </cell>
          <cell r="H489">
            <v>520</v>
          </cell>
          <cell r="I489">
            <v>545</v>
          </cell>
          <cell r="J489">
            <v>545</v>
          </cell>
        </row>
        <row r="490">
          <cell r="B490">
            <v>464</v>
          </cell>
          <cell r="C490">
            <v>6</v>
          </cell>
          <cell r="D490" t="str">
            <v xml:space="preserve">Bitumen coating </v>
          </cell>
          <cell r="E490" t="str">
            <v>Quét nhựa chống thấm</v>
          </cell>
          <cell r="F490" t="str">
            <v>m²</v>
          </cell>
          <cell r="G490" t="str">
            <v>m²</v>
          </cell>
          <cell r="H490">
            <v>171.62970000000007</v>
          </cell>
          <cell r="I490">
            <v>183.62890000000007</v>
          </cell>
          <cell r="J490">
            <v>183.62890000000007</v>
          </cell>
        </row>
        <row r="491">
          <cell r="B491">
            <v>465</v>
          </cell>
          <cell r="C491">
            <v>7</v>
          </cell>
          <cell r="D491" t="str">
            <v>Driven sheet pile on land (De: 1.17%*2+3.5%=5.84%)</v>
          </cell>
          <cell r="E491" t="str">
            <v>Đóng cọc ván thép trên cạn</v>
          </cell>
          <cell r="F491" t="str">
            <v>m</v>
          </cell>
          <cell r="G491" t="str">
            <v>m</v>
          </cell>
          <cell r="H491">
            <v>0</v>
          </cell>
          <cell r="I491">
            <v>0</v>
          </cell>
          <cell r="J491">
            <v>0</v>
          </cell>
        </row>
        <row r="492">
          <cell r="B492">
            <v>466</v>
          </cell>
          <cell r="C492">
            <v>8</v>
          </cell>
          <cell r="D492" t="str">
            <v>Extract Steel Sheet Pile on land</v>
          </cell>
          <cell r="E492" t="str">
            <v>Nhổ cọc ván thép trên cạn</v>
          </cell>
          <cell r="F492" t="str">
            <v>m</v>
          </cell>
          <cell r="G492" t="str">
            <v>m</v>
          </cell>
          <cell r="H492">
            <v>0</v>
          </cell>
          <cell r="I492">
            <v>0</v>
          </cell>
          <cell r="J492">
            <v>0</v>
          </cell>
        </row>
        <row r="493">
          <cell r="B493">
            <v>467</v>
          </cell>
          <cell r="C493">
            <v>9</v>
          </cell>
          <cell r="D493" t="str">
            <v>Fabrication of supporting belt frame of steel sheet pile</v>
          </cell>
          <cell r="E493" t="str">
            <v>Gia công hệ khung chống cọc ván thép</v>
          </cell>
          <cell r="F493" t="str">
            <v>ton</v>
          </cell>
          <cell r="G493" t="str">
            <v>tấn</v>
          </cell>
          <cell r="H493">
            <v>0</v>
          </cell>
          <cell r="I493">
            <v>0</v>
          </cell>
          <cell r="J493">
            <v>0</v>
          </cell>
        </row>
        <row r="494">
          <cell r="B494">
            <v>468</v>
          </cell>
          <cell r="C494">
            <v>10</v>
          </cell>
          <cell r="D494" t="str">
            <v>Install and remove supporting belt frame (f:1.6)</v>
          </cell>
          <cell r="E494" t="str">
            <v>Lắp dựng và tháo dỡ hệ khung chống (f:1.6)</v>
          </cell>
          <cell r="F494" t="str">
            <v>ton</v>
          </cell>
          <cell r="G494" t="str">
            <v>tấn</v>
          </cell>
          <cell r="H494">
            <v>0</v>
          </cell>
          <cell r="I494">
            <v>0</v>
          </cell>
          <cell r="J494">
            <v>0</v>
          </cell>
        </row>
        <row r="495">
          <cell r="B495">
            <v>469</v>
          </cell>
          <cell r="C495">
            <v>11</v>
          </cell>
          <cell r="D495" t="str">
            <v>Fabrication for scaffolding system</v>
          </cell>
          <cell r="E495" t="str">
            <v>Gia công thép hình, thép bản cho đà giáo</v>
          </cell>
          <cell r="F495" t="str">
            <v>ton</v>
          </cell>
          <cell r="G495" t="str">
            <v>tấn</v>
          </cell>
          <cell r="H495">
            <v>10.887813549279082</v>
          </cell>
          <cell r="I495">
            <v>10.887813549279082</v>
          </cell>
          <cell r="J495">
            <v>10.887813549279082</v>
          </cell>
        </row>
        <row r="496">
          <cell r="B496">
            <v>470</v>
          </cell>
          <cell r="C496">
            <v>12</v>
          </cell>
          <cell r="D496" t="str">
            <v>Install and remove scaffolding system (f :1.6)</v>
          </cell>
          <cell r="E496" t="str">
            <v>Lắp dựng và tháo dỡ đà giáo trên cạn (f:1.6)</v>
          </cell>
          <cell r="F496" t="str">
            <v>ton</v>
          </cell>
          <cell r="G496" t="str">
            <v>tấn</v>
          </cell>
          <cell r="H496">
            <v>10.887813549279082</v>
          </cell>
          <cell r="I496">
            <v>10.887813549279082</v>
          </cell>
          <cell r="J496">
            <v>10.887813549279082</v>
          </cell>
        </row>
        <row r="497">
          <cell r="B497">
            <v>471</v>
          </cell>
          <cell r="C497">
            <v>13</v>
          </cell>
          <cell r="D497" t="str">
            <v>Rebars for abutment on land, Ф ≤ 18</v>
          </cell>
          <cell r="E497" t="str">
            <v>Cốt thép mố trên cạn, Ф ≤ 18</v>
          </cell>
          <cell r="F497" t="str">
            <v>ton</v>
          </cell>
          <cell r="G497" t="str">
            <v>tấn</v>
          </cell>
          <cell r="H497">
            <v>17.678958190397104</v>
          </cell>
          <cell r="I497">
            <v>18.019531348397106</v>
          </cell>
          <cell r="J497">
            <v>18.019531348397106</v>
          </cell>
        </row>
        <row r="498">
          <cell r="B498">
            <v>472</v>
          </cell>
          <cell r="C498">
            <v>14</v>
          </cell>
          <cell r="D498" t="str">
            <v>Rebars for abutment on land, Ф &gt; 18</v>
          </cell>
          <cell r="E498" t="str">
            <v>Cốt thép mố trên cạn, Ф &gt; 18</v>
          </cell>
          <cell r="F498" t="str">
            <v>ton</v>
          </cell>
          <cell r="G498" t="str">
            <v>tấn</v>
          </cell>
          <cell r="H498">
            <v>36.574289970934444</v>
          </cell>
          <cell r="I498">
            <v>36.649781344739907</v>
          </cell>
          <cell r="J498">
            <v>36.649781344739907</v>
          </cell>
        </row>
        <row r="499">
          <cell r="B499">
            <v>473</v>
          </cell>
          <cell r="C499">
            <v>15</v>
          </cell>
          <cell r="D499" t="str">
            <v>Structural excavation of abutment on land</v>
          </cell>
          <cell r="E499" t="str">
            <v>Đào đất hố móng mố cầu trên cạn</v>
          </cell>
          <cell r="F499" t="str">
            <v>m³</v>
          </cell>
          <cell r="G499" t="str">
            <v>m³</v>
          </cell>
          <cell r="H499">
            <v>1583.5720160000005</v>
          </cell>
          <cell r="I499">
            <v>2127.4910190000001</v>
          </cell>
          <cell r="J499">
            <v>2127.4910190000001</v>
          </cell>
        </row>
        <row r="500">
          <cell r="B500">
            <v>474</v>
          </cell>
          <cell r="C500">
            <v>16</v>
          </cell>
          <cell r="D500" t="str">
            <v>Structure excavation (by machine)</v>
          </cell>
          <cell r="E500" t="str">
            <v>Đào đất hố móng (bằng máy)</v>
          </cell>
          <cell r="F500" t="str">
            <v>m³</v>
          </cell>
          <cell r="G500" t="str">
            <v>m³</v>
          </cell>
          <cell r="H500">
            <v>1425.2148144000005</v>
          </cell>
          <cell r="I500">
            <v>1914.7419171000001</v>
          </cell>
          <cell r="J500">
            <v>1914.7419171000001</v>
          </cell>
        </row>
        <row r="501">
          <cell r="B501">
            <v>475</v>
          </cell>
          <cell r="C501">
            <v>17</v>
          </cell>
          <cell r="D501" t="str">
            <v>Structural Excavation ( by manpower)</v>
          </cell>
          <cell r="E501" t="str">
            <v>Đào móng công trình (bằng thủ công)</v>
          </cell>
          <cell r="F501" t="str">
            <v>m³</v>
          </cell>
          <cell r="G501" t="str">
            <v>m³</v>
          </cell>
          <cell r="H501">
            <v>158.35720160000005</v>
          </cell>
          <cell r="I501">
            <v>212.74910190000003</v>
          </cell>
          <cell r="J501">
            <v>212.74910190000003</v>
          </cell>
        </row>
        <row r="502">
          <cell r="B502">
            <v>476</v>
          </cell>
          <cell r="C502">
            <v>18</v>
          </cell>
          <cell r="D502" t="str">
            <v>Hauling of Excavated Material (distance 5km)</v>
          </cell>
          <cell r="E502" t="str">
            <v>Vận chuyển đất đào đi đổ (Cự ly tạm tính 5km)</v>
          </cell>
          <cell r="F502" t="str">
            <v>m³</v>
          </cell>
          <cell r="G502" t="str">
            <v>m³</v>
          </cell>
          <cell r="H502">
            <v>306.85618791999991</v>
          </cell>
          <cell r="I502">
            <v>216.88586753000027</v>
          </cell>
          <cell r="J502">
            <v>216.88586753000027</v>
          </cell>
        </row>
        <row r="503">
          <cell r="B503">
            <v>477</v>
          </cell>
          <cell r="C503">
            <v>19</v>
          </cell>
          <cell r="D503" t="str">
            <v>Structural backfill of abutment on land</v>
          </cell>
          <cell r="E503" t="str">
            <v>Đắp đất hố móng mố cầu trên cạn</v>
          </cell>
          <cell r="F503" t="str">
            <v>m³</v>
          </cell>
          <cell r="G503" t="str">
            <v>m³</v>
          </cell>
          <cell r="H503">
            <v>1129.8370160000006</v>
          </cell>
          <cell r="I503">
            <v>1690.801019</v>
          </cell>
          <cell r="J503">
            <v>1690.801019</v>
          </cell>
        </row>
        <row r="504">
          <cell r="B504">
            <v>478</v>
          </cell>
          <cell r="C504">
            <v>20</v>
          </cell>
          <cell r="D504" t="str">
            <v>Structure back filling by hand tamper K95</v>
          </cell>
          <cell r="E504" t="str">
            <v>Đắp trả hố móng bằng đầm cóc K95</v>
          </cell>
          <cell r="F504" t="str">
            <v>m³</v>
          </cell>
          <cell r="G504" t="str">
            <v>m³</v>
          </cell>
          <cell r="H504">
            <v>112.98370160000007</v>
          </cell>
          <cell r="I504">
            <v>169.08010190000002</v>
          </cell>
          <cell r="J504">
            <v>169.08010190000002</v>
          </cell>
        </row>
        <row r="505">
          <cell r="B505">
            <v>479</v>
          </cell>
          <cell r="C505">
            <v>21</v>
          </cell>
          <cell r="D505" t="str">
            <v>Structure back filling by tire roller K95</v>
          </cell>
          <cell r="E505" t="str">
            <v>Đắp trả hố móng bằng máy đầm K95</v>
          </cell>
          <cell r="F505" t="str">
            <v>m³</v>
          </cell>
          <cell r="G505" t="str">
            <v>m³</v>
          </cell>
          <cell r="H505">
            <v>1016.8533144000006</v>
          </cell>
          <cell r="I505">
            <v>1521.7209171</v>
          </cell>
          <cell r="J505">
            <v>1521.7209171</v>
          </cell>
        </row>
        <row r="506">
          <cell r="B506">
            <v>480</v>
          </cell>
          <cell r="C506">
            <v>22</v>
          </cell>
          <cell r="D506" t="str">
            <v>Earth base fill K90 of abutment on land</v>
          </cell>
          <cell r="E506" t="str">
            <v>San nền K90 của mố trên cạn</v>
          </cell>
          <cell r="F506" t="str">
            <v>m³</v>
          </cell>
          <cell r="G506" t="str">
            <v>m³</v>
          </cell>
          <cell r="H506">
            <v>0</v>
          </cell>
          <cell r="I506">
            <v>0</v>
          </cell>
          <cell r="J506">
            <v>0</v>
          </cell>
        </row>
        <row r="507">
          <cell r="B507">
            <v>481</v>
          </cell>
          <cell r="C507">
            <v>23</v>
          </cell>
          <cell r="D507" t="str">
            <v>Bedding concrete C10</v>
          </cell>
          <cell r="E507" t="str">
            <v>Bê tông C10 lót móng</v>
          </cell>
          <cell r="F507" t="str">
            <v>m³</v>
          </cell>
          <cell r="G507" t="str">
            <v>m³</v>
          </cell>
          <cell r="H507">
            <v>44.198000000000008</v>
          </cell>
          <cell r="I507">
            <v>44.198000000000008</v>
          </cell>
          <cell r="J507">
            <v>44.198000000000008</v>
          </cell>
        </row>
        <row r="508">
          <cell r="B508">
            <v>482</v>
          </cell>
          <cell r="C508">
            <v>24</v>
          </cell>
          <cell r="D508" t="str">
            <v>Bedding concrete C10</v>
          </cell>
          <cell r="E508" t="str">
            <v>Bê tông C10 lót móng</v>
          </cell>
          <cell r="F508" t="str">
            <v>m³</v>
          </cell>
          <cell r="G508" t="str">
            <v>m³</v>
          </cell>
          <cell r="H508">
            <v>44.198000000000008</v>
          </cell>
          <cell r="I508">
            <v>44.198000000000008</v>
          </cell>
          <cell r="J508">
            <v>44.198000000000008</v>
          </cell>
        </row>
        <row r="509">
          <cell r="B509">
            <v>483</v>
          </cell>
          <cell r="C509">
            <v>25</v>
          </cell>
          <cell r="D509" t="str">
            <v>Fabricate ready 50 m³/h mixed concrete</v>
          </cell>
          <cell r="E509" t="str">
            <v>Sản xuất vữa bê tông trạm trộn 50m³/h</v>
          </cell>
          <cell r="F509" t="str">
            <v>m³</v>
          </cell>
          <cell r="G509" t="str">
            <v>m³</v>
          </cell>
          <cell r="H509">
            <v>45.52394000000001</v>
          </cell>
          <cell r="I509">
            <v>45.52394000000001</v>
          </cell>
          <cell r="J509">
            <v>45.52394000000001</v>
          </cell>
        </row>
        <row r="510">
          <cell r="B510">
            <v>484</v>
          </cell>
          <cell r="C510">
            <v>26</v>
          </cell>
          <cell r="D510" t="str">
            <v>Transport ready mixed concrete distance 0,5km</v>
          </cell>
          <cell r="E510" t="str">
            <v>Vận chuyển bê tông cự ly 0,5km</v>
          </cell>
          <cell r="F510" t="str">
            <v>m³</v>
          </cell>
          <cell r="G510" t="str">
            <v>m³</v>
          </cell>
          <cell r="H510">
            <v>45.52394000000001</v>
          </cell>
          <cell r="I510">
            <v>45.52394000000001</v>
          </cell>
          <cell r="J510">
            <v>45.52394000000001</v>
          </cell>
        </row>
        <row r="511">
          <cell r="B511">
            <v>485</v>
          </cell>
          <cell r="D511" t="str">
            <v xml:space="preserve">Approach slab </v>
          </cell>
          <cell r="E511" t="str">
            <v>Bản quá độ</v>
          </cell>
          <cell r="J511">
            <v>0</v>
          </cell>
        </row>
        <row r="512">
          <cell r="B512">
            <v>486</v>
          </cell>
          <cell r="C512">
            <v>1</v>
          </cell>
          <cell r="D512" t="str">
            <v xml:space="preserve">Concrete C25 for approach slab </v>
          </cell>
          <cell r="E512" t="str">
            <v>Bê tông C25 bản quá độ</v>
          </cell>
          <cell r="F512" t="str">
            <v>m³</v>
          </cell>
          <cell r="G512" t="str">
            <v>m³</v>
          </cell>
          <cell r="H512">
            <v>36.719200000000001</v>
          </cell>
          <cell r="I512">
            <v>36.719200000000001</v>
          </cell>
          <cell r="J512">
            <v>36.719200000000001</v>
          </cell>
        </row>
        <row r="513">
          <cell r="B513">
            <v>487</v>
          </cell>
          <cell r="C513">
            <v>2</v>
          </cell>
          <cell r="D513" t="str">
            <v xml:space="preserve">Concrete C25 for approach slab </v>
          </cell>
          <cell r="E513" t="str">
            <v>Bê tông C25 bản quá độ</v>
          </cell>
          <cell r="F513" t="str">
            <v>m³</v>
          </cell>
          <cell r="G513" t="str">
            <v>m³</v>
          </cell>
          <cell r="H513">
            <v>36.719200000000001</v>
          </cell>
          <cell r="I513">
            <v>36.719200000000001</v>
          </cell>
          <cell r="J513">
            <v>36.719200000000001</v>
          </cell>
        </row>
        <row r="514">
          <cell r="B514">
            <v>488</v>
          </cell>
          <cell r="C514">
            <v>3</v>
          </cell>
          <cell r="D514" t="str">
            <v>Fabricate ready 50 m³/h mixed concrete</v>
          </cell>
          <cell r="E514" t="str">
            <v>Sản xuất vữa bê tông trạm trộn 50m³/h</v>
          </cell>
          <cell r="F514" t="str">
            <v>m³</v>
          </cell>
          <cell r="G514" t="str">
            <v>m³</v>
          </cell>
          <cell r="H514">
            <v>37.637180000000001</v>
          </cell>
          <cell r="I514">
            <v>37.637180000000001</v>
          </cell>
          <cell r="J514">
            <v>37.637180000000001</v>
          </cell>
        </row>
        <row r="515">
          <cell r="B515">
            <v>489</v>
          </cell>
          <cell r="C515">
            <v>4</v>
          </cell>
          <cell r="D515" t="str">
            <v>Transport ready mixed concrete distance 0,5km</v>
          </cell>
          <cell r="E515" t="str">
            <v>Vận chuyển bê tông cự ly 0,5km</v>
          </cell>
          <cell r="F515" t="str">
            <v>m³</v>
          </cell>
          <cell r="G515" t="str">
            <v>m³</v>
          </cell>
          <cell r="H515">
            <v>37.637180000000001</v>
          </cell>
          <cell r="I515">
            <v>37.637180000000001</v>
          </cell>
          <cell r="J515">
            <v>37.637180000000001</v>
          </cell>
        </row>
        <row r="516">
          <cell r="B516">
            <v>490</v>
          </cell>
          <cell r="C516">
            <v>5</v>
          </cell>
          <cell r="D516" t="str">
            <v>Formwork for approach slab</v>
          </cell>
          <cell r="E516" t="str">
            <v>Ván khuôn bản quá độ</v>
          </cell>
          <cell r="F516" t="str">
            <v>m²</v>
          </cell>
          <cell r="G516" t="str">
            <v>m²</v>
          </cell>
          <cell r="H516">
            <v>23.347999999999999</v>
          </cell>
          <cell r="I516">
            <v>23.347999999999999</v>
          </cell>
          <cell r="J516">
            <v>23.347999999999999</v>
          </cell>
        </row>
        <row r="517">
          <cell r="B517">
            <v>491</v>
          </cell>
          <cell r="C517">
            <v>6</v>
          </cell>
          <cell r="D517" t="str">
            <v xml:space="preserve">Bitumen coating </v>
          </cell>
          <cell r="E517" t="str">
            <v>Quét nhựa chống thấm</v>
          </cell>
          <cell r="F517" t="str">
            <v>kg</v>
          </cell>
          <cell r="G517" t="str">
            <v>kg</v>
          </cell>
          <cell r="H517">
            <v>142.38634500000001</v>
          </cell>
          <cell r="I517">
            <v>142.38634500000001</v>
          </cell>
          <cell r="J517">
            <v>142.38634500000001</v>
          </cell>
        </row>
        <row r="518">
          <cell r="B518">
            <v>492</v>
          </cell>
          <cell r="C518">
            <v>7</v>
          </cell>
          <cell r="D518" t="str">
            <v>Elastic t=10mm</v>
          </cell>
          <cell r="E518" t="str">
            <v>Đệm cao su t=10mm</v>
          </cell>
          <cell r="F518" t="str">
            <v>m²</v>
          </cell>
          <cell r="G518" t="str">
            <v>m²</v>
          </cell>
          <cell r="H518">
            <v>6.99</v>
          </cell>
          <cell r="I518">
            <v>6.99</v>
          </cell>
          <cell r="J518">
            <v>6.99</v>
          </cell>
        </row>
        <row r="519">
          <cell r="B519">
            <v>493</v>
          </cell>
          <cell r="C519">
            <v>8</v>
          </cell>
          <cell r="D519" t="str">
            <v>Rebar cage for approach slab Ф ≤ 18</v>
          </cell>
          <cell r="E519" t="str">
            <v>Cốt thép bản dẫn Ф ≤ 18</v>
          </cell>
          <cell r="F519" t="str">
            <v>ton</v>
          </cell>
          <cell r="G519" t="str">
            <v>tấn</v>
          </cell>
          <cell r="H519">
            <v>3.5750859063707621</v>
          </cell>
          <cell r="I519">
            <v>3.5750859063707621</v>
          </cell>
          <cell r="J519">
            <v>3.5750859063707621</v>
          </cell>
        </row>
        <row r="520">
          <cell r="B520">
            <v>494</v>
          </cell>
          <cell r="C520">
            <v>9</v>
          </cell>
          <cell r="D520" t="str">
            <v>Rebar cage for approach slab Ф &gt; 18</v>
          </cell>
          <cell r="E520" t="str">
            <v>Cốt thép bản dẫn Ф &gt; 18</v>
          </cell>
          <cell r="F520" t="str">
            <v>ton</v>
          </cell>
          <cell r="G520" t="str">
            <v>tấn</v>
          </cell>
          <cell r="H520">
            <v>1.7653344</v>
          </cell>
          <cell r="I520">
            <v>1.7653344</v>
          </cell>
          <cell r="J520">
            <v>1.7653344</v>
          </cell>
        </row>
        <row r="521">
          <cell r="B521">
            <v>495</v>
          </cell>
          <cell r="C521">
            <v>10</v>
          </cell>
          <cell r="D521" t="str">
            <v>Crushed stone</v>
          </cell>
          <cell r="E521" t="str">
            <v>Cấp phối đá dăm</v>
          </cell>
          <cell r="F521" t="str">
            <v>m³</v>
          </cell>
          <cell r="G521" t="str">
            <v>m³</v>
          </cell>
          <cell r="H521">
            <v>22.787400000000002</v>
          </cell>
          <cell r="I521">
            <v>22.787400000000002</v>
          </cell>
          <cell r="J521">
            <v>22.787400000000002</v>
          </cell>
        </row>
        <row r="522">
          <cell r="B522">
            <v>496</v>
          </cell>
          <cell r="C522">
            <v>11</v>
          </cell>
          <cell r="D522" t="str">
            <v>Bedding concrete C10</v>
          </cell>
          <cell r="E522" t="str">
            <v>Bê tông C10 lót móng</v>
          </cell>
          <cell r="F522" t="str">
            <v>m³</v>
          </cell>
          <cell r="G522" t="str">
            <v>m³</v>
          </cell>
          <cell r="H522">
            <v>11.393700000000001</v>
          </cell>
          <cell r="I522">
            <v>11.393700000000001</v>
          </cell>
          <cell r="J522">
            <v>11.393700000000001</v>
          </cell>
        </row>
        <row r="523">
          <cell r="B523">
            <v>497</v>
          </cell>
          <cell r="C523">
            <v>12</v>
          </cell>
          <cell r="D523" t="str">
            <v>Bedding concrete C10</v>
          </cell>
          <cell r="E523" t="str">
            <v>Bê tông C10 lót móng</v>
          </cell>
          <cell r="F523" t="str">
            <v>m³</v>
          </cell>
          <cell r="G523" t="str">
            <v>m³</v>
          </cell>
          <cell r="H523">
            <v>11.393700000000001</v>
          </cell>
          <cell r="I523">
            <v>11.393700000000001</v>
          </cell>
          <cell r="J523">
            <v>11.393700000000001</v>
          </cell>
        </row>
        <row r="524">
          <cell r="B524">
            <v>498</v>
          </cell>
          <cell r="C524">
            <v>13</v>
          </cell>
          <cell r="D524" t="str">
            <v>Fabricate ready 50 m³/h mixed concrete</v>
          </cell>
          <cell r="E524" t="str">
            <v>Sản xuất vữa bê tông trạm trộn 50m³/h</v>
          </cell>
          <cell r="F524" t="str">
            <v>m³</v>
          </cell>
          <cell r="G524" t="str">
            <v>m³</v>
          </cell>
          <cell r="H524">
            <v>11.735511000000001</v>
          </cell>
          <cell r="I524">
            <v>11.735511000000001</v>
          </cell>
          <cell r="J524">
            <v>11.735511000000001</v>
          </cell>
        </row>
        <row r="525">
          <cell r="B525">
            <v>499</v>
          </cell>
          <cell r="C525">
            <v>14</v>
          </cell>
          <cell r="D525" t="str">
            <v>Transport ready mixed concrete distance 0,5km</v>
          </cell>
          <cell r="E525" t="str">
            <v>Vận chuyển bê tông cự ly 0,5km</v>
          </cell>
          <cell r="F525" t="str">
            <v>m³</v>
          </cell>
          <cell r="G525" t="str">
            <v>m³</v>
          </cell>
          <cell r="H525">
            <v>11.735511000000001</v>
          </cell>
          <cell r="I525">
            <v>11.735511000000001</v>
          </cell>
          <cell r="J525">
            <v>11.735511000000001</v>
          </cell>
        </row>
        <row r="526">
          <cell r="B526">
            <v>500</v>
          </cell>
          <cell r="D526" t="str">
            <v xml:space="preserve">Earthworks slope protection </v>
          </cell>
          <cell r="E526" t="str">
            <v>Gia cố mố</v>
          </cell>
          <cell r="J526">
            <v>0</v>
          </cell>
        </row>
        <row r="527">
          <cell r="B527">
            <v>501</v>
          </cell>
          <cell r="D527" t="str">
            <v xml:space="preserve">Earthworks slope protection </v>
          </cell>
          <cell r="E527" t="str">
            <v>Gia cố mố</v>
          </cell>
          <cell r="F527" t="str">
            <v>Ea</v>
          </cell>
          <cell r="G527" t="str">
            <v>Mố</v>
          </cell>
          <cell r="H527">
            <v>1</v>
          </cell>
          <cell r="I527">
            <v>1</v>
          </cell>
          <cell r="J527">
            <v>1</v>
          </cell>
        </row>
        <row r="528">
          <cell r="B528">
            <v>502</v>
          </cell>
          <cell r="C528">
            <v>1</v>
          </cell>
          <cell r="D528" t="str">
            <v>Perforated brick</v>
          </cell>
          <cell r="E528" t="str">
            <v>Lát gạch trồng cỏ</v>
          </cell>
          <cell r="F528" t="str">
            <v>m²</v>
          </cell>
          <cell r="G528" t="str">
            <v>m²</v>
          </cell>
          <cell r="H528">
            <v>502.24000000000007</v>
          </cell>
          <cell r="I528">
            <v>456</v>
          </cell>
          <cell r="J528">
            <v>456</v>
          </cell>
        </row>
        <row r="529">
          <cell r="B529">
            <v>503</v>
          </cell>
          <cell r="C529">
            <v>2</v>
          </cell>
          <cell r="D529" t="str">
            <v>Concrete C20</v>
          </cell>
          <cell r="E529" t="str">
            <v>Bê tông C20</v>
          </cell>
          <cell r="F529" t="str">
            <v>m³</v>
          </cell>
          <cell r="G529" t="str">
            <v>m³</v>
          </cell>
          <cell r="H529">
            <v>31.39</v>
          </cell>
          <cell r="I529">
            <v>28.5</v>
          </cell>
          <cell r="J529">
            <v>28.5</v>
          </cell>
        </row>
        <row r="530">
          <cell r="B530">
            <v>504</v>
          </cell>
          <cell r="C530">
            <v>3</v>
          </cell>
          <cell r="D530" t="str">
            <v>Fabricate ready 50 m³/h mixed concrete</v>
          </cell>
          <cell r="E530" t="str">
            <v>Sản xuất vữa bê tông trạm trộn 50m³/h</v>
          </cell>
          <cell r="F530" t="str">
            <v>m³</v>
          </cell>
          <cell r="G530" t="str">
            <v>m³</v>
          </cell>
          <cell r="H530">
            <v>31.860849999999999</v>
          </cell>
          <cell r="I530">
            <v>28.927499999999998</v>
          </cell>
          <cell r="J530">
            <v>28.927499999999998</v>
          </cell>
        </row>
        <row r="531">
          <cell r="B531">
            <v>505</v>
          </cell>
          <cell r="C531">
            <v>4</v>
          </cell>
          <cell r="D531" t="str">
            <v>Formwork</v>
          </cell>
          <cell r="E531" t="str">
            <v>Ván khuôn</v>
          </cell>
          <cell r="F531" t="str">
            <v>m²</v>
          </cell>
          <cell r="G531" t="str">
            <v>m²</v>
          </cell>
          <cell r="H531">
            <v>778.47199999999998</v>
          </cell>
          <cell r="I531">
            <v>706.8</v>
          </cell>
          <cell r="J531">
            <v>706.8</v>
          </cell>
        </row>
        <row r="532">
          <cell r="B532">
            <v>506</v>
          </cell>
          <cell r="C532">
            <v>5</v>
          </cell>
          <cell r="D532" t="str">
            <v>Reinforcements Bar Ф 6mm</v>
          </cell>
          <cell r="E532" t="str">
            <v xml:space="preserve">Cốt thép Ф6mm </v>
          </cell>
          <cell r="F532" t="str">
            <v>ton</v>
          </cell>
          <cell r="G532" t="str">
            <v>tấn</v>
          </cell>
          <cell r="H532">
            <v>1.5538050000000001</v>
          </cell>
          <cell r="I532">
            <v>1.4107499999999999</v>
          </cell>
          <cell r="J532">
            <v>1.4107499999999999</v>
          </cell>
        </row>
        <row r="533">
          <cell r="B533">
            <v>507</v>
          </cell>
          <cell r="C533">
            <v>6</v>
          </cell>
          <cell r="D533" t="str">
            <v>Mortar C10</v>
          </cell>
          <cell r="E533" t="str">
            <v>Vữa  C10</v>
          </cell>
          <cell r="F533" t="str">
            <v>m³</v>
          </cell>
          <cell r="G533" t="str">
            <v>m³</v>
          </cell>
          <cell r="H533">
            <v>15.939122000000001</v>
          </cell>
          <cell r="I533">
            <v>14.494122000000001</v>
          </cell>
          <cell r="J533">
            <v>14.494122000000001</v>
          </cell>
        </row>
        <row r="534">
          <cell r="B534">
            <v>508</v>
          </cell>
          <cell r="C534">
            <v>7</v>
          </cell>
          <cell r="D534" t="str">
            <v>SOD</v>
          </cell>
          <cell r="E534" t="str">
            <v xml:space="preserve">Trồng cỏ </v>
          </cell>
          <cell r="F534" t="str">
            <v>m²</v>
          </cell>
          <cell r="G534" t="str">
            <v>m²</v>
          </cell>
          <cell r="H534">
            <v>166.65866283955032</v>
          </cell>
          <cell r="I534">
            <v>151.31481016015238</v>
          </cell>
          <cell r="J534">
            <v>151.31481016015238</v>
          </cell>
        </row>
        <row r="535">
          <cell r="B535">
            <v>509</v>
          </cell>
          <cell r="C535">
            <v>8</v>
          </cell>
          <cell r="D535" t="str">
            <v>Concrete cutoff dike C20</v>
          </cell>
          <cell r="E535" t="str">
            <v>Bê tông chân khay C20</v>
          </cell>
          <cell r="F535" t="str">
            <v>m³</v>
          </cell>
          <cell r="G535" t="str">
            <v>m³</v>
          </cell>
          <cell r="H535">
            <v>4.2240000000000002</v>
          </cell>
          <cell r="I535">
            <v>4.08</v>
          </cell>
          <cell r="J535">
            <v>4.08</v>
          </cell>
        </row>
        <row r="536">
          <cell r="B536">
            <v>510</v>
          </cell>
          <cell r="C536">
            <v>9</v>
          </cell>
          <cell r="D536" t="str">
            <v>Concrete cutoff dike C20</v>
          </cell>
          <cell r="E536" t="str">
            <v>Bê tông chân khay C20</v>
          </cell>
          <cell r="F536" t="str">
            <v>m³</v>
          </cell>
          <cell r="G536" t="str">
            <v>m³</v>
          </cell>
          <cell r="H536">
            <v>4.2240000000000002</v>
          </cell>
          <cell r="I536">
            <v>4.08</v>
          </cell>
          <cell r="J536">
            <v>4.08</v>
          </cell>
        </row>
        <row r="537">
          <cell r="B537">
            <v>511</v>
          </cell>
          <cell r="C537">
            <v>10</v>
          </cell>
          <cell r="D537" t="str">
            <v>Fabricate ready 50 m³/h mixed concrete</v>
          </cell>
          <cell r="E537" t="str">
            <v>Sản xuất vữa bê tông trạm trộn 50m³/h</v>
          </cell>
          <cell r="F537" t="str">
            <v>m³</v>
          </cell>
          <cell r="G537" t="str">
            <v>m³</v>
          </cell>
          <cell r="H537">
            <v>4.2873599999999996</v>
          </cell>
          <cell r="I537">
            <v>4.1411999999999995</v>
          </cell>
          <cell r="J537">
            <v>4.1411999999999995</v>
          </cell>
        </row>
        <row r="538">
          <cell r="B538">
            <v>512</v>
          </cell>
          <cell r="C538">
            <v>11</v>
          </cell>
          <cell r="D538" t="str">
            <v>Transport ready mixed concrete distance 0,5km</v>
          </cell>
          <cell r="E538" t="str">
            <v>Vận chuyển bê tông cự ly 0,5km</v>
          </cell>
          <cell r="F538" t="str">
            <v>m³</v>
          </cell>
          <cell r="G538" t="str">
            <v>m³</v>
          </cell>
          <cell r="H538">
            <v>4.2873599999999996</v>
          </cell>
          <cell r="I538">
            <v>4.1411999999999995</v>
          </cell>
          <cell r="J538">
            <v>4.1411999999999995</v>
          </cell>
        </row>
        <row r="539">
          <cell r="B539">
            <v>513</v>
          </cell>
          <cell r="C539">
            <v>12</v>
          </cell>
          <cell r="D539" t="str">
            <v>Bedding concrete C10</v>
          </cell>
          <cell r="E539" t="str">
            <v>Bê tông C10 lót móng</v>
          </cell>
          <cell r="F539" t="str">
            <v>m³</v>
          </cell>
          <cell r="G539" t="str">
            <v>m³</v>
          </cell>
          <cell r="H539">
            <v>4.2240000000000002</v>
          </cell>
          <cell r="I539">
            <v>4.08</v>
          </cell>
          <cell r="J539">
            <v>4.08</v>
          </cell>
        </row>
        <row r="540">
          <cell r="B540">
            <v>514</v>
          </cell>
          <cell r="C540">
            <v>13</v>
          </cell>
          <cell r="D540" t="str">
            <v>Bedding concrete C10</v>
          </cell>
          <cell r="E540" t="str">
            <v>Bê tông C10 lót móng</v>
          </cell>
          <cell r="F540" t="str">
            <v>m³</v>
          </cell>
          <cell r="G540" t="str">
            <v>m³</v>
          </cell>
          <cell r="H540">
            <v>4.2240000000000002</v>
          </cell>
          <cell r="I540">
            <v>4.08</v>
          </cell>
          <cell r="J540">
            <v>4.08</v>
          </cell>
        </row>
        <row r="541">
          <cell r="B541">
            <v>515</v>
          </cell>
          <cell r="C541">
            <v>14</v>
          </cell>
          <cell r="D541" t="str">
            <v>Fabricate ready 50 m³/h mixed concrete</v>
          </cell>
          <cell r="E541" t="str">
            <v>Sản xuất vữa bê tông trạm trộn 50m³/h</v>
          </cell>
          <cell r="F541" t="str">
            <v>m³</v>
          </cell>
          <cell r="G541" t="str">
            <v>m³</v>
          </cell>
          <cell r="H541">
            <v>4.3507199999999999</v>
          </cell>
          <cell r="I541">
            <v>4.2023999999999999</v>
          </cell>
          <cell r="J541">
            <v>4.2023999999999999</v>
          </cell>
        </row>
        <row r="542">
          <cell r="B542">
            <v>516</v>
          </cell>
          <cell r="C542">
            <v>15</v>
          </cell>
          <cell r="D542" t="str">
            <v>Transport ready mixed concrete distance 0,5km</v>
          </cell>
          <cell r="E542" t="str">
            <v>Vận chuyển bê tông cự ly 0,5km</v>
          </cell>
          <cell r="F542" t="str">
            <v>m³</v>
          </cell>
          <cell r="G542" t="str">
            <v>m³</v>
          </cell>
          <cell r="H542">
            <v>4.3507199999999999</v>
          </cell>
          <cell r="I542">
            <v>4.2023999999999999</v>
          </cell>
          <cell r="J542">
            <v>4.2023999999999999</v>
          </cell>
        </row>
        <row r="543">
          <cell r="B543">
            <v>517</v>
          </cell>
          <cell r="C543">
            <v>16</v>
          </cell>
          <cell r="D543" t="str">
            <v>Cajuput stake driving, soil level 1, D8-10, L=4,5m</v>
          </cell>
          <cell r="E543" t="str">
            <v>Đóng cừ tràm, đất cấp 1, D8-10, L=4,5m</v>
          </cell>
          <cell r="F543" t="str">
            <v>m</v>
          </cell>
          <cell r="G543" t="str">
            <v>m</v>
          </cell>
          <cell r="H543">
            <v>4224</v>
          </cell>
          <cell r="I543">
            <v>4080</v>
          </cell>
          <cell r="J543">
            <v>4080</v>
          </cell>
        </row>
        <row r="544">
          <cell r="B544">
            <v>518</v>
          </cell>
          <cell r="C544">
            <v>17</v>
          </cell>
          <cell r="D544" t="str">
            <v xml:space="preserve">Blinding aggregate 4x6, 15cm </v>
          </cell>
          <cell r="E544" t="str">
            <v xml:space="preserve">Đá dăm thoát nước 4x6, 15cm </v>
          </cell>
          <cell r="F544" t="str">
            <v>m3</v>
          </cell>
          <cell r="G544" t="str">
            <v>m3</v>
          </cell>
          <cell r="H544">
            <v>1.9226547039969482</v>
          </cell>
          <cell r="I544">
            <v>1.6964600329384838</v>
          </cell>
          <cell r="J544">
            <v>1.6964600329384838</v>
          </cell>
        </row>
        <row r="545">
          <cell r="B545">
            <v>519</v>
          </cell>
          <cell r="C545">
            <v>18</v>
          </cell>
          <cell r="D545" t="str">
            <v>Install of PVC duct Ф50</v>
          </cell>
          <cell r="E545" t="str">
            <v>Lắp đặt ống nhựa Ф50</v>
          </cell>
          <cell r="F545" t="str">
            <v>m</v>
          </cell>
          <cell r="G545" t="str">
            <v>m</v>
          </cell>
          <cell r="H545">
            <v>102</v>
          </cell>
          <cell r="I545">
            <v>90</v>
          </cell>
          <cell r="J545">
            <v>90</v>
          </cell>
        </row>
        <row r="546">
          <cell r="B546">
            <v>520</v>
          </cell>
          <cell r="C546">
            <v>19</v>
          </cell>
          <cell r="D546" t="str">
            <v>Excavating organic soil, level 1 by excavator ≤1,6m3</v>
          </cell>
          <cell r="E546" t="str">
            <v>Đào đất hữu cơ, đất cấp I bằng máy đào ≤1,6m3</v>
          </cell>
          <cell r="F546" t="str">
            <v>m³</v>
          </cell>
          <cell r="G546" t="str">
            <v>m³</v>
          </cell>
          <cell r="H546">
            <v>22.528000000000006</v>
          </cell>
          <cell r="I546">
            <v>21.760000000000005</v>
          </cell>
          <cell r="J546">
            <v>21.760000000000005</v>
          </cell>
        </row>
        <row r="547">
          <cell r="B547">
            <v>521</v>
          </cell>
          <cell r="C547">
            <v>20</v>
          </cell>
          <cell r="D547" t="str">
            <v>Spreading geotextile fabric 12kN/m</v>
          </cell>
          <cell r="E547" t="str">
            <v>Trải vải địa kỹ thuật 12kN/m</v>
          </cell>
          <cell r="F547" t="str">
            <v>m²</v>
          </cell>
          <cell r="G547" t="str">
            <v>m²</v>
          </cell>
          <cell r="H547">
            <v>231.06</v>
          </cell>
          <cell r="I547">
            <v>197.98000000000002</v>
          </cell>
          <cell r="J547">
            <v>197.98000000000002</v>
          </cell>
        </row>
        <row r="548">
          <cell r="B548">
            <v>522</v>
          </cell>
          <cell r="C548">
            <v>21</v>
          </cell>
          <cell r="D548" t="str">
            <v>Filling sand K90</v>
          </cell>
          <cell r="E548" t="str">
            <v>Đắp cát K90</v>
          </cell>
          <cell r="F548" t="str">
            <v>m³</v>
          </cell>
          <cell r="G548" t="str">
            <v>m³</v>
          </cell>
          <cell r="H548">
            <v>669.90856388666668</v>
          </cell>
          <cell r="I548">
            <v>520.78857330666676</v>
          </cell>
          <cell r="J548">
            <v>520.78857330666676</v>
          </cell>
        </row>
        <row r="549">
          <cell r="B549">
            <v>523</v>
          </cell>
          <cell r="C549">
            <v>22</v>
          </cell>
          <cell r="D549" t="str">
            <v>Protection layer clay K95 (material: reuse)</v>
          </cell>
          <cell r="E549" t="str">
            <v>Đắp đất dính bao K95 (tận dụng)</v>
          </cell>
          <cell r="F549" t="str">
            <v>m³</v>
          </cell>
          <cell r="G549" t="str">
            <v>m³</v>
          </cell>
          <cell r="H549">
            <v>481.87771666666686</v>
          </cell>
          <cell r="I549">
            <v>396.73196466666667</v>
          </cell>
          <cell r="J549">
            <v>396.73196466666667</v>
          </cell>
        </row>
        <row r="550">
          <cell r="B550">
            <v>524</v>
          </cell>
          <cell r="D550" t="str">
            <v>Cast - in-Place Bored  Pile D1500mm (abutment on land)</v>
          </cell>
          <cell r="E550" t="str">
            <v>Cọc khoan nhồi D1500mm mố cầu trên cạn</v>
          </cell>
          <cell r="J550">
            <v>0</v>
          </cell>
        </row>
        <row r="551">
          <cell r="B551">
            <v>525</v>
          </cell>
          <cell r="C551">
            <v>1</v>
          </cell>
          <cell r="D551" t="str">
            <v>Cast - in-Place Bored  Pile D1500mm (on land)</v>
          </cell>
          <cell r="E551" t="str">
            <v>Cọc khoan nhồi D1500mm trên cạn</v>
          </cell>
          <cell r="F551" t="str">
            <v>lm</v>
          </cell>
          <cell r="G551" t="str">
            <v>md</v>
          </cell>
          <cell r="H551">
            <v>768</v>
          </cell>
          <cell r="I551">
            <v>816</v>
          </cell>
          <cell r="J551">
            <v>816</v>
          </cell>
        </row>
        <row r="552">
          <cell r="B552">
            <v>526</v>
          </cell>
          <cell r="D552" t="str">
            <v>2. Pier on land</v>
          </cell>
          <cell r="E552" t="str">
            <v>2. Trụ trên cạn</v>
          </cell>
          <cell r="J552">
            <v>0</v>
          </cell>
        </row>
        <row r="553">
          <cell r="B553">
            <v>527</v>
          </cell>
          <cell r="C553">
            <v>1</v>
          </cell>
          <cell r="D553" t="str">
            <v>Concrete C40 of pier headstock on land</v>
          </cell>
          <cell r="E553" t="str">
            <v>Bê tông C40 xà mũ trụ trên cạn</v>
          </cell>
          <cell r="F553" t="str">
            <v>m³</v>
          </cell>
          <cell r="G553" t="str">
            <v>m³</v>
          </cell>
          <cell r="H553">
            <v>2372.9861999999998</v>
          </cell>
          <cell r="I553">
            <v>2372.9861999999998</v>
          </cell>
          <cell r="J553">
            <v>2372.9861999999998</v>
          </cell>
        </row>
        <row r="554">
          <cell r="B554">
            <v>528</v>
          </cell>
          <cell r="C554">
            <v>2</v>
          </cell>
          <cell r="D554" t="str">
            <v>Concrete C40 for pier headstock on land</v>
          </cell>
          <cell r="E554" t="str">
            <v>Bê tông C40 xà mũ trụ trên cạn</v>
          </cell>
          <cell r="F554" t="str">
            <v>m³</v>
          </cell>
          <cell r="G554" t="str">
            <v>m³</v>
          </cell>
          <cell r="H554">
            <v>2372.9861999999998</v>
          </cell>
          <cell r="I554">
            <v>2372.9861999999998</v>
          </cell>
          <cell r="J554">
            <v>2372.9861999999998</v>
          </cell>
        </row>
        <row r="555">
          <cell r="B555">
            <v>529</v>
          </cell>
          <cell r="C555">
            <v>3</v>
          </cell>
          <cell r="D555" t="str">
            <v>Fabricate ready 50 m³/h mixed concrete</v>
          </cell>
          <cell r="E555" t="str">
            <v>Sản xuất vữa bê tông trạm trộn 50m³/h</v>
          </cell>
          <cell r="F555" t="str">
            <v>m³</v>
          </cell>
          <cell r="G555" t="str">
            <v>m³</v>
          </cell>
          <cell r="H555">
            <v>2432.3108549999997</v>
          </cell>
          <cell r="I555">
            <v>2432.3108549999997</v>
          </cell>
          <cell r="J555">
            <v>2432.3108549999997</v>
          </cell>
        </row>
        <row r="556">
          <cell r="B556">
            <v>530</v>
          </cell>
          <cell r="C556">
            <v>4</v>
          </cell>
          <cell r="D556" t="str">
            <v>Transport ready mixed concrete distance 0,5km</v>
          </cell>
          <cell r="E556" t="str">
            <v>Vận chuyển bê tông cự ly 0,5km</v>
          </cell>
          <cell r="F556" t="str">
            <v>m³</v>
          </cell>
          <cell r="G556" t="str">
            <v>m³</v>
          </cell>
          <cell r="H556">
            <v>2432.3108549999997</v>
          </cell>
          <cell r="I556">
            <v>2432.3108549999997</v>
          </cell>
          <cell r="J556">
            <v>2432.3108549999997</v>
          </cell>
        </row>
        <row r="557">
          <cell r="B557">
            <v>531</v>
          </cell>
          <cell r="C557">
            <v>5</v>
          </cell>
          <cell r="D557" t="str">
            <v>Steel formwork for pier on land</v>
          </cell>
          <cell r="E557" t="str">
            <v>Ván khuôn kim loại trụ cầu trên cạn</v>
          </cell>
          <cell r="F557" t="str">
            <v>m²</v>
          </cell>
          <cell r="G557" t="str">
            <v>m²</v>
          </cell>
          <cell r="H557">
            <v>3340.5120000000015</v>
          </cell>
          <cell r="I557">
            <v>3340.5120000000015</v>
          </cell>
          <cell r="J557">
            <v>3340.5120000000015</v>
          </cell>
        </row>
        <row r="558">
          <cell r="B558">
            <v>532</v>
          </cell>
          <cell r="C558">
            <v>6</v>
          </cell>
          <cell r="D558" t="str">
            <v>Working platform processing for piers on land</v>
          </cell>
          <cell r="E558" t="str">
            <v>Gia công thép hình, thép bản cho đà giáo  trên cạn</v>
          </cell>
          <cell r="F558" t="str">
            <v>ton</v>
          </cell>
          <cell r="G558" t="str">
            <v>tấn</v>
          </cell>
          <cell r="H558">
            <v>81.865521267200009</v>
          </cell>
          <cell r="I558">
            <v>81.865521267200009</v>
          </cell>
          <cell r="J558">
            <v>81.865521267200009</v>
          </cell>
        </row>
        <row r="559">
          <cell r="B559">
            <v>533</v>
          </cell>
          <cell r="C559">
            <v>7</v>
          </cell>
          <cell r="D559" t="str">
            <v>Install and Remove scaffolding system</v>
          </cell>
          <cell r="E559" t="str">
            <v>Lắp dựng và tháo dỡ đà giáo trên cạn</v>
          </cell>
          <cell r="F559" t="str">
            <v>ton</v>
          </cell>
          <cell r="G559" t="str">
            <v>tấn</v>
          </cell>
          <cell r="H559">
            <v>491.19312760320008</v>
          </cell>
          <cell r="I559">
            <v>491.19312760320008</v>
          </cell>
          <cell r="J559">
            <v>491.19312760320008</v>
          </cell>
        </row>
        <row r="560">
          <cell r="B560">
            <v>534</v>
          </cell>
          <cell r="C560">
            <v>8</v>
          </cell>
          <cell r="D560" t="str">
            <v>Concrete C30 of pier on land</v>
          </cell>
          <cell r="E560" t="str">
            <v>Bê tông mố, trụ C30 trên cạn</v>
          </cell>
          <cell r="F560" t="str">
            <v>m³</v>
          </cell>
          <cell r="G560" t="str">
            <v>m³</v>
          </cell>
          <cell r="H560">
            <v>15473.485000000001</v>
          </cell>
          <cell r="I560">
            <v>16373.730000000001</v>
          </cell>
          <cell r="J560">
            <v>16373.730000000001</v>
          </cell>
        </row>
        <row r="561">
          <cell r="B561">
            <v>535</v>
          </cell>
          <cell r="C561">
            <v>9</v>
          </cell>
          <cell r="D561" t="str">
            <v>Fabrication for scaffolding system</v>
          </cell>
          <cell r="E561" t="str">
            <v>Gia công thép hình, thép bản cho đà giáo</v>
          </cell>
          <cell r="F561" t="str">
            <v>ton</v>
          </cell>
          <cell r="G561" t="str">
            <v>tấn</v>
          </cell>
          <cell r="H561">
            <v>42.118543174400003</v>
          </cell>
          <cell r="I561">
            <v>42.118543174400003</v>
          </cell>
          <cell r="J561">
            <v>42.118543174400003</v>
          </cell>
        </row>
        <row r="562">
          <cell r="B562">
            <v>536</v>
          </cell>
          <cell r="C562">
            <v>10</v>
          </cell>
          <cell r="D562" t="str">
            <v>Install and remove scaffolding system</v>
          </cell>
          <cell r="E562" t="str">
            <v>Lắp dựng và tháo dỡ đà giáo</v>
          </cell>
          <cell r="F562" t="str">
            <v>ton</v>
          </cell>
          <cell r="G562" t="str">
            <v>tấn</v>
          </cell>
          <cell r="H562">
            <v>252.71125904640002</v>
          </cell>
          <cell r="I562">
            <v>252.71125904640002</v>
          </cell>
          <cell r="J562">
            <v>252.71125904640002</v>
          </cell>
        </row>
        <row r="563">
          <cell r="B563">
            <v>537</v>
          </cell>
          <cell r="C563">
            <v>11</v>
          </cell>
          <cell r="D563" t="str">
            <v>Concrete C30 for column and pile cap pier on land</v>
          </cell>
          <cell r="E563" t="str">
            <v>Bê tông C30 móng, thân trụ trên cạn</v>
          </cell>
          <cell r="F563" t="str">
            <v>m³</v>
          </cell>
          <cell r="G563" t="str">
            <v>m³</v>
          </cell>
          <cell r="H563">
            <v>15473.485000000001</v>
          </cell>
          <cell r="I563">
            <v>16373.730000000001</v>
          </cell>
          <cell r="J563">
            <v>16373.730000000001</v>
          </cell>
        </row>
        <row r="564">
          <cell r="B564">
            <v>538</v>
          </cell>
          <cell r="C564">
            <v>12</v>
          </cell>
          <cell r="D564" t="str">
            <v>Fabricate ready 50 m³/h mixed concrete</v>
          </cell>
          <cell r="E564" t="str">
            <v>Sản xuất vữa bê tông trạm trộn 50m³/h</v>
          </cell>
          <cell r="F564" t="str">
            <v>m³</v>
          </cell>
          <cell r="G564" t="str">
            <v>m³</v>
          </cell>
          <cell r="H564">
            <v>15860.322124999999</v>
          </cell>
          <cell r="I564">
            <v>16783.073250000001</v>
          </cell>
          <cell r="J564">
            <v>16783.073250000001</v>
          </cell>
        </row>
        <row r="565">
          <cell r="B565">
            <v>539</v>
          </cell>
          <cell r="C565">
            <v>13</v>
          </cell>
          <cell r="D565" t="str">
            <v>Transport ready mixed concrete distance 0,5km</v>
          </cell>
          <cell r="E565" t="str">
            <v>Vận chuyển bê tông cự ly 0,5km</v>
          </cell>
          <cell r="F565" t="str">
            <v>m³</v>
          </cell>
          <cell r="G565" t="str">
            <v>m³</v>
          </cell>
          <cell r="H565">
            <v>15860.322124999999</v>
          </cell>
          <cell r="I565">
            <v>16783.073250000001</v>
          </cell>
          <cell r="J565">
            <v>16783.073250000001</v>
          </cell>
        </row>
        <row r="566">
          <cell r="B566">
            <v>540</v>
          </cell>
          <cell r="C566">
            <v>14</v>
          </cell>
          <cell r="D566" t="str">
            <v>Steel formwork for pier on land</v>
          </cell>
          <cell r="E566" t="str">
            <v>Ván khuôn kim loại trụ cầu trên cạn</v>
          </cell>
          <cell r="F566" t="str">
            <v>m²</v>
          </cell>
          <cell r="G566" t="str">
            <v>m²</v>
          </cell>
          <cell r="H566">
            <v>5324.4480000000003</v>
          </cell>
          <cell r="I566">
            <v>5324.4480000000003</v>
          </cell>
          <cell r="J566">
            <v>5324.4480000000003</v>
          </cell>
        </row>
        <row r="567">
          <cell r="B567">
            <v>541</v>
          </cell>
          <cell r="C567">
            <v>15</v>
          </cell>
          <cell r="D567" t="str">
            <v>Rebars for pier on land, Ф ≤ 18</v>
          </cell>
          <cell r="E567" t="str">
            <v>Cốt thép trụ trên cạn, Ф ≤ 18</v>
          </cell>
          <cell r="F567" t="str">
            <v>ton</v>
          </cell>
          <cell r="G567" t="str">
            <v>tấn</v>
          </cell>
          <cell r="H567">
            <v>510.45120000000003</v>
          </cell>
          <cell r="I567">
            <v>544.10570000000018</v>
          </cell>
          <cell r="J567">
            <v>544.10570000000018</v>
          </cell>
        </row>
        <row r="568">
          <cell r="B568">
            <v>542</v>
          </cell>
          <cell r="C568">
            <v>16</v>
          </cell>
          <cell r="D568" t="str">
            <v>Rebars for pier on land, Ф &gt; 18</v>
          </cell>
          <cell r="E568" t="str">
            <v>Cốt thép trụ trên cạn, Ф &gt; 18</v>
          </cell>
          <cell r="F568" t="str">
            <v>ton</v>
          </cell>
          <cell r="G568" t="str">
            <v>tấn</v>
          </cell>
          <cell r="H568">
            <v>2199.2121000000002</v>
          </cell>
          <cell r="I568">
            <v>2362.7742000000003</v>
          </cell>
          <cell r="J568">
            <v>2362.7742000000003</v>
          </cell>
        </row>
        <row r="569">
          <cell r="B569">
            <v>543</v>
          </cell>
          <cell r="C569">
            <v>17</v>
          </cell>
          <cell r="D569" t="str">
            <v>Rebars for pier on land, Ф &gt; 18</v>
          </cell>
          <cell r="E569" t="str">
            <v>Cốt thép trụ trên cạn, Ф &gt; 18</v>
          </cell>
          <cell r="F569" t="str">
            <v>ton</v>
          </cell>
          <cell r="G569" t="str">
            <v>tấn</v>
          </cell>
          <cell r="H569">
            <v>2199.2121000000002</v>
          </cell>
          <cell r="I569">
            <v>2362.7742000000003</v>
          </cell>
          <cell r="J569">
            <v>2362.7742000000003</v>
          </cell>
        </row>
        <row r="570">
          <cell r="B570">
            <v>544</v>
          </cell>
          <cell r="C570">
            <v>18</v>
          </cell>
          <cell r="D570" t="str">
            <v>Coupler D32</v>
          </cell>
          <cell r="E570" t="str">
            <v>Bộ nối cốt thép D32</v>
          </cell>
          <cell r="F570" t="str">
            <v>bộ</v>
          </cell>
          <cell r="G570" t="str">
            <v>set</v>
          </cell>
          <cell r="H570">
            <v>1999.1999999999994</v>
          </cell>
          <cell r="I570">
            <v>1763.9999999999995</v>
          </cell>
          <cell r="J570">
            <v>1763.9999999999995</v>
          </cell>
        </row>
        <row r="571">
          <cell r="B571">
            <v>545</v>
          </cell>
          <cell r="C571">
            <v>19</v>
          </cell>
          <cell r="D571" t="str">
            <v>Coupler D36</v>
          </cell>
          <cell r="E571" t="str">
            <v>Bộ nối cốt thép D36</v>
          </cell>
          <cell r="F571" t="str">
            <v>bộ</v>
          </cell>
          <cell r="G571" t="str">
            <v>set</v>
          </cell>
          <cell r="H571">
            <v>7272</v>
          </cell>
          <cell r="I571">
            <v>8684</v>
          </cell>
          <cell r="J571">
            <v>8684</v>
          </cell>
        </row>
        <row r="572">
          <cell r="B572">
            <v>546</v>
          </cell>
          <cell r="C572">
            <v>20</v>
          </cell>
          <cell r="D572" t="str">
            <v>Coupler D40</v>
          </cell>
          <cell r="E572" t="str">
            <v>Bộ nối cốt thép D40</v>
          </cell>
          <cell r="F572" t="str">
            <v>bộ</v>
          </cell>
          <cell r="G572" t="str">
            <v>set</v>
          </cell>
          <cell r="H572">
            <v>0</v>
          </cell>
          <cell r="I572">
            <v>0</v>
          </cell>
          <cell r="J572">
            <v>0</v>
          </cell>
        </row>
        <row r="573">
          <cell r="B573">
            <v>547</v>
          </cell>
          <cell r="C573">
            <v>21</v>
          </cell>
          <cell r="D573" t="str">
            <v>PC strand for pier on land (Type 15.2mm)</v>
          </cell>
          <cell r="E573" t="str">
            <v>Tao cáp dự ứng lực trụ trên cạn (loại 15.2mm)</v>
          </cell>
          <cell r="F573" t="str">
            <v>ton</v>
          </cell>
          <cell r="G573" t="str">
            <v>tấn</v>
          </cell>
          <cell r="H573">
            <v>32.409379200000011</v>
          </cell>
          <cell r="I573">
            <v>32.409379200000011</v>
          </cell>
          <cell r="J573">
            <v>32.409379200000011</v>
          </cell>
        </row>
        <row r="574">
          <cell r="B574">
            <v>548</v>
          </cell>
          <cell r="C574">
            <v>22</v>
          </cell>
          <cell r="D574" t="str">
            <v>PC strand (Type 15.2mm)</v>
          </cell>
          <cell r="E574" t="str">
            <v>Tao cáp dự ứng lực (loại 15.2mm)</v>
          </cell>
          <cell r="F574" t="str">
            <v>ton</v>
          </cell>
          <cell r="G574" t="str">
            <v>tấn</v>
          </cell>
          <cell r="H574">
            <v>32.409379200000011</v>
          </cell>
          <cell r="I574">
            <v>32.409379200000011</v>
          </cell>
          <cell r="J574">
            <v>32.409379200000011</v>
          </cell>
        </row>
        <row r="575">
          <cell r="B575">
            <v>549</v>
          </cell>
          <cell r="C575">
            <v>23</v>
          </cell>
          <cell r="D575" t="str">
            <v>Anchorage 15,2mm</v>
          </cell>
          <cell r="E575" t="str">
            <v>Neo 15,2mm</v>
          </cell>
          <cell r="F575" t="str">
            <v>bộ</v>
          </cell>
          <cell r="G575" t="str">
            <v>set</v>
          </cell>
          <cell r="H575">
            <v>192</v>
          </cell>
          <cell r="I575">
            <v>192</v>
          </cell>
          <cell r="J575">
            <v>192</v>
          </cell>
        </row>
        <row r="576">
          <cell r="B576">
            <v>550</v>
          </cell>
          <cell r="C576">
            <v>24</v>
          </cell>
          <cell r="D576" t="str">
            <v>Installation of Duct Cable D85/80mm</v>
          </cell>
          <cell r="E576" t="str">
            <v>Lắp đặt ống luồn cáp D85/80mm</v>
          </cell>
          <cell r="F576" t="str">
            <v>m</v>
          </cell>
          <cell r="G576" t="str">
            <v>m</v>
          </cell>
          <cell r="H576">
            <v>4517.5999999999976</v>
          </cell>
          <cell r="I576">
            <v>4517.5999999999976</v>
          </cell>
          <cell r="J576">
            <v>4517.5999999999976</v>
          </cell>
        </row>
        <row r="577">
          <cell r="B577">
            <v>551</v>
          </cell>
          <cell r="C577">
            <v>25</v>
          </cell>
          <cell r="D577" t="str">
            <v>Inject cement mortar into Duct Cable</v>
          </cell>
          <cell r="E577" t="str">
            <v>Bơm vữa xi măng ống luồn cáp</v>
          </cell>
          <cell r="F577" t="str">
            <v>m³</v>
          </cell>
          <cell r="G577" t="str">
            <v>m³</v>
          </cell>
          <cell r="H577">
            <v>7.5591831774858029</v>
          </cell>
          <cell r="I577">
            <v>7.559183177485802</v>
          </cell>
          <cell r="J577">
            <v>7.559183177485802</v>
          </cell>
        </row>
        <row r="578">
          <cell r="B578">
            <v>552</v>
          </cell>
          <cell r="C578">
            <v>26</v>
          </cell>
          <cell r="D578" t="str">
            <v>Galvanize Rebars Ф =60mm for pier on land</v>
          </cell>
          <cell r="E578" t="str">
            <v xml:space="preserve"> Cốt thép mạ kẽm Ф=60mm trụ trên cạn</v>
          </cell>
          <cell r="F578" t="str">
            <v>ton</v>
          </cell>
          <cell r="G578" t="str">
            <v>tấn</v>
          </cell>
          <cell r="H578">
            <v>6.2213571929606131</v>
          </cell>
          <cell r="I578">
            <v>6.032696700130912</v>
          </cell>
          <cell r="J578">
            <v>6.032696700130912</v>
          </cell>
        </row>
        <row r="579">
          <cell r="B579">
            <v>553</v>
          </cell>
          <cell r="C579">
            <v>27</v>
          </cell>
          <cell r="D579" t="str">
            <v>Rebars Ф =60mm</v>
          </cell>
          <cell r="E579" t="str">
            <v>Cốt thép Ф=60mm</v>
          </cell>
          <cell r="F579" t="str">
            <v>ton</v>
          </cell>
          <cell r="G579" t="str">
            <v>tấn</v>
          </cell>
          <cell r="H579">
            <v>6.2213571929606131</v>
          </cell>
          <cell r="I579">
            <v>6.032696700130912</v>
          </cell>
          <cell r="J579">
            <v>6.032696700130912</v>
          </cell>
        </row>
        <row r="580">
          <cell r="B580">
            <v>554</v>
          </cell>
          <cell r="C580">
            <v>28</v>
          </cell>
          <cell r="D580" t="str">
            <v>Galvanize work of steel</v>
          </cell>
          <cell r="E580" t="str">
            <v>Mạ kẽm cho thép</v>
          </cell>
          <cell r="F580" t="str">
            <v>ton</v>
          </cell>
          <cell r="G580" t="str">
            <v>tấn</v>
          </cell>
          <cell r="H580">
            <v>6.2213571929606131</v>
          </cell>
          <cell r="I580">
            <v>6.032696700130912</v>
          </cell>
          <cell r="J580">
            <v>6.032696700130912</v>
          </cell>
        </row>
        <row r="581">
          <cell r="B581">
            <v>555</v>
          </cell>
          <cell r="C581">
            <v>29</v>
          </cell>
          <cell r="D581" t="str">
            <v>Install steel tube D=61mm, 5mm thick</v>
          </cell>
          <cell r="E581" t="str">
            <v>Lắp đặt ống thép D61, dày 5mm</v>
          </cell>
          <cell r="F581" t="str">
            <v>m</v>
          </cell>
          <cell r="G581" t="str">
            <v>m</v>
          </cell>
          <cell r="H581">
            <v>4.8</v>
          </cell>
          <cell r="I581">
            <v>4.8</v>
          </cell>
          <cell r="J581">
            <v>4.8</v>
          </cell>
        </row>
        <row r="582">
          <cell r="B582">
            <v>556</v>
          </cell>
          <cell r="C582">
            <v>30</v>
          </cell>
          <cell r="D582" t="str">
            <v>Install steel tube D106mm, 5mm thick</v>
          </cell>
          <cell r="E582" t="str">
            <v>Lắp đặt ống thép D106 dày 5mm</v>
          </cell>
          <cell r="F582" t="str">
            <v>m</v>
          </cell>
          <cell r="G582" t="str">
            <v>m</v>
          </cell>
          <cell r="H582">
            <v>4.7999999999999989</v>
          </cell>
          <cell r="I582">
            <v>4.7999999999999989</v>
          </cell>
          <cell r="J582">
            <v>4.7999999999999989</v>
          </cell>
        </row>
        <row r="583">
          <cell r="B583">
            <v>557</v>
          </cell>
          <cell r="C583">
            <v>31</v>
          </cell>
          <cell r="D583" t="str">
            <v>Plate Steel</v>
          </cell>
          <cell r="E583" t="str">
            <v>Thép bản</v>
          </cell>
          <cell r="F583" t="str">
            <v>ton</v>
          </cell>
          <cell r="G583" t="str">
            <v>tấn</v>
          </cell>
          <cell r="H583">
            <v>1.8333952708683352E-2</v>
          </cell>
          <cell r="I583">
            <v>1.8333952708683352E-2</v>
          </cell>
          <cell r="J583">
            <v>1.8333952708683352E-2</v>
          </cell>
        </row>
        <row r="584">
          <cell r="B584">
            <v>558</v>
          </cell>
          <cell r="C584">
            <v>32</v>
          </cell>
          <cell r="D584" t="str">
            <v>20mm thick natural rubber IHRD 53±5</v>
          </cell>
          <cell r="E584" t="str">
            <v>Cao su tự nhiên IHRD 53±5 dày 20mm</v>
          </cell>
          <cell r="F584" t="str">
            <v>m³</v>
          </cell>
          <cell r="G584" t="str">
            <v>m³</v>
          </cell>
          <cell r="H584">
            <v>2.6611803050028419E-2</v>
          </cell>
          <cell r="I584">
            <v>2.6611803050028419E-2</v>
          </cell>
          <cell r="J584">
            <v>2.6611803050028419E-2</v>
          </cell>
        </row>
        <row r="585">
          <cell r="B585">
            <v>559</v>
          </cell>
          <cell r="C585">
            <v>33</v>
          </cell>
          <cell r="D585" t="str">
            <v>Structural excavation</v>
          </cell>
          <cell r="E585" t="str">
            <v>Đào đất hố móng</v>
          </cell>
          <cell r="F585" t="str">
            <v>m³</v>
          </cell>
          <cell r="G585" t="str">
            <v>m³</v>
          </cell>
          <cell r="H585">
            <v>29463.253120000001</v>
          </cell>
          <cell r="I585">
            <v>27857.863670000006</v>
          </cell>
          <cell r="J585">
            <v>27857.863670000006</v>
          </cell>
        </row>
        <row r="586">
          <cell r="B586">
            <v>560</v>
          </cell>
          <cell r="C586">
            <v>34</v>
          </cell>
          <cell r="D586" t="str">
            <v>Structure excavation (without steel-sheet pile)</v>
          </cell>
          <cell r="E586" t="str">
            <v>Đào đất hố móng không có vòng vây</v>
          </cell>
          <cell r="F586" t="str">
            <v>m³</v>
          </cell>
          <cell r="G586" t="str">
            <v>m³</v>
          </cell>
          <cell r="H586">
            <v>24965.953120000002</v>
          </cell>
          <cell r="I586">
            <v>26997.876170000007</v>
          </cell>
          <cell r="J586">
            <v>26997.876170000007</v>
          </cell>
        </row>
        <row r="587">
          <cell r="B587">
            <v>561</v>
          </cell>
          <cell r="C587">
            <v>35</v>
          </cell>
          <cell r="D587" t="str">
            <v>Structure excavation (by machine)</v>
          </cell>
          <cell r="E587" t="str">
            <v>Đào đất hố móng (bằng máy)</v>
          </cell>
          <cell r="F587" t="str">
            <v>m³</v>
          </cell>
          <cell r="G587" t="str">
            <v>m³</v>
          </cell>
          <cell r="H587">
            <v>22469.357808000001</v>
          </cell>
          <cell r="I587">
            <v>24298.088553000005</v>
          </cell>
          <cell r="J587">
            <v>24298.088553000005</v>
          </cell>
        </row>
        <row r="588">
          <cell r="B588">
            <v>562</v>
          </cell>
          <cell r="C588">
            <v>36</v>
          </cell>
          <cell r="D588" t="str">
            <v>Structural Excavation (by manpower)</v>
          </cell>
          <cell r="E588" t="str">
            <v>Đào móng công trình (bằng thủ công)</v>
          </cell>
          <cell r="F588" t="str">
            <v>m³</v>
          </cell>
          <cell r="G588" t="str">
            <v>m³</v>
          </cell>
          <cell r="H588">
            <v>2496.5953120000004</v>
          </cell>
          <cell r="I588">
            <v>2699.7876170000009</v>
          </cell>
          <cell r="J588">
            <v>2699.7876170000009</v>
          </cell>
        </row>
        <row r="589">
          <cell r="B589">
            <v>563</v>
          </cell>
          <cell r="C589">
            <v>37</v>
          </cell>
          <cell r="D589" t="str">
            <v>Hauling of Excavated Material (Tem. distance 5km)</v>
          </cell>
          <cell r="E589" t="str">
            <v>Vận chuyển đất đào đi đổ (Cự ly tạm tính 5km)</v>
          </cell>
          <cell r="F589" t="str">
            <v>m³</v>
          </cell>
          <cell r="G589" t="str">
            <v>m³</v>
          </cell>
          <cell r="H589">
            <v>6395.6100000000042</v>
          </cell>
          <cell r="I589">
            <v>9253.8354720000025</v>
          </cell>
          <cell r="J589">
            <v>9253.8354720000025</v>
          </cell>
        </row>
        <row r="590">
          <cell r="B590">
            <v>564</v>
          </cell>
          <cell r="C590">
            <v>38</v>
          </cell>
          <cell r="D590" t="str">
            <v>Structure excavation (with steel-sheet pile)</v>
          </cell>
          <cell r="E590" t="str">
            <v>Đào đất hố móng có vòng vây</v>
          </cell>
          <cell r="F590" t="str">
            <v>m³</v>
          </cell>
          <cell r="G590" t="str">
            <v>m³</v>
          </cell>
          <cell r="H590">
            <v>4497.3</v>
          </cell>
          <cell r="I590">
            <v>859.98749999999995</v>
          </cell>
          <cell r="J590">
            <v>859.98749999999995</v>
          </cell>
        </row>
        <row r="591">
          <cell r="B591">
            <v>565</v>
          </cell>
          <cell r="C591">
            <v>39</v>
          </cell>
          <cell r="D591" t="str">
            <v>Structure excavation (by machine)</v>
          </cell>
          <cell r="E591" t="str">
            <v>Đào đất hố móng (bằng máy)</v>
          </cell>
          <cell r="F591" t="str">
            <v>m³</v>
          </cell>
          <cell r="G591" t="str">
            <v>m³</v>
          </cell>
          <cell r="H591">
            <v>4047.57</v>
          </cell>
          <cell r="I591">
            <v>773.98874999999998</v>
          </cell>
          <cell r="J591">
            <v>773.98874999999998</v>
          </cell>
        </row>
        <row r="592">
          <cell r="B592">
            <v>566</v>
          </cell>
          <cell r="C592">
            <v>40</v>
          </cell>
          <cell r="D592" t="str">
            <v>Structural Excavation (by manpower)</v>
          </cell>
          <cell r="E592" t="str">
            <v>Đào móng công trình (bằng thủ công)</v>
          </cell>
          <cell r="F592" t="str">
            <v>m³</v>
          </cell>
          <cell r="G592" t="str">
            <v>m³</v>
          </cell>
          <cell r="H592">
            <v>449.73</v>
          </cell>
          <cell r="I592">
            <v>85.998750000000001</v>
          </cell>
          <cell r="J592">
            <v>85.998750000000001</v>
          </cell>
        </row>
        <row r="593">
          <cell r="B593">
            <v>567</v>
          </cell>
          <cell r="C593">
            <v>41</v>
          </cell>
          <cell r="D593" t="str">
            <v xml:space="preserve">Driven sheet pile on land </v>
          </cell>
          <cell r="E593" t="str">
            <v>Đóng cọc ván thép trên cạn</v>
          </cell>
          <cell r="F593" t="str">
            <v>m</v>
          </cell>
          <cell r="G593" t="str">
            <v>m</v>
          </cell>
          <cell r="H593">
            <v>6776</v>
          </cell>
          <cell r="I593">
            <v>4200</v>
          </cell>
          <cell r="J593">
            <v>4200</v>
          </cell>
        </row>
        <row r="594">
          <cell r="B594">
            <v>568</v>
          </cell>
          <cell r="C594">
            <v>42</v>
          </cell>
          <cell r="D594" t="str">
            <v>Extract Steel Sheet Pile on land</v>
          </cell>
          <cell r="E594" t="str">
            <v>Nhổ cọc ván thép trên cạn</v>
          </cell>
          <cell r="F594" t="str">
            <v>m</v>
          </cell>
          <cell r="G594" t="str">
            <v>m</v>
          </cell>
          <cell r="H594">
            <v>6776</v>
          </cell>
          <cell r="I594">
            <v>4200</v>
          </cell>
          <cell r="J594">
            <v>4200</v>
          </cell>
        </row>
        <row r="595">
          <cell r="B595">
            <v>569</v>
          </cell>
          <cell r="C595">
            <v>43</v>
          </cell>
          <cell r="D595" t="str">
            <v>Fabrication of supporting belt frame of steel sheet pile</v>
          </cell>
          <cell r="E595" t="str">
            <v>Gia công hệ khung chống cọc ván thép</v>
          </cell>
          <cell r="F595" t="str">
            <v>ton</v>
          </cell>
          <cell r="G595" t="str">
            <v>tấn</v>
          </cell>
          <cell r="H595">
            <v>13.72784</v>
          </cell>
          <cell r="I595">
            <v>13.72784</v>
          </cell>
          <cell r="J595">
            <v>13.72784</v>
          </cell>
        </row>
        <row r="596">
          <cell r="B596">
            <v>570</v>
          </cell>
          <cell r="C596">
            <v>44</v>
          </cell>
          <cell r="D596" t="str">
            <v>Install and remove supporting belt frame</v>
          </cell>
          <cell r="E596" t="str">
            <v>Lắp dựng và tháo dỡ hệ khung chống</v>
          </cell>
          <cell r="F596" t="str">
            <v>ton</v>
          </cell>
          <cell r="G596" t="str">
            <v>tấn</v>
          </cell>
          <cell r="H596">
            <v>34.319600000000001</v>
          </cell>
          <cell r="I596">
            <v>20.591760000000001</v>
          </cell>
          <cell r="J596">
            <v>20.591760000000001</v>
          </cell>
        </row>
        <row r="597">
          <cell r="B597">
            <v>571</v>
          </cell>
          <cell r="C597">
            <v>45</v>
          </cell>
          <cell r="D597" t="str">
            <v>Hauling of Excavated Material (Tem. distance 5km)</v>
          </cell>
          <cell r="E597" t="str">
            <v>Vận chuyển đất đào đi đổ (Cự ly tạm tính 5km)</v>
          </cell>
          <cell r="F597" t="str">
            <v>m³</v>
          </cell>
          <cell r="G597" t="str">
            <v>m³</v>
          </cell>
          <cell r="H597">
            <v>4497.3</v>
          </cell>
          <cell r="I597">
            <v>859.98749999999995</v>
          </cell>
          <cell r="J597">
            <v>859.98749999999995</v>
          </cell>
        </row>
        <row r="598">
          <cell r="B598">
            <v>572</v>
          </cell>
          <cell r="C598">
            <v>46</v>
          </cell>
          <cell r="D598" t="str">
            <v>Structural backfill</v>
          </cell>
          <cell r="E598" t="str">
            <v>Đắp đất hố móng</v>
          </cell>
          <cell r="F598" t="str">
            <v>m³</v>
          </cell>
          <cell r="G598" t="str">
            <v>m³</v>
          </cell>
          <cell r="H598">
            <v>18570.343119999998</v>
          </cell>
          <cell r="I598">
            <v>17744.040698000004</v>
          </cell>
          <cell r="J598">
            <v>17744.040698000004</v>
          </cell>
        </row>
        <row r="599">
          <cell r="B599">
            <v>573</v>
          </cell>
          <cell r="C599">
            <v>47</v>
          </cell>
          <cell r="D599" t="str">
            <v>Structure back filling by hand tamper K95</v>
          </cell>
          <cell r="E599" t="str">
            <v>Đắp trả hố móng bằng đầm cóc K95</v>
          </cell>
          <cell r="F599" t="str">
            <v>m³</v>
          </cell>
          <cell r="G599" t="str">
            <v>m³</v>
          </cell>
          <cell r="H599">
            <v>1857.0343119999998</v>
          </cell>
          <cell r="I599">
            <v>1774.4040698000006</v>
          </cell>
          <cell r="J599">
            <v>1774.4040698000006</v>
          </cell>
        </row>
        <row r="600">
          <cell r="B600">
            <v>574</v>
          </cell>
          <cell r="C600">
            <v>48</v>
          </cell>
          <cell r="D600" t="str">
            <v>Structure back filling by tire roller K95</v>
          </cell>
          <cell r="E600" t="str">
            <v>Đắp trả hố móng bằng máy đầm K95</v>
          </cell>
          <cell r="F600" t="str">
            <v>m³</v>
          </cell>
          <cell r="G600" t="str">
            <v>m³</v>
          </cell>
          <cell r="H600">
            <v>16713.308807999998</v>
          </cell>
          <cell r="I600">
            <v>15969.636628200004</v>
          </cell>
          <cell r="J600">
            <v>15969.636628200004</v>
          </cell>
        </row>
        <row r="601">
          <cell r="B601">
            <v>575</v>
          </cell>
          <cell r="C601">
            <v>49</v>
          </cell>
          <cell r="D601" t="str">
            <v>Bedding concrete C10</v>
          </cell>
          <cell r="E601" t="str">
            <v>Bê tông C10 lót móng</v>
          </cell>
          <cell r="F601" t="str">
            <v>m³</v>
          </cell>
          <cell r="G601" t="str">
            <v>m³</v>
          </cell>
          <cell r="H601">
            <v>663.43200000000013</v>
          </cell>
          <cell r="I601">
            <v>731.80799999999988</v>
          </cell>
          <cell r="J601">
            <v>731.80799999999988</v>
          </cell>
        </row>
        <row r="602">
          <cell r="B602">
            <v>576</v>
          </cell>
          <cell r="C602">
            <v>50</v>
          </cell>
          <cell r="D602" t="str">
            <v>Bedding concrete C10</v>
          </cell>
          <cell r="E602" t="str">
            <v>Bê tông C10 lót móng</v>
          </cell>
          <cell r="F602" t="str">
            <v>m³</v>
          </cell>
          <cell r="G602" t="str">
            <v>m³</v>
          </cell>
          <cell r="H602">
            <v>663.43200000000013</v>
          </cell>
          <cell r="I602">
            <v>731.80799999999988</v>
          </cell>
          <cell r="J602">
            <v>731.80799999999988</v>
          </cell>
        </row>
        <row r="603">
          <cell r="B603">
            <v>577</v>
          </cell>
          <cell r="C603">
            <v>51</v>
          </cell>
          <cell r="D603" t="str">
            <v>Fabricate ready 50 m³/h mixed concrete</v>
          </cell>
          <cell r="E603" t="str">
            <v>Sản xuất vữa bê tông trạm trộn 50m³/h</v>
          </cell>
          <cell r="F603" t="str">
            <v>m³</v>
          </cell>
          <cell r="G603" t="str">
            <v>m³</v>
          </cell>
          <cell r="H603">
            <v>683.33496000000014</v>
          </cell>
          <cell r="I603">
            <v>753.76223999999991</v>
          </cell>
          <cell r="J603">
            <v>753.76223999999991</v>
          </cell>
        </row>
        <row r="604">
          <cell r="B604">
            <v>578</v>
          </cell>
          <cell r="C604">
            <v>52</v>
          </cell>
          <cell r="D604" t="str">
            <v>Transport ready mixed concrete distance 0,5km</v>
          </cell>
          <cell r="E604" t="str">
            <v>Vận chuyển bê tông cự ly 0,5km</v>
          </cell>
          <cell r="F604" t="str">
            <v>m³</v>
          </cell>
          <cell r="G604" t="str">
            <v>m³</v>
          </cell>
          <cell r="H604">
            <v>683.33496000000014</v>
          </cell>
          <cell r="I604">
            <v>753.76223999999991</v>
          </cell>
          <cell r="J604">
            <v>753.76223999999991</v>
          </cell>
        </row>
        <row r="605">
          <cell r="B605">
            <v>579</v>
          </cell>
          <cell r="C605">
            <v>53</v>
          </cell>
          <cell r="D605" t="str">
            <v>Sealing Concrete C20</v>
          </cell>
          <cell r="E605" t="str">
            <v>Bê tông bịt đáy C20</v>
          </cell>
          <cell r="F605" t="str">
            <v>m³</v>
          </cell>
          <cell r="G605" t="str">
            <v>m³</v>
          </cell>
          <cell r="H605">
            <v>577.125</v>
          </cell>
          <cell r="I605">
            <v>121</v>
          </cell>
          <cell r="J605">
            <v>121</v>
          </cell>
        </row>
        <row r="606">
          <cell r="B606">
            <v>580</v>
          </cell>
          <cell r="C606">
            <v>54</v>
          </cell>
          <cell r="D606" t="str">
            <v>Sealing Concrete C20</v>
          </cell>
          <cell r="E606" t="str">
            <v>Bê tông bịt đáy C20</v>
          </cell>
          <cell r="F606" t="str">
            <v>m³</v>
          </cell>
          <cell r="G606" t="str">
            <v>m³</v>
          </cell>
          <cell r="H606">
            <v>577.125</v>
          </cell>
          <cell r="I606">
            <v>121</v>
          </cell>
          <cell r="J606">
            <v>121</v>
          </cell>
        </row>
        <row r="607">
          <cell r="B607">
            <v>581</v>
          </cell>
          <cell r="C607">
            <v>55</v>
          </cell>
          <cell r="D607" t="str">
            <v>Fabricate ready 50 m³/h mixed concrete</v>
          </cell>
          <cell r="E607" t="str">
            <v>Sản xuất vữa bê tông trạm trộn 50m³/h</v>
          </cell>
          <cell r="F607" t="str">
            <v>m³</v>
          </cell>
          <cell r="G607" t="str">
            <v>m³</v>
          </cell>
          <cell r="H607">
            <v>594.43875000000003</v>
          </cell>
          <cell r="I607">
            <v>124.63000000000001</v>
          </cell>
          <cell r="J607">
            <v>124.63000000000001</v>
          </cell>
        </row>
        <row r="608">
          <cell r="B608">
            <v>582</v>
          </cell>
          <cell r="C608">
            <v>56</v>
          </cell>
          <cell r="D608" t="str">
            <v>Transport ready mixed concrete distance 0,5km</v>
          </cell>
          <cell r="E608" t="str">
            <v>Vận chuyển bê tông cự ly 0,5km</v>
          </cell>
          <cell r="F608" t="str">
            <v>m³</v>
          </cell>
          <cell r="G608" t="str">
            <v>m³</v>
          </cell>
          <cell r="H608">
            <v>594.43875000000003</v>
          </cell>
          <cell r="I608">
            <v>124.63000000000001</v>
          </cell>
          <cell r="J608">
            <v>124.63000000000001</v>
          </cell>
        </row>
        <row r="609">
          <cell r="B609">
            <v>583</v>
          </cell>
          <cell r="D609" t="str">
            <v>Cast - in-Place Bored  Pile D1500mm (Pier on land)</v>
          </cell>
          <cell r="E609" t="str">
            <v>Cọc khoan nhồi D1500mm trụ cầu trên cạn</v>
          </cell>
          <cell r="J609">
            <v>0</v>
          </cell>
        </row>
        <row r="610">
          <cell r="B610">
            <v>584</v>
          </cell>
          <cell r="C610">
            <v>1</v>
          </cell>
          <cell r="D610" t="str">
            <v>Cast - in-Place Bored  Pile D1500mm (on land)</v>
          </cell>
          <cell r="E610" t="str">
            <v>Cọc khoan nhồi D1500mm trên cạn</v>
          </cell>
          <cell r="F610" t="str">
            <v>lm</v>
          </cell>
          <cell r="G610" t="str">
            <v>md</v>
          </cell>
          <cell r="H610">
            <v>17004</v>
          </cell>
          <cell r="I610">
            <v>18424</v>
          </cell>
          <cell r="J610">
            <v>18424</v>
          </cell>
        </row>
        <row r="611">
          <cell r="B611">
            <v>585</v>
          </cell>
          <cell r="D611" t="str">
            <v>3. Pier on river</v>
          </cell>
          <cell r="E611" t="str">
            <v>3. Trụ  dưới nước</v>
          </cell>
          <cell r="J611">
            <v>0</v>
          </cell>
        </row>
        <row r="612">
          <cell r="B612">
            <v>586</v>
          </cell>
          <cell r="C612">
            <v>1</v>
          </cell>
          <cell r="D612" t="str">
            <v>Concrete C40 of pier on river</v>
          </cell>
          <cell r="E612" t="str">
            <v>Bê tông C40 trụ dưới nước</v>
          </cell>
          <cell r="F612" t="str">
            <v>m³</v>
          </cell>
          <cell r="G612" t="str">
            <v>m³</v>
          </cell>
          <cell r="H612">
            <v>291.72329999999999</v>
          </cell>
          <cell r="I612">
            <v>0</v>
          </cell>
          <cell r="J612">
            <v>0</v>
          </cell>
        </row>
        <row r="613">
          <cell r="B613">
            <v>587</v>
          </cell>
          <cell r="C613">
            <v>2</v>
          </cell>
          <cell r="D613" t="str">
            <v>Concrete C40 for pier headstock on river</v>
          </cell>
          <cell r="E613" t="str">
            <v>Bê tông C40 xà mũ trụ dưới nước</v>
          </cell>
          <cell r="F613" t="str">
            <v>m³</v>
          </cell>
          <cell r="G613" t="str">
            <v>m³</v>
          </cell>
          <cell r="H613">
            <v>291.72329999999999</v>
          </cell>
          <cell r="I613">
            <v>0</v>
          </cell>
          <cell r="J613">
            <v>0</v>
          </cell>
        </row>
        <row r="614">
          <cell r="B614">
            <v>588</v>
          </cell>
          <cell r="C614">
            <v>3</v>
          </cell>
          <cell r="D614" t="str">
            <v>Fabricate ready 50 m³/h mixed concrete</v>
          </cell>
          <cell r="E614" t="str">
            <v>Sản xuất vữa bê tông trạm trộn 50m³/h</v>
          </cell>
          <cell r="F614" t="str">
            <v>m³</v>
          </cell>
          <cell r="G614" t="str">
            <v>m³</v>
          </cell>
          <cell r="H614">
            <v>299.01638249999996</v>
          </cell>
          <cell r="I614">
            <v>0</v>
          </cell>
          <cell r="J614">
            <v>0</v>
          </cell>
        </row>
        <row r="615">
          <cell r="B615">
            <v>589</v>
          </cell>
          <cell r="C615">
            <v>4</v>
          </cell>
          <cell r="D615" t="str">
            <v>Transport ready mixed concrete distance 0,5km</v>
          </cell>
          <cell r="E615" t="str">
            <v>Vận chuyển bê tông cự ly 0,5km</v>
          </cell>
          <cell r="F615" t="str">
            <v>m³</v>
          </cell>
          <cell r="G615" t="str">
            <v>m³</v>
          </cell>
          <cell r="H615">
            <v>299.01638249999996</v>
          </cell>
          <cell r="I615">
            <v>0</v>
          </cell>
          <cell r="J615">
            <v>0</v>
          </cell>
        </row>
        <row r="616">
          <cell r="B616">
            <v>590</v>
          </cell>
          <cell r="C616">
            <v>5</v>
          </cell>
          <cell r="D616" t="str">
            <v>Steel formwork for pier on river</v>
          </cell>
          <cell r="E616" t="str">
            <v>Ván khuôn kim loại trụ cầu dưới nước</v>
          </cell>
          <cell r="F616" t="str">
            <v>m²</v>
          </cell>
          <cell r="G616" t="str">
            <v>m²</v>
          </cell>
          <cell r="H616">
            <v>417.56399999999996</v>
          </cell>
          <cell r="I616">
            <v>0</v>
          </cell>
          <cell r="J616">
            <v>0</v>
          </cell>
        </row>
        <row r="617">
          <cell r="B617">
            <v>591</v>
          </cell>
          <cell r="C617">
            <v>6</v>
          </cell>
          <cell r="D617" t="str">
            <v>Fabrication for scaffolding system</v>
          </cell>
          <cell r="E617" t="str">
            <v xml:space="preserve">Sản xuất hệ đà giáo </v>
          </cell>
          <cell r="F617" t="str">
            <v>ton</v>
          </cell>
          <cell r="G617" t="str">
            <v>tấn</v>
          </cell>
          <cell r="H617">
            <v>61.39914095040001</v>
          </cell>
          <cell r="I617">
            <v>0</v>
          </cell>
          <cell r="J617">
            <v>0</v>
          </cell>
        </row>
        <row r="618">
          <cell r="B618">
            <v>592</v>
          </cell>
          <cell r="C618">
            <v>7</v>
          </cell>
          <cell r="D618" t="str">
            <v>Install and Remove scaffolding system</v>
          </cell>
          <cell r="E618" t="str">
            <v>Lắp dựng và tháo dỡ đà giáo dưới nước</v>
          </cell>
          <cell r="F618" t="str">
            <v>ton</v>
          </cell>
          <cell r="G618" t="str">
            <v>tấn</v>
          </cell>
          <cell r="H618">
            <v>61.39914095040001</v>
          </cell>
          <cell r="I618">
            <v>0</v>
          </cell>
          <cell r="J618">
            <v>0</v>
          </cell>
        </row>
        <row r="619">
          <cell r="B619">
            <v>593</v>
          </cell>
          <cell r="C619">
            <v>8</v>
          </cell>
          <cell r="D619" t="str">
            <v>Concrete C30 of pier on river</v>
          </cell>
          <cell r="E619" t="str">
            <v>Bê tông mố, trụ C30 dưới nước</v>
          </cell>
          <cell r="F619" t="str">
            <v>m³</v>
          </cell>
          <cell r="G619" t="str">
            <v>m³</v>
          </cell>
          <cell r="H619">
            <v>2479.61</v>
          </cell>
          <cell r="I619">
            <v>0</v>
          </cell>
          <cell r="J619">
            <v>0</v>
          </cell>
        </row>
        <row r="620">
          <cell r="B620">
            <v>594</v>
          </cell>
          <cell r="C620">
            <v>9</v>
          </cell>
          <cell r="D620" t="str">
            <v>Concrete C30 for column and pile cap pier on river</v>
          </cell>
          <cell r="E620" t="str">
            <v>Bê tông C30 móng, thân trụ dưới nước</v>
          </cell>
          <cell r="F620" t="str">
            <v>m³</v>
          </cell>
          <cell r="G620" t="str">
            <v>m³</v>
          </cell>
          <cell r="H620">
            <v>2479.61</v>
          </cell>
          <cell r="I620">
            <v>0</v>
          </cell>
          <cell r="J620">
            <v>0</v>
          </cell>
        </row>
        <row r="621">
          <cell r="B621">
            <v>595</v>
          </cell>
          <cell r="C621">
            <v>10</v>
          </cell>
          <cell r="D621" t="str">
            <v>Fabricate ready 50 m³/h mixed concrete</v>
          </cell>
          <cell r="E621" t="str">
            <v>Sản xuất vữa bê tông trạm trộn 50m³/h</v>
          </cell>
          <cell r="F621" t="str">
            <v>m³</v>
          </cell>
          <cell r="G621" t="str">
            <v>m³</v>
          </cell>
          <cell r="H621">
            <v>2541.60025</v>
          </cell>
          <cell r="I621">
            <v>0</v>
          </cell>
          <cell r="J621">
            <v>0</v>
          </cell>
        </row>
        <row r="622">
          <cell r="B622">
            <v>596</v>
          </cell>
          <cell r="C622">
            <v>11</v>
          </cell>
          <cell r="D622" t="str">
            <v>Transport ready mixed concrete distance 0,5km</v>
          </cell>
          <cell r="E622" t="str">
            <v>Vận chuyển bê tông cự ly 0,5km</v>
          </cell>
          <cell r="F622" t="str">
            <v>m³</v>
          </cell>
          <cell r="G622" t="str">
            <v>m³</v>
          </cell>
          <cell r="H622">
            <v>2541.60025</v>
          </cell>
          <cell r="I622">
            <v>0</v>
          </cell>
          <cell r="J622">
            <v>0</v>
          </cell>
        </row>
        <row r="623">
          <cell r="B623">
            <v>597</v>
          </cell>
          <cell r="C623">
            <v>12</v>
          </cell>
          <cell r="D623" t="str">
            <v>Steel formwork column and pile cap pier on river</v>
          </cell>
          <cell r="E623" t="str">
            <v>Ván khuôn kim loại móng, thân trụ dưới nước</v>
          </cell>
          <cell r="F623" t="str">
            <v>m²</v>
          </cell>
          <cell r="G623" t="str">
            <v>m²</v>
          </cell>
          <cell r="H623">
            <v>665.55600000000004</v>
          </cell>
          <cell r="I623">
            <v>0</v>
          </cell>
          <cell r="J623">
            <v>0</v>
          </cell>
        </row>
        <row r="624">
          <cell r="B624">
            <v>598</v>
          </cell>
          <cell r="C624">
            <v>13</v>
          </cell>
          <cell r="D624" t="str">
            <v>Fabrication for scaffolding system</v>
          </cell>
          <cell r="E624" t="str">
            <v>Gia công thép hình, thép bản cho đà giáo</v>
          </cell>
          <cell r="F624" t="str">
            <v>ton</v>
          </cell>
          <cell r="G624" t="str">
            <v>tấn</v>
          </cell>
          <cell r="H624">
            <v>31.588907380800002</v>
          </cell>
          <cell r="I624">
            <v>0</v>
          </cell>
          <cell r="J624">
            <v>0</v>
          </cell>
        </row>
        <row r="625">
          <cell r="B625">
            <v>599</v>
          </cell>
          <cell r="C625">
            <v>14</v>
          </cell>
          <cell r="D625" t="str">
            <v>Install and Remove scaffolding system</v>
          </cell>
          <cell r="E625" t="str">
            <v>Lắp dựng và tháo dỡ đà giáo</v>
          </cell>
          <cell r="F625" t="str">
            <v>ton</v>
          </cell>
          <cell r="G625" t="str">
            <v>tấn</v>
          </cell>
          <cell r="H625">
            <v>31.588907380800002</v>
          </cell>
          <cell r="I625">
            <v>0</v>
          </cell>
          <cell r="J625">
            <v>0</v>
          </cell>
        </row>
        <row r="626">
          <cell r="B626">
            <v>600</v>
          </cell>
          <cell r="C626">
            <v>15</v>
          </cell>
          <cell r="D626" t="str">
            <v>Fabrication for Shape steel of notch support</v>
          </cell>
          <cell r="E626" t="str">
            <v>Gia công thép hình hệ đỡ tấm BT đúc sẵn</v>
          </cell>
          <cell r="F626" t="str">
            <v>ton</v>
          </cell>
          <cell r="G626" t="str">
            <v>tấn</v>
          </cell>
          <cell r="H626">
            <v>92.699999999999989</v>
          </cell>
          <cell r="I626">
            <v>0</v>
          </cell>
          <cell r="J626">
            <v>0</v>
          </cell>
        </row>
        <row r="627">
          <cell r="B627">
            <v>601</v>
          </cell>
          <cell r="C627">
            <v>16</v>
          </cell>
          <cell r="D627" t="str">
            <v>Install for shape steel of notch support</v>
          </cell>
          <cell r="E627" t="str">
            <v>Lắp dựng thép hình hệ đỡ tấm BT đúc sẵn</v>
          </cell>
          <cell r="F627" t="str">
            <v>ton</v>
          </cell>
          <cell r="G627" t="str">
            <v>tấn</v>
          </cell>
          <cell r="H627">
            <v>92.699999999999989</v>
          </cell>
          <cell r="I627">
            <v>0</v>
          </cell>
          <cell r="J627">
            <v>0</v>
          </cell>
        </row>
        <row r="628">
          <cell r="B628">
            <v>602</v>
          </cell>
          <cell r="C628">
            <v>17</v>
          </cell>
          <cell r="D628" t="str">
            <v>Rebars for pier on river, Ф ≤ 18</v>
          </cell>
          <cell r="E628" t="str">
            <v>Cốt thép trụ dưới nước, Ф ≤ 18</v>
          </cell>
          <cell r="F628" t="str">
            <v>ton</v>
          </cell>
          <cell r="G628" t="str">
            <v>tấn</v>
          </cell>
          <cell r="H628">
            <v>87.860400000000027</v>
          </cell>
          <cell r="I628">
            <v>0</v>
          </cell>
          <cell r="J628">
            <v>0</v>
          </cell>
        </row>
        <row r="629">
          <cell r="B629">
            <v>603</v>
          </cell>
          <cell r="C629">
            <v>18</v>
          </cell>
          <cell r="D629" t="str">
            <v>Rebars for pier on river, Ф &gt; 18</v>
          </cell>
          <cell r="E629" t="str">
            <v>Cốt thép trụ dưới nước, Ф &gt; 18</v>
          </cell>
          <cell r="F629" t="str">
            <v>ton</v>
          </cell>
          <cell r="G629" t="str">
            <v>tấn</v>
          </cell>
          <cell r="H629">
            <v>380.46929999999998</v>
          </cell>
          <cell r="I629">
            <v>0</v>
          </cell>
          <cell r="J629">
            <v>0</v>
          </cell>
        </row>
        <row r="630">
          <cell r="B630">
            <v>604</v>
          </cell>
          <cell r="C630">
            <v>19</v>
          </cell>
          <cell r="D630" t="str">
            <v>Rebars for pier on river, Ф &gt; 18</v>
          </cell>
          <cell r="E630" t="str">
            <v>Cốt thép trụ dưới nước, Ф &gt; 18</v>
          </cell>
          <cell r="F630" t="str">
            <v>ton</v>
          </cell>
          <cell r="G630" t="str">
            <v>tấn</v>
          </cell>
          <cell r="H630">
            <v>380.46929999999998</v>
          </cell>
          <cell r="I630">
            <v>0</v>
          </cell>
          <cell r="J630">
            <v>0</v>
          </cell>
        </row>
        <row r="631">
          <cell r="B631">
            <v>605</v>
          </cell>
          <cell r="C631">
            <v>20</v>
          </cell>
          <cell r="D631" t="str">
            <v>Coupler D32</v>
          </cell>
          <cell r="E631" t="str">
            <v>Bộ nối cốt thép D32</v>
          </cell>
          <cell r="F631" t="str">
            <v>bộ</v>
          </cell>
          <cell r="G631" t="str">
            <v>set</v>
          </cell>
          <cell r="H631">
            <v>0</v>
          </cell>
          <cell r="I631">
            <v>0</v>
          </cell>
          <cell r="J631">
            <v>0</v>
          </cell>
        </row>
        <row r="632">
          <cell r="B632">
            <v>606</v>
          </cell>
          <cell r="C632">
            <v>21</v>
          </cell>
          <cell r="D632" t="str">
            <v>Coupler D36</v>
          </cell>
          <cell r="E632" t="str">
            <v>Bộ nối cốt thép D36</v>
          </cell>
          <cell r="F632" t="str">
            <v>bộ</v>
          </cell>
          <cell r="G632" t="str">
            <v>set</v>
          </cell>
          <cell r="H632">
            <v>1644</v>
          </cell>
          <cell r="I632">
            <v>0</v>
          </cell>
          <cell r="J632">
            <v>0</v>
          </cell>
        </row>
        <row r="633">
          <cell r="B633">
            <v>607</v>
          </cell>
          <cell r="C633">
            <v>22</v>
          </cell>
          <cell r="D633" t="str">
            <v>Coupler D40</v>
          </cell>
          <cell r="E633" t="str">
            <v>Bộ nối cốt thép D40</v>
          </cell>
          <cell r="F633" t="str">
            <v>bộ</v>
          </cell>
          <cell r="G633" t="str">
            <v>set</v>
          </cell>
          <cell r="H633">
            <v>0</v>
          </cell>
          <cell r="I633">
            <v>0</v>
          </cell>
          <cell r="J633">
            <v>0</v>
          </cell>
        </row>
        <row r="634">
          <cell r="B634">
            <v>608</v>
          </cell>
          <cell r="C634">
            <v>23</v>
          </cell>
          <cell r="D634" t="str">
            <v>Tao cáp dự ứng lực (loại 15.2mm)</v>
          </cell>
          <cell r="E634" t="str">
            <v>PC strand (Type 15.2mm)</v>
          </cell>
          <cell r="F634" t="str">
            <v>ton</v>
          </cell>
          <cell r="G634" t="str">
            <v>tấn</v>
          </cell>
          <cell r="H634">
            <v>4.0513046400000006</v>
          </cell>
          <cell r="I634">
            <v>0</v>
          </cell>
          <cell r="J634">
            <v>0</v>
          </cell>
        </row>
        <row r="635">
          <cell r="B635">
            <v>609</v>
          </cell>
          <cell r="C635">
            <v>24</v>
          </cell>
          <cell r="D635" t="str">
            <v>Tao cáp dự ứng lực (loại 15.2mm)</v>
          </cell>
          <cell r="E635" t="str">
            <v>PC strand (Type 15.2mm)</v>
          </cell>
          <cell r="F635" t="str">
            <v>ton</v>
          </cell>
          <cell r="G635" t="str">
            <v>tấn</v>
          </cell>
          <cell r="H635">
            <v>4.0513046400000006</v>
          </cell>
          <cell r="I635">
            <v>0</v>
          </cell>
          <cell r="J635">
            <v>0</v>
          </cell>
        </row>
        <row r="636">
          <cell r="B636">
            <v>610</v>
          </cell>
          <cell r="C636">
            <v>25</v>
          </cell>
          <cell r="D636" t="str">
            <v>Anchorage 15,2mm</v>
          </cell>
          <cell r="E636" t="str">
            <v>Neo 15,2mm</v>
          </cell>
          <cell r="F636" t="str">
            <v>bộ</v>
          </cell>
          <cell r="G636" t="str">
            <v>set</v>
          </cell>
          <cell r="H636">
            <v>24</v>
          </cell>
          <cell r="I636">
            <v>0</v>
          </cell>
          <cell r="J636">
            <v>0</v>
          </cell>
        </row>
        <row r="637">
          <cell r="B637">
            <v>611</v>
          </cell>
          <cell r="C637">
            <v>26</v>
          </cell>
          <cell r="D637" t="str">
            <v>Installation of Duct Cable D85/80mm</v>
          </cell>
          <cell r="E637" t="str">
            <v>Lắp đặt ống luồn cáp D85/80mm</v>
          </cell>
          <cell r="F637" t="str">
            <v>m</v>
          </cell>
          <cell r="G637" t="str">
            <v>m</v>
          </cell>
          <cell r="H637">
            <v>564.72</v>
          </cell>
          <cell r="I637">
            <v>0</v>
          </cell>
          <cell r="J637">
            <v>0</v>
          </cell>
        </row>
        <row r="638">
          <cell r="B638">
            <v>612</v>
          </cell>
          <cell r="C638">
            <v>27</v>
          </cell>
          <cell r="D638" t="str">
            <v>Inject cement mortar into Duct Cable</v>
          </cell>
          <cell r="E638" t="str">
            <v>Bơm vữa xi măng ống luồn cáp</v>
          </cell>
          <cell r="F638" t="str">
            <v>m³</v>
          </cell>
          <cell r="G638" t="str">
            <v>m³</v>
          </cell>
          <cell r="H638">
            <v>0.94493136266818234</v>
          </cell>
          <cell r="I638">
            <v>0</v>
          </cell>
          <cell r="J638">
            <v>0</v>
          </cell>
        </row>
        <row r="639">
          <cell r="B639">
            <v>613</v>
          </cell>
          <cell r="C639">
            <v>28</v>
          </cell>
          <cell r="D639" t="str">
            <v>Galvanize Rebars Ф =60mm</v>
          </cell>
          <cell r="E639" t="str">
            <v xml:space="preserve">Cốt thép Ф=60mm mạ kẽm </v>
          </cell>
          <cell r="F639" t="str">
            <v>ton</v>
          </cell>
          <cell r="G639" t="str">
            <v>tấn</v>
          </cell>
          <cell r="H639">
            <v>0.63256753478193872</v>
          </cell>
          <cell r="I639">
            <v>0</v>
          </cell>
          <cell r="J639">
            <v>0</v>
          </cell>
        </row>
        <row r="640">
          <cell r="B640">
            <v>614</v>
          </cell>
          <cell r="C640">
            <v>29</v>
          </cell>
          <cell r="D640" t="str">
            <v>Rebars Ф =60mm</v>
          </cell>
          <cell r="E640" t="str">
            <v>Cốt thép Ф=60mm</v>
          </cell>
          <cell r="F640" t="str">
            <v>ton</v>
          </cell>
          <cell r="G640" t="str">
            <v>tấn</v>
          </cell>
          <cell r="H640">
            <v>0.63256753478193872</v>
          </cell>
          <cell r="I640">
            <v>0</v>
          </cell>
          <cell r="J640">
            <v>0</v>
          </cell>
        </row>
        <row r="641">
          <cell r="B641">
            <v>615</v>
          </cell>
          <cell r="C641">
            <v>30</v>
          </cell>
          <cell r="D641" t="str">
            <v>Galvanize work of steel</v>
          </cell>
          <cell r="E641" t="str">
            <v>Mạ kẽm cho thép</v>
          </cell>
          <cell r="F641" t="str">
            <v>ton</v>
          </cell>
          <cell r="G641" t="str">
            <v>tấn</v>
          </cell>
          <cell r="H641">
            <v>0.63256753478193872</v>
          </cell>
          <cell r="I641">
            <v>0</v>
          </cell>
          <cell r="J641">
            <v>0</v>
          </cell>
        </row>
        <row r="642">
          <cell r="B642">
            <v>616</v>
          </cell>
          <cell r="C642">
            <v>31</v>
          </cell>
          <cell r="D642" t="str">
            <v>Precast Concrete Plank</v>
          </cell>
          <cell r="E642" t="str">
            <v>Tấm đan bê tông đúc sẵn</v>
          </cell>
          <cell r="F642" t="str">
            <v>m³</v>
          </cell>
          <cell r="G642" t="str">
            <v>m³</v>
          </cell>
          <cell r="H642">
            <v>327.0849</v>
          </cell>
          <cell r="I642">
            <v>0</v>
          </cell>
          <cell r="J642">
            <v>0</v>
          </cell>
        </row>
        <row r="643">
          <cell r="B643">
            <v>617</v>
          </cell>
          <cell r="C643">
            <v>32</v>
          </cell>
          <cell r="D643" t="str">
            <v>Concrete stone 1x2 C25 for precast R.C plank</v>
          </cell>
          <cell r="E643" t="str">
            <v>Bê tông đá 1x2 C25 tấm bê tông đúc sẵn</v>
          </cell>
          <cell r="F643" t="str">
            <v>m³</v>
          </cell>
          <cell r="G643" t="str">
            <v>m³</v>
          </cell>
          <cell r="H643">
            <v>327.0849</v>
          </cell>
          <cell r="I643">
            <v>0</v>
          </cell>
          <cell r="J643">
            <v>0</v>
          </cell>
        </row>
        <row r="644">
          <cell r="B644">
            <v>618</v>
          </cell>
          <cell r="C644">
            <v>33</v>
          </cell>
          <cell r="D644" t="str">
            <v>Fabricate ready 50 m³/h mixed concrete</v>
          </cell>
          <cell r="E644" t="str">
            <v>Sản xuất vữa bê tông trạm trộn 50m³/h</v>
          </cell>
          <cell r="F644" t="str">
            <v>m³</v>
          </cell>
          <cell r="G644" t="str">
            <v>m³</v>
          </cell>
          <cell r="H644">
            <v>331.99117349999995</v>
          </cell>
          <cell r="I644">
            <v>0</v>
          </cell>
          <cell r="J644">
            <v>0</v>
          </cell>
        </row>
        <row r="645">
          <cell r="B645">
            <v>619</v>
          </cell>
          <cell r="C645">
            <v>34</v>
          </cell>
          <cell r="D645" t="str">
            <v>Transport ready mixed concrete distance 0,5km</v>
          </cell>
          <cell r="E645" t="str">
            <v>Vận chuyển bê tông cự ly 0,5km</v>
          </cell>
          <cell r="F645" t="str">
            <v>m³</v>
          </cell>
          <cell r="G645" t="str">
            <v>m³</v>
          </cell>
          <cell r="H645">
            <v>331.99117349999995</v>
          </cell>
          <cell r="I645">
            <v>0</v>
          </cell>
          <cell r="J645">
            <v>0</v>
          </cell>
        </row>
        <row r="646">
          <cell r="B646">
            <v>620</v>
          </cell>
          <cell r="C646">
            <v>35</v>
          </cell>
          <cell r="D646" t="str">
            <v>Mortar C10</v>
          </cell>
          <cell r="E646" t="str">
            <v>Vữa chèn C10</v>
          </cell>
          <cell r="F646" t="str">
            <v>m³</v>
          </cell>
          <cell r="G646" t="str">
            <v>m³</v>
          </cell>
          <cell r="H646">
            <v>2.5776000000000008</v>
          </cell>
          <cell r="I646">
            <v>0</v>
          </cell>
          <cell r="J646">
            <v>0</v>
          </cell>
        </row>
        <row r="647">
          <cell r="B647">
            <v>621</v>
          </cell>
          <cell r="C647">
            <v>36</v>
          </cell>
          <cell r="D647" t="str">
            <v>Formwork for precast structure</v>
          </cell>
          <cell r="E647" t="str">
            <v>Ván khuôn tấm bê tông đúc sẵn</v>
          </cell>
          <cell r="F647" t="str">
            <v>m²</v>
          </cell>
          <cell r="G647" t="str">
            <v>m²</v>
          </cell>
          <cell r="H647">
            <v>1584.7199999999998</v>
          </cell>
          <cell r="I647">
            <v>0</v>
          </cell>
          <cell r="J647">
            <v>0</v>
          </cell>
        </row>
        <row r="648">
          <cell r="B648">
            <v>622</v>
          </cell>
          <cell r="C648">
            <v>37</v>
          </cell>
          <cell r="D648" t="str">
            <v>Install precast R.C plank</v>
          </cell>
          <cell r="E648" t="str">
            <v>Lắp đặt tấm bê tông đúc sẵn</v>
          </cell>
          <cell r="F648" t="str">
            <v>each</v>
          </cell>
          <cell r="G648" t="str">
            <v>tấm</v>
          </cell>
          <cell r="H648">
            <v>120</v>
          </cell>
          <cell r="I648">
            <v>0</v>
          </cell>
          <cell r="J648">
            <v>0</v>
          </cell>
        </row>
        <row r="649">
          <cell r="B649">
            <v>623</v>
          </cell>
          <cell r="C649">
            <v>38</v>
          </cell>
          <cell r="D649" t="str">
            <v>Rebar for precast R.C plank, Ф ≤ 18</v>
          </cell>
          <cell r="E649" t="str">
            <v>Cốt thép tấm bê tông đúc sẵn, Ф ≤ 18</v>
          </cell>
          <cell r="F649" t="str">
            <v>ton</v>
          </cell>
          <cell r="G649" t="str">
            <v>tấn</v>
          </cell>
          <cell r="H649">
            <v>42.328000000000003</v>
          </cell>
          <cell r="I649">
            <v>0</v>
          </cell>
          <cell r="J649">
            <v>0</v>
          </cell>
        </row>
        <row r="650">
          <cell r="B650">
            <v>624</v>
          </cell>
          <cell r="C650">
            <v>39</v>
          </cell>
          <cell r="D650" t="str">
            <v>Rebar for precast R.C plank,Ф &gt; 18</v>
          </cell>
          <cell r="E650" t="str">
            <v>Cốt thép tấm bê tông đúc sẵn,Ф &gt; 18</v>
          </cell>
          <cell r="F650" t="str">
            <v>ton</v>
          </cell>
          <cell r="G650" t="str">
            <v>tấn</v>
          </cell>
          <cell r="H650">
            <v>23.687000000000001</v>
          </cell>
          <cell r="I650">
            <v>0</v>
          </cell>
          <cell r="J650">
            <v>0</v>
          </cell>
        </row>
        <row r="651">
          <cell r="B651">
            <v>625</v>
          </cell>
          <cell r="D651" t="str">
            <v>Cast - in-Place Bored  Pile D1500mm (Pier on river)</v>
          </cell>
          <cell r="E651" t="str">
            <v>Cọc khoan nhồi D1500mm trụ cầu dưới nước</v>
          </cell>
          <cell r="J651">
            <v>0</v>
          </cell>
        </row>
        <row r="652">
          <cell r="B652">
            <v>626</v>
          </cell>
          <cell r="C652">
            <v>1</v>
          </cell>
          <cell r="D652" t="str">
            <v>Cast - in-Place Bored  Pile D1500mm (on river)</v>
          </cell>
          <cell r="E652" t="str">
            <v>Cọc khoan nhồi D1500mm dưới nước</v>
          </cell>
          <cell r="F652" t="str">
            <v>M</v>
          </cell>
          <cell r="G652" t="str">
            <v>md</v>
          </cell>
          <cell r="H652">
            <v>2616</v>
          </cell>
          <cell r="I652">
            <v>0</v>
          </cell>
          <cell r="J652">
            <v>0</v>
          </cell>
        </row>
        <row r="653">
          <cell r="B653">
            <v>627</v>
          </cell>
          <cell r="D653" t="str">
            <v>4. Load test Bored Pile</v>
          </cell>
          <cell r="E653" t="str">
            <v>4. Thử tải cọc khoan nhồi</v>
          </cell>
          <cell r="J653">
            <v>0</v>
          </cell>
        </row>
        <row r="654">
          <cell r="B654">
            <v>628</v>
          </cell>
          <cell r="C654">
            <v>1</v>
          </cell>
          <cell r="D654" t="str">
            <v>Static load test</v>
          </cell>
          <cell r="E654" t="str">
            <v>Thí nghiệm nén tĩnh thử tải cọc khoan nhồi</v>
          </cell>
          <cell r="F654" t="str">
            <v>pile</v>
          </cell>
          <cell r="G654" t="str">
            <v>cọc</v>
          </cell>
          <cell r="H654">
            <v>2</v>
          </cell>
          <cell r="I654">
            <v>2</v>
          </cell>
          <cell r="J654">
            <v>2</v>
          </cell>
        </row>
        <row r="655">
          <cell r="B655">
            <v>629</v>
          </cell>
          <cell r="C655">
            <v>2</v>
          </cell>
          <cell r="D655" t="str">
            <v>Pile Dynamic Analysis</v>
          </cell>
          <cell r="E655" t="str">
            <v>Thử tải cọc bằng phương pháp PDA</v>
          </cell>
          <cell r="F655" t="str">
            <v>pile</v>
          </cell>
          <cell r="G655" t="str">
            <v>cọc</v>
          </cell>
          <cell r="H655">
            <v>28</v>
          </cell>
          <cell r="I655">
            <v>28</v>
          </cell>
          <cell r="J655">
            <v>28</v>
          </cell>
        </row>
        <row r="656">
          <cell r="B656">
            <v>630</v>
          </cell>
          <cell r="C656">
            <v>3</v>
          </cell>
          <cell r="D656" t="str">
            <v xml:space="preserve"> Sonic Pulse Testing   (All piles)</v>
          </cell>
          <cell r="E656" t="str">
            <v>Thí nghiệm siêu âm</v>
          </cell>
          <cell r="F656" t="str">
            <v xml:space="preserve"> Section</v>
          </cell>
          <cell r="G656" t="str">
            <v>1MC</v>
          </cell>
          <cell r="H656">
            <v>1812</v>
          </cell>
          <cell r="I656">
            <v>1812</v>
          </cell>
          <cell r="J656">
            <v>1812</v>
          </cell>
        </row>
        <row r="657">
          <cell r="B657">
            <v>631</v>
          </cell>
          <cell r="C657">
            <v>4</v>
          </cell>
          <cell r="D657" t="str">
            <v>Drill for checking and treatment of bottom bored pile</v>
          </cell>
          <cell r="E657" t="str">
            <v>Khoan kiểm tra, xử lý đáy cọc khoan nhồi</v>
          </cell>
          <cell r="F657" t="str">
            <v>pile</v>
          </cell>
          <cell r="G657" t="str">
            <v>cọc</v>
          </cell>
          <cell r="H657">
            <v>9</v>
          </cell>
          <cell r="I657">
            <v>9</v>
          </cell>
          <cell r="J657">
            <v>9</v>
          </cell>
        </row>
        <row r="658">
          <cell r="B658">
            <v>632</v>
          </cell>
          <cell r="C658">
            <v>5</v>
          </cell>
          <cell r="D658" t="str">
            <v>Coring Test  (If sonic testing indicates defects )</v>
          </cell>
          <cell r="E658" t="str">
            <v>Thí nghiệm lấy lõi (nếu sai sót được phát hiện trong thí nghiệm siêu âm)</v>
          </cell>
          <cell r="F658" t="str">
            <v>sample</v>
          </cell>
          <cell r="G658" t="str">
            <v>mẫu</v>
          </cell>
          <cell r="H658">
            <v>28</v>
          </cell>
          <cell r="I658">
            <v>28</v>
          </cell>
          <cell r="J658">
            <v>28</v>
          </cell>
        </row>
        <row r="659">
          <cell r="B659">
            <v>633</v>
          </cell>
          <cell r="C659">
            <v>6</v>
          </cell>
          <cell r="D659" t="str">
            <v>Drill for taking sample</v>
          </cell>
          <cell r="E659" t="str">
            <v>Khoan lấy mẫu bê tông cọc</v>
          </cell>
          <cell r="F659" t="str">
            <v>m</v>
          </cell>
          <cell r="G659" t="str">
            <v>m</v>
          </cell>
          <cell r="H659">
            <v>28</v>
          </cell>
          <cell r="I659">
            <v>28</v>
          </cell>
          <cell r="J659">
            <v>28</v>
          </cell>
        </row>
        <row r="660">
          <cell r="B660">
            <v>634</v>
          </cell>
          <cell r="J660">
            <v>0</v>
          </cell>
        </row>
        <row r="661">
          <cell r="B661">
            <v>635</v>
          </cell>
          <cell r="D661" t="str">
            <v>III. MISCELLANEOUS</v>
          </cell>
          <cell r="E661" t="str">
            <v>III. KẾT CẤU KHÁC</v>
          </cell>
          <cell r="J661">
            <v>0</v>
          </cell>
        </row>
        <row r="662">
          <cell r="B662">
            <v>636</v>
          </cell>
          <cell r="D662" t="str">
            <v>1. Galvanize railing</v>
          </cell>
          <cell r="E662" t="str">
            <v>1. Lan can thép mạ kẽm</v>
          </cell>
          <cell r="J662">
            <v>0</v>
          </cell>
        </row>
        <row r="663">
          <cell r="B663">
            <v>637</v>
          </cell>
          <cell r="C663">
            <v>1</v>
          </cell>
          <cell r="D663" t="str">
            <v>Galvanize railing</v>
          </cell>
          <cell r="E663" t="str">
            <v>Lan can thép mạ kẽm</v>
          </cell>
          <cell r="F663" t="str">
            <v>m</v>
          </cell>
          <cell r="G663" t="str">
            <v>m</v>
          </cell>
          <cell r="H663">
            <v>2199.35</v>
          </cell>
          <cell r="I663">
            <v>1999.3500000000001</v>
          </cell>
          <cell r="J663">
            <v>1999.3500000000001</v>
          </cell>
        </row>
        <row r="664">
          <cell r="B664">
            <v>638</v>
          </cell>
          <cell r="C664">
            <v>2</v>
          </cell>
          <cell r="D664" t="str">
            <v>Bolt þ18mm, l=250mm</v>
          </cell>
          <cell r="E664" t="str">
            <v xml:space="preserve">Bu lông þ18mm, l=250mm                                                       </v>
          </cell>
          <cell r="F664" t="str">
            <v>Nos</v>
          </cell>
          <cell r="G664" t="str">
            <v>cái</v>
          </cell>
          <cell r="H664">
            <v>2338</v>
          </cell>
          <cell r="I664">
            <v>2114</v>
          </cell>
          <cell r="J664">
            <v>2114</v>
          </cell>
        </row>
        <row r="665">
          <cell r="B665">
            <v>639</v>
          </cell>
          <cell r="C665">
            <v>3</v>
          </cell>
          <cell r="D665" t="str">
            <v>Bolt þ16mm</v>
          </cell>
          <cell r="E665" t="str">
            <v xml:space="preserve">Bu lông þ16mm                                               </v>
          </cell>
          <cell r="F665" t="str">
            <v>Nos</v>
          </cell>
          <cell r="G665" t="str">
            <v>cái</v>
          </cell>
          <cell r="H665">
            <v>2640</v>
          </cell>
          <cell r="I665">
            <v>2384</v>
          </cell>
          <cell r="J665">
            <v>2384</v>
          </cell>
        </row>
        <row r="666">
          <cell r="B666">
            <v>640</v>
          </cell>
          <cell r="C666">
            <v>4</v>
          </cell>
          <cell r="D666" t="str">
            <v>Bolt þ25mm</v>
          </cell>
          <cell r="E666" t="str">
            <v xml:space="preserve">Bu lông þ25mm                                                  </v>
          </cell>
          <cell r="F666" t="str">
            <v>Nos</v>
          </cell>
          <cell r="G666" t="str">
            <v>cái</v>
          </cell>
          <cell r="H666">
            <v>1320</v>
          </cell>
          <cell r="I666">
            <v>1192</v>
          </cell>
          <cell r="J666">
            <v>1192</v>
          </cell>
        </row>
        <row r="667">
          <cell r="B667">
            <v>641</v>
          </cell>
          <cell r="C667">
            <v>5</v>
          </cell>
          <cell r="D667" t="str">
            <v>Steel plate 130x200x4mm</v>
          </cell>
          <cell r="E667" t="str">
            <v>Thép tấm lan can</v>
          </cell>
          <cell r="F667" t="str">
            <v>ton</v>
          </cell>
          <cell r="G667" t="str">
            <v>tấn</v>
          </cell>
          <cell r="H667">
            <v>0</v>
          </cell>
          <cell r="I667">
            <v>0</v>
          </cell>
          <cell r="J667">
            <v>0</v>
          </cell>
        </row>
        <row r="668">
          <cell r="B668">
            <v>642</v>
          </cell>
          <cell r="C668">
            <v>6</v>
          </cell>
          <cell r="D668" t="str">
            <v>Railings shape steel</v>
          </cell>
          <cell r="E668" t="str">
            <v>Thép hình lan can</v>
          </cell>
          <cell r="F668" t="str">
            <v>ton</v>
          </cell>
          <cell r="G668" t="str">
            <v>tấn</v>
          </cell>
          <cell r="H668">
            <v>103.832601236</v>
          </cell>
          <cell r="I668">
            <v>94.305151943200002</v>
          </cell>
          <cell r="J668">
            <v>94.305151943200002</v>
          </cell>
        </row>
        <row r="669">
          <cell r="B669">
            <v>643</v>
          </cell>
          <cell r="C669">
            <v>7</v>
          </cell>
          <cell r="D669" t="str">
            <v>Production of steel pipe for railing</v>
          </cell>
          <cell r="E669" t="str">
            <v>Sản xuất thép ống lan can</v>
          </cell>
          <cell r="F669" t="str">
            <v>ton</v>
          </cell>
          <cell r="G669" t="str">
            <v>tấn</v>
          </cell>
          <cell r="H669">
            <v>0</v>
          </cell>
          <cell r="I669">
            <v>0</v>
          </cell>
          <cell r="J669">
            <v>0</v>
          </cell>
        </row>
        <row r="670">
          <cell r="B670">
            <v>644</v>
          </cell>
          <cell r="C670">
            <v>8</v>
          </cell>
          <cell r="D670" t="str">
            <v>Bolt C10</v>
          </cell>
          <cell r="E670" t="str">
            <v xml:space="preserve">Bu lông C10  </v>
          </cell>
          <cell r="F670" t="str">
            <v>Nos</v>
          </cell>
          <cell r="G670" t="str">
            <v>cái</v>
          </cell>
          <cell r="H670">
            <v>0</v>
          </cell>
          <cell r="I670">
            <v>0</v>
          </cell>
          <cell r="J670">
            <v>0</v>
          </cell>
        </row>
        <row r="671">
          <cell r="B671">
            <v>645</v>
          </cell>
          <cell r="C671">
            <v>9</v>
          </cell>
          <cell r="D671" t="str">
            <v>Galvanize and Installation of railing</v>
          </cell>
          <cell r="E671" t="str">
            <v>Mạ kẽm và lắp dựng lan can</v>
          </cell>
          <cell r="F671" t="str">
            <v>m</v>
          </cell>
          <cell r="G671" t="str">
            <v>m</v>
          </cell>
          <cell r="H671">
            <v>2199.35</v>
          </cell>
          <cell r="I671">
            <v>1999.3500000000001</v>
          </cell>
          <cell r="J671">
            <v>1999.3500000000001</v>
          </cell>
        </row>
        <row r="672">
          <cell r="B672">
            <v>646</v>
          </cell>
          <cell r="D672" t="str">
            <v>2. Barrier and Separating strip</v>
          </cell>
          <cell r="E672" t="str">
            <v>2. Gờ chắn và dải phân cách</v>
          </cell>
          <cell r="J672">
            <v>0</v>
          </cell>
        </row>
        <row r="673">
          <cell r="B673">
            <v>647</v>
          </cell>
          <cell r="D673" t="str">
            <v>2.1 Barrier</v>
          </cell>
          <cell r="E673" t="str">
            <v xml:space="preserve">2.1. Gờ chắn </v>
          </cell>
          <cell r="J673">
            <v>0</v>
          </cell>
        </row>
        <row r="674">
          <cell r="B674">
            <v>648</v>
          </cell>
          <cell r="D674" t="str">
            <v>* Cast in place block</v>
          </cell>
          <cell r="E674" t="str">
            <v>* Gờ chắn đổ tại chỗ</v>
          </cell>
          <cell r="J674">
            <v>0</v>
          </cell>
        </row>
        <row r="675">
          <cell r="B675">
            <v>649</v>
          </cell>
          <cell r="C675">
            <v>1</v>
          </cell>
          <cell r="D675" t="str">
            <v>Concrete C25 for Barrier cast in place</v>
          </cell>
          <cell r="E675" t="str">
            <v>Bê tông gờ chắn C25 đổ tại chỗ</v>
          </cell>
          <cell r="F675" t="str">
            <v>m³</v>
          </cell>
          <cell r="G675" t="str">
            <v>m³</v>
          </cell>
          <cell r="H675">
            <v>211.7</v>
          </cell>
          <cell r="I675">
            <v>191.7</v>
          </cell>
          <cell r="J675">
            <v>191.7</v>
          </cell>
        </row>
        <row r="676">
          <cell r="B676">
            <v>650</v>
          </cell>
          <cell r="C676">
            <v>2</v>
          </cell>
          <cell r="D676" t="str">
            <v>Concrete C25 for Barrier cast in place</v>
          </cell>
          <cell r="E676" t="str">
            <v>Bê tông C25 gờ chắn đổ tại chỗ</v>
          </cell>
          <cell r="F676" t="str">
            <v>m³</v>
          </cell>
          <cell r="G676" t="str">
            <v>m³</v>
          </cell>
          <cell r="H676">
            <v>211.7</v>
          </cell>
          <cell r="I676">
            <v>191.7</v>
          </cell>
          <cell r="J676">
            <v>191.7</v>
          </cell>
        </row>
        <row r="677">
          <cell r="B677">
            <v>651</v>
          </cell>
          <cell r="C677">
            <v>3</v>
          </cell>
          <cell r="D677" t="str">
            <v>Fabricate ready 50 m³/h mixed concrete</v>
          </cell>
          <cell r="E677" t="str">
            <v>Sản xuất vữa bê tông trạm trộn 50m³/h</v>
          </cell>
          <cell r="F677" t="str">
            <v>m³</v>
          </cell>
          <cell r="G677" t="str">
            <v>m³</v>
          </cell>
          <cell r="H677">
            <v>216.99249999999998</v>
          </cell>
          <cell r="I677">
            <v>196.49249999999998</v>
          </cell>
          <cell r="J677">
            <v>196.49249999999998</v>
          </cell>
        </row>
        <row r="678">
          <cell r="B678">
            <v>652</v>
          </cell>
          <cell r="C678">
            <v>4</v>
          </cell>
          <cell r="D678" t="str">
            <v>Transport ready mixed concrete distance 0,5km</v>
          </cell>
          <cell r="E678" t="str">
            <v>Vận chuyển bê tông cự ly 0,5km</v>
          </cell>
          <cell r="F678" t="str">
            <v>m³</v>
          </cell>
          <cell r="G678" t="str">
            <v>m³</v>
          </cell>
          <cell r="H678">
            <v>216.99249999999998</v>
          </cell>
          <cell r="I678">
            <v>196.49249999999998</v>
          </cell>
          <cell r="J678">
            <v>196.49249999999998</v>
          </cell>
        </row>
        <row r="679">
          <cell r="B679">
            <v>653</v>
          </cell>
          <cell r="C679">
            <v>5</v>
          </cell>
          <cell r="D679" t="str">
            <v>Mortar C10</v>
          </cell>
          <cell r="E679" t="str">
            <v>Vữa tạo phẳng C10</v>
          </cell>
          <cell r="F679" t="str">
            <v>m³</v>
          </cell>
          <cell r="G679" t="str">
            <v>m³</v>
          </cell>
          <cell r="H679">
            <v>2.1755200000000001</v>
          </cell>
          <cell r="I679">
            <v>1.96136</v>
          </cell>
          <cell r="J679">
            <v>1.96136</v>
          </cell>
        </row>
        <row r="680">
          <cell r="B680">
            <v>654</v>
          </cell>
          <cell r="C680">
            <v>6</v>
          </cell>
          <cell r="D680" t="str">
            <v>Formwork for barrier</v>
          </cell>
          <cell r="E680" t="str">
            <v>Ván khuôn gờ chắn</v>
          </cell>
          <cell r="F680" t="str">
            <v>m²</v>
          </cell>
          <cell r="G680" t="str">
            <v>m²</v>
          </cell>
          <cell r="H680">
            <v>2016</v>
          </cell>
          <cell r="I680">
            <v>1800</v>
          </cell>
          <cell r="J680">
            <v>1800</v>
          </cell>
        </row>
        <row r="681">
          <cell r="B681">
            <v>655</v>
          </cell>
          <cell r="C681">
            <v>7</v>
          </cell>
          <cell r="D681" t="str">
            <v>Rebar Ф ≤ 18 for barrier</v>
          </cell>
          <cell r="E681" t="str">
            <v>Cốt thép gờ chắn đổ tại chỗ Ф ≤ 18</v>
          </cell>
          <cell r="F681" t="str">
            <v>ton</v>
          </cell>
          <cell r="G681" t="str">
            <v>tấn</v>
          </cell>
          <cell r="H681">
            <v>7.524</v>
          </cell>
          <cell r="I681">
            <v>6.8140000000000001</v>
          </cell>
          <cell r="J681">
            <v>6.8140000000000001</v>
          </cell>
        </row>
        <row r="682">
          <cell r="B682">
            <v>656</v>
          </cell>
          <cell r="D682" t="str">
            <v>* Precast block</v>
          </cell>
          <cell r="E682" t="str">
            <v>* Khối đúc sẵn</v>
          </cell>
          <cell r="J682">
            <v>0</v>
          </cell>
        </row>
        <row r="683">
          <cell r="B683">
            <v>657</v>
          </cell>
          <cell r="C683">
            <v>1</v>
          </cell>
          <cell r="D683" t="str">
            <v>Concrete of precast C25 for barrier</v>
          </cell>
          <cell r="E683" t="str">
            <v>Bê tông gờ chắn C25 đúc sẵn</v>
          </cell>
          <cell r="F683" t="str">
            <v>m³</v>
          </cell>
          <cell r="G683" t="str">
            <v>m³</v>
          </cell>
          <cell r="H683">
            <v>414.8</v>
          </cell>
          <cell r="I683">
            <v>374.1</v>
          </cell>
          <cell r="J683">
            <v>374.1</v>
          </cell>
        </row>
        <row r="684">
          <cell r="B684">
            <v>658</v>
          </cell>
          <cell r="C684">
            <v>2</v>
          </cell>
          <cell r="D684" t="str">
            <v>Concrete of precast C25 for barrier</v>
          </cell>
          <cell r="E684" t="str">
            <v>Bê tông gờ chắn C25 đúc sẵn</v>
          </cell>
          <cell r="F684" t="str">
            <v>m³</v>
          </cell>
          <cell r="G684" t="str">
            <v>m³</v>
          </cell>
          <cell r="H684">
            <v>414.8</v>
          </cell>
          <cell r="I684">
            <v>374.1</v>
          </cell>
          <cell r="J684">
            <v>374.1</v>
          </cell>
        </row>
        <row r="685">
          <cell r="B685">
            <v>659</v>
          </cell>
          <cell r="C685">
            <v>3</v>
          </cell>
          <cell r="D685" t="str">
            <v>Fabricate ready 50 m³/h mixed concrete</v>
          </cell>
          <cell r="E685" t="str">
            <v>Sản xuất vữa bê tông trạm trộn 50m³/h</v>
          </cell>
          <cell r="F685" t="str">
            <v>m³</v>
          </cell>
          <cell r="G685" t="str">
            <v>m³</v>
          </cell>
          <cell r="H685">
            <v>425.16999999999996</v>
          </cell>
          <cell r="I685">
            <v>383.45249999999999</v>
          </cell>
          <cell r="J685">
            <v>383.45249999999999</v>
          </cell>
        </row>
        <row r="686">
          <cell r="B686">
            <v>660</v>
          </cell>
          <cell r="C686">
            <v>4</v>
          </cell>
          <cell r="D686" t="str">
            <v>Transport ready mixed concrete distance 0,5km</v>
          </cell>
          <cell r="E686" t="str">
            <v>Vận chuyển bê tông cự ly 0,5km</v>
          </cell>
          <cell r="F686" t="str">
            <v>m³</v>
          </cell>
          <cell r="G686" t="str">
            <v>m³</v>
          </cell>
          <cell r="H686">
            <v>425.16999999999996</v>
          </cell>
          <cell r="I686">
            <v>383.45249999999999</v>
          </cell>
          <cell r="J686">
            <v>383.45249999999999</v>
          </cell>
        </row>
        <row r="687">
          <cell r="B687">
            <v>661</v>
          </cell>
          <cell r="C687">
            <v>5</v>
          </cell>
          <cell r="D687" t="str">
            <v>Formwork for precast structure</v>
          </cell>
          <cell r="E687" t="str">
            <v>Ván khuôn các loại kết cấu đúc sẵn</v>
          </cell>
          <cell r="F687" t="str">
            <v>m²</v>
          </cell>
          <cell r="G687" t="str">
            <v>m²</v>
          </cell>
          <cell r="H687">
            <v>2352</v>
          </cell>
          <cell r="I687">
            <v>2100</v>
          </cell>
          <cell r="J687">
            <v>2100</v>
          </cell>
        </row>
        <row r="688">
          <cell r="B688">
            <v>662</v>
          </cell>
          <cell r="C688">
            <v>6</v>
          </cell>
          <cell r="D688" t="str">
            <v>Install precast R.C plank of barrier</v>
          </cell>
          <cell r="E688" t="str">
            <v>Lắp đặt gờ chắn đúc sẵn</v>
          </cell>
          <cell r="F688" t="str">
            <v>each</v>
          </cell>
          <cell r="G688" t="str">
            <v>tấm</v>
          </cell>
          <cell r="H688">
            <v>1094</v>
          </cell>
          <cell r="I688">
            <v>986</v>
          </cell>
          <cell r="J688">
            <v>986</v>
          </cell>
        </row>
        <row r="689">
          <cell r="B689">
            <v>663</v>
          </cell>
          <cell r="C689">
            <v>7</v>
          </cell>
          <cell r="D689" t="str">
            <v>Rebar Ф ≤ 18 for barrier block</v>
          </cell>
          <cell r="E689" t="str">
            <v>Cốt thép gờ chắn đúc sẵn Ф ≤ 18</v>
          </cell>
          <cell r="F689" t="str">
            <v>ton</v>
          </cell>
          <cell r="G689" t="str">
            <v>tấn</v>
          </cell>
          <cell r="H689">
            <v>72.649679999999989</v>
          </cell>
          <cell r="I689">
            <v>65.497</v>
          </cell>
          <cell r="J689">
            <v>65.497</v>
          </cell>
        </row>
        <row r="690">
          <cell r="B690">
            <v>664</v>
          </cell>
          <cell r="D690" t="str">
            <v>2.2 Separating strip</v>
          </cell>
          <cell r="E690" t="str">
            <v>2.2. Dải phân cách</v>
          </cell>
          <cell r="J690">
            <v>0</v>
          </cell>
        </row>
        <row r="691">
          <cell r="B691">
            <v>665</v>
          </cell>
          <cell r="D691" t="str">
            <v>* Cast in place block</v>
          </cell>
          <cell r="E691" t="str">
            <v>* Khối đổ tại chỗ</v>
          </cell>
          <cell r="J691">
            <v>0</v>
          </cell>
        </row>
        <row r="692">
          <cell r="B692">
            <v>666</v>
          </cell>
          <cell r="C692">
            <v>1</v>
          </cell>
          <cell r="D692" t="str">
            <v>Concrete C25 for cast in place Separating strip</v>
          </cell>
          <cell r="E692" t="str">
            <v>Bê tông dải phân cách C25 đổ tại chỗ</v>
          </cell>
          <cell r="F692" t="str">
            <v>m³</v>
          </cell>
          <cell r="G692" t="str">
            <v>m³</v>
          </cell>
          <cell r="H692">
            <v>176.71440000000007</v>
          </cell>
          <cell r="I692">
            <v>170.27640000000005</v>
          </cell>
          <cell r="J692">
            <v>170.27640000000005</v>
          </cell>
        </row>
        <row r="693">
          <cell r="B693">
            <v>667</v>
          </cell>
          <cell r="C693">
            <v>2</v>
          </cell>
          <cell r="D693" t="str">
            <v>Concrete C25 for Separating strip</v>
          </cell>
          <cell r="E693" t="str">
            <v>Bê tông C25 dải phấn cách</v>
          </cell>
          <cell r="F693" t="str">
            <v>m³</v>
          </cell>
          <cell r="G693" t="str">
            <v>m³</v>
          </cell>
          <cell r="H693">
            <v>176.71440000000007</v>
          </cell>
          <cell r="I693">
            <v>170.27640000000005</v>
          </cell>
          <cell r="J693">
            <v>170.27640000000005</v>
          </cell>
        </row>
        <row r="694">
          <cell r="B694">
            <v>668</v>
          </cell>
          <cell r="C694">
            <v>3</v>
          </cell>
          <cell r="D694" t="str">
            <v>Fabricate ready 50 m³/h mixed concrete</v>
          </cell>
          <cell r="E694" t="str">
            <v>Sản xuất vữa bê tông trạm trộn 50m³/h</v>
          </cell>
          <cell r="F694" t="str">
            <v>m³</v>
          </cell>
          <cell r="G694" t="str">
            <v>m³</v>
          </cell>
          <cell r="H694">
            <v>181.13226000000006</v>
          </cell>
          <cell r="I694">
            <v>174.53331000000003</v>
          </cell>
          <cell r="J694">
            <v>174.53331000000003</v>
          </cell>
        </row>
        <row r="695">
          <cell r="B695">
            <v>669</v>
          </cell>
          <cell r="C695">
            <v>4</v>
          </cell>
          <cell r="D695" t="str">
            <v>Transport ready mixed concrete distance 0,5km</v>
          </cell>
          <cell r="E695" t="str">
            <v>Vận chuyển bê tông cự ly 0,5km</v>
          </cell>
          <cell r="F695" t="str">
            <v>m³</v>
          </cell>
          <cell r="G695" t="str">
            <v>m³</v>
          </cell>
          <cell r="H695">
            <v>181.13226000000006</v>
          </cell>
          <cell r="I695">
            <v>174.53331000000003</v>
          </cell>
          <cell r="J695">
            <v>174.53331000000003</v>
          </cell>
        </row>
        <row r="696">
          <cell r="B696">
            <v>670</v>
          </cell>
          <cell r="C696">
            <v>5</v>
          </cell>
          <cell r="D696" t="str">
            <v>Mortar C10</v>
          </cell>
          <cell r="E696" t="str">
            <v>Vữa tạo phẳng C10</v>
          </cell>
          <cell r="F696" t="str">
            <v>m³</v>
          </cell>
          <cell r="G696" t="str">
            <v>m³</v>
          </cell>
          <cell r="H696">
            <v>5.55</v>
          </cell>
          <cell r="I696">
            <v>5.05</v>
          </cell>
          <cell r="J696">
            <v>5.05</v>
          </cell>
        </row>
        <row r="697">
          <cell r="B697">
            <v>671</v>
          </cell>
          <cell r="C697">
            <v>6</v>
          </cell>
          <cell r="D697" t="str">
            <v>Formwork for separating strip</v>
          </cell>
          <cell r="E697" t="str">
            <v>Ván khuôn dải phân cách</v>
          </cell>
          <cell r="F697" t="str">
            <v>m²</v>
          </cell>
          <cell r="G697" t="str">
            <v>m²</v>
          </cell>
          <cell r="H697">
            <v>1166.2560000000001</v>
          </cell>
          <cell r="I697">
            <v>1041.3000000000002</v>
          </cell>
          <cell r="J697">
            <v>1041.3000000000002</v>
          </cell>
        </row>
        <row r="698">
          <cell r="B698">
            <v>672</v>
          </cell>
          <cell r="C698">
            <v>7</v>
          </cell>
          <cell r="D698" t="str">
            <v>Rebar Ф ≤ 18 for Separating strip</v>
          </cell>
          <cell r="E698" t="str">
            <v>Cốt thép dải phân cách Ф ≤ 18</v>
          </cell>
          <cell r="F698" t="str">
            <v>ton</v>
          </cell>
          <cell r="G698" t="str">
            <v>tấn</v>
          </cell>
          <cell r="H698">
            <v>20.148349600000007</v>
          </cell>
          <cell r="I698">
            <v>19.453465600000008</v>
          </cell>
          <cell r="J698">
            <v>19.453465600000008</v>
          </cell>
        </row>
        <row r="699">
          <cell r="B699">
            <v>673</v>
          </cell>
          <cell r="C699">
            <v>8</v>
          </cell>
          <cell r="D699" t="str">
            <v>Bushing HDPE D85/65</v>
          </cell>
          <cell r="E699" t="str">
            <v>Ống HDPE D85/65</v>
          </cell>
          <cell r="F699" t="str">
            <v>m</v>
          </cell>
          <cell r="G699" t="str">
            <v>m</v>
          </cell>
          <cell r="H699">
            <v>222</v>
          </cell>
          <cell r="I699">
            <v>202</v>
          </cell>
          <cell r="J699">
            <v>202</v>
          </cell>
        </row>
        <row r="700">
          <cell r="B700">
            <v>674</v>
          </cell>
          <cell r="C700">
            <v>9</v>
          </cell>
          <cell r="D700" t="str">
            <v>Bolt M24</v>
          </cell>
          <cell r="E700" t="str">
            <v>Bu lông M24</v>
          </cell>
          <cell r="F700" t="str">
            <v>nos</v>
          </cell>
          <cell r="G700" t="str">
            <v>cái</v>
          </cell>
          <cell r="H700">
            <v>112</v>
          </cell>
          <cell r="I700">
            <v>100</v>
          </cell>
          <cell r="J700">
            <v>100</v>
          </cell>
        </row>
        <row r="701">
          <cell r="B701">
            <v>675</v>
          </cell>
          <cell r="D701" t="str">
            <v>* Precast block</v>
          </cell>
          <cell r="E701" t="str">
            <v>* Khối đúc sẵn</v>
          </cell>
          <cell r="J701">
            <v>0</v>
          </cell>
        </row>
        <row r="702">
          <cell r="B702">
            <v>676</v>
          </cell>
          <cell r="C702">
            <v>1</v>
          </cell>
          <cell r="D702" t="str">
            <v>Concrete of precast C25 for Separating strip</v>
          </cell>
          <cell r="E702" t="str">
            <v>Bê tông dải phân cách C25 đúc sẵn</v>
          </cell>
          <cell r="F702" t="str">
            <v>m³</v>
          </cell>
          <cell r="G702" t="str">
            <v>m³</v>
          </cell>
          <cell r="H702">
            <v>767.37599999999998</v>
          </cell>
          <cell r="I702">
            <v>697.29599999999994</v>
          </cell>
          <cell r="J702">
            <v>697.29599999999994</v>
          </cell>
        </row>
        <row r="703">
          <cell r="B703">
            <v>677</v>
          </cell>
          <cell r="C703">
            <v>2</v>
          </cell>
          <cell r="D703" t="str">
            <v>Concrete of precast C25 for Separating strip</v>
          </cell>
          <cell r="E703" t="str">
            <v>Bê tông dải phân cách C25 đúc sẵn</v>
          </cell>
          <cell r="F703" t="str">
            <v>m³</v>
          </cell>
          <cell r="G703" t="str">
            <v>m³</v>
          </cell>
          <cell r="H703">
            <v>767.37599999999998</v>
          </cell>
          <cell r="I703">
            <v>697.29599999999994</v>
          </cell>
          <cell r="J703">
            <v>697.29599999999994</v>
          </cell>
        </row>
        <row r="704">
          <cell r="B704">
            <v>678</v>
          </cell>
          <cell r="C704">
            <v>3</v>
          </cell>
          <cell r="D704" t="str">
            <v>Fabricate ready 50 m³/h mixed concrete</v>
          </cell>
          <cell r="E704" t="str">
            <v>Sản xuất vữa bê tông trạm trộn 50m³/h</v>
          </cell>
          <cell r="F704" t="str">
            <v>m³</v>
          </cell>
          <cell r="G704" t="str">
            <v>m³</v>
          </cell>
          <cell r="H704">
            <v>786.56039999999996</v>
          </cell>
          <cell r="I704">
            <v>714.72839999999985</v>
          </cell>
          <cell r="J704">
            <v>714.72839999999985</v>
          </cell>
        </row>
        <row r="705">
          <cell r="B705">
            <v>679</v>
          </cell>
          <cell r="C705">
            <v>4</v>
          </cell>
          <cell r="D705" t="str">
            <v>Transport ready mixed concrete distance 0,5km</v>
          </cell>
          <cell r="E705" t="str">
            <v>Vận chuyển bê tông cự ly 0,5km</v>
          </cell>
          <cell r="F705" t="str">
            <v>m³</v>
          </cell>
          <cell r="G705" t="str">
            <v>m³</v>
          </cell>
          <cell r="H705">
            <v>786.56039999999996</v>
          </cell>
          <cell r="I705">
            <v>714.72839999999985</v>
          </cell>
          <cell r="J705">
            <v>714.72839999999985</v>
          </cell>
        </row>
        <row r="706">
          <cell r="B706">
            <v>680</v>
          </cell>
          <cell r="C706">
            <v>5</v>
          </cell>
          <cell r="D706" t="str">
            <v>Mortar C10</v>
          </cell>
          <cell r="E706" t="str">
            <v>Vữa tạo phẳng C10</v>
          </cell>
          <cell r="F706" t="str">
            <v>m³</v>
          </cell>
          <cell r="G706" t="str">
            <v>m³</v>
          </cell>
          <cell r="H706">
            <v>21.9</v>
          </cell>
          <cell r="I706">
            <v>19.899999999999999</v>
          </cell>
          <cell r="J706">
            <v>19.899999999999999</v>
          </cell>
        </row>
        <row r="707">
          <cell r="B707">
            <v>681</v>
          </cell>
          <cell r="C707">
            <v>6</v>
          </cell>
          <cell r="D707" t="str">
            <v>Formwork for precast Separating strip</v>
          </cell>
          <cell r="E707" t="str">
            <v>Ván khuôn dải phân cách đúc sẵn</v>
          </cell>
          <cell r="F707" t="str">
            <v>m²</v>
          </cell>
          <cell r="G707" t="str">
            <v>m²</v>
          </cell>
          <cell r="H707">
            <v>4867.9905455888002</v>
          </cell>
          <cell r="I707">
            <v>4346.4201299900005</v>
          </cell>
          <cell r="J707">
            <v>4346.4201299900005</v>
          </cell>
        </row>
        <row r="708">
          <cell r="B708">
            <v>682</v>
          </cell>
          <cell r="C708">
            <v>7</v>
          </cell>
          <cell r="D708" t="str">
            <v>Install precast R.C Separating strip</v>
          </cell>
          <cell r="E708" t="str">
            <v>Lắp đặt các tấm bê tông dải phân cách đúc sẵn</v>
          </cell>
          <cell r="F708" t="str">
            <v>each</v>
          </cell>
          <cell r="G708" t="str">
            <v>tấm</v>
          </cell>
          <cell r="H708">
            <v>697</v>
          </cell>
          <cell r="I708">
            <v>670</v>
          </cell>
          <cell r="J708">
            <v>670</v>
          </cell>
        </row>
        <row r="709">
          <cell r="B709">
            <v>683</v>
          </cell>
          <cell r="C709">
            <v>8</v>
          </cell>
          <cell r="D709" t="str">
            <v>Rebar Ф ≤ 18 for Precast Separating strip</v>
          </cell>
          <cell r="E709" t="str">
            <v>Cốt thép dải phân cách đúc sẵn Ф ≤ 18</v>
          </cell>
          <cell r="F709" t="str">
            <v>ton</v>
          </cell>
          <cell r="G709" t="str">
            <v>tấn</v>
          </cell>
          <cell r="H709">
            <v>145.02736260000003</v>
          </cell>
          <cell r="I709">
            <v>131.78285460000001</v>
          </cell>
          <cell r="J709">
            <v>131.78285460000001</v>
          </cell>
        </row>
        <row r="710">
          <cell r="B710">
            <v>684</v>
          </cell>
          <cell r="C710">
            <v>9</v>
          </cell>
          <cell r="D710" t="str">
            <v>Bushing HDPE D85/65</v>
          </cell>
          <cell r="E710" t="str">
            <v>Ống HDPE D85/65</v>
          </cell>
          <cell r="F710" t="str">
            <v>m</v>
          </cell>
          <cell r="G710" t="str">
            <v>m</v>
          </cell>
          <cell r="H710">
            <v>876</v>
          </cell>
          <cell r="I710">
            <v>796</v>
          </cell>
          <cell r="J710">
            <v>796</v>
          </cell>
        </row>
        <row r="711">
          <cell r="B711">
            <v>685</v>
          </cell>
          <cell r="D711" t="str">
            <v>3. Cover plate</v>
          </cell>
          <cell r="E711" t="str">
            <v>3. Tấm che</v>
          </cell>
          <cell r="J711">
            <v>0</v>
          </cell>
        </row>
        <row r="712">
          <cell r="B712">
            <v>686</v>
          </cell>
          <cell r="C712">
            <v>1</v>
          </cell>
          <cell r="D712" t="str">
            <v xml:space="preserve">Steel plate 10mm thickness of cover plate </v>
          </cell>
          <cell r="E712" t="str">
            <v xml:space="preserve">Thép tấm dày 10mm tấm che </v>
          </cell>
          <cell r="F712" t="str">
            <v>ton</v>
          </cell>
          <cell r="G712" t="str">
            <v>tấn</v>
          </cell>
          <cell r="H712">
            <v>4.0064829999999994</v>
          </cell>
          <cell r="I712">
            <v>4.0064829999999994</v>
          </cell>
          <cell r="J712">
            <v>4.0064829999999994</v>
          </cell>
        </row>
        <row r="713">
          <cell r="B713">
            <v>687</v>
          </cell>
          <cell r="C713">
            <v>2</v>
          </cell>
          <cell r="D713" t="str">
            <v>Steel plate 10mm Thickness</v>
          </cell>
          <cell r="E713" t="str">
            <v>Thép tấm dày 10mm</v>
          </cell>
          <cell r="F713" t="str">
            <v>ton</v>
          </cell>
          <cell r="G713" t="str">
            <v>tấn</v>
          </cell>
          <cell r="H713">
            <v>4.0064829999999994</v>
          </cell>
          <cell r="I713">
            <v>4.0064829999999994</v>
          </cell>
          <cell r="J713">
            <v>4.0064829999999994</v>
          </cell>
        </row>
        <row r="714">
          <cell r="B714">
            <v>688</v>
          </cell>
          <cell r="C714">
            <v>3</v>
          </cell>
          <cell r="D714" t="str">
            <v>M12 Countersunk screws</v>
          </cell>
          <cell r="E714" t="str">
            <v>Vít đầu chìm M12</v>
          </cell>
          <cell r="F714" t="str">
            <v>set</v>
          </cell>
          <cell r="G714" t="str">
            <v>bộ</v>
          </cell>
          <cell r="H714">
            <v>156</v>
          </cell>
          <cell r="I714">
            <v>156</v>
          </cell>
          <cell r="J714">
            <v>156</v>
          </cell>
        </row>
        <row r="715">
          <cell r="B715">
            <v>689</v>
          </cell>
          <cell r="D715" t="str">
            <v>4. Drainage</v>
          </cell>
          <cell r="E715" t="str">
            <v xml:space="preserve">4. Thoát nước </v>
          </cell>
          <cell r="J715">
            <v>0</v>
          </cell>
        </row>
        <row r="716">
          <cell r="B716">
            <v>690</v>
          </cell>
          <cell r="C716">
            <v>1</v>
          </cell>
          <cell r="D716" t="str">
            <v>Drainage by PVC pipe D=150mm</v>
          </cell>
          <cell r="E716" t="str">
            <v>Hệ thống thoát nước ống PVC D150</v>
          </cell>
          <cell r="F716" t="str">
            <v>m</v>
          </cell>
          <cell r="G716" t="str">
            <v>m</v>
          </cell>
          <cell r="H716">
            <v>464.4</v>
          </cell>
          <cell r="I716">
            <v>412.79999999999995</v>
          </cell>
          <cell r="J716">
            <v>412.79999999999995</v>
          </cell>
        </row>
        <row r="717">
          <cell r="B717">
            <v>691</v>
          </cell>
          <cell r="C717">
            <v>2</v>
          </cell>
          <cell r="D717" t="str">
            <v>Production of steel plate, steel box</v>
          </cell>
          <cell r="E717" t="str">
            <v>Sản xuất thép tấm, hộp thép</v>
          </cell>
          <cell r="F717" t="str">
            <v>ton</v>
          </cell>
          <cell r="G717" t="str">
            <v>tấn</v>
          </cell>
          <cell r="H717">
            <v>5.5682099999999997</v>
          </cell>
          <cell r="I717">
            <v>4.9495199999999997</v>
          </cell>
          <cell r="J717">
            <v>4.9495199999999997</v>
          </cell>
        </row>
        <row r="718">
          <cell r="B718">
            <v>692</v>
          </cell>
          <cell r="C718">
            <v>3</v>
          </cell>
          <cell r="D718" t="str">
            <v>Installation of steel plate, steel box</v>
          </cell>
          <cell r="E718" t="str">
            <v>Lắp đặt thép tấm, thép hộp</v>
          </cell>
          <cell r="F718" t="str">
            <v>ton</v>
          </cell>
          <cell r="G718" t="str">
            <v>tấn</v>
          </cell>
          <cell r="H718">
            <v>5.5682099999999997</v>
          </cell>
          <cell r="I718">
            <v>4.9495199999999997</v>
          </cell>
          <cell r="J718">
            <v>4.9495199999999997</v>
          </cell>
        </row>
        <row r="719">
          <cell r="B719">
            <v>693</v>
          </cell>
          <cell r="C719">
            <v>4</v>
          </cell>
          <cell r="D719" t="str">
            <v>Install steel pipe D=150/168mm</v>
          </cell>
          <cell r="E719" t="str">
            <v>Ống thép thoát nước, D=150/168mm</v>
          </cell>
          <cell r="F719" t="str">
            <v>m</v>
          </cell>
          <cell r="G719" t="str">
            <v>m</v>
          </cell>
          <cell r="H719">
            <v>140.36175637393768</v>
          </cell>
          <cell r="I719">
            <v>124.76600566572239</v>
          </cell>
          <cell r="J719">
            <v>124.76600566572239</v>
          </cell>
        </row>
        <row r="720">
          <cell r="B720">
            <v>694</v>
          </cell>
          <cell r="C720">
            <v>5</v>
          </cell>
          <cell r="D720" t="str">
            <v>Production of trash rack</v>
          </cell>
          <cell r="E720" t="str">
            <v>Sản xuất lưới chắn rác</v>
          </cell>
          <cell r="F720" t="str">
            <v>ton</v>
          </cell>
          <cell r="G720" t="str">
            <v>tấn</v>
          </cell>
          <cell r="H720">
            <v>1.593</v>
          </cell>
          <cell r="I720">
            <v>1.4159999999999999</v>
          </cell>
          <cell r="J720">
            <v>1.4159999999999999</v>
          </cell>
        </row>
        <row r="721">
          <cell r="B721">
            <v>695</v>
          </cell>
          <cell r="C721">
            <v>6</v>
          </cell>
          <cell r="D721" t="str">
            <v>Installation of trash rack</v>
          </cell>
          <cell r="E721" t="str">
            <v>Lắp đặt lưới chắn rác</v>
          </cell>
          <cell r="F721" t="str">
            <v>ton</v>
          </cell>
          <cell r="G721" t="str">
            <v>tấn</v>
          </cell>
          <cell r="H721">
            <v>1.593</v>
          </cell>
          <cell r="I721">
            <v>1.4159999999999999</v>
          </cell>
          <cell r="J721">
            <v>1.4159999999999999</v>
          </cell>
        </row>
        <row r="722">
          <cell r="B722">
            <v>696</v>
          </cell>
          <cell r="C722">
            <v>7</v>
          </cell>
          <cell r="D722" t="str">
            <v>Bolt D6mm, L=150mm</v>
          </cell>
          <cell r="E722" t="str">
            <v>Bu lông  D6mm, L=150mm</v>
          </cell>
          <cell r="F722" t="str">
            <v>set</v>
          </cell>
          <cell r="G722" t="str">
            <v>bộ</v>
          </cell>
          <cell r="H722">
            <v>540</v>
          </cell>
          <cell r="I722">
            <v>480</v>
          </cell>
          <cell r="J722">
            <v>480</v>
          </cell>
        </row>
        <row r="723">
          <cell r="B723">
            <v>697</v>
          </cell>
          <cell r="C723">
            <v>8</v>
          </cell>
          <cell r="D723" t="str">
            <v>Bolt D10mm, L=50mm</v>
          </cell>
          <cell r="E723" t="str">
            <v>Bu lông  D10mm, L=50mm</v>
          </cell>
          <cell r="F723" t="str">
            <v>set</v>
          </cell>
          <cell r="G723" t="str">
            <v>bộ</v>
          </cell>
          <cell r="H723">
            <v>540</v>
          </cell>
          <cell r="I723">
            <v>480</v>
          </cell>
          <cell r="J723">
            <v>480</v>
          </cell>
        </row>
        <row r="724">
          <cell r="B724">
            <v>698</v>
          </cell>
          <cell r="C724">
            <v>9</v>
          </cell>
          <cell r="D724" t="str">
            <v>Bolt D12mm, L=40mm</v>
          </cell>
          <cell r="E724" t="str">
            <v>Bu lông  D12mm, L=40mm</v>
          </cell>
          <cell r="F724" t="str">
            <v>set</v>
          </cell>
          <cell r="G724" t="str">
            <v>bộ</v>
          </cell>
          <cell r="H724">
            <v>1080</v>
          </cell>
          <cell r="I724">
            <v>960</v>
          </cell>
          <cell r="J724">
            <v>960</v>
          </cell>
        </row>
        <row r="725">
          <cell r="B725">
            <v>699</v>
          </cell>
          <cell r="C725">
            <v>10</v>
          </cell>
          <cell r="D725" t="str">
            <v>Install PVC pipe D=150mm</v>
          </cell>
          <cell r="E725" t="str">
            <v>Lắp đặt ống PVC D150</v>
          </cell>
          <cell r="F725" t="str">
            <v>m</v>
          </cell>
          <cell r="G725" t="str">
            <v>m</v>
          </cell>
          <cell r="H725">
            <v>464.4</v>
          </cell>
          <cell r="I725">
            <v>412.79999999999995</v>
          </cell>
          <cell r="J725">
            <v>412.79999999999995</v>
          </cell>
        </row>
        <row r="726">
          <cell r="B726">
            <v>700</v>
          </cell>
          <cell r="C726">
            <v>11</v>
          </cell>
          <cell r="D726" t="str">
            <v>Drainage by PVC pipe D=200mm</v>
          </cell>
          <cell r="E726" t="str">
            <v>Hệ thống thoát nước ống PVC D200</v>
          </cell>
          <cell r="F726" t="str">
            <v>m</v>
          </cell>
          <cell r="G726" t="str">
            <v>m</v>
          </cell>
          <cell r="H726">
            <v>97</v>
          </cell>
          <cell r="I726">
            <v>97</v>
          </cell>
          <cell r="J726">
            <v>97</v>
          </cell>
        </row>
        <row r="727">
          <cell r="B727">
            <v>701</v>
          </cell>
          <cell r="C727">
            <v>12</v>
          </cell>
          <cell r="D727" t="str">
            <v>Production of steel plate, steel box</v>
          </cell>
          <cell r="E727" t="str">
            <v>Sản xuất thép tấm, hộp thép</v>
          </cell>
          <cell r="F727" t="str">
            <v>ton</v>
          </cell>
          <cell r="G727" t="str">
            <v>tấn</v>
          </cell>
          <cell r="H727">
            <v>0.32511000000000001</v>
          </cell>
          <cell r="I727">
            <v>0.32511000000000001</v>
          </cell>
          <cell r="J727">
            <v>0.32511000000000001</v>
          </cell>
        </row>
        <row r="728">
          <cell r="B728">
            <v>702</v>
          </cell>
          <cell r="C728">
            <v>13</v>
          </cell>
          <cell r="D728" t="str">
            <v>Installation of steel plate, steel box</v>
          </cell>
          <cell r="E728" t="str">
            <v>Lắp đặt thép tấm, thép hộp</v>
          </cell>
          <cell r="F728" t="str">
            <v>ton</v>
          </cell>
          <cell r="G728" t="str">
            <v>tấn</v>
          </cell>
          <cell r="H728">
            <v>0.32511000000000001</v>
          </cell>
          <cell r="I728">
            <v>0.32511000000000001</v>
          </cell>
          <cell r="J728">
            <v>0.32511000000000001</v>
          </cell>
        </row>
        <row r="729">
          <cell r="B729">
            <v>703</v>
          </cell>
          <cell r="C729">
            <v>14</v>
          </cell>
          <cell r="D729" t="str">
            <v>Install steel pipe D=150/168mm</v>
          </cell>
          <cell r="E729" t="str">
            <v>Ống thép thoát nước, D=150/168mm</v>
          </cell>
          <cell r="F729" t="str">
            <v>m</v>
          </cell>
          <cell r="G729" t="str">
            <v>m</v>
          </cell>
          <cell r="H729">
            <v>5.1985835694050992</v>
          </cell>
          <cell r="I729">
            <v>5.1985835694050992</v>
          </cell>
          <cell r="J729">
            <v>5.1985835694050992</v>
          </cell>
        </row>
        <row r="730">
          <cell r="B730">
            <v>704</v>
          </cell>
          <cell r="C730">
            <v>15</v>
          </cell>
          <cell r="D730" t="str">
            <v>Production of trash rack</v>
          </cell>
          <cell r="E730" t="str">
            <v>Sản xuất lưới chắn rác</v>
          </cell>
          <cell r="F730" t="str">
            <v>ton</v>
          </cell>
          <cell r="G730" t="str">
            <v>tấn</v>
          </cell>
          <cell r="H730">
            <v>5.8999999999999997E-2</v>
          </cell>
          <cell r="I730">
            <v>5.8999999999999997E-2</v>
          </cell>
          <cell r="J730">
            <v>5.8999999999999997E-2</v>
          </cell>
        </row>
        <row r="731">
          <cell r="B731">
            <v>705</v>
          </cell>
          <cell r="C731">
            <v>16</v>
          </cell>
          <cell r="D731" t="str">
            <v>Installation of trash rack</v>
          </cell>
          <cell r="E731" t="str">
            <v>Lắp đặt lưới chắn rác</v>
          </cell>
          <cell r="F731" t="str">
            <v>ton</v>
          </cell>
          <cell r="G731" t="str">
            <v>tấn</v>
          </cell>
          <cell r="H731">
            <v>5.8999999999999997E-2</v>
          </cell>
          <cell r="I731">
            <v>5.8999999999999997E-2</v>
          </cell>
          <cell r="J731">
            <v>5.8999999999999997E-2</v>
          </cell>
        </row>
        <row r="732">
          <cell r="B732">
            <v>706</v>
          </cell>
          <cell r="C732">
            <v>17</v>
          </cell>
          <cell r="D732" t="str">
            <v>Bolt D6mm, L=150mm</v>
          </cell>
          <cell r="E732" t="str">
            <v>Bu lông  D6mm, L=150mm</v>
          </cell>
          <cell r="F732" t="str">
            <v>set</v>
          </cell>
          <cell r="G732" t="str">
            <v>bộ</v>
          </cell>
          <cell r="H732">
            <v>20</v>
          </cell>
          <cell r="I732">
            <v>20</v>
          </cell>
          <cell r="J732">
            <v>20</v>
          </cell>
        </row>
        <row r="733">
          <cell r="B733">
            <v>707</v>
          </cell>
          <cell r="C733">
            <v>18</v>
          </cell>
          <cell r="D733" t="str">
            <v xml:space="preserve">Bolt D16mm, L=300mm  </v>
          </cell>
          <cell r="E733" t="str">
            <v>Bu lông  D16mm, L=300mm</v>
          </cell>
          <cell r="F733" t="str">
            <v>set</v>
          </cell>
          <cell r="G733" t="str">
            <v>bộ</v>
          </cell>
          <cell r="H733">
            <v>80</v>
          </cell>
          <cell r="I733">
            <v>80</v>
          </cell>
          <cell r="J733">
            <v>80</v>
          </cell>
        </row>
        <row r="734">
          <cell r="B734">
            <v>708</v>
          </cell>
          <cell r="C734">
            <v>19</v>
          </cell>
          <cell r="D734" t="str">
            <v>Install PVC pipe D=200mm</v>
          </cell>
          <cell r="E734" t="str">
            <v>Lắp đặt ống PVC D200</v>
          </cell>
          <cell r="F734" t="str">
            <v>m</v>
          </cell>
          <cell r="G734" t="str">
            <v>m</v>
          </cell>
          <cell r="H734">
            <v>97</v>
          </cell>
          <cell r="I734">
            <v>97</v>
          </cell>
          <cell r="J734">
            <v>97</v>
          </cell>
        </row>
        <row r="735">
          <cell r="B735">
            <v>709</v>
          </cell>
          <cell r="D735" t="str">
            <v>6. Traffic safety</v>
          </cell>
          <cell r="E735" t="str">
            <v>6. An toàn giao thông</v>
          </cell>
          <cell r="J735">
            <v>0</v>
          </cell>
        </row>
        <row r="736">
          <cell r="B736">
            <v>710</v>
          </cell>
          <cell r="C736">
            <v>1</v>
          </cell>
          <cell r="D736" t="str">
            <v>Paint bridge marking reflection painting, t=2mm</v>
          </cell>
          <cell r="E736" t="str">
            <v>Sơn dẻo nhiệt phản quang dày 2mm</v>
          </cell>
          <cell r="F736" t="str">
            <v>m²</v>
          </cell>
          <cell r="G736" t="str">
            <v>m²</v>
          </cell>
          <cell r="H736">
            <v>791.23679999999911</v>
          </cell>
          <cell r="I736">
            <v>722.13119999999935</v>
          </cell>
          <cell r="J736">
            <v>722.13119999999935</v>
          </cell>
        </row>
        <row r="737">
          <cell r="B737">
            <v>711</v>
          </cell>
          <cell r="C737">
            <v>2</v>
          </cell>
          <cell r="D737" t="str">
            <v>Fabrication and Installation of steel pipe</v>
          </cell>
          <cell r="E737" t="str">
            <v>Sản xuất và xây lắp ống thép</v>
          </cell>
          <cell r="F737" t="str">
            <v>each</v>
          </cell>
          <cell r="G737" t="str">
            <v>cái</v>
          </cell>
          <cell r="H737">
            <v>4</v>
          </cell>
          <cell r="I737">
            <v>4</v>
          </cell>
          <cell r="J737">
            <v>4</v>
          </cell>
        </row>
        <row r="738">
          <cell r="B738">
            <v>712</v>
          </cell>
          <cell r="C738">
            <v>3</v>
          </cell>
          <cell r="D738" t="str">
            <v>Fabrication and Installation of reflected traffic sign.</v>
          </cell>
          <cell r="E738" t="str">
            <v>Sản xuất và lắp đặt biển báo phản quang</v>
          </cell>
          <cell r="F738" t="str">
            <v>each</v>
          </cell>
          <cell r="G738" t="str">
            <v>cái</v>
          </cell>
          <cell r="H738">
            <v>1</v>
          </cell>
          <cell r="I738">
            <v>1</v>
          </cell>
          <cell r="J738">
            <v>1</v>
          </cell>
        </row>
        <row r="739">
          <cell r="B739">
            <v>713</v>
          </cell>
          <cell r="C739">
            <v>4</v>
          </cell>
          <cell r="D739" t="str">
            <v>Fabrication and Installation of reflected traffic sign.</v>
          </cell>
          <cell r="E739" t="str">
            <v>Sản xuất và lắp đặt biển báo phản quang</v>
          </cell>
          <cell r="F739" t="str">
            <v>each</v>
          </cell>
          <cell r="G739" t="str">
            <v>cái</v>
          </cell>
          <cell r="H739">
            <v>2</v>
          </cell>
          <cell r="I739">
            <v>2</v>
          </cell>
          <cell r="J739">
            <v>2</v>
          </cell>
        </row>
        <row r="740">
          <cell r="B740">
            <v>714</v>
          </cell>
          <cell r="C740">
            <v>5</v>
          </cell>
          <cell r="D740" t="str">
            <v>Fabrication and Installation of reflected traffic sign.</v>
          </cell>
          <cell r="E740" t="str">
            <v>Sản xuất và lắp đặt biển báo phản quang</v>
          </cell>
          <cell r="F740" t="str">
            <v>each</v>
          </cell>
          <cell r="G740" t="str">
            <v>cái</v>
          </cell>
          <cell r="H740">
            <v>1</v>
          </cell>
          <cell r="I740">
            <v>1</v>
          </cell>
          <cell r="J740">
            <v>1</v>
          </cell>
        </row>
        <row r="741">
          <cell r="B741">
            <v>715</v>
          </cell>
          <cell r="D741" t="str">
            <v>6. Revetment for river bank protection</v>
          </cell>
          <cell r="E741" t="str">
            <v>6. Kết cấu kè bảo vệ bờ sông</v>
          </cell>
          <cell r="J741">
            <v>0</v>
          </cell>
        </row>
        <row r="742">
          <cell r="B742">
            <v>716</v>
          </cell>
          <cell r="D742" t="str">
            <v>Top of revetment</v>
          </cell>
          <cell r="E742" t="str">
            <v>Kết cấu phần trên kè</v>
          </cell>
          <cell r="F742" t="str">
            <v>m²</v>
          </cell>
          <cell r="G742" t="str">
            <v>m²</v>
          </cell>
          <cell r="H742">
            <v>133.71</v>
          </cell>
          <cell r="J742">
            <v>0</v>
          </cell>
        </row>
        <row r="743">
          <cell r="B743">
            <v>717</v>
          </cell>
          <cell r="C743">
            <v>1</v>
          </cell>
          <cell r="D743" t="str">
            <v>Excavating organic soil, level 1 by excavator ≤1,6m3</v>
          </cell>
          <cell r="E743" t="str">
            <v>Đào đất hữu cơ, đất cấp I bằng máy đào ≤1,6m3</v>
          </cell>
          <cell r="F743" t="str">
            <v>m3</v>
          </cell>
          <cell r="G743" t="str">
            <v>m3</v>
          </cell>
          <cell r="H743">
            <v>43.71125</v>
          </cell>
          <cell r="I743">
            <v>0</v>
          </cell>
          <cell r="J743">
            <v>0</v>
          </cell>
        </row>
        <row r="744">
          <cell r="B744">
            <v>718</v>
          </cell>
          <cell r="C744">
            <v>2</v>
          </cell>
          <cell r="D744" t="str">
            <v>Cajuput stake driving, soil level 1, D8-10, L=4,5m</v>
          </cell>
          <cell r="E744" t="str">
            <v>Đóng cừ tràm, đất cấp 1, D8-10, L=4,5m</v>
          </cell>
          <cell r="F744" t="str">
            <v>m</v>
          </cell>
          <cell r="G744" t="str">
            <v>m</v>
          </cell>
          <cell r="H744">
            <v>11848</v>
          </cell>
          <cell r="I744">
            <v>0</v>
          </cell>
          <cell r="J744">
            <v>0</v>
          </cell>
        </row>
        <row r="745">
          <cell r="B745">
            <v>719</v>
          </cell>
          <cell r="C745">
            <v>3</v>
          </cell>
          <cell r="D745" t="str">
            <v xml:space="preserve">Blinding aggregate 4x6, 15cm </v>
          </cell>
          <cell r="E745" t="str">
            <v xml:space="preserve">Đá dăm thoát nước 4x6, 15cm </v>
          </cell>
          <cell r="F745" t="str">
            <v>m3</v>
          </cell>
          <cell r="G745" t="str">
            <v>m3</v>
          </cell>
          <cell r="H745">
            <v>23.141249999999999</v>
          </cell>
          <cell r="I745">
            <v>0</v>
          </cell>
          <cell r="J745">
            <v>0</v>
          </cell>
        </row>
        <row r="746">
          <cell r="B746">
            <v>720</v>
          </cell>
          <cell r="C746">
            <v>4</v>
          </cell>
          <cell r="D746" t="str">
            <v>Blinding Concrete C20</v>
          </cell>
          <cell r="E746" t="str">
            <v>Bê tông lót C20</v>
          </cell>
          <cell r="F746" t="str">
            <v>m3</v>
          </cell>
          <cell r="G746" t="str">
            <v>m3</v>
          </cell>
          <cell r="H746">
            <v>21.598499999999998</v>
          </cell>
          <cell r="I746">
            <v>0</v>
          </cell>
          <cell r="J746">
            <v>0</v>
          </cell>
        </row>
        <row r="747">
          <cell r="B747">
            <v>721</v>
          </cell>
          <cell r="C747">
            <v>5</v>
          </cell>
          <cell r="D747" t="str">
            <v>Fabricate ready 50 m³/h mixed concrete</v>
          </cell>
          <cell r="E747" t="str">
            <v>Sản xuất vữa bê tông trạm trộn 50m³/h</v>
          </cell>
          <cell r="F747" t="str">
            <v>m3</v>
          </cell>
          <cell r="G747" t="str">
            <v>m3</v>
          </cell>
          <cell r="H747">
            <v>22.138462499999996</v>
          </cell>
          <cell r="I747">
            <v>0</v>
          </cell>
          <cell r="J747">
            <v>0</v>
          </cell>
        </row>
        <row r="748">
          <cell r="B748">
            <v>722</v>
          </cell>
          <cell r="C748">
            <v>6</v>
          </cell>
          <cell r="D748" t="str">
            <v>Transport ready mixed concrete distance 0,5km</v>
          </cell>
          <cell r="E748" t="str">
            <v>Vận chuyển bê tông cự ly 0,5km</v>
          </cell>
          <cell r="F748" t="str">
            <v>m3</v>
          </cell>
          <cell r="G748" t="str">
            <v>m3</v>
          </cell>
          <cell r="H748">
            <v>22.138462499999996</v>
          </cell>
          <cell r="I748">
            <v>0</v>
          </cell>
          <cell r="J748">
            <v>0</v>
          </cell>
        </row>
        <row r="749">
          <cell r="B749">
            <v>723</v>
          </cell>
          <cell r="C749">
            <v>7</v>
          </cell>
          <cell r="D749" t="str">
            <v>Stone masonry C10</v>
          </cell>
          <cell r="E749" t="str">
            <v>Đá hộc xây C10</v>
          </cell>
          <cell r="F749" t="str">
            <v>m3</v>
          </cell>
          <cell r="G749" t="str">
            <v>m3</v>
          </cell>
          <cell r="H749">
            <v>77.137499999999989</v>
          </cell>
          <cell r="I749">
            <v>0</v>
          </cell>
          <cell r="J749">
            <v>0</v>
          </cell>
        </row>
        <row r="750">
          <cell r="B750">
            <v>724</v>
          </cell>
          <cell r="C750">
            <v>8</v>
          </cell>
          <cell r="D750" t="str">
            <v>Bracing beam</v>
          </cell>
          <cell r="E750" t="str">
            <v>Dầm gia cường</v>
          </cell>
          <cell r="H750">
            <v>13.88475</v>
          </cell>
          <cell r="I750">
            <v>0</v>
          </cell>
          <cell r="J750">
            <v>0</v>
          </cell>
        </row>
        <row r="751">
          <cell r="B751">
            <v>725</v>
          </cell>
          <cell r="C751">
            <v>9</v>
          </cell>
          <cell r="D751" t="str">
            <v>Concrete C20 for bracing beam</v>
          </cell>
          <cell r="E751" t="str">
            <v>Bê tông C20 dầm gia cường</v>
          </cell>
          <cell r="F751" t="str">
            <v>m3</v>
          </cell>
          <cell r="G751" t="str">
            <v>m3</v>
          </cell>
          <cell r="H751">
            <v>13.88475</v>
          </cell>
          <cell r="I751">
            <v>0</v>
          </cell>
          <cell r="J751">
            <v>0</v>
          </cell>
        </row>
        <row r="752">
          <cell r="B752">
            <v>726</v>
          </cell>
          <cell r="C752">
            <v>10</v>
          </cell>
          <cell r="D752" t="str">
            <v>Fabricate ready 50 m³/h mixed concrete</v>
          </cell>
          <cell r="E752" t="str">
            <v>Sản xuất vữa bê tông trạm trộn 50m³/h</v>
          </cell>
          <cell r="F752" t="str">
            <v>m3</v>
          </cell>
          <cell r="G752" t="str">
            <v>m3</v>
          </cell>
          <cell r="H752">
            <v>14.231868749999999</v>
          </cell>
          <cell r="I752">
            <v>0</v>
          </cell>
          <cell r="J752">
            <v>0</v>
          </cell>
        </row>
        <row r="753">
          <cell r="B753">
            <v>727</v>
          </cell>
          <cell r="C753">
            <v>11</v>
          </cell>
          <cell r="D753" t="str">
            <v>Transport ready mixed concrete distance 0,5km</v>
          </cell>
          <cell r="E753" t="str">
            <v>Vận chuyển bê tông cự ly 0,5km</v>
          </cell>
          <cell r="F753" t="str">
            <v>m3</v>
          </cell>
          <cell r="G753" t="str">
            <v>m3</v>
          </cell>
          <cell r="H753">
            <v>14.231868749999999</v>
          </cell>
          <cell r="I753">
            <v>0</v>
          </cell>
          <cell r="J753">
            <v>0</v>
          </cell>
        </row>
        <row r="754">
          <cell r="B754">
            <v>728</v>
          </cell>
          <cell r="C754">
            <v>12</v>
          </cell>
          <cell r="D754" t="str">
            <v>Formwork for bracing beam</v>
          </cell>
          <cell r="E754" t="str">
            <v>Ván khuôn dầm gia cường</v>
          </cell>
          <cell r="F754" t="str">
            <v>m2</v>
          </cell>
          <cell r="G754" t="str">
            <v>m2</v>
          </cell>
          <cell r="H754">
            <v>298.26499999999999</v>
          </cell>
          <cell r="I754">
            <v>0</v>
          </cell>
          <cell r="J754">
            <v>0</v>
          </cell>
        </row>
        <row r="755">
          <cell r="B755">
            <v>729</v>
          </cell>
          <cell r="C755">
            <v>13</v>
          </cell>
          <cell r="D755" t="str">
            <v>Rebar Ф ≤ 10 for bracing beam</v>
          </cell>
          <cell r="E755" t="str">
            <v>Cốt thép dầm gia cường Ф ≤ 10</v>
          </cell>
          <cell r="F755" t="str">
            <v>ton</v>
          </cell>
          <cell r="G755" t="str">
            <v>tấn</v>
          </cell>
          <cell r="H755">
            <v>0.5542758000000001</v>
          </cell>
          <cell r="I755">
            <v>0</v>
          </cell>
          <cell r="J755">
            <v>0</v>
          </cell>
        </row>
        <row r="756">
          <cell r="B756">
            <v>730</v>
          </cell>
          <cell r="D756" t="str">
            <v>Body of revetment</v>
          </cell>
          <cell r="E756" t="str">
            <v>Kết cấu phần dưới kè</v>
          </cell>
          <cell r="F756" t="str">
            <v>m²</v>
          </cell>
          <cell r="G756" t="str">
            <v>m²</v>
          </cell>
          <cell r="H756">
            <v>1242.81</v>
          </cell>
          <cell r="J756">
            <v>0</v>
          </cell>
        </row>
        <row r="757">
          <cell r="B757">
            <v>731</v>
          </cell>
          <cell r="C757">
            <v>1</v>
          </cell>
          <cell r="D757" t="str">
            <v>Excavating organic soil, level 1 by excavator ≤1,6m3</v>
          </cell>
          <cell r="E757" t="str">
            <v>Đào đất hữu cơ, đất cấp I bằng máy đào ≤1,6m3</v>
          </cell>
          <cell r="F757" t="str">
            <v>m3</v>
          </cell>
          <cell r="G757" t="str">
            <v>m3</v>
          </cell>
          <cell r="H757">
            <v>411.8</v>
          </cell>
          <cell r="I757">
            <v>0</v>
          </cell>
          <cell r="J757">
            <v>0</v>
          </cell>
        </row>
        <row r="758">
          <cell r="B758">
            <v>732</v>
          </cell>
          <cell r="C758">
            <v>2</v>
          </cell>
          <cell r="D758" t="str">
            <v>Cajuput stake driving, soil level 1, D8-10, L=4,5m</v>
          </cell>
          <cell r="E758" t="str">
            <v>Đóng cừ tràm, đất cấp 1, D8-10, L=4,5m</v>
          </cell>
          <cell r="F758" t="str">
            <v>m</v>
          </cell>
          <cell r="G758" t="str">
            <v>m</v>
          </cell>
          <cell r="H758">
            <v>28620</v>
          </cell>
          <cell r="I758">
            <v>0</v>
          </cell>
          <cell r="J758">
            <v>0</v>
          </cell>
        </row>
        <row r="759">
          <cell r="B759">
            <v>733</v>
          </cell>
          <cell r="C759">
            <v>3</v>
          </cell>
          <cell r="D759" t="str">
            <v xml:space="preserve">Blinding aggregate 4x6, 15cm </v>
          </cell>
          <cell r="E759" t="str">
            <v xml:space="preserve">Đá dăm thoát nước 4x6, 15cm </v>
          </cell>
          <cell r="F759" t="str">
            <v>m3</v>
          </cell>
          <cell r="G759" t="str">
            <v>m3</v>
          </cell>
          <cell r="H759">
            <v>39.375</v>
          </cell>
          <cell r="I759">
            <v>0</v>
          </cell>
          <cell r="J759">
            <v>0</v>
          </cell>
        </row>
        <row r="760">
          <cell r="B760">
            <v>734</v>
          </cell>
          <cell r="C760">
            <v>4</v>
          </cell>
          <cell r="D760" t="str">
            <v>Blinding Concrete C20</v>
          </cell>
          <cell r="E760" t="str">
            <v>Bê tông lót C20</v>
          </cell>
          <cell r="F760" t="str">
            <v>m3</v>
          </cell>
          <cell r="G760" t="str">
            <v>m3</v>
          </cell>
          <cell r="H760">
            <v>39.375</v>
          </cell>
          <cell r="I760">
            <v>0</v>
          </cell>
          <cell r="J760">
            <v>0</v>
          </cell>
        </row>
        <row r="761">
          <cell r="B761">
            <v>735</v>
          </cell>
          <cell r="C761">
            <v>5</v>
          </cell>
          <cell r="D761" t="str">
            <v>Blinding Concrete C20</v>
          </cell>
          <cell r="E761" t="str">
            <v>Bê tông lót C20</v>
          </cell>
          <cell r="F761" t="str">
            <v>m3</v>
          </cell>
          <cell r="G761" t="str">
            <v>m3</v>
          </cell>
          <cell r="H761">
            <v>39.375</v>
          </cell>
          <cell r="I761">
            <v>0</v>
          </cell>
          <cell r="J761">
            <v>0</v>
          </cell>
        </row>
        <row r="762">
          <cell r="B762">
            <v>736</v>
          </cell>
          <cell r="C762">
            <v>6</v>
          </cell>
          <cell r="D762" t="str">
            <v>Fabricate ready 50 m³/h mixed concrete</v>
          </cell>
          <cell r="E762" t="str">
            <v>Sản xuất vữa bê tông trạm trộn 50m³/h</v>
          </cell>
          <cell r="F762" t="str">
            <v>m3</v>
          </cell>
          <cell r="G762" t="str">
            <v>m3</v>
          </cell>
          <cell r="H762">
            <v>39.965624999999996</v>
          </cell>
          <cell r="I762">
            <v>0</v>
          </cell>
          <cell r="J762">
            <v>0</v>
          </cell>
        </row>
        <row r="763">
          <cell r="B763">
            <v>737</v>
          </cell>
          <cell r="C763">
            <v>7</v>
          </cell>
          <cell r="D763" t="str">
            <v>Transport ready mixed concrete distance 0,5km</v>
          </cell>
          <cell r="E763" t="str">
            <v>Vận chuyển bê tông cự ly 0,5km</v>
          </cell>
          <cell r="F763" t="str">
            <v>m3</v>
          </cell>
          <cell r="G763" t="str">
            <v>m3</v>
          </cell>
          <cell r="H763">
            <v>39.965624999999996</v>
          </cell>
          <cell r="I763">
            <v>0</v>
          </cell>
          <cell r="J763">
            <v>0</v>
          </cell>
        </row>
        <row r="764">
          <cell r="B764">
            <v>738</v>
          </cell>
          <cell r="C764">
            <v>8</v>
          </cell>
          <cell r="D764" t="str">
            <v>Blinding Concrete C20</v>
          </cell>
          <cell r="E764" t="str">
            <v>Bê tông lót C20</v>
          </cell>
          <cell r="F764" t="str">
            <v>m3</v>
          </cell>
          <cell r="G764" t="str">
            <v>m3</v>
          </cell>
          <cell r="H764">
            <v>157.5</v>
          </cell>
          <cell r="I764">
            <v>0</v>
          </cell>
          <cell r="J764">
            <v>0</v>
          </cell>
        </row>
        <row r="765">
          <cell r="B765">
            <v>739</v>
          </cell>
          <cell r="C765">
            <v>9</v>
          </cell>
          <cell r="D765" t="str">
            <v>Fabricate ready 50 m³/h mixed concrete</v>
          </cell>
          <cell r="E765" t="str">
            <v>Sản xuất vữa bê tông trạm trộn 50m³/h</v>
          </cell>
          <cell r="F765" t="str">
            <v>m3</v>
          </cell>
          <cell r="G765" t="str">
            <v>m3</v>
          </cell>
          <cell r="H765">
            <v>159.86249999999998</v>
          </cell>
          <cell r="I765">
            <v>0</v>
          </cell>
          <cell r="J765">
            <v>0</v>
          </cell>
        </row>
        <row r="766">
          <cell r="B766">
            <v>740</v>
          </cell>
          <cell r="C766">
            <v>10</v>
          </cell>
          <cell r="D766" t="str">
            <v>Transport ready mixed concrete distance 0,5km</v>
          </cell>
          <cell r="E766" t="str">
            <v>Vận chuyển bê tông cự ly 0,5km</v>
          </cell>
          <cell r="F766" t="str">
            <v>m3</v>
          </cell>
          <cell r="G766" t="str">
            <v>m3</v>
          </cell>
          <cell r="H766">
            <v>159.86249999999998</v>
          </cell>
          <cell r="I766">
            <v>0</v>
          </cell>
          <cell r="J766">
            <v>0</v>
          </cell>
        </row>
        <row r="767">
          <cell r="B767">
            <v>741</v>
          </cell>
          <cell r="C767">
            <v>11</v>
          </cell>
          <cell r="D767" t="str">
            <v>Spreading geotextile fabric 12kN/m</v>
          </cell>
          <cell r="E767" t="str">
            <v>Trải vải địa kỹ thuật 12kN/m</v>
          </cell>
          <cell r="F767" t="str">
            <v>m2</v>
          </cell>
          <cell r="G767" t="str">
            <v>m2</v>
          </cell>
          <cell r="H767">
            <v>4243.2</v>
          </cell>
          <cell r="I767">
            <v>0</v>
          </cell>
          <cell r="J767">
            <v>0</v>
          </cell>
        </row>
        <row r="768">
          <cell r="B768">
            <v>742</v>
          </cell>
          <cell r="C768">
            <v>12</v>
          </cell>
          <cell r="D768" t="str">
            <v>Stone masonry C10</v>
          </cell>
          <cell r="E768" t="str">
            <v>Đá hộc xây C10</v>
          </cell>
          <cell r="F768" t="str">
            <v>m3</v>
          </cell>
          <cell r="G768" t="str">
            <v>m3</v>
          </cell>
          <cell r="H768">
            <v>779.41120000000001</v>
          </cell>
          <cell r="I768">
            <v>0</v>
          </cell>
          <cell r="J768">
            <v>0</v>
          </cell>
        </row>
        <row r="769">
          <cell r="B769">
            <v>743</v>
          </cell>
          <cell r="C769">
            <v>13</v>
          </cell>
          <cell r="D769" t="str">
            <v>Rock chips layer 0.5mx2mx5m</v>
          </cell>
          <cell r="E769" t="str">
            <v>Thảm đá 0.5mx2mx5m</v>
          </cell>
          <cell r="F769" t="str">
            <v>m3</v>
          </cell>
          <cell r="G769" t="str">
            <v>m3</v>
          </cell>
          <cell r="H769">
            <v>1768</v>
          </cell>
          <cell r="I769">
            <v>0</v>
          </cell>
          <cell r="J769">
            <v>0</v>
          </cell>
        </row>
        <row r="770">
          <cell r="B770">
            <v>744</v>
          </cell>
          <cell r="C770">
            <v>14</v>
          </cell>
          <cell r="D770" t="str">
            <v>Bracing beam</v>
          </cell>
          <cell r="E770" t="str">
            <v>Dầm gia cường</v>
          </cell>
          <cell r="H770">
            <v>23.625</v>
          </cell>
          <cell r="I770">
            <v>0</v>
          </cell>
          <cell r="J770">
            <v>0</v>
          </cell>
        </row>
        <row r="771">
          <cell r="B771">
            <v>745</v>
          </cell>
          <cell r="C771">
            <v>15</v>
          </cell>
          <cell r="D771" t="str">
            <v>Concrete C20 for bracing beam</v>
          </cell>
          <cell r="E771" t="str">
            <v>Bê tông C20 dầm gia cường</v>
          </cell>
          <cell r="F771" t="str">
            <v>m3</v>
          </cell>
          <cell r="G771" t="str">
            <v>m3</v>
          </cell>
          <cell r="H771">
            <v>23.625</v>
          </cell>
          <cell r="I771">
            <v>0</v>
          </cell>
          <cell r="J771">
            <v>0</v>
          </cell>
        </row>
        <row r="772">
          <cell r="B772">
            <v>746</v>
          </cell>
          <cell r="C772">
            <v>16</v>
          </cell>
          <cell r="D772" t="str">
            <v>Fabricate ready 50 m³/h mixed concrete</v>
          </cell>
          <cell r="E772" t="str">
            <v>Sản xuất vữa bê tông trạm trộn 50m³/h</v>
          </cell>
          <cell r="F772" t="str">
            <v>m3</v>
          </cell>
          <cell r="G772" t="str">
            <v>m3</v>
          </cell>
          <cell r="H772">
            <v>23.979374999999997</v>
          </cell>
          <cell r="I772">
            <v>0</v>
          </cell>
          <cell r="J772">
            <v>0</v>
          </cell>
        </row>
        <row r="773">
          <cell r="B773">
            <v>747</v>
          </cell>
          <cell r="C773">
            <v>17</v>
          </cell>
          <cell r="D773" t="str">
            <v>Transport ready mixed concrete distance 0,5km</v>
          </cell>
          <cell r="E773" t="str">
            <v>Vận chuyển bê tông cự ly 0,5km</v>
          </cell>
          <cell r="F773" t="str">
            <v>m3</v>
          </cell>
          <cell r="G773" t="str">
            <v>m3</v>
          </cell>
          <cell r="H773">
            <v>23.979374999999997</v>
          </cell>
          <cell r="I773">
            <v>0</v>
          </cell>
          <cell r="J773">
            <v>0</v>
          </cell>
        </row>
        <row r="774">
          <cell r="B774">
            <v>748</v>
          </cell>
          <cell r="C774">
            <v>18</v>
          </cell>
          <cell r="D774" t="str">
            <v>Formwork for bracing beam</v>
          </cell>
          <cell r="E774" t="str">
            <v>Ván khuôn dầm gia cường</v>
          </cell>
          <cell r="F774" t="str">
            <v>m2</v>
          </cell>
          <cell r="G774" t="str">
            <v>m2</v>
          </cell>
          <cell r="H774">
            <v>288.75</v>
          </cell>
          <cell r="I774">
            <v>0</v>
          </cell>
          <cell r="J774">
            <v>0</v>
          </cell>
        </row>
        <row r="775">
          <cell r="B775">
            <v>749</v>
          </cell>
          <cell r="C775">
            <v>19</v>
          </cell>
          <cell r="D775" t="str">
            <v>Rebar Ф ≤ 10 for bracing beam</v>
          </cell>
          <cell r="E775" t="str">
            <v>Cốt thép dầm gia cường Ф ≤ 10</v>
          </cell>
          <cell r="F775" t="str">
            <v>ton</v>
          </cell>
          <cell r="G775" t="str">
            <v>tấn</v>
          </cell>
          <cell r="H775">
            <v>0.95057820000000004</v>
          </cell>
          <cell r="I775">
            <v>0</v>
          </cell>
          <cell r="J775">
            <v>0</v>
          </cell>
        </row>
        <row r="776">
          <cell r="B776">
            <v>750</v>
          </cell>
          <cell r="C776">
            <v>20</v>
          </cell>
          <cell r="D776" t="str">
            <v xml:space="preserve">Driven sheet pile on land </v>
          </cell>
          <cell r="E776" t="str">
            <v>Đóng cọc ván thép trên cạn</v>
          </cell>
          <cell r="F776" t="str">
            <v>m</v>
          </cell>
          <cell r="G776" t="str">
            <v>m</v>
          </cell>
          <cell r="H776">
            <v>4957.5</v>
          </cell>
          <cell r="I776">
            <v>0</v>
          </cell>
          <cell r="J776">
            <v>0</v>
          </cell>
        </row>
        <row r="777">
          <cell r="B777">
            <v>751</v>
          </cell>
          <cell r="C777">
            <v>21</v>
          </cell>
          <cell r="D777" t="str">
            <v>Extract Steel Sheet Pile on land</v>
          </cell>
          <cell r="E777" t="str">
            <v>Nhổ cọc ván thép trên cạn</v>
          </cell>
          <cell r="F777" t="str">
            <v>m</v>
          </cell>
          <cell r="G777" t="str">
            <v>m</v>
          </cell>
          <cell r="H777">
            <v>4957.5</v>
          </cell>
          <cell r="I777">
            <v>0</v>
          </cell>
          <cell r="J777">
            <v>0</v>
          </cell>
        </row>
        <row r="778">
          <cell r="B778">
            <v>752</v>
          </cell>
          <cell r="C778">
            <v>22</v>
          </cell>
          <cell r="D778" t="str">
            <v>Fabrication of supporting belt frame of steel sheet pile</v>
          </cell>
          <cell r="E778" t="str">
            <v>Gia công hệ khung chống cọc ván thép</v>
          </cell>
          <cell r="F778" t="str">
            <v>ton</v>
          </cell>
          <cell r="G778" t="str">
            <v>tấn</v>
          </cell>
          <cell r="H778">
            <v>16.53</v>
          </cell>
          <cell r="I778">
            <v>0</v>
          </cell>
          <cell r="J778">
            <v>0</v>
          </cell>
        </row>
        <row r="779">
          <cell r="B779">
            <v>753</v>
          </cell>
          <cell r="C779">
            <v>23</v>
          </cell>
          <cell r="D779" t="str">
            <v>Install and remove supporting belt frame</v>
          </cell>
          <cell r="E779" t="str">
            <v>Lắp dựng và tháo dỡ hệ khung chống</v>
          </cell>
          <cell r="F779" t="str">
            <v>ton</v>
          </cell>
          <cell r="G779" t="str">
            <v>tấn</v>
          </cell>
          <cell r="H779">
            <v>16.53</v>
          </cell>
          <cell r="I779">
            <v>0</v>
          </cell>
          <cell r="J779">
            <v>0</v>
          </cell>
        </row>
        <row r="780">
          <cell r="B780">
            <v>754</v>
          </cell>
          <cell r="D780" t="str">
            <v>Bank protection of revetment</v>
          </cell>
          <cell r="E780" t="str">
            <v>Kết cấu mái kè</v>
          </cell>
          <cell r="F780" t="str">
            <v>m²</v>
          </cell>
          <cell r="G780" t="str">
            <v>m²</v>
          </cell>
          <cell r="H780">
            <v>4558.22</v>
          </cell>
          <cell r="J780">
            <v>0</v>
          </cell>
        </row>
        <row r="781">
          <cell r="B781">
            <v>755</v>
          </cell>
          <cell r="C781">
            <v>1</v>
          </cell>
          <cell r="D781" t="str">
            <v>Excavating organic soil, level 1 by excavator ≤1,6m3</v>
          </cell>
          <cell r="E781" t="str">
            <v>Đào đất hữu cơ, đất cấp I bằng máy đào ≤1,6m3</v>
          </cell>
          <cell r="F781" t="str">
            <v>m3</v>
          </cell>
          <cell r="G781" t="str">
            <v>m3</v>
          </cell>
          <cell r="H781">
            <v>671.16</v>
          </cell>
          <cell r="I781">
            <v>0</v>
          </cell>
          <cell r="J781">
            <v>0</v>
          </cell>
        </row>
        <row r="782">
          <cell r="B782">
            <v>756</v>
          </cell>
          <cell r="C782">
            <v>2</v>
          </cell>
          <cell r="D782" t="str">
            <v>Spreading geotextile fabric 12kN/m</v>
          </cell>
          <cell r="E782" t="str">
            <v>Trải vải địa kỹ thuật 12kN/m</v>
          </cell>
          <cell r="F782" t="str">
            <v>m2</v>
          </cell>
          <cell r="G782" t="str">
            <v>m2</v>
          </cell>
          <cell r="H782">
            <v>1140.3</v>
          </cell>
          <cell r="I782">
            <v>0</v>
          </cell>
          <cell r="J782">
            <v>0</v>
          </cell>
        </row>
        <row r="783">
          <cell r="B783">
            <v>757</v>
          </cell>
          <cell r="C783">
            <v>3</v>
          </cell>
          <cell r="D783" t="str">
            <v xml:space="preserve">Blinding aggregate 4x6, 15cm </v>
          </cell>
          <cell r="E783" t="str">
            <v xml:space="preserve">Đá dăm thoát nước 4x6, 15cm </v>
          </cell>
          <cell r="F783" t="str">
            <v>m3</v>
          </cell>
          <cell r="G783" t="str">
            <v>m3</v>
          </cell>
          <cell r="H783">
            <v>143.85</v>
          </cell>
          <cell r="I783">
            <v>0</v>
          </cell>
          <cell r="J783">
            <v>0</v>
          </cell>
        </row>
        <row r="784">
          <cell r="B784">
            <v>758</v>
          </cell>
          <cell r="C784">
            <v>4</v>
          </cell>
          <cell r="D784" t="str">
            <v>Bedding concrete C10</v>
          </cell>
          <cell r="E784" t="str">
            <v>Bê tông C10 lót móng</v>
          </cell>
          <cell r="F784" t="str">
            <v>m3</v>
          </cell>
          <cell r="G784" t="str">
            <v>m3</v>
          </cell>
          <cell r="H784">
            <v>4.2336</v>
          </cell>
          <cell r="I784">
            <v>0</v>
          </cell>
          <cell r="J784">
            <v>0</v>
          </cell>
        </row>
        <row r="785">
          <cell r="B785">
            <v>759</v>
          </cell>
          <cell r="C785">
            <v>5</v>
          </cell>
          <cell r="D785" t="str">
            <v>Bedding concrete C10</v>
          </cell>
          <cell r="E785" t="str">
            <v>Bê tông C10 lót móng</v>
          </cell>
          <cell r="F785" t="str">
            <v>m3</v>
          </cell>
          <cell r="G785" t="str">
            <v>m3</v>
          </cell>
          <cell r="H785">
            <v>4.2336</v>
          </cell>
          <cell r="I785">
            <v>0</v>
          </cell>
          <cell r="J785">
            <v>0</v>
          </cell>
        </row>
        <row r="786">
          <cell r="B786">
            <v>760</v>
          </cell>
          <cell r="C786">
            <v>6</v>
          </cell>
          <cell r="D786" t="str">
            <v>Fabricate ready 50 m³/h mixed concrete</v>
          </cell>
          <cell r="E786" t="str">
            <v>Sản xuất vữa bê tông trạm trộn 50m³/h</v>
          </cell>
          <cell r="F786" t="str">
            <v>m3</v>
          </cell>
          <cell r="G786" t="str">
            <v>m3</v>
          </cell>
          <cell r="H786">
            <v>4.360608</v>
          </cell>
          <cell r="I786">
            <v>0</v>
          </cell>
          <cell r="J786">
            <v>0</v>
          </cell>
        </row>
        <row r="787">
          <cell r="B787">
            <v>761</v>
          </cell>
          <cell r="C787">
            <v>7</v>
          </cell>
          <cell r="D787" t="str">
            <v>Transport ready mixed concrete distance 0,5km</v>
          </cell>
          <cell r="E787" t="str">
            <v>Vận chuyển bê tông cự ly 0,5km</v>
          </cell>
          <cell r="F787" t="str">
            <v>m3</v>
          </cell>
          <cell r="G787" t="str">
            <v>m3</v>
          </cell>
          <cell r="H787">
            <v>4.360608</v>
          </cell>
          <cell r="I787">
            <v>0</v>
          </cell>
          <cell r="J787">
            <v>0</v>
          </cell>
        </row>
        <row r="788">
          <cell r="B788">
            <v>762</v>
          </cell>
          <cell r="C788">
            <v>8</v>
          </cell>
          <cell r="D788" t="str">
            <v>Stone masonry C10</v>
          </cell>
          <cell r="E788" t="str">
            <v>Đá hộc xây C10</v>
          </cell>
          <cell r="F788" t="str">
            <v>m3</v>
          </cell>
          <cell r="G788" t="str">
            <v>m3</v>
          </cell>
          <cell r="H788">
            <v>128.44400000000002</v>
          </cell>
          <cell r="I788">
            <v>0</v>
          </cell>
          <cell r="J788">
            <v>0</v>
          </cell>
        </row>
        <row r="789">
          <cell r="B789">
            <v>763</v>
          </cell>
          <cell r="D789" t="str">
            <v>* Precast block</v>
          </cell>
          <cell r="E789" t="str">
            <v>* Tấm BTCT đúc sẵn</v>
          </cell>
          <cell r="J789">
            <v>0</v>
          </cell>
        </row>
        <row r="790">
          <cell r="B790">
            <v>764</v>
          </cell>
          <cell r="C790">
            <v>1</v>
          </cell>
          <cell r="D790" t="str">
            <v>Concrete of precast C20</v>
          </cell>
          <cell r="E790" t="str">
            <v>Bê tông C20 đúc sẵn</v>
          </cell>
          <cell r="F790" t="str">
            <v>m3</v>
          </cell>
          <cell r="G790" t="str">
            <v>m3</v>
          </cell>
          <cell r="H790">
            <v>143.85</v>
          </cell>
          <cell r="I790">
            <v>0</v>
          </cell>
          <cell r="J790">
            <v>0</v>
          </cell>
        </row>
        <row r="791">
          <cell r="B791">
            <v>765</v>
          </cell>
          <cell r="C791">
            <v>2</v>
          </cell>
          <cell r="D791" t="str">
            <v>Concrete of precast C20</v>
          </cell>
          <cell r="E791" t="str">
            <v>Bê tông C20 đúc sẵn</v>
          </cell>
          <cell r="F791" t="str">
            <v>m3</v>
          </cell>
          <cell r="G791" t="str">
            <v>m3</v>
          </cell>
          <cell r="H791">
            <v>143.85</v>
          </cell>
          <cell r="I791">
            <v>0</v>
          </cell>
          <cell r="J791">
            <v>0</v>
          </cell>
        </row>
        <row r="792">
          <cell r="B792">
            <v>766</v>
          </cell>
          <cell r="C792">
            <v>3</v>
          </cell>
          <cell r="D792" t="str">
            <v>Fabricate ready 50 m³/h mixed concrete</v>
          </cell>
          <cell r="E792" t="str">
            <v>Sản xuất vữa bê tông trạm trộn 50m³/h</v>
          </cell>
          <cell r="F792" t="str">
            <v>m3</v>
          </cell>
          <cell r="G792" t="str">
            <v>m3</v>
          </cell>
          <cell r="H792">
            <v>146.00774999999999</v>
          </cell>
          <cell r="I792">
            <v>0</v>
          </cell>
          <cell r="J792">
            <v>0</v>
          </cell>
        </row>
        <row r="793">
          <cell r="B793">
            <v>767</v>
          </cell>
          <cell r="C793">
            <v>4</v>
          </cell>
          <cell r="D793" t="str">
            <v>Transport ready mixed concrete distance 0,5km</v>
          </cell>
          <cell r="E793" t="str">
            <v>Vận chuyển bê tông cự ly 0,5km</v>
          </cell>
          <cell r="F793" t="str">
            <v>m3</v>
          </cell>
          <cell r="G793" t="str">
            <v>m3</v>
          </cell>
          <cell r="H793">
            <v>146.00774999999999</v>
          </cell>
          <cell r="I793">
            <v>0</v>
          </cell>
          <cell r="J793">
            <v>0</v>
          </cell>
        </row>
        <row r="794">
          <cell r="B794">
            <v>768</v>
          </cell>
          <cell r="C794">
            <v>5</v>
          </cell>
          <cell r="D794" t="str">
            <v>Formwork for concrete of precast</v>
          </cell>
          <cell r="E794" t="str">
            <v>Ván khuôn bê tông đúc sẵn</v>
          </cell>
          <cell r="F794" t="str">
            <v>m2</v>
          </cell>
          <cell r="G794" t="str">
            <v>m2</v>
          </cell>
          <cell r="H794">
            <v>719.25</v>
          </cell>
          <cell r="I794">
            <v>0</v>
          </cell>
          <cell r="J794">
            <v>0</v>
          </cell>
        </row>
        <row r="795">
          <cell r="B795">
            <v>769</v>
          </cell>
          <cell r="C795">
            <v>6</v>
          </cell>
          <cell r="D795" t="str">
            <v>Install precast R.C Separating strip</v>
          </cell>
          <cell r="E795" t="str">
            <v>Lắp đặt các tấm bê tông dải phấn cách đúc sẵn</v>
          </cell>
          <cell r="F795" t="str">
            <v>Ea</v>
          </cell>
          <cell r="G795" t="str">
            <v>tấm</v>
          </cell>
          <cell r="H795">
            <v>959</v>
          </cell>
          <cell r="I795">
            <v>0</v>
          </cell>
          <cell r="J795">
            <v>0</v>
          </cell>
        </row>
        <row r="796">
          <cell r="B796">
            <v>770</v>
          </cell>
          <cell r="C796">
            <v>7</v>
          </cell>
          <cell r="D796" t="str">
            <v>Rebar Ф ≤ 10 for Precast concrete</v>
          </cell>
          <cell r="E796" t="str">
            <v>Cốt thép tấm bê tông đúc sẵn Ф ≤ 10</v>
          </cell>
          <cell r="F796" t="str">
            <v>ton</v>
          </cell>
          <cell r="G796" t="str">
            <v>tấn</v>
          </cell>
          <cell r="H796">
            <v>9.3352895999999994</v>
          </cell>
          <cell r="I796">
            <v>0</v>
          </cell>
          <cell r="J796">
            <v>0</v>
          </cell>
        </row>
        <row r="797">
          <cell r="B797">
            <v>771</v>
          </cell>
          <cell r="C797">
            <v>8</v>
          </cell>
          <cell r="D797" t="str">
            <v>Bracing beam</v>
          </cell>
          <cell r="E797" t="str">
            <v>Dầm gia cường</v>
          </cell>
          <cell r="F797" t="str">
            <v>m3</v>
          </cell>
          <cell r="G797" t="str">
            <v>m3</v>
          </cell>
          <cell r="H797">
            <v>15.876000000000001</v>
          </cell>
          <cell r="I797">
            <v>0</v>
          </cell>
          <cell r="J797">
            <v>0</v>
          </cell>
        </row>
        <row r="798">
          <cell r="B798">
            <v>772</v>
          </cell>
          <cell r="C798">
            <v>9</v>
          </cell>
          <cell r="D798" t="str">
            <v>Concrete C20 for bracing beam</v>
          </cell>
          <cell r="E798" t="str">
            <v>Bê tông C20 dầm gia cường</v>
          </cell>
          <cell r="F798" t="str">
            <v>m3</v>
          </cell>
          <cell r="G798" t="str">
            <v>m3</v>
          </cell>
          <cell r="H798">
            <v>15.876000000000001</v>
          </cell>
          <cell r="I798">
            <v>0</v>
          </cell>
          <cell r="J798">
            <v>0</v>
          </cell>
        </row>
        <row r="799">
          <cell r="B799">
            <v>773</v>
          </cell>
          <cell r="C799">
            <v>10</v>
          </cell>
          <cell r="D799" t="str">
            <v>Fabricate ready 50 m³/h mixed concrete</v>
          </cell>
          <cell r="E799" t="str">
            <v>Sản xuất vữa bê tông trạm trộn 50m³/h</v>
          </cell>
          <cell r="F799" t="str">
            <v>m3</v>
          </cell>
          <cell r="G799" t="str">
            <v>m3</v>
          </cell>
          <cell r="H799">
            <v>16.114139999999999</v>
          </cell>
          <cell r="I799">
            <v>0</v>
          </cell>
          <cell r="J799">
            <v>0</v>
          </cell>
        </row>
        <row r="800">
          <cell r="B800">
            <v>774</v>
          </cell>
          <cell r="C800">
            <v>11</v>
          </cell>
          <cell r="D800" t="str">
            <v>Transport ready mixed concrete distance 0,5km</v>
          </cell>
          <cell r="E800" t="str">
            <v>Vận chuyển bê tông cự ly 0,5km</v>
          </cell>
          <cell r="F800" t="str">
            <v>m3</v>
          </cell>
          <cell r="G800" t="str">
            <v>m3</v>
          </cell>
          <cell r="H800">
            <v>16.114139999999999</v>
          </cell>
          <cell r="I800">
            <v>0</v>
          </cell>
          <cell r="J800">
            <v>0</v>
          </cell>
        </row>
        <row r="801">
          <cell r="B801">
            <v>775</v>
          </cell>
          <cell r="C801">
            <v>12</v>
          </cell>
          <cell r="D801" t="str">
            <v>Formwork for bracing beam</v>
          </cell>
          <cell r="E801" t="str">
            <v>Ván khuôn dầm gia cường</v>
          </cell>
          <cell r="F801" t="str">
            <v>m2</v>
          </cell>
          <cell r="G801" t="str">
            <v>m2</v>
          </cell>
          <cell r="H801">
            <v>79.38000000000001</v>
          </cell>
          <cell r="I801">
            <v>0</v>
          </cell>
          <cell r="J801">
            <v>0</v>
          </cell>
        </row>
        <row r="802">
          <cell r="B802">
            <v>776</v>
          </cell>
          <cell r="C802">
            <v>13</v>
          </cell>
          <cell r="D802" t="str">
            <v>Burlap bath asphalt</v>
          </cell>
          <cell r="E802" t="str">
            <v>Bao tải tẩm nhựa đường</v>
          </cell>
          <cell r="F802" t="str">
            <v>m2</v>
          </cell>
          <cell r="G802" t="str">
            <v>m2</v>
          </cell>
          <cell r="H802">
            <v>26.46</v>
          </cell>
          <cell r="I802">
            <v>0</v>
          </cell>
          <cell r="J802">
            <v>0</v>
          </cell>
        </row>
        <row r="803">
          <cell r="B803">
            <v>777</v>
          </cell>
          <cell r="C803">
            <v>14</v>
          </cell>
          <cell r="D803" t="str">
            <v>Rebar Ф ≤ 10 for bracing beam</v>
          </cell>
          <cell r="E803" t="str">
            <v>Cốt thép dầm gia cường Ф ≤ 10</v>
          </cell>
          <cell r="F803" t="str">
            <v>ton</v>
          </cell>
          <cell r="G803" t="str">
            <v>tấn</v>
          </cell>
          <cell r="H803">
            <v>0.62761608000000002</v>
          </cell>
          <cell r="I803">
            <v>0</v>
          </cell>
          <cell r="J803">
            <v>0</v>
          </cell>
        </row>
        <row r="804">
          <cell r="B804">
            <v>778</v>
          </cell>
          <cell r="J804">
            <v>0</v>
          </cell>
        </row>
        <row r="805">
          <cell r="B805">
            <v>779</v>
          </cell>
          <cell r="D805" t="str">
            <v>3. CONSTRUCTION AUXILIARY</v>
          </cell>
          <cell r="E805" t="str">
            <v>3. PHỤ TRỢ THI CÔNG</v>
          </cell>
          <cell r="J805">
            <v>0</v>
          </cell>
        </row>
        <row r="806">
          <cell r="B806">
            <v>780</v>
          </cell>
          <cell r="D806" t="str">
            <v>1. Construction site</v>
          </cell>
          <cell r="E806" t="str">
            <v>1. Mặt bằng công trường</v>
          </cell>
        </row>
        <row r="807">
          <cell r="B807">
            <v>781</v>
          </cell>
          <cell r="D807" t="str">
            <v>Site Clearing</v>
          </cell>
          <cell r="E807" t="str">
            <v>Dọn dep mặt bằng công trường</v>
          </cell>
          <cell r="F807" t="str">
            <v>m²</v>
          </cell>
          <cell r="G807" t="str">
            <v>m²</v>
          </cell>
          <cell r="H807">
            <v>11765.73</v>
          </cell>
          <cell r="I807">
            <v>12282.330000000002</v>
          </cell>
          <cell r="J807">
            <v>12282.330000000002</v>
          </cell>
        </row>
        <row r="808">
          <cell r="B808">
            <v>782</v>
          </cell>
          <cell r="D808" t="str">
            <v>Construction site</v>
          </cell>
          <cell r="E808" t="str">
            <v>Mặt bằng công trường</v>
          </cell>
          <cell r="F808" t="str">
            <v>LS</v>
          </cell>
          <cell r="G808" t="str">
            <v>Trọn gói</v>
          </cell>
          <cell r="H808">
            <v>1</v>
          </cell>
          <cell r="I808">
            <v>1</v>
          </cell>
          <cell r="J808">
            <v>1</v>
          </cell>
        </row>
        <row r="809">
          <cell r="B809">
            <v>783</v>
          </cell>
          <cell r="C809">
            <v>1</v>
          </cell>
          <cell r="D809" t="str">
            <v>Excavating organic soil, level 1 by excavator ≤1,6m3</v>
          </cell>
          <cell r="E809" t="str">
            <v>Đào đất hữu cơ, đất cấp I bằng máy đào ≤1,6m3</v>
          </cell>
          <cell r="F809" t="str">
            <v>m³</v>
          </cell>
          <cell r="G809" t="str">
            <v>m³</v>
          </cell>
          <cell r="J809">
            <v>0</v>
          </cell>
        </row>
        <row r="810">
          <cell r="B810">
            <v>784</v>
          </cell>
          <cell r="C810">
            <v>2</v>
          </cell>
          <cell r="D810" t="str">
            <v>Filling sand</v>
          </cell>
          <cell r="E810" t="str">
            <v>Đắp cát</v>
          </cell>
          <cell r="F810" t="str">
            <v>m³</v>
          </cell>
          <cell r="G810" t="str">
            <v>m³</v>
          </cell>
          <cell r="H810">
            <v>73950.000000000015</v>
          </cell>
          <cell r="I810">
            <v>44460</v>
          </cell>
          <cell r="J810">
            <v>44460</v>
          </cell>
        </row>
        <row r="811">
          <cell r="B811">
            <v>785</v>
          </cell>
          <cell r="C811">
            <v>3</v>
          </cell>
          <cell r="D811" t="str">
            <v>Crushed stone type 2</v>
          </cell>
          <cell r="E811" t="str">
            <v>Cấp phối đá dăm loại 2</v>
          </cell>
          <cell r="F811" t="str">
            <v>m³</v>
          </cell>
          <cell r="G811" t="str">
            <v>m³</v>
          </cell>
          <cell r="H811">
            <v>13050</v>
          </cell>
          <cell r="I811">
            <v>3510</v>
          </cell>
          <cell r="J811">
            <v>3510</v>
          </cell>
        </row>
        <row r="812">
          <cell r="B812">
            <v>786</v>
          </cell>
          <cell r="C812">
            <v>4</v>
          </cell>
          <cell r="D812" t="str">
            <v>Protection layer clay K95 (material: reuse)</v>
          </cell>
          <cell r="E812" t="str">
            <v>Đắp đất dính bao K95 (tận dụng)</v>
          </cell>
          <cell r="F812" t="str">
            <v>m³</v>
          </cell>
          <cell r="G812" t="str">
            <v>m³</v>
          </cell>
          <cell r="H812">
            <v>499.76600000000002</v>
          </cell>
          <cell r="I812">
            <v>606.96</v>
          </cell>
          <cell r="J812">
            <v>606.96</v>
          </cell>
        </row>
        <row r="813">
          <cell r="B813">
            <v>787</v>
          </cell>
          <cell r="C813">
            <v>5</v>
          </cell>
          <cell r="D813" t="str">
            <v>Temporary Road (Including Bridge &amp; Port temporary)</v>
          </cell>
          <cell r="E813" t="str">
            <v>Đường tạm (bao gồm cầu và bến tạm)</v>
          </cell>
          <cell r="F813" t="str">
            <v>LS</v>
          </cell>
          <cell r="G813" t="str">
            <v>Trọn gói</v>
          </cell>
          <cell r="H813">
            <v>1</v>
          </cell>
          <cell r="I813">
            <v>1</v>
          </cell>
          <cell r="J813">
            <v>1</v>
          </cell>
        </row>
        <row r="814">
          <cell r="B814">
            <v>788</v>
          </cell>
          <cell r="C814">
            <v>6</v>
          </cell>
          <cell r="D814" t="str">
            <v>2.1. Construction road</v>
          </cell>
          <cell r="E814" t="str">
            <v>2.1. Đường công vụ</v>
          </cell>
          <cell r="F814" t="str">
            <v>m²</v>
          </cell>
          <cell r="G814" t="str">
            <v>m²</v>
          </cell>
          <cell r="H814">
            <v>1</v>
          </cell>
          <cell r="I814">
            <v>1</v>
          </cell>
          <cell r="J814">
            <v>1</v>
          </cell>
        </row>
        <row r="815">
          <cell r="B815">
            <v>789</v>
          </cell>
          <cell r="C815">
            <v>7</v>
          </cell>
          <cell r="D815" t="str">
            <v>Excavating organic soil, level 1 by excavator ≤1,6m3</v>
          </cell>
          <cell r="E815" t="str">
            <v>Đào đất hữu cơ, đất cấp I bằng máy đào ≤1,6m3</v>
          </cell>
          <cell r="F815" t="str">
            <v>m³</v>
          </cell>
          <cell r="G815" t="str">
            <v>m³</v>
          </cell>
          <cell r="H815">
            <v>2550.1559999999999</v>
          </cell>
          <cell r="I815">
            <v>3359.9097000000002</v>
          </cell>
          <cell r="J815">
            <v>3359.9097000000002</v>
          </cell>
        </row>
        <row r="816">
          <cell r="B816">
            <v>790</v>
          </cell>
          <cell r="C816">
            <v>8</v>
          </cell>
          <cell r="D816" t="str">
            <v>Spreading geotextile fabric 12kN/m</v>
          </cell>
          <cell r="E816" t="str">
            <v>Trải vải địa kỹ thuật 12kN/m</v>
          </cell>
          <cell r="F816" t="str">
            <v>m²</v>
          </cell>
          <cell r="G816" t="str">
            <v>m²</v>
          </cell>
          <cell r="H816">
            <v>8153.56</v>
          </cell>
          <cell r="I816">
            <v>9021.18</v>
          </cell>
          <cell r="J816">
            <v>9021.18</v>
          </cell>
        </row>
        <row r="817">
          <cell r="B817">
            <v>791</v>
          </cell>
          <cell r="C817">
            <v>9</v>
          </cell>
          <cell r="D817" t="str">
            <v>Filling sand K95</v>
          </cell>
          <cell r="E817" t="str">
            <v>Đắp cát K95</v>
          </cell>
          <cell r="F817" t="str">
            <v>m³</v>
          </cell>
          <cell r="G817" t="str">
            <v>m³</v>
          </cell>
          <cell r="H817">
            <v>1871.8491999999992</v>
          </cell>
          <cell r="I817">
            <v>10606.603999999999</v>
          </cell>
          <cell r="J817">
            <v>10606.603999999999</v>
          </cell>
        </row>
        <row r="818">
          <cell r="B818">
            <v>792</v>
          </cell>
          <cell r="C818">
            <v>10</v>
          </cell>
          <cell r="D818" t="str">
            <v>Protection layer clay K95 (material: reuse)</v>
          </cell>
          <cell r="E818" t="str">
            <v>Đắp đất dính bao K95 (tận dụng)</v>
          </cell>
          <cell r="F818" t="str">
            <v>m³</v>
          </cell>
          <cell r="G818" t="str">
            <v>m³</v>
          </cell>
          <cell r="H818">
            <v>938.52680000000009</v>
          </cell>
          <cell r="I818">
            <v>2197.7130000000002</v>
          </cell>
          <cell r="J818">
            <v>2197.7130000000002</v>
          </cell>
        </row>
        <row r="819">
          <cell r="B819">
            <v>793</v>
          </cell>
          <cell r="C819">
            <v>11</v>
          </cell>
          <cell r="D819" t="str">
            <v>Crushed stone type 2</v>
          </cell>
          <cell r="E819" t="str">
            <v>Cấp phối đá dăm loại 2</v>
          </cell>
          <cell r="F819" t="str">
            <v>m³</v>
          </cell>
          <cell r="G819" t="str">
            <v>m³</v>
          </cell>
          <cell r="H819">
            <v>1821.54</v>
          </cell>
          <cell r="I819">
            <v>2015.3700000000001</v>
          </cell>
          <cell r="J819">
            <v>2015.3700000000001</v>
          </cell>
        </row>
        <row r="820">
          <cell r="B820">
            <v>794</v>
          </cell>
          <cell r="C820">
            <v>12</v>
          </cell>
          <cell r="D820" t="str">
            <v>Crushed stone type 1</v>
          </cell>
          <cell r="E820" t="str">
            <v>Cấp phối đá dăm loại 1</v>
          </cell>
          <cell r="F820" t="str">
            <v>m³</v>
          </cell>
          <cell r="G820" t="str">
            <v>m³</v>
          </cell>
          <cell r="J820">
            <v>0</v>
          </cell>
        </row>
        <row r="821">
          <cell r="B821">
            <v>795</v>
          </cell>
          <cell r="D821" t="str">
            <v>2.2. Temporary bridge</v>
          </cell>
          <cell r="E821" t="str">
            <v>2.2. Cầu tạm</v>
          </cell>
          <cell r="F821" t="str">
            <v>Nos</v>
          </cell>
          <cell r="G821" t="str">
            <v>cái</v>
          </cell>
          <cell r="H821">
            <v>2</v>
          </cell>
          <cell r="J821">
            <v>0</v>
          </cell>
        </row>
        <row r="822">
          <cell r="B822">
            <v>796</v>
          </cell>
          <cell r="D822" t="str">
            <v>Shape steel for abutment</v>
          </cell>
          <cell r="E822" t="str">
            <v>Thép hình cho mố</v>
          </cell>
          <cell r="J822">
            <v>0</v>
          </cell>
        </row>
        <row r="823">
          <cell r="B823">
            <v>797</v>
          </cell>
          <cell r="C823">
            <v>1</v>
          </cell>
          <cell r="D823" t="str">
            <v>Production of steel shape</v>
          </cell>
          <cell r="E823" t="str">
            <v xml:space="preserve">Sản xuất thép hình </v>
          </cell>
          <cell r="F823" t="str">
            <v>ton</v>
          </cell>
          <cell r="G823" t="str">
            <v>tấn</v>
          </cell>
          <cell r="H823">
            <v>16.728000000000002</v>
          </cell>
          <cell r="I823">
            <v>0</v>
          </cell>
          <cell r="J823">
            <v>0</v>
          </cell>
        </row>
        <row r="824">
          <cell r="B824">
            <v>798</v>
          </cell>
          <cell r="C824">
            <v>2</v>
          </cell>
          <cell r="D824" t="str">
            <v>Installation and dismantling steel shape</v>
          </cell>
          <cell r="E824" t="str">
            <v>Lắp đặt, tháo dỡ thép hình các loại</v>
          </cell>
          <cell r="F824" t="str">
            <v>ton</v>
          </cell>
          <cell r="G824" t="str">
            <v>tấn</v>
          </cell>
          <cell r="H824">
            <v>16.728000000000002</v>
          </cell>
          <cell r="I824">
            <v>0</v>
          </cell>
          <cell r="J824">
            <v>0</v>
          </cell>
        </row>
        <row r="825">
          <cell r="B825">
            <v>799</v>
          </cell>
          <cell r="D825" t="str">
            <v>Shape steel for pire</v>
          </cell>
          <cell r="E825" t="str">
            <v>Thép hình cho trụ</v>
          </cell>
          <cell r="J825">
            <v>0</v>
          </cell>
        </row>
        <row r="826">
          <cell r="B826">
            <v>800</v>
          </cell>
          <cell r="C826">
            <v>1</v>
          </cell>
          <cell r="D826" t="str">
            <v>Production of steel shape</v>
          </cell>
          <cell r="E826" t="str">
            <v>Sản xuất thép hình</v>
          </cell>
          <cell r="F826" t="str">
            <v>ton</v>
          </cell>
          <cell r="G826" t="str">
            <v>tấn</v>
          </cell>
          <cell r="H826">
            <v>25.560000000000002</v>
          </cell>
          <cell r="I826">
            <v>0</v>
          </cell>
          <cell r="J826">
            <v>0</v>
          </cell>
        </row>
        <row r="827">
          <cell r="B827">
            <v>801</v>
          </cell>
          <cell r="C827">
            <v>2</v>
          </cell>
          <cell r="D827" t="str">
            <v>Installation and dismantling steel shape.</v>
          </cell>
          <cell r="E827" t="str">
            <v xml:space="preserve">Lắp đặt, tháo dỡ thép hình các loại </v>
          </cell>
          <cell r="F827" t="str">
            <v>ton</v>
          </cell>
          <cell r="G827" t="str">
            <v>tấn</v>
          </cell>
          <cell r="H827">
            <v>25.560000000000002</v>
          </cell>
          <cell r="I827">
            <v>0</v>
          </cell>
          <cell r="J827">
            <v>0</v>
          </cell>
        </row>
        <row r="828">
          <cell r="B828">
            <v>802</v>
          </cell>
          <cell r="D828" t="str">
            <v>2H shape pile (H400)</v>
          </cell>
          <cell r="E828" t="str">
            <v>Cọc thép hình 2H (H400)</v>
          </cell>
          <cell r="J828">
            <v>0</v>
          </cell>
        </row>
        <row r="829">
          <cell r="B829">
            <v>803</v>
          </cell>
          <cell r="C829">
            <v>1</v>
          </cell>
          <cell r="D829" t="str">
            <v>Driven steel Pile in river, L&gt;10m, Soil grade 1</v>
          </cell>
          <cell r="E829" t="str">
            <v>Đóng cọc thép hình dưới nước L&gt;10m, đất C1</v>
          </cell>
          <cell r="F829" t="str">
            <v>m</v>
          </cell>
          <cell r="G829" t="str">
            <v>m</v>
          </cell>
          <cell r="H829">
            <v>1152</v>
          </cell>
          <cell r="I829">
            <v>0</v>
          </cell>
          <cell r="J829">
            <v>0</v>
          </cell>
        </row>
        <row r="830">
          <cell r="B830">
            <v>804</v>
          </cell>
          <cell r="C830">
            <v>2</v>
          </cell>
          <cell r="D830" t="str">
            <v>Remove steel pile in river</v>
          </cell>
          <cell r="E830" t="str">
            <v>Nhổ cọc thép hình, thép ống dưới nước</v>
          </cell>
          <cell r="F830" t="str">
            <v>m</v>
          </cell>
          <cell r="G830" t="str">
            <v>m</v>
          </cell>
          <cell r="H830">
            <v>1152</v>
          </cell>
          <cell r="I830">
            <v>0</v>
          </cell>
          <cell r="J830">
            <v>0</v>
          </cell>
        </row>
        <row r="831">
          <cell r="B831">
            <v>805</v>
          </cell>
          <cell r="D831" t="str">
            <v>Bailey truss</v>
          </cell>
          <cell r="E831" t="str">
            <v>Dàn Bailey 2/1</v>
          </cell>
          <cell r="J831">
            <v>0</v>
          </cell>
        </row>
        <row r="832">
          <cell r="B832">
            <v>806</v>
          </cell>
          <cell r="C832">
            <v>1</v>
          </cell>
          <cell r="D832" t="str">
            <v>Bailey truss</v>
          </cell>
          <cell r="E832" t="str">
            <v xml:space="preserve">Cung cấp dàn Bailey 2/1 </v>
          </cell>
          <cell r="F832" t="str">
            <v>m</v>
          </cell>
          <cell r="G832" t="str">
            <v>m</v>
          </cell>
          <cell r="H832">
            <v>90.6</v>
          </cell>
          <cell r="I832">
            <v>0</v>
          </cell>
          <cell r="J832">
            <v>0</v>
          </cell>
        </row>
        <row r="833">
          <cell r="B833">
            <v>807</v>
          </cell>
          <cell r="C833">
            <v>2</v>
          </cell>
          <cell r="D833" t="str">
            <v>Steel bearing</v>
          </cell>
          <cell r="E833" t="str">
            <v>Khấu hao gối thép</v>
          </cell>
          <cell r="F833" t="str">
            <v>set</v>
          </cell>
          <cell r="G833" t="str">
            <v>bộ</v>
          </cell>
          <cell r="H833">
            <v>16</v>
          </cell>
          <cell r="I833">
            <v>0</v>
          </cell>
          <cell r="J833">
            <v>0</v>
          </cell>
        </row>
        <row r="834">
          <cell r="B834">
            <v>808</v>
          </cell>
          <cell r="C834">
            <v>3</v>
          </cell>
          <cell r="D834" t="str">
            <v xml:space="preserve">Approach slab </v>
          </cell>
          <cell r="E834" t="str">
            <v>Bản dẫn</v>
          </cell>
          <cell r="F834" t="str">
            <v>ton</v>
          </cell>
          <cell r="G834" t="str">
            <v>tấn</v>
          </cell>
          <cell r="J834">
            <v>0</v>
          </cell>
        </row>
        <row r="835">
          <cell r="B835">
            <v>809</v>
          </cell>
          <cell r="C835">
            <v>4</v>
          </cell>
          <cell r="D835" t="str">
            <v xml:space="preserve">Installation of Bailey temporary bridge </v>
          </cell>
          <cell r="E835" t="str">
            <v>Lắp đặt dàn Bailey</v>
          </cell>
          <cell r="F835" t="str">
            <v>ton</v>
          </cell>
          <cell r="G835" t="str">
            <v>tấn</v>
          </cell>
          <cell r="H835">
            <v>150.99859999999998</v>
          </cell>
          <cell r="I835">
            <v>0</v>
          </cell>
          <cell r="J835">
            <v>0</v>
          </cell>
        </row>
        <row r="836">
          <cell r="B836">
            <v>810</v>
          </cell>
          <cell r="C836">
            <v>5</v>
          </cell>
          <cell r="D836" t="str">
            <v xml:space="preserve">Removing of Bailey temporary bridge </v>
          </cell>
          <cell r="E836" t="str">
            <v>Tháo dỡ dàn Bailey</v>
          </cell>
          <cell r="F836" t="str">
            <v>ton</v>
          </cell>
          <cell r="G836" t="str">
            <v>tấn</v>
          </cell>
          <cell r="H836">
            <v>150.99859999999998</v>
          </cell>
          <cell r="I836">
            <v>0</v>
          </cell>
          <cell r="J836">
            <v>0</v>
          </cell>
        </row>
        <row r="837">
          <cell r="B837">
            <v>811</v>
          </cell>
          <cell r="C837">
            <v>6</v>
          </cell>
          <cell r="D837" t="str">
            <v>Making and releasing stone gabion 2x1x0.5m in river</v>
          </cell>
          <cell r="E837" t="str">
            <v>Rọ đá 2x1x0,5m dưới nước</v>
          </cell>
          <cell r="F837" t="str">
            <v>gabion</v>
          </cell>
          <cell r="G837" t="str">
            <v>rọ</v>
          </cell>
          <cell r="H837">
            <v>226.5</v>
          </cell>
          <cell r="I837">
            <v>0</v>
          </cell>
          <cell r="J837">
            <v>0</v>
          </cell>
        </row>
        <row r="838">
          <cell r="B838">
            <v>812</v>
          </cell>
          <cell r="C838">
            <v>7</v>
          </cell>
          <cell r="D838" t="str">
            <v>Cajuput stake driving, soil level 1, D8-10, L=4,5m</v>
          </cell>
          <cell r="E838" t="str">
            <v>Đóng cừ tràm, đất cấp 1, D8-10, L=4,5m</v>
          </cell>
          <cell r="F838" t="str">
            <v>m</v>
          </cell>
          <cell r="G838" t="str">
            <v>m</v>
          </cell>
          <cell r="H838">
            <v>10732.5</v>
          </cell>
          <cell r="I838">
            <v>0</v>
          </cell>
          <cell r="J838">
            <v>0</v>
          </cell>
        </row>
        <row r="839">
          <cell r="B839">
            <v>813</v>
          </cell>
          <cell r="D839" t="str">
            <v>2.3 Temporary bridge for concrete supply</v>
          </cell>
          <cell r="E839" t="str">
            <v>2.3 Cầu tạm cấp bê tông</v>
          </cell>
          <cell r="F839" t="str">
            <v>Nos</v>
          </cell>
          <cell r="G839" t="str">
            <v>cái</v>
          </cell>
          <cell r="H839">
            <v>2</v>
          </cell>
          <cell r="J839">
            <v>0</v>
          </cell>
        </row>
        <row r="840">
          <cell r="B840">
            <v>814</v>
          </cell>
          <cell r="C840">
            <v>1</v>
          </cell>
          <cell r="D840" t="str">
            <v>Driven sheet pile Larsen IV in river, L&gt;12m</v>
          </cell>
          <cell r="E840" t="str">
            <v xml:space="preserve">Đóng cọc Larsen IV dưới nước, L&gt;12m </v>
          </cell>
          <cell r="F840" t="str">
            <v>m</v>
          </cell>
          <cell r="G840" t="str">
            <v>m</v>
          </cell>
          <cell r="H840">
            <v>944</v>
          </cell>
          <cell r="I840">
            <v>656</v>
          </cell>
          <cell r="J840">
            <v>656</v>
          </cell>
        </row>
        <row r="841">
          <cell r="B841">
            <v>815</v>
          </cell>
          <cell r="C841">
            <v>2</v>
          </cell>
          <cell r="D841" t="str">
            <v>Extract Steel Sheet Pile in river</v>
          </cell>
          <cell r="E841" t="str">
            <v>Nhổ cọc ván thép dưới nước</v>
          </cell>
          <cell r="F841" t="str">
            <v>m</v>
          </cell>
          <cell r="G841" t="str">
            <v>m</v>
          </cell>
          <cell r="H841">
            <v>944</v>
          </cell>
          <cell r="I841">
            <v>656</v>
          </cell>
          <cell r="J841">
            <v>656</v>
          </cell>
        </row>
        <row r="842">
          <cell r="B842">
            <v>816</v>
          </cell>
          <cell r="C842">
            <v>3</v>
          </cell>
          <cell r="D842" t="str">
            <v>Fabricate steel shape</v>
          </cell>
          <cell r="E842" t="str">
            <v>Sản xuất thép hình</v>
          </cell>
          <cell r="F842" t="str">
            <v>ton</v>
          </cell>
          <cell r="G842" t="str">
            <v>tấn</v>
          </cell>
          <cell r="H842">
            <v>4.4348999999999998</v>
          </cell>
          <cell r="I842">
            <v>3.2522600000000002</v>
          </cell>
          <cell r="J842">
            <v>3.2522600000000002</v>
          </cell>
        </row>
        <row r="843">
          <cell r="B843">
            <v>817</v>
          </cell>
          <cell r="C843">
            <v>4</v>
          </cell>
          <cell r="D843" t="str">
            <v>Install and Remove steel plate on river</v>
          </cell>
          <cell r="E843" t="str">
            <v>Lắp dựng, tháo dỡ thép hình</v>
          </cell>
          <cell r="F843" t="str">
            <v>ton</v>
          </cell>
          <cell r="G843" t="str">
            <v>tấn</v>
          </cell>
          <cell r="H843">
            <v>4.4348999999999998</v>
          </cell>
          <cell r="I843">
            <v>3.2522600000000002</v>
          </cell>
          <cell r="J843">
            <v>3.2522600000000002</v>
          </cell>
        </row>
        <row r="844">
          <cell r="B844">
            <v>818</v>
          </cell>
          <cell r="C844">
            <v>5</v>
          </cell>
          <cell r="D844" t="str">
            <v>Driven sheet pile Larsen III in river</v>
          </cell>
          <cell r="E844" t="str">
            <v>Lắp cọc Larsen III dưới nước, L&gt;12m</v>
          </cell>
          <cell r="F844" t="str">
            <v>m</v>
          </cell>
          <cell r="G844" t="str">
            <v>m</v>
          </cell>
          <cell r="H844">
            <v>677.52</v>
          </cell>
          <cell r="I844">
            <v>458.68</v>
          </cell>
          <cell r="J844">
            <v>458.68</v>
          </cell>
        </row>
        <row r="845">
          <cell r="B845">
            <v>819</v>
          </cell>
          <cell r="C845">
            <v>6</v>
          </cell>
          <cell r="D845" t="str">
            <v>Extract Steel Sheet Pile in river</v>
          </cell>
          <cell r="E845" t="str">
            <v>Nhổ cọc ván thép dưới nước</v>
          </cell>
          <cell r="F845" t="str">
            <v>m</v>
          </cell>
          <cell r="G845" t="str">
            <v>m</v>
          </cell>
          <cell r="H845">
            <v>677.52</v>
          </cell>
          <cell r="I845">
            <v>458.68</v>
          </cell>
          <cell r="J845">
            <v>458.68</v>
          </cell>
        </row>
        <row r="846">
          <cell r="B846">
            <v>820</v>
          </cell>
          <cell r="C846">
            <v>7</v>
          </cell>
          <cell r="D846" t="str">
            <v>Rebar Ф &gt; 18</v>
          </cell>
          <cell r="E846" t="str">
            <v>Cốt thép Ф &gt; 18</v>
          </cell>
          <cell r="F846" t="str">
            <v>ton</v>
          </cell>
          <cell r="G846" t="str">
            <v>tấn</v>
          </cell>
          <cell r="H846">
            <v>3.3469488000000003</v>
          </cell>
          <cell r="I846">
            <v>2.2658792000000001</v>
          </cell>
          <cell r="J846">
            <v>2.2658792000000001</v>
          </cell>
        </row>
        <row r="847">
          <cell r="B847">
            <v>821</v>
          </cell>
          <cell r="C847">
            <v>8</v>
          </cell>
          <cell r="D847" t="str">
            <v>Cajuput stake driving, soil level 1, D8-10, L=4,5m</v>
          </cell>
          <cell r="E847" t="str">
            <v>Đóng cừ tràm, đất cấp 1, D8-10, L=4,5m</v>
          </cell>
          <cell r="F847" t="str">
            <v>m</v>
          </cell>
          <cell r="G847" t="str">
            <v>m</v>
          </cell>
          <cell r="H847">
            <v>144</v>
          </cell>
          <cell r="I847">
            <v>144</v>
          </cell>
          <cell r="J847">
            <v>144</v>
          </cell>
        </row>
        <row r="848">
          <cell r="B848">
            <v>822</v>
          </cell>
          <cell r="C848">
            <v>9</v>
          </cell>
          <cell r="D848" t="str">
            <v>Making and releasing stone gabion 2x1x1m in river</v>
          </cell>
          <cell r="E848" t="str">
            <v>Rọ đá 2x1x1m dưới nước</v>
          </cell>
          <cell r="F848" t="str">
            <v>m3</v>
          </cell>
          <cell r="G848" t="str">
            <v>m3</v>
          </cell>
          <cell r="H848">
            <v>6</v>
          </cell>
          <cell r="I848">
            <v>6</v>
          </cell>
          <cell r="J848">
            <v>6</v>
          </cell>
        </row>
        <row r="849">
          <cell r="B849">
            <v>823</v>
          </cell>
          <cell r="D849" t="str">
            <v>2.4. Service port</v>
          </cell>
          <cell r="E849" t="str">
            <v>2.4. Bến công vụ</v>
          </cell>
          <cell r="F849" t="str">
            <v>Nos</v>
          </cell>
          <cell r="G849" t="str">
            <v>cái</v>
          </cell>
          <cell r="H849">
            <v>1</v>
          </cell>
          <cell r="I849">
            <v>1</v>
          </cell>
          <cell r="J849">
            <v>1</v>
          </cell>
        </row>
        <row r="850">
          <cell r="B850">
            <v>824</v>
          </cell>
          <cell r="C850">
            <v>1</v>
          </cell>
          <cell r="D850" t="str">
            <v>Steel sheet pile</v>
          </cell>
          <cell r="E850" t="str">
            <v>Cọc ván thép</v>
          </cell>
          <cell r="J850">
            <v>0</v>
          </cell>
        </row>
        <row r="851">
          <cell r="B851">
            <v>825</v>
          </cell>
          <cell r="C851">
            <v>2</v>
          </cell>
          <cell r="D851" t="str">
            <v>Driven pipe steel pile - D500, thickness 8mm , L=21m</v>
          </cell>
          <cell r="E851" t="str">
            <v>Cọc ống thép D500,dày 8mm, L=21m(1.17%*48+3.5%)</v>
          </cell>
          <cell r="F851" t="str">
            <v>m</v>
          </cell>
          <cell r="G851" t="str">
            <v>m</v>
          </cell>
          <cell r="H851">
            <v>336</v>
          </cell>
          <cell r="I851">
            <v>336</v>
          </cell>
          <cell r="J851">
            <v>336</v>
          </cell>
        </row>
        <row r="852">
          <cell r="B852">
            <v>826</v>
          </cell>
          <cell r="C852">
            <v>3</v>
          </cell>
          <cell r="D852" t="str">
            <v>Extract pipe steel pile in river</v>
          </cell>
          <cell r="E852" t="str">
            <v>Nhổ cọc ống thép dưới nước</v>
          </cell>
          <cell r="F852" t="str">
            <v>m</v>
          </cell>
          <cell r="G852" t="str">
            <v>m</v>
          </cell>
          <cell r="H852">
            <v>336</v>
          </cell>
          <cell r="I852">
            <v>336</v>
          </cell>
          <cell r="J852">
            <v>336</v>
          </cell>
        </row>
        <row r="853">
          <cell r="B853">
            <v>827</v>
          </cell>
          <cell r="D853" t="str">
            <v>Steel shape</v>
          </cell>
          <cell r="E853" t="str">
            <v>Thép hình</v>
          </cell>
          <cell r="J853">
            <v>0</v>
          </cell>
        </row>
        <row r="854">
          <cell r="B854">
            <v>828</v>
          </cell>
          <cell r="C854">
            <v>1</v>
          </cell>
          <cell r="D854" t="str">
            <v>Production of steel shapes</v>
          </cell>
          <cell r="E854" t="str">
            <v>Sản xuất thép hình các loại (tạm tính thu hồi 30%)</v>
          </cell>
          <cell r="F854" t="str">
            <v>ton</v>
          </cell>
          <cell r="G854" t="str">
            <v>tấn</v>
          </cell>
          <cell r="H854">
            <v>14.967500000000001</v>
          </cell>
          <cell r="I854">
            <v>14.967500000000001</v>
          </cell>
          <cell r="J854">
            <v>14.967500000000001</v>
          </cell>
        </row>
        <row r="855">
          <cell r="B855">
            <v>829</v>
          </cell>
          <cell r="C855">
            <v>2</v>
          </cell>
          <cell r="D855" t="str">
            <v>Production of steel shapes</v>
          </cell>
          <cell r="E855" t="str">
            <v>Sản xuất thép tấm các loại (tạm tính thu hồi 30%)</v>
          </cell>
          <cell r="F855" t="str">
            <v>ton</v>
          </cell>
          <cell r="G855" t="str">
            <v>tấn</v>
          </cell>
          <cell r="H855">
            <v>22.608000000000001</v>
          </cell>
          <cell r="I855">
            <v>22.608000000000001</v>
          </cell>
          <cell r="J855">
            <v>22.608000000000001</v>
          </cell>
        </row>
        <row r="856">
          <cell r="B856">
            <v>830</v>
          </cell>
          <cell r="C856">
            <v>3</v>
          </cell>
          <cell r="D856" t="str">
            <v>Installation and dismantling steel shape</v>
          </cell>
          <cell r="E856" t="str">
            <v>Lắp đặt, tháo dỡ thép hình các loại</v>
          </cell>
          <cell r="F856" t="str">
            <v>ton</v>
          </cell>
          <cell r="G856" t="str">
            <v>tấn</v>
          </cell>
          <cell r="H856">
            <v>37.575500000000005</v>
          </cell>
          <cell r="I856">
            <v>37.575500000000005</v>
          </cell>
          <cell r="J856">
            <v>37.575500000000005</v>
          </cell>
        </row>
        <row r="857">
          <cell r="B857">
            <v>831</v>
          </cell>
          <cell r="C857">
            <v>4</v>
          </cell>
          <cell r="D857" t="str">
            <v>Carved Stone</v>
          </cell>
          <cell r="E857" t="str">
            <v>Đá hộc xếp khan không chít mạch</v>
          </cell>
          <cell r="F857" t="str">
            <v>m³</v>
          </cell>
          <cell r="G857" t="str">
            <v>m³</v>
          </cell>
          <cell r="J857">
            <v>0</v>
          </cell>
        </row>
        <row r="858">
          <cell r="B858">
            <v>832</v>
          </cell>
          <cell r="C858">
            <v>5</v>
          </cell>
          <cell r="D858" t="str">
            <v>Crushed stone</v>
          </cell>
          <cell r="E858" t="str">
            <v>Cấp phối đá dăm</v>
          </cell>
          <cell r="F858" t="str">
            <v>m³</v>
          </cell>
          <cell r="G858" t="str">
            <v>m³</v>
          </cell>
          <cell r="J858">
            <v>0</v>
          </cell>
        </row>
        <row r="859">
          <cell r="B859">
            <v>833</v>
          </cell>
          <cell r="D859" t="str">
            <v>2. 5. Direction line of crane portal in water</v>
          </cell>
          <cell r="E859" t="str">
            <v>2. 5. Đường di chuyển giá long môn dưới nước</v>
          </cell>
          <cell r="F859" t="str">
            <v>Nos</v>
          </cell>
          <cell r="G859" t="str">
            <v>cái</v>
          </cell>
          <cell r="H859">
            <v>1</v>
          </cell>
          <cell r="J859">
            <v>0</v>
          </cell>
        </row>
        <row r="860">
          <cell r="B860">
            <v>834</v>
          </cell>
          <cell r="C860">
            <v>1</v>
          </cell>
          <cell r="D860" t="str">
            <v>Driven H-400x400x13x21 Pile in river, L&gt;10m</v>
          </cell>
          <cell r="E860" t="str">
            <v>Đóng cọc Thép hình H-400x400x13x21 dưới nước L&gt;10m</v>
          </cell>
          <cell r="F860" t="str">
            <v>m</v>
          </cell>
          <cell r="G860" t="str">
            <v>m</v>
          </cell>
          <cell r="H860">
            <v>825.00000000000011</v>
          </cell>
          <cell r="I860">
            <v>0</v>
          </cell>
          <cell r="J860">
            <v>0</v>
          </cell>
        </row>
        <row r="861">
          <cell r="B861">
            <v>835</v>
          </cell>
          <cell r="C861">
            <v>2</v>
          </cell>
          <cell r="D861" t="str">
            <v>Remove steel pile in river</v>
          </cell>
          <cell r="E861" t="str">
            <v>Nhổ cọc thép hình, thép ống dưới nước</v>
          </cell>
          <cell r="F861" t="str">
            <v>m</v>
          </cell>
          <cell r="G861" t="str">
            <v>m</v>
          </cell>
          <cell r="H861">
            <v>825.00000000000011</v>
          </cell>
          <cell r="I861">
            <v>0</v>
          </cell>
          <cell r="J861">
            <v>0</v>
          </cell>
        </row>
        <row r="862">
          <cell r="B862">
            <v>836</v>
          </cell>
          <cell r="C862">
            <v>3</v>
          </cell>
          <cell r="D862" t="str">
            <v>Production of steel shapes</v>
          </cell>
          <cell r="E862" t="str">
            <v>Sản xuất thép hình các loại</v>
          </cell>
          <cell r="F862" t="str">
            <v>ton</v>
          </cell>
          <cell r="G862" t="str">
            <v>tấn</v>
          </cell>
          <cell r="H862">
            <v>7.7586300000000001</v>
          </cell>
          <cell r="I862">
            <v>0</v>
          </cell>
          <cell r="J862">
            <v>0</v>
          </cell>
        </row>
        <row r="863">
          <cell r="B863">
            <v>837</v>
          </cell>
          <cell r="C863">
            <v>4</v>
          </cell>
          <cell r="D863" t="str">
            <v xml:space="preserve">Installation and dismantling I-600x200x11x17 steel </v>
          </cell>
          <cell r="E863" t="str">
            <v>Lắp đặt, tháo dỡ thép hình I-600x200x11x17</v>
          </cell>
          <cell r="F863" t="str">
            <v>ton</v>
          </cell>
          <cell r="G863" t="str">
            <v>tấn</v>
          </cell>
          <cell r="H863">
            <v>6.5062800000000003</v>
          </cell>
          <cell r="I863">
            <v>0</v>
          </cell>
          <cell r="J863">
            <v>0</v>
          </cell>
        </row>
        <row r="864">
          <cell r="B864">
            <v>838</v>
          </cell>
          <cell r="C864">
            <v>5</v>
          </cell>
          <cell r="D864" t="str">
            <v xml:space="preserve">Installation and dismantling [-300x85x7x12 steel </v>
          </cell>
          <cell r="E864" t="str">
            <v>Lắp đặt, tháo dỡ Thép hình [-300x85x7x12</v>
          </cell>
          <cell r="F864" t="str">
            <v>ton</v>
          </cell>
          <cell r="G864" t="str">
            <v>tấn</v>
          </cell>
          <cell r="H864">
            <v>1.2523499999999999</v>
          </cell>
          <cell r="I864">
            <v>0</v>
          </cell>
          <cell r="J864">
            <v>0</v>
          </cell>
        </row>
        <row r="865">
          <cell r="J865">
            <v>0</v>
          </cell>
        </row>
      </sheetData>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xz"/>
      <sheetName val="BieuGiaThau"/>
      <sheetName val="TH"/>
      <sheetName val="GiaDuThau"/>
      <sheetName val="DGTH (NS)"/>
      <sheetName val="DGCT"/>
      <sheetName val="Giá VL"/>
      <sheetName val="Giá NC"/>
      <sheetName val="Tính giá NC"/>
      <sheetName val="Du toan chi tiet"/>
      <sheetName val="Giá Máy"/>
      <sheetName val="PLvua TVinh"/>
      <sheetName val="PLvua"/>
      <sheetName val="PTVT"/>
    </sheetNames>
    <sheetDataSet>
      <sheetData sheetId="0" refreshError="1"/>
      <sheetData sheetId="1" refreshError="1"/>
      <sheetData sheetId="2" refreshError="1"/>
      <sheetData sheetId="3" refreshError="1"/>
      <sheetData sheetId="4" refreshError="1"/>
      <sheetData sheetId="5" refreshError="1"/>
      <sheetData sheetId="6">
        <row r="6">
          <cell r="E6" t="str">
            <v>Acêtylen</v>
          </cell>
        </row>
      </sheetData>
      <sheetData sheetId="7"/>
      <sheetData sheetId="8" refreshError="1"/>
      <sheetData sheetId="9"/>
      <sheetData sheetId="10"/>
      <sheetData sheetId="11" refreshError="1"/>
      <sheetData sheetId="12" refreshError="1"/>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Chi so gia"/>
      <sheetName val="1.TM (1)"/>
      <sheetName val="THKP"/>
      <sheetName val="index"/>
      <sheetName val="thong ke"/>
      <sheetName val="1a"/>
      <sheetName val="2.XL"/>
      <sheetName val="3.DT2"/>
      <sheetName val="4.DT"/>
      <sheetName val="5.vietnam"/>
      <sheetName val="6.camp"/>
      <sheetName val="7.so sanh"/>
      <sheetName val="8.Dgia"/>
      <sheetName val="DICH"/>
      <sheetName val="9.may"/>
      <sheetName val="10.PLV"/>
      <sheetName val="11.gia "/>
      <sheetName val="12.ssg"/>
      <sheetName val="ssgda"/>
      <sheetName val="13.vanchuyen"/>
      <sheetName val="14.boc xep"/>
      <sheetName val="15.cu ly vc"/>
      <sheetName val="16.NC"/>
      <sheetName val="khoi luong"/>
      <sheetName val="Cong bo gia"/>
      <sheetName val="17.BTN"/>
      <sheetName val="DamBaoGTB"/>
      <sheetName val="nhan cong"/>
      <sheetName val="begin"/>
      <sheetName val="CV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2">
          <cell r="B2" t="str">
            <v xml:space="preserve">  A - Vật liệu</v>
          </cell>
          <cell r="C2" t="str">
            <v xml:space="preserve">  A - Material</v>
          </cell>
        </row>
        <row r="3">
          <cell r="B3" t="str">
            <v xml:space="preserve">  B - Nhân công 2.5/7</v>
          </cell>
          <cell r="C3" t="str">
            <v xml:space="preserve">  B - Labour 2.5/7</v>
          </cell>
        </row>
        <row r="4">
          <cell r="B4" t="str">
            <v xml:space="preserve">  B - Nhân công 2.7/7</v>
          </cell>
          <cell r="C4" t="str">
            <v xml:space="preserve">  B - Labour 2.7/7</v>
          </cell>
        </row>
        <row r="5">
          <cell r="B5" t="str">
            <v xml:space="preserve">  B - Nhân công 3.0/7</v>
          </cell>
          <cell r="C5" t="str">
            <v xml:space="preserve">  B - Labour 3.0/7</v>
          </cell>
        </row>
        <row r="6">
          <cell r="B6" t="str">
            <v xml:space="preserve">  B - Nhân công 3.3/7</v>
          </cell>
          <cell r="C6" t="str">
            <v xml:space="preserve">  B - Labour 3.3/7</v>
          </cell>
        </row>
        <row r="7">
          <cell r="B7" t="str">
            <v xml:space="preserve">  B - Nhân công 3.5/7</v>
          </cell>
          <cell r="C7" t="str">
            <v xml:space="preserve">  B - Labour 3.5/7</v>
          </cell>
        </row>
        <row r="8">
          <cell r="B8" t="str">
            <v xml:space="preserve">  B - Nhân công 3.7/7</v>
          </cell>
          <cell r="C8" t="str">
            <v xml:space="preserve">  B - Labour 3.7/7</v>
          </cell>
        </row>
        <row r="9">
          <cell r="B9" t="str">
            <v xml:space="preserve">  B - Nhân công 4.0/7</v>
          </cell>
          <cell r="C9" t="str">
            <v xml:space="preserve">  B - Labour 4.0/7</v>
          </cell>
        </row>
        <row r="10">
          <cell r="B10" t="str">
            <v xml:space="preserve">  B - Nhân công 4.3/7</v>
          </cell>
          <cell r="C10" t="str">
            <v xml:space="preserve">  B - Labour 4.3/7</v>
          </cell>
        </row>
        <row r="11">
          <cell r="B11" t="str">
            <v xml:space="preserve">  B - Nhân công 4.5/7</v>
          </cell>
          <cell r="C11" t="str">
            <v xml:space="preserve">  B - Labour 4.5/7</v>
          </cell>
        </row>
        <row r="12">
          <cell r="B12" t="str">
            <v xml:space="preserve">  B - Nhân công 5.0/7</v>
          </cell>
          <cell r="C12" t="str">
            <v xml:space="preserve">  B - Labour 5.0/7</v>
          </cell>
        </row>
        <row r="13">
          <cell r="B13" t="str">
            <v xml:space="preserve">  C - Máy thi công</v>
          </cell>
          <cell r="C13" t="str">
            <v xml:space="preserve">  C - Machine</v>
          </cell>
        </row>
        <row r="14">
          <cell r="B14" t="str">
            <v xml:space="preserve">(=1709776 -46,64kg dầu diezel *7818/0,87đ-18Kwh điện*1000đ) </v>
          </cell>
          <cell r="C14" t="str">
            <v xml:space="preserve">(=1709776 -46,64kg diezel *7818/0,87đ-18Kwh electric*1000đ) </v>
          </cell>
        </row>
        <row r="15">
          <cell r="B15" t="str">
            <v>(3 ca/ngày x 10ngày x 2 phao)</v>
          </cell>
          <cell r="C15" t="str">
            <v>(3 shift/day x 10days x 2 buoy)</v>
          </cell>
        </row>
        <row r="16">
          <cell r="B16" t="str">
            <v>(3 ca/ngày x 10ngày x 4 phao)</v>
          </cell>
          <cell r="C16" t="str">
            <v>(3 shift/day x 10days x 4 buoy)</v>
          </cell>
        </row>
        <row r="17">
          <cell r="B17" t="str">
            <v>(Chiều cao cột là 8m)</v>
          </cell>
          <cell r="C17" t="str">
            <v>Pole hight 8m</v>
          </cell>
        </row>
        <row r="18">
          <cell r="B18" t="str">
            <v xml:space="preserve">(Dùng 2 phao thép loại 250T và 2 phao thép loại 200T chứa đầy nước để chất tải, thời gian lưu tải 10 ngày) </v>
          </cell>
          <cell r="C18" t="str">
            <v>Using 2 buoy 250 ton and 2 buoy 200 ton in 10 days</v>
          </cell>
        </row>
        <row r="19">
          <cell r="B19" t="str">
            <v xml:space="preserve">(Dùng 2 phao thép loại 250Tấn chứa đầy nước để chất tải, thời gian lưu tải 10 ngày) </v>
          </cell>
          <cell r="C19" t="str">
            <v>Using 2 buoy 250 ton in 10 days</v>
          </cell>
        </row>
        <row r="20">
          <cell r="B20" t="str">
            <v xml:space="preserve">(Dùng 4 phao thép loại 250T chứa đầy nước để chất tải, thời gian lưu tải 10 ngày) </v>
          </cell>
          <cell r="C20" t="str">
            <v>Using 4 buoy 250 ton in 10 days</v>
          </cell>
        </row>
        <row r="21">
          <cell r="B21" t="str">
            <v>(hưởng 70% lương)</v>
          </cell>
          <cell r="C21" t="str">
            <v>(calculating 70% salary)</v>
          </cell>
        </row>
        <row r="22">
          <cell r="B22" t="str">
            <v>(Không tính thép hình)</v>
          </cell>
          <cell r="C22" t="str">
            <v>(not included shaped steel)</v>
          </cell>
        </row>
        <row r="23">
          <cell r="B23" t="str">
            <v>=(0,18-0,152)*(6-3)/(3-2)+0,152</v>
          </cell>
          <cell r="C23" t="str">
            <v>=(0,18-0,152)*(6-3)/(3-2)+0,152</v>
          </cell>
        </row>
        <row r="24">
          <cell r="B24" t="str">
            <v>=(0,23-0,19)*(6-3)/(3-2)+0,19</v>
          </cell>
          <cell r="C24" t="str">
            <v>=(0,23-0,19)*(6-3)/(3-2)+0,19</v>
          </cell>
        </row>
        <row r="25">
          <cell r="B25" t="str">
            <v>=(5,24-5)/(5,5-5)*(55,79-50,953)+50,953</v>
          </cell>
          <cell r="C25" t="str">
            <v>=(5,24-5)/(5,5-5)*(55,79-50,953)+50,953</v>
          </cell>
        </row>
        <row r="26">
          <cell r="B26" t="str">
            <v>=(5,74-5,5)/(6-5,5)*(60,573-55,79)+55,79</v>
          </cell>
          <cell r="C26" t="str">
            <v>=(5,74-5,5)/(6-5,5)*(60,573-55,79)+55,79</v>
          </cell>
        </row>
        <row r="27">
          <cell r="B27" t="str">
            <v>=(64-60)/(65-60)*(0,415-0,383)+0,383</v>
          </cell>
          <cell r="C27" t="str">
            <v>=(64-60)/(65-60)*(0,415-0,383)+0,383</v>
          </cell>
        </row>
        <row r="28">
          <cell r="B28" t="str">
            <v>=(64-60)/(65-60)*(0,415-0,383)+0,383</v>
          </cell>
          <cell r="C28" t="str">
            <v>=(64-60)/(65-60)*(0,415-0,383)+0,383</v>
          </cell>
        </row>
        <row r="29">
          <cell r="B29" t="str">
            <v>=(6-5)/(10-5)*(94,47-47,235)+47,235</v>
          </cell>
          <cell r="C29" t="str">
            <v>=(6-5)/(10-5)*(94,47-47,235)+47,235</v>
          </cell>
        </row>
        <row r="30">
          <cell r="B30" t="str">
            <v>=(6-5)/(10-5)*(94,47-47,235)+47,235</v>
          </cell>
          <cell r="C30" t="str">
            <v>=(6-5)/(10-5)*(94,47-47,235)+47,235</v>
          </cell>
        </row>
        <row r="31">
          <cell r="B31" t="str">
            <v>=(7,87-5,19)*(6-3)/(3-2)+5,19</v>
          </cell>
          <cell r="C31" t="str">
            <v>=(7,87-5,19)*(6-3)/(3-2)+5,19</v>
          </cell>
        </row>
        <row r="32">
          <cell r="B32" t="str">
            <v>=14*0,128/20</v>
          </cell>
          <cell r="C32" t="str">
            <v>=14*0,128/20</v>
          </cell>
        </row>
        <row r="33">
          <cell r="B33" t="str">
            <v>=16*0,128/20</v>
          </cell>
          <cell r="C33" t="str">
            <v>=16*0,128/20</v>
          </cell>
        </row>
        <row r="34">
          <cell r="B34" t="str">
            <v>Acêtylen</v>
          </cell>
          <cell r="C34" t="str">
            <v>Acetylene</v>
          </cell>
        </row>
        <row r="35">
          <cell r="B35" t="str">
            <v>Bản thép neo 180x180x45</v>
          </cell>
          <cell r="C35" t="str">
            <v>Steel plate 180x180x45</v>
          </cell>
        </row>
        <row r="36">
          <cell r="B36" t="str">
            <v>Bản thép neo 180x180x45 (để lại)</v>
          </cell>
          <cell r="C36" t="str">
            <v>Steel plate 180x180x45 (permanent)</v>
          </cell>
        </row>
        <row r="37">
          <cell r="B37" t="str">
            <v>Bản thép neo 180x180x45 (thu hồi, KH=2%*1tháng+7%)</v>
          </cell>
          <cell r="C37" t="str">
            <v>Steel plate 180x180x45 (taken back, amor=2%*1tháng+7%)</v>
          </cell>
        </row>
        <row r="38">
          <cell r="B38" t="str">
            <v>Bản thép neo 180x180x45 (thu hồi, KH=2%*9tháng+7%)</v>
          </cell>
          <cell r="C38" t="str">
            <v>Steel plate 180x180x45 (taken back, amor=2%*9tháng+7%)</v>
          </cell>
        </row>
        <row r="39">
          <cell r="B39" t="str">
            <v>Băng dính</v>
          </cell>
          <cell r="C39" t="str">
            <v>Adhesive tape</v>
          </cell>
        </row>
        <row r="40">
          <cell r="B40" t="str">
            <v>Bao tải</v>
          </cell>
          <cell r="C40" t="str">
            <v>Bag</v>
          </cell>
        </row>
        <row r="41">
          <cell r="B41" t="str">
            <v>Bê tông C10 đá 1x2</v>
          </cell>
          <cell r="C41" t="str">
            <v>Lean concrete C10, stone 1x2</v>
          </cell>
        </row>
        <row r="42">
          <cell r="B42" t="str">
            <v>Bê tông C10 lót móng đá 1x2, R&lt;250cm</v>
          </cell>
          <cell r="C42" t="str">
            <v>Lean concrete C10, R&lt;250cm (stone 1x2)</v>
          </cell>
        </row>
        <row r="43">
          <cell r="B43" t="str">
            <v>Bê tông C10 lót móng đá 1x2, R&gt;250cm</v>
          </cell>
          <cell r="C43" t="str">
            <v>Lean concrete C10, R&gt;250cm (stone 1x2)</v>
          </cell>
        </row>
        <row r="44">
          <cell r="B44" t="str">
            <v>Bê tông C10 lót móng đá 4x6, R&lt;250cm</v>
          </cell>
          <cell r="C44" t="str">
            <v>Lean concrete C10, R&lt;250cm (stone 4x6)</v>
          </cell>
        </row>
        <row r="45">
          <cell r="B45" t="str">
            <v>Bê tông C15 cọc tiêu</v>
          </cell>
          <cell r="C45" t="str">
            <v>Concrete C15 of pole</v>
          </cell>
        </row>
        <row r="46">
          <cell r="B46" t="str">
            <v>Bê tông C15 móng</v>
          </cell>
          <cell r="C46" t="str">
            <v>Concrete C15 of foundation</v>
          </cell>
        </row>
        <row r="47">
          <cell r="B47" t="str">
            <v>Bê tông C15 nền</v>
          </cell>
          <cell r="C47" t="str">
            <v>Concrete C15 of foundation</v>
          </cell>
        </row>
        <row r="48">
          <cell r="B48" t="str">
            <v>Bê tông C20 bịt đáy đá 4x6 trên cạn</v>
          </cell>
          <cell r="C48" t="str">
            <v>Blinding concrete C20 (stone 4x6) on land</v>
          </cell>
        </row>
        <row r="49">
          <cell r="B49" t="str">
            <v>Bê tông C20 đá 1x2 (M250) (tường đầu, tường cánh, tường chắn...)</v>
          </cell>
          <cell r="C49" t="str">
            <v>Concrete C20, stone 1x2 of headwall/ wingwall</v>
          </cell>
        </row>
        <row r="50">
          <cell r="B50" t="str">
            <v>Bê tông C20 đá 1x2 bó vỉa</v>
          </cell>
          <cell r="C50" t="str">
            <v>Concrete C20, stone 1x2 of kerb</v>
          </cell>
        </row>
        <row r="51">
          <cell r="B51" t="str">
            <v>Bê tông C20 đá 4x6</v>
          </cell>
          <cell r="C51" t="str">
            <v>Concrete C20, stone 4x6</v>
          </cell>
        </row>
        <row r="52">
          <cell r="B52" t="str">
            <v>Bê tông C20 móng</v>
          </cell>
          <cell r="C52" t="str">
            <v>Concrete C20 of foundation</v>
          </cell>
        </row>
        <row r="53">
          <cell r="B53" t="str">
            <v>Bê tông C20 nền</v>
          </cell>
          <cell r="C53" t="str">
            <v>Concrete C20 of foundation</v>
          </cell>
        </row>
        <row r="54">
          <cell r="B54" t="str">
            <v>Bê tông C20 sân cống</v>
          </cell>
          <cell r="C54" t="str">
            <v>Concrete C20 of apron</v>
          </cell>
        </row>
        <row r="55">
          <cell r="B55" t="str">
            <v>Bê tông C25 bản quá độ</v>
          </cell>
          <cell r="C55" t="str">
            <v>Concrete C25 of approach slab</v>
          </cell>
        </row>
        <row r="56">
          <cell r="B56" t="str">
            <v>Bê tông C25 bản quá độ đổ tại chỗ</v>
          </cell>
          <cell r="C56" t="str">
            <v>Concrete C25 of approach slab casted in place</v>
          </cell>
        </row>
        <row r="57">
          <cell r="B57" t="str">
            <v>Bê tông C30</v>
          </cell>
          <cell r="C57" t="str">
            <v>Concrete C30</v>
          </cell>
        </row>
        <row r="58">
          <cell r="B58" t="str">
            <v>Bê tông C30 cọc khoan nhồi trên cạn D&lt;=1000</v>
          </cell>
          <cell r="C58" t="str">
            <v>Concrete C30 of bored pile D&lt;=1000 (land)</v>
          </cell>
        </row>
        <row r="59">
          <cell r="B59" t="str">
            <v>Bê tông C30 cọc khoan nhồi trên cạn D&gt;1000</v>
          </cell>
          <cell r="C59" t="str">
            <v>Concrete C30 of bored pile D&gt;1000 (land)</v>
          </cell>
        </row>
        <row r="60">
          <cell r="B60" t="str">
            <v>Bê tông C30 cống hộp đổ tại chỗ</v>
          </cell>
          <cell r="C60" t="str">
            <v>Concrete C30 of box culvert (in situ)</v>
          </cell>
        </row>
        <row r="61">
          <cell r="B61" t="str">
            <v>Bê tông C30 lan can phần đúc sẵn</v>
          </cell>
          <cell r="C61" t="str">
            <v>Concrete C30 of precast railing</v>
          </cell>
        </row>
        <row r="62">
          <cell r="B62" t="str">
            <v>Bê tông C30 lan can, lề bộ hành phần đổ tại chỗ</v>
          </cell>
          <cell r="C62" t="str">
            <v>Concrete C30 of railling/ side walk</v>
          </cell>
        </row>
        <row r="63">
          <cell r="B63" t="str">
            <v>Bê tông C30 sàn giảm tải</v>
          </cell>
          <cell r="C63" t="str">
            <v>Concrete C30 of pile slab</v>
          </cell>
        </row>
        <row r="64">
          <cell r="B64" t="str">
            <v>Bê tông C35 (dầm, bản mặt cầu …)</v>
          </cell>
          <cell r="C64" t="str">
            <v>Concrete C35 (girder, deck slab…)</v>
          </cell>
        </row>
        <row r="65">
          <cell r="B65" t="str">
            <v>Bê tông C35 bệ đúc dầm</v>
          </cell>
          <cell r="C65" t="str">
            <v>Concrete C35 of casting bed</v>
          </cell>
        </row>
        <row r="66">
          <cell r="B66" t="str">
            <v>Bê tông C35 mố/trụ trên cạn</v>
          </cell>
          <cell r="C66" t="str">
            <v>Concrete C35 of abutment-pier on land</v>
          </cell>
        </row>
        <row r="67">
          <cell r="B67" t="str">
            <v>Bê tông C35 mũ mố trụ trên cạn</v>
          </cell>
          <cell r="C67" t="str">
            <v>Concrete C35 of abutment-pier on land</v>
          </cell>
        </row>
        <row r="68">
          <cell r="B68" t="str">
            <v>Bê tông C40 mố/trụ</v>
          </cell>
          <cell r="C68" t="str">
            <v>Concrete C40 of abutment-pier</v>
          </cell>
        </row>
        <row r="69">
          <cell r="B69" t="str">
            <v>Bê tông C40 mũ mố trụ trên cạn</v>
          </cell>
          <cell r="C69" t="str">
            <v>Concrete C40 of abutment-pier on land</v>
          </cell>
        </row>
        <row r="70">
          <cell r="B70" t="str">
            <v>Bê tông C40 ụ neo trên khối hợp long</v>
          </cell>
          <cell r="C70" t="str">
            <v>Concrete C40 of blister</v>
          </cell>
        </row>
        <row r="71">
          <cell r="B71" t="str">
            <v>Bê tông C42 dầm hộp đúc hẫng trên cạn</v>
          </cell>
          <cell r="C71" t="str">
            <v>Concrete C42 of cantilever box girder (land)</v>
          </cell>
        </row>
        <row r="72">
          <cell r="B72" t="str">
            <v>Bê tông C42 dầm hộp đúc hẫng trên mặt nước</v>
          </cell>
          <cell r="C72" t="str">
            <v>Concrete C42 of cantilever box girder (water)</v>
          </cell>
        </row>
        <row r="73">
          <cell r="B73" t="str">
            <v>Bê tông C42 dầm hộp đúc trên đà giáo dưới nước (K0,K1)</v>
          </cell>
          <cell r="C73" t="str">
            <v>Concrete C42 of box girder casted on scaffolding (water) (K0, K1)</v>
          </cell>
        </row>
        <row r="74">
          <cell r="B74" t="str">
            <v>Bê tông C42 dầm hộp đúc trên đà giáo trên cạn (K17)</v>
          </cell>
          <cell r="C74" t="str">
            <v>Concrete C42 of box girder casted on scaffolding (land) (K17)</v>
          </cell>
        </row>
        <row r="75">
          <cell r="B75" t="str">
            <v>Bê tông C42 mũ mố trụ trên cạn</v>
          </cell>
          <cell r="C75" t="str">
            <v>Concrete C42 of pier cap (land)</v>
          </cell>
        </row>
        <row r="76">
          <cell r="B76" t="str">
            <v>Bê tông gạch trồng cỏ</v>
          </cell>
          <cell r="C76" t="str">
            <v>Concrete of brick</v>
          </cell>
        </row>
        <row r="77">
          <cell r="B77" t="str">
            <v>Ben tô nít</v>
          </cell>
          <cell r="C77" t="str">
            <v>Bentonite</v>
          </cell>
        </row>
        <row r="78">
          <cell r="B78" t="str">
            <v>Bếp cát</v>
          </cell>
        </row>
        <row r="79">
          <cell r="B79" t="str">
            <v>Bếp điện (0,6 kW)</v>
          </cell>
          <cell r="C79" t="str">
            <v>Electric cooker (0,6 kW)</v>
          </cell>
        </row>
        <row r="80">
          <cell r="B80" t="str">
            <v>Bêtông C15 đá 1x2</v>
          </cell>
          <cell r="C80" t="str">
            <v>Concrete C15 (stone 1x2)</v>
          </cell>
        </row>
        <row r="81">
          <cell r="B81" t="str">
            <v>Bêtông C15 đá 1x2 tấm đan đúc sẵn</v>
          </cell>
          <cell r="C81" t="str">
            <v>Concrete C15 of cover plate (in situ)</v>
          </cell>
        </row>
        <row r="82">
          <cell r="B82" t="str">
            <v>Bêtông C20 đá 1x2</v>
          </cell>
          <cell r="C82" t="str">
            <v>Concrete C20 (stone 1x2)</v>
          </cell>
        </row>
        <row r="83">
          <cell r="B83" t="str">
            <v>Bêtông C25 thân, tường</v>
          </cell>
          <cell r="C83" t="str">
            <v>Concrete C25</v>
          </cell>
        </row>
        <row r="84">
          <cell r="B84" t="str">
            <v>Bêtông C30 cọc BTCT đá 1x2</v>
          </cell>
          <cell r="C84" t="str">
            <v>Concrete C30 of R.C driven pile (stone 1x2)</v>
          </cell>
        </row>
        <row r="85">
          <cell r="B85" t="str">
            <v>Bêtông C30 cọc BTCT đá 1x2 bệ đúc dầm</v>
          </cell>
          <cell r="C85" t="str">
            <v>Concrete C30 of R.C driven pile (stone 1x2)</v>
          </cell>
        </row>
        <row r="86">
          <cell r="B86" t="str">
            <v>Bêtông C30 thân, tường đá 1x2</v>
          </cell>
          <cell r="C86" t="str">
            <v>Concrete C30</v>
          </cell>
        </row>
        <row r="87">
          <cell r="B87" t="str">
            <v>Biển báo chữ nhật 0.7x0.3m</v>
          </cell>
          <cell r="C87" t="str">
            <v>Rectangular traffic sign 0.7x0.3m</v>
          </cell>
        </row>
        <row r="88">
          <cell r="B88" t="str">
            <v>Biển báo chữ nhật 0.9x0.45m</v>
          </cell>
          <cell r="C88" t="str">
            <v>Rectangular traffic sign 0.9x0.45m</v>
          </cell>
        </row>
        <row r="89">
          <cell r="B89" t="str">
            <v>Biển báo chữ nhật 1.2x0.25m</v>
          </cell>
          <cell r="C89" t="str">
            <v>Rectangular traffic sign 1.2x0.25m</v>
          </cell>
        </row>
        <row r="90">
          <cell r="B90" t="str">
            <v>Biển báo chữ nhật 1.2x0.25m, tạm tính KHVL=0.5</v>
          </cell>
          <cell r="C90" t="str">
            <v>Rectangular traffic sign 1.2x0.25m, amorM=0.5</v>
          </cell>
        </row>
        <row r="91">
          <cell r="B91" t="str">
            <v>Biển báo chữ nhật 1.6x1.0m</v>
          </cell>
          <cell r="C91" t="str">
            <v>Rectangular traffic sign 1.6x1.0m</v>
          </cell>
        </row>
        <row r="92">
          <cell r="B92" t="str">
            <v>Biển báo chữ nhật 1.6x1.2m</v>
          </cell>
          <cell r="C92" t="str">
            <v>Rectangular traffic sign 1.6x1.2m</v>
          </cell>
        </row>
        <row r="93">
          <cell r="B93" t="str">
            <v>Biển báo chữ nhật 2.4x1.5m</v>
          </cell>
          <cell r="C93" t="str">
            <v>Rectangular traffic sign 2.4x1.5m</v>
          </cell>
        </row>
        <row r="94">
          <cell r="B94" t="str">
            <v>Biển báo chữ nhật 2x1m</v>
          </cell>
          <cell r="C94" t="str">
            <v>Rectangular traffic sign 2x1m</v>
          </cell>
        </row>
        <row r="95">
          <cell r="B95" t="str">
            <v>Biển báo chữ nhật 2x1m, tạm tính KHVL=0.5</v>
          </cell>
          <cell r="C95" t="str">
            <v>Rectangular traffic sign 2x1m, amorM=0.5</v>
          </cell>
        </row>
        <row r="96">
          <cell r="B96" t="str">
            <v>Biển báo hình tròn D70</v>
          </cell>
          <cell r="C96" t="str">
            <v>Circlar traffic sign D70</v>
          </cell>
        </row>
        <row r="97">
          <cell r="B97" t="str">
            <v>Biển báo hình vuông 0.6x0.6m</v>
          </cell>
          <cell r="C97" t="str">
            <v>Square traffic sign 0.6x0.6m</v>
          </cell>
        </row>
        <row r="98">
          <cell r="B98" t="str">
            <v>Biển báo tam giác cạnh 0.7m</v>
          </cell>
          <cell r="C98" t="str">
            <v>Triangle traffic sign 0.7m</v>
          </cell>
        </row>
        <row r="99">
          <cell r="B99" t="str">
            <v>Biển báo tam giác cạnh 0.87m</v>
          </cell>
          <cell r="C99" t="str">
            <v>Triangle traffic sign 0.87m</v>
          </cell>
        </row>
        <row r="100">
          <cell r="B100" t="str">
            <v>Biển báo tròn đường kính 0.7m</v>
          </cell>
          <cell r="C100" t="str">
            <v>Circlar traffic sign 0.7m</v>
          </cell>
        </row>
        <row r="101">
          <cell r="B101" t="str">
            <v>Biển báo tròn đường kính 0.87m</v>
          </cell>
          <cell r="C101" t="str">
            <v>Circlar traffic sign 0.87m</v>
          </cell>
        </row>
        <row r="102">
          <cell r="B102" t="str">
            <v>Bình hút ẩm</v>
          </cell>
          <cell r="C102" t="str">
            <v>Exsiccator</v>
          </cell>
        </row>
        <row r="103">
          <cell r="B103" t="str">
            <v>Bình thủy tinh tam giác</v>
          </cell>
          <cell r="C103" t="str">
            <v xml:space="preserve"> Triangle glass jar</v>
          </cell>
        </row>
        <row r="104">
          <cell r="B104" t="str">
            <v>Bình tỷ trọng</v>
          </cell>
          <cell r="C104" t="str">
            <v>Density vase</v>
          </cell>
        </row>
        <row r="105">
          <cell r="B105" t="str">
            <v>Bitum chèn mũ neo</v>
          </cell>
          <cell r="C105" t="str">
            <v xml:space="preserve">Bitumment </v>
          </cell>
        </row>
        <row r="106">
          <cell r="B106" t="str">
            <v>Bộ kích 50T</v>
          </cell>
          <cell r="C106" t="str">
            <v>jack 50T</v>
          </cell>
        </row>
        <row r="107">
          <cell r="B107" t="str">
            <v>Bơm dung dịch Bentônít lỗ khoan trên cạn</v>
          </cell>
          <cell r="C107" t="str">
            <v>Pumping bentonite (on land)</v>
          </cell>
        </row>
        <row r="108">
          <cell r="B108" t="str">
            <v>Bơm vữa xi măng trong ống luồn cáp</v>
          </cell>
          <cell r="C108" t="str">
            <v>Pumping mortar cement in cable pipe</v>
          </cell>
        </row>
        <row r="109">
          <cell r="B109" t="str">
            <v>Bột đá</v>
          </cell>
          <cell r="C109" t="str">
            <v>Stone powder</v>
          </cell>
        </row>
        <row r="110">
          <cell r="B110" t="str">
            <v>Bu lông D16mm</v>
          </cell>
          <cell r="C110" t="str">
            <v>Bbolt D16mmm</v>
          </cell>
        </row>
        <row r="111">
          <cell r="B111" t="str">
            <v>Bu lông M10</v>
          </cell>
          <cell r="C111" t="str">
            <v>Bbolt M10</v>
          </cell>
        </row>
        <row r="112">
          <cell r="B112" t="str">
            <v>Bu lông M14</v>
          </cell>
          <cell r="C112" t="str">
            <v>Bbolt M14</v>
          </cell>
        </row>
        <row r="113">
          <cell r="B113" t="str">
            <v>Bu lông M16</v>
          </cell>
          <cell r="C113" t="str">
            <v>Bbolt M16</v>
          </cell>
        </row>
        <row r="114">
          <cell r="B114" t="str">
            <v>Bu lông M20</v>
          </cell>
          <cell r="C114" t="str">
            <v>Bbolt M20</v>
          </cell>
        </row>
        <row r="115">
          <cell r="B115" t="str">
            <v>Bu lông M24x290</v>
          </cell>
          <cell r="C115" t="str">
            <v>Bbolt M24x290</v>
          </cell>
        </row>
        <row r="116">
          <cell r="B116" t="str">
            <v>Bu lông M27</v>
          </cell>
          <cell r="C116" t="str">
            <v>Bbolt M27</v>
          </cell>
        </row>
        <row r="117">
          <cell r="B117" t="str">
            <v>Bu lông M6</v>
          </cell>
          <cell r="C117" t="str">
            <v>Bbolt M6</v>
          </cell>
        </row>
        <row r="118">
          <cell r="B118" t="str">
            <v>Bu lông M8x50</v>
          </cell>
          <cell r="C118" t="str">
            <v>Bbolt M8x50</v>
          </cell>
        </row>
        <row r="119">
          <cell r="B119" t="str">
            <v>Búa căn khí nén 1.5m3/ph</v>
          </cell>
          <cell r="C119" t="str">
            <v>Air compressed hammer 1.5m3/min</v>
          </cell>
        </row>
        <row r="120">
          <cell r="B120" t="str">
            <v>Búa rung 170kW</v>
          </cell>
          <cell r="C120" t="str">
            <v>Vibrator hammer 170kW</v>
          </cell>
        </row>
        <row r="121">
          <cell r="B121" t="str">
            <v>Búa rung cọc cát 60kW</v>
          </cell>
          <cell r="C121" t="str">
            <v>Vibrator hammer 60kW for sand pile</v>
          </cell>
        </row>
        <row r="122">
          <cell r="B122" t="str">
            <v>Bulông D22mm</v>
          </cell>
          <cell r="C122" t="str">
            <v>Bbolt D22</v>
          </cell>
        </row>
        <row r="123">
          <cell r="B123" t="str">
            <v>Bulông M25x105</v>
          </cell>
          <cell r="C123" t="str">
            <v>Bbolt M25x105</v>
          </cell>
        </row>
        <row r="124">
          <cell r="B124" t="str">
            <v>Cân bàn</v>
          </cell>
          <cell r="C124" t="str">
            <v>Bascule balance</v>
          </cell>
        </row>
        <row r="125">
          <cell r="B125" t="str">
            <v>Cần cẩu bánh hơi 16T</v>
          </cell>
          <cell r="C125" t="str">
            <v>Tyre crane 16T</v>
          </cell>
        </row>
        <row r="126">
          <cell r="B126" t="str">
            <v>Cần cẩu bánh hơi 25T</v>
          </cell>
          <cell r="C126" t="str">
            <v>Tyre crane 25T</v>
          </cell>
        </row>
        <row r="127">
          <cell r="B127" t="str">
            <v>Cần cẩu bánh xích 10T</v>
          </cell>
          <cell r="C127" t="str">
            <v>caterpillar crane 10T</v>
          </cell>
        </row>
        <row r="128">
          <cell r="B128" t="str">
            <v>Cần cẩu bánh xích 16T</v>
          </cell>
          <cell r="C128" t="str">
            <v>caterpillar crane 16T</v>
          </cell>
        </row>
        <row r="129">
          <cell r="B129" t="str">
            <v>Cần cẩu bánh xích 25T</v>
          </cell>
          <cell r="C129" t="str">
            <v>caterpillar crane 25T</v>
          </cell>
        </row>
        <row r="130">
          <cell r="B130" t="str">
            <v>Cần cẩu bánh xích 30T</v>
          </cell>
          <cell r="C130" t="str">
            <v>caterpillar crane 30T</v>
          </cell>
        </row>
        <row r="131">
          <cell r="B131" t="str">
            <v>Cần cẩu bánh xích 50T</v>
          </cell>
          <cell r="C131" t="str">
            <v>caterpillar crane 50T</v>
          </cell>
        </row>
        <row r="132">
          <cell r="B132" t="str">
            <v>Cần cẩu bánh xích 80T</v>
          </cell>
          <cell r="C132" t="str">
            <v>caterpillar crane 80T</v>
          </cell>
        </row>
        <row r="133">
          <cell r="B133" t="str">
            <v>Cần cẩu nổi 30T</v>
          </cell>
          <cell r="C133" t="str">
            <v>Crane barge 30T</v>
          </cell>
        </row>
        <row r="134">
          <cell r="B134" t="str">
            <v>Cần khoan L=1,5m</v>
          </cell>
          <cell r="C134" t="str">
            <v>Drill rods L=1.5m</v>
          </cell>
        </row>
        <row r="135">
          <cell r="B135" t="str">
            <v>Cần khoan 1.83m</v>
          </cell>
          <cell r="C135" t="str">
            <v>Drill rods L=1.83m</v>
          </cell>
        </row>
        <row r="136">
          <cell r="B136" t="str">
            <v>Cân phân tích</v>
          </cell>
          <cell r="C136" t="str">
            <v>Analytic balance</v>
          </cell>
        </row>
        <row r="137">
          <cell r="B137" t="str">
            <v>Cần trục ôtô 10T</v>
          </cell>
          <cell r="C137" t="str">
            <v>Truck-mounted crane 10T</v>
          </cell>
        </row>
        <row r="138">
          <cell r="B138" t="str">
            <v>Cần trục ôtô 25T</v>
          </cell>
          <cell r="C138" t="str">
            <v>Truck-mounted crane 25T</v>
          </cell>
        </row>
        <row r="139">
          <cell r="B139" t="str">
            <v>Canô 120cv</v>
          </cell>
          <cell r="C139" t="str">
            <v>Canoe 120CV</v>
          </cell>
        </row>
        <row r="140">
          <cell r="B140" t="str">
            <v>Canô 150CV</v>
          </cell>
          <cell r="C140" t="str">
            <v>Canoe 150CV</v>
          </cell>
        </row>
        <row r="141">
          <cell r="B141" t="str">
            <v>Cáp dự ứng lực dầm đúc hẫng trên cạn</v>
          </cell>
          <cell r="C141" t="str">
            <v>Cable of cantilever beam (land)</v>
          </cell>
        </row>
        <row r="142">
          <cell r="B142" t="str">
            <v>Cáp dự ứng lực dầm đúc hẫng trên mặt nước</v>
          </cell>
          <cell r="C142" t="str">
            <v>Cable of cantilever beam (water)</v>
          </cell>
        </row>
        <row r="143">
          <cell r="B143" t="str">
            <v>Cấp phối chọn lọc</v>
          </cell>
          <cell r="C143" t="str">
            <v>Selective aggregate</v>
          </cell>
        </row>
        <row r="144">
          <cell r="B144" t="str">
            <v>Cấp phối chọn lọc K=0.98</v>
          </cell>
          <cell r="C144" t="str">
            <v>Selective aggregate, K=0.98</v>
          </cell>
        </row>
        <row r="145">
          <cell r="B145" t="str">
            <v>Cấp phối đá dăm</v>
          </cell>
          <cell r="C145" t="str">
            <v>Stone aggregate 0x4</v>
          </cell>
        </row>
        <row r="146">
          <cell r="B146" t="str">
            <v>Cấp phối đá dăm (móng dưới)</v>
          </cell>
          <cell r="C146" t="str">
            <v>stone aggregate 0x4 (type 2)</v>
          </cell>
        </row>
        <row r="147">
          <cell r="B147" t="str">
            <v>Cấp phối đá dăm (móng trên)</v>
          </cell>
          <cell r="C147" t="str">
            <v>stone aggregate 0x4 (type 1)</v>
          </cell>
        </row>
        <row r="148">
          <cell r="B148" t="str">
            <v>Cát bê tông nhựa</v>
          </cell>
          <cell r="C148" t="str">
            <v>Sand asphalt concrete</v>
          </cell>
        </row>
        <row r="149">
          <cell r="B149" t="str">
            <v>Cát đen</v>
          </cell>
          <cell r="C149" t="str">
            <v>Find sand</v>
          </cell>
        </row>
        <row r="150">
          <cell r="B150" t="str">
            <v>Cát đổ bêtông</v>
          </cell>
          <cell r="C150" t="str">
            <v>Sand to pouring concrete</v>
          </cell>
        </row>
        <row r="151">
          <cell r="B151" t="str">
            <v>Cắt mặt đường BTN dày 5cm</v>
          </cell>
          <cell r="C151" t="str">
            <v>Cutting asphanlt concrete</v>
          </cell>
        </row>
        <row r="152">
          <cell r="B152" t="str">
            <v>Cát vàng</v>
          </cell>
          <cell r="C152" t="str">
            <v>Medium sand</v>
          </cell>
        </row>
        <row r="153">
          <cell r="B153" t="str">
            <v>Cầu công tác</v>
          </cell>
          <cell r="C153" t="str">
            <v>Gangway</v>
          </cell>
        </row>
        <row r="154">
          <cell r="B154" t="str">
            <v>Cẩu dầm Super-T lên hoặc xuống</v>
          </cell>
        </row>
        <row r="155">
          <cell r="B155" t="str">
            <v>Cẩu dầm Super-T lên phương tiện vận chuyển, tạm tính HS=30%</v>
          </cell>
          <cell r="C155" t="str">
            <v>Crane girder super-T onto transported vehicle, HS=30%</v>
          </cell>
        </row>
        <row r="156">
          <cell r="B156" t="str">
            <v>Cẩu lắp gối cầu</v>
          </cell>
          <cell r="C156" t="str">
            <v>Craning bearing</v>
          </cell>
        </row>
        <row r="157">
          <cell r="B157" t="str">
            <v>Cẩu long môn</v>
          </cell>
          <cell r="C157" t="str">
            <v>Beam-launch crane</v>
          </cell>
        </row>
        <row r="158">
          <cell r="B158" t="str">
            <v>Cẩu ống cống BTCT D1500 nối joint cao su (H10), L=3m, HS=1.15*0.6 (tháo dỡ= 60% lắp dựng)</v>
          </cell>
          <cell r="C158" t="str">
            <v>Install cluvert pipe D1500 (H10), L=3m, HS=1.15*0.6</v>
          </cell>
        </row>
        <row r="159">
          <cell r="B159" t="str">
            <v>Cây chống</v>
          </cell>
          <cell r="C159" t="str">
            <v>Strut</v>
          </cell>
        </row>
        <row r="160">
          <cell r="B160" t="str">
            <v>Cày xới mặt đường cũ</v>
          </cell>
          <cell r="C160" t="str">
            <v>Ploughing the old pavement</v>
          </cell>
        </row>
        <row r="161">
          <cell r="B161" t="str">
            <v>Chất tải khử lún hệ 1000 tấn</v>
          </cell>
          <cell r="C161" t="str">
            <v>Charging for de-settlement 1000 ton system</v>
          </cell>
        </row>
        <row r="162">
          <cell r="B162" t="str">
            <v>Chất tải khử lún hệ 500 tấn</v>
          </cell>
          <cell r="C162" t="str">
            <v>Charging for de-settlement 500 ton system</v>
          </cell>
        </row>
        <row r="163">
          <cell r="B163" t="str">
            <v>Chất tải khử lún hệ 900 tấn</v>
          </cell>
          <cell r="C163" t="str">
            <v>Charging for de-settlement 900 ton system</v>
          </cell>
        </row>
        <row r="164">
          <cell r="B164" t="str">
            <v>Chậu thủy tinh</v>
          </cell>
          <cell r="C164" t="str">
            <v>Glass bowl</v>
          </cell>
        </row>
        <row r="165">
          <cell r="B165" t="str">
            <v>Chờ 7 ngày để vỗ lại (hưởng 70% ca)</v>
          </cell>
          <cell r="C165" t="str">
            <v>Waiting 7 days</v>
          </cell>
        </row>
        <row r="166">
          <cell r="B166" t="str">
            <v>Chổi cáp</v>
          </cell>
          <cell r="C166" t="str">
            <v>broom</v>
          </cell>
        </row>
        <row r="167">
          <cell r="B167" t="str">
            <v>Cỏ</v>
          </cell>
          <cell r="C167" t="str">
            <v>Grass</v>
          </cell>
        </row>
        <row r="168">
          <cell r="B168" t="str">
            <v>Co nối ống nhựa PVC D60</v>
          </cell>
          <cell r="C168" t="str">
            <v>pup joint PVC D60</v>
          </cell>
        </row>
        <row r="169">
          <cell r="B169" t="str">
            <v>Cốc nhựa</v>
          </cell>
          <cell r="C169" t="str">
            <v>Plastic cup</v>
          </cell>
        </row>
        <row r="170">
          <cell r="B170" t="str">
            <v>Cọc thép hình H350x350</v>
          </cell>
          <cell r="C170" t="str">
            <v>Shaped steel H350x350</v>
          </cell>
        </row>
        <row r="171">
          <cell r="B171" t="str">
            <v>Cốc thủy tinh</v>
          </cell>
          <cell r="C171" t="str">
            <v>Glass</v>
          </cell>
        </row>
        <row r="172">
          <cell r="B172" t="str">
            <v>Cọc tràm</v>
          </cell>
          <cell r="C172" t="str">
            <v>Wooden pile</v>
          </cell>
        </row>
        <row r="173">
          <cell r="B173" t="str">
            <v>Cọc ván thép</v>
          </cell>
          <cell r="C173" t="str">
            <v>Steel sheet stake</v>
          </cell>
        </row>
        <row r="174">
          <cell r="B174" t="str">
            <v>Cối chày đồng</v>
          </cell>
        </row>
        <row r="175">
          <cell r="B175" t="str">
            <v>Côn nhựa</v>
          </cell>
          <cell r="C175" t="str">
            <v xml:space="preserve"> plastic cudgel </v>
          </cell>
        </row>
        <row r="176">
          <cell r="B176" t="str">
            <v>Cồn rửa</v>
          </cell>
          <cell r="C176" t="str">
            <v>Alcohol for washing</v>
          </cell>
        </row>
        <row r="177">
          <cell r="B177" t="str">
            <v>Cốt thép cọc các loại</v>
          </cell>
          <cell r="C177" t="str">
            <v>Reinforcement of R.C pile</v>
          </cell>
        </row>
        <row r="178">
          <cell r="B178" t="str">
            <v>Cốt thép cọc tiêu</v>
          </cell>
          <cell r="C178" t="str">
            <v>Stell of pole</v>
          </cell>
        </row>
        <row r="179">
          <cell r="B179" t="str">
            <v>Cốt thép D&lt;=10 (sàn, bản quá độ, bệ đúc dầm Super-T các loại…)</v>
          </cell>
          <cell r="C179" t="str">
            <v>Reinforcement D&lt;=10 of slab, approach slab, casting bed super T…</v>
          </cell>
        </row>
        <row r="180">
          <cell r="B180" t="str">
            <v>Cốt thép D&lt;=10 bản mặt cầu</v>
          </cell>
          <cell r="C180" t="str">
            <v>Reinforcement D&lt;=10 of deck slab</v>
          </cell>
        </row>
        <row r="181">
          <cell r="B181" t="str">
            <v>Cốt thép D&lt;=10 dầm, giằng</v>
          </cell>
          <cell r="C181" t="str">
            <v>Reinforcement D&lt;=10 of cross beam</v>
          </cell>
        </row>
        <row r="182">
          <cell r="B182" t="str">
            <v>Cốt thép D&lt;=10 đúc sẵn</v>
          </cell>
          <cell r="C182" t="str">
            <v>Reinforcement D&lt;=10 (precast)</v>
          </cell>
        </row>
        <row r="183">
          <cell r="B183" t="str">
            <v>Cốt thép D&lt;=18 (sàn, bản quá độ, bệ đúc dầm Super-T các loại…)</v>
          </cell>
          <cell r="C183" t="str">
            <v>Reinforcement D&lt;=18 of slab, approach slab, casting bed super T…</v>
          </cell>
        </row>
        <row r="184">
          <cell r="B184" t="str">
            <v>Cốt thép D&lt;=18 bản mặt cầu</v>
          </cell>
          <cell r="C184" t="str">
            <v>Reinforcement D&lt;=18 of deck slab</v>
          </cell>
        </row>
        <row r="185">
          <cell r="B185" t="str">
            <v>Cốt thép D&lt;=18 cọc khoan nhồi trên cạn</v>
          </cell>
          <cell r="C185" t="str">
            <v>Reinforcement D&lt;=18 of bored pile (land)</v>
          </cell>
        </row>
        <row r="186">
          <cell r="B186" t="str">
            <v>Cốt thép D&lt;=18 cống</v>
          </cell>
          <cell r="C186" t="str">
            <v>Reinforcement D&lt;=18 of culvert</v>
          </cell>
        </row>
        <row r="187">
          <cell r="B187" t="str">
            <v>Cốt thép D&lt;=18 dầm cầu dưới nước (đổ tại chỗ)</v>
          </cell>
          <cell r="C187" t="str">
            <v>Reinforcement D&lt;=18 of girder in water (precast)</v>
          </cell>
        </row>
        <row r="188">
          <cell r="B188" t="str">
            <v>Cốt thép D&lt;=18 dầm cầu trên cạn (đổ tại chỗ)</v>
          </cell>
          <cell r="C188" t="str">
            <v>Reinforcement D&lt;=18 of girder on land (precast)</v>
          </cell>
        </row>
        <row r="189">
          <cell r="B189" t="str">
            <v>Cốt thép D&lt;=18 dầm super T</v>
          </cell>
          <cell r="C189" t="str">
            <v>Reinforcement D&lt;=18 of girder super T</v>
          </cell>
        </row>
        <row r="190">
          <cell r="B190" t="str">
            <v>Cốt thép D&lt;=18 dầm, giằng</v>
          </cell>
          <cell r="C190" t="str">
            <v>Reinforcement D&lt;=18 of cross beam</v>
          </cell>
        </row>
        <row r="191">
          <cell r="B191" t="str">
            <v>Cốt thép D&lt;=18 giếng</v>
          </cell>
          <cell r="C191" t="str">
            <v>Reinforcement D&lt;=18 of manhole</v>
          </cell>
        </row>
        <row r="192">
          <cell r="B192" t="str">
            <v>Cốt thép D&lt;=18 móng, mũ mố trụ cầu trên cạn</v>
          </cell>
          <cell r="C192" t="str">
            <v>Reinforcement D&lt;=18 of foundation, head of abutment/pier on land</v>
          </cell>
        </row>
        <row r="193">
          <cell r="B193" t="str">
            <v>Cốt thép D&lt;18 đúc sẵn</v>
          </cell>
          <cell r="C193" t="str">
            <v>Reinforcement D&lt;=18 (precast)</v>
          </cell>
        </row>
        <row r="194">
          <cell r="B194" t="str">
            <v>Cốt thép D&gt;18 (sàn, bản quá độ, bệ đúc dầm Super-T các loại…)</v>
          </cell>
          <cell r="C194" t="str">
            <v>Reinforcement D&gt;18 of slab, approach slab, casting bed super T…</v>
          </cell>
        </row>
        <row r="195">
          <cell r="B195" t="str">
            <v>Cốt thép D&gt;18 bản mặt cầu</v>
          </cell>
          <cell r="C195" t="str">
            <v>Reinforcement D&gt;18 of deck slab</v>
          </cell>
        </row>
        <row r="196">
          <cell r="B196" t="str">
            <v>Cốt thép D&gt;18 cọc khoan nhồi trên cạn</v>
          </cell>
          <cell r="C196" t="str">
            <v>Reinforcement D&gt;18 of bored pile (land)</v>
          </cell>
        </row>
        <row r="197">
          <cell r="B197" t="str">
            <v>Cốt thép D&gt;18 dầm cầu dưới nước (đổ tại chỗ)</v>
          </cell>
          <cell r="C197" t="str">
            <v>Reinforcement D&gt;18 of girder in water (precast)</v>
          </cell>
        </row>
        <row r="198">
          <cell r="B198" t="str">
            <v>Cốt thép D&gt;18 dầm cầu trên cạn (đổ tại chỗ)</v>
          </cell>
          <cell r="C198" t="str">
            <v>Reinforcement D&gt;18 of girder on land (precast)</v>
          </cell>
        </row>
        <row r="199">
          <cell r="B199" t="str">
            <v>Cốt thép D&gt;18 dầm super T</v>
          </cell>
          <cell r="C199" t="str">
            <v>Reinforcement D&gt;18 of girder super T</v>
          </cell>
        </row>
        <row r="200">
          <cell r="B200" t="str">
            <v>Cốt thép D&gt;18 dầm, giằng</v>
          </cell>
          <cell r="C200" t="str">
            <v>Reinforcement D&gt;18 of cross beam</v>
          </cell>
        </row>
        <row r="201">
          <cell r="B201" t="str">
            <v>Cốt thép D&gt;18 móng, mũ mố trụ cầu trên cạn</v>
          </cell>
          <cell r="C201" t="str">
            <v>Reinforcement D&gt;18 of foundation, head of abutment/pier on land</v>
          </cell>
        </row>
        <row r="202">
          <cell r="B202" t="str">
            <v>Cốt thép D6 cọc tiêu</v>
          </cell>
          <cell r="C202" t="str">
            <v>Reinforcement D6 of pole</v>
          </cell>
        </row>
        <row r="203">
          <cell r="B203" t="str">
            <v>Cốt thép mố trụ cầu dưới nước các loại</v>
          </cell>
          <cell r="C203" t="str">
            <v>Reinforcement of abutment/pier in water</v>
          </cell>
        </row>
        <row r="204">
          <cell r="B204" t="str">
            <v>Cốt thép tường các loại</v>
          </cell>
          <cell r="C204" t="str">
            <v>Reinforcement of wall</v>
          </cell>
        </row>
        <row r="205">
          <cell r="B205" t="str">
            <v>Coupler D36</v>
          </cell>
          <cell r="C205" t="str">
            <v>Coupler D36</v>
          </cell>
        </row>
        <row r="206">
          <cell r="B206" t="str">
            <v>Củi</v>
          </cell>
          <cell r="C206" t="str">
            <v>Firewood</v>
          </cell>
        </row>
        <row r="207">
          <cell r="B207" t="str">
            <v>Cung cấp bao tải</v>
          </cell>
          <cell r="C207" t="str">
            <v>Supply bag</v>
          </cell>
        </row>
        <row r="208">
          <cell r="B208" t="str">
            <v>Cung cấp đai ốc M10</v>
          </cell>
          <cell r="C208" t="str">
            <v>Supply scew nut M10</v>
          </cell>
        </row>
        <row r="209">
          <cell r="B209" t="str">
            <v>Cung cấp đầu tôn sóng</v>
          </cell>
          <cell r="C209" t="str">
            <v>Supply end of corrugated sheet iron</v>
          </cell>
        </row>
        <row r="210">
          <cell r="B210" t="str">
            <v>Cung cấp lưới chắn rác bằng gang</v>
          </cell>
          <cell r="C210" t="str">
            <v>Cast iron grid</v>
          </cell>
        </row>
        <row r="211">
          <cell r="B211" t="str">
            <v>Cung cấp thép hình (tạm tính khấu hao 50%)</v>
          </cell>
          <cell r="C211" t="str">
            <v>Supply shape steel (amor=50%)</v>
          </cell>
        </row>
        <row r="212">
          <cell r="B212" t="str">
            <v>Cung cấp trụ đỡ tôn lượn sóng L=1.3m</v>
          </cell>
          <cell r="C212" t="str">
            <v>Pole L=1.3m</v>
          </cell>
        </row>
        <row r="213">
          <cell r="B213" t="str">
            <v>Cung cấp và lắp đặt ống cống BTCT D1500 nối joint cao su (H10), L=3m, HS=1.15</v>
          </cell>
          <cell r="C213" t="str">
            <v>Supply &amp; install cluvert pipe D1500 (H10), L=3m, HS=1.15</v>
          </cell>
        </row>
        <row r="214">
          <cell r="B214" t="str">
            <v>Cung cấp và lắp đặt ống cống BTCT D1500 nối joint cao su (H10), L=3m, HS=1.15, tạm tính KH=50%</v>
          </cell>
          <cell r="C214" t="str">
            <v>Supply &amp; install cluvert pipe D1500 (H10), L=3m, HS=1.15, amor=50%</v>
          </cell>
        </row>
        <row r="215">
          <cell r="B215" t="str">
            <v>Cung cấp vít nở thép M12</v>
          </cell>
          <cell r="C215" t="str">
            <v>Supply steel tacke M12</v>
          </cell>
        </row>
        <row r="216">
          <cell r="B216" t="str">
            <v>Đá 0x0.5</v>
          </cell>
          <cell r="C216" t="str">
            <v>Stone 0-0.5</v>
          </cell>
        </row>
        <row r="217">
          <cell r="B217" t="str">
            <v>Đá 0.5-1.0</v>
          </cell>
          <cell r="C217" t="str">
            <v>Stone 0.5-1.0</v>
          </cell>
        </row>
        <row r="218">
          <cell r="B218" t="str">
            <v>Đá 0.5-1.6</v>
          </cell>
          <cell r="C218" t="str">
            <v>Stone 0.5-1.6</v>
          </cell>
        </row>
        <row r="219">
          <cell r="B219" t="str">
            <v>Đá 0.5-2</v>
          </cell>
          <cell r="C219" t="str">
            <v>Stone 0.5-2</v>
          </cell>
        </row>
        <row r="220">
          <cell r="B220" t="str">
            <v>Đá 0.5x1 bê tông nhựa</v>
          </cell>
          <cell r="C220" t="str">
            <v>Stone 0.5x1 asphalt concrete</v>
          </cell>
        </row>
        <row r="221">
          <cell r="B221" t="str">
            <v>Đá 0x0.5 bê tông nhựa</v>
          </cell>
          <cell r="C221" t="str">
            <v>Stone 0x0.5 asphalt concrete</v>
          </cell>
        </row>
        <row r="222">
          <cell r="B222" t="str">
            <v>Đá 0x0.5 bê tông nhựa</v>
          </cell>
          <cell r="C222" t="str">
            <v>Stone 0x0.5 asphalt concrete</v>
          </cell>
        </row>
        <row r="223">
          <cell r="B223" t="str">
            <v>Đá 1x1.6 bê tông nhựa</v>
          </cell>
          <cell r="C223" t="str">
            <v>Stone 1x1.6 asphalt concrete</v>
          </cell>
        </row>
        <row r="224">
          <cell r="B224" t="str">
            <v>Đá 1x2</v>
          </cell>
          <cell r="C224" t="str">
            <v>Stone 1x2</v>
          </cell>
        </row>
        <row r="225">
          <cell r="B225" t="str">
            <v>Đá 1x2 bê tông nhựa</v>
          </cell>
          <cell r="C225" t="str">
            <v>Stone 1x2 asphalt concrete</v>
          </cell>
        </row>
        <row r="226">
          <cell r="B226" t="str">
            <v>Đá 1.6x1.9 bê tông nhựa</v>
          </cell>
          <cell r="C226" t="str">
            <v>Stone 1.6x1.9 asphalt concrete</v>
          </cell>
        </row>
        <row r="227">
          <cell r="B227" t="str">
            <v>Đá 4x6</v>
          </cell>
          <cell r="C227" t="str">
            <v>Stone 4x6</v>
          </cell>
        </row>
        <row r="228">
          <cell r="B228" t="str">
            <v xml:space="preserve">Đá cắt </v>
          </cell>
          <cell r="C228" t="str">
            <v>Split stone</v>
          </cell>
        </row>
        <row r="229">
          <cell r="B229" t="str">
            <v>Đá dăm đệm 1x2</v>
          </cell>
          <cell r="C229" t="str">
            <v>Bedding stone 1x2</v>
          </cell>
        </row>
        <row r="230">
          <cell r="B230" t="str">
            <v>Đá dăm đệm 4x6</v>
          </cell>
          <cell r="C230" t="str">
            <v>Bedding stone 4x6</v>
          </cell>
        </row>
        <row r="231">
          <cell r="B231" t="str">
            <v>Đà giáo thi công (KHVL chính =(2%/tháng*3 tháng +7%)</v>
          </cell>
          <cell r="C231" t="str">
            <v>Scaffolding (amor main material=2%*3 months+7%)</v>
          </cell>
        </row>
        <row r="232">
          <cell r="B232" t="str">
            <v>Đà giáo thi công cống hộp 2x3x3 (KHVL chính =(2%/*1 tháng +7%)</v>
          </cell>
          <cell r="C232" t="str">
            <v>Scaffolding for constructing box culvert 2x3x3 (amor main material=2%*1 months+7%)</v>
          </cell>
        </row>
        <row r="233">
          <cell r="B233" t="str">
            <v>Đà giáo thi công mố + trụ trên cạn (KHVL chính =(2%/tháng*1tháng*2 lần +7%)</v>
          </cell>
          <cell r="C233" t="str">
            <v>Scaffolding constructing for abutment/pier on land (amor main material=2%*1 months *2 times+7%)</v>
          </cell>
        </row>
        <row r="234">
          <cell r="B234" t="str">
            <v>Đá hộc</v>
          </cell>
          <cell r="C234" t="str">
            <v>Masory</v>
          </cell>
        </row>
        <row r="235">
          <cell r="B235" t="str">
            <v>Đá hộc xếp khan</v>
          </cell>
          <cell r="C235" t="str">
            <v>Grouted - rip - rap</v>
          </cell>
        </row>
        <row r="236">
          <cell r="B236" t="str">
            <v>Đá mài</v>
          </cell>
          <cell r="C236" t="str">
            <v xml:space="preserve">Grinding stone </v>
          </cell>
        </row>
        <row r="237">
          <cell r="B237" t="str">
            <v>Đá sỏi</v>
          </cell>
          <cell r="C237" t="str">
            <v>Gravel</v>
          </cell>
        </row>
        <row r="238">
          <cell r="B238" t="str">
            <v>Đai ốc cầu D36</v>
          </cell>
          <cell r="C238" t="str">
            <v>Scew nut D36</v>
          </cell>
        </row>
        <row r="239">
          <cell r="B239" t="str">
            <v>Đai ốc cầu D36 (để lại)</v>
          </cell>
          <cell r="C239" t="str">
            <v>Scew nut D36 (permanent)</v>
          </cell>
        </row>
        <row r="240">
          <cell r="B240" t="str">
            <v>Đai ốc cầu D36 thu hồi (KH=2%*1tháng+7%)</v>
          </cell>
          <cell r="C240" t="str">
            <v>Scew nut D36 taken back (amor=2%*1 month+7%)</v>
          </cell>
        </row>
        <row r="241">
          <cell r="B241" t="str">
            <v>Đai ốc cầu D36 thu hồi (KH=2%*9tháng)</v>
          </cell>
          <cell r="C241" t="str">
            <v>Scew nut D36 taken back (amor=2%*9 months)</v>
          </cell>
        </row>
        <row r="242">
          <cell r="B242" t="str">
            <v>Đai ốc hãm D36</v>
          </cell>
          <cell r="C242" t="str">
            <v>Check nut D36</v>
          </cell>
        </row>
        <row r="243">
          <cell r="B243" t="str">
            <v>Đai ốc M10</v>
          </cell>
          <cell r="C243" t="str">
            <v>Scew nut M10</v>
          </cell>
        </row>
        <row r="244">
          <cell r="B244" t="str">
            <v>Đầm cóc</v>
          </cell>
          <cell r="C244" t="str">
            <v>Tamping rammer</v>
          </cell>
        </row>
        <row r="245">
          <cell r="B245" t="str">
            <v>Dầm supper T</v>
          </cell>
          <cell r="C245" t="str">
            <v>Supper - T girder</v>
          </cell>
        </row>
        <row r="246">
          <cell r="B246" t="str">
            <v>Dầm supper T 38.2m</v>
          </cell>
          <cell r="C246" t="str">
            <v>Supper - T girder 38.2m</v>
          </cell>
        </row>
        <row r="247">
          <cell r="B247" t="str">
            <v xml:space="preserve">Đào bỏ lớp bê tông nhựa </v>
          </cell>
          <cell r="C247" t="str">
            <v>Excavating asphalt concrete</v>
          </cell>
        </row>
        <row r="248">
          <cell r="B248" t="str">
            <v>Đào cấp phối đá dăm</v>
          </cell>
          <cell r="C248" t="str">
            <v>Excavating aggregate base course</v>
          </cell>
        </row>
        <row r="249">
          <cell r="B249" t="str">
            <v>Đào đất</v>
          </cell>
          <cell r="C249" t="str">
            <v>Excavating soil</v>
          </cell>
        </row>
        <row r="250">
          <cell r="B250" t="str">
            <v>Đào đất chân khay</v>
          </cell>
          <cell r="C250" t="str">
            <v>Excavating</v>
          </cell>
        </row>
        <row r="251">
          <cell r="B251" t="str">
            <v>Đào đất hố móng trên cạn</v>
          </cell>
          <cell r="C251" t="str">
            <v>Excavating foundation on land</v>
          </cell>
        </row>
        <row r="252">
          <cell r="B252" t="str">
            <v>Đào đất nền đường</v>
          </cell>
          <cell r="C252" t="str">
            <v>Excavating foundation, soil C1</v>
          </cell>
        </row>
        <row r="253">
          <cell r="B253" t="str">
            <v>Đào đường cũ</v>
          </cell>
          <cell r="C253" t="str">
            <v>Excavating old pavement</v>
          </cell>
        </row>
        <row r="254">
          <cell r="B254" t="str">
            <v>Đào hố móng</v>
          </cell>
          <cell r="C254" t="str">
            <v>Excavating foundation hole</v>
          </cell>
        </row>
        <row r="255">
          <cell r="B255" t="str">
            <v>Đào nền đường (vét hữu cơ)</v>
          </cell>
          <cell r="C255" t="str">
            <v>Excavating foundation (organic soil)</v>
          </cell>
        </row>
        <row r="256">
          <cell r="B256" t="str">
            <v>Đào xúc đá hỗn hợp tại bãi trữ</v>
          </cell>
          <cell r="C256" t="str">
            <v>Excavating stone</v>
          </cell>
        </row>
        <row r="257">
          <cell r="B257" t="str">
            <v>Đắp cát (thủ công)</v>
          </cell>
          <cell r="C257" t="str">
            <v>Embankment backfill by fine sand (by hand)</v>
          </cell>
        </row>
        <row r="258">
          <cell r="B258" t="str">
            <v>Đắp cát bằng đầm cóc K90</v>
          </cell>
          <cell r="C258" t="str">
            <v>Embankment backfill by fine sand, K=0.90 (tamping rammer)</v>
          </cell>
        </row>
        <row r="259">
          <cell r="B259" t="str">
            <v>Đắp cát bằng đầm cóc K95</v>
          </cell>
          <cell r="C259" t="str">
            <v>Embankment backfill by fine sand, K=0.95 (tamping rammer)</v>
          </cell>
        </row>
        <row r="260">
          <cell r="B260" t="str">
            <v>Đắp cát gia tải</v>
          </cell>
          <cell r="C260" t="str">
            <v>Embankment backfill by fine sand</v>
          </cell>
        </row>
        <row r="261">
          <cell r="B261" t="str">
            <v>Đắp cát hạt mịn K=0.95</v>
          </cell>
          <cell r="C261" t="str">
            <v>Embankment backfill by fine sand, K=0.95</v>
          </cell>
        </row>
        <row r="262">
          <cell r="B262" t="str">
            <v>Đắp cát nền đường hạt mịn K=0.98</v>
          </cell>
          <cell r="C262" t="str">
            <v>Embankment backfill by fine sand, K=0.98</v>
          </cell>
        </row>
        <row r="263">
          <cell r="B263" t="str">
            <v>Đắp cát nền đường hạt trung K=0.95</v>
          </cell>
          <cell r="C263" t="str">
            <v>Embankment backfill by medium sand, K=0.95</v>
          </cell>
        </row>
        <row r="264">
          <cell r="B264" t="str">
            <v>Đắp cát nền móng công trình K=0.85</v>
          </cell>
          <cell r="C264" t="str">
            <v>Embankment backfill by fine sand, K=0.85</v>
          </cell>
        </row>
        <row r="265">
          <cell r="B265" t="str">
            <v>Đắp đất bao (đất khai thác)</v>
          </cell>
          <cell r="C265" t="str">
            <v>Embanking clay to protect talus (excavation soil)</v>
          </cell>
        </row>
        <row r="266">
          <cell r="B266" t="str">
            <v>Đắp đất bao (tận dụng 80% đất đào xử lý nền)</v>
          </cell>
          <cell r="C266" t="str">
            <v>Embanking clay to protect talus (take advantage of 80% excavation soil of treatment))</v>
          </cell>
        </row>
        <row r="267">
          <cell r="B267" t="str">
            <v>Đắp đất chân khay bằng thủ công</v>
          </cell>
          <cell r="C267" t="str">
            <v>Embanking soil (by hand)</v>
          </cell>
        </row>
        <row r="268">
          <cell r="B268" t="str">
            <v>Đắp đất công trình (đất sét bao)</v>
          </cell>
          <cell r="C268" t="str">
            <v>Embanking clay</v>
          </cell>
        </row>
        <row r="269">
          <cell r="B269" t="str">
            <v>Đắp đất công trình (đất tận dụng)</v>
          </cell>
          <cell r="C269" t="str">
            <v>Embanking soil (use capability)</v>
          </cell>
        </row>
        <row r="270">
          <cell r="B270" t="str">
            <v>Đắp đất sét</v>
          </cell>
          <cell r="C270" t="str">
            <v>Embanking clay to protect talus</v>
          </cell>
        </row>
        <row r="271">
          <cell r="B271" t="str">
            <v>Đắp đất trồng cỏ (đất tận dụng)</v>
          </cell>
          <cell r="C271" t="str">
            <v>Embanking soil to grassing (use capability)</v>
          </cell>
        </row>
        <row r="272">
          <cell r="B272" t="str">
            <v>Đập đầu cọc trên cạn</v>
          </cell>
          <cell r="C272" t="str">
            <v>Breaking concrete piercing pile (land)</v>
          </cell>
        </row>
        <row r="273">
          <cell r="B273" t="str">
            <v>Đắp đê bao bằng bao tải đất</v>
          </cell>
          <cell r="C273" t="str">
            <v>Embanking dikes by sand bag</v>
          </cell>
        </row>
        <row r="274">
          <cell r="B274" t="str">
            <v>Đất đèn</v>
          </cell>
          <cell r="C274" t="str">
            <v>Calcium carbide</v>
          </cell>
        </row>
        <row r="275">
          <cell r="B275" t="str">
            <v>Đất sét</v>
          </cell>
          <cell r="C275" t="str">
            <v>Clay</v>
          </cell>
        </row>
        <row r="276">
          <cell r="B276" t="str">
            <v>Dầu bảo ôn</v>
          </cell>
          <cell r="C276" t="str">
            <v xml:space="preserve">Safe oil </v>
          </cell>
        </row>
        <row r="277">
          <cell r="B277" t="str">
            <v>Dầu bôi trơn</v>
          </cell>
          <cell r="C277" t="str">
            <v>Lubricant grease</v>
          </cell>
        </row>
        <row r="278">
          <cell r="B278" t="str">
            <v>Dầu CS46</v>
          </cell>
          <cell r="C278" t="str">
            <v>Oil CS46</v>
          </cell>
        </row>
        <row r="279">
          <cell r="B279" t="str">
            <v>Dầu diesel</v>
          </cell>
          <cell r="C279" t="str">
            <v>Diesel</v>
          </cell>
        </row>
        <row r="280">
          <cell r="B280" t="str">
            <v>Dầu hỏa</v>
          </cell>
          <cell r="C280" t="str">
            <v>Petroleum</v>
          </cell>
        </row>
        <row r="281">
          <cell r="B281" t="str">
            <v>Dầu mazut</v>
          </cell>
          <cell r="C281" t="str">
            <v>Mazut</v>
          </cell>
        </row>
        <row r="282">
          <cell r="B282" t="str">
            <v xml:space="preserve">Dầu Separol </v>
          </cell>
          <cell r="C282" t="str">
            <v xml:space="preserve">Separol oil </v>
          </cell>
        </row>
        <row r="283">
          <cell r="B283" t="str">
            <v>Đầu tôn sóng dài 0.7m</v>
          </cell>
          <cell r="C283" t="str">
            <v>End of corrugated sheet iron 0.7m</v>
          </cell>
        </row>
        <row r="284">
          <cell r="B284" t="str">
            <v>Dây thép buộc</v>
          </cell>
          <cell r="C284" t="str">
            <v>Steel ware</v>
          </cell>
        </row>
        <row r="285">
          <cell r="B285" t="str">
            <v>Đệm cao su</v>
          </cell>
          <cell r="C285" t="str">
            <v>Rubber pad</v>
          </cell>
        </row>
        <row r="286">
          <cell r="B286" t="str">
            <v>Đèn báo hiệu</v>
          </cell>
          <cell r="C286" t="str">
            <v>Signal light</v>
          </cell>
        </row>
        <row r="287">
          <cell r="B287" t="str">
            <v>Đèn báo hiệu buổi tối</v>
          </cell>
          <cell r="C287" t="str">
            <v>Signal light in night</v>
          </cell>
        </row>
        <row r="288">
          <cell r="B288" t="str">
            <v>Đèn báo hiệu sáng liên tục</v>
          </cell>
          <cell r="C288" t="str">
            <v>Signal light</v>
          </cell>
        </row>
        <row r="289">
          <cell r="B289" t="str">
            <v>Đền bù tài nguyên (đất sét)</v>
          </cell>
          <cell r="C289" t="str">
            <v>Compensation resources</v>
          </cell>
        </row>
        <row r="290">
          <cell r="B290" t="str">
            <v>Di chuyển dầm cầu, L&gt;35m</v>
          </cell>
          <cell r="C290" t="str">
            <v>Moving girder, L&gt;35m</v>
          </cell>
        </row>
        <row r="291">
          <cell r="B291" t="str">
            <v>Đinh các loại</v>
          </cell>
          <cell r="C291" t="str">
            <v>Nail</v>
          </cell>
        </row>
        <row r="292">
          <cell r="B292" t="str">
            <v>Đinh crămpông</v>
          </cell>
          <cell r="C292" t="str">
            <v>Crampong nail</v>
          </cell>
        </row>
        <row r="293">
          <cell r="B293" t="str">
            <v>Đinh đỉa</v>
          </cell>
          <cell r="C293" t="str">
            <v>Casing nail</v>
          </cell>
        </row>
        <row r="294">
          <cell r="B294" t="str">
            <v>Đinh mũ</v>
          </cell>
          <cell r="C294" t="str">
            <v>Thumbtack</v>
          </cell>
        </row>
        <row r="295">
          <cell r="B295" t="str">
            <v>Đinh tán D22</v>
          </cell>
          <cell r="C295" t="str">
            <v>Clinch-nail D22</v>
          </cell>
        </row>
        <row r="296">
          <cell r="B296" t="str">
            <v>Đổ bê tông dầm super T, C50</v>
          </cell>
          <cell r="C296" t="str">
            <v>Pouring concrete girder super T, C50</v>
          </cell>
        </row>
        <row r="297">
          <cell r="B297" t="str">
            <v>Đóng cọc thẳng BTCT trên mặt đất L&gt;24m, cọc 30x30cm, C1</v>
          </cell>
          <cell r="C297" t="str">
            <v>Pilling vertical RC pile 30x30, L&gt;24m (land)</v>
          </cell>
        </row>
        <row r="298">
          <cell r="B298" t="str">
            <v>Đóng cọc thép hình trên cạn L&gt;10m, đất C1 ( không ngập đất, HS=0,75)</v>
          </cell>
          <cell r="C298" t="str">
            <v>Driven steel pile on land, L&gt;10m, soil C1 (not on land, HS=0.75)</v>
          </cell>
        </row>
        <row r="299">
          <cell r="B299" t="str">
            <v>Đóng cọc thép hình trên cạn L&lt;10m, đất C1 ( không ngập đất, HS=0,75)</v>
          </cell>
          <cell r="C299" t="str">
            <v>Driven steel pile on land, L&lt;10m, soil C1 (not on land, HS=0.75)</v>
          </cell>
        </row>
        <row r="300">
          <cell r="B300" t="str">
            <v>Đóng cọc thép hình trên cạn L&gt;10m, đất C1 (ngập đất)</v>
          </cell>
          <cell r="C300" t="str">
            <v>Driven steel pile on land, L&gt;10m, soil C1 (on land)</v>
          </cell>
        </row>
        <row r="301">
          <cell r="B301" t="str">
            <v>Đóng cọc thép hình trên cạn L&lt;10m, đất C1 (ngập đất)</v>
          </cell>
          <cell r="C301" t="str">
            <v>Driven steel pile on land, L&lt;10m, soil C1 (on land)</v>
          </cell>
        </row>
        <row r="302">
          <cell r="B302" t="str">
            <v>Đóng cọc thép hình trên mặt nước L&gt;10m, đất C1</v>
          </cell>
          <cell r="C302" t="str">
            <v>Driven steel pile in water, L&gt;10m, soil C1</v>
          </cell>
        </row>
        <row r="303">
          <cell r="B303" t="str">
            <v>Đóng cọc thử thẳng BTCT trên mặt đất L&gt;24m, cọc 30x30, C1</v>
          </cell>
          <cell r="C303" t="str">
            <v>Pilling vertical testing RC pile 30x30, L&gt;24m, C1 (land)</v>
          </cell>
        </row>
        <row r="304">
          <cell r="B304" t="str">
            <v>Đóng cọc tràm L&lt;= 2.5m, đất C1</v>
          </cell>
          <cell r="C304" t="str">
            <v>Pilling wooden pile L&lt;=2.5m, C1</v>
          </cell>
        </row>
        <row r="305">
          <cell r="B305" t="str">
            <v>Đóng cọc tràm L&gt; 2.5m,đất C1</v>
          </cell>
          <cell r="C305" t="str">
            <v>Pilling wooden pile L&gt;2.5m, C1</v>
          </cell>
        </row>
        <row r="306">
          <cell r="B306" t="str">
            <v>Đóng cọc ván thép dưới nước, L&gt;12m</v>
          </cell>
          <cell r="C306" t="str">
            <v>Driving steel sheet pile (water), L&gt;12m, soil C1</v>
          </cell>
        </row>
        <row r="307">
          <cell r="B307" t="str">
            <v>Đóng cọc ván thép trên cạn, L&gt;12m ( không ngập đất, HS=0,75)</v>
          </cell>
          <cell r="C307" t="str">
            <v>Driving steel sheet pile (land), L&gt;12m, soil C1 (not on land, HS=0.75)</v>
          </cell>
        </row>
        <row r="308">
          <cell r="B308" t="str">
            <v>Đóng cọc ván thép trên cạn, L&gt;12m (ngập đất)</v>
          </cell>
          <cell r="C308" t="str">
            <v>Driving steel sheet pile (land), L&gt;12m, soil C1 (on land)</v>
          </cell>
        </row>
        <row r="309">
          <cell r="B309" t="str">
            <v>Đóng cọc ván thép trên cạn, L≤12m (phần không ngập đất, HS=0,75)</v>
          </cell>
          <cell r="C309" t="str">
            <v>Driving steel sheet pile (land), L&lt;=12m, soil C1 (not on land, HS=0.75)</v>
          </cell>
        </row>
        <row r="310">
          <cell r="B310" t="str">
            <v>Đóng cọc ván thép trên cạn, L≤12m (phần ngập đất)</v>
          </cell>
          <cell r="C310" t="str">
            <v>Driving steel sheet pile (land), L&lt;=12m, soil C1 (on land)</v>
          </cell>
        </row>
        <row r="311">
          <cell r="B311" t="str">
            <v>Đục bỏ bê tông gối tạm</v>
          </cell>
          <cell r="C311" t="str">
            <v>Beating temporary bearing concrete</v>
          </cell>
        </row>
        <row r="312">
          <cell r="B312" t="str">
            <v>Dụng cụ xác định góc nghỉ của cát</v>
          </cell>
        </row>
        <row r="313">
          <cell r="B313" t="str">
            <v>Êcu cường độ cao M32</v>
          </cell>
          <cell r="C313" t="str">
            <v>High strengthen scew nut M32</v>
          </cell>
        </row>
        <row r="314">
          <cell r="B314" t="str">
            <v>Gạch thẻ 40x80x190</v>
          </cell>
          <cell r="C314" t="str">
            <v>Brick 40x80x190</v>
          </cell>
        </row>
        <row r="315">
          <cell r="B315" t="str">
            <v>Gạch xi măng</v>
          </cell>
          <cell r="C315" t="str">
            <v>Cement brick</v>
          </cell>
        </row>
        <row r="316">
          <cell r="B316" t="str">
            <v>Gas</v>
          </cell>
          <cell r="C316" t="str">
            <v>Gas</v>
          </cell>
        </row>
        <row r="317">
          <cell r="B317" t="str">
            <v>Gầu khoan</v>
          </cell>
          <cell r="C317" t="str">
            <v xml:space="preserve">Bucket of drill </v>
          </cell>
        </row>
        <row r="318">
          <cell r="B318" t="str">
            <v>Gia công cốt thép thường dầm hộp dưới nước</v>
          </cell>
          <cell r="C318" t="str">
            <v>Handling steel</v>
          </cell>
        </row>
        <row r="319">
          <cell r="B319" t="str">
            <v>Gia công hộp nối cọc</v>
          </cell>
          <cell r="C319" t="str">
            <v>Joint for R.C pile</v>
          </cell>
        </row>
        <row r="320">
          <cell r="B320" t="str">
            <v>Gia công mạ kẽm</v>
          </cell>
          <cell r="C320" t="str">
            <v>Zinc steel</v>
          </cell>
        </row>
        <row r="321">
          <cell r="B321" t="str">
            <v>Giá đỡ biển báo</v>
          </cell>
          <cell r="C321" t="str">
            <v>Sign support</v>
          </cell>
        </row>
        <row r="322">
          <cell r="B322" t="str">
            <v>Giấy dầu</v>
          </cell>
          <cell r="C322" t="str">
            <v>Oilpaper</v>
          </cell>
        </row>
        <row r="323">
          <cell r="B323" t="str">
            <v>Gioăng cao su</v>
          </cell>
          <cell r="C323" t="str">
            <v>Rubber joint</v>
          </cell>
        </row>
        <row r="324">
          <cell r="B324" t="str">
            <v>Gioăng cao su D1500</v>
          </cell>
          <cell r="C324" t="str">
            <v>Rubber joint D1500</v>
          </cell>
        </row>
        <row r="325">
          <cell r="B325" t="str">
            <v>Gỗ</v>
          </cell>
          <cell r="C325" t="str">
            <v>Wooden</v>
          </cell>
        </row>
        <row r="326">
          <cell r="B326" t="str">
            <v>Gỗ kê</v>
          </cell>
          <cell r="C326" t="str">
            <v>Wooden chock</v>
          </cell>
        </row>
        <row r="327">
          <cell r="B327" t="str">
            <v>Gỗ tẩm nhựa</v>
          </cell>
          <cell r="C327" t="str">
            <v>Bitumen soaking wood</v>
          </cell>
        </row>
        <row r="328">
          <cell r="B328" t="str">
            <v>Gối cao su dầm 350x450x84mm</v>
          </cell>
          <cell r="C328" t="str">
            <v>Elastomeric bearing for girder 350x450x84mm</v>
          </cell>
        </row>
        <row r="329">
          <cell r="B329" t="str">
            <v>Gối cố định 4000T</v>
          </cell>
          <cell r="C329" t="str">
            <v>Fixed bearing 4000 ton</v>
          </cell>
        </row>
        <row r="330">
          <cell r="B330" t="str">
            <v>Gối di động đơn hướng 4000T</v>
          </cell>
          <cell r="C330" t="str">
            <v>movable bearing one direction 4000 ton</v>
          </cell>
        </row>
        <row r="331">
          <cell r="B331" t="str">
            <v>Gối di động đơn hướng 900T</v>
          </cell>
          <cell r="C331" t="str">
            <v>movable bearing one direction 900 ton</v>
          </cell>
        </row>
        <row r="332">
          <cell r="B332" t="str">
            <v>Gối di động song hướng 4000T</v>
          </cell>
          <cell r="C332" t="str">
            <v>movable bearing multi direction 4000 ton</v>
          </cell>
        </row>
        <row r="333">
          <cell r="B333" t="str">
            <v>Gối di động song hướng 900T</v>
          </cell>
          <cell r="C333" t="str">
            <v>movable bearing multi direction 900 ton</v>
          </cell>
        </row>
        <row r="334">
          <cell r="B334" t="str">
            <v>Hệ đà giáo thi công mố (KHVL chính =(2%*1 tháng*2 lần +7%)</v>
          </cell>
          <cell r="C334" t="str">
            <v>Scaffolding construction abutment (amor main material=2%*1month*2times+7%)</v>
          </cell>
        </row>
        <row r="335">
          <cell r="B335" t="str">
            <v>Hộp nhôm</v>
          </cell>
          <cell r="C335" t="str">
            <v>Aluminium box</v>
          </cell>
        </row>
        <row r="336">
          <cell r="B336" t="str">
            <v>Joint cao su cống D1500</v>
          </cell>
          <cell r="C336" t="str">
            <v>Rubber joint D1500</v>
          </cell>
        </row>
        <row r="337">
          <cell r="B337" t="str">
            <v>Joint cao su D1500</v>
          </cell>
          <cell r="C337" t="str">
            <v>Rubber joint D1500</v>
          </cell>
        </row>
        <row r="338">
          <cell r="B338" t="str">
            <v>Keo Epoxy</v>
          </cell>
          <cell r="C338" t="str">
            <v>Glue epoxy cover</v>
          </cell>
        </row>
        <row r="339">
          <cell r="B339" t="str">
            <v>Khai thác đất để đắp</v>
          </cell>
          <cell r="C339" t="str">
            <v>Excavating soild</v>
          </cell>
        </row>
        <row r="340">
          <cell r="B340" t="str">
            <v>Khay men</v>
          </cell>
        </row>
        <row r="341">
          <cell r="B341" t="str">
            <v>Khe co giãn 10cm</v>
          </cell>
          <cell r="C341" t="str">
            <v>Expansion joint 10cm</v>
          </cell>
        </row>
        <row r="342">
          <cell r="B342" t="str">
            <v>Khe co giãn 24cm</v>
          </cell>
          <cell r="C342" t="str">
            <v>Expansion joint 24cm</v>
          </cell>
        </row>
        <row r="343">
          <cell r="B343" t="str">
            <v>Khoan kiểm tra mùn mũi cọc khoan nhồi</v>
          </cell>
          <cell r="C343" t="str">
            <v>Drilling to check pile tip quanlity</v>
          </cell>
        </row>
        <row r="344">
          <cell r="B344" t="str">
            <v>Khoan lỗ bê tông D20, L&lt;=20cm</v>
          </cell>
          <cell r="C344" t="str">
            <v>Drilling concrete hole</v>
          </cell>
        </row>
        <row r="345">
          <cell r="B345" t="str">
            <v>Khoan vào cát chặt trên cạn D1200 phản tuần hoàn, L&lt;=30m, HS=1.2</v>
          </cell>
          <cell r="C345" t="str">
            <v>Drilling bored pile D1200 on land, L&lt;=30m, co=1.2</v>
          </cell>
        </row>
        <row r="346">
          <cell r="B346" t="str">
            <v>Khoan vào cát chặt trên cạn D1200 phản tuần hoàn, L&gt;30m, HS VL=1,2; HS nhân công, MTC=1.015*1.2</v>
          </cell>
          <cell r="C346" t="str">
            <v>Drilling bored pile D1200 on land, L&gt;30m, co mater =1.2, co labour and mac=1.015*1.2</v>
          </cell>
        </row>
        <row r="347">
          <cell r="B347" t="str">
            <v>Khoan vào cát chặt trên cạn D1500 phản tuần hoàn, L&lt;=30m, HS=1.2</v>
          </cell>
          <cell r="C347" t="str">
            <v>Drilling bored pile D1500 on land, L&lt;=30m, co=1.2</v>
          </cell>
        </row>
        <row r="348">
          <cell r="B348" t="str">
            <v>Khoan vào cát chặt trên cạn D1500 phản tuần hoàn, L&gt;30m, HS VL=1,2; HS nhân công, MTC=1.015*1.2</v>
          </cell>
          <cell r="C348" t="str">
            <v>Drilling bored pile D1500 on land, L&gt;30m, co mater =1.2, co labour and mac=1.015*1.2</v>
          </cell>
        </row>
        <row r="349">
          <cell r="B349" t="str">
            <v>Khoan vào đất trên cạn D100 phản tuần hoàn, L&lt;=30m</v>
          </cell>
        </row>
        <row r="350">
          <cell r="B350" t="str">
            <v>Khoan vào đất trên cạn D100 phản tuần hoàn, L&gt;30m, HS=1.015</v>
          </cell>
        </row>
        <row r="351">
          <cell r="B351" t="str">
            <v>Kích 250T</v>
          </cell>
          <cell r="C351" t="str">
            <v>Jack 250T</v>
          </cell>
        </row>
        <row r="352">
          <cell r="B352" t="str">
            <v>Kích 30T</v>
          </cell>
          <cell r="C352" t="str">
            <v>Jack 30T</v>
          </cell>
        </row>
        <row r="353">
          <cell r="B353" t="str">
            <v>Kích 500T</v>
          </cell>
          <cell r="C353" t="str">
            <v>Jack 500T</v>
          </cell>
        </row>
        <row r="354">
          <cell r="B354" t="str">
            <v>Làm cọc tiêu BTCT 0.12x0.12x1.02m</v>
          </cell>
          <cell r="C354" t="str">
            <v>R.C pile 0.12x0.12x1.02m</v>
          </cell>
        </row>
        <row r="355">
          <cell r="B355" t="str">
            <v>Làm giếng cát D400mm, L&gt;12m</v>
          </cell>
          <cell r="C355" t="str">
            <v>Sand pile D40cm, L&gt;7m, soil C1</v>
          </cell>
        </row>
        <row r="356">
          <cell r="B356" t="str">
            <v>Làm và thả rọ đá dưới nước (tạm tính 1rọ=1m3)</v>
          </cell>
          <cell r="C356" t="str">
            <v>Making and droping stone cage in water (1cage=1m3)</v>
          </cell>
        </row>
        <row r="357">
          <cell r="B357" t="str">
            <v>Láng nhựa 4.5kg/m2</v>
          </cell>
          <cell r="C357" t="str">
            <v>Bituminous coat  4.5kg/m2</v>
          </cell>
        </row>
        <row r="358">
          <cell r="B358" t="str">
            <v>Lao lắp dầm Super-T bằng phương pháp đấu cẩu</v>
          </cell>
          <cell r="C358" t="str">
            <v>Launching super T girder by two cranes</v>
          </cell>
        </row>
        <row r="359">
          <cell r="B359" t="str">
            <v>Lắp đặt bản thép đệm chôn sẵn chờ lắp gối cầu</v>
          </cell>
        </row>
        <row r="360">
          <cell r="B360" t="str">
            <v>Lắp đặt biển báo hiệu đường sông</v>
          </cell>
          <cell r="C360" t="str">
            <v>Installing sign of waterway</v>
          </cell>
        </row>
        <row r="361">
          <cell r="B361" t="str">
            <v>Lắp đặt bộ nối thanh cường độ cao D36</v>
          </cell>
          <cell r="C361" t="str">
            <v>Installing high strengthen coupler D36</v>
          </cell>
        </row>
        <row r="362">
          <cell r="B362" t="str">
            <v>Lắp đặt các tấm nắp dầm (&lt;=100kg)</v>
          </cell>
          <cell r="C362" t="str">
            <v>Installing cover (&lt;=100kg)</v>
          </cell>
        </row>
        <row r="363">
          <cell r="B363" t="str">
            <v>Lắp đặt gối cao su dầm Super-T</v>
          </cell>
          <cell r="C363" t="str">
            <v>Installing elastomeric bearing of super T beam</v>
          </cell>
        </row>
        <row r="364">
          <cell r="B364" t="str">
            <v>Lắp đặt gối cố định 4000T</v>
          </cell>
          <cell r="C364" t="str">
            <v>Installing fixed bearing 4000 ton</v>
          </cell>
        </row>
        <row r="365">
          <cell r="B365" t="str">
            <v>Lắp đặt gối di động đơn hướng 4000T</v>
          </cell>
          <cell r="C365" t="str">
            <v>Installing movable bearing one direction 4000 ton</v>
          </cell>
        </row>
        <row r="366">
          <cell r="B366" t="str">
            <v>Lắp đặt gối di động đơn hướng 900T</v>
          </cell>
          <cell r="C366" t="str">
            <v>Installing movable bearing one direction 900 ton</v>
          </cell>
        </row>
        <row r="367">
          <cell r="B367" t="str">
            <v>Lắp đặt gối di động song hướng 4000T</v>
          </cell>
          <cell r="C367" t="str">
            <v>Installing movable bearing multi direction 4000 ton</v>
          </cell>
        </row>
        <row r="368">
          <cell r="B368" t="str">
            <v>Lắp đặt gối di động song hướng 900T</v>
          </cell>
          <cell r="C368" t="str">
            <v>Installing movable bearing multi direction 900 ton</v>
          </cell>
        </row>
        <row r="369">
          <cell r="B369" t="str">
            <v>Lắp đặt kết cấu đúc sẵn, trọng lượng &lt;=250kg (không tính vật liệu)</v>
          </cell>
          <cell r="C369" t="str">
            <v>Installing RC block, weight &lt;250kg/ea</v>
          </cell>
        </row>
        <row r="370">
          <cell r="B370" t="str">
            <v>Lắp đặt kết cấu đúc sẵn, trọng lượng &lt;=3tấn (không tính vật liệu)</v>
          </cell>
          <cell r="C370" t="str">
            <v>Installing RC block, weight &lt;3tons/ea</v>
          </cell>
        </row>
        <row r="371">
          <cell r="B371" t="str">
            <v>Lắp đặt kết cấu thép</v>
          </cell>
          <cell r="C371" t="str">
            <v>Installing steel structure</v>
          </cell>
        </row>
        <row r="372">
          <cell r="B372" t="str">
            <v>Lắp đặt khe co giãn 24cm</v>
          </cell>
          <cell r="C372" t="str">
            <v>Installing expansion joint 24cm</v>
          </cell>
        </row>
        <row r="373">
          <cell r="B373" t="str">
            <v>Lắp đặt khe co giãn dầm đúc sẵn 10cm</v>
          </cell>
          <cell r="C373" t="str">
            <v>Installing expansion joint 10cm</v>
          </cell>
        </row>
        <row r="374">
          <cell r="B374" t="str">
            <v>Lắp đặt lưới chắn rác (chỉ tính công lắp)</v>
          </cell>
          <cell r="C374" t="str">
            <v>Installing filter rubbish grid</v>
          </cell>
        </row>
        <row r="375">
          <cell r="B375" t="str">
            <v>Lắp đặt neo chủ động 12S 15.2mm</v>
          </cell>
          <cell r="C375" t="str">
            <v>Installing active cable anchorage 12s 15.2mm</v>
          </cell>
        </row>
        <row r="376">
          <cell r="B376" t="str">
            <v>Lắp đặt neo chủ động 27S 15.2mm</v>
          </cell>
          <cell r="C376" t="str">
            <v>Installing active cable anchorage 27s 15.2mm</v>
          </cell>
        </row>
        <row r="377">
          <cell r="B377" t="str">
            <v>Lắp đặt neo chủ động 5S 12.7mm</v>
          </cell>
          <cell r="C377" t="str">
            <v>Installing active cable anchorage 5s 15.2mm</v>
          </cell>
        </row>
        <row r="378">
          <cell r="B378" t="str">
            <v>Lắp đặt neo công tác bệ đúc dầm 15.2mm</v>
          </cell>
          <cell r="C378" t="str">
            <v>Installing temporary cable anchorage</v>
          </cell>
        </row>
        <row r="379">
          <cell r="B379" t="str">
            <v>Lắp đặt ống nhựa D20/24</v>
          </cell>
          <cell r="C379" t="str">
            <v>Installing PVC D20/24</v>
          </cell>
        </row>
        <row r="380">
          <cell r="B380" t="str">
            <v>Lắp đặt ống nhựa D25/30</v>
          </cell>
          <cell r="C380" t="str">
            <v>Installing PVC D25/30</v>
          </cell>
        </row>
        <row r="381">
          <cell r="B381" t="str">
            <v>Lắp đặt ống nhựa PVC D100</v>
          </cell>
          <cell r="C381" t="str">
            <v>Installing PVC D100</v>
          </cell>
        </row>
        <row r="382">
          <cell r="B382" t="str">
            <v xml:space="preserve">Lắp đặt ống nhựa PVC D80 </v>
          </cell>
          <cell r="C382" t="str">
            <v>Installing PVC D80</v>
          </cell>
        </row>
        <row r="383">
          <cell r="B383" t="str">
            <v>Lắp đặt ống siêu âm D114 (phương pháp hàn)</v>
          </cell>
          <cell r="C383" t="str">
            <v>Installing ulltrasonic pipe D114 (by welding)</v>
          </cell>
        </row>
        <row r="384">
          <cell r="B384" t="str">
            <v>Lắp đặt ống siêu âm D60 (phương pháp hàn)</v>
          </cell>
          <cell r="C384" t="str">
            <v>Installing ulltrasonic pipe D60 (by welding)</v>
          </cell>
        </row>
        <row r="385">
          <cell r="B385" t="str">
            <v>Lắp đặt ống siêu âm PVC D114 (nối măng sông)</v>
          </cell>
          <cell r="C385" t="str">
            <v>Installing ulltrasonic pipe D114</v>
          </cell>
        </row>
        <row r="386">
          <cell r="B386" t="str">
            <v>Lắp đặt ống siêu âm PVC D60 (nối măng sông)</v>
          </cell>
          <cell r="C386" t="str">
            <v>Installing ulltrasonic pipe D60</v>
          </cell>
        </row>
        <row r="387">
          <cell r="B387" t="str">
            <v>Lắp đặt thép bản cọc tiêu</v>
          </cell>
          <cell r="C387" t="str">
            <v>Installing plate steel of marked post</v>
          </cell>
        </row>
        <row r="388">
          <cell r="B388" t="str">
            <v>Lắp đặt tôn sóng đường đầu cầu</v>
          </cell>
          <cell r="C388" t="str">
            <v>Installing corrugated sheet iron</v>
          </cell>
        </row>
        <row r="389">
          <cell r="B389" t="str">
            <v>Lắp đặt, tháo dỡ thép hình các loại (Hệ số 1.6 kể đến công tháo dỡ)</v>
          </cell>
          <cell r="C389" t="str">
            <v>Install &amp; remove steel structure (co=1.6)</v>
          </cell>
        </row>
        <row r="390">
          <cell r="B390" t="str">
            <v>Lắp đặt, tháo dỡ ván khuôn ngoài bằng thép vào trong bệ đúc dầm super T, hs=1,4</v>
          </cell>
          <cell r="C390" t="str">
            <v>Install &amp; remove outer formwork by steel super T beam, co=1.4</v>
          </cell>
        </row>
        <row r="391">
          <cell r="B391" t="str">
            <v>Lắp đặt, tháo dỡ ván khuôn ngoài dầm super T, HS=1.4</v>
          </cell>
          <cell r="C391" t="str">
            <v>Install &amp; remove inter formwork by steel super T beam, co=1.4</v>
          </cell>
        </row>
        <row r="392">
          <cell r="B392" t="str">
            <v>Lắp đặt,tháo dỡ ống vách cọc khoan nhồi trên cạn D≤1000mm (Hệ số 1.6 kể đến công tháo dỡ)</v>
          </cell>
          <cell r="C392" t="str">
            <v>Install $ remove casting pipe D&lt;=1000 on land (co=1.6)</v>
          </cell>
        </row>
        <row r="393">
          <cell r="B393" t="str">
            <v>Lắp dựng cột thép</v>
          </cell>
          <cell r="C393" t="str">
            <v>Install steel columns</v>
          </cell>
        </row>
        <row r="394">
          <cell r="B394" t="str">
            <v>Lắp dựng dầm super T bằng thiết bị nâng hạ dầm</v>
          </cell>
          <cell r="C394" t="str">
            <v>Install super T girder by launching eqipment</v>
          </cell>
        </row>
        <row r="395">
          <cell r="B395" t="str">
            <v>Lắp dựng lan can cầu, hàng rào công trường</v>
          </cell>
          <cell r="C395" t="str">
            <v>Install railing</v>
          </cell>
        </row>
        <row r="396">
          <cell r="B396" t="str">
            <v>Lắp dựng ống ghen dẹp 20x75mm</v>
          </cell>
          <cell r="C396" t="str">
            <v>Install duct 20x75mm</v>
          </cell>
        </row>
        <row r="397">
          <cell r="B397" t="str">
            <v>Lắp dựng ống thép tạo lỗ D69/72</v>
          </cell>
          <cell r="C397" t="str">
            <v>Install duct D69/72</v>
          </cell>
        </row>
        <row r="398">
          <cell r="B398" t="str">
            <v>Lắp dựng ống thép tạo lỗ D75/80</v>
          </cell>
          <cell r="C398" t="str">
            <v>Install duct D75/80</v>
          </cell>
        </row>
        <row r="399">
          <cell r="B399" t="str">
            <v>Lắp dựng ống thép tạo lỗ D84/89</v>
          </cell>
          <cell r="C399" t="str">
            <v>Install duct D84/89</v>
          </cell>
        </row>
        <row r="400">
          <cell r="B400" t="str">
            <v>Lắp dựng ống thép xoắn tạo lỗ D110/117</v>
          </cell>
          <cell r="C400" t="str">
            <v>Install duct D110/117</v>
          </cell>
        </row>
        <row r="401">
          <cell r="B401" t="str">
            <v>Lắp dựng ống thép xoắn tạo lỗ D80/87</v>
          </cell>
          <cell r="C401" t="str">
            <v>Install duct D80/87</v>
          </cell>
        </row>
        <row r="402">
          <cell r="B402" t="str">
            <v xml:space="preserve">Lắp dựng ống vách cọc khoan nhồi trên cạn D&lt;=1300 </v>
          </cell>
          <cell r="C402" t="str">
            <v>Install casting pipe D&lt;=1300 (land)</v>
          </cell>
        </row>
        <row r="403">
          <cell r="B403" t="str">
            <v xml:space="preserve">Lắp dựng ống vách cọc khoan nhồi trên cạn D&lt;=1500 </v>
          </cell>
          <cell r="C403" t="str">
            <v>Install casting pipe D&lt;=1500 (land)</v>
          </cell>
        </row>
        <row r="404">
          <cell r="B404" t="str">
            <v>Lắp dựng và tháo dỡ đà giáo treo đỡ khối K19 (Hệ số 1.6 kể đến công tháo dỡ)</v>
          </cell>
          <cell r="C404" t="str">
            <v>Install $ remove scaffolding system of K19 (co=1.6)</v>
          </cell>
        </row>
        <row r="405">
          <cell r="B405" t="str">
            <v>Lắp dựng, tháo dỡ hệ dàn giáo dưới nước (ĐM*1.6 kể đến công tháo dỡ)</v>
          </cell>
          <cell r="C405" t="str">
            <v>Install $ remove scaffolding system of K19 in water (co=1.6)</v>
          </cell>
        </row>
        <row r="406">
          <cell r="B406" t="str">
            <v>Lắp dựng, tháo dỡ hệ dàn giáo trên cạn (Định mức x 1.6 kể đến công tháo dỡ)</v>
          </cell>
          <cell r="C406" t="str">
            <v>Install $ remove scaffolding system of K19 on land (co=1.6)</v>
          </cell>
        </row>
        <row r="407">
          <cell r="B407" t="str">
            <v>Lập lách</v>
          </cell>
          <cell r="C407" t="str">
            <v>lap lunch</v>
          </cell>
        </row>
        <row r="408">
          <cell r="B408" t="str">
            <v>Lắp ráp cấu kiện thép</v>
          </cell>
          <cell r="C408" t="str">
            <v>Install steel structure</v>
          </cell>
        </row>
        <row r="409">
          <cell r="B409" t="str">
            <v>Lát gạch lề bộ hành</v>
          </cell>
          <cell r="C409" t="str">
            <v>Paving brick on side walk</v>
          </cell>
        </row>
        <row r="410">
          <cell r="B410" t="str">
            <v>Lát gạch trồng cỏ</v>
          </cell>
          <cell r="C410" t="str">
            <v>Paving brick</v>
          </cell>
        </row>
        <row r="411">
          <cell r="B411" t="str">
            <v>Liên kết ngang, thanh giằng (KHVL chính=(2%/tháng*24 tháng +7%)</v>
          </cell>
          <cell r="C411" t="str">
            <v>Cross - lingking, strut (amor main mater=2%/months*24months+7%)</v>
          </cell>
        </row>
        <row r="412">
          <cell r="B412" t="str">
            <v>Lò nấu sơn</v>
          </cell>
          <cell r="C412" t="str">
            <v>Paint furnace YHK 3A</v>
          </cell>
        </row>
        <row r="413">
          <cell r="B413" t="str">
            <v>Lớp phòng nước</v>
          </cell>
          <cell r="C413" t="str">
            <v>Water-proof membrane layer</v>
          </cell>
        </row>
        <row r="414">
          <cell r="B414" t="str">
            <v>Lu bánh lốp 16T</v>
          </cell>
          <cell r="C414" t="str">
            <v>tyre crane 16T</v>
          </cell>
        </row>
        <row r="415">
          <cell r="B415" t="str">
            <v>Lưỡi cắt bêtông</v>
          </cell>
          <cell r="C415" t="str">
            <v>Concrete cutting blades</v>
          </cell>
        </row>
        <row r="416">
          <cell r="B416" t="str">
            <v>Lưỡi cắt bêtông loại 356mm</v>
          </cell>
          <cell r="C416" t="str">
            <v>Concrete cutting blades D356mm</v>
          </cell>
        </row>
        <row r="417">
          <cell r="B417" t="str">
            <v xml:space="preserve">Lưỡi cưa cắt </v>
          </cell>
          <cell r="C417" t="str">
            <v>Saw</v>
          </cell>
        </row>
        <row r="418">
          <cell r="B418" t="str">
            <v>Lưới thép B40</v>
          </cell>
          <cell r="C418" t="str">
            <v>Temporary railling B40</v>
          </cell>
        </row>
        <row r="419">
          <cell r="B419" t="str">
            <v>Măng sông D114</v>
          </cell>
          <cell r="C419" t="str">
            <v>Stell pipe nipple D114</v>
          </cell>
        </row>
        <row r="420">
          <cell r="B420" t="str">
            <v>Măng sông D60</v>
          </cell>
          <cell r="C420" t="str">
            <v>Stell pipe nipple D60</v>
          </cell>
        </row>
        <row r="421">
          <cell r="B421" t="str">
            <v>Máy bào</v>
          </cell>
          <cell r="C421" t="str">
            <v>Plane machine</v>
          </cell>
        </row>
        <row r="422">
          <cell r="B422" t="str">
            <v>Máy bơm BT 50m3/h</v>
          </cell>
          <cell r="C422" t="str">
            <v>Concrete pump truck 50m3/h</v>
          </cell>
        </row>
        <row r="423">
          <cell r="B423" t="str">
            <v>Máy bơm nước 1.1kW</v>
          </cell>
          <cell r="C423" t="str">
            <v>Water pump 1.1kW</v>
          </cell>
        </row>
        <row r="424">
          <cell r="B424" t="str">
            <v>Máy bơm nước 20Kw</v>
          </cell>
          <cell r="C424" t="str">
            <v>Water pump 20kW</v>
          </cell>
        </row>
        <row r="425">
          <cell r="B425" t="str">
            <v>Máy bơm nước 37CV (200m3/h)</v>
          </cell>
          <cell r="C425" t="str">
            <v>Water pump 100CV</v>
          </cell>
        </row>
        <row r="426">
          <cell r="B426" t="str">
            <v>Máy bơm nước 7.0kW</v>
          </cell>
          <cell r="C426" t="str">
            <v>Water pump 7.0kW</v>
          </cell>
        </row>
        <row r="427">
          <cell r="B427" t="str">
            <v>Máy bơm vữa ximăng</v>
          </cell>
          <cell r="C427" t="str">
            <v>Mortar pump</v>
          </cell>
        </row>
        <row r="428">
          <cell r="B428" t="str">
            <v>Máy cắt cáp 10kw</v>
          </cell>
          <cell r="C428" t="str">
            <v>Cable-cutting machine 10kW</v>
          </cell>
        </row>
        <row r="429">
          <cell r="B429" t="str">
            <v>Máy cắt đột 2.8kw</v>
          </cell>
          <cell r="C429" t="str">
            <v>Cutting machine 2.8Kw</v>
          </cell>
        </row>
        <row r="430">
          <cell r="B430" t="str">
            <v>Máy cắt khe MCD</v>
          </cell>
          <cell r="C430" t="str">
            <v>Concrete cutter 12CV</v>
          </cell>
        </row>
        <row r="431">
          <cell r="B431" t="str">
            <v>Máy cắt thép</v>
          </cell>
          <cell r="C431" t="str">
            <v xml:space="preserve">Plasma cutting machine </v>
          </cell>
        </row>
        <row r="432">
          <cell r="B432" t="str">
            <v>Máy cắt tôn</v>
          </cell>
          <cell r="C432" t="str">
            <v>Cutting machine 15Kw</v>
          </cell>
        </row>
        <row r="433">
          <cell r="B433" t="str">
            <v>Máy cắt uốn</v>
          </cell>
          <cell r="C433" t="str">
            <v>bender cutter 5Kw</v>
          </cell>
        </row>
        <row r="434">
          <cell r="B434" t="str">
            <v>Máy cưa kim loại 1.7kW</v>
          </cell>
          <cell r="C434" t="str">
            <v>Metal sawer 1.7kW</v>
          </cell>
        </row>
        <row r="435">
          <cell r="B435" t="str">
            <v>Máy cưa kim loại 2.7kW</v>
          </cell>
        </row>
        <row r="436">
          <cell r="B436" t="str">
            <v>Máy cuốn ống 2.8kW</v>
          </cell>
        </row>
        <row r="437">
          <cell r="B437" t="str">
            <v>Máy đầm 9T</v>
          </cell>
        </row>
        <row r="438">
          <cell r="B438" t="str">
            <v>Máy đầm 9T</v>
          </cell>
        </row>
        <row r="439">
          <cell r="B439" t="str">
            <v>Máy đầm 9T</v>
          </cell>
        </row>
        <row r="440">
          <cell r="B440" t="str">
            <v>Máy đầm bàn 1KW</v>
          </cell>
        </row>
        <row r="441">
          <cell r="B441" t="str">
            <v>Máy đầm cạnh 3Kw</v>
          </cell>
        </row>
        <row r="442">
          <cell r="B442" t="str">
            <v>Máy đầm dùi 1.5kw</v>
          </cell>
        </row>
        <row r="443">
          <cell r="B443" t="str">
            <v>Máy đầm dùi 2.8KW</v>
          </cell>
        </row>
        <row r="444">
          <cell r="B444" t="str">
            <v>Máy đào 0.8m3</v>
          </cell>
        </row>
        <row r="445">
          <cell r="B445" t="str">
            <v>Máy đào 1 gàu 1.6m3</v>
          </cell>
        </row>
        <row r="446">
          <cell r="B446" t="str">
            <v>Máy đào 1 gàu 2.3m3</v>
          </cell>
        </row>
        <row r="447">
          <cell r="B447" t="str">
            <v>Máy đào 1.25m3</v>
          </cell>
        </row>
        <row r="448">
          <cell r="B448" t="str">
            <v>Máy đóng cọc 1.2T</v>
          </cell>
        </row>
        <row r="449">
          <cell r="B449" t="str">
            <v>Máy đóng cọc 2.5T</v>
          </cell>
        </row>
        <row r="450">
          <cell r="B450" t="str">
            <v>Máy đóng cọc tự hành 1.8T</v>
          </cell>
        </row>
        <row r="451">
          <cell r="B451" t="str">
            <v>Máy hàn 23kw</v>
          </cell>
        </row>
        <row r="452">
          <cell r="B452" t="str">
            <v>Máy khác</v>
          </cell>
          <cell r="C452" t="str">
            <v>Other machine</v>
          </cell>
        </row>
        <row r="453">
          <cell r="B453" t="str">
            <v>Máy khoan 2.5kw</v>
          </cell>
        </row>
        <row r="454">
          <cell r="B454" t="str">
            <v>Máy khoan 4.5Kw</v>
          </cell>
        </row>
        <row r="455">
          <cell r="B455" t="str">
            <v xml:space="preserve">Máy khoan bêtông cầm tay - công suất 0.6kW </v>
          </cell>
        </row>
        <row r="456">
          <cell r="B456" t="str">
            <v xml:space="preserve">Máy khoan bêtông cầm tay - công suất 1,5kW </v>
          </cell>
        </row>
        <row r="457">
          <cell r="B457" t="str">
            <v>Máy khoan cọc nhồi ED</v>
          </cell>
        </row>
        <row r="458">
          <cell r="B458" t="str">
            <v>Máy khoan cọc nhồi TRC-15</v>
          </cell>
        </row>
        <row r="459">
          <cell r="B459" t="str">
            <v xml:space="preserve">Máy khoan đất đá &lt;=42mm </v>
          </cell>
        </row>
        <row r="460">
          <cell r="B460" t="str">
            <v>Máy khoan xoay đập D76mm</v>
          </cell>
        </row>
        <row r="461">
          <cell r="B461" t="str">
            <v>Máy lu 8.5T</v>
          </cell>
        </row>
        <row r="462">
          <cell r="B462" t="str">
            <v>Máy lu bánh thép 10T</v>
          </cell>
        </row>
        <row r="463">
          <cell r="B463" t="str">
            <v>Máy lu rung 25T</v>
          </cell>
        </row>
        <row r="464">
          <cell r="B464" t="str">
            <v>Máy luồn cáp 15kw</v>
          </cell>
        </row>
        <row r="465">
          <cell r="B465" t="str">
            <v>Máy mài 1kw</v>
          </cell>
        </row>
        <row r="466">
          <cell r="B466" t="str">
            <v>Máy mài 2.7kw</v>
          </cell>
        </row>
        <row r="467">
          <cell r="B467" t="str">
            <v>Máy nén khí 240m3/h</v>
          </cell>
        </row>
        <row r="468">
          <cell r="B468" t="str">
            <v>Máy nén khí 300m3/h</v>
          </cell>
        </row>
        <row r="469">
          <cell r="B469" t="str">
            <v>Máy nén khí 360m3/h</v>
          </cell>
        </row>
        <row r="470">
          <cell r="B470" t="str">
            <v>Máy nén khí 600m3/h</v>
          </cell>
        </row>
        <row r="471">
          <cell r="B471" t="str">
            <v>Máy nén khí, động cơ điện- năng suất 600m3/h</v>
          </cell>
        </row>
        <row r="472">
          <cell r="B472" t="str">
            <v>Máy phát điện lưu động 30kW</v>
          </cell>
        </row>
        <row r="473">
          <cell r="B473" t="str">
            <v>Máy phun nhựa đường - công suất 190CV</v>
          </cell>
        </row>
        <row r="474">
          <cell r="B474" t="str">
            <v>Máy rải 130-140cv</v>
          </cell>
        </row>
        <row r="475">
          <cell r="B475" t="str">
            <v>Máy rải 50-60m3/h</v>
          </cell>
        </row>
        <row r="476">
          <cell r="B476" t="str">
            <v>Máy san 108cv</v>
          </cell>
        </row>
        <row r="477">
          <cell r="B477" t="str">
            <v>Máy sàng rung</v>
          </cell>
        </row>
        <row r="478">
          <cell r="B478" t="str">
            <v>Máy trộn 250l</v>
          </cell>
        </row>
        <row r="479">
          <cell r="B479" t="str">
            <v>Máy trộn dung dịch</v>
          </cell>
        </row>
        <row r="480">
          <cell r="B480" t="str">
            <v>Máy trộn vữa 80l</v>
          </cell>
        </row>
        <row r="481">
          <cell r="B481" t="str">
            <v>Máy ủi 110cv</v>
          </cell>
        </row>
        <row r="482">
          <cell r="B482" t="str">
            <v>Máy ủi 140cv</v>
          </cell>
        </row>
        <row r="483">
          <cell r="B483" t="str">
            <v>Mỡ bôi trơn</v>
          </cell>
          <cell r="C483" t="str">
            <v>Lubricant grease</v>
          </cell>
        </row>
        <row r="484">
          <cell r="B484" t="str">
            <v>Mũi khoan</v>
          </cell>
          <cell r="C484" t="str">
            <v>Tip for drill</v>
          </cell>
        </row>
        <row r="485">
          <cell r="B485" t="str">
            <v>Mũi khoan D20</v>
          </cell>
          <cell r="C485" t="str">
            <v>Tip for drill D20</v>
          </cell>
        </row>
        <row r="486">
          <cell r="B486" t="str">
            <v>Nâng hạ dầm cầu, L&gt;35m</v>
          </cell>
          <cell r="C486" t="str">
            <v>Lifting and lowering beam, L&gt;35m</v>
          </cell>
        </row>
        <row r="487">
          <cell r="B487" t="str">
            <v>Nắp chụp nhựa D80</v>
          </cell>
          <cell r="C487" t="str">
            <v>Plastic cover D80</v>
          </cell>
        </row>
        <row r="488">
          <cell r="B488" t="str">
            <v>Nắp đậy lỗ công vụ</v>
          </cell>
          <cell r="C488" t="str">
            <v>Cover</v>
          </cell>
        </row>
        <row r="489">
          <cell r="B489" t="str">
            <v>Neo cáp</v>
          </cell>
          <cell r="C489" t="str">
            <v>cable anchorage</v>
          </cell>
        </row>
        <row r="490">
          <cell r="B490" t="str">
            <v>Neo chủ động 12 sợi D15.2</v>
          </cell>
          <cell r="C490" t="str">
            <v xml:space="preserve"> Active cable anchorage 12s D15.2</v>
          </cell>
        </row>
        <row r="491">
          <cell r="B491" t="str">
            <v>Neo chủ động 27S 15.2mm</v>
          </cell>
          <cell r="C491" t="str">
            <v xml:space="preserve"> Active cable anchorage 27s D15.2</v>
          </cell>
        </row>
        <row r="492">
          <cell r="B492" t="str">
            <v>Neo chủ động 5S 12.7mm</v>
          </cell>
          <cell r="C492" t="str">
            <v xml:space="preserve"> Active cable anchorage 5s D15.2</v>
          </cell>
        </row>
        <row r="493">
          <cell r="B493" t="str">
            <v>Neo công tác</v>
          </cell>
          <cell r="C493" t="str">
            <v xml:space="preserve"> Temporary cable anchorage</v>
          </cell>
        </row>
        <row r="494">
          <cell r="B494" t="str">
            <v>Nhân công</v>
          </cell>
          <cell r="C494" t="str">
            <v xml:space="preserve">  B - Labour</v>
          </cell>
        </row>
        <row r="495">
          <cell r="B495" t="str">
            <v>Nhân công 3.5/7</v>
          </cell>
          <cell r="C495" t="str">
            <v xml:space="preserve">  B - Labour 3.5/7</v>
          </cell>
        </row>
        <row r="496">
          <cell r="B496" t="str">
            <v>Nhân công chờ 7 ngày để vỗ lại</v>
          </cell>
          <cell r="C496" t="str">
            <v>Labour waiting 7 days</v>
          </cell>
        </row>
        <row r="497">
          <cell r="B497" t="str">
            <v>Nhổ cọc thép hình trên cạn</v>
          </cell>
          <cell r="C497" t="str">
            <v>Removing shaped steel pile/ casing (on land)</v>
          </cell>
        </row>
        <row r="498">
          <cell r="B498" t="str">
            <v>Nhổ cọc thép hình, thép ống dưới nước</v>
          </cell>
          <cell r="C498" t="str">
            <v>Removing shaped steel pile/ casing (on water)</v>
          </cell>
        </row>
        <row r="499">
          <cell r="B499" t="str">
            <v>Nhổ cọc ván thép dưới nước</v>
          </cell>
          <cell r="C499" t="str">
            <v>Remove sheet pile (water)</v>
          </cell>
        </row>
        <row r="500">
          <cell r="B500" t="str">
            <v>Nhổ cọc ván thép trên cạn</v>
          </cell>
          <cell r="C500" t="str">
            <v>Remove sheet pile (land)</v>
          </cell>
        </row>
        <row r="501">
          <cell r="B501" t="str">
            <v>Nhựa bitum</v>
          </cell>
          <cell r="C501" t="str">
            <v>bitumen</v>
          </cell>
        </row>
        <row r="502">
          <cell r="B502" t="str">
            <v xml:space="preserve">Nhựa dán </v>
          </cell>
          <cell r="C502" t="str">
            <v>glue</v>
          </cell>
        </row>
        <row r="503">
          <cell r="B503" t="str">
            <v>Nhựa đường</v>
          </cell>
          <cell r="C503" t="str">
            <v>bitumen</v>
          </cell>
        </row>
        <row r="504">
          <cell r="B504" t="str">
            <v>Nước</v>
          </cell>
          <cell r="C504" t="str">
            <v>water</v>
          </cell>
        </row>
        <row r="505">
          <cell r="B505" t="str">
            <v>Ô xy</v>
          </cell>
          <cell r="C505" t="str">
            <v>oxygen</v>
          </cell>
        </row>
        <row r="506">
          <cell r="B506" t="str">
            <v>Ống cống bê tông D1500</v>
          </cell>
          <cell r="C506" t="str">
            <v>Pipe culvert D1500</v>
          </cell>
        </row>
        <row r="507">
          <cell r="B507" t="str">
            <v>Ống dẫn cáp điện PVC D60mm</v>
          </cell>
          <cell r="C507" t="str">
            <v>Cable pipe PVC D60mm</v>
          </cell>
        </row>
        <row r="508">
          <cell r="B508" t="str">
            <v xml:space="preserve">Ống đổ D300 </v>
          </cell>
          <cell r="C508" t="str">
            <v>pouring pipe D300</v>
          </cell>
        </row>
        <row r="509">
          <cell r="B509" t="str">
            <v>Ống đong thủy tinh 100ml</v>
          </cell>
        </row>
        <row r="510">
          <cell r="B510" t="str">
            <v>Ống gang thoát nước D170/150</v>
          </cell>
          <cell r="C510" t="str">
            <v>Install cast  pipe D170/150</v>
          </cell>
        </row>
        <row r="511">
          <cell r="B511" t="str">
            <v>Ống gen dẹp 20x75</v>
          </cell>
          <cell r="C511" t="str">
            <v>Duct 20x75</v>
          </cell>
        </row>
        <row r="512">
          <cell r="B512" t="str">
            <v>Ống nhựa D100</v>
          </cell>
          <cell r="C512" t="str">
            <v>Pipe PVC D100</v>
          </cell>
        </row>
        <row r="513">
          <cell r="B513" t="str">
            <v>Ống nhựa D114</v>
          </cell>
          <cell r="C513" t="str">
            <v>Pipe PVC D114</v>
          </cell>
        </row>
        <row r="514">
          <cell r="B514" t="str">
            <v xml:space="preserve">Ống nhựa D20/24 </v>
          </cell>
          <cell r="C514" t="str">
            <v>Pipe PVC D20/24</v>
          </cell>
        </row>
        <row r="515">
          <cell r="B515" t="str">
            <v xml:space="preserve">Ống nhựa D25/30 </v>
          </cell>
          <cell r="C515" t="str">
            <v>Pipe PVC D25/30</v>
          </cell>
        </row>
        <row r="516">
          <cell r="B516" t="str">
            <v>Ống nhựa D60</v>
          </cell>
          <cell r="C516" t="str">
            <v>Pipe PVC D60</v>
          </cell>
        </row>
        <row r="517">
          <cell r="B517" t="str">
            <v>Ống nhựa D75</v>
          </cell>
          <cell r="C517" t="str">
            <v>Pipe PVC D75</v>
          </cell>
        </row>
        <row r="518">
          <cell r="B518" t="str">
            <v>Ống nhựa D80</v>
          </cell>
          <cell r="C518" t="str">
            <v>Pipe PVC D80</v>
          </cell>
        </row>
        <row r="519">
          <cell r="B519" t="str">
            <v>Ống nối 20x75</v>
          </cell>
          <cell r="C519" t="str">
            <v>joint duct 20x75</v>
          </cell>
        </row>
        <row r="520">
          <cell r="B520" t="str">
            <v>Ống nối D110/117</v>
          </cell>
          <cell r="C520" t="str">
            <v>joint pipe PVC D110/117</v>
          </cell>
        </row>
        <row r="521">
          <cell r="B521" t="str">
            <v>Ống nối D69/72</v>
          </cell>
          <cell r="C521" t="str">
            <v>joint pipe PVC D69/72</v>
          </cell>
        </row>
        <row r="522">
          <cell r="B522" t="str">
            <v>Ống nối D75/80</v>
          </cell>
          <cell r="C522" t="str">
            <v>joint pipe PVC D75/80</v>
          </cell>
        </row>
        <row r="523">
          <cell r="B523" t="str">
            <v>Ống nối D80/87</v>
          </cell>
          <cell r="C523" t="str">
            <v>joint pipe PVC D80/87</v>
          </cell>
        </row>
        <row r="524">
          <cell r="B524" t="str">
            <v>Ống nối D84/89</v>
          </cell>
          <cell r="C524" t="str">
            <v>joint pipe PVC D84/89</v>
          </cell>
        </row>
        <row r="525">
          <cell r="B525" t="str">
            <v>Ống thép D114</v>
          </cell>
          <cell r="C525" t="str">
            <v>Steel pipe D114</v>
          </cell>
        </row>
        <row r="526">
          <cell r="B526" t="str">
            <v>Ống thép D60</v>
          </cell>
          <cell r="C526" t="str">
            <v>Steel pipe D60</v>
          </cell>
        </row>
        <row r="527">
          <cell r="B527" t="str">
            <v>Ống thép D69/72</v>
          </cell>
          <cell r="C527" t="str">
            <v>Steel pipe D69/72</v>
          </cell>
        </row>
        <row r="528">
          <cell r="B528" t="str">
            <v>Ống thép D75/80</v>
          </cell>
          <cell r="C528" t="str">
            <v>Steel pipe D75/80</v>
          </cell>
        </row>
        <row r="529">
          <cell r="B529" t="str">
            <v>Ống thép D84/89</v>
          </cell>
          <cell r="C529" t="str">
            <v>Steel pipe D84/89</v>
          </cell>
        </row>
        <row r="530">
          <cell r="B530" t="str">
            <v>Ống thép luồn cáp D110/117</v>
          </cell>
          <cell r="C530" t="str">
            <v>Cable steel pipe D110/117</v>
          </cell>
        </row>
        <row r="531">
          <cell r="B531" t="str">
            <v>Ống thép luồn cáp D80/87</v>
          </cell>
          <cell r="C531" t="str">
            <v>Cable steel pipe D80/87</v>
          </cell>
        </row>
        <row r="532">
          <cell r="B532" t="str">
            <v>Ôtô chuyển trộn 6m3</v>
          </cell>
        </row>
        <row r="533">
          <cell r="B533" t="str">
            <v>Ôtô tự đổ 10T</v>
          </cell>
        </row>
        <row r="534">
          <cell r="B534" t="str">
            <v>Ôtô tự đổ 2.5T</v>
          </cell>
        </row>
        <row r="535">
          <cell r="B535" t="str">
            <v>Ôtô tự đổ 7T</v>
          </cell>
        </row>
        <row r="536">
          <cell r="B536" t="str">
            <v>Ôtô tưới nước 5m3</v>
          </cell>
        </row>
        <row r="537">
          <cell r="B537" t="str">
            <v>Ôtô vận tải thùng 2.5T</v>
          </cell>
        </row>
        <row r="538">
          <cell r="B538" t="str">
            <v>Ôtô vận tải thùng 7T</v>
          </cell>
        </row>
        <row r="539">
          <cell r="B539" t="str">
            <v>Palăng xích 3T</v>
          </cell>
        </row>
        <row r="540">
          <cell r="B540" t="str">
            <v>Palăng xích 5T</v>
          </cell>
        </row>
        <row r="541">
          <cell r="B541" t="str">
            <v>Phá dỡ bệ đúc dầm</v>
          </cell>
          <cell r="C541" t="str">
            <v>Demolishing casting bed</v>
          </cell>
        </row>
        <row r="542">
          <cell r="B542" t="str">
            <v>Phao thép 200T</v>
          </cell>
        </row>
        <row r="543">
          <cell r="B543" t="str">
            <v>Phao thép 250T</v>
          </cell>
        </row>
        <row r="544">
          <cell r="B544" t="str">
            <v xml:space="preserve">Phụ gia Antisole </v>
          </cell>
          <cell r="C544" t="str">
            <v>Antisole (additive)</v>
          </cell>
        </row>
        <row r="545">
          <cell r="B545" t="str">
            <v>Phụ gia CMC</v>
          </cell>
          <cell r="C545" t="str">
            <v>admixture CMC</v>
          </cell>
        </row>
        <row r="546">
          <cell r="B546" t="str">
            <v xml:space="preserve">Phụ gia Rugasol C </v>
          </cell>
          <cell r="C546" t="str">
            <v>Rugasol C (additive)</v>
          </cell>
        </row>
        <row r="547">
          <cell r="B547" t="str">
            <v>Que hàn</v>
          </cell>
          <cell r="C547" t="str">
            <v>welding electrode</v>
          </cell>
        </row>
        <row r="548">
          <cell r="B548" t="str">
            <v>Quét nhựa bitum nóng</v>
          </cell>
          <cell r="C548" t="str">
            <v>Bituminous cover</v>
          </cell>
        </row>
        <row r="549">
          <cell r="B549" t="str">
            <v>Quét nhựa bitum, dán bao tải 1 lớp</v>
          </cell>
          <cell r="C549" t="str">
            <v>Bituminous cover, pasting bag 1 class</v>
          </cell>
        </row>
        <row r="550">
          <cell r="B550" t="str">
            <v>Quét nhựa bitum, dán giấy dầu 2 lớp</v>
          </cell>
          <cell r="C550" t="str">
            <v>Bituminous cover, pasting oilpaper 2 class</v>
          </cell>
        </row>
        <row r="551">
          <cell r="B551" t="str">
            <v xml:space="preserve">Răng gầu hợp kim </v>
          </cell>
          <cell r="C551" t="str">
            <v xml:space="preserve">alloy bucket teeth </v>
          </cell>
        </row>
        <row r="552">
          <cell r="B552" t="str">
            <v>Ray</v>
          </cell>
          <cell r="C552" t="str">
            <v xml:space="preserve">rail </v>
          </cell>
        </row>
        <row r="553">
          <cell r="B553" t="str">
            <v>Rây địa chất công trình</v>
          </cell>
        </row>
        <row r="554">
          <cell r="B554" t="str">
            <v>Rây dụng cụ đầm nện</v>
          </cell>
        </row>
        <row r="555">
          <cell r="B555" t="str">
            <v>Rút ống vách cọc khoan nhồi trên cạn D&lt;=1300, HS=0.6</v>
          </cell>
          <cell r="C555" t="str">
            <v>Lifting casting pipe D&lt;=1300 (land)</v>
          </cell>
        </row>
        <row r="556">
          <cell r="B556" t="str">
            <v>Rút ống vách cọc khoan nhồi trên cạn D&lt;=1500, HS=0.6</v>
          </cell>
          <cell r="C556" t="str">
            <v>Lifting casting pipe D&lt;=1500 (land)</v>
          </cell>
        </row>
        <row r="557">
          <cell r="B557" t="str">
            <v>Sà lan 200T</v>
          </cell>
        </row>
        <row r="558">
          <cell r="B558" t="str">
            <v>Sà lan 400T</v>
          </cell>
        </row>
        <row r="559">
          <cell r="B559" t="str">
            <v>Sản xuất bản thép đệm chôn sẵn chờ lắp gối cầu</v>
          </cell>
          <cell r="C559" t="str">
            <v>Producting plate steel</v>
          </cell>
        </row>
        <row r="560">
          <cell r="B560" t="str">
            <v>Sản xuất bê tông nhựa hạt mịn C10</v>
          </cell>
          <cell r="C560" t="str">
            <v>Producting fine asphanlt concrete C10</v>
          </cell>
        </row>
        <row r="561">
          <cell r="B561" t="str">
            <v>Sản xuất bê tông nhựa C12.5</v>
          </cell>
          <cell r="C561" t="str">
            <v>Producting fine asphanlt concrete C12.5</v>
          </cell>
        </row>
        <row r="562">
          <cell r="B562" t="str">
            <v>Sản xuất bê tông nhựa hạt trung C20</v>
          </cell>
          <cell r="C562" t="str">
            <v>Producting coarse asphanlt concrete C20</v>
          </cell>
        </row>
        <row r="563">
          <cell r="B563" t="str">
            <v>Sản xuất bê tông nhựa C19</v>
          </cell>
          <cell r="C563" t="str">
            <v>Producting coarse asphanlt concrete C19</v>
          </cell>
        </row>
        <row r="564">
          <cell r="B564" t="str">
            <v>Sản xuất biển báo hiệu đường sông</v>
          </cell>
          <cell r="C564" t="str">
            <v>Producing sign of waterway</v>
          </cell>
        </row>
        <row r="565">
          <cell r="B565" t="str">
            <v>Sản xuất đà giáo K0, K1 (KH=(2%/tháng*4tháng+7%)</v>
          </cell>
          <cell r="C565" t="str">
            <v>Producing scaffolding K0, K1 (amor=2%/month*4months+7%)</v>
          </cell>
        </row>
        <row r="566">
          <cell r="B566" t="str">
            <v>Sản xuất hàng rào lưới thép (tạm tính khấu hao vật liệu chính 50%)</v>
          </cell>
          <cell r="C566" t="str">
            <v>Temporary railling B40 (amor main material=50%)</v>
          </cell>
        </row>
        <row r="567">
          <cell r="B567" t="str">
            <v>Sản xuất hệ liên kết khối hợp long K19</v>
          </cell>
          <cell r="C567" t="str">
            <v>Producing closure segment lingking system K19</v>
          </cell>
        </row>
        <row r="568">
          <cell r="B568" t="str">
            <v>Sản xuất hệ liên kết khối hợp long K19, KH=2%*1tháng+7%</v>
          </cell>
          <cell r="C568" t="str">
            <v>Producing closure segment lingking system K19, amor=2%*1month+7%</v>
          </cell>
        </row>
        <row r="569">
          <cell r="B569" t="str">
            <v>Sản xuất lan can mạ kẽm</v>
          </cell>
          <cell r="C569" t="str">
            <v>Producing zinc steel railling</v>
          </cell>
        </row>
        <row r="570">
          <cell r="B570" t="str">
            <v>Sản xuất lắp đặt cóc nối, D16,L=360</v>
          </cell>
          <cell r="C570" t="str">
            <v>Coupler</v>
          </cell>
        </row>
        <row r="571">
          <cell r="B571" t="str">
            <v>Sản xuất lắp đặt trụ đỡ biển báo D80, L=3m</v>
          </cell>
          <cell r="C571" t="str">
            <v>Signal column D80, L=3.0m</v>
          </cell>
        </row>
        <row r="572">
          <cell r="B572" t="str">
            <v>Sản xuất lắp đặt trụ đỡ biển báo D80, L=4m</v>
          </cell>
          <cell r="C572" t="str">
            <v>Signal column D80, L=4.0m</v>
          </cell>
        </row>
        <row r="573">
          <cell r="B573" t="str">
            <v>Sản xuất lắp đặt trụ đỡ biển báo D90, L=4m</v>
          </cell>
          <cell r="C573" t="str">
            <v>Signal column D90, L=4.0m</v>
          </cell>
        </row>
        <row r="574">
          <cell r="B574" t="str">
            <v>Sản xuất mũ neo bằng tôn dày 2mm</v>
          </cell>
          <cell r="C574" t="str">
            <v>Anchor capby tole, 2mm thicknees</v>
          </cell>
        </row>
        <row r="575">
          <cell r="B575" t="str">
            <v>Sản xuất ống vách cọc khoan nhồi (để lại)</v>
          </cell>
          <cell r="C575" t="str">
            <v>Product casting pipe (permanent)</v>
          </cell>
        </row>
        <row r="576">
          <cell r="B576" t="str">
            <v>Sản xuất ống vách cọc khoan nhồi (thu hồi) D1500, KH=1.17%*2tháng+3.5% đóng nhổ (4/30 tháng/cọc*12 lần=2 tháng, 4 ngày/cọc)</v>
          </cell>
          <cell r="C576" t="str">
            <v>Product casting pipe (taken back) D1500, amor=1.17%*2months+3.5%driving,moving (4/30month/pile*12times=2months, 4days/pile)</v>
          </cell>
        </row>
        <row r="577">
          <cell r="B577" t="str">
            <v>Sản xuất ống vách cọc khoan nhồi (thu hồi), KH=1.17%*1.5tháng+3.5% đóng nhổ (4/30 tháng/cọc*10 lần=1.5 tháng, 4 ngày/cọc)</v>
          </cell>
          <cell r="C577" t="str">
            <v>Product casting pipe (taken back), amor=1.17%*1.5months+3.5%driving,moving (4/30month/pile*10times=1.5months, 4days/pile)</v>
          </cell>
        </row>
        <row r="578">
          <cell r="B578" t="str">
            <v>Sản xuất ống vách cọc khoan nhồi (thu hồi), KH=1.17%*1.5tháng+3.5% đóng nhổ (4/30 tháng/cọc*11 lần=1.5 tháng, 4 ngày/cọc)</v>
          </cell>
          <cell r="C578" t="str">
            <v>Product casting pipe (taken back), amor=1.17%*1.5months+3.5%driving,moving (4/30month/pile*11times=1.5months, 4days/pile)</v>
          </cell>
        </row>
        <row r="579">
          <cell r="B579" t="str">
            <v>Sản xuất ống vách cọc khoan nhồi (thu hồi), KH=1.17%*2tháng+3.5% đóng nhổ (4/30 tháng/cọc*12 lần=2 tháng, 4 ngày/cọc)</v>
          </cell>
          <cell r="C579" t="str">
            <v>Product casting pipe (taken back), amor=1.17%*2months+3.5%driving,moving (4/30month/pile*12times=2months, 4days/pile)</v>
          </cell>
        </row>
        <row r="580">
          <cell r="B580" t="str">
            <v>Sản xuất thép bản cọc tiêu, KH=2%*8 tháng (8 tháng quan trắc)</v>
          </cell>
          <cell r="C580" t="str">
            <v>Product plate steel of marked post, amor=2%*8months</v>
          </cell>
        </row>
        <row r="581">
          <cell r="B581" t="str">
            <v>Sản xuất thép hình, KH=(2%*2tháng+7%*1)</v>
          </cell>
          <cell r="C581" t="str">
            <v>Product shaped steel, amor=2%*2months+7%</v>
          </cell>
        </row>
        <row r="582">
          <cell r="B582" t="str">
            <v>Sản xuất thép hình, KH=(2%*8tháng+7%*1)</v>
          </cell>
          <cell r="C582" t="str">
            <v>Product shaped steel, amor=2%*8months+7%</v>
          </cell>
        </row>
        <row r="583">
          <cell r="B583" t="str">
            <v>Sản xuất thép hình, thép tấm ván khuôn dầm, HS=34/250</v>
          </cell>
          <cell r="C583" t="str">
            <v>Product shaped steel, plate steel of beam formwork, co=34/250</v>
          </cell>
        </row>
        <row r="584">
          <cell r="B584" t="str">
            <v>Sản xuất thép ống/thép bản</v>
          </cell>
          <cell r="C584" t="str">
            <v>Product shaped steel, plate steel</v>
          </cell>
        </row>
        <row r="585">
          <cell r="B585" t="str">
            <v>Sản xuất thép tấm (KHVL chính=2%/tháng*1 tháng+7%)</v>
          </cell>
          <cell r="C585" t="str">
            <v>Product plate steel (amor main material=2%/month*1month+7%)</v>
          </cell>
        </row>
        <row r="586">
          <cell r="B586" t="str">
            <v>Sản xuất trụ tạm thép hình kê dầm (KHVL chính =(2%/tháng*0,5 tháng +7%)</v>
          </cell>
          <cell r="C586" t="str">
            <v>Product temporary pier by shaped steel (amor main material=2%/month*0.5month+7%)</v>
          </cell>
        </row>
        <row r="587">
          <cell r="B587" t="str">
            <v>Sản xuất và vận chuyển vữa bê tông 0,5Km</v>
          </cell>
          <cell r="C587" t="str">
            <v>Producing and transporting concrete mortar 0.5km</v>
          </cell>
        </row>
        <row r="588">
          <cell r="B588" t="str">
            <v>Sản xuất và vận chuyển vữa bê tông 1Km</v>
          </cell>
          <cell r="C588" t="str">
            <v>Producing and transporting concrete mortar 1km</v>
          </cell>
        </row>
        <row r="589">
          <cell r="B589" t="str">
            <v>Sản xuất và vận chuyển vữa bê tông &lt;=3Km</v>
          </cell>
          <cell r="C589" t="str">
            <v>Producing and transporting concrete mortar &lt;=3km</v>
          </cell>
        </row>
        <row r="590">
          <cell r="B590" t="str">
            <v>Sản xuất ván khuôn, hệ treo đỡ ván khuôn dầm cầu đúc hẫng</v>
          </cell>
          <cell r="C590" t="str">
            <v>Producing formwork, supporting system of cantilever girder</v>
          </cell>
        </row>
        <row r="591">
          <cell r="B591" t="str">
            <v>Sản xuất, lắp đặt cột biển báo D168, dày 7.1 m, L=8m</v>
          </cell>
          <cell r="C591" t="str">
            <v>Producing and installing sign column D168, thickness 7.1mm, L=8m</v>
          </cell>
        </row>
        <row r="592">
          <cell r="B592" t="str">
            <v>Sắt ống D80</v>
          </cell>
          <cell r="C592" t="str">
            <v>Steel pipe D80</v>
          </cell>
        </row>
        <row r="593">
          <cell r="B593" t="str">
            <v xml:space="preserve">Siêu âm cọc khoan nhồi </v>
          </cell>
          <cell r="C593" t="str">
            <v>sonic test for drilling pile</v>
          </cell>
        </row>
        <row r="594">
          <cell r="B594" t="str">
            <v>Sika IntraplastZ</v>
          </cell>
          <cell r="C594" t="str">
            <v>Sika IntraplastZ</v>
          </cell>
        </row>
        <row r="595">
          <cell r="B595" t="str">
            <v>Sikament R4</v>
          </cell>
          <cell r="C595" t="str">
            <v>Sikament R4</v>
          </cell>
        </row>
        <row r="596">
          <cell r="B596" t="str">
            <v xml:space="preserve">Sơn </v>
          </cell>
          <cell r="C596" t="str">
            <v>Paint</v>
          </cell>
        </row>
        <row r="597">
          <cell r="B597" t="str">
            <v>Sơn chống rỉ</v>
          </cell>
          <cell r="C597" t="str">
            <v>Antirust paint</v>
          </cell>
        </row>
        <row r="598">
          <cell r="B598" t="str">
            <v>Sơn cọc tiêu</v>
          </cell>
          <cell r="C598" t="str">
            <v>Marking post</v>
          </cell>
        </row>
        <row r="599">
          <cell r="B599" t="str">
            <v>Sơn dẻo nhiệt</v>
          </cell>
          <cell r="C599" t="str">
            <v xml:space="preserve">Heat viscid paint </v>
          </cell>
        </row>
        <row r="600">
          <cell r="B600" t="str">
            <v>Sơn gờ giảm tốc dày 6mm</v>
          </cell>
          <cell r="C600" t="str">
            <v>Road marking, thickness 6mm</v>
          </cell>
        </row>
        <row r="601">
          <cell r="B601" t="str">
            <v>Sơn kẻ đường dày 1.5mm</v>
          </cell>
          <cell r="C601" t="str">
            <v>Road marking, thick 1.5mm</v>
          </cell>
        </row>
        <row r="602">
          <cell r="B602" t="str">
            <v>Sơn lan can 2 lớp</v>
          </cell>
          <cell r="C602" t="str">
            <v>Railing marking, 2 layers</v>
          </cell>
        </row>
        <row r="603">
          <cell r="B603" t="str">
            <v>Sơn lan can, bó vỉa</v>
          </cell>
          <cell r="C603" t="str">
            <v>Marking railing, kerb</v>
          </cell>
        </row>
        <row r="604">
          <cell r="B604" t="str">
            <v>Sơn lót</v>
          </cell>
          <cell r="C604" t="str">
            <v>Priming paint</v>
          </cell>
        </row>
        <row r="605">
          <cell r="B605" t="str">
            <v>Sơn sắt thép chống rỉ (2 nước)</v>
          </cell>
          <cell r="C605" t="str">
            <v>Anti-rusty painting (2 layers)</v>
          </cell>
        </row>
        <row r="606">
          <cell r="B606" t="str">
            <v>Sử dụng cọc thép hình H350x350 (KH=(1.17%/tháng*8 tháng +3.5%/lần đóng nhổ )</v>
          </cell>
          <cell r="C606" t="str">
            <v>Steel pile H350x350, amor=1.17%*8 months +3.5%</v>
          </cell>
        </row>
        <row r="607">
          <cell r="B607" t="str">
            <v>Sử dụng cọc thép hình H350x350 (KH=(1.17%/tháng*1 tháng +3.5%/lần đóng nhổ )</v>
          </cell>
          <cell r="C607" t="str">
            <v>Steel pile H350x350, amor=1.17%*1 months +3.5%</v>
          </cell>
        </row>
        <row r="608">
          <cell r="B608" t="str">
            <v>Sử dụng cọc ván thép (KHVL=(1.17%/tháng*24 tháng +3.5%/đóng nhổ)</v>
          </cell>
          <cell r="C608" t="str">
            <v>Steel pile, amor=1.17%*24 months +3.5%</v>
          </cell>
        </row>
        <row r="609">
          <cell r="B609" t="str">
            <v>Sử dụng cọc ván thép L=8m (KHVL=(1.17%/tháng *2 tháng +3.5%/đóng nhổ)*2 lần)</v>
          </cell>
          <cell r="C609" t="str">
            <v>Sheet pile L=8m, amor=(1.17%*2 months +3.5%)*2 times</v>
          </cell>
        </row>
        <row r="610">
          <cell r="B610" t="str">
            <v>Sử dụng cọc ván thép L=8m KHVL=1.17%/tháng *1 tháng +3.5%/đóng nhổ</v>
          </cell>
          <cell r="C610" t="str">
            <v>Sheet pile L=8m, amor=1.17%*1 months +3.5%</v>
          </cell>
        </row>
        <row r="611">
          <cell r="B611" t="str">
            <v>Sử dụng cọc ván thép L&gt;12m (KHVL=(1.17%/tháng * 8 tháng +3.5%/đóng nhổ)</v>
          </cell>
          <cell r="C611" t="str">
            <v>Sheet pile L&gt;8m, amor=1.17%*8 months +3.5%</v>
          </cell>
        </row>
        <row r="612">
          <cell r="B612" t="str">
            <v>Sữa chữa ván khuôn trong dầm super T</v>
          </cell>
          <cell r="C612" t="str">
            <v>Repairing inter formwork of super T girder</v>
          </cell>
        </row>
        <row r="613">
          <cell r="B613" t="str">
            <v>SX hệ dàn nâng hạ thép. Hệ kích căng cáp, KH=2%*8tháng+7%</v>
          </cell>
          <cell r="C613" t="str">
            <v>Product truss system, jack system, amor=2%*8months+7%</v>
          </cell>
        </row>
        <row r="614">
          <cell r="B614" t="str">
            <v>Tà vẹt 14x22x180</v>
          </cell>
          <cell r="C614" t="str">
            <v>wooden tie 14x22x180</v>
          </cell>
        </row>
        <row r="615">
          <cell r="B615" t="str">
            <v>Tấm cao su dày 20mm</v>
          </cell>
          <cell r="C615" t="str">
            <v>rubber plate, thickness 20mm</v>
          </cell>
        </row>
        <row r="616">
          <cell r="B616" t="str">
            <v>Tấm nhựa ngăn nước</v>
          </cell>
          <cell r="C616" t="str">
            <v>Plastic plate preventing water</v>
          </cell>
        </row>
        <row r="617">
          <cell r="B617" t="str">
            <v>Tấm plastic dày 2mm</v>
          </cell>
          <cell r="C617" t="str">
            <v>Plastic plate, thickness 2mm</v>
          </cell>
        </row>
        <row r="618">
          <cell r="B618" t="str">
            <v>Tăng đơ</v>
          </cell>
          <cell r="C618" t="str">
            <v>turn buckle</v>
          </cell>
        </row>
        <row r="619">
          <cell r="B619" t="str">
            <v>Tăng đơ D38mm dài 7m</v>
          </cell>
          <cell r="C619" t="str">
            <v>turn buckle D38mm</v>
          </cell>
        </row>
        <row r="620">
          <cell r="B620" t="str">
            <v>Tàu kéo 150cv</v>
          </cell>
        </row>
        <row r="621">
          <cell r="B621" t="str">
            <v>Thanh cường độ cao D36 (để lại)</v>
          </cell>
          <cell r="C621" t="str">
            <v>High strengthen bar D36 (permanent)</v>
          </cell>
        </row>
        <row r="622">
          <cell r="B622" t="str">
            <v>Thanh cường độ cao D36 (kg)</v>
          </cell>
          <cell r="C622" t="str">
            <v>High strengthen bar D36 (kg)</v>
          </cell>
        </row>
        <row r="623">
          <cell r="B623" t="str">
            <v>Thanh cường độ cao D36 (thu hồi, KH=2%*1tháng+7%)</v>
          </cell>
          <cell r="C623" t="str">
            <v>High strengthen bar D36 taken back (amor=2%*1months+7%)</v>
          </cell>
        </row>
        <row r="624">
          <cell r="B624" t="str">
            <v>Thanh cường độ cao D36 (thu hồi, KH=2%*9tháng+7%)</v>
          </cell>
          <cell r="C624" t="str">
            <v>High strengthen bar D36 taken back (amor=2%*9months+7%)</v>
          </cell>
        </row>
        <row r="625">
          <cell r="B625" t="str">
            <v>Tháo dỡ ống cống BTCT D1500, HS=0.6</v>
          </cell>
          <cell r="C625" t="str">
            <v>Dismouting pipe culvert D1500, co=0.6</v>
          </cell>
        </row>
        <row r="626">
          <cell r="B626" t="str">
            <v>Tháo dỡ, di chuyển ván khuôn, hệ treo đỡ ván khuôn dầm cầu đúc hẫng dưới nước</v>
          </cell>
          <cell r="C626" t="str">
            <v>Removing, transpotring formwork, formwork supporting system of cantilever girder in water</v>
          </cell>
        </row>
        <row r="627">
          <cell r="B627" t="str">
            <v>Tháo dỡ, di chuyển ván khuôn, hệ treo đỡ ván khuôn dầm cầu đúc hẫng trên cạn</v>
          </cell>
          <cell r="C627" t="str">
            <v>Removing, transpotring formwork, formwork supporting system of cantilever girder on land</v>
          </cell>
        </row>
        <row r="628">
          <cell r="B628" t="str">
            <v xml:space="preserve">Thép cường độ cao </v>
          </cell>
          <cell r="C628" t="str">
            <v>high strength cable</v>
          </cell>
        </row>
        <row r="629">
          <cell r="B629" t="str">
            <v>Thép dự ứng lực dầm super T</v>
          </cell>
          <cell r="C629" t="str">
            <v>Prestressed steel of super T girder</v>
          </cell>
        </row>
        <row r="630">
          <cell r="B630" t="str">
            <v>Thép dự ứng lực kéo sau dầm cầu đổ tại chỗ</v>
          </cell>
          <cell r="C630" t="str">
            <v>Prestressed steel for post- pulling bridge beam</v>
          </cell>
        </row>
        <row r="631">
          <cell r="B631" t="str">
            <v>Thép hình</v>
          </cell>
          <cell r="C631" t="str">
            <v>Shaped steel</v>
          </cell>
        </row>
        <row r="632">
          <cell r="B632" t="str">
            <v>Thép hình hệ khung treo đỡ</v>
          </cell>
          <cell r="C632" t="str">
            <v>Shaped steel of supporting frame system</v>
          </cell>
        </row>
        <row r="633">
          <cell r="B633" t="str">
            <v>Thép hình hệ ván khuôn</v>
          </cell>
          <cell r="C633" t="str">
            <v>Shaped steel of formwork system</v>
          </cell>
        </row>
        <row r="634">
          <cell r="B634" t="str">
            <v>Thép hình làm gối tạm (KH=(2%/tháng*3tháng+7%)</v>
          </cell>
          <cell r="C634" t="str">
            <v>Shaped steel of temporary bearing (amor=2%/month*3 month+7%)</v>
          </cell>
        </row>
        <row r="635">
          <cell r="B635" t="str">
            <v>Thép neo mạ kẽm</v>
          </cell>
          <cell r="C635" t="str">
            <v>Zinc steel</v>
          </cell>
        </row>
        <row r="636">
          <cell r="B636" t="str">
            <v>Thép nẹp D10</v>
          </cell>
        </row>
        <row r="637">
          <cell r="B637" t="str">
            <v>Thép ống</v>
          </cell>
          <cell r="C637" t="str">
            <v>pipe steel</v>
          </cell>
        </row>
        <row r="638">
          <cell r="B638" t="str">
            <v>Thép ống D20 (tạm tính bằng thép tròn D20)</v>
          </cell>
          <cell r="C638" t="str">
            <v>pipe steel D20</v>
          </cell>
        </row>
        <row r="639">
          <cell r="B639" t="str">
            <v>Thép tấm</v>
          </cell>
          <cell r="C639" t="str">
            <v>Plate steel</v>
          </cell>
        </row>
        <row r="640">
          <cell r="B640" t="str">
            <v>Thép tấm hệ khung treo đỡ</v>
          </cell>
          <cell r="C640" t="str">
            <v>plate steel of supporting frame system</v>
          </cell>
        </row>
        <row r="641">
          <cell r="B641" t="str">
            <v>Thép tấm hệ ván khuôn</v>
          </cell>
          <cell r="C641" t="str">
            <v>plate steel of formwork system</v>
          </cell>
        </row>
        <row r="642">
          <cell r="B642" t="str">
            <v>Thép tấm phản quang 40x180x5</v>
          </cell>
          <cell r="C642" t="str">
            <v>reflected light plate steel 40x180x5</v>
          </cell>
        </row>
        <row r="643">
          <cell r="B643" t="str">
            <v xml:space="preserve">Thép tròn </v>
          </cell>
          <cell r="C643" t="str">
            <v>Steel bar</v>
          </cell>
        </row>
        <row r="644">
          <cell r="B644" t="str">
            <v>Thép tròn D&lt;=10</v>
          </cell>
          <cell r="C644" t="str">
            <v>steel bar D&lt;=10</v>
          </cell>
        </row>
        <row r="645">
          <cell r="B645" t="str">
            <v>Thép tròn D&lt;=18</v>
          </cell>
          <cell r="C645" t="str">
            <v>steel bar D&lt;=18</v>
          </cell>
        </row>
        <row r="646">
          <cell r="B646" t="str">
            <v>Thép tròn D&gt;18</v>
          </cell>
          <cell r="C646" t="str">
            <v>steel bar D&gt;18</v>
          </cell>
        </row>
        <row r="647">
          <cell r="B647" t="str">
            <v xml:space="preserve">Thí nghiệm nén mẫu bê tông (2m/mẫu) </v>
          </cell>
        </row>
        <row r="648">
          <cell r="B648" t="str">
            <v>Thiết bị nâng hạ dầm 75T</v>
          </cell>
        </row>
        <row r="649">
          <cell r="B649" t="str">
            <v>Thiết bị nấu nhựa</v>
          </cell>
        </row>
        <row r="650">
          <cell r="B650" t="str">
            <v>Thiết bị siêu âm</v>
          </cell>
        </row>
        <row r="651">
          <cell r="B651" t="str">
            <v>Thiết bị sơn kẻ vạch</v>
          </cell>
        </row>
        <row r="652">
          <cell r="B652" t="str">
            <v>Thử tải cọc bằng phương pháp PDA trên cạn</v>
          </cell>
          <cell r="C652" t="str">
            <v>PDA test on land</v>
          </cell>
        </row>
        <row r="653">
          <cell r="B653" t="str">
            <v>Thử tĩnh cọc khoan nhồi</v>
          </cell>
          <cell r="C653" t="str">
            <v>Static loading test</v>
          </cell>
        </row>
        <row r="654">
          <cell r="B654" t="str">
            <v>Thước thép 42m</v>
          </cell>
          <cell r="C654" t="str">
            <v>steel ruler 42m</v>
          </cell>
        </row>
        <row r="655">
          <cell r="B655" t="str">
            <v>Thước thép 5m</v>
          </cell>
          <cell r="C655" t="str">
            <v>steel ruler 5m</v>
          </cell>
        </row>
        <row r="656">
          <cell r="B656" t="str">
            <v>Tiêu quan trắc chuyển vị ngang</v>
          </cell>
          <cell r="C656" t="str">
            <v>Lateral displacement observing stake</v>
          </cell>
        </row>
        <row r="657">
          <cell r="B657" t="str">
            <v>Tiêu quan trắc lún ( chuyển vị đứng)</v>
          </cell>
          <cell r="C657" t="str">
            <v>settlement observing stake</v>
          </cell>
        </row>
        <row r="658">
          <cell r="B658" t="str">
            <v>Tổ hợp LD ván khuôn, hệ treo đỡ ván khuôn dầm cầu đúc hẫng dưới nước</v>
          </cell>
          <cell r="C658" t="str">
            <v>Installing formwork, formwork supporting system of cantilever girder in water</v>
          </cell>
        </row>
        <row r="659">
          <cell r="B659" t="str">
            <v>Tổ hợp LD ván khuôn, hệ treo đỡ ván khuôn dầm cầu đúc hẫng trên cạn</v>
          </cell>
          <cell r="C659" t="str">
            <v>Installing formwork, formwork supporting system of cantilever girder on land</v>
          </cell>
        </row>
        <row r="660">
          <cell r="B660" t="str">
            <v>Tời điện 3T</v>
          </cell>
        </row>
        <row r="661">
          <cell r="B661" t="str">
            <v>Tời điện 5T</v>
          </cell>
        </row>
        <row r="662">
          <cell r="B662" t="str">
            <v>Tôn dày 2mm</v>
          </cell>
          <cell r="C662" t="str">
            <v>Tole thicknees 2mm</v>
          </cell>
        </row>
        <row r="663">
          <cell r="B663" t="str">
            <v>Tôn lượn sóng</v>
          </cell>
          <cell r="C663" t="str">
            <v>Corrugated sheet iron</v>
          </cell>
        </row>
        <row r="664">
          <cell r="B664" t="str">
            <v>Trải bê tông nhựa hạt mịn dày 5cm</v>
          </cell>
          <cell r="C664" t="str">
            <v>Paving fine asphanlt concrete, thicknees 5cm</v>
          </cell>
        </row>
        <row r="665">
          <cell r="B665" t="str">
            <v>Trải bê tông nhựa hạt trung dày 7cm</v>
          </cell>
          <cell r="C665" t="str">
            <v>Paving coarse asphanlt concrete, thicknees 7cm</v>
          </cell>
        </row>
        <row r="666">
          <cell r="B666" t="str">
            <v>Trải bê tông nhựa hạt trung tăng cường (HS=1/0,07)</v>
          </cell>
          <cell r="C666" t="str">
            <v>Paving strengthen coarse asphanlt concrete (co=1/0.07)</v>
          </cell>
        </row>
        <row r="667">
          <cell r="B667" t="str">
            <v>Trải vải địa kỹ thuật cường độ cao R=200KN/m</v>
          </cell>
          <cell r="C667" t="str">
            <v xml:space="preserve"> Paving geotextile 200KN/m</v>
          </cell>
        </row>
        <row r="668">
          <cell r="B668" t="str">
            <v>Trải vải địa kỹ thuật R=12KN/m</v>
          </cell>
          <cell r="C668" t="str">
            <v xml:space="preserve"> Paving geotextile 12KN/m</v>
          </cell>
        </row>
        <row r="669">
          <cell r="B669" t="str">
            <v>Trạm trộn bêtông 30m3/h</v>
          </cell>
        </row>
        <row r="670">
          <cell r="B670" t="str">
            <v>Trạm trộn BTN 50-60T/h</v>
          </cell>
        </row>
        <row r="671">
          <cell r="B671" t="str">
            <v xml:space="preserve">Trồng cỏ </v>
          </cell>
          <cell r="C671" t="str">
            <v>Glass</v>
          </cell>
        </row>
        <row r="672">
          <cell r="B672" t="str">
            <v>Trụ đỡ biển báo D168</v>
          </cell>
          <cell r="C672" t="str">
            <v>Signal column D168</v>
          </cell>
        </row>
        <row r="673">
          <cell r="B673" t="str">
            <v>Trụ đỡ biển báo D90</v>
          </cell>
          <cell r="C673" t="str">
            <v>Signal column D90</v>
          </cell>
        </row>
        <row r="674">
          <cell r="B674" t="str">
            <v>Trụ đỡ tôn lượn sóng</v>
          </cell>
          <cell r="C674" t="str">
            <v>Column of corrugated sheet iron</v>
          </cell>
        </row>
        <row r="675">
          <cell r="B675" t="str">
            <v>Trụ đỡ tôn lượn sóng L=1.3m</v>
          </cell>
          <cell r="C675" t="str">
            <v>Column of corrugated sheet iron, L=1.3m</v>
          </cell>
        </row>
        <row r="676">
          <cell r="B676" t="str">
            <v>Tủ sấy</v>
          </cell>
        </row>
        <row r="677">
          <cell r="B677" t="str">
            <v>Tưới nhựa 0.5kg/m2</v>
          </cell>
          <cell r="C677" t="str">
            <v>Bituminous tack coat 0.5kg/m2</v>
          </cell>
        </row>
        <row r="678">
          <cell r="B678" t="str">
            <v>Tưới nhựa 1.0kg/m2</v>
          </cell>
          <cell r="C678" t="str">
            <v>Bituminous prime coat 1.0kg/m2</v>
          </cell>
        </row>
        <row r="679">
          <cell r="B679" t="str">
            <v>Vải địa kỹ thuật cường độ cao R=200KN/m</v>
          </cell>
          <cell r="C679" t="str">
            <v>geotextile 200KN/m</v>
          </cell>
        </row>
        <row r="680">
          <cell r="B680" t="str">
            <v>Vải địa kỹ thuật R=12KN/m</v>
          </cell>
          <cell r="C680" t="str">
            <v>geotextile 12KN/m</v>
          </cell>
        </row>
        <row r="681">
          <cell r="B681" t="str">
            <v>Vận chuyển bằng ôtô tự đổ, 7T, C1, L=15Km</v>
          </cell>
          <cell r="C681" t="str">
            <v>Transport by dump truck, 7T, C1, L=15Km</v>
          </cell>
        </row>
        <row r="682">
          <cell r="B682" t="str">
            <v>Vận chuyển bằng ôtô tự đổ, 7T, C1, L=4Km</v>
          </cell>
          <cell r="C682" t="str">
            <v>Transport by dump truck, 7T, C1, L=4Km</v>
          </cell>
        </row>
        <row r="683">
          <cell r="B683" t="str">
            <v>Vận chuyển bằng ôtô tự đổ, 7T, C3, L=4Km</v>
          </cell>
          <cell r="C683" t="str">
            <v>Transport by dump truck, 7T, C3, L=4Km</v>
          </cell>
        </row>
        <row r="684">
          <cell r="B684" t="str">
            <v>Vận chuyển bằng ôtô tự đổ, 7T, C4, L=4Km</v>
          </cell>
          <cell r="C684" t="str">
            <v>Transport by dump truck, 7T, C4, L=4Km</v>
          </cell>
        </row>
        <row r="685">
          <cell r="B685" t="str">
            <v>Vận chuyển bê tông 0.5km</v>
          </cell>
          <cell r="C685" t="str">
            <v>Transport concrete 0.5km</v>
          </cell>
        </row>
        <row r="686">
          <cell r="B686" t="str">
            <v>Vận chuyển bê tông 1km</v>
          </cell>
          <cell r="C686" t="str">
            <v>Transport concrete 1km</v>
          </cell>
        </row>
        <row r="687">
          <cell r="B687" t="str">
            <v>Vận chuyển bê tông &lt;=3km</v>
          </cell>
          <cell r="C687" t="str">
            <v>Transport concrete &lt;=3km</v>
          </cell>
        </row>
        <row r="688">
          <cell r="B688" t="str">
            <v>Vận chuyển bê tông nhựa 2km</v>
          </cell>
          <cell r="C688" t="str">
            <v>Transport asphalt concrete 2km</v>
          </cell>
        </row>
        <row r="689">
          <cell r="B689" t="str">
            <v>Vận chuyển bê tông nhựa 41km tiếp theo</v>
          </cell>
          <cell r="C689" t="str">
            <v>Transport asphalt concrete 41km next</v>
          </cell>
        </row>
        <row r="690">
          <cell r="B690" t="str">
            <v>Vận chuyển bê tông nhựa 45km</v>
          </cell>
          <cell r="C690" t="str">
            <v>Transport asphalt concrete 45km</v>
          </cell>
        </row>
        <row r="691">
          <cell r="B691" t="str">
            <v>Vận chuyển bê tông nhựa 4km</v>
          </cell>
          <cell r="C691" t="str">
            <v>Transport asphalt concrete 4km</v>
          </cell>
        </row>
        <row r="692">
          <cell r="B692" t="str">
            <v>Vận chuyển xà bần 2km</v>
          </cell>
          <cell r="C692" t="str">
            <v>Transport debris 2km</v>
          </cell>
        </row>
        <row r="693">
          <cell r="B693" t="str">
            <v>Ván khuôn</v>
          </cell>
          <cell r="C693" t="str">
            <v>Formwork</v>
          </cell>
        </row>
        <row r="694">
          <cell r="B694" t="str">
            <v>Ván khuôn (tường, cột, dầm, giằng…)</v>
          </cell>
          <cell r="C694" t="str">
            <v>Formwork (wall,pole, girder…)</v>
          </cell>
        </row>
        <row r="695">
          <cell r="B695" t="str">
            <v>Ván khuôn dầm</v>
          </cell>
          <cell r="C695" t="str">
            <v>Formwork of girder</v>
          </cell>
        </row>
        <row r="696">
          <cell r="B696" t="str">
            <v>Ván khuôn dầm cầu đúc trên đà giáo</v>
          </cell>
          <cell r="C696" t="str">
            <v>Formwork of girder casted on scaffolding</v>
          </cell>
        </row>
        <row r="697">
          <cell r="B697" t="str">
            <v>Ván khuôn kết cấu đúc sẵn</v>
          </cell>
          <cell r="C697" t="str">
            <v>Formwork of precast structure</v>
          </cell>
        </row>
        <row r="698">
          <cell r="B698" t="str">
            <v>Ván khuôn khối đúc trên đà giáo dưới nước (K0,K1)</v>
          </cell>
          <cell r="C698" t="str">
            <v>Formwork of girder casted on scaffolding in water (K0, K1)</v>
          </cell>
        </row>
        <row r="699">
          <cell r="B699" t="str">
            <v>Ván khuôn kim loại mố/trụ cầu trên cạn</v>
          </cell>
          <cell r="C699" t="str">
            <v>Formwork for abutment/ pier (land)</v>
          </cell>
        </row>
        <row r="700">
          <cell r="B700" t="str">
            <v>Ván khuôn mối nối cống (ván khuôn tường)</v>
          </cell>
        </row>
        <row r="701">
          <cell r="B701" t="str">
            <v>Ván khuôn sàn</v>
          </cell>
          <cell r="C701" t="str">
            <v>Formwork of slab</v>
          </cell>
        </row>
        <row r="702">
          <cell r="B702" t="str">
            <v>Vận thăng 0.8T</v>
          </cell>
        </row>
        <row r="703">
          <cell r="B703" t="str">
            <v>Vành đai khung chống (KHVL chính =(2%/tháng*2 tháng*2 lần +7%)</v>
          </cell>
          <cell r="C703" t="str">
            <v>Brace (amor main material=2%/month*2 months*2times+7%)</v>
          </cell>
        </row>
        <row r="704">
          <cell r="B704" t="str">
            <v>Vành đai khung chống trụ P3,P4 (KHVL chính =(2%/tháng*8 tháng +7%)</v>
          </cell>
          <cell r="C704" t="str">
            <v>Brace for pier P3, P4 (amor main material=2%/month*8 months+7%)</v>
          </cell>
        </row>
        <row r="705">
          <cell r="B705" t="str">
            <v>Vành đai khung chống  trụ P2, P5 (KHVL chính =(2%/tháng*1 tháng +7%)</v>
          </cell>
          <cell r="C705" t="str">
            <v>Brace for pier P2, P5 (amor main material=2%/month*1 months+7%)</v>
          </cell>
        </row>
        <row r="706">
          <cell r="B706" t="str">
            <v>Vành đai khung chống  trụ P1, P6 (KHVL chính =(2%/tháng*1 tháng +7%) (chỉ tính vật liệu)</v>
          </cell>
          <cell r="C706" t="str">
            <v>Brace for pier P1, P6 (amor main material=2%/month*1 months+7%)</v>
          </cell>
        </row>
        <row r="707">
          <cell r="B707" t="str">
            <v>Vật liệu khác</v>
          </cell>
          <cell r="C707" t="str">
            <v>Other material</v>
          </cell>
        </row>
        <row r="708">
          <cell r="B708" t="str">
            <v xml:space="preserve">Vật liệu phụ </v>
          </cell>
          <cell r="C708" t="str">
            <v>Secondary material</v>
          </cell>
        </row>
        <row r="709">
          <cell r="B709" t="str">
            <v>Vét bùn</v>
          </cell>
        </row>
        <row r="710">
          <cell r="B710" t="str">
            <v>Vít nở thép M12</v>
          </cell>
          <cell r="C710" t="str">
            <v>Steel tacke M12</v>
          </cell>
        </row>
        <row r="711">
          <cell r="B711" t="str">
            <v>Vữa Bê tông C10 đá 1x2 SN 2-4</v>
          </cell>
          <cell r="C711" t="str">
            <v>Concrete motar C10 stone 1x2 slump 2-4</v>
          </cell>
        </row>
        <row r="712">
          <cell r="B712" t="str">
            <v>Vữa Bê tông C10 đá 1x2 SN 6-8</v>
          </cell>
          <cell r="C712" t="str">
            <v>Concrete motar C10 stone 1x2 slump 6-8</v>
          </cell>
        </row>
        <row r="713">
          <cell r="B713" t="str">
            <v>Vữa Bê tông C20 đá 4x6 (độ sụt 14-17cm)</v>
          </cell>
          <cell r="C713" t="str">
            <v>Concrete motar C20 stone 4x6 slump 14-17</v>
          </cell>
        </row>
        <row r="714">
          <cell r="B714" t="str">
            <v>Vữa Bê tông C20 đá 4x6 SN 6-8</v>
          </cell>
          <cell r="C714" t="str">
            <v>Concrete motar C20 stone 4x6 slump 6-8</v>
          </cell>
        </row>
        <row r="715">
          <cell r="B715" t="str">
            <v>Vữa bê tông đá 1x2 C15 SN 2-4</v>
          </cell>
          <cell r="C715" t="str">
            <v>Concrete motar C15 stone 1x2 slump 2-4</v>
          </cell>
        </row>
        <row r="716">
          <cell r="B716" t="str">
            <v>Vữa bê tông đá 1x2 C15 SN 6-8</v>
          </cell>
          <cell r="C716" t="str">
            <v>Concrete motar C15 stone 1x2 slump 6-8</v>
          </cell>
        </row>
        <row r="717">
          <cell r="B717" t="str">
            <v>Vữa bê tông đá 1x2 C20 SN 2-4</v>
          </cell>
          <cell r="C717" t="str">
            <v>Concrete motar C20 stone 1x2 slump 2-4</v>
          </cell>
        </row>
        <row r="718">
          <cell r="B718" t="str">
            <v>Vữa bê tông đá 1x2 C25 (độ sụt 14-17cm)</v>
          </cell>
          <cell r="C718" t="str">
            <v>Concrete motar C25 stone 1x2 slump 14-17</v>
          </cell>
        </row>
        <row r="719">
          <cell r="B719" t="str">
            <v>Vữa bê tông đá 1x2 C25 SN 2-4</v>
          </cell>
          <cell r="C719" t="str">
            <v>Concrete motar C25 stone 1x2 slump 2-4</v>
          </cell>
        </row>
        <row r="720">
          <cell r="B720" t="str">
            <v>Vữa bê tông đá 1x2 C30 SN 14-17</v>
          </cell>
          <cell r="C720" t="str">
            <v>Concrete motar C30 stone 1x2 slump 14-17</v>
          </cell>
        </row>
        <row r="721">
          <cell r="B721" t="str">
            <v>Vữa bê tông đá 1x2 C35 SN 6-8</v>
          </cell>
          <cell r="C721" t="str">
            <v>Concrete motar C35 stone 1x2 slump 6-8</v>
          </cell>
        </row>
        <row r="722">
          <cell r="B722" t="str">
            <v>Vữa bê tông đá 1x2 C30 SN 2-4</v>
          </cell>
          <cell r="C722" t="str">
            <v>Concrete motar C30 stone 1x2 slump 2-4</v>
          </cell>
        </row>
        <row r="723">
          <cell r="B723" t="str">
            <v>Vữa bê tông đá 1x2 C30 SN 6-8</v>
          </cell>
          <cell r="C723" t="str">
            <v>Concrete motar C30 stone 1x2 slump 6-8</v>
          </cell>
        </row>
        <row r="724">
          <cell r="B724" t="str">
            <v>Vữa bê tông đá 1x2 C35 (độ sụt 14-17cm)</v>
          </cell>
          <cell r="C724" t="str">
            <v>Concrete motar C35 stone 1x2 slump 14-17</v>
          </cell>
        </row>
        <row r="725">
          <cell r="B725" t="str">
            <v>Vữa bê tông đá 1x2 C40 (M450, độ sụt 12-16cm)</v>
          </cell>
          <cell r="C725" t="str">
            <v>Concrete motar C40 stone 1x2 slump 12-16</v>
          </cell>
        </row>
        <row r="726">
          <cell r="B726" t="str">
            <v>Vữa bê tông đá 1x2 C42 (độ sụt 8-12cm)</v>
          </cell>
          <cell r="C726" t="str">
            <v>Concrete motar C42 stone 1x2 slump 8-12</v>
          </cell>
        </row>
        <row r="727">
          <cell r="B727" t="str">
            <v>Vữa bê tông đá 1x2 C50 (độ sụt 16-18cm)</v>
          </cell>
          <cell r="C727" t="str">
            <v>Concrete motar C50 stone 1x2 slump 16-18</v>
          </cell>
        </row>
        <row r="728">
          <cell r="B728" t="str">
            <v>Vữa bê tông đá 4x6 C10 SN 2-4</v>
          </cell>
          <cell r="C728" t="str">
            <v>Concrete motar C10 stone 4x6 slump 2-4</v>
          </cell>
        </row>
        <row r="729">
          <cell r="B729" t="str">
            <v>Vữa bê tông đá 4x6 C20 SN 6-8</v>
          </cell>
          <cell r="C729" t="str">
            <v>Concrete motar C20 stone 4x6 slump 6-8</v>
          </cell>
        </row>
        <row r="730">
          <cell r="B730" t="str">
            <v>Vữa bê tông đá 1x2 C25 SN 6-8</v>
          </cell>
          <cell r="C730" t="str">
            <v>Concrete motar C25 stone 1x2 slump 6-8</v>
          </cell>
        </row>
        <row r="731">
          <cell r="B731" t="str">
            <v>Vữa bê tông đá 1x2 C20 (độ sụt 14-17cm)</v>
          </cell>
          <cell r="C731" t="str">
            <v>Concrete motar C20 stone 1x2 slump 14-17</v>
          </cell>
        </row>
        <row r="732">
          <cell r="B732" t="str">
            <v>Vữa bê tông đá 1x2, C10 SN 2-4</v>
          </cell>
          <cell r="C732" t="str">
            <v>Concrete motar C20 stone 1x2 slump 2-4</v>
          </cell>
        </row>
        <row r="733">
          <cell r="B733" t="str">
            <v>Vữa C10</v>
          </cell>
          <cell r="C733" t="str">
            <v>Motar C10</v>
          </cell>
        </row>
        <row r="734">
          <cell r="B734" t="str">
            <v>Vữa không co ngót</v>
          </cell>
          <cell r="C734" t="str">
            <v>Non-shringkage mortar</v>
          </cell>
        </row>
        <row r="735">
          <cell r="B735" t="str">
            <v>Vữa không co ngót (kg)</v>
          </cell>
          <cell r="C735" t="str">
            <v>Non-shringkage mortar (kg)</v>
          </cell>
        </row>
        <row r="736">
          <cell r="B736" t="str">
            <v>Vữa không co ngót lấp lòng ống siêu âm</v>
          </cell>
          <cell r="C736" t="str">
            <v>Non - shringkage motar covering ultrasonic pipe</v>
          </cell>
        </row>
        <row r="737">
          <cell r="B737" t="str">
            <v>Vữa không co ngót lấp lòng ống thép</v>
          </cell>
          <cell r="C737" t="str">
            <v>Non - shringkage motar covering steel pipe</v>
          </cell>
        </row>
        <row r="738">
          <cell r="B738" t="str">
            <v>Vữa xi măng C10</v>
          </cell>
          <cell r="C738" t="str">
            <v>Cement motar C10</v>
          </cell>
        </row>
        <row r="739">
          <cell r="B739" t="str">
            <v>Xăng</v>
          </cell>
          <cell r="C739" t="str">
            <v xml:space="preserve">Petrol -oil </v>
          </cell>
        </row>
        <row r="740">
          <cell r="B740" t="str">
            <v>Xây gạch đỡ rãnh thoát nước</v>
          </cell>
          <cell r="C740" t="str">
            <v>Building brick</v>
          </cell>
        </row>
        <row r="741">
          <cell r="B741" t="str">
            <v>Xây mái dốc thẳng bằng đá hộc C10</v>
          </cell>
          <cell r="C741" t="str">
            <v>masonry, C10</v>
          </cell>
        </row>
        <row r="742">
          <cell r="B742" t="str">
            <v>Xây mặt bằng đá hộc C10</v>
          </cell>
          <cell r="C742" t="str">
            <v>masonry with mortar, C10 (plane)</v>
          </cell>
        </row>
        <row r="743">
          <cell r="B743" t="str">
            <v>Xi măng PC30</v>
          </cell>
          <cell r="C743" t="str">
            <v>cement PC30</v>
          </cell>
        </row>
        <row r="744">
          <cell r="B744" t="str">
            <v>Xi măng PC40</v>
          </cell>
          <cell r="C744" t="str">
            <v>cement PC40</v>
          </cell>
        </row>
        <row r="745">
          <cell r="B745" t="str">
            <v>Xúc vận chuyển đất đổ đi</v>
          </cell>
          <cell r="C745" t="str">
            <v>Transporting soil</v>
          </cell>
        </row>
      </sheetData>
      <sheetData sheetId="15" refreshError="1"/>
      <sheetData sheetId="16" refreshError="1"/>
      <sheetData sheetId="17" refreshError="1"/>
      <sheetData sheetId="18" refreshError="1">
        <row r="6">
          <cell r="K6" t="str">
            <v>Vĩnh Hưng ngày 20/5/2013</v>
          </cell>
        </row>
        <row r="21">
          <cell r="K21" t="str">
            <v>EID ngày 23/5/2013</v>
          </cell>
        </row>
        <row r="22">
          <cell r="K22" t="str">
            <v>EID ngày 23/5/2013</v>
          </cell>
        </row>
        <row r="24">
          <cell r="K24" t="str">
            <v>Vĩnh Hưng ngày 20/5/2013</v>
          </cell>
        </row>
        <row r="25">
          <cell r="K25" t="str">
            <v>Vĩnh Hưng ngày 20/5/2013</v>
          </cell>
        </row>
        <row r="26">
          <cell r="K26" t="str">
            <v>Vĩnh Hưng ngày 20/5/2013</v>
          </cell>
        </row>
        <row r="27">
          <cell r="K27" t="str">
            <v>Vĩnh Hưng ngày 20/5/2013</v>
          </cell>
        </row>
        <row r="28">
          <cell r="K28" t="str">
            <v>Vĩnh Hưng ngày 20/5/2013</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M nhap tay"/>
      <sheetName val="XL (5)"/>
      <sheetName val="DT (5)"/>
      <sheetName val="PTCT (5)"/>
      <sheetName val="GIA743"/>
      <sheetName val="VLNCM0"/>
      <sheetName val="CUOC"/>
      <sheetName val="FT"/>
      <sheetName val="TM"/>
      <sheetName val="data"/>
      <sheetName val="start"/>
      <sheetName val="Vatlieu"/>
      <sheetName val="VLNCM (5)"/>
      <sheetName val="PTVT (5)"/>
      <sheetName val="Cuoc36"/>
      <sheetName val="XXXXXXXX"/>
      <sheetName val="XXXXXXX0"/>
      <sheetName val="00000000"/>
      <sheetName val="10000000"/>
      <sheetName val="XXXXXXX1"/>
    </sheetNames>
    <sheetDataSet>
      <sheetData sheetId="0"/>
      <sheetData sheetId="1"/>
      <sheetData sheetId="2"/>
      <sheetData sheetId="3"/>
      <sheetData sheetId="4"/>
      <sheetData sheetId="5"/>
      <sheetData sheetId="6"/>
      <sheetData sheetId="7">
        <row r="36">
          <cell r="F36" t="str">
            <v>m3</v>
          </cell>
        </row>
      </sheetData>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DICH"/>
      <sheetName val="Chi so gia"/>
      <sheetName val="1.TM (VN)"/>
      <sheetName val="1.TM (CPC)"/>
      <sheetName val="THKP"/>
      <sheetName val="index"/>
      <sheetName val="thong ke"/>
      <sheetName val="1a"/>
      <sheetName val="2.XL"/>
      <sheetName val="3.DT2"/>
      <sheetName val="KL"/>
      <sheetName val="4.DT(CPC)"/>
      <sheetName val="4.DT (VN)"/>
      <sheetName val="5.vietnam"/>
      <sheetName val="6.camp"/>
      <sheetName val="7.so sanh"/>
      <sheetName val="8.Dgia"/>
      <sheetName val="9.may"/>
      <sheetName val="10.PLV"/>
      <sheetName val="11.gia "/>
      <sheetName val="12.ssg"/>
      <sheetName val="ssgda"/>
      <sheetName val="13.vanchuyen"/>
      <sheetName val="14.boc xep"/>
      <sheetName val="15.cu ly vc"/>
      <sheetName val="SS.CONG"/>
      <sheetName val="DOITR"/>
      <sheetName val="16.NC"/>
      <sheetName val="Cong bo gia"/>
      <sheetName val="DamBaoGTB"/>
      <sheetName val="nhan cong"/>
      <sheetName val="begin"/>
      <sheetName val="CVT"/>
      <sheetName val="N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8">
          <cell r="F8" t="str">
            <v>Diesel (lít)</v>
          </cell>
          <cell r="G8" t="str">
            <v>Điện Electric (kWh)</v>
          </cell>
          <cell r="H8" t="str">
            <v>Xăng Petro(lít)</v>
          </cell>
          <cell r="I8" t="str">
            <v>Mazut (lít)</v>
          </cell>
        </row>
        <row r="9">
          <cell r="D9" t="str">
            <v>Hệ số chi phí nhiên liệu phụ (ip)</v>
          </cell>
          <cell r="E9" t="str">
            <v>Coeffiicent of auxiliary fuel (ip)</v>
          </cell>
          <cell r="F9">
            <v>1.05</v>
          </cell>
          <cell r="G9">
            <v>1.07</v>
          </cell>
          <cell r="H9">
            <v>1.03</v>
          </cell>
          <cell r="I9">
            <v>1</v>
          </cell>
        </row>
        <row r="10">
          <cell r="D10" t="str">
            <v>Giá nhiên liệu theo QĐ</v>
          </cell>
          <cell r="E10" t="str">
            <v>Cost of fuel based on Decision 53/2006</v>
          </cell>
          <cell r="F10">
            <v>6818</v>
          </cell>
          <cell r="G10">
            <v>895</v>
          </cell>
          <cell r="H10">
            <v>8455</v>
          </cell>
          <cell r="I10">
            <v>5744</v>
          </cell>
        </row>
        <row r="11">
          <cell r="D11" t="str">
            <v>Giá nhiên liệu hiện tại</v>
          </cell>
          <cell r="E11" t="str">
            <v>Cost of fuel at present</v>
          </cell>
          <cell r="F11">
            <v>20681.81818181818</v>
          </cell>
          <cell r="G11">
            <v>1508.85</v>
          </cell>
          <cell r="H11">
            <v>22500</v>
          </cell>
          <cell r="I11">
            <v>15169.636363636364</v>
          </cell>
        </row>
        <row r="12">
          <cell r="D12" t="str">
            <v>Chênh lệch (cl)</v>
          </cell>
          <cell r="E12" t="str">
            <v>Different (cl)</v>
          </cell>
          <cell r="F12">
            <v>13863.81818181818</v>
          </cell>
          <cell r="G12">
            <v>613.84999999999991</v>
          </cell>
          <cell r="H12">
            <v>14045</v>
          </cell>
          <cell r="I12">
            <v>9425.636363636364</v>
          </cell>
        </row>
        <row r="13">
          <cell r="D13" t="str">
            <v>Hệ số điều chỉnh nhân công (nc)</v>
          </cell>
          <cell r="E13" t="str">
            <v>Coeffiicent of labour (nc)</v>
          </cell>
          <cell r="F13">
            <v>3.6666666666666665</v>
          </cell>
          <cell r="G13" t="str">
            <v>điều chỉnh mức lương tối thiểu từ 450,000đ/tháng lên 1,650,000đ/tháng</v>
          </cell>
          <cell r="S13" t="str">
            <v>Hệ số đchỉnh giá ca máy theo VB 3833/UBND-ĐTXD   (HS)</v>
          </cell>
        </row>
        <row r="14">
          <cell r="O14" t="str">
            <v>Đơn vị tính: Đồng</v>
          </cell>
        </row>
        <row r="15">
          <cell r="O15" t="str">
            <v>Đơn vị tính: Đồng  / Unit cost: VND</v>
          </cell>
          <cell r="T15" t="str">
            <v>An Giang</v>
          </cell>
        </row>
        <row r="16">
          <cell r="D16" t="str">
            <v>Loại máy và thiết bị</v>
          </cell>
          <cell r="E16" t="str">
            <v>Name of machine</v>
          </cell>
          <cell r="F16" t="str">
            <v>Định mức tiêu hao nhiênliệu, năng lượng 1 ca (CNL)Norm of fuel/energy for 01 shift</v>
          </cell>
          <cell r="J16" t="str">
            <v>Chi phí</v>
          </cell>
          <cell r="K16" t="str">
            <v>Giá ca máy/Machine price</v>
          </cell>
          <cell r="M16" t="str">
            <v>Chênh lệch nhiên liệuDifference of fuel</v>
          </cell>
          <cell r="N16" t="str">
            <v>Chênh lệch tiền lươngDifference of labour</v>
          </cell>
          <cell r="O16" t="str">
            <v>Giá ca máy hiện tạiCost of current machine</v>
          </cell>
          <cell r="P16" t="str">
            <v>Khối lượng</v>
          </cell>
          <cell r="Q16" t="str">
            <v>Thành tiềnbù nhiên liệu</v>
          </cell>
          <cell r="R16" t="str">
            <v>Chênh lệch nhân công C2 (HS=730/350)</v>
          </cell>
          <cell r="S16" t="str">
            <v>Giá ca máy hiện tại C2</v>
          </cell>
          <cell r="T16" t="str">
            <v>Chi phí</v>
          </cell>
          <cell r="V16" t="str">
            <v>Giá ca máy</v>
          </cell>
        </row>
        <row r="17">
          <cell r="F17" t="str">
            <v>Diesel (lít)</v>
          </cell>
          <cell r="G17" t="str">
            <v>Điện Electric(kWh)</v>
          </cell>
          <cell r="H17" t="str">
            <v>Xăng (lít)Petro</v>
          </cell>
          <cell r="I17" t="str">
            <v>Mazut (lít)</v>
          </cell>
          <cell r="J17" t="str">
            <v>CPnhiên liệu(CNL)</v>
          </cell>
          <cell r="K17" t="str">
            <v>CPtiền lươngCost of lab(CTL)</v>
          </cell>
          <cell r="L17" t="str">
            <v>Giá ca máyBasic cost of machine(CCM)</v>
          </cell>
          <cell r="Q17" t="str">
            <v>bù nhiên liệu</v>
          </cell>
          <cell r="T17" t="str">
            <v>CPnhiên liệu(CNL)</v>
          </cell>
          <cell r="U17" t="str">
            <v>CPtiền lương(CTL)</v>
          </cell>
          <cell r="V17" t="str">
            <v>(CCM)</v>
          </cell>
        </row>
        <row r="18">
          <cell r="D18">
            <v>2</v>
          </cell>
          <cell r="E18">
            <v>4</v>
          </cell>
          <cell r="F18">
            <v>3</v>
          </cell>
          <cell r="G18">
            <v>4</v>
          </cell>
          <cell r="H18">
            <v>5</v>
          </cell>
          <cell r="I18">
            <v>6</v>
          </cell>
          <cell r="J18">
            <v>7</v>
          </cell>
          <cell r="K18">
            <v>7</v>
          </cell>
          <cell r="L18">
            <v>8</v>
          </cell>
          <cell r="M18" t="str">
            <v>(9)=(2)*ip*cl</v>
          </cell>
          <cell r="N18" t="str">
            <v>(10)=(7)*(nc-1)</v>
          </cell>
          <cell r="O18" t="str">
            <v>(11)=(8)+(9)+(10)</v>
          </cell>
          <cell r="P18">
            <v>13</v>
          </cell>
          <cell r="T18">
            <v>7</v>
          </cell>
          <cell r="U18">
            <v>8</v>
          </cell>
          <cell r="V18">
            <v>9</v>
          </cell>
        </row>
        <row r="20">
          <cell r="F20">
            <v>32.4</v>
          </cell>
          <cell r="J20">
            <v>1</v>
          </cell>
          <cell r="K20">
            <v>48658</v>
          </cell>
          <cell r="L20">
            <v>419927</v>
          </cell>
          <cell r="M20">
            <v>471647.09454545449</v>
          </cell>
          <cell r="N20">
            <v>129754.66666666666</v>
          </cell>
          <cell r="O20">
            <v>1021328.7612121211</v>
          </cell>
          <cell r="P20">
            <v>0</v>
          </cell>
          <cell r="Q20">
            <v>0</v>
          </cell>
          <cell r="R20">
            <v>129754.66666666666</v>
          </cell>
          <cell r="S20">
            <v>1021328.7612121211</v>
          </cell>
          <cell r="T20">
            <v>231948</v>
          </cell>
          <cell r="U20">
            <v>48658</v>
          </cell>
          <cell r="V20">
            <v>419927</v>
          </cell>
        </row>
        <row r="21">
          <cell r="F21">
            <v>35.1</v>
          </cell>
          <cell r="J21">
            <v>1</v>
          </cell>
          <cell r="K21">
            <v>48658</v>
          </cell>
          <cell r="L21">
            <v>477568</v>
          </cell>
          <cell r="M21">
            <v>510951.01909090905</v>
          </cell>
          <cell r="N21">
            <v>129754.66666666666</v>
          </cell>
          <cell r="O21">
            <v>1118273.6857575758</v>
          </cell>
          <cell r="P21">
            <v>0</v>
          </cell>
          <cell r="Q21">
            <v>0</v>
          </cell>
          <cell r="R21">
            <v>129754.66666666666</v>
          </cell>
          <cell r="S21">
            <v>1118273.6857575756</v>
          </cell>
          <cell r="T21">
            <v>251277</v>
          </cell>
          <cell r="U21">
            <v>48658</v>
          </cell>
          <cell r="V21">
            <v>477568</v>
          </cell>
        </row>
        <row r="22">
          <cell r="D22" t="str">
            <v>Máy đào 0.4m3</v>
          </cell>
          <cell r="E22" t="str">
            <v>avulsion excavator 0.4m3</v>
          </cell>
          <cell r="F22">
            <v>42.66</v>
          </cell>
          <cell r="J22">
            <v>1</v>
          </cell>
          <cell r="K22">
            <v>48658</v>
          </cell>
          <cell r="L22">
            <v>550969</v>
          </cell>
          <cell r="M22">
            <v>621002.00781818177</v>
          </cell>
          <cell r="N22">
            <v>129754.66666666666</v>
          </cell>
          <cell r="O22">
            <v>1301725.6744848485</v>
          </cell>
          <cell r="P22">
            <v>0</v>
          </cell>
          <cell r="Q22">
            <v>0</v>
          </cell>
          <cell r="R22">
            <v>129754.66666666666</v>
          </cell>
          <cell r="S22">
            <v>1301725.6744848485</v>
          </cell>
          <cell r="T22">
            <v>305399</v>
          </cell>
          <cell r="U22">
            <v>48658</v>
          </cell>
          <cell r="V22">
            <v>550969</v>
          </cell>
        </row>
        <row r="23">
          <cell r="D23" t="str">
            <v>Máy đào 0.5m3</v>
          </cell>
          <cell r="E23" t="str">
            <v>avulsion excavator 0.5m3</v>
          </cell>
          <cell r="F23">
            <v>51.3</v>
          </cell>
          <cell r="J23">
            <v>1</v>
          </cell>
          <cell r="K23">
            <v>48658</v>
          </cell>
          <cell r="L23">
            <v>788852</v>
          </cell>
          <cell r="M23">
            <v>746774.56636363617</v>
          </cell>
          <cell r="N23">
            <v>129754.66666666666</v>
          </cell>
          <cell r="O23">
            <v>1665381.2330303029</v>
          </cell>
          <cell r="P23">
            <v>0</v>
          </cell>
          <cell r="Q23">
            <v>0</v>
          </cell>
          <cell r="R23">
            <v>129754.66666666666</v>
          </cell>
          <cell r="S23">
            <v>1665381.2330303029</v>
          </cell>
          <cell r="T23">
            <v>367252</v>
          </cell>
          <cell r="U23">
            <v>48658</v>
          </cell>
          <cell r="V23">
            <v>788852</v>
          </cell>
        </row>
        <row r="24">
          <cell r="D24" t="str">
            <v>Máy đào 0.65m3</v>
          </cell>
          <cell r="E24" t="str">
            <v>avulsion excavator 0.6m3</v>
          </cell>
          <cell r="F24">
            <v>59.4</v>
          </cell>
          <cell r="J24">
            <v>1</v>
          </cell>
          <cell r="K24">
            <v>98673</v>
          </cell>
          <cell r="L24">
            <v>988189</v>
          </cell>
          <cell r="M24">
            <v>864686.34</v>
          </cell>
          <cell r="N24">
            <v>263128</v>
          </cell>
          <cell r="O24">
            <v>2116003.34</v>
          </cell>
          <cell r="P24">
            <v>0</v>
          </cell>
          <cell r="Q24">
            <v>0</v>
          </cell>
          <cell r="R24">
            <v>263128</v>
          </cell>
          <cell r="S24">
            <v>2116003.34</v>
          </cell>
          <cell r="T24">
            <v>425239</v>
          </cell>
          <cell r="U24">
            <v>98673</v>
          </cell>
          <cell r="V24">
            <v>988189</v>
          </cell>
        </row>
        <row r="25">
          <cell r="D25" t="str">
            <v>Máy đào 0.8m3</v>
          </cell>
          <cell r="E25" t="str">
            <v>avulsion excavator 0.8m3</v>
          </cell>
          <cell r="F25">
            <v>64.8</v>
          </cell>
          <cell r="J25">
            <v>1</v>
          </cell>
          <cell r="K25">
            <v>98673</v>
          </cell>
          <cell r="L25">
            <v>1172540</v>
          </cell>
          <cell r="M25">
            <v>943294.18909090897</v>
          </cell>
          <cell r="N25">
            <v>263128</v>
          </cell>
          <cell r="O25">
            <v>2378962.189090909</v>
          </cell>
          <cell r="P25">
            <v>8.065579302532651</v>
          </cell>
          <cell r="Q25">
            <v>7608214.0877309563</v>
          </cell>
          <cell r="R25">
            <v>263128</v>
          </cell>
          <cell r="S25">
            <v>2378962.189090909</v>
          </cell>
          <cell r="T25">
            <v>463897</v>
          </cell>
          <cell r="U25">
            <v>98673</v>
          </cell>
          <cell r="V25">
            <v>1172540</v>
          </cell>
        </row>
        <row r="26">
          <cell r="F26">
            <v>74.52</v>
          </cell>
          <cell r="J26">
            <v>1</v>
          </cell>
          <cell r="K26">
            <v>114786</v>
          </cell>
          <cell r="L26">
            <v>1416535</v>
          </cell>
          <cell r="M26">
            <v>1084788.3174545453</v>
          </cell>
          <cell r="N26">
            <v>306096</v>
          </cell>
          <cell r="O26">
            <v>2807419.3174545453</v>
          </cell>
          <cell r="P26">
            <v>0</v>
          </cell>
          <cell r="Q26">
            <v>0</v>
          </cell>
          <cell r="R26">
            <v>306096</v>
          </cell>
          <cell r="S26">
            <v>2807419.3174545453</v>
          </cell>
          <cell r="T26">
            <v>533481</v>
          </cell>
          <cell r="U26">
            <v>114786</v>
          </cell>
          <cell r="V26">
            <v>1416535</v>
          </cell>
        </row>
        <row r="27">
          <cell r="F27">
            <v>78.3</v>
          </cell>
          <cell r="J27">
            <v>1</v>
          </cell>
          <cell r="K27">
            <v>114786</v>
          </cell>
          <cell r="L27">
            <v>1694841</v>
          </cell>
          <cell r="M27">
            <v>1139813.8118181815</v>
          </cell>
          <cell r="N27">
            <v>306096</v>
          </cell>
          <cell r="O27">
            <v>3140750.8118181815</v>
          </cell>
          <cell r="P27">
            <v>0</v>
          </cell>
          <cell r="Q27">
            <v>0</v>
          </cell>
          <cell r="R27">
            <v>306096</v>
          </cell>
          <cell r="S27">
            <v>3140750.8118181815</v>
          </cell>
          <cell r="T27">
            <v>560542</v>
          </cell>
          <cell r="U27">
            <v>114786</v>
          </cell>
          <cell r="V27">
            <v>1694841</v>
          </cell>
        </row>
        <row r="28">
          <cell r="D28" t="str">
            <v>Máy đào 1.25m3</v>
          </cell>
          <cell r="E28" t="str">
            <v>avulsion excavator 1.25m3</v>
          </cell>
          <cell r="F28">
            <v>82.62</v>
          </cell>
          <cell r="J28">
            <v>1</v>
          </cell>
          <cell r="K28">
            <v>114786</v>
          </cell>
          <cell r="L28">
            <v>1734502</v>
          </cell>
          <cell r="M28">
            <v>1202700.0910909092</v>
          </cell>
          <cell r="N28">
            <v>306096</v>
          </cell>
          <cell r="O28">
            <v>3243298.0910909092</v>
          </cell>
          <cell r="P28">
            <v>782.38042254440916</v>
          </cell>
          <cell r="Q28">
            <v>940969005.46190488</v>
          </cell>
          <cell r="R28">
            <v>306096</v>
          </cell>
          <cell r="S28">
            <v>3243298.0910909092</v>
          </cell>
          <cell r="T28">
            <v>591468</v>
          </cell>
          <cell r="U28">
            <v>114786</v>
          </cell>
          <cell r="V28">
            <v>1734502</v>
          </cell>
        </row>
        <row r="29">
          <cell r="D29" t="str">
            <v>Máy đào 1 gàu 1.6m3</v>
          </cell>
          <cell r="E29" t="str">
            <v>avulsion excavator 1.6m3</v>
          </cell>
          <cell r="F29">
            <v>113.22</v>
          </cell>
          <cell r="J29">
            <v>1</v>
          </cell>
          <cell r="K29">
            <v>114786</v>
          </cell>
          <cell r="L29">
            <v>1929626</v>
          </cell>
          <cell r="M29">
            <v>1648144.5692727272</v>
          </cell>
          <cell r="N29">
            <v>306096</v>
          </cell>
          <cell r="O29">
            <v>3883866.5692727272</v>
          </cell>
          <cell r="P29">
            <v>6.3666562000000004</v>
          </cell>
          <cell r="Q29">
            <v>10493169.84045654</v>
          </cell>
          <cell r="R29">
            <v>306096</v>
          </cell>
          <cell r="S29">
            <v>3883866.5692727272</v>
          </cell>
          <cell r="T29">
            <v>810531</v>
          </cell>
          <cell r="U29">
            <v>114786</v>
          </cell>
          <cell r="V29">
            <v>1929626</v>
          </cell>
        </row>
        <row r="30">
          <cell r="F30">
            <v>127.5</v>
          </cell>
          <cell r="J30">
            <v>1</v>
          </cell>
          <cell r="K30">
            <v>125981</v>
          </cell>
          <cell r="L30">
            <v>2309418</v>
          </cell>
          <cell r="M30">
            <v>1856018.6590909089</v>
          </cell>
          <cell r="N30">
            <v>335949.33333333331</v>
          </cell>
          <cell r="O30">
            <v>4501385.9924242422</v>
          </cell>
          <cell r="P30">
            <v>0</v>
          </cell>
          <cell r="Q30">
            <v>0</v>
          </cell>
          <cell r="R30">
            <v>335949.33333333331</v>
          </cell>
          <cell r="S30">
            <v>4501385.9924242422</v>
          </cell>
          <cell r="T30">
            <v>912760</v>
          </cell>
          <cell r="U30">
            <v>125981</v>
          </cell>
          <cell r="V30">
            <v>2309418</v>
          </cell>
        </row>
        <row r="31">
          <cell r="D31" t="str">
            <v>Máy đào 1 gàu 2.3m3</v>
          </cell>
          <cell r="E31" t="str">
            <v>avulsion excavator 2.3m3</v>
          </cell>
          <cell r="F31">
            <v>137.69999999999999</v>
          </cell>
          <cell r="J31">
            <v>1</v>
          </cell>
          <cell r="K31">
            <v>125981</v>
          </cell>
          <cell r="L31">
            <v>2629427</v>
          </cell>
          <cell r="M31">
            <v>2004500.1518181814</v>
          </cell>
          <cell r="N31">
            <v>335949.33333333331</v>
          </cell>
          <cell r="O31">
            <v>4969876.4851515144</v>
          </cell>
          <cell r="P31">
            <v>90.211145566038951</v>
          </cell>
          <cell r="Q31">
            <v>180828254.98281714</v>
          </cell>
          <cell r="R31">
            <v>335949.33333333331</v>
          </cell>
          <cell r="S31">
            <v>4969876.4851515144</v>
          </cell>
          <cell r="T31">
            <v>985781</v>
          </cell>
          <cell r="U31">
            <v>125981</v>
          </cell>
          <cell r="V31">
            <v>2629427</v>
          </cell>
        </row>
        <row r="32">
          <cell r="F32">
            <v>163.71</v>
          </cell>
          <cell r="J32">
            <v>1</v>
          </cell>
          <cell r="K32">
            <v>125981</v>
          </cell>
          <cell r="L32">
            <v>2842767</v>
          </cell>
          <cell r="M32">
            <v>2383127.9582727272</v>
          </cell>
          <cell r="N32">
            <v>335949.33333333331</v>
          </cell>
          <cell r="O32">
            <v>5561844.2916060602</v>
          </cell>
          <cell r="P32">
            <v>0</v>
          </cell>
          <cell r="Q32">
            <v>0</v>
          </cell>
          <cell r="R32">
            <v>335949.33333333331</v>
          </cell>
          <cell r="S32">
            <v>5561844.2916060612</v>
          </cell>
          <cell r="T32">
            <v>1171984</v>
          </cell>
          <cell r="U32">
            <v>125981</v>
          </cell>
          <cell r="V32">
            <v>2842767</v>
          </cell>
        </row>
        <row r="33">
          <cell r="F33">
            <v>196.35</v>
          </cell>
          <cell r="J33">
            <v>1</v>
          </cell>
          <cell r="K33">
            <v>125981</v>
          </cell>
          <cell r="L33">
            <v>3814342</v>
          </cell>
          <cell r="M33">
            <v>2858268.7349999999</v>
          </cell>
          <cell r="N33">
            <v>335949.33333333331</v>
          </cell>
          <cell r="O33">
            <v>7008560.0683333324</v>
          </cell>
          <cell r="P33">
            <v>0</v>
          </cell>
          <cell r="Q33">
            <v>0</v>
          </cell>
          <cell r="R33">
            <v>335949.33333333331</v>
          </cell>
          <cell r="S33">
            <v>7008560.0683333334</v>
          </cell>
          <cell r="T33">
            <v>1405650</v>
          </cell>
          <cell r="U33">
            <v>125981</v>
          </cell>
          <cell r="V33">
            <v>3814342</v>
          </cell>
        </row>
        <row r="34">
          <cell r="D34" t="str">
            <v>Máy đào 1 gàu 3.6m3</v>
          </cell>
          <cell r="E34" t="str">
            <v>avulsion excavator 3.6m3</v>
          </cell>
          <cell r="F34">
            <v>198.9</v>
          </cell>
          <cell r="J34">
            <v>1</v>
          </cell>
          <cell r="K34">
            <v>125981</v>
          </cell>
          <cell r="L34">
            <v>3961412</v>
          </cell>
          <cell r="M34">
            <v>2895389.1081818179</v>
          </cell>
          <cell r="N34">
            <v>335949.33333333331</v>
          </cell>
          <cell r="O34">
            <v>7192750.4415151505</v>
          </cell>
          <cell r="P34">
            <v>0</v>
          </cell>
          <cell r="Q34">
            <v>0</v>
          </cell>
          <cell r="R34">
            <v>335949.33333333331</v>
          </cell>
          <cell r="S34">
            <v>7192750.4415151514</v>
          </cell>
          <cell r="T34">
            <v>1423905</v>
          </cell>
          <cell r="U34">
            <v>125981</v>
          </cell>
          <cell r="V34">
            <v>3961412</v>
          </cell>
        </row>
        <row r="35">
          <cell r="F35">
            <v>218.28</v>
          </cell>
          <cell r="J35">
            <v>1</v>
          </cell>
          <cell r="K35">
            <v>125981</v>
          </cell>
          <cell r="L35">
            <v>4588826</v>
          </cell>
          <cell r="M35">
            <v>3177503.944363636</v>
          </cell>
          <cell r="N35">
            <v>335949.33333333331</v>
          </cell>
          <cell r="O35">
            <v>8102279.277696969</v>
          </cell>
          <cell r="P35">
            <v>0</v>
          </cell>
          <cell r="Q35">
            <v>0</v>
          </cell>
          <cell r="R35">
            <v>335949.33333333331</v>
          </cell>
          <cell r="S35">
            <v>8102279.277696969</v>
          </cell>
          <cell r="T35">
            <v>1562645</v>
          </cell>
          <cell r="U35">
            <v>125981</v>
          </cell>
          <cell r="V35">
            <v>4588826</v>
          </cell>
        </row>
        <row r="36">
          <cell r="F36">
            <v>332.01</v>
          </cell>
          <cell r="J36">
            <v>1</v>
          </cell>
          <cell r="K36">
            <v>125981</v>
          </cell>
          <cell r="L36">
            <v>6337827</v>
          </cell>
          <cell r="M36">
            <v>4833072.5882727262</v>
          </cell>
          <cell r="N36">
            <v>335949.33333333331</v>
          </cell>
          <cell r="O36">
            <v>11506848.92160606</v>
          </cell>
          <cell r="P36">
            <v>0</v>
          </cell>
          <cell r="Q36">
            <v>0</v>
          </cell>
          <cell r="R36">
            <v>335949.33333333331</v>
          </cell>
          <cell r="S36">
            <v>11506848.92160606</v>
          </cell>
          <cell r="T36">
            <v>2376826</v>
          </cell>
          <cell r="U36">
            <v>125981</v>
          </cell>
          <cell r="V36">
            <v>6337827</v>
          </cell>
        </row>
        <row r="37">
          <cell r="F37">
            <v>397.8</v>
          </cell>
          <cell r="J37">
            <v>1</v>
          </cell>
          <cell r="K37">
            <v>125981</v>
          </cell>
          <cell r="L37">
            <v>8770459</v>
          </cell>
          <cell r="M37">
            <v>5790778.2163636358</v>
          </cell>
          <cell r="N37">
            <v>335949.33333333331</v>
          </cell>
          <cell r="O37">
            <v>14897186.549696969</v>
          </cell>
          <cell r="P37">
            <v>0</v>
          </cell>
          <cell r="Q37">
            <v>0</v>
          </cell>
          <cell r="R37">
            <v>335949.33333333331</v>
          </cell>
          <cell r="S37">
            <v>14897186.549696969</v>
          </cell>
          <cell r="T37">
            <v>2847810</v>
          </cell>
          <cell r="U37">
            <v>125981</v>
          </cell>
          <cell r="V37">
            <v>8770459</v>
          </cell>
        </row>
        <row r="38">
          <cell r="F38">
            <v>408</v>
          </cell>
          <cell r="J38">
            <v>1</v>
          </cell>
          <cell r="K38">
            <v>125981</v>
          </cell>
          <cell r="L38">
            <v>9552950</v>
          </cell>
          <cell r="M38">
            <v>5939259.709090909</v>
          </cell>
          <cell r="N38">
            <v>335949.33333333331</v>
          </cell>
          <cell r="O38">
            <v>15828159.042424243</v>
          </cell>
          <cell r="P38">
            <v>0</v>
          </cell>
          <cell r="Q38">
            <v>0</v>
          </cell>
          <cell r="R38">
            <v>335949.33333333331</v>
          </cell>
          <cell r="S38">
            <v>15828159.042424243</v>
          </cell>
          <cell r="T38">
            <v>2920831</v>
          </cell>
          <cell r="U38">
            <v>125981</v>
          </cell>
          <cell r="V38">
            <v>9552950</v>
          </cell>
        </row>
        <row r="39">
          <cell r="K39">
            <v>0</v>
          </cell>
          <cell r="L39">
            <v>0</v>
          </cell>
          <cell r="N39">
            <v>0</v>
          </cell>
          <cell r="O39">
            <v>0</v>
          </cell>
          <cell r="P39">
            <v>0</v>
          </cell>
          <cell r="Q39">
            <v>0</v>
          </cell>
          <cell r="R39">
            <v>0</v>
          </cell>
          <cell r="S39">
            <v>0</v>
          </cell>
        </row>
        <row r="40">
          <cell r="G40">
            <v>672</v>
          </cell>
          <cell r="J40">
            <v>1</v>
          </cell>
          <cell r="K40">
            <v>125981</v>
          </cell>
          <cell r="L40">
            <v>2180218</v>
          </cell>
          <cell r="M40">
            <v>441382.70399999997</v>
          </cell>
          <cell r="N40">
            <v>335949.33333333331</v>
          </cell>
          <cell r="O40">
            <v>2957550.0373333334</v>
          </cell>
          <cell r="P40">
            <v>0</v>
          </cell>
          <cell r="Q40">
            <v>0</v>
          </cell>
          <cell r="R40">
            <v>335949.33333333331</v>
          </cell>
          <cell r="S40">
            <v>2957550.0373333334</v>
          </cell>
          <cell r="T40">
            <v>643541</v>
          </cell>
          <cell r="U40">
            <v>125981</v>
          </cell>
          <cell r="V40">
            <v>2180218</v>
          </cell>
        </row>
        <row r="41">
          <cell r="G41">
            <v>924</v>
          </cell>
          <cell r="J41">
            <v>1</v>
          </cell>
          <cell r="K41">
            <v>125981</v>
          </cell>
          <cell r="L41">
            <v>2941696</v>
          </cell>
          <cell r="M41">
            <v>606901.21799999999</v>
          </cell>
          <cell r="N41">
            <v>335949.33333333331</v>
          </cell>
          <cell r="O41">
            <v>3884546.5513333334</v>
          </cell>
          <cell r="P41">
            <v>0</v>
          </cell>
          <cell r="Q41">
            <v>0</v>
          </cell>
          <cell r="R41">
            <v>335949.33333333331</v>
          </cell>
          <cell r="S41">
            <v>3884546.5513333334</v>
          </cell>
          <cell r="T41">
            <v>884869</v>
          </cell>
          <cell r="U41">
            <v>125981</v>
          </cell>
          <cell r="V41">
            <v>2941696</v>
          </cell>
        </row>
        <row r="42">
          <cell r="G42">
            <v>1050</v>
          </cell>
          <cell r="J42">
            <v>1</v>
          </cell>
          <cell r="K42">
            <v>125981</v>
          </cell>
          <cell r="L42">
            <v>3827050</v>
          </cell>
          <cell r="M42">
            <v>689660.47499999986</v>
          </cell>
          <cell r="N42">
            <v>335949.33333333331</v>
          </cell>
          <cell r="O42">
            <v>4852659.8083333327</v>
          </cell>
          <cell r="P42">
            <v>0</v>
          </cell>
          <cell r="Q42">
            <v>0</v>
          </cell>
          <cell r="R42">
            <v>335949.33333333331</v>
          </cell>
          <cell r="S42">
            <v>4852659.8083333336</v>
          </cell>
          <cell r="T42">
            <v>1005533</v>
          </cell>
          <cell r="U42">
            <v>125981</v>
          </cell>
          <cell r="V42">
            <v>3827050</v>
          </cell>
        </row>
        <row r="43">
          <cell r="G43">
            <v>1134</v>
          </cell>
          <cell r="J43">
            <v>1</v>
          </cell>
          <cell r="K43">
            <v>125981</v>
          </cell>
          <cell r="L43">
            <v>3954666</v>
          </cell>
          <cell r="M43">
            <v>744833.31299999997</v>
          </cell>
          <cell r="N43">
            <v>335949.33333333331</v>
          </cell>
          <cell r="O43">
            <v>5035448.6463333331</v>
          </cell>
          <cell r="P43">
            <v>0</v>
          </cell>
          <cell r="Q43">
            <v>0</v>
          </cell>
          <cell r="R43">
            <v>335949.33333333331</v>
          </cell>
          <cell r="S43">
            <v>5035448.6463333331</v>
          </cell>
          <cell r="T43">
            <v>1085975</v>
          </cell>
          <cell r="U43">
            <v>125981</v>
          </cell>
          <cell r="V43">
            <v>3954666</v>
          </cell>
        </row>
        <row r="44">
          <cell r="G44">
            <v>2079</v>
          </cell>
          <cell r="J44">
            <v>1</v>
          </cell>
          <cell r="K44">
            <v>125981</v>
          </cell>
          <cell r="L44">
            <v>6899557</v>
          </cell>
          <cell r="M44">
            <v>1365527.7405000001</v>
          </cell>
          <cell r="N44">
            <v>335949.33333333331</v>
          </cell>
          <cell r="O44">
            <v>8601034.0738333333</v>
          </cell>
          <cell r="P44">
            <v>0</v>
          </cell>
          <cell r="Q44">
            <v>0</v>
          </cell>
          <cell r="R44">
            <v>335949.33333333331</v>
          </cell>
          <cell r="S44">
            <v>8601034.0738333333</v>
          </cell>
          <cell r="T44">
            <v>1990954</v>
          </cell>
          <cell r="U44">
            <v>125981</v>
          </cell>
          <cell r="V44">
            <v>6899557</v>
          </cell>
        </row>
        <row r="45">
          <cell r="K45">
            <v>0</v>
          </cell>
          <cell r="L45">
            <v>0</v>
          </cell>
          <cell r="N45">
            <v>0</v>
          </cell>
          <cell r="O45">
            <v>0</v>
          </cell>
          <cell r="P45">
            <v>0</v>
          </cell>
          <cell r="Q45">
            <v>0</v>
          </cell>
          <cell r="R45">
            <v>0</v>
          </cell>
          <cell r="S45">
            <v>0</v>
          </cell>
        </row>
        <row r="46">
          <cell r="F46">
            <v>29.7</v>
          </cell>
          <cell r="J46">
            <v>1</v>
          </cell>
          <cell r="K46">
            <v>48658</v>
          </cell>
          <cell r="L46">
            <v>357815</v>
          </cell>
          <cell r="M46">
            <v>432343.17</v>
          </cell>
          <cell r="N46">
            <v>129754.66666666666</v>
          </cell>
          <cell r="O46">
            <v>919912.83666666655</v>
          </cell>
          <cell r="P46">
            <v>0</v>
          </cell>
          <cell r="Q46">
            <v>0</v>
          </cell>
          <cell r="R46">
            <v>129754.66666666666</v>
          </cell>
          <cell r="S46">
            <v>919912.83666666667</v>
          </cell>
          <cell r="T46">
            <v>212619</v>
          </cell>
          <cell r="U46">
            <v>48658</v>
          </cell>
          <cell r="V46">
            <v>357815</v>
          </cell>
        </row>
        <row r="47">
          <cell r="F47">
            <v>33.479999999999997</v>
          </cell>
          <cell r="J47">
            <v>1</v>
          </cell>
          <cell r="K47">
            <v>48658</v>
          </cell>
          <cell r="L47">
            <v>472816</v>
          </cell>
          <cell r="M47">
            <v>487368.66436363629</v>
          </cell>
          <cell r="N47">
            <v>129754.66666666666</v>
          </cell>
          <cell r="O47">
            <v>1089939.3310303029</v>
          </cell>
          <cell r="P47">
            <v>0</v>
          </cell>
          <cell r="Q47">
            <v>0</v>
          </cell>
          <cell r="R47">
            <v>129754.66666666666</v>
          </cell>
          <cell r="S47">
            <v>1089939.3310303029</v>
          </cell>
          <cell r="T47">
            <v>239680</v>
          </cell>
          <cell r="U47">
            <v>48658</v>
          </cell>
          <cell r="V47">
            <v>472816</v>
          </cell>
        </row>
        <row r="48">
          <cell r="F48">
            <v>56.7</v>
          </cell>
          <cell r="J48">
            <v>1</v>
          </cell>
          <cell r="K48">
            <v>98673</v>
          </cell>
          <cell r="L48">
            <v>956154</v>
          </cell>
          <cell r="M48">
            <v>825382.41545454541</v>
          </cell>
          <cell r="N48">
            <v>263128</v>
          </cell>
          <cell r="O48">
            <v>2044664.4154545455</v>
          </cell>
          <cell r="P48">
            <v>0</v>
          </cell>
          <cell r="Q48">
            <v>0</v>
          </cell>
          <cell r="R48">
            <v>263128</v>
          </cell>
          <cell r="S48">
            <v>2044664.4154545455</v>
          </cell>
          <cell r="T48">
            <v>405910</v>
          </cell>
          <cell r="U48">
            <v>98673</v>
          </cell>
          <cell r="V48">
            <v>956154</v>
          </cell>
        </row>
        <row r="49">
          <cell r="F49">
            <v>73.44</v>
          </cell>
          <cell r="J49">
            <v>1</v>
          </cell>
          <cell r="K49">
            <v>114786</v>
          </cell>
          <cell r="L49">
            <v>1709098</v>
          </cell>
          <cell r="M49">
            <v>1069066.7476363636</v>
          </cell>
          <cell r="N49">
            <v>306096</v>
          </cell>
          <cell r="O49">
            <v>3084260.7476363638</v>
          </cell>
          <cell r="P49">
            <v>0</v>
          </cell>
          <cell r="Q49">
            <v>0</v>
          </cell>
          <cell r="R49">
            <v>306096</v>
          </cell>
          <cell r="S49">
            <v>3084260.7476363638</v>
          </cell>
          <cell r="T49">
            <v>525750</v>
          </cell>
          <cell r="U49">
            <v>114786</v>
          </cell>
          <cell r="V49">
            <v>1709098</v>
          </cell>
        </row>
        <row r="50">
          <cell r="E50" t="str">
            <v>avulsion excavator</v>
          </cell>
          <cell r="K50">
            <v>0</v>
          </cell>
          <cell r="L50">
            <v>0</v>
          </cell>
          <cell r="N50">
            <v>0</v>
          </cell>
          <cell r="O50">
            <v>0</v>
          </cell>
          <cell r="P50">
            <v>0</v>
          </cell>
          <cell r="Q50">
            <v>0</v>
          </cell>
          <cell r="R50">
            <v>0</v>
          </cell>
          <cell r="S50">
            <v>0</v>
          </cell>
        </row>
        <row r="51">
          <cell r="E51" t="str">
            <v>avulsion excavator 1m3</v>
          </cell>
          <cell r="F51">
            <v>38.76</v>
          </cell>
          <cell r="J51">
            <v>1</v>
          </cell>
          <cell r="K51">
            <v>48658</v>
          </cell>
          <cell r="L51">
            <v>657941</v>
          </cell>
          <cell r="M51">
            <v>564229.67236363632</v>
          </cell>
          <cell r="N51">
            <v>129754.66666666666</v>
          </cell>
          <cell r="O51">
            <v>1351925.3390303031</v>
          </cell>
          <cell r="P51">
            <v>0</v>
          </cell>
          <cell r="Q51">
            <v>0</v>
          </cell>
          <cell r="R51">
            <v>129754.66666666666</v>
          </cell>
          <cell r="S51">
            <v>1351925.3390303031</v>
          </cell>
          <cell r="T51">
            <v>277479</v>
          </cell>
          <cell r="U51">
            <v>48658</v>
          </cell>
          <cell r="V51">
            <v>657941</v>
          </cell>
        </row>
        <row r="52">
          <cell r="D52" t="str">
            <v>Máy xúc lật 1.6m3</v>
          </cell>
          <cell r="E52" t="str">
            <v>avulsion excavator 1.6m3</v>
          </cell>
          <cell r="F52">
            <v>75.239999999999995</v>
          </cell>
          <cell r="J52">
            <v>1</v>
          </cell>
          <cell r="K52">
            <v>98673</v>
          </cell>
          <cell r="L52">
            <v>998561</v>
          </cell>
          <cell r="M52">
            <v>1095269.3639999998</v>
          </cell>
          <cell r="N52">
            <v>263128</v>
          </cell>
          <cell r="O52">
            <v>2356958.3640000001</v>
          </cell>
          <cell r="P52">
            <v>0</v>
          </cell>
          <cell r="Q52">
            <v>0</v>
          </cell>
          <cell r="R52">
            <v>263128</v>
          </cell>
          <cell r="S52">
            <v>2356958.3640000001</v>
          </cell>
          <cell r="T52">
            <v>538636</v>
          </cell>
          <cell r="U52">
            <v>98673</v>
          </cell>
          <cell r="V52">
            <v>998561</v>
          </cell>
        </row>
        <row r="53">
          <cell r="F53">
            <v>86.64</v>
          </cell>
          <cell r="J53">
            <v>1</v>
          </cell>
          <cell r="K53">
            <v>98673</v>
          </cell>
          <cell r="L53">
            <v>1065250</v>
          </cell>
          <cell r="M53">
            <v>1261219.2676363634</v>
          </cell>
          <cell r="N53">
            <v>263128</v>
          </cell>
          <cell r="O53">
            <v>2589597.2676363634</v>
          </cell>
          <cell r="P53">
            <v>0</v>
          </cell>
          <cell r="Q53">
            <v>0</v>
          </cell>
          <cell r="R53">
            <v>263128</v>
          </cell>
          <cell r="S53">
            <v>2589597.2676363634</v>
          </cell>
          <cell r="T53">
            <v>620247</v>
          </cell>
          <cell r="U53">
            <v>98673</v>
          </cell>
          <cell r="V53">
            <v>1065250</v>
          </cell>
        </row>
        <row r="54">
          <cell r="F54">
            <v>100.8</v>
          </cell>
          <cell r="J54">
            <v>1</v>
          </cell>
          <cell r="K54">
            <v>114786</v>
          </cell>
          <cell r="L54">
            <v>1468362</v>
          </cell>
          <cell r="M54">
            <v>1467346.5163636364</v>
          </cell>
          <cell r="N54">
            <v>306096</v>
          </cell>
          <cell r="O54">
            <v>3241804.5163636366</v>
          </cell>
          <cell r="P54">
            <v>0</v>
          </cell>
          <cell r="Q54">
            <v>0</v>
          </cell>
          <cell r="R54">
            <v>306096</v>
          </cell>
          <cell r="S54">
            <v>3241804.5163636366</v>
          </cell>
          <cell r="T54">
            <v>721617</v>
          </cell>
          <cell r="U54">
            <v>114786</v>
          </cell>
          <cell r="V54">
            <v>1468362</v>
          </cell>
        </row>
        <row r="55">
          <cell r="F55">
            <v>134.4</v>
          </cell>
          <cell r="J55">
            <v>1</v>
          </cell>
          <cell r="K55">
            <v>114786</v>
          </cell>
          <cell r="L55">
            <v>1986245</v>
          </cell>
          <cell r="M55">
            <v>1956462.0218181817</v>
          </cell>
          <cell r="N55">
            <v>306096</v>
          </cell>
          <cell r="O55">
            <v>4248803.0218181815</v>
          </cell>
          <cell r="P55">
            <v>0</v>
          </cell>
          <cell r="Q55">
            <v>0</v>
          </cell>
          <cell r="R55">
            <v>306096</v>
          </cell>
          <cell r="S55">
            <v>4248803.0218181815</v>
          </cell>
          <cell r="T55">
            <v>962156</v>
          </cell>
          <cell r="U55">
            <v>114786</v>
          </cell>
          <cell r="V55">
            <v>1986245</v>
          </cell>
        </row>
        <row r="56">
          <cell r="F56">
            <v>159.6</v>
          </cell>
          <cell r="J56">
            <v>1</v>
          </cell>
          <cell r="K56">
            <v>114786</v>
          </cell>
          <cell r="L56">
            <v>2462213</v>
          </cell>
          <cell r="M56">
            <v>2323298.6509090904</v>
          </cell>
          <cell r="N56">
            <v>306096</v>
          </cell>
          <cell r="O56">
            <v>5091607.6509090904</v>
          </cell>
          <cell r="P56">
            <v>0</v>
          </cell>
          <cell r="Q56">
            <v>0</v>
          </cell>
          <cell r="R56">
            <v>306096</v>
          </cell>
          <cell r="S56">
            <v>5091607.6509090904</v>
          </cell>
          <cell r="T56">
            <v>1142560</v>
          </cell>
          <cell r="U56">
            <v>114786</v>
          </cell>
          <cell r="V56">
            <v>2462213</v>
          </cell>
        </row>
        <row r="57">
          <cell r="K57">
            <v>0</v>
          </cell>
          <cell r="L57">
            <v>0</v>
          </cell>
          <cell r="N57">
            <v>0</v>
          </cell>
          <cell r="O57">
            <v>0</v>
          </cell>
          <cell r="P57">
            <v>0</v>
          </cell>
          <cell r="Q57">
            <v>0</v>
          </cell>
          <cell r="R57">
            <v>0</v>
          </cell>
          <cell r="S57">
            <v>0</v>
          </cell>
        </row>
        <row r="58">
          <cell r="F58">
            <v>51.84</v>
          </cell>
          <cell r="J58">
            <v>1</v>
          </cell>
          <cell r="K58">
            <v>98673</v>
          </cell>
          <cell r="L58">
            <v>1400462</v>
          </cell>
          <cell r="M58">
            <v>754635.35127272725</v>
          </cell>
          <cell r="N58">
            <v>263128</v>
          </cell>
          <cell r="O58">
            <v>2418225.3512727274</v>
          </cell>
          <cell r="P58">
            <v>0</v>
          </cell>
          <cell r="Q58">
            <v>0</v>
          </cell>
          <cell r="R58">
            <v>263128</v>
          </cell>
          <cell r="S58">
            <v>2418225.3512727274</v>
          </cell>
          <cell r="T58">
            <v>371117</v>
          </cell>
          <cell r="U58">
            <v>98673</v>
          </cell>
          <cell r="V58">
            <v>1400462</v>
          </cell>
        </row>
        <row r="59">
          <cell r="F59">
            <v>65.25</v>
          </cell>
          <cell r="J59">
            <v>1</v>
          </cell>
          <cell r="K59">
            <v>98673</v>
          </cell>
          <cell r="L59">
            <v>1613793</v>
          </cell>
          <cell r="M59">
            <v>949844.84318181814</v>
          </cell>
          <cell r="N59">
            <v>263128</v>
          </cell>
          <cell r="O59">
            <v>2826765.8431818183</v>
          </cell>
          <cell r="P59">
            <v>0</v>
          </cell>
          <cell r="Q59">
            <v>0</v>
          </cell>
          <cell r="R59">
            <v>263128</v>
          </cell>
          <cell r="S59">
            <v>2826765.8431818183</v>
          </cell>
          <cell r="T59">
            <v>467118</v>
          </cell>
          <cell r="U59">
            <v>98673</v>
          </cell>
          <cell r="V59">
            <v>1613793</v>
          </cell>
        </row>
        <row r="60">
          <cell r="F60">
            <v>89.04</v>
          </cell>
          <cell r="J60">
            <v>1</v>
          </cell>
          <cell r="K60">
            <v>114786</v>
          </cell>
          <cell r="L60">
            <v>2802148</v>
          </cell>
          <cell r="M60">
            <v>1296156.0894545454</v>
          </cell>
          <cell r="N60">
            <v>306096</v>
          </cell>
          <cell r="O60">
            <v>4404400.0894545456</v>
          </cell>
          <cell r="P60">
            <v>0</v>
          </cell>
          <cell r="Q60">
            <v>0</v>
          </cell>
          <cell r="R60">
            <v>306096</v>
          </cell>
          <cell r="S60">
            <v>4404400.0894545456</v>
          </cell>
          <cell r="T60">
            <v>637428</v>
          </cell>
          <cell r="U60">
            <v>114786</v>
          </cell>
          <cell r="V60">
            <v>2802148</v>
          </cell>
        </row>
        <row r="61">
          <cell r="K61">
            <v>0</v>
          </cell>
          <cell r="L61">
            <v>0</v>
          </cell>
          <cell r="N61">
            <v>0</v>
          </cell>
          <cell r="O61">
            <v>0</v>
          </cell>
          <cell r="P61">
            <v>0</v>
          </cell>
          <cell r="Q61">
            <v>0</v>
          </cell>
          <cell r="R61">
            <v>0</v>
          </cell>
          <cell r="S61">
            <v>0</v>
          </cell>
        </row>
        <row r="62">
          <cell r="G62">
            <v>132</v>
          </cell>
          <cell r="J62">
            <v>1</v>
          </cell>
          <cell r="K62">
            <v>105458</v>
          </cell>
          <cell r="L62">
            <v>400594</v>
          </cell>
          <cell r="M62">
            <v>86700.173999999985</v>
          </cell>
          <cell r="N62">
            <v>281221.33333333331</v>
          </cell>
          <cell r="O62">
            <v>768515.50733333337</v>
          </cell>
          <cell r="P62">
            <v>0</v>
          </cell>
          <cell r="Q62">
            <v>0</v>
          </cell>
          <cell r="R62">
            <v>281221.33333333331</v>
          </cell>
          <cell r="S62">
            <v>768515.50733333337</v>
          </cell>
          <cell r="T62">
            <v>126410</v>
          </cell>
          <cell r="U62">
            <v>105458</v>
          </cell>
          <cell r="V62">
            <v>400594</v>
          </cell>
        </row>
        <row r="63">
          <cell r="G63">
            <v>247.5</v>
          </cell>
          <cell r="J63">
            <v>1</v>
          </cell>
          <cell r="K63">
            <v>105458</v>
          </cell>
          <cell r="L63">
            <v>639602</v>
          </cell>
          <cell r="M63">
            <v>162562.82624999998</v>
          </cell>
          <cell r="N63">
            <v>281221.33333333331</v>
          </cell>
          <cell r="O63">
            <v>1083386.1595833332</v>
          </cell>
          <cell r="P63">
            <v>0</v>
          </cell>
          <cell r="Q63">
            <v>0</v>
          </cell>
          <cell r="R63">
            <v>281221.33333333331</v>
          </cell>
          <cell r="S63">
            <v>1083386.1595833334</v>
          </cell>
          <cell r="T63">
            <v>237018</v>
          </cell>
          <cell r="U63">
            <v>105458</v>
          </cell>
          <cell r="V63">
            <v>639602</v>
          </cell>
        </row>
        <row r="64">
          <cell r="G64">
            <v>673.2</v>
          </cell>
          <cell r="J64">
            <v>1</v>
          </cell>
          <cell r="K64">
            <v>114786</v>
          </cell>
          <cell r="L64">
            <v>1398593</v>
          </cell>
          <cell r="M64">
            <v>442170.88739999995</v>
          </cell>
          <cell r="N64">
            <v>306096</v>
          </cell>
          <cell r="O64">
            <v>2146859.8873999999</v>
          </cell>
          <cell r="P64">
            <v>0</v>
          </cell>
          <cell r="Q64">
            <v>0</v>
          </cell>
          <cell r="R64">
            <v>306096</v>
          </cell>
          <cell r="S64">
            <v>2146859.8873999999</v>
          </cell>
          <cell r="T64">
            <v>644690</v>
          </cell>
          <cell r="U64">
            <v>114786</v>
          </cell>
          <cell r="V64">
            <v>1398593</v>
          </cell>
        </row>
        <row r="65">
          <cell r="K65">
            <v>0</v>
          </cell>
          <cell r="L65">
            <v>0</v>
          </cell>
          <cell r="N65">
            <v>0</v>
          </cell>
          <cell r="O65">
            <v>0</v>
          </cell>
          <cell r="P65">
            <v>0</v>
          </cell>
          <cell r="Q65">
            <v>0</v>
          </cell>
          <cell r="R65">
            <v>0</v>
          </cell>
          <cell r="S65">
            <v>0</v>
          </cell>
        </row>
        <row r="66">
          <cell r="F66">
            <v>22.95</v>
          </cell>
          <cell r="J66">
            <v>1</v>
          </cell>
          <cell r="K66">
            <v>48658</v>
          </cell>
          <cell r="L66">
            <v>454483</v>
          </cell>
          <cell r="M66">
            <v>334083.35863636358</v>
          </cell>
          <cell r="N66">
            <v>129754.66666666666</v>
          </cell>
          <cell r="O66">
            <v>918321.02530303027</v>
          </cell>
          <cell r="P66">
            <v>0</v>
          </cell>
          <cell r="Q66">
            <v>0</v>
          </cell>
          <cell r="R66">
            <v>129754.66666666666</v>
          </cell>
          <cell r="S66">
            <v>918321.02530303027</v>
          </cell>
          <cell r="T66">
            <v>164297</v>
          </cell>
          <cell r="U66">
            <v>48658</v>
          </cell>
          <cell r="V66">
            <v>454483</v>
          </cell>
        </row>
        <row r="67">
          <cell r="F67">
            <v>27.54</v>
          </cell>
          <cell r="J67">
            <v>1</v>
          </cell>
          <cell r="K67">
            <v>48658</v>
          </cell>
          <cell r="L67">
            <v>497190</v>
          </cell>
          <cell r="M67">
            <v>400900.03036363632</v>
          </cell>
          <cell r="N67">
            <v>129754.66666666666</v>
          </cell>
          <cell r="O67">
            <v>1027844.697030303</v>
          </cell>
          <cell r="P67">
            <v>0</v>
          </cell>
          <cell r="Q67">
            <v>0</v>
          </cell>
          <cell r="R67">
            <v>129754.66666666666</v>
          </cell>
          <cell r="S67">
            <v>1027844.697030303</v>
          </cell>
          <cell r="T67">
            <v>197156</v>
          </cell>
          <cell r="U67">
            <v>48658</v>
          </cell>
          <cell r="V67">
            <v>497190</v>
          </cell>
        </row>
        <row r="68">
          <cell r="D68" t="str">
            <v>Máy ủi 75cv</v>
          </cell>
          <cell r="E68" t="str">
            <v>bulldozer 75CV</v>
          </cell>
          <cell r="F68">
            <v>38.25</v>
          </cell>
          <cell r="J68">
            <v>1</v>
          </cell>
          <cell r="K68">
            <v>48658</v>
          </cell>
          <cell r="L68">
            <v>674846</v>
          </cell>
          <cell r="M68">
            <v>556805.59772727266</v>
          </cell>
          <cell r="N68">
            <v>129754.66666666666</v>
          </cell>
          <cell r="O68">
            <v>1361406.2643939394</v>
          </cell>
          <cell r="P68">
            <v>0</v>
          </cell>
          <cell r="Q68">
            <v>0</v>
          </cell>
          <cell r="R68">
            <v>129754.66666666666</v>
          </cell>
          <cell r="S68">
            <v>1361406.2643939392</v>
          </cell>
          <cell r="T68">
            <v>273828</v>
          </cell>
          <cell r="U68">
            <v>48658</v>
          </cell>
          <cell r="V68">
            <v>674846</v>
          </cell>
        </row>
        <row r="69">
          <cell r="F69">
            <v>44.1</v>
          </cell>
          <cell r="J69">
            <v>1</v>
          </cell>
          <cell r="K69">
            <v>98673</v>
          </cell>
          <cell r="L69">
            <v>928137</v>
          </cell>
          <cell r="M69">
            <v>641964.10090909083</v>
          </cell>
          <cell r="N69">
            <v>263128</v>
          </cell>
          <cell r="O69">
            <v>1833229.1009090908</v>
          </cell>
          <cell r="P69">
            <v>0</v>
          </cell>
          <cell r="Q69">
            <v>0</v>
          </cell>
          <cell r="R69">
            <v>263128</v>
          </cell>
          <cell r="S69">
            <v>1833229.1009090908</v>
          </cell>
          <cell r="T69">
            <v>315707</v>
          </cell>
          <cell r="U69">
            <v>98673</v>
          </cell>
          <cell r="V69">
            <v>928137</v>
          </cell>
        </row>
        <row r="70">
          <cell r="D70" t="str">
            <v>Máy ủi 110cv</v>
          </cell>
          <cell r="E70" t="str">
            <v>bulldozer 108CV</v>
          </cell>
          <cell r="F70">
            <v>46.2</v>
          </cell>
          <cell r="J70">
            <v>1</v>
          </cell>
          <cell r="K70">
            <v>98673</v>
          </cell>
          <cell r="L70">
            <v>937087</v>
          </cell>
          <cell r="M70">
            <v>672533.82</v>
          </cell>
          <cell r="N70">
            <v>263128</v>
          </cell>
          <cell r="O70">
            <v>1872748.8199999998</v>
          </cell>
          <cell r="P70">
            <v>1181.2633082116658</v>
          </cell>
          <cell r="Q70">
            <v>794439525.09742892</v>
          </cell>
          <cell r="R70">
            <v>263128</v>
          </cell>
          <cell r="S70">
            <v>1872748.8199999998</v>
          </cell>
          <cell r="T70">
            <v>330741</v>
          </cell>
          <cell r="U70">
            <v>98673</v>
          </cell>
          <cell r="V70">
            <v>937087</v>
          </cell>
        </row>
        <row r="71">
          <cell r="F71">
            <v>54.6</v>
          </cell>
          <cell r="J71">
            <v>1</v>
          </cell>
          <cell r="K71">
            <v>98673</v>
          </cell>
          <cell r="L71">
            <v>1129856</v>
          </cell>
          <cell r="M71">
            <v>794812.69636363629</v>
          </cell>
          <cell r="N71">
            <v>263128</v>
          </cell>
          <cell r="O71">
            <v>2187796.6963636363</v>
          </cell>
          <cell r="P71">
            <v>0</v>
          </cell>
          <cell r="Q71">
            <v>0</v>
          </cell>
          <cell r="R71">
            <v>263128</v>
          </cell>
          <cell r="S71">
            <v>2187796.6963636363</v>
          </cell>
          <cell r="T71">
            <v>390876</v>
          </cell>
          <cell r="U71">
            <v>98673</v>
          </cell>
          <cell r="V71">
            <v>1129856</v>
          </cell>
        </row>
        <row r="72">
          <cell r="D72" t="str">
            <v>Máy ủi 140cv</v>
          </cell>
          <cell r="E72" t="str">
            <v>bulldozer 140CV</v>
          </cell>
          <cell r="F72">
            <v>58.8</v>
          </cell>
          <cell r="J72">
            <v>1</v>
          </cell>
          <cell r="K72">
            <v>98673</v>
          </cell>
          <cell r="L72">
            <v>1212215</v>
          </cell>
          <cell r="M72">
            <v>855952.13454545441</v>
          </cell>
          <cell r="N72">
            <v>263128</v>
          </cell>
          <cell r="O72">
            <v>2331295.1345454543</v>
          </cell>
          <cell r="P72">
            <v>0.66169440000000002</v>
          </cell>
          <cell r="Q72">
            <v>566378.73409677378</v>
          </cell>
          <cell r="R72">
            <v>263128</v>
          </cell>
          <cell r="S72">
            <v>2331295.1345454543</v>
          </cell>
          <cell r="T72">
            <v>420943</v>
          </cell>
          <cell r="U72">
            <v>98673</v>
          </cell>
          <cell r="V72">
            <v>1212215</v>
          </cell>
        </row>
        <row r="73">
          <cell r="F73">
            <v>67.2</v>
          </cell>
          <cell r="J73">
            <v>1</v>
          </cell>
          <cell r="K73">
            <v>98673</v>
          </cell>
          <cell r="L73">
            <v>1327005</v>
          </cell>
          <cell r="M73">
            <v>978231.01090909087</v>
          </cell>
          <cell r="N73">
            <v>263128</v>
          </cell>
          <cell r="O73">
            <v>2568364.0109090907</v>
          </cell>
          <cell r="P73">
            <v>0</v>
          </cell>
          <cell r="Q73">
            <v>0</v>
          </cell>
          <cell r="R73">
            <v>263128</v>
          </cell>
          <cell r="S73">
            <v>2568364.0109090907</v>
          </cell>
          <cell r="T73">
            <v>481078</v>
          </cell>
          <cell r="U73">
            <v>98673</v>
          </cell>
          <cell r="V73">
            <v>1327005</v>
          </cell>
        </row>
        <row r="74">
          <cell r="D74" t="str">
            <v>Máy ủi 180cv</v>
          </cell>
          <cell r="E74" t="str">
            <v>bulldozer 180CV</v>
          </cell>
          <cell r="F74">
            <v>75.599999999999994</v>
          </cell>
          <cell r="J74">
            <v>1</v>
          </cell>
          <cell r="K74">
            <v>98673</v>
          </cell>
          <cell r="L74">
            <v>1366077</v>
          </cell>
          <cell r="M74">
            <v>1100509.887272727</v>
          </cell>
          <cell r="N74">
            <v>263128</v>
          </cell>
          <cell r="O74">
            <v>2729714.8872727267</v>
          </cell>
          <cell r="P74">
            <v>0</v>
          </cell>
          <cell r="Q74">
            <v>0</v>
          </cell>
          <cell r="R74">
            <v>263128</v>
          </cell>
          <cell r="S74">
            <v>2729714.8872727267</v>
          </cell>
          <cell r="T74">
            <v>541213</v>
          </cell>
          <cell r="U74">
            <v>98673</v>
          </cell>
          <cell r="V74">
            <v>1366077</v>
          </cell>
        </row>
        <row r="75">
          <cell r="D75" t="str">
            <v>Máy ủi 240cv</v>
          </cell>
          <cell r="E75" t="str">
            <v>bulldozer 240CV</v>
          </cell>
          <cell r="F75">
            <v>93.6</v>
          </cell>
          <cell r="J75">
            <v>1</v>
          </cell>
          <cell r="K75">
            <v>108001</v>
          </cell>
          <cell r="L75">
            <v>1640400</v>
          </cell>
          <cell r="M75">
            <v>1362536.0509090908</v>
          </cell>
          <cell r="N75">
            <v>288002.66666666663</v>
          </cell>
          <cell r="O75">
            <v>3290938.7175757573</v>
          </cell>
          <cell r="P75">
            <v>0</v>
          </cell>
          <cell r="Q75">
            <v>0</v>
          </cell>
          <cell r="R75">
            <v>288002.66666666663</v>
          </cell>
          <cell r="S75">
            <v>3290938.7175757573</v>
          </cell>
          <cell r="T75">
            <v>670073</v>
          </cell>
          <cell r="U75">
            <v>108001</v>
          </cell>
          <cell r="V75">
            <v>1640400</v>
          </cell>
        </row>
        <row r="76">
          <cell r="F76">
            <v>105.69</v>
          </cell>
          <cell r="J76">
            <v>1</v>
          </cell>
          <cell r="K76">
            <v>108001</v>
          </cell>
          <cell r="L76">
            <v>1752355</v>
          </cell>
          <cell r="M76">
            <v>1538530.2908181816</v>
          </cell>
          <cell r="N76">
            <v>288002.66666666663</v>
          </cell>
          <cell r="O76">
            <v>3578887.9574848483</v>
          </cell>
          <cell r="P76">
            <v>0</v>
          </cell>
          <cell r="Q76">
            <v>0</v>
          </cell>
          <cell r="R76">
            <v>288002.66666666663</v>
          </cell>
          <cell r="S76">
            <v>3578887.9574848483</v>
          </cell>
          <cell r="T76">
            <v>756624</v>
          </cell>
          <cell r="U76">
            <v>108001</v>
          </cell>
          <cell r="V76">
            <v>1752355</v>
          </cell>
        </row>
        <row r="77">
          <cell r="D77" t="str">
            <v>Máy ủi 320cv</v>
          </cell>
          <cell r="E77" t="str">
            <v>bulldozer 320CV</v>
          </cell>
          <cell r="F77">
            <v>124.8</v>
          </cell>
          <cell r="J77">
            <v>1</v>
          </cell>
          <cell r="K77">
            <v>119196</v>
          </cell>
          <cell r="L77">
            <v>2260096</v>
          </cell>
          <cell r="M77">
            <v>1816714.7345454544</v>
          </cell>
          <cell r="N77">
            <v>317856</v>
          </cell>
          <cell r="O77">
            <v>4394666.7345454544</v>
          </cell>
          <cell r="P77">
            <v>0</v>
          </cell>
          <cell r="Q77">
            <v>0</v>
          </cell>
          <cell r="R77">
            <v>317856</v>
          </cell>
          <cell r="S77">
            <v>4394666.7345454544</v>
          </cell>
          <cell r="T77">
            <v>893431</v>
          </cell>
          <cell r="U77">
            <v>119196</v>
          </cell>
          <cell r="V77">
            <v>2260096</v>
          </cell>
        </row>
        <row r="78">
          <cell r="K78">
            <v>0</v>
          </cell>
          <cell r="L78">
            <v>0</v>
          </cell>
          <cell r="N78">
            <v>0</v>
          </cell>
          <cell r="O78">
            <v>0</v>
          </cell>
          <cell r="P78">
            <v>0</v>
          </cell>
          <cell r="Q78">
            <v>0</v>
          </cell>
          <cell r="R78">
            <v>0</v>
          </cell>
          <cell r="S78">
            <v>0</v>
          </cell>
        </row>
        <row r="79">
          <cell r="F79">
            <v>37.664999999999999</v>
          </cell>
          <cell r="J79">
            <v>1</v>
          </cell>
          <cell r="K79">
            <v>48658</v>
          </cell>
          <cell r="L79">
            <v>601397</v>
          </cell>
          <cell r="M79">
            <v>548289.74740909087</v>
          </cell>
          <cell r="N79">
            <v>129754.66666666666</v>
          </cell>
          <cell r="O79">
            <v>1279441.4140757576</v>
          </cell>
          <cell r="P79">
            <v>0</v>
          </cell>
          <cell r="Q79">
            <v>0</v>
          </cell>
          <cell r="R79">
            <v>129754.66666666666</v>
          </cell>
          <cell r="S79">
            <v>1279441.4140757574</v>
          </cell>
          <cell r="T79">
            <v>269676</v>
          </cell>
          <cell r="U79">
            <v>48658</v>
          </cell>
          <cell r="V79">
            <v>601397</v>
          </cell>
        </row>
        <row r="80">
          <cell r="F80">
            <v>38.475000000000001</v>
          </cell>
          <cell r="J80">
            <v>1</v>
          </cell>
          <cell r="K80">
            <v>48658</v>
          </cell>
          <cell r="L80">
            <v>641633</v>
          </cell>
          <cell r="M80">
            <v>560080.9247727273</v>
          </cell>
          <cell r="N80">
            <v>129754.66666666666</v>
          </cell>
          <cell r="O80">
            <v>1331468.591439394</v>
          </cell>
          <cell r="P80">
            <v>0</v>
          </cell>
          <cell r="Q80">
            <v>0</v>
          </cell>
          <cell r="R80">
            <v>129754.66666666666</v>
          </cell>
          <cell r="S80">
            <v>1331468.5914393938</v>
          </cell>
          <cell r="T80">
            <v>275474</v>
          </cell>
          <cell r="U80">
            <v>48658</v>
          </cell>
          <cell r="V80">
            <v>641633</v>
          </cell>
        </row>
        <row r="81">
          <cell r="F81">
            <v>40.5</v>
          </cell>
          <cell r="J81">
            <v>1</v>
          </cell>
          <cell r="K81">
            <v>48658</v>
          </cell>
          <cell r="L81">
            <v>682311</v>
          </cell>
          <cell r="M81">
            <v>589558.86818181816</v>
          </cell>
          <cell r="N81">
            <v>129754.66666666666</v>
          </cell>
          <cell r="O81">
            <v>1401624.5348484849</v>
          </cell>
          <cell r="P81">
            <v>0</v>
          </cell>
          <cell r="Q81">
            <v>0</v>
          </cell>
          <cell r="R81">
            <v>129754.66666666666</v>
          </cell>
          <cell r="S81">
            <v>1401624.5348484847</v>
          </cell>
          <cell r="T81">
            <v>289935</v>
          </cell>
          <cell r="U81">
            <v>48658</v>
          </cell>
          <cell r="V81">
            <v>682311</v>
          </cell>
        </row>
        <row r="82">
          <cell r="F82">
            <v>58.32</v>
          </cell>
          <cell r="J82">
            <v>1</v>
          </cell>
          <cell r="K82">
            <v>48658</v>
          </cell>
          <cell r="L82">
            <v>822928</v>
          </cell>
          <cell r="M82">
            <v>848964.77018181805</v>
          </cell>
          <cell r="N82">
            <v>129754.66666666666</v>
          </cell>
          <cell r="O82">
            <v>1801647.4368484847</v>
          </cell>
          <cell r="P82">
            <v>0</v>
          </cell>
          <cell r="Q82">
            <v>0</v>
          </cell>
          <cell r="R82">
            <v>129754.66666666666</v>
          </cell>
          <cell r="S82">
            <v>1801647.4368484847</v>
          </cell>
          <cell r="T82">
            <v>417507</v>
          </cell>
          <cell r="U82">
            <v>48658</v>
          </cell>
          <cell r="V82">
            <v>822928</v>
          </cell>
        </row>
        <row r="83">
          <cell r="F83">
            <v>58.32</v>
          </cell>
          <cell r="J83">
            <v>1</v>
          </cell>
          <cell r="K83">
            <v>98673</v>
          </cell>
          <cell r="L83">
            <v>916203</v>
          </cell>
          <cell r="M83">
            <v>848964.77018181805</v>
          </cell>
          <cell r="N83">
            <v>263128</v>
          </cell>
          <cell r="O83">
            <v>2028295.7701818179</v>
          </cell>
          <cell r="P83">
            <v>0</v>
          </cell>
          <cell r="Q83">
            <v>0</v>
          </cell>
          <cell r="R83">
            <v>263128</v>
          </cell>
          <cell r="S83">
            <v>2028295.7701818179</v>
          </cell>
          <cell r="T83">
            <v>417507</v>
          </cell>
          <cell r="U83">
            <v>98673</v>
          </cell>
          <cell r="V83">
            <v>916203</v>
          </cell>
        </row>
        <row r="84">
          <cell r="F84">
            <v>71.400000000000006</v>
          </cell>
          <cell r="J84">
            <v>1</v>
          </cell>
          <cell r="K84">
            <v>98673</v>
          </cell>
          <cell r="L84">
            <v>1055169</v>
          </cell>
          <cell r="M84">
            <v>1039370.4490909091</v>
          </cell>
          <cell r="N84">
            <v>263128</v>
          </cell>
          <cell r="O84">
            <v>2357667.4490909092</v>
          </cell>
          <cell r="P84">
            <v>0</v>
          </cell>
          <cell r="Q84">
            <v>0</v>
          </cell>
          <cell r="R84">
            <v>263128</v>
          </cell>
          <cell r="S84">
            <v>2357667.4490909092</v>
          </cell>
          <cell r="T84">
            <v>511145</v>
          </cell>
          <cell r="U84">
            <v>98673</v>
          </cell>
          <cell r="V84">
            <v>1055169</v>
          </cell>
        </row>
        <row r="85">
          <cell r="F85">
            <v>76.5</v>
          </cell>
          <cell r="J85">
            <v>1</v>
          </cell>
          <cell r="K85">
            <v>108001</v>
          </cell>
          <cell r="L85">
            <v>1151612</v>
          </cell>
          <cell r="M85">
            <v>1113611.1954545453</v>
          </cell>
          <cell r="N85">
            <v>288002.66666666663</v>
          </cell>
          <cell r="O85">
            <v>2553225.8621212118</v>
          </cell>
          <cell r="P85">
            <v>0</v>
          </cell>
          <cell r="Q85">
            <v>0</v>
          </cell>
          <cell r="R85">
            <v>288002.66666666663</v>
          </cell>
          <cell r="S85">
            <v>2553225.8621212118</v>
          </cell>
          <cell r="T85">
            <v>547656</v>
          </cell>
          <cell r="U85">
            <v>108001</v>
          </cell>
          <cell r="V85">
            <v>1151612</v>
          </cell>
        </row>
        <row r="86">
          <cell r="K86">
            <v>0</v>
          </cell>
          <cell r="L86">
            <v>0</v>
          </cell>
          <cell r="N86">
            <v>0</v>
          </cell>
          <cell r="O86">
            <v>0</v>
          </cell>
          <cell r="P86">
            <v>0</v>
          </cell>
          <cell r="Q86">
            <v>0</v>
          </cell>
          <cell r="R86">
            <v>0</v>
          </cell>
          <cell r="S86">
            <v>0</v>
          </cell>
        </row>
        <row r="87">
          <cell r="D87" t="str">
            <v>Máy cạp 9m3</v>
          </cell>
          <cell r="E87" t="str">
            <v>scraper 9m3</v>
          </cell>
          <cell r="F87">
            <v>132</v>
          </cell>
          <cell r="J87">
            <v>1</v>
          </cell>
          <cell r="K87">
            <v>108001</v>
          </cell>
          <cell r="L87">
            <v>1521663</v>
          </cell>
          <cell r="M87">
            <v>1921525.1999999997</v>
          </cell>
          <cell r="N87">
            <v>288002.66666666663</v>
          </cell>
          <cell r="O87">
            <v>3731190.8666666662</v>
          </cell>
          <cell r="P87">
            <v>0</v>
          </cell>
          <cell r="Q87">
            <v>0</v>
          </cell>
          <cell r="R87">
            <v>288002.66666666663</v>
          </cell>
          <cell r="S87">
            <v>3731190.8666666662</v>
          </cell>
          <cell r="T87">
            <v>944975</v>
          </cell>
          <cell r="U87">
            <v>108001</v>
          </cell>
          <cell r="V87">
            <v>1521663</v>
          </cell>
        </row>
        <row r="88">
          <cell r="F88">
            <v>138</v>
          </cell>
          <cell r="J88">
            <v>1</v>
          </cell>
          <cell r="K88">
            <v>108001</v>
          </cell>
          <cell r="L88">
            <v>1682281</v>
          </cell>
          <cell r="M88">
            <v>2008867.2545454544</v>
          </cell>
          <cell r="N88">
            <v>288002.66666666663</v>
          </cell>
          <cell r="O88">
            <v>3979150.9212121209</v>
          </cell>
          <cell r="P88">
            <v>0</v>
          </cell>
          <cell r="Q88">
            <v>0</v>
          </cell>
          <cell r="R88">
            <v>288002.66666666663</v>
          </cell>
          <cell r="S88">
            <v>3979150.9212121209</v>
          </cell>
          <cell r="T88">
            <v>987928</v>
          </cell>
          <cell r="U88">
            <v>108001</v>
          </cell>
          <cell r="V88">
            <v>1682281</v>
          </cell>
        </row>
        <row r="89">
          <cell r="D89" t="str">
            <v>Máy cạp 16m3</v>
          </cell>
          <cell r="E89" t="str">
            <v>scraper 16m3</v>
          </cell>
          <cell r="F89">
            <v>153.9</v>
          </cell>
          <cell r="J89">
            <v>1</v>
          </cell>
          <cell r="K89">
            <v>119196</v>
          </cell>
          <cell r="L89">
            <v>2165815</v>
          </cell>
          <cell r="M89">
            <v>2240323.6990909092</v>
          </cell>
          <cell r="N89">
            <v>317856</v>
          </cell>
          <cell r="O89">
            <v>4723994.6990909092</v>
          </cell>
          <cell r="P89">
            <v>0</v>
          </cell>
          <cell r="Q89">
            <v>0</v>
          </cell>
          <cell r="R89">
            <v>317856</v>
          </cell>
          <cell r="S89">
            <v>4723994.6990909092</v>
          </cell>
          <cell r="T89">
            <v>1101755</v>
          </cell>
          <cell r="U89">
            <v>119196</v>
          </cell>
          <cell r="V89">
            <v>2165815</v>
          </cell>
        </row>
        <row r="90">
          <cell r="F90">
            <v>182.4</v>
          </cell>
          <cell r="J90">
            <v>1</v>
          </cell>
          <cell r="K90">
            <v>119196</v>
          </cell>
          <cell r="L90">
            <v>2791845</v>
          </cell>
          <cell r="M90">
            <v>2655198.458181818</v>
          </cell>
          <cell r="N90">
            <v>317856</v>
          </cell>
          <cell r="O90">
            <v>5764899.458181818</v>
          </cell>
          <cell r="P90">
            <v>0</v>
          </cell>
          <cell r="Q90">
            <v>0</v>
          </cell>
          <cell r="R90">
            <v>317856</v>
          </cell>
          <cell r="S90">
            <v>5764899.458181818</v>
          </cell>
          <cell r="T90">
            <v>1305783</v>
          </cell>
          <cell r="U90">
            <v>119196</v>
          </cell>
          <cell r="V90">
            <v>2791845</v>
          </cell>
        </row>
        <row r="91">
          <cell r="K91">
            <v>0</v>
          </cell>
          <cell r="L91">
            <v>0</v>
          </cell>
          <cell r="N91">
            <v>0</v>
          </cell>
          <cell r="O91">
            <v>0</v>
          </cell>
          <cell r="P91">
            <v>0</v>
          </cell>
          <cell r="Q91">
            <v>0</v>
          </cell>
          <cell r="R91">
            <v>0</v>
          </cell>
          <cell r="S91">
            <v>0</v>
          </cell>
        </row>
        <row r="92">
          <cell r="F92">
            <v>19.440000000000001</v>
          </cell>
          <cell r="J92">
            <v>1</v>
          </cell>
          <cell r="K92">
            <v>48658</v>
          </cell>
          <cell r="L92">
            <v>558344</v>
          </cell>
          <cell r="M92">
            <v>282988.2567272727</v>
          </cell>
          <cell r="N92">
            <v>129754.66666666666</v>
          </cell>
          <cell r="O92">
            <v>971086.92339393927</v>
          </cell>
          <cell r="P92">
            <v>0</v>
          </cell>
          <cell r="Q92">
            <v>0</v>
          </cell>
          <cell r="R92">
            <v>129754.66666666666</v>
          </cell>
          <cell r="S92">
            <v>971086.92339393939</v>
          </cell>
          <cell r="T92">
            <v>139169</v>
          </cell>
          <cell r="U92">
            <v>48658</v>
          </cell>
          <cell r="V92">
            <v>558344</v>
          </cell>
        </row>
        <row r="93">
          <cell r="F93">
            <v>32.4</v>
          </cell>
          <cell r="J93">
            <v>1</v>
          </cell>
          <cell r="K93">
            <v>48658</v>
          </cell>
          <cell r="L93">
            <v>701715</v>
          </cell>
          <cell r="M93">
            <v>471647.09454545449</v>
          </cell>
          <cell r="N93">
            <v>129754.66666666666</v>
          </cell>
          <cell r="O93">
            <v>1303116.7612121212</v>
          </cell>
          <cell r="P93">
            <v>0</v>
          </cell>
          <cell r="Q93">
            <v>0</v>
          </cell>
          <cell r="R93">
            <v>129754.66666666666</v>
          </cell>
          <cell r="S93">
            <v>1303116.7612121212</v>
          </cell>
          <cell r="T93">
            <v>231948</v>
          </cell>
          <cell r="U93">
            <v>48658</v>
          </cell>
          <cell r="V93">
            <v>701715</v>
          </cell>
        </row>
        <row r="94">
          <cell r="D94" t="str">
            <v>Máy san 108CV</v>
          </cell>
          <cell r="E94" t="str">
            <v>Motor grader 180CV</v>
          </cell>
          <cell r="F94">
            <v>38.880000000000003</v>
          </cell>
          <cell r="J94">
            <v>1</v>
          </cell>
          <cell r="K94">
            <v>98673</v>
          </cell>
          <cell r="L94">
            <v>817979</v>
          </cell>
          <cell r="M94">
            <v>565976.51345454541</v>
          </cell>
          <cell r="N94">
            <v>263128</v>
          </cell>
          <cell r="O94">
            <v>1647083.5134545453</v>
          </cell>
          <cell r="P94">
            <v>18.617246074457981</v>
          </cell>
          <cell r="Q94">
            <v>10536924.02334705</v>
          </cell>
          <cell r="R94">
            <v>263128</v>
          </cell>
          <cell r="S94">
            <v>1647083.5134545453</v>
          </cell>
          <cell r="T94">
            <v>278338</v>
          </cell>
          <cell r="U94">
            <v>98673</v>
          </cell>
          <cell r="V94">
            <v>817979</v>
          </cell>
        </row>
        <row r="95">
          <cell r="F95">
            <v>54</v>
          </cell>
          <cell r="J95">
            <v>1</v>
          </cell>
          <cell r="K95">
            <v>98673</v>
          </cell>
          <cell r="L95">
            <v>1205625</v>
          </cell>
          <cell r="M95">
            <v>786078.49090909085</v>
          </cell>
          <cell r="N95">
            <v>263128</v>
          </cell>
          <cell r="O95">
            <v>2254831.4909090907</v>
          </cell>
          <cell r="P95">
            <v>0</v>
          </cell>
          <cell r="Q95">
            <v>0</v>
          </cell>
          <cell r="R95">
            <v>263128</v>
          </cell>
          <cell r="S95">
            <v>2254831.4909090907</v>
          </cell>
          <cell r="T95">
            <v>386581</v>
          </cell>
          <cell r="U95">
            <v>98673</v>
          </cell>
          <cell r="V95">
            <v>1205625</v>
          </cell>
        </row>
        <row r="96">
          <cell r="F96">
            <v>75</v>
          </cell>
          <cell r="J96">
            <v>1</v>
          </cell>
          <cell r="K96">
            <v>108001</v>
          </cell>
          <cell r="L96">
            <v>1419149</v>
          </cell>
          <cell r="M96">
            <v>1091775.6818181816</v>
          </cell>
          <cell r="N96">
            <v>288002.66666666663</v>
          </cell>
          <cell r="O96">
            <v>2798927.3484848482</v>
          </cell>
          <cell r="P96">
            <v>0</v>
          </cell>
          <cell r="Q96">
            <v>0</v>
          </cell>
          <cell r="R96">
            <v>288002.66666666663</v>
          </cell>
          <cell r="S96">
            <v>2798927.3484848482</v>
          </cell>
          <cell r="T96">
            <v>536918</v>
          </cell>
          <cell r="U96">
            <v>108001</v>
          </cell>
          <cell r="V96">
            <v>1419149</v>
          </cell>
        </row>
        <row r="97">
          <cell r="K97">
            <v>0</v>
          </cell>
          <cell r="L97">
            <v>0</v>
          </cell>
          <cell r="N97">
            <v>0</v>
          </cell>
          <cell r="O97">
            <v>0</v>
          </cell>
          <cell r="P97">
            <v>0</v>
          </cell>
          <cell r="Q97">
            <v>0</v>
          </cell>
          <cell r="R97">
            <v>0</v>
          </cell>
          <cell r="S97">
            <v>0</v>
          </cell>
        </row>
        <row r="98">
          <cell r="D98" t="str">
            <v>Đầm cóc</v>
          </cell>
          <cell r="E98" t="str">
            <v>tamping rammer</v>
          </cell>
          <cell r="H98">
            <v>3.06</v>
          </cell>
          <cell r="J98">
            <v>1</v>
          </cell>
          <cell r="K98">
            <v>41873</v>
          </cell>
          <cell r="L98">
            <v>50799</v>
          </cell>
          <cell r="M98">
            <v>44267.031000000003</v>
          </cell>
          <cell r="N98">
            <v>111661.33333333333</v>
          </cell>
          <cell r="O98">
            <v>206727.36433333333</v>
          </cell>
          <cell r="P98">
            <v>134.4785692533853</v>
          </cell>
          <cell r="Q98">
            <v>5952966.9939752547</v>
          </cell>
          <cell r="R98">
            <v>111661.33333333333</v>
          </cell>
          <cell r="S98">
            <v>206727.36433333333</v>
          </cell>
          <cell r="T98">
            <v>26648</v>
          </cell>
          <cell r="U98">
            <v>41873</v>
          </cell>
          <cell r="V98">
            <v>50799</v>
          </cell>
        </row>
        <row r="99">
          <cell r="H99">
            <v>3.57</v>
          </cell>
          <cell r="J99">
            <v>1</v>
          </cell>
          <cell r="K99">
            <v>41873</v>
          </cell>
          <cell r="L99">
            <v>84732</v>
          </cell>
          <cell r="M99">
            <v>51644.869499999993</v>
          </cell>
          <cell r="N99">
            <v>111661.33333333333</v>
          </cell>
          <cell r="O99">
            <v>248038.20283333334</v>
          </cell>
          <cell r="P99">
            <v>0</v>
          </cell>
          <cell r="Q99">
            <v>0</v>
          </cell>
          <cell r="R99">
            <v>111661.33333333333</v>
          </cell>
          <cell r="S99">
            <v>248038.20283333331</v>
          </cell>
          <cell r="T99">
            <v>31090</v>
          </cell>
          <cell r="U99">
            <v>41873</v>
          </cell>
          <cell r="V99">
            <v>84732</v>
          </cell>
        </row>
        <row r="100">
          <cell r="H100">
            <v>4.08</v>
          </cell>
          <cell r="J100">
            <v>1</v>
          </cell>
          <cell r="K100">
            <v>41873</v>
          </cell>
          <cell r="L100">
            <v>90127</v>
          </cell>
          <cell r="M100">
            <v>59022.707999999999</v>
          </cell>
          <cell r="N100">
            <v>111661.33333333333</v>
          </cell>
          <cell r="O100">
            <v>260811.0413333333</v>
          </cell>
          <cell r="P100">
            <v>0</v>
          </cell>
          <cell r="Q100">
            <v>0</v>
          </cell>
          <cell r="R100">
            <v>111661.33333333333</v>
          </cell>
          <cell r="S100">
            <v>260811.04133333333</v>
          </cell>
          <cell r="T100">
            <v>35531</v>
          </cell>
          <cell r="U100">
            <v>41873</v>
          </cell>
          <cell r="V100">
            <v>90127</v>
          </cell>
        </row>
        <row r="101">
          <cell r="H101">
            <v>4.59</v>
          </cell>
          <cell r="J101">
            <v>1</v>
          </cell>
          <cell r="K101">
            <v>41873</v>
          </cell>
          <cell r="L101">
            <v>95205</v>
          </cell>
          <cell r="M101">
            <v>66400.546499999997</v>
          </cell>
          <cell r="N101">
            <v>111661.33333333333</v>
          </cell>
          <cell r="O101">
            <v>273266.87983333331</v>
          </cell>
          <cell r="P101">
            <v>0</v>
          </cell>
          <cell r="Q101">
            <v>0</v>
          </cell>
          <cell r="R101">
            <v>111661.33333333333</v>
          </cell>
          <cell r="S101">
            <v>273266.87983333331</v>
          </cell>
          <cell r="T101">
            <v>39973</v>
          </cell>
          <cell r="U101">
            <v>41873</v>
          </cell>
          <cell r="V101">
            <v>95205</v>
          </cell>
        </row>
        <row r="102">
          <cell r="K102">
            <v>0</v>
          </cell>
          <cell r="L102">
            <v>0</v>
          </cell>
          <cell r="N102">
            <v>0</v>
          </cell>
          <cell r="O102">
            <v>0</v>
          </cell>
          <cell r="P102">
            <v>0</v>
          </cell>
          <cell r="Q102">
            <v>0</v>
          </cell>
          <cell r="R102">
            <v>0</v>
          </cell>
          <cell r="S102">
            <v>0</v>
          </cell>
        </row>
        <row r="103">
          <cell r="F103">
            <v>36</v>
          </cell>
          <cell r="J103">
            <v>1</v>
          </cell>
          <cell r="K103">
            <v>48658</v>
          </cell>
          <cell r="L103">
            <v>373390</v>
          </cell>
          <cell r="M103">
            <v>524052.32727272721</v>
          </cell>
          <cell r="N103">
            <v>129754.66666666666</v>
          </cell>
          <cell r="O103">
            <v>1027196.9939393938</v>
          </cell>
          <cell r="P103">
            <v>0</v>
          </cell>
          <cell r="Q103">
            <v>0</v>
          </cell>
          <cell r="R103">
            <v>129754.66666666666</v>
          </cell>
          <cell r="S103">
            <v>1027196.9939393939</v>
          </cell>
          <cell r="T103">
            <v>257720</v>
          </cell>
          <cell r="U103">
            <v>48658</v>
          </cell>
          <cell r="V103">
            <v>373390</v>
          </cell>
        </row>
        <row r="104">
          <cell r="F104">
            <v>38.4</v>
          </cell>
          <cell r="J104">
            <v>1</v>
          </cell>
          <cell r="K104">
            <v>48658</v>
          </cell>
          <cell r="L104">
            <v>480992</v>
          </cell>
          <cell r="M104">
            <v>558989.14909090893</v>
          </cell>
          <cell r="N104">
            <v>129754.66666666666</v>
          </cell>
          <cell r="O104">
            <v>1169735.8157575757</v>
          </cell>
          <cell r="P104">
            <v>0</v>
          </cell>
          <cell r="Q104">
            <v>0</v>
          </cell>
          <cell r="R104">
            <v>129754.66666666666</v>
          </cell>
          <cell r="S104">
            <v>1169735.8157575754</v>
          </cell>
          <cell r="T104">
            <v>274902</v>
          </cell>
          <cell r="U104">
            <v>48658</v>
          </cell>
          <cell r="V104">
            <v>480992</v>
          </cell>
        </row>
        <row r="105">
          <cell r="D105" t="str">
            <v>Máy đầm 18T</v>
          </cell>
          <cell r="E105" t="str">
            <v>Compactor 18T</v>
          </cell>
          <cell r="F105">
            <v>46.2</v>
          </cell>
          <cell r="J105">
            <v>1</v>
          </cell>
          <cell r="K105">
            <v>48658</v>
          </cell>
          <cell r="L105">
            <v>578736</v>
          </cell>
          <cell r="M105">
            <v>672533.82</v>
          </cell>
          <cell r="N105">
            <v>129754.66666666666</v>
          </cell>
          <cell r="O105">
            <v>1381024.4866666666</v>
          </cell>
          <cell r="P105">
            <v>0</v>
          </cell>
          <cell r="Q105">
            <v>0</v>
          </cell>
          <cell r="R105">
            <v>129754.66666666666</v>
          </cell>
          <cell r="S105">
            <v>1381024.4866666666</v>
          </cell>
          <cell r="T105">
            <v>330741</v>
          </cell>
          <cell r="U105">
            <v>48658</v>
          </cell>
          <cell r="V105">
            <v>578736</v>
          </cell>
        </row>
        <row r="106">
          <cell r="F106">
            <v>54.6</v>
          </cell>
          <cell r="J106">
            <v>1</v>
          </cell>
          <cell r="K106">
            <v>56800</v>
          </cell>
          <cell r="L106">
            <v>655424</v>
          </cell>
          <cell r="M106">
            <v>794812.69636363629</v>
          </cell>
          <cell r="N106">
            <v>151466.66666666666</v>
          </cell>
          <cell r="O106">
            <v>1601703.363030303</v>
          </cell>
          <cell r="P106">
            <v>0</v>
          </cell>
          <cell r="Q106">
            <v>0</v>
          </cell>
          <cell r="R106">
            <v>151466.66666666666</v>
          </cell>
          <cell r="S106">
            <v>1601703.3630303028</v>
          </cell>
          <cell r="T106">
            <v>390876</v>
          </cell>
          <cell r="U106">
            <v>56800</v>
          </cell>
          <cell r="V106">
            <v>655424</v>
          </cell>
        </row>
        <row r="107">
          <cell r="F107">
            <v>63</v>
          </cell>
          <cell r="J107">
            <v>1</v>
          </cell>
          <cell r="K107">
            <v>56800</v>
          </cell>
          <cell r="L107">
            <v>674958</v>
          </cell>
          <cell r="M107">
            <v>917091.57272727264</v>
          </cell>
          <cell r="N107">
            <v>151466.66666666666</v>
          </cell>
          <cell r="O107">
            <v>1743516.2393939395</v>
          </cell>
          <cell r="P107">
            <v>0</v>
          </cell>
          <cell r="Q107">
            <v>0</v>
          </cell>
          <cell r="R107">
            <v>151466.66666666666</v>
          </cell>
          <cell r="S107">
            <v>1743516.2393939393</v>
          </cell>
          <cell r="T107">
            <v>451011</v>
          </cell>
          <cell r="U107">
            <v>56800</v>
          </cell>
          <cell r="V107">
            <v>674958</v>
          </cell>
        </row>
        <row r="108">
          <cell r="K108">
            <v>0</v>
          </cell>
          <cell r="L108">
            <v>0</v>
          </cell>
          <cell r="N108">
            <v>0</v>
          </cell>
          <cell r="O108">
            <v>0</v>
          </cell>
          <cell r="P108">
            <v>0</v>
          </cell>
          <cell r="Q108">
            <v>0</v>
          </cell>
          <cell r="R108">
            <v>0</v>
          </cell>
          <cell r="S108">
            <v>0</v>
          </cell>
        </row>
        <row r="109">
          <cell r="D109" t="str">
            <v>Lu bánh lốp 16T</v>
          </cell>
          <cell r="E109" t="str">
            <v>Pneumatic roller 16T</v>
          </cell>
          <cell r="F109">
            <v>37.799999999999997</v>
          </cell>
          <cell r="J109">
            <v>1</v>
          </cell>
          <cell r="K109">
            <v>56800</v>
          </cell>
          <cell r="L109">
            <v>604874</v>
          </cell>
          <cell r="M109">
            <v>550254.94363636349</v>
          </cell>
          <cell r="N109">
            <v>151466.66666666666</v>
          </cell>
          <cell r="O109">
            <v>1306595.6103030301</v>
          </cell>
          <cell r="P109">
            <v>1439.2435182497175</v>
          </cell>
          <cell r="Q109">
            <v>791950861.01349974</v>
          </cell>
          <cell r="R109">
            <v>151466.66666666666</v>
          </cell>
          <cell r="S109">
            <v>1306595.6103030301</v>
          </cell>
          <cell r="T109">
            <v>270606</v>
          </cell>
          <cell r="U109">
            <v>56800</v>
          </cell>
          <cell r="V109">
            <v>604874</v>
          </cell>
        </row>
        <row r="110">
          <cell r="F110">
            <v>42</v>
          </cell>
          <cell r="J110">
            <v>1</v>
          </cell>
          <cell r="K110">
            <v>56800</v>
          </cell>
          <cell r="L110">
            <v>634238</v>
          </cell>
          <cell r="M110">
            <v>611394.38181818172</v>
          </cell>
          <cell r="N110">
            <v>151466.66666666666</v>
          </cell>
          <cell r="O110">
            <v>1397099.0484848486</v>
          </cell>
          <cell r="P110">
            <v>0</v>
          </cell>
          <cell r="Q110">
            <v>0</v>
          </cell>
          <cell r="R110">
            <v>151466.66666666666</v>
          </cell>
          <cell r="S110">
            <v>1397099.0484848483</v>
          </cell>
          <cell r="T110">
            <v>300674</v>
          </cell>
          <cell r="U110">
            <v>56800</v>
          </cell>
          <cell r="V110">
            <v>634238</v>
          </cell>
        </row>
        <row r="111">
          <cell r="D111" t="str">
            <v>Máy đầm 25T</v>
          </cell>
          <cell r="E111" t="str">
            <v>Pneumatic roller 25T</v>
          </cell>
          <cell r="F111">
            <v>54.6</v>
          </cell>
          <cell r="J111">
            <v>1</v>
          </cell>
          <cell r="K111">
            <v>56800</v>
          </cell>
          <cell r="L111">
            <v>707911</v>
          </cell>
          <cell r="M111">
            <v>794812.69636363629</v>
          </cell>
          <cell r="N111">
            <v>151466.66666666666</v>
          </cell>
          <cell r="O111">
            <v>1654190.363030303</v>
          </cell>
          <cell r="P111">
            <v>0</v>
          </cell>
          <cell r="Q111">
            <v>0</v>
          </cell>
          <cell r="R111">
            <v>151466.66666666666</v>
          </cell>
          <cell r="S111">
            <v>1654190.3630303028</v>
          </cell>
          <cell r="T111">
            <v>390876</v>
          </cell>
          <cell r="U111">
            <v>56800</v>
          </cell>
          <cell r="V111">
            <v>707911</v>
          </cell>
        </row>
        <row r="112">
          <cell r="K112">
            <v>0</v>
          </cell>
          <cell r="L112">
            <v>0</v>
          </cell>
          <cell r="N112">
            <v>0</v>
          </cell>
          <cell r="O112">
            <v>0</v>
          </cell>
          <cell r="P112">
            <v>0</v>
          </cell>
          <cell r="Q112">
            <v>0</v>
          </cell>
          <cell r="R112">
            <v>0</v>
          </cell>
          <cell r="S112">
            <v>0</v>
          </cell>
        </row>
        <row r="113">
          <cell r="F113">
            <v>19.2</v>
          </cell>
          <cell r="J113">
            <v>1</v>
          </cell>
          <cell r="K113">
            <v>48658</v>
          </cell>
          <cell r="L113">
            <v>710466</v>
          </cell>
          <cell r="M113">
            <v>279494.57454545447</v>
          </cell>
          <cell r="N113">
            <v>129754.66666666666</v>
          </cell>
          <cell r="O113">
            <v>1119715.2412121212</v>
          </cell>
          <cell r="P113">
            <v>0</v>
          </cell>
          <cell r="Q113">
            <v>0</v>
          </cell>
          <cell r="R113">
            <v>129754.66666666666</v>
          </cell>
          <cell r="S113">
            <v>1119715.2412121212</v>
          </cell>
          <cell r="T113">
            <v>137451</v>
          </cell>
          <cell r="U113">
            <v>48658</v>
          </cell>
          <cell r="V113">
            <v>710466</v>
          </cell>
        </row>
        <row r="114">
          <cell r="F114">
            <v>38.64</v>
          </cell>
          <cell r="J114">
            <v>1</v>
          </cell>
          <cell r="K114">
            <v>48658</v>
          </cell>
          <cell r="L114">
            <v>1092533</v>
          </cell>
          <cell r="M114">
            <v>562482.83127272723</v>
          </cell>
          <cell r="N114">
            <v>129754.66666666666</v>
          </cell>
          <cell r="O114">
            <v>1784770.4979393941</v>
          </cell>
          <cell r="P114">
            <v>0</v>
          </cell>
          <cell r="Q114">
            <v>0</v>
          </cell>
          <cell r="R114">
            <v>129754.66666666666</v>
          </cell>
          <cell r="S114">
            <v>1784770.4979393939</v>
          </cell>
          <cell r="T114">
            <v>276620</v>
          </cell>
          <cell r="U114">
            <v>48658</v>
          </cell>
          <cell r="V114">
            <v>1092533</v>
          </cell>
        </row>
        <row r="115">
          <cell r="F115">
            <v>52.8</v>
          </cell>
          <cell r="J115">
            <v>1</v>
          </cell>
          <cell r="K115">
            <v>48658</v>
          </cell>
          <cell r="L115">
            <v>1300107</v>
          </cell>
          <cell r="M115">
            <v>768610.07999999984</v>
          </cell>
          <cell r="N115">
            <v>129754.66666666666</v>
          </cell>
          <cell r="O115">
            <v>2198471.7466666666</v>
          </cell>
          <cell r="P115">
            <v>0</v>
          </cell>
          <cell r="Q115">
            <v>0</v>
          </cell>
          <cell r="R115">
            <v>129754.66666666666</v>
          </cell>
          <cell r="S115">
            <v>2198471.7466666666</v>
          </cell>
          <cell r="T115">
            <v>377990</v>
          </cell>
          <cell r="U115">
            <v>48658</v>
          </cell>
          <cell r="V115">
            <v>1300107</v>
          </cell>
        </row>
        <row r="116">
          <cell r="D116" t="str">
            <v>Máy lu rung 25T</v>
          </cell>
          <cell r="E116" t="str">
            <v>Vibrating roller 25T</v>
          </cell>
          <cell r="F116">
            <v>67.2</v>
          </cell>
          <cell r="J116">
            <v>1</v>
          </cell>
          <cell r="K116">
            <v>48658</v>
          </cell>
          <cell r="L116">
            <v>1488916</v>
          </cell>
          <cell r="M116">
            <v>978231.01090909087</v>
          </cell>
          <cell r="N116">
            <v>129754.66666666666</v>
          </cell>
          <cell r="O116">
            <v>2596901.6775757573</v>
          </cell>
          <cell r="P116">
            <v>77.120582905768458</v>
          </cell>
          <cell r="Q116">
            <v>75441745.777808234</v>
          </cell>
          <cell r="R116">
            <v>129754.66666666666</v>
          </cell>
          <cell r="S116">
            <v>2596901.6775757577</v>
          </cell>
          <cell r="T116">
            <v>481078</v>
          </cell>
          <cell r="U116">
            <v>48658</v>
          </cell>
          <cell r="V116">
            <v>1488916</v>
          </cell>
        </row>
        <row r="117">
          <cell r="K117">
            <v>0</v>
          </cell>
          <cell r="L117">
            <v>0</v>
          </cell>
          <cell r="N117">
            <v>0</v>
          </cell>
          <cell r="O117">
            <v>0</v>
          </cell>
          <cell r="P117">
            <v>0</v>
          </cell>
          <cell r="Q117">
            <v>0</v>
          </cell>
          <cell r="R117">
            <v>0</v>
          </cell>
          <cell r="S117">
            <v>0</v>
          </cell>
        </row>
        <row r="118">
          <cell r="F118">
            <v>25.92</v>
          </cell>
          <cell r="J118">
            <v>1</v>
          </cell>
          <cell r="K118">
            <v>48658</v>
          </cell>
          <cell r="L118">
            <v>542507</v>
          </cell>
          <cell r="M118">
            <v>377317.67563636362</v>
          </cell>
          <cell r="N118">
            <v>129754.66666666666</v>
          </cell>
          <cell r="O118">
            <v>1049579.3423030304</v>
          </cell>
          <cell r="P118">
            <v>0</v>
          </cell>
          <cell r="Q118">
            <v>0</v>
          </cell>
          <cell r="R118">
            <v>129754.66666666666</v>
          </cell>
          <cell r="S118">
            <v>1049579.3423030302</v>
          </cell>
          <cell r="T118">
            <v>185559</v>
          </cell>
          <cell r="U118">
            <v>48658</v>
          </cell>
          <cell r="V118">
            <v>542507</v>
          </cell>
        </row>
        <row r="119">
          <cell r="F119">
            <v>36</v>
          </cell>
          <cell r="J119">
            <v>1</v>
          </cell>
          <cell r="K119">
            <v>48658</v>
          </cell>
          <cell r="L119">
            <v>621382</v>
          </cell>
          <cell r="M119">
            <v>524052.32727272721</v>
          </cell>
          <cell r="N119">
            <v>129754.66666666666</v>
          </cell>
          <cell r="O119">
            <v>1275188.9939393939</v>
          </cell>
          <cell r="P119">
            <v>0</v>
          </cell>
          <cell r="Q119">
            <v>0</v>
          </cell>
          <cell r="R119">
            <v>129754.66666666666</v>
          </cell>
          <cell r="S119">
            <v>1275188.9939393939</v>
          </cell>
          <cell r="T119">
            <v>257720</v>
          </cell>
          <cell r="U119">
            <v>48658</v>
          </cell>
          <cell r="V119">
            <v>621382</v>
          </cell>
        </row>
        <row r="120">
          <cell r="K120">
            <v>0</v>
          </cell>
          <cell r="L120">
            <v>0</v>
          </cell>
          <cell r="N120">
            <v>0</v>
          </cell>
          <cell r="O120">
            <v>0</v>
          </cell>
          <cell r="P120">
            <v>0</v>
          </cell>
          <cell r="Q120">
            <v>0</v>
          </cell>
          <cell r="R120">
            <v>0</v>
          </cell>
          <cell r="S120">
            <v>0</v>
          </cell>
        </row>
        <row r="121">
          <cell r="D121" t="str">
            <v>Máy lu 8.5T</v>
          </cell>
          <cell r="E121" t="str">
            <v>Steel roller 9T</v>
          </cell>
          <cell r="F121">
            <v>24</v>
          </cell>
          <cell r="J121">
            <v>1</v>
          </cell>
          <cell r="K121">
            <v>41873</v>
          </cell>
          <cell r="L121">
            <v>353952</v>
          </cell>
          <cell r="M121">
            <v>349368.2181818182</v>
          </cell>
          <cell r="N121">
            <v>111661.33333333333</v>
          </cell>
          <cell r="O121">
            <v>814981.55151515163</v>
          </cell>
          <cell r="P121">
            <v>0</v>
          </cell>
          <cell r="Q121">
            <v>0</v>
          </cell>
          <cell r="R121">
            <v>111661.33333333333</v>
          </cell>
          <cell r="S121">
            <v>814981.55151515151</v>
          </cell>
          <cell r="T121">
            <v>171814</v>
          </cell>
          <cell r="U121">
            <v>41873</v>
          </cell>
          <cell r="V121">
            <v>353952</v>
          </cell>
        </row>
        <row r="122">
          <cell r="D122" t="str">
            <v>Máy lu bánh thép 10T</v>
          </cell>
          <cell r="E122" t="str">
            <v>Steel roller 10T</v>
          </cell>
          <cell r="F122">
            <v>26.4</v>
          </cell>
          <cell r="J122">
            <v>1</v>
          </cell>
          <cell r="K122">
            <v>48658</v>
          </cell>
          <cell r="L122">
            <v>404491</v>
          </cell>
          <cell r="M122">
            <v>384305.03999999992</v>
          </cell>
          <cell r="N122">
            <v>129754.66666666666</v>
          </cell>
          <cell r="O122">
            <v>918550.70666666655</v>
          </cell>
          <cell r="P122">
            <v>240.66191463913992</v>
          </cell>
          <cell r="Q122">
            <v>92487586.731871232</v>
          </cell>
          <cell r="R122">
            <v>129754.66666666666</v>
          </cell>
          <cell r="S122">
            <v>918550.70666666655</v>
          </cell>
          <cell r="T122">
            <v>188995</v>
          </cell>
          <cell r="U122">
            <v>48658</v>
          </cell>
          <cell r="V122">
            <v>404491</v>
          </cell>
        </row>
        <row r="123">
          <cell r="F123">
            <v>32.159999999999997</v>
          </cell>
          <cell r="J123">
            <v>1</v>
          </cell>
          <cell r="K123">
            <v>48658</v>
          </cell>
          <cell r="L123">
            <v>424039</v>
          </cell>
          <cell r="M123">
            <v>468153.41236363631</v>
          </cell>
          <cell r="N123">
            <v>129754.66666666666</v>
          </cell>
          <cell r="O123">
            <v>1021947.0790303029</v>
          </cell>
          <cell r="P123">
            <v>0</v>
          </cell>
          <cell r="Q123">
            <v>0</v>
          </cell>
          <cell r="R123">
            <v>129754.66666666666</v>
          </cell>
          <cell r="S123">
            <v>1021947.0790303029</v>
          </cell>
          <cell r="T123">
            <v>230230</v>
          </cell>
          <cell r="U123">
            <v>48658</v>
          </cell>
          <cell r="V123">
            <v>424039</v>
          </cell>
        </row>
        <row r="124">
          <cell r="F124">
            <v>36</v>
          </cell>
          <cell r="J124">
            <v>1</v>
          </cell>
          <cell r="K124">
            <v>48658</v>
          </cell>
          <cell r="L124">
            <v>457780</v>
          </cell>
          <cell r="M124">
            <v>524052.32727272721</v>
          </cell>
          <cell r="N124">
            <v>129754.66666666666</v>
          </cell>
          <cell r="O124">
            <v>1111586.9939393939</v>
          </cell>
          <cell r="P124">
            <v>0</v>
          </cell>
          <cell r="Q124">
            <v>0</v>
          </cell>
          <cell r="R124">
            <v>129754.66666666666</v>
          </cell>
          <cell r="S124">
            <v>1111586.9939393939</v>
          </cell>
          <cell r="T124">
            <v>257720</v>
          </cell>
          <cell r="U124">
            <v>48658</v>
          </cell>
          <cell r="V124">
            <v>457780</v>
          </cell>
        </row>
        <row r="125">
          <cell r="F125">
            <v>38.4</v>
          </cell>
          <cell r="J125">
            <v>1</v>
          </cell>
          <cell r="K125">
            <v>48658</v>
          </cell>
          <cell r="L125">
            <v>502230</v>
          </cell>
          <cell r="M125">
            <v>558989.14909090893</v>
          </cell>
          <cell r="N125">
            <v>129754.66666666666</v>
          </cell>
          <cell r="O125">
            <v>1190973.8157575757</v>
          </cell>
          <cell r="P125">
            <v>0</v>
          </cell>
          <cell r="Q125">
            <v>0</v>
          </cell>
          <cell r="R125">
            <v>129754.66666666666</v>
          </cell>
          <cell r="S125">
            <v>1190973.8157575754</v>
          </cell>
          <cell r="T125">
            <v>274902</v>
          </cell>
          <cell r="U125">
            <v>48658</v>
          </cell>
          <cell r="V125">
            <v>502230</v>
          </cell>
        </row>
        <row r="126">
          <cell r="F126">
            <v>41.76</v>
          </cell>
          <cell r="J126">
            <v>1</v>
          </cell>
          <cell r="K126">
            <v>48658</v>
          </cell>
          <cell r="L126">
            <v>580125</v>
          </cell>
          <cell r="M126">
            <v>607900.69963636354</v>
          </cell>
          <cell r="N126">
            <v>129754.66666666666</v>
          </cell>
          <cell r="O126">
            <v>1317780.3663030302</v>
          </cell>
          <cell r="P126">
            <v>0</v>
          </cell>
          <cell r="Q126">
            <v>0</v>
          </cell>
          <cell r="R126">
            <v>129754.66666666666</v>
          </cell>
          <cell r="S126">
            <v>1317780.3663030302</v>
          </cell>
          <cell r="T126">
            <v>298956</v>
          </cell>
          <cell r="U126">
            <v>48658</v>
          </cell>
          <cell r="V126">
            <v>580125</v>
          </cell>
        </row>
        <row r="127">
          <cell r="K127">
            <v>0</v>
          </cell>
          <cell r="L127">
            <v>0</v>
          </cell>
          <cell r="N127">
            <v>0</v>
          </cell>
          <cell r="O127">
            <v>0</v>
          </cell>
          <cell r="P127">
            <v>0</v>
          </cell>
          <cell r="Q127">
            <v>0</v>
          </cell>
          <cell r="R127">
            <v>0</v>
          </cell>
          <cell r="S127">
            <v>0</v>
          </cell>
        </row>
        <row r="128">
          <cell r="E128" t="str">
            <v>10T</v>
          </cell>
          <cell r="F128">
            <v>40.32</v>
          </cell>
          <cell r="J128">
            <v>1</v>
          </cell>
          <cell r="K128">
            <v>48658</v>
          </cell>
          <cell r="L128">
            <v>547011</v>
          </cell>
          <cell r="M128">
            <v>586938.60654545447</v>
          </cell>
          <cell r="N128">
            <v>129754.66666666666</v>
          </cell>
          <cell r="O128">
            <v>1263704.2732121211</v>
          </cell>
          <cell r="P128">
            <v>0</v>
          </cell>
          <cell r="Q128">
            <v>0</v>
          </cell>
          <cell r="R128">
            <v>129754.66666666666</v>
          </cell>
          <cell r="S128">
            <v>1263704.2732121211</v>
          </cell>
          <cell r="T128">
            <v>288647</v>
          </cell>
          <cell r="U128">
            <v>48658</v>
          </cell>
          <cell r="V128">
            <v>547011</v>
          </cell>
        </row>
        <row r="129">
          <cell r="K129">
            <v>0</v>
          </cell>
          <cell r="L129">
            <v>0</v>
          </cell>
          <cell r="N129">
            <v>0</v>
          </cell>
          <cell r="O129">
            <v>0</v>
          </cell>
          <cell r="P129">
            <v>0</v>
          </cell>
          <cell r="Q129">
            <v>0</v>
          </cell>
          <cell r="R129">
            <v>0</v>
          </cell>
          <cell r="S129">
            <v>0</v>
          </cell>
        </row>
        <row r="130">
          <cell r="H130">
            <v>12</v>
          </cell>
          <cell r="J130">
            <v>1</v>
          </cell>
          <cell r="K130">
            <v>46283</v>
          </cell>
          <cell r="L130">
            <v>227361</v>
          </cell>
          <cell r="M130">
            <v>173596.2</v>
          </cell>
          <cell r="N130">
            <v>123421.33333333333</v>
          </cell>
          <cell r="O130">
            <v>524378.53333333333</v>
          </cell>
          <cell r="P130">
            <v>0</v>
          </cell>
          <cell r="Q130">
            <v>0</v>
          </cell>
          <cell r="R130">
            <v>123421.33333333333</v>
          </cell>
          <cell r="S130">
            <v>524378.53333333333</v>
          </cell>
          <cell r="T130">
            <v>104504</v>
          </cell>
          <cell r="U130">
            <v>46283</v>
          </cell>
          <cell r="V130">
            <v>227361</v>
          </cell>
        </row>
        <row r="131">
          <cell r="D131" t="str">
            <v>Ôtô vận tải thùng 2.5T</v>
          </cell>
          <cell r="E131" t="str">
            <v>dump truck 2.5T</v>
          </cell>
          <cell r="H131">
            <v>13</v>
          </cell>
          <cell r="J131">
            <v>1</v>
          </cell>
          <cell r="K131">
            <v>54425</v>
          </cell>
          <cell r="L131">
            <v>253487</v>
          </cell>
          <cell r="M131">
            <v>188062.55000000002</v>
          </cell>
          <cell r="N131">
            <v>145133.33333333331</v>
          </cell>
          <cell r="O131">
            <v>586682.8833333333</v>
          </cell>
          <cell r="P131">
            <v>121.75518456</v>
          </cell>
          <cell r="Q131">
            <v>22897590.484074231</v>
          </cell>
          <cell r="R131">
            <v>145133.33333333331</v>
          </cell>
          <cell r="S131">
            <v>586682.8833333333</v>
          </cell>
          <cell r="T131">
            <v>113212</v>
          </cell>
          <cell r="U131">
            <v>54425</v>
          </cell>
          <cell r="V131">
            <v>253487</v>
          </cell>
        </row>
        <row r="132">
          <cell r="D132" t="str">
            <v>Ôtô vận tải thùng 4T</v>
          </cell>
          <cell r="H132">
            <v>20</v>
          </cell>
          <cell r="J132">
            <v>1</v>
          </cell>
          <cell r="K132">
            <v>49506</v>
          </cell>
          <cell r="L132">
            <v>342195</v>
          </cell>
          <cell r="M132">
            <v>289327</v>
          </cell>
          <cell r="N132">
            <v>132016</v>
          </cell>
          <cell r="O132">
            <v>763538</v>
          </cell>
          <cell r="P132">
            <v>0</v>
          </cell>
          <cell r="Q132">
            <v>0</v>
          </cell>
          <cell r="R132">
            <v>132016</v>
          </cell>
          <cell r="S132">
            <v>763538</v>
          </cell>
          <cell r="T132">
            <v>174173</v>
          </cell>
          <cell r="U132">
            <v>49506</v>
          </cell>
          <cell r="V132">
            <v>342195</v>
          </cell>
        </row>
        <row r="133">
          <cell r="D133" t="str">
            <v>Ôtô vận tải thùng 5T</v>
          </cell>
          <cell r="E133" t="str">
            <v>Truck 5T</v>
          </cell>
          <cell r="F133">
            <v>25</v>
          </cell>
          <cell r="J133">
            <v>1</v>
          </cell>
          <cell r="K133">
            <v>49506</v>
          </cell>
          <cell r="L133">
            <v>343081</v>
          </cell>
          <cell r="M133">
            <v>363925.22727272729</v>
          </cell>
          <cell r="N133">
            <v>132016</v>
          </cell>
          <cell r="O133">
            <v>839022.22727272729</v>
          </cell>
          <cell r="P133">
            <v>0</v>
          </cell>
          <cell r="Q133">
            <v>0</v>
          </cell>
          <cell r="R133">
            <v>132016</v>
          </cell>
          <cell r="S133">
            <v>839022.22727272729</v>
          </cell>
          <cell r="T133">
            <v>178973</v>
          </cell>
          <cell r="U133">
            <v>49506</v>
          </cell>
          <cell r="V133">
            <v>343081</v>
          </cell>
        </row>
        <row r="134">
          <cell r="F134">
            <v>29</v>
          </cell>
          <cell r="J134">
            <v>1</v>
          </cell>
          <cell r="K134">
            <v>57817</v>
          </cell>
          <cell r="L134">
            <v>404649</v>
          </cell>
          <cell r="M134">
            <v>422153.26363636361</v>
          </cell>
          <cell r="N134">
            <v>154178.66666666666</v>
          </cell>
          <cell r="O134">
            <v>980980.9303030303</v>
          </cell>
          <cell r="P134">
            <v>0</v>
          </cell>
          <cell r="Q134">
            <v>0</v>
          </cell>
          <cell r="R134">
            <v>154178.66666666666</v>
          </cell>
          <cell r="S134">
            <v>980980.9303030303</v>
          </cell>
          <cell r="T134">
            <v>207608</v>
          </cell>
          <cell r="U134">
            <v>57817</v>
          </cell>
          <cell r="V134">
            <v>404649</v>
          </cell>
        </row>
        <row r="135">
          <cell r="D135" t="str">
            <v>Ôtô vận tải thùng 7T</v>
          </cell>
          <cell r="E135" t="str">
            <v>truck 7T</v>
          </cell>
          <cell r="F135">
            <v>31</v>
          </cell>
          <cell r="J135">
            <v>1</v>
          </cell>
          <cell r="K135">
            <v>57817</v>
          </cell>
          <cell r="L135">
            <v>491554</v>
          </cell>
          <cell r="M135">
            <v>451267.2818181818</v>
          </cell>
          <cell r="N135">
            <v>154178.66666666666</v>
          </cell>
          <cell r="O135">
            <v>1096999.9484848485</v>
          </cell>
          <cell r="P135">
            <v>3.6</v>
          </cell>
          <cell r="Q135">
            <v>1624562.2145454546</v>
          </cell>
          <cell r="R135">
            <v>154178.66666666666</v>
          </cell>
          <cell r="S135">
            <v>1096999.9484848485</v>
          </cell>
          <cell r="T135">
            <v>221926</v>
          </cell>
          <cell r="U135">
            <v>57817</v>
          </cell>
          <cell r="V135">
            <v>491554</v>
          </cell>
        </row>
        <row r="136">
          <cell r="E136" t="str">
            <v>Truck 10T</v>
          </cell>
          <cell r="F136">
            <v>38</v>
          </cell>
          <cell r="J136">
            <v>1</v>
          </cell>
          <cell r="K136">
            <v>52559</v>
          </cell>
          <cell r="L136">
            <v>594637</v>
          </cell>
          <cell r="M136">
            <v>553166.34545454534</v>
          </cell>
          <cell r="N136">
            <v>140157.33333333331</v>
          </cell>
          <cell r="O136">
            <v>1287960.6787878785</v>
          </cell>
          <cell r="P136">
            <v>0</v>
          </cell>
          <cell r="Q136">
            <v>0</v>
          </cell>
          <cell r="R136">
            <v>140157.33333333331</v>
          </cell>
          <cell r="S136">
            <v>1287960.6787878787</v>
          </cell>
          <cell r="T136">
            <v>272038</v>
          </cell>
          <cell r="U136">
            <v>52559</v>
          </cell>
          <cell r="V136">
            <v>594637</v>
          </cell>
        </row>
        <row r="137">
          <cell r="F137">
            <v>41</v>
          </cell>
          <cell r="J137">
            <v>1</v>
          </cell>
          <cell r="K137">
            <v>61040</v>
          </cell>
          <cell r="L137">
            <v>660365</v>
          </cell>
          <cell r="M137">
            <v>596837.37272727268</v>
          </cell>
          <cell r="N137">
            <v>162773.33333333331</v>
          </cell>
          <cell r="O137">
            <v>1419975.7060606058</v>
          </cell>
          <cell r="P137">
            <v>0</v>
          </cell>
          <cell r="Q137">
            <v>0</v>
          </cell>
          <cell r="R137">
            <v>162773.33333333331</v>
          </cell>
          <cell r="S137">
            <v>1419975.7060606061</v>
          </cell>
          <cell r="T137">
            <v>293515</v>
          </cell>
          <cell r="U137">
            <v>61040</v>
          </cell>
          <cell r="V137">
            <v>660365</v>
          </cell>
        </row>
        <row r="138">
          <cell r="F138">
            <v>42</v>
          </cell>
          <cell r="J138">
            <v>1</v>
          </cell>
          <cell r="K138">
            <v>61040</v>
          </cell>
          <cell r="L138">
            <v>699371</v>
          </cell>
          <cell r="M138">
            <v>611394.38181818172</v>
          </cell>
          <cell r="N138">
            <v>162773.33333333331</v>
          </cell>
          <cell r="O138">
            <v>1473538.7151515151</v>
          </cell>
          <cell r="P138">
            <v>0</v>
          </cell>
          <cell r="Q138">
            <v>0</v>
          </cell>
          <cell r="R138">
            <v>162773.33333333331</v>
          </cell>
          <cell r="S138">
            <v>1473538.7151515151</v>
          </cell>
          <cell r="T138">
            <v>300674</v>
          </cell>
          <cell r="U138">
            <v>61040</v>
          </cell>
          <cell r="V138">
            <v>699371</v>
          </cell>
        </row>
        <row r="139">
          <cell r="F139">
            <v>56</v>
          </cell>
          <cell r="J139">
            <v>1</v>
          </cell>
          <cell r="K139">
            <v>64432</v>
          </cell>
          <cell r="L139">
            <v>800603</v>
          </cell>
          <cell r="M139">
            <v>815192.50909090904</v>
          </cell>
          <cell r="N139">
            <v>171818.66666666666</v>
          </cell>
          <cell r="O139">
            <v>1787614.1757575758</v>
          </cell>
          <cell r="P139">
            <v>0</v>
          </cell>
          <cell r="Q139">
            <v>0</v>
          </cell>
          <cell r="R139">
            <v>171818.66666666666</v>
          </cell>
          <cell r="S139">
            <v>1787614.1757575758</v>
          </cell>
          <cell r="T139">
            <v>400898</v>
          </cell>
          <cell r="U139">
            <v>64432</v>
          </cell>
          <cell r="V139">
            <v>800603</v>
          </cell>
        </row>
        <row r="140">
          <cell r="K140">
            <v>0</v>
          </cell>
          <cell r="L140">
            <v>0</v>
          </cell>
          <cell r="N140">
            <v>0</v>
          </cell>
          <cell r="O140">
            <v>0</v>
          </cell>
          <cell r="P140">
            <v>0</v>
          </cell>
          <cell r="Q140">
            <v>0</v>
          </cell>
          <cell r="R140">
            <v>0</v>
          </cell>
          <cell r="S140">
            <v>0</v>
          </cell>
        </row>
        <row r="141">
          <cell r="D141" t="str">
            <v>Ôtô tự đổ 2.5T</v>
          </cell>
          <cell r="E141" t="str">
            <v>dump truck 2.5T</v>
          </cell>
          <cell r="H141">
            <v>18.899999999999999</v>
          </cell>
          <cell r="J141">
            <v>1</v>
          </cell>
          <cell r="K141">
            <v>46283</v>
          </cell>
          <cell r="L141">
            <v>261115</v>
          </cell>
          <cell r="M141">
            <v>273414.01500000001</v>
          </cell>
          <cell r="N141">
            <v>123421.33333333333</v>
          </cell>
          <cell r="O141">
            <v>657950.34833333339</v>
          </cell>
          <cell r="P141">
            <v>0.87500000000000011</v>
          </cell>
          <cell r="Q141">
            <v>239237.26312500006</v>
          </cell>
          <cell r="R141">
            <v>123421.33333333333</v>
          </cell>
          <cell r="S141">
            <v>657950.34833333339</v>
          </cell>
          <cell r="T141">
            <v>164593</v>
          </cell>
          <cell r="U141">
            <v>46283</v>
          </cell>
          <cell r="V141">
            <v>261115</v>
          </cell>
        </row>
        <row r="142">
          <cell r="H142">
            <v>28.35</v>
          </cell>
          <cell r="J142">
            <v>1</v>
          </cell>
          <cell r="K142">
            <v>46283</v>
          </cell>
          <cell r="L142">
            <v>350524</v>
          </cell>
          <cell r="M142">
            <v>410121.02250000002</v>
          </cell>
          <cell r="N142">
            <v>123421.33333333333</v>
          </cell>
          <cell r="O142">
            <v>884066.35583333333</v>
          </cell>
          <cell r="P142">
            <v>0</v>
          </cell>
          <cell r="Q142">
            <v>0</v>
          </cell>
          <cell r="R142">
            <v>123421.33333333333</v>
          </cell>
          <cell r="S142">
            <v>884066.35583333333</v>
          </cell>
          <cell r="T142">
            <v>246890</v>
          </cell>
          <cell r="U142">
            <v>46283</v>
          </cell>
          <cell r="V142">
            <v>350524</v>
          </cell>
        </row>
        <row r="143">
          <cell r="D143" t="str">
            <v>Ôtô tự đổ 4T</v>
          </cell>
          <cell r="H143">
            <v>32.4</v>
          </cell>
          <cell r="J143">
            <v>1</v>
          </cell>
          <cell r="K143">
            <v>49506</v>
          </cell>
          <cell r="L143">
            <v>425223</v>
          </cell>
          <cell r="M143">
            <v>468709.74</v>
          </cell>
          <cell r="N143">
            <v>132016</v>
          </cell>
          <cell r="O143">
            <v>1025948.74</v>
          </cell>
          <cell r="P143">
            <v>0</v>
          </cell>
          <cell r="Q143">
            <v>0</v>
          </cell>
          <cell r="R143">
            <v>132016</v>
          </cell>
          <cell r="S143">
            <v>1025948.74</v>
          </cell>
          <cell r="T143">
            <v>282160</v>
          </cell>
          <cell r="U143">
            <v>49506</v>
          </cell>
          <cell r="V143">
            <v>425223</v>
          </cell>
        </row>
        <row r="144">
          <cell r="D144" t="str">
            <v>Ôtô tự đổ 5T</v>
          </cell>
          <cell r="E144" t="str">
            <v>dump truck 5T</v>
          </cell>
          <cell r="F144">
            <v>40.5</v>
          </cell>
          <cell r="J144">
            <v>1</v>
          </cell>
          <cell r="K144">
            <v>49506</v>
          </cell>
          <cell r="L144">
            <v>433777</v>
          </cell>
          <cell r="M144">
            <v>589558.86818181816</v>
          </cell>
          <cell r="N144">
            <v>132016</v>
          </cell>
          <cell r="O144">
            <v>1155351.8681818182</v>
          </cell>
          <cell r="P144">
            <v>0</v>
          </cell>
          <cell r="Q144">
            <v>0</v>
          </cell>
          <cell r="R144">
            <v>132016</v>
          </cell>
          <cell r="S144">
            <v>1155351.8681818182</v>
          </cell>
          <cell r="T144">
            <v>289935</v>
          </cell>
          <cell r="U144">
            <v>49506</v>
          </cell>
          <cell r="V144">
            <v>433777</v>
          </cell>
        </row>
        <row r="145">
          <cell r="F145">
            <v>43.2</v>
          </cell>
          <cell r="J145">
            <v>1</v>
          </cell>
          <cell r="K145">
            <v>57817</v>
          </cell>
          <cell r="L145">
            <v>480033</v>
          </cell>
          <cell r="M145">
            <v>628862.79272727272</v>
          </cell>
          <cell r="N145">
            <v>154178.66666666666</v>
          </cell>
          <cell r="O145">
            <v>1263074.4593939395</v>
          </cell>
          <cell r="P145">
            <v>0</v>
          </cell>
          <cell r="Q145">
            <v>0</v>
          </cell>
          <cell r="R145">
            <v>154178.66666666666</v>
          </cell>
          <cell r="S145">
            <v>1263074.4593939395</v>
          </cell>
          <cell r="T145">
            <v>309264</v>
          </cell>
          <cell r="U145">
            <v>57817</v>
          </cell>
          <cell r="V145">
            <v>480033</v>
          </cell>
        </row>
        <row r="146">
          <cell r="D146" t="str">
            <v>Ôtô tự đổ 7T</v>
          </cell>
          <cell r="E146" t="str">
            <v>dump truck 7T</v>
          </cell>
          <cell r="F146">
            <v>45.9</v>
          </cell>
          <cell r="J146">
            <v>1</v>
          </cell>
          <cell r="K146">
            <v>57817</v>
          </cell>
          <cell r="L146">
            <v>622371</v>
          </cell>
          <cell r="M146">
            <v>668166.71727272717</v>
          </cell>
          <cell r="N146">
            <v>154178.66666666666</v>
          </cell>
          <cell r="O146">
            <v>1444716.383939394</v>
          </cell>
          <cell r="P146">
            <v>0</v>
          </cell>
          <cell r="Q146">
            <v>0</v>
          </cell>
          <cell r="R146">
            <v>154178.66666666666</v>
          </cell>
          <cell r="S146">
            <v>1444716.3839393938</v>
          </cell>
          <cell r="T146">
            <v>328594</v>
          </cell>
          <cell r="U146">
            <v>57817</v>
          </cell>
          <cell r="V146">
            <v>622371</v>
          </cell>
        </row>
        <row r="147">
          <cell r="F147">
            <v>51.3</v>
          </cell>
          <cell r="J147">
            <v>1</v>
          </cell>
          <cell r="K147">
            <v>52559</v>
          </cell>
          <cell r="L147">
            <v>695566</v>
          </cell>
          <cell r="M147">
            <v>746774.56636363617</v>
          </cell>
          <cell r="N147">
            <v>140157.33333333331</v>
          </cell>
          <cell r="O147">
            <v>1582497.8996969694</v>
          </cell>
          <cell r="P147">
            <v>0</v>
          </cell>
          <cell r="Q147">
            <v>0</v>
          </cell>
          <cell r="R147">
            <v>140157.33333333331</v>
          </cell>
          <cell r="S147">
            <v>1582497.8996969694</v>
          </cell>
          <cell r="T147">
            <v>367252</v>
          </cell>
          <cell r="U147">
            <v>52559</v>
          </cell>
          <cell r="V147">
            <v>695566</v>
          </cell>
        </row>
        <row r="148">
          <cell r="D148" t="str">
            <v>Ôtô tự đổ 10T</v>
          </cell>
          <cell r="E148" t="str">
            <v>dump truck 10T</v>
          </cell>
          <cell r="F148">
            <v>56.7</v>
          </cell>
          <cell r="J148">
            <v>1</v>
          </cell>
          <cell r="K148">
            <v>52559</v>
          </cell>
          <cell r="L148">
            <v>736036</v>
          </cell>
          <cell r="M148">
            <v>825382.41545454541</v>
          </cell>
          <cell r="N148">
            <v>140157.33333333331</v>
          </cell>
          <cell r="O148">
            <v>1701575.7487878788</v>
          </cell>
          <cell r="P148">
            <v>1511.9617881745569</v>
          </cell>
          <cell r="Q148">
            <v>1247946672.7984896</v>
          </cell>
          <cell r="R148">
            <v>140157.33333333331</v>
          </cell>
          <cell r="S148">
            <v>1701575.7487878788</v>
          </cell>
          <cell r="T148">
            <v>405910</v>
          </cell>
          <cell r="U148">
            <v>52559</v>
          </cell>
          <cell r="V148">
            <v>736036</v>
          </cell>
        </row>
        <row r="149">
          <cell r="D149" t="str">
            <v>Ôtô tự đổ 12T</v>
          </cell>
          <cell r="E149" t="str">
            <v>dump truck 12T</v>
          </cell>
          <cell r="F149">
            <v>64.8</v>
          </cell>
          <cell r="J149">
            <v>1</v>
          </cell>
          <cell r="K149">
            <v>61040</v>
          </cell>
          <cell r="L149">
            <v>807643</v>
          </cell>
          <cell r="M149">
            <v>943294.18909090897</v>
          </cell>
          <cell r="N149">
            <v>162773.33333333331</v>
          </cell>
          <cell r="O149">
            <v>1913710.5224242422</v>
          </cell>
          <cell r="P149">
            <v>0</v>
          </cell>
          <cell r="Q149">
            <v>0</v>
          </cell>
          <cell r="R149">
            <v>162773.33333333331</v>
          </cell>
          <cell r="S149">
            <v>1913710.5224242422</v>
          </cell>
          <cell r="T149">
            <v>463897</v>
          </cell>
          <cell r="U149">
            <v>61040</v>
          </cell>
          <cell r="V149">
            <v>807643</v>
          </cell>
        </row>
        <row r="150">
          <cell r="D150" t="str">
            <v>Ôtô tự đổ 15T</v>
          </cell>
          <cell r="E150" t="str">
            <v>dump truck 15T</v>
          </cell>
          <cell r="F150">
            <v>72.900000000000006</v>
          </cell>
          <cell r="J150">
            <v>1</v>
          </cell>
          <cell r="K150">
            <v>61040</v>
          </cell>
          <cell r="L150">
            <v>857602</v>
          </cell>
          <cell r="M150">
            <v>1061205.9627272729</v>
          </cell>
          <cell r="N150">
            <v>162773.33333333331</v>
          </cell>
          <cell r="O150">
            <v>2081581.2960606061</v>
          </cell>
          <cell r="P150">
            <v>0</v>
          </cell>
          <cell r="Q150">
            <v>0</v>
          </cell>
          <cell r="R150">
            <v>162773.33333333331</v>
          </cell>
          <cell r="S150">
            <v>2081581.2960606061</v>
          </cell>
          <cell r="T150">
            <v>521884</v>
          </cell>
          <cell r="U150">
            <v>61040</v>
          </cell>
          <cell r="V150">
            <v>857602</v>
          </cell>
        </row>
        <row r="151">
          <cell r="F151">
            <v>75.599999999999994</v>
          </cell>
          <cell r="J151">
            <v>1</v>
          </cell>
          <cell r="K151">
            <v>64432</v>
          </cell>
          <cell r="L151">
            <v>943253</v>
          </cell>
          <cell r="M151">
            <v>1100509.887272727</v>
          </cell>
          <cell r="N151">
            <v>171818.66666666666</v>
          </cell>
          <cell r="O151">
            <v>2215581.5539393937</v>
          </cell>
          <cell r="P151">
            <v>0</v>
          </cell>
          <cell r="Q151">
            <v>0</v>
          </cell>
          <cell r="R151">
            <v>171818.66666666666</v>
          </cell>
          <cell r="S151">
            <v>2215581.5539393937</v>
          </cell>
          <cell r="T151">
            <v>541213</v>
          </cell>
          <cell r="U151">
            <v>64432</v>
          </cell>
          <cell r="V151">
            <v>943253</v>
          </cell>
        </row>
        <row r="152">
          <cell r="D152" t="str">
            <v>Ôtô tự đổ 22T</v>
          </cell>
          <cell r="E152" t="str">
            <v>dump truck 22T</v>
          </cell>
          <cell r="F152">
            <v>76.95</v>
          </cell>
          <cell r="J152">
            <v>1</v>
          </cell>
          <cell r="K152">
            <v>64432</v>
          </cell>
          <cell r="L152">
            <v>983290</v>
          </cell>
          <cell r="M152">
            <v>1120161.8495454546</v>
          </cell>
          <cell r="N152">
            <v>171818.66666666666</v>
          </cell>
          <cell r="O152">
            <v>2275270.5162121211</v>
          </cell>
          <cell r="P152">
            <v>0</v>
          </cell>
          <cell r="Q152">
            <v>0</v>
          </cell>
          <cell r="R152">
            <v>171818.66666666666</v>
          </cell>
          <cell r="S152">
            <v>2275270.5162121216</v>
          </cell>
          <cell r="T152">
            <v>550877</v>
          </cell>
          <cell r="U152">
            <v>64432</v>
          </cell>
          <cell r="V152">
            <v>983290</v>
          </cell>
        </row>
        <row r="153">
          <cell r="F153">
            <v>81</v>
          </cell>
          <cell r="J153">
            <v>1</v>
          </cell>
          <cell r="K153">
            <v>72404</v>
          </cell>
          <cell r="L153">
            <v>1043346</v>
          </cell>
          <cell r="M153">
            <v>1179117.7363636363</v>
          </cell>
          <cell r="N153">
            <v>193077.33333333331</v>
          </cell>
          <cell r="O153">
            <v>2415541.0696969698</v>
          </cell>
          <cell r="P153">
            <v>0</v>
          </cell>
          <cell r="Q153">
            <v>0</v>
          </cell>
          <cell r="R153">
            <v>193077.33333333331</v>
          </cell>
          <cell r="S153">
            <v>2415541.0696969694</v>
          </cell>
          <cell r="T153">
            <v>579871</v>
          </cell>
          <cell r="U153">
            <v>72404</v>
          </cell>
          <cell r="V153">
            <v>1043346</v>
          </cell>
        </row>
        <row r="154">
          <cell r="D154" t="str">
            <v>Ôtô tự đổ 27T</v>
          </cell>
          <cell r="E154" t="str">
            <v>dump truck 27T</v>
          </cell>
          <cell r="F154">
            <v>86.4</v>
          </cell>
          <cell r="J154">
            <v>1</v>
          </cell>
          <cell r="K154">
            <v>72404</v>
          </cell>
          <cell r="L154">
            <v>1253942</v>
          </cell>
          <cell r="M154">
            <v>1257725.5854545454</v>
          </cell>
          <cell r="N154">
            <v>193077.33333333331</v>
          </cell>
          <cell r="O154">
            <v>2704744.9187878789</v>
          </cell>
          <cell r="P154">
            <v>0</v>
          </cell>
          <cell r="Q154">
            <v>0</v>
          </cell>
          <cell r="R154">
            <v>193077.33333333331</v>
          </cell>
          <cell r="S154">
            <v>2704744.9187878789</v>
          </cell>
          <cell r="T154">
            <v>618529</v>
          </cell>
          <cell r="U154">
            <v>72404</v>
          </cell>
          <cell r="V154">
            <v>1253942</v>
          </cell>
        </row>
        <row r="155">
          <cell r="F155">
            <v>91.68</v>
          </cell>
          <cell r="J155">
            <v>1</v>
          </cell>
          <cell r="K155">
            <v>72404</v>
          </cell>
          <cell r="L155">
            <v>1388254</v>
          </cell>
          <cell r="M155">
            <v>1334586.5934545454</v>
          </cell>
          <cell r="N155">
            <v>193077.33333333331</v>
          </cell>
          <cell r="O155">
            <v>2915917.9267878789</v>
          </cell>
          <cell r="P155">
            <v>0</v>
          </cell>
          <cell r="Q155">
            <v>0</v>
          </cell>
          <cell r="R155">
            <v>193077.33333333331</v>
          </cell>
          <cell r="S155">
            <v>2915917.9267878784</v>
          </cell>
          <cell r="T155">
            <v>656328</v>
          </cell>
          <cell r="U155">
            <v>72404</v>
          </cell>
          <cell r="V155">
            <v>1388254</v>
          </cell>
        </row>
        <row r="156">
          <cell r="F156">
            <v>116.4</v>
          </cell>
          <cell r="J156">
            <v>1</v>
          </cell>
          <cell r="K156">
            <v>72404</v>
          </cell>
          <cell r="L156">
            <v>1729352</v>
          </cell>
          <cell r="M156">
            <v>1694435.8581818182</v>
          </cell>
          <cell r="N156">
            <v>193077.33333333331</v>
          </cell>
          <cell r="O156">
            <v>3616865.1915151519</v>
          </cell>
          <cell r="P156">
            <v>0</v>
          </cell>
          <cell r="Q156">
            <v>0</v>
          </cell>
          <cell r="R156">
            <v>193077.33333333331</v>
          </cell>
          <cell r="S156">
            <v>3616865.1915151514</v>
          </cell>
          <cell r="T156">
            <v>833296</v>
          </cell>
          <cell r="U156">
            <v>72404</v>
          </cell>
          <cell r="V156">
            <v>1729352</v>
          </cell>
        </row>
        <row r="157">
          <cell r="F157">
            <v>130.56</v>
          </cell>
          <cell r="J157">
            <v>1</v>
          </cell>
          <cell r="K157">
            <v>77153</v>
          </cell>
          <cell r="L157">
            <v>2045226</v>
          </cell>
          <cell r="M157">
            <v>1900563.1069090907</v>
          </cell>
          <cell r="N157">
            <v>205741.33333333331</v>
          </cell>
          <cell r="O157">
            <v>4151530.4402424241</v>
          </cell>
          <cell r="P157">
            <v>0</v>
          </cell>
          <cell r="Q157">
            <v>0</v>
          </cell>
          <cell r="R157">
            <v>205741.33333333331</v>
          </cell>
          <cell r="S157">
            <v>4151530.4402424241</v>
          </cell>
          <cell r="T157">
            <v>934666</v>
          </cell>
          <cell r="U157">
            <v>77153</v>
          </cell>
          <cell r="V157">
            <v>2045226</v>
          </cell>
        </row>
        <row r="158">
          <cell r="F158">
            <v>156</v>
          </cell>
          <cell r="J158">
            <v>1</v>
          </cell>
          <cell r="K158">
            <v>90044</v>
          </cell>
          <cell r="L158">
            <v>2363959</v>
          </cell>
          <cell r="M158">
            <v>2270893.418181818</v>
          </cell>
          <cell r="N158">
            <v>240117.33333333331</v>
          </cell>
          <cell r="O158">
            <v>4874969.751515151</v>
          </cell>
          <cell r="P158">
            <v>0</v>
          </cell>
          <cell r="Q158">
            <v>0</v>
          </cell>
          <cell r="R158">
            <v>240117.33333333331</v>
          </cell>
          <cell r="S158">
            <v>4874969.7515151519</v>
          </cell>
          <cell r="T158">
            <v>1116788</v>
          </cell>
          <cell r="U158">
            <v>90044</v>
          </cell>
          <cell r="V158">
            <v>2363959</v>
          </cell>
        </row>
        <row r="159">
          <cell r="K159">
            <v>0</v>
          </cell>
          <cell r="L159">
            <v>0</v>
          </cell>
          <cell r="N159">
            <v>0</v>
          </cell>
          <cell r="O159">
            <v>0</v>
          </cell>
          <cell r="P159">
            <v>0</v>
          </cell>
          <cell r="Q159">
            <v>0</v>
          </cell>
          <cell r="R159">
            <v>0</v>
          </cell>
          <cell r="S159">
            <v>0</v>
          </cell>
        </row>
        <row r="160">
          <cell r="F160">
            <v>30</v>
          </cell>
          <cell r="J160">
            <v>1</v>
          </cell>
          <cell r="K160">
            <v>61040</v>
          </cell>
          <cell r="L160">
            <v>497420</v>
          </cell>
          <cell r="M160">
            <v>436710.27272727271</v>
          </cell>
          <cell r="N160">
            <v>162773.33333333331</v>
          </cell>
          <cell r="O160">
            <v>1096903.606060606</v>
          </cell>
          <cell r="P160">
            <v>0</v>
          </cell>
          <cell r="Q160">
            <v>0</v>
          </cell>
          <cell r="R160">
            <v>162773.33333333331</v>
          </cell>
          <cell r="S160">
            <v>1096903.606060606</v>
          </cell>
          <cell r="T160">
            <v>214767</v>
          </cell>
          <cell r="U160">
            <v>61040</v>
          </cell>
          <cell r="V160">
            <v>497420</v>
          </cell>
        </row>
        <row r="161">
          <cell r="F161">
            <v>36</v>
          </cell>
          <cell r="J161">
            <v>1</v>
          </cell>
          <cell r="K161">
            <v>61040</v>
          </cell>
          <cell r="L161">
            <v>672515</v>
          </cell>
          <cell r="M161">
            <v>524052.32727272721</v>
          </cell>
          <cell r="N161">
            <v>162773.33333333331</v>
          </cell>
          <cell r="O161">
            <v>1359340.6606060604</v>
          </cell>
          <cell r="P161">
            <v>0</v>
          </cell>
          <cell r="Q161">
            <v>0</v>
          </cell>
          <cell r="R161">
            <v>162773.33333333331</v>
          </cell>
          <cell r="S161">
            <v>1359340.6606060606</v>
          </cell>
          <cell r="T161">
            <v>257720</v>
          </cell>
          <cell r="U161">
            <v>61040</v>
          </cell>
          <cell r="V161">
            <v>672515</v>
          </cell>
        </row>
        <row r="162">
          <cell r="F162">
            <v>40</v>
          </cell>
          <cell r="J162">
            <v>1</v>
          </cell>
          <cell r="K162">
            <v>64432</v>
          </cell>
          <cell r="L162">
            <v>724818</v>
          </cell>
          <cell r="M162">
            <v>582280.36363636353</v>
          </cell>
          <cell r="N162">
            <v>171818.66666666666</v>
          </cell>
          <cell r="O162">
            <v>1478917.0303030303</v>
          </cell>
          <cell r="P162">
            <v>0</v>
          </cell>
          <cell r="Q162">
            <v>0</v>
          </cell>
          <cell r="R162">
            <v>171818.66666666666</v>
          </cell>
          <cell r="S162">
            <v>1478917.0303030303</v>
          </cell>
          <cell r="T162">
            <v>286356</v>
          </cell>
          <cell r="U162">
            <v>64432</v>
          </cell>
          <cell r="V162">
            <v>724818</v>
          </cell>
        </row>
        <row r="163">
          <cell r="F163">
            <v>48</v>
          </cell>
          <cell r="J163">
            <v>1</v>
          </cell>
          <cell r="K163">
            <v>64432</v>
          </cell>
          <cell r="L163">
            <v>776594</v>
          </cell>
          <cell r="M163">
            <v>698736.4363636364</v>
          </cell>
          <cell r="N163">
            <v>171818.66666666666</v>
          </cell>
          <cell r="O163">
            <v>1647149.1030303033</v>
          </cell>
          <cell r="P163">
            <v>0</v>
          </cell>
          <cell r="Q163">
            <v>0</v>
          </cell>
          <cell r="R163">
            <v>171818.66666666666</v>
          </cell>
          <cell r="S163">
            <v>1647149.103030303</v>
          </cell>
          <cell r="T163">
            <v>343627</v>
          </cell>
          <cell r="U163">
            <v>64432</v>
          </cell>
          <cell r="V163">
            <v>776594</v>
          </cell>
        </row>
        <row r="164">
          <cell r="F164">
            <v>51</v>
          </cell>
          <cell r="J164">
            <v>1</v>
          </cell>
          <cell r="K164">
            <v>72404</v>
          </cell>
          <cell r="L164">
            <v>846987</v>
          </cell>
          <cell r="M164">
            <v>742407.46363636362</v>
          </cell>
          <cell r="N164">
            <v>193077.33333333331</v>
          </cell>
          <cell r="O164">
            <v>1782471.7969696969</v>
          </cell>
          <cell r="P164">
            <v>0</v>
          </cell>
          <cell r="Q164">
            <v>0</v>
          </cell>
          <cell r="R164">
            <v>193077.33333333331</v>
          </cell>
          <cell r="S164">
            <v>1782471.7969696969</v>
          </cell>
          <cell r="T164">
            <v>365104</v>
          </cell>
          <cell r="U164">
            <v>72404</v>
          </cell>
          <cell r="V164">
            <v>846987</v>
          </cell>
        </row>
        <row r="165">
          <cell r="F165">
            <v>56</v>
          </cell>
          <cell r="J165">
            <v>1</v>
          </cell>
          <cell r="K165">
            <v>72404</v>
          </cell>
          <cell r="L165">
            <v>1031937</v>
          </cell>
          <cell r="M165">
            <v>815192.50909090904</v>
          </cell>
          <cell r="N165">
            <v>193077.33333333331</v>
          </cell>
          <cell r="O165">
            <v>2040206.8424242423</v>
          </cell>
          <cell r="P165">
            <v>0</v>
          </cell>
          <cell r="Q165">
            <v>0</v>
          </cell>
          <cell r="R165">
            <v>193077.33333333331</v>
          </cell>
          <cell r="S165">
            <v>2040206.8424242423</v>
          </cell>
          <cell r="T165">
            <v>400898</v>
          </cell>
          <cell r="U165">
            <v>72404</v>
          </cell>
          <cell r="V165">
            <v>1031937</v>
          </cell>
        </row>
        <row r="166">
          <cell r="K166">
            <v>0</v>
          </cell>
          <cell r="L166">
            <v>0</v>
          </cell>
          <cell r="N166">
            <v>0</v>
          </cell>
          <cell r="O166">
            <v>0</v>
          </cell>
          <cell r="P166">
            <v>0</v>
          </cell>
          <cell r="Q166">
            <v>0</v>
          </cell>
          <cell r="R166">
            <v>0</v>
          </cell>
          <cell r="S166">
            <v>0</v>
          </cell>
        </row>
        <row r="167">
          <cell r="F167">
            <v>36</v>
          </cell>
          <cell r="J167">
            <v>1</v>
          </cell>
          <cell r="K167">
            <v>106306</v>
          </cell>
          <cell r="L167">
            <v>717348</v>
          </cell>
          <cell r="M167">
            <v>524052.32727272721</v>
          </cell>
          <cell r="N167">
            <v>283482.66666666663</v>
          </cell>
          <cell r="O167">
            <v>1524882.9939393937</v>
          </cell>
          <cell r="P167">
            <v>0</v>
          </cell>
          <cell r="Q167">
            <v>0</v>
          </cell>
          <cell r="R167">
            <v>283482.66666666663</v>
          </cell>
          <cell r="S167">
            <v>1524882.9939393939</v>
          </cell>
          <cell r="T167">
            <v>257720</v>
          </cell>
          <cell r="U167">
            <v>106306</v>
          </cell>
          <cell r="V167">
            <v>717348</v>
          </cell>
        </row>
        <row r="168">
          <cell r="D168" t="str">
            <v>Ôtô chuyển trộn 6m3</v>
          </cell>
          <cell r="E168" t="str">
            <v>truck mixer 6m3</v>
          </cell>
          <cell r="F168">
            <v>43</v>
          </cell>
          <cell r="J168">
            <v>1</v>
          </cell>
          <cell r="K168">
            <v>106306</v>
          </cell>
          <cell r="L168">
            <v>959111</v>
          </cell>
          <cell r="M168">
            <v>625951.39090909087</v>
          </cell>
          <cell r="N168">
            <v>283482.66666666663</v>
          </cell>
          <cell r="O168">
            <v>1868545.0575757576</v>
          </cell>
          <cell r="P168">
            <v>8.0890993799285411</v>
          </cell>
          <cell r="Q168">
            <v>5063383.008068135</v>
          </cell>
          <cell r="R168">
            <v>283482.66666666663</v>
          </cell>
          <cell r="S168">
            <v>1868545.0575757576</v>
          </cell>
          <cell r="T168">
            <v>307833</v>
          </cell>
          <cell r="U168">
            <v>106306</v>
          </cell>
          <cell r="V168">
            <v>959111</v>
          </cell>
        </row>
        <row r="169">
          <cell r="F169">
            <v>50</v>
          </cell>
          <cell r="J169">
            <v>1</v>
          </cell>
          <cell r="K169">
            <v>112242</v>
          </cell>
          <cell r="L169">
            <v>1240625</v>
          </cell>
          <cell r="M169">
            <v>727850.45454545459</v>
          </cell>
          <cell r="N169">
            <v>299312</v>
          </cell>
          <cell r="O169">
            <v>2267787.4545454546</v>
          </cell>
          <cell r="P169">
            <v>0</v>
          </cell>
          <cell r="Q169">
            <v>0</v>
          </cell>
          <cell r="R169">
            <v>299312</v>
          </cell>
          <cell r="S169">
            <v>2267787.4545454546</v>
          </cell>
          <cell r="T169">
            <v>357945</v>
          </cell>
          <cell r="U169">
            <v>112242</v>
          </cell>
          <cell r="V169">
            <v>1240625</v>
          </cell>
        </row>
        <row r="170">
          <cell r="F170">
            <v>52</v>
          </cell>
          <cell r="J170">
            <v>1</v>
          </cell>
          <cell r="K170">
            <v>112242</v>
          </cell>
          <cell r="L170">
            <v>1241937</v>
          </cell>
          <cell r="M170">
            <v>756964.47272727266</v>
          </cell>
          <cell r="N170">
            <v>299312</v>
          </cell>
          <cell r="O170">
            <v>2298213.4727272727</v>
          </cell>
          <cell r="P170">
            <v>0</v>
          </cell>
          <cell r="Q170">
            <v>0</v>
          </cell>
          <cell r="R170">
            <v>299312</v>
          </cell>
          <cell r="S170">
            <v>2298213.4727272727</v>
          </cell>
          <cell r="T170">
            <v>372263</v>
          </cell>
          <cell r="U170">
            <v>112242</v>
          </cell>
          <cell r="V170">
            <v>1241937</v>
          </cell>
        </row>
        <row r="171">
          <cell r="D171" t="str">
            <v>Ôtô chuyển trộn 10.7m3</v>
          </cell>
          <cell r="E171" t="str">
            <v>truck mixer 10.7m3</v>
          </cell>
          <cell r="F171">
            <v>64</v>
          </cell>
          <cell r="J171">
            <v>1</v>
          </cell>
          <cell r="K171">
            <v>112242</v>
          </cell>
          <cell r="L171">
            <v>1526199</v>
          </cell>
          <cell r="M171">
            <v>931648.58181818179</v>
          </cell>
          <cell r="N171">
            <v>299312</v>
          </cell>
          <cell r="O171">
            <v>2757159.581818182</v>
          </cell>
          <cell r="P171">
            <v>663.06557214700001</v>
          </cell>
          <cell r="Q171">
            <v>617744099.94321382</v>
          </cell>
          <cell r="R171">
            <v>299312</v>
          </cell>
          <cell r="S171">
            <v>2757159.581818182</v>
          </cell>
          <cell r="T171">
            <v>458170</v>
          </cell>
          <cell r="U171">
            <v>112242</v>
          </cell>
          <cell r="V171">
            <v>1526199</v>
          </cell>
        </row>
        <row r="172">
          <cell r="D172" t="str">
            <v>Ôtô chuyển trộn 14.5m3</v>
          </cell>
          <cell r="E172" t="str">
            <v>truck mixer 14.5m3</v>
          </cell>
          <cell r="F172">
            <v>70</v>
          </cell>
          <cell r="J172">
            <v>1</v>
          </cell>
          <cell r="K172">
            <v>125811</v>
          </cell>
          <cell r="L172">
            <v>2187830</v>
          </cell>
          <cell r="M172">
            <v>1018990.6363636362</v>
          </cell>
          <cell r="N172">
            <v>335496</v>
          </cell>
          <cell r="O172">
            <v>3542316.6363636362</v>
          </cell>
          <cell r="P172">
            <v>0</v>
          </cell>
          <cell r="Q172">
            <v>0</v>
          </cell>
          <cell r="R172">
            <v>335496</v>
          </cell>
          <cell r="S172">
            <v>3542316.6363636362</v>
          </cell>
          <cell r="T172">
            <v>501123</v>
          </cell>
          <cell r="U172">
            <v>125811</v>
          </cell>
          <cell r="V172">
            <v>2187830</v>
          </cell>
        </row>
        <row r="173">
          <cell r="K173">
            <v>0</v>
          </cell>
          <cell r="L173">
            <v>0</v>
          </cell>
          <cell r="N173">
            <v>0</v>
          </cell>
          <cell r="O173">
            <v>0</v>
          </cell>
          <cell r="P173">
            <v>0</v>
          </cell>
          <cell r="Q173">
            <v>0</v>
          </cell>
          <cell r="R173">
            <v>0</v>
          </cell>
          <cell r="S173">
            <v>0</v>
          </cell>
        </row>
        <row r="174">
          <cell r="F174">
            <v>20.25</v>
          </cell>
          <cell r="J174">
            <v>1</v>
          </cell>
          <cell r="K174">
            <v>49506</v>
          </cell>
          <cell r="L174">
            <v>435852</v>
          </cell>
          <cell r="M174">
            <v>294779.43409090908</v>
          </cell>
          <cell r="N174">
            <v>132016</v>
          </cell>
          <cell r="O174">
            <v>862647.43409090908</v>
          </cell>
          <cell r="P174">
            <v>0</v>
          </cell>
          <cell r="Q174">
            <v>0</v>
          </cell>
          <cell r="R174">
            <v>132016</v>
          </cell>
          <cell r="S174">
            <v>862647.43409090908</v>
          </cell>
          <cell r="T174">
            <v>144968</v>
          </cell>
          <cell r="U174">
            <v>49506</v>
          </cell>
          <cell r="V174">
            <v>435852</v>
          </cell>
        </row>
        <row r="175">
          <cell r="D175" t="str">
            <v>Ôtô tưới nước 5m3</v>
          </cell>
          <cell r="E175" t="str">
            <v>water truck 5m3</v>
          </cell>
          <cell r="F175">
            <v>22.5</v>
          </cell>
          <cell r="J175">
            <v>1</v>
          </cell>
          <cell r="K175">
            <v>57817</v>
          </cell>
          <cell r="L175">
            <v>480273</v>
          </cell>
          <cell r="M175">
            <v>327532.70454545453</v>
          </cell>
          <cell r="N175">
            <v>154178.66666666666</v>
          </cell>
          <cell r="O175">
            <v>961984.37121212122</v>
          </cell>
          <cell r="P175">
            <v>77.120582905768458</v>
          </cell>
          <cell r="Q175">
            <v>25259513.095248293</v>
          </cell>
          <cell r="R175">
            <v>154178.66666666666</v>
          </cell>
          <cell r="S175">
            <v>961984.37121212122</v>
          </cell>
          <cell r="T175">
            <v>161075</v>
          </cell>
          <cell r="U175">
            <v>57817</v>
          </cell>
          <cell r="V175">
            <v>480273</v>
          </cell>
        </row>
        <row r="176">
          <cell r="F176">
            <v>24</v>
          </cell>
          <cell r="J176">
            <v>1</v>
          </cell>
          <cell r="K176">
            <v>57817</v>
          </cell>
          <cell r="L176">
            <v>536148</v>
          </cell>
          <cell r="M176">
            <v>349368.2181818182</v>
          </cell>
          <cell r="N176">
            <v>154178.66666666666</v>
          </cell>
          <cell r="O176">
            <v>1039694.8848484849</v>
          </cell>
          <cell r="P176">
            <v>0</v>
          </cell>
          <cell r="Q176">
            <v>0</v>
          </cell>
          <cell r="R176">
            <v>154178.66666666666</v>
          </cell>
          <cell r="S176">
            <v>1039694.8848484849</v>
          </cell>
          <cell r="T176">
            <v>171814</v>
          </cell>
          <cell r="U176">
            <v>57817</v>
          </cell>
          <cell r="V176">
            <v>536148</v>
          </cell>
        </row>
        <row r="177">
          <cell r="F177">
            <v>25.5</v>
          </cell>
          <cell r="J177">
            <v>1</v>
          </cell>
          <cell r="K177">
            <v>61040</v>
          </cell>
          <cell r="L177">
            <v>579474</v>
          </cell>
          <cell r="M177">
            <v>371203.73181818181</v>
          </cell>
          <cell r="N177">
            <v>162773.33333333331</v>
          </cell>
          <cell r="O177">
            <v>1113451.0651515152</v>
          </cell>
          <cell r="P177">
            <v>0</v>
          </cell>
          <cell r="Q177">
            <v>0</v>
          </cell>
          <cell r="R177">
            <v>162773.33333333331</v>
          </cell>
          <cell r="S177">
            <v>1113451.0651515152</v>
          </cell>
          <cell r="T177">
            <v>182552</v>
          </cell>
          <cell r="U177">
            <v>61040</v>
          </cell>
          <cell r="V177">
            <v>579474</v>
          </cell>
        </row>
        <row r="178">
          <cell r="E178" t="str">
            <v>Water truck 7m3</v>
          </cell>
          <cell r="F178">
            <v>27</v>
          </cell>
          <cell r="J178">
            <v>1</v>
          </cell>
          <cell r="K178">
            <v>61040</v>
          </cell>
          <cell r="L178">
            <v>642031</v>
          </cell>
          <cell r="M178">
            <v>393039.24545454542</v>
          </cell>
          <cell r="N178">
            <v>162773.33333333331</v>
          </cell>
          <cell r="O178">
            <v>1197843.5787878786</v>
          </cell>
          <cell r="P178">
            <v>0</v>
          </cell>
          <cell r="Q178">
            <v>0</v>
          </cell>
          <cell r="R178">
            <v>162773.33333333331</v>
          </cell>
          <cell r="S178">
            <v>1197843.5787878786</v>
          </cell>
          <cell r="T178">
            <v>193290</v>
          </cell>
          <cell r="U178">
            <v>61040</v>
          </cell>
          <cell r="V178">
            <v>642031</v>
          </cell>
        </row>
        <row r="179">
          <cell r="K179">
            <v>0</v>
          </cell>
          <cell r="L179">
            <v>0</v>
          </cell>
          <cell r="N179">
            <v>0</v>
          </cell>
          <cell r="O179">
            <v>0</v>
          </cell>
          <cell r="P179">
            <v>0</v>
          </cell>
          <cell r="Q179">
            <v>0</v>
          </cell>
          <cell r="R179">
            <v>0</v>
          </cell>
          <cell r="S179">
            <v>0</v>
          </cell>
        </row>
        <row r="180">
          <cell r="F180">
            <v>27</v>
          </cell>
          <cell r="J180">
            <v>1</v>
          </cell>
          <cell r="K180">
            <v>100369</v>
          </cell>
          <cell r="L180">
            <v>665278</v>
          </cell>
          <cell r="M180">
            <v>393039.24545454542</v>
          </cell>
          <cell r="N180">
            <v>267650.66666666663</v>
          </cell>
          <cell r="O180">
            <v>1325967.9121212121</v>
          </cell>
          <cell r="P180">
            <v>0</v>
          </cell>
          <cell r="Q180">
            <v>0</v>
          </cell>
          <cell r="R180">
            <v>267650.66666666663</v>
          </cell>
          <cell r="S180">
            <v>1325967.9121212121</v>
          </cell>
          <cell r="T180">
            <v>193290</v>
          </cell>
          <cell r="U180">
            <v>100369</v>
          </cell>
          <cell r="V180">
            <v>665278</v>
          </cell>
        </row>
        <row r="181">
          <cell r="F181">
            <v>28.8</v>
          </cell>
          <cell r="J181">
            <v>1</v>
          </cell>
          <cell r="K181">
            <v>100369</v>
          </cell>
          <cell r="L181">
            <v>748303</v>
          </cell>
          <cell r="M181">
            <v>419241.86181818182</v>
          </cell>
          <cell r="N181">
            <v>267650.66666666663</v>
          </cell>
          <cell r="O181">
            <v>1435195.5284848483</v>
          </cell>
          <cell r="P181">
            <v>0</v>
          </cell>
          <cell r="Q181">
            <v>0</v>
          </cell>
          <cell r="R181">
            <v>267650.66666666663</v>
          </cell>
          <cell r="S181">
            <v>1435195.5284848483</v>
          </cell>
          <cell r="T181">
            <v>206176</v>
          </cell>
          <cell r="U181">
            <v>100369</v>
          </cell>
          <cell r="V181">
            <v>748303</v>
          </cell>
        </row>
        <row r="182">
          <cell r="F182">
            <v>30.6</v>
          </cell>
          <cell r="J182">
            <v>1</v>
          </cell>
          <cell r="K182">
            <v>100369</v>
          </cell>
          <cell r="L182">
            <v>867432</v>
          </cell>
          <cell r="M182">
            <v>445444.47818181815</v>
          </cell>
          <cell r="N182">
            <v>267650.66666666663</v>
          </cell>
          <cell r="O182">
            <v>1580527.1448484845</v>
          </cell>
          <cell r="P182">
            <v>0</v>
          </cell>
          <cell r="Q182">
            <v>0</v>
          </cell>
          <cell r="R182">
            <v>267650.66666666663</v>
          </cell>
          <cell r="S182">
            <v>1580527.1448484848</v>
          </cell>
          <cell r="T182">
            <v>219062</v>
          </cell>
          <cell r="U182">
            <v>100369</v>
          </cell>
          <cell r="V182">
            <v>867432</v>
          </cell>
        </row>
        <row r="183">
          <cell r="F183">
            <v>37.799999999999997</v>
          </cell>
          <cell r="J183">
            <v>1</v>
          </cell>
          <cell r="K183">
            <v>106306</v>
          </cell>
          <cell r="L183">
            <v>1192058</v>
          </cell>
          <cell r="M183">
            <v>550254.94363636349</v>
          </cell>
          <cell r="N183">
            <v>283482.66666666663</v>
          </cell>
          <cell r="O183">
            <v>2025795.6103030299</v>
          </cell>
          <cell r="P183">
            <v>0</v>
          </cell>
          <cell r="Q183">
            <v>0</v>
          </cell>
          <cell r="R183">
            <v>283482.66666666663</v>
          </cell>
          <cell r="S183">
            <v>2025795.6103030301</v>
          </cell>
          <cell r="T183">
            <v>270606</v>
          </cell>
          <cell r="U183">
            <v>106306</v>
          </cell>
          <cell r="V183">
            <v>1192058</v>
          </cell>
        </row>
        <row r="184">
          <cell r="K184">
            <v>0</v>
          </cell>
          <cell r="L184">
            <v>0</v>
          </cell>
          <cell r="N184">
            <v>0</v>
          </cell>
          <cell r="O184">
            <v>0</v>
          </cell>
          <cell r="P184">
            <v>0</v>
          </cell>
          <cell r="Q184">
            <v>0</v>
          </cell>
          <cell r="R184">
            <v>0</v>
          </cell>
          <cell r="S184">
            <v>0</v>
          </cell>
        </row>
        <row r="185">
          <cell r="J185">
            <v>1</v>
          </cell>
          <cell r="K185">
            <v>39668</v>
          </cell>
          <cell r="L185">
            <v>62124</v>
          </cell>
          <cell r="M185">
            <v>0</v>
          </cell>
          <cell r="N185">
            <v>105781.33333333333</v>
          </cell>
          <cell r="O185">
            <v>167905.33333333331</v>
          </cell>
          <cell r="P185">
            <v>0</v>
          </cell>
          <cell r="Q185">
            <v>0</v>
          </cell>
          <cell r="R185">
            <v>105781.33333333333</v>
          </cell>
          <cell r="S185">
            <v>167905.33333333331</v>
          </cell>
          <cell r="U185">
            <v>39668</v>
          </cell>
          <cell r="V185">
            <v>62124</v>
          </cell>
        </row>
        <row r="186">
          <cell r="J186">
            <v>1</v>
          </cell>
          <cell r="K186">
            <v>42552</v>
          </cell>
          <cell r="L186">
            <v>77382</v>
          </cell>
          <cell r="M186">
            <v>0</v>
          </cell>
          <cell r="N186">
            <v>113472</v>
          </cell>
          <cell r="O186">
            <v>190854</v>
          </cell>
          <cell r="P186">
            <v>0</v>
          </cell>
          <cell r="Q186">
            <v>0</v>
          </cell>
          <cell r="R186">
            <v>113472</v>
          </cell>
          <cell r="S186">
            <v>190854</v>
          </cell>
          <cell r="U186">
            <v>42552</v>
          </cell>
          <cell r="V186">
            <v>77382</v>
          </cell>
        </row>
        <row r="187">
          <cell r="J187">
            <v>1</v>
          </cell>
          <cell r="K187">
            <v>45266</v>
          </cell>
          <cell r="L187">
            <v>90870</v>
          </cell>
          <cell r="M187">
            <v>0</v>
          </cell>
          <cell r="N187">
            <v>120709.33333333333</v>
          </cell>
          <cell r="O187">
            <v>211579.33333333331</v>
          </cell>
          <cell r="P187">
            <v>0</v>
          </cell>
          <cell r="Q187">
            <v>0</v>
          </cell>
          <cell r="R187">
            <v>120709.33333333333</v>
          </cell>
          <cell r="S187">
            <v>211579.33333333331</v>
          </cell>
          <cell r="U187">
            <v>45266</v>
          </cell>
          <cell r="V187">
            <v>90870</v>
          </cell>
        </row>
        <row r="188">
          <cell r="J188">
            <v>1</v>
          </cell>
          <cell r="K188">
            <v>45266</v>
          </cell>
          <cell r="L188">
            <v>118194</v>
          </cell>
          <cell r="M188">
            <v>0</v>
          </cell>
          <cell r="N188">
            <v>120709.33333333333</v>
          </cell>
          <cell r="O188">
            <v>238903.33333333331</v>
          </cell>
          <cell r="P188">
            <v>0</v>
          </cell>
          <cell r="Q188">
            <v>0</v>
          </cell>
          <cell r="R188">
            <v>120709.33333333333</v>
          </cell>
          <cell r="S188">
            <v>238903.33333333331</v>
          </cell>
          <cell r="U188">
            <v>45266</v>
          </cell>
          <cell r="V188">
            <v>118194</v>
          </cell>
        </row>
        <row r="189">
          <cell r="J189">
            <v>1</v>
          </cell>
          <cell r="K189">
            <v>45266</v>
          </cell>
          <cell r="L189">
            <v>125521</v>
          </cell>
          <cell r="M189">
            <v>0</v>
          </cell>
          <cell r="N189">
            <v>120709.33333333333</v>
          </cell>
          <cell r="O189">
            <v>246230.33333333331</v>
          </cell>
          <cell r="P189">
            <v>0</v>
          </cell>
          <cell r="Q189">
            <v>0</v>
          </cell>
          <cell r="R189">
            <v>120709.33333333333</v>
          </cell>
          <cell r="S189">
            <v>246230.33333333331</v>
          </cell>
          <cell r="U189">
            <v>45266</v>
          </cell>
          <cell r="V189">
            <v>125521</v>
          </cell>
        </row>
        <row r="190">
          <cell r="J190">
            <v>1</v>
          </cell>
          <cell r="K190">
            <v>47810</v>
          </cell>
          <cell r="L190">
            <v>147461</v>
          </cell>
          <cell r="M190">
            <v>0</v>
          </cell>
          <cell r="N190">
            <v>127493.33333333333</v>
          </cell>
          <cell r="O190">
            <v>274954.33333333331</v>
          </cell>
          <cell r="P190">
            <v>0</v>
          </cell>
          <cell r="Q190">
            <v>0</v>
          </cell>
          <cell r="R190">
            <v>127493.33333333333</v>
          </cell>
          <cell r="S190">
            <v>274954.33333333331</v>
          </cell>
          <cell r="U190">
            <v>47810</v>
          </cell>
          <cell r="V190">
            <v>147461</v>
          </cell>
        </row>
        <row r="191">
          <cell r="J191">
            <v>1</v>
          </cell>
          <cell r="K191">
            <v>56969</v>
          </cell>
          <cell r="L191">
            <v>238425</v>
          </cell>
          <cell r="M191">
            <v>0</v>
          </cell>
          <cell r="N191">
            <v>151917.33333333331</v>
          </cell>
          <cell r="O191">
            <v>390342.33333333331</v>
          </cell>
          <cell r="P191">
            <v>0</v>
          </cell>
          <cell r="Q191">
            <v>0</v>
          </cell>
          <cell r="R191">
            <v>151917.33333333331</v>
          </cell>
          <cell r="S191">
            <v>390342.33333333331</v>
          </cell>
          <cell r="U191">
            <v>56969</v>
          </cell>
          <cell r="V191">
            <v>238425</v>
          </cell>
        </row>
        <row r="192">
          <cell r="J192">
            <v>1</v>
          </cell>
          <cell r="K192">
            <v>56969</v>
          </cell>
          <cell r="L192">
            <v>385255</v>
          </cell>
          <cell r="M192">
            <v>0</v>
          </cell>
          <cell r="N192">
            <v>151917.33333333331</v>
          </cell>
          <cell r="O192">
            <v>537172.33333333326</v>
          </cell>
          <cell r="P192">
            <v>0</v>
          </cell>
          <cell r="Q192">
            <v>0</v>
          </cell>
          <cell r="R192">
            <v>151917.33333333331</v>
          </cell>
          <cell r="S192">
            <v>537172.33333333326</v>
          </cell>
          <cell r="U192">
            <v>56969</v>
          </cell>
          <cell r="V192">
            <v>385255</v>
          </cell>
        </row>
        <row r="193">
          <cell r="J193">
            <v>1</v>
          </cell>
          <cell r="K193">
            <v>56969</v>
          </cell>
          <cell r="L193">
            <v>424626</v>
          </cell>
          <cell r="M193">
            <v>0</v>
          </cell>
          <cell r="N193">
            <v>151917.33333333331</v>
          </cell>
          <cell r="O193">
            <v>576543.33333333326</v>
          </cell>
          <cell r="P193">
            <v>0</v>
          </cell>
          <cell r="Q193">
            <v>0</v>
          </cell>
          <cell r="R193">
            <v>151917.33333333331</v>
          </cell>
          <cell r="S193">
            <v>576543.33333333326</v>
          </cell>
          <cell r="U193">
            <v>56969</v>
          </cell>
          <cell r="V193">
            <v>424626</v>
          </cell>
        </row>
        <row r="194">
          <cell r="K194">
            <v>0</v>
          </cell>
          <cell r="L194">
            <v>0</v>
          </cell>
          <cell r="N194">
            <v>0</v>
          </cell>
          <cell r="O194">
            <v>0</v>
          </cell>
          <cell r="P194">
            <v>0</v>
          </cell>
          <cell r="Q194">
            <v>0</v>
          </cell>
          <cell r="R194">
            <v>0</v>
          </cell>
          <cell r="S194">
            <v>0</v>
          </cell>
        </row>
        <row r="195">
          <cell r="F195">
            <v>21.6</v>
          </cell>
          <cell r="J195">
            <v>1</v>
          </cell>
          <cell r="K195">
            <v>48658</v>
          </cell>
          <cell r="L195">
            <v>295334</v>
          </cell>
          <cell r="M195">
            <v>314431.39636363636</v>
          </cell>
          <cell r="N195">
            <v>129754.66666666666</v>
          </cell>
          <cell r="O195">
            <v>739520.06303030299</v>
          </cell>
          <cell r="P195">
            <v>0</v>
          </cell>
          <cell r="Q195">
            <v>0</v>
          </cell>
          <cell r="R195">
            <v>129754.66666666666</v>
          </cell>
          <cell r="S195">
            <v>739520.06303030299</v>
          </cell>
          <cell r="T195">
            <v>154632</v>
          </cell>
          <cell r="U195">
            <v>48658</v>
          </cell>
          <cell r="V195">
            <v>295334</v>
          </cell>
        </row>
        <row r="196">
          <cell r="F196">
            <v>25.92</v>
          </cell>
          <cell r="J196">
            <v>1</v>
          </cell>
          <cell r="K196">
            <v>48658</v>
          </cell>
          <cell r="L196">
            <v>344634</v>
          </cell>
          <cell r="M196">
            <v>377317.67563636362</v>
          </cell>
          <cell r="N196">
            <v>129754.66666666666</v>
          </cell>
          <cell r="O196">
            <v>851706.34230303031</v>
          </cell>
          <cell r="P196">
            <v>0</v>
          </cell>
          <cell r="Q196">
            <v>0</v>
          </cell>
          <cell r="R196">
            <v>129754.66666666666</v>
          </cell>
          <cell r="S196">
            <v>851706.34230303031</v>
          </cell>
          <cell r="T196">
            <v>185559</v>
          </cell>
          <cell r="U196">
            <v>48658</v>
          </cell>
          <cell r="V196">
            <v>344634</v>
          </cell>
        </row>
        <row r="197">
          <cell r="F197">
            <v>32.4</v>
          </cell>
          <cell r="J197">
            <v>1</v>
          </cell>
          <cell r="K197">
            <v>48658</v>
          </cell>
          <cell r="L197">
            <v>484939</v>
          </cell>
          <cell r="M197">
            <v>471647.09454545449</v>
          </cell>
          <cell r="N197">
            <v>129754.66666666666</v>
          </cell>
          <cell r="O197">
            <v>1086340.7612121212</v>
          </cell>
          <cell r="P197">
            <v>0</v>
          </cell>
          <cell r="Q197">
            <v>0</v>
          </cell>
          <cell r="R197">
            <v>129754.66666666666</v>
          </cell>
          <cell r="S197">
            <v>1086340.7612121212</v>
          </cell>
          <cell r="T197">
            <v>231948</v>
          </cell>
          <cell r="U197">
            <v>48658</v>
          </cell>
          <cell r="V197">
            <v>484939</v>
          </cell>
        </row>
        <row r="198">
          <cell r="F198">
            <v>41.472000000000008</v>
          </cell>
          <cell r="J198">
            <v>1</v>
          </cell>
          <cell r="K198">
            <v>48658</v>
          </cell>
          <cell r="L198">
            <v>566437</v>
          </cell>
          <cell r="M198">
            <v>603708.28101818182</v>
          </cell>
          <cell r="N198">
            <v>129754.66666666666</v>
          </cell>
          <cell r="O198">
            <v>1299899.9476848484</v>
          </cell>
          <cell r="P198">
            <v>0</v>
          </cell>
          <cell r="Q198">
            <v>0</v>
          </cell>
          <cell r="R198">
            <v>129754.66666666666</v>
          </cell>
          <cell r="S198">
            <v>1299899.9476848484</v>
          </cell>
          <cell r="T198">
            <v>296880</v>
          </cell>
          <cell r="U198">
            <v>48658</v>
          </cell>
          <cell r="V198">
            <v>566437</v>
          </cell>
        </row>
        <row r="199">
          <cell r="F199">
            <v>49.92</v>
          </cell>
          <cell r="J199">
            <v>1</v>
          </cell>
          <cell r="K199">
            <v>48658</v>
          </cell>
          <cell r="L199">
            <v>642786</v>
          </cell>
          <cell r="M199">
            <v>726685.89381818182</v>
          </cell>
          <cell r="N199">
            <v>129754.66666666666</v>
          </cell>
          <cell r="O199">
            <v>1499226.5604848487</v>
          </cell>
          <cell r="P199">
            <v>0</v>
          </cell>
          <cell r="Q199">
            <v>0</v>
          </cell>
          <cell r="R199">
            <v>129754.66666666666</v>
          </cell>
          <cell r="S199">
            <v>1499226.5604848485</v>
          </cell>
          <cell r="T199">
            <v>357372</v>
          </cell>
          <cell r="U199">
            <v>48658</v>
          </cell>
          <cell r="V199">
            <v>642786</v>
          </cell>
        </row>
        <row r="200">
          <cell r="K200">
            <v>0</v>
          </cell>
          <cell r="L200">
            <v>0</v>
          </cell>
          <cell r="N200">
            <v>0</v>
          </cell>
          <cell r="O200">
            <v>0</v>
          </cell>
          <cell r="P200">
            <v>0</v>
          </cell>
          <cell r="Q200">
            <v>0</v>
          </cell>
          <cell r="R200">
            <v>0</v>
          </cell>
          <cell r="S200">
            <v>0</v>
          </cell>
        </row>
        <row r="201">
          <cell r="F201">
            <v>11.76</v>
          </cell>
          <cell r="J201">
            <v>1</v>
          </cell>
          <cell r="K201">
            <v>48658</v>
          </cell>
          <cell r="L201">
            <v>250873</v>
          </cell>
          <cell r="M201">
            <v>171190.42690909089</v>
          </cell>
          <cell r="N201">
            <v>129754.66666666666</v>
          </cell>
          <cell r="O201">
            <v>551818.09357575758</v>
          </cell>
          <cell r="P201">
            <v>0</v>
          </cell>
          <cell r="Q201">
            <v>0</v>
          </cell>
          <cell r="R201">
            <v>129754.66666666666</v>
          </cell>
          <cell r="S201">
            <v>551818.09357575758</v>
          </cell>
          <cell r="T201">
            <v>84189</v>
          </cell>
          <cell r="U201">
            <v>48658</v>
          </cell>
          <cell r="V201">
            <v>250873</v>
          </cell>
        </row>
        <row r="202">
          <cell r="F202">
            <v>16.8</v>
          </cell>
          <cell r="J202">
            <v>1</v>
          </cell>
          <cell r="K202">
            <v>48658</v>
          </cell>
          <cell r="L202">
            <v>297067</v>
          </cell>
          <cell r="M202">
            <v>244557.75272727272</v>
          </cell>
          <cell r="N202">
            <v>129754.66666666666</v>
          </cell>
          <cell r="O202">
            <v>671379.41939393932</v>
          </cell>
          <cell r="P202">
            <v>0</v>
          </cell>
          <cell r="Q202">
            <v>0</v>
          </cell>
          <cell r="R202">
            <v>129754.66666666666</v>
          </cell>
          <cell r="S202">
            <v>671379.41939393943</v>
          </cell>
          <cell r="T202">
            <v>120270</v>
          </cell>
          <cell r="U202">
            <v>48658</v>
          </cell>
          <cell r="V202">
            <v>297067</v>
          </cell>
        </row>
        <row r="203">
          <cell r="F203">
            <v>21</v>
          </cell>
          <cell r="J203">
            <v>1</v>
          </cell>
          <cell r="K203">
            <v>48658</v>
          </cell>
          <cell r="L203">
            <v>338313</v>
          </cell>
          <cell r="M203">
            <v>305697.19090909086</v>
          </cell>
          <cell r="N203">
            <v>129754.66666666666</v>
          </cell>
          <cell r="O203">
            <v>773764.85757575755</v>
          </cell>
          <cell r="P203">
            <v>0</v>
          </cell>
          <cell r="Q203">
            <v>0</v>
          </cell>
          <cell r="R203">
            <v>129754.66666666666</v>
          </cell>
          <cell r="S203">
            <v>773764.85757575755</v>
          </cell>
          <cell r="T203">
            <v>150337</v>
          </cell>
          <cell r="U203">
            <v>48658</v>
          </cell>
          <cell r="V203">
            <v>338313</v>
          </cell>
        </row>
        <row r="204">
          <cell r="F204">
            <v>25.2</v>
          </cell>
          <cell r="J204">
            <v>1</v>
          </cell>
          <cell r="K204">
            <v>48658</v>
          </cell>
          <cell r="L204">
            <v>393385</v>
          </cell>
          <cell r="M204">
            <v>366836.62909090909</v>
          </cell>
          <cell r="N204">
            <v>129754.66666666666</v>
          </cell>
          <cell r="O204">
            <v>889976.29575757578</v>
          </cell>
          <cell r="P204">
            <v>0</v>
          </cell>
          <cell r="Q204">
            <v>0</v>
          </cell>
          <cell r="R204">
            <v>129754.66666666666</v>
          </cell>
          <cell r="S204">
            <v>889976.29575757578</v>
          </cell>
          <cell r="T204">
            <v>180404</v>
          </cell>
          <cell r="U204">
            <v>48658</v>
          </cell>
          <cell r="V204">
            <v>393385</v>
          </cell>
        </row>
        <row r="205">
          <cell r="F205">
            <v>33.6</v>
          </cell>
          <cell r="J205">
            <v>1</v>
          </cell>
          <cell r="K205">
            <v>48658</v>
          </cell>
          <cell r="L205">
            <v>466393</v>
          </cell>
          <cell r="M205">
            <v>489115.50545454543</v>
          </cell>
          <cell r="N205">
            <v>129754.66666666666</v>
          </cell>
          <cell r="O205">
            <v>1085263.1721212121</v>
          </cell>
          <cell r="P205">
            <v>0</v>
          </cell>
          <cell r="Q205">
            <v>0</v>
          </cell>
          <cell r="R205">
            <v>129754.66666666666</v>
          </cell>
          <cell r="S205">
            <v>1085263.1721212121</v>
          </cell>
          <cell r="T205">
            <v>240539</v>
          </cell>
          <cell r="U205">
            <v>48658</v>
          </cell>
          <cell r="V205">
            <v>466393</v>
          </cell>
        </row>
        <row r="206">
          <cell r="F206">
            <v>55.44</v>
          </cell>
          <cell r="J206">
            <v>1</v>
          </cell>
          <cell r="K206">
            <v>48658</v>
          </cell>
          <cell r="L206">
            <v>715110</v>
          </cell>
          <cell r="M206">
            <v>807040.58399999992</v>
          </cell>
          <cell r="N206">
            <v>129754.66666666666</v>
          </cell>
          <cell r="O206">
            <v>1651905.2506666665</v>
          </cell>
          <cell r="P206">
            <v>0</v>
          </cell>
          <cell r="Q206">
            <v>0</v>
          </cell>
          <cell r="R206">
            <v>129754.66666666666</v>
          </cell>
          <cell r="S206">
            <v>1651905.2506666665</v>
          </cell>
          <cell r="T206">
            <v>396889</v>
          </cell>
          <cell r="U206">
            <v>48658</v>
          </cell>
          <cell r="V206">
            <v>715110</v>
          </cell>
        </row>
        <row r="207">
          <cell r="F207">
            <v>67.724999999999994</v>
          </cell>
          <cell r="J207">
            <v>1</v>
          </cell>
          <cell r="K207">
            <v>56800</v>
          </cell>
          <cell r="L207">
            <v>851140</v>
          </cell>
          <cell r="M207">
            <v>985873.44068181806</v>
          </cell>
          <cell r="N207">
            <v>151466.66666666666</v>
          </cell>
          <cell r="O207">
            <v>1988480.1073484847</v>
          </cell>
          <cell r="P207">
            <v>0</v>
          </cell>
          <cell r="Q207">
            <v>0</v>
          </cell>
          <cell r="R207">
            <v>151466.66666666666</v>
          </cell>
          <cell r="S207">
            <v>1988480.1073484847</v>
          </cell>
          <cell r="T207">
            <v>484872</v>
          </cell>
          <cell r="U207">
            <v>56800</v>
          </cell>
          <cell r="V207">
            <v>851140</v>
          </cell>
        </row>
        <row r="208">
          <cell r="K208">
            <v>0</v>
          </cell>
          <cell r="L208">
            <v>0</v>
          </cell>
          <cell r="N208">
            <v>0</v>
          </cell>
          <cell r="O208">
            <v>0</v>
          </cell>
          <cell r="P208">
            <v>0</v>
          </cell>
          <cell r="Q208">
            <v>0</v>
          </cell>
          <cell r="R208">
            <v>0</v>
          </cell>
          <cell r="S208">
            <v>0</v>
          </cell>
        </row>
        <row r="209">
          <cell r="E209" t="str">
            <v>Winch 13kW</v>
          </cell>
          <cell r="G209">
            <v>42.9</v>
          </cell>
          <cell r="J209">
            <v>1</v>
          </cell>
          <cell r="K209">
            <v>105458</v>
          </cell>
          <cell r="L209">
            <v>160553</v>
          </cell>
          <cell r="M209">
            <v>28177.556549999994</v>
          </cell>
          <cell r="N209">
            <v>281221.33333333331</v>
          </cell>
          <cell r="O209">
            <v>469951.88988333329</v>
          </cell>
          <cell r="P209">
            <v>0</v>
          </cell>
          <cell r="Q209">
            <v>0</v>
          </cell>
          <cell r="R209">
            <v>281221.33333333331</v>
          </cell>
          <cell r="S209">
            <v>469951.88988333329</v>
          </cell>
          <cell r="T209">
            <v>41083</v>
          </cell>
          <cell r="U209">
            <v>105458</v>
          </cell>
          <cell r="V209">
            <v>160553</v>
          </cell>
        </row>
        <row r="210">
          <cell r="J210">
            <v>1</v>
          </cell>
          <cell r="K210">
            <v>105458</v>
          </cell>
          <cell r="L210">
            <v>115258</v>
          </cell>
          <cell r="M210">
            <v>0</v>
          </cell>
          <cell r="N210">
            <v>281221.33333333331</v>
          </cell>
          <cell r="O210">
            <v>396479.33333333331</v>
          </cell>
          <cell r="P210">
            <v>0</v>
          </cell>
          <cell r="Q210">
            <v>0</v>
          </cell>
          <cell r="R210">
            <v>281221.33333333331</v>
          </cell>
          <cell r="S210">
            <v>396479.33333333331</v>
          </cell>
          <cell r="U210">
            <v>105458</v>
          </cell>
          <cell r="V210">
            <v>115258</v>
          </cell>
        </row>
        <row r="211">
          <cell r="J211">
            <v>1</v>
          </cell>
          <cell r="K211">
            <v>105458</v>
          </cell>
          <cell r="L211">
            <v>505579</v>
          </cell>
          <cell r="M211">
            <v>0</v>
          </cell>
          <cell r="N211">
            <v>281221.33333333331</v>
          </cell>
          <cell r="O211">
            <v>786800.33333333326</v>
          </cell>
          <cell r="P211">
            <v>0</v>
          </cell>
          <cell r="Q211">
            <v>0</v>
          </cell>
          <cell r="R211">
            <v>281221.33333333331</v>
          </cell>
          <cell r="S211">
            <v>786800.33333333326</v>
          </cell>
          <cell r="U211">
            <v>105458</v>
          </cell>
          <cell r="V211">
            <v>505579</v>
          </cell>
        </row>
        <row r="212">
          <cell r="D212" t="str">
            <v>Đầu kéo 30T</v>
          </cell>
          <cell r="E212" t="str">
            <v>tractor 30T</v>
          </cell>
          <cell r="F212">
            <v>37.44</v>
          </cell>
          <cell r="J212">
            <v>1</v>
          </cell>
          <cell r="K212">
            <v>105458</v>
          </cell>
          <cell r="L212">
            <v>1232248</v>
          </cell>
          <cell r="M212">
            <v>545014.42036363622</v>
          </cell>
          <cell r="N212">
            <v>281221.33333333331</v>
          </cell>
          <cell r="O212">
            <v>2058483.7536969695</v>
          </cell>
          <cell r="P212">
            <v>0</v>
          </cell>
          <cell r="Q212">
            <v>0</v>
          </cell>
          <cell r="R212">
            <v>281221.33333333331</v>
          </cell>
          <cell r="S212">
            <v>2058483.7536969695</v>
          </cell>
          <cell r="T212">
            <v>268029</v>
          </cell>
          <cell r="U212">
            <v>105458</v>
          </cell>
          <cell r="V212">
            <v>1232248</v>
          </cell>
        </row>
        <row r="213">
          <cell r="G213">
            <v>27</v>
          </cell>
          <cell r="J213">
            <v>1</v>
          </cell>
          <cell r="K213">
            <v>105458</v>
          </cell>
          <cell r="L213">
            <v>212835</v>
          </cell>
          <cell r="M213">
            <v>17734.126499999998</v>
          </cell>
          <cell r="N213">
            <v>281221.33333333331</v>
          </cell>
          <cell r="O213">
            <v>511790.45983333333</v>
          </cell>
          <cell r="P213">
            <v>0</v>
          </cell>
          <cell r="Q213">
            <v>0</v>
          </cell>
          <cell r="R213">
            <v>281221.33333333331</v>
          </cell>
          <cell r="S213">
            <v>511790.45983333333</v>
          </cell>
          <cell r="T213">
            <v>25857</v>
          </cell>
          <cell r="U213">
            <v>105458</v>
          </cell>
          <cell r="V213">
            <v>212835</v>
          </cell>
        </row>
        <row r="214">
          <cell r="K214">
            <v>0</v>
          </cell>
          <cell r="L214">
            <v>0</v>
          </cell>
          <cell r="N214">
            <v>0</v>
          </cell>
          <cell r="O214">
            <v>0</v>
          </cell>
          <cell r="P214">
            <v>0</v>
          </cell>
          <cell r="Q214">
            <v>0</v>
          </cell>
          <cell r="R214">
            <v>0</v>
          </cell>
          <cell r="S214">
            <v>0</v>
          </cell>
        </row>
        <row r="215">
          <cell r="F215">
            <v>18</v>
          </cell>
          <cell r="J215">
            <v>1</v>
          </cell>
          <cell r="K215">
            <v>56800</v>
          </cell>
          <cell r="L215">
            <v>390901</v>
          </cell>
          <cell r="M215">
            <v>262026.16363636361</v>
          </cell>
          <cell r="N215">
            <v>151466.66666666666</v>
          </cell>
          <cell r="O215">
            <v>804393.8303030302</v>
          </cell>
          <cell r="P215">
            <v>0</v>
          </cell>
          <cell r="Q215">
            <v>0</v>
          </cell>
          <cell r="R215">
            <v>151466.66666666666</v>
          </cell>
          <cell r="S215">
            <v>804393.83030303032</v>
          </cell>
          <cell r="T215">
            <v>128860</v>
          </cell>
          <cell r="U215">
            <v>56800</v>
          </cell>
          <cell r="V215">
            <v>390901</v>
          </cell>
        </row>
        <row r="216">
          <cell r="F216">
            <v>21</v>
          </cell>
          <cell r="J216">
            <v>1</v>
          </cell>
          <cell r="K216">
            <v>56800</v>
          </cell>
          <cell r="L216">
            <v>441920</v>
          </cell>
          <cell r="M216">
            <v>305697.19090909086</v>
          </cell>
          <cell r="N216">
            <v>151466.66666666666</v>
          </cell>
          <cell r="O216">
            <v>899083.85757575755</v>
          </cell>
          <cell r="P216">
            <v>0</v>
          </cell>
          <cell r="Q216">
            <v>0</v>
          </cell>
          <cell r="R216">
            <v>151466.66666666666</v>
          </cell>
          <cell r="S216">
            <v>899083.85757575755</v>
          </cell>
          <cell r="T216">
            <v>150337</v>
          </cell>
          <cell r="U216">
            <v>56800</v>
          </cell>
          <cell r="V216">
            <v>441920</v>
          </cell>
        </row>
        <row r="217">
          <cell r="F217">
            <v>24</v>
          </cell>
          <cell r="J217">
            <v>1</v>
          </cell>
          <cell r="K217">
            <v>56800</v>
          </cell>
          <cell r="L217">
            <v>487964</v>
          </cell>
          <cell r="M217">
            <v>349368.2181818182</v>
          </cell>
          <cell r="N217">
            <v>151466.66666666666</v>
          </cell>
          <cell r="O217">
            <v>988798.88484848489</v>
          </cell>
          <cell r="P217">
            <v>0</v>
          </cell>
          <cell r="Q217">
            <v>0</v>
          </cell>
          <cell r="R217">
            <v>151466.66666666666</v>
          </cell>
          <cell r="S217">
            <v>988798.88484848489</v>
          </cell>
          <cell r="T217">
            <v>171814</v>
          </cell>
          <cell r="U217">
            <v>56800</v>
          </cell>
          <cell r="V217">
            <v>487964</v>
          </cell>
        </row>
        <row r="218">
          <cell r="F218">
            <v>33</v>
          </cell>
          <cell r="J218">
            <v>1</v>
          </cell>
          <cell r="K218">
            <v>56800</v>
          </cell>
          <cell r="L218">
            <v>570919</v>
          </cell>
          <cell r="M218">
            <v>480381.29999999993</v>
          </cell>
          <cell r="N218">
            <v>151466.66666666666</v>
          </cell>
          <cell r="O218">
            <v>1202766.9666666666</v>
          </cell>
          <cell r="P218">
            <v>0</v>
          </cell>
          <cell r="Q218">
            <v>0</v>
          </cell>
          <cell r="R218">
            <v>151466.66666666666</v>
          </cell>
          <cell r="S218">
            <v>1202766.9666666666</v>
          </cell>
          <cell r="T218">
            <v>236244</v>
          </cell>
          <cell r="U218">
            <v>56800</v>
          </cell>
          <cell r="V218">
            <v>570919</v>
          </cell>
        </row>
        <row r="219">
          <cell r="K219">
            <v>0</v>
          </cell>
          <cell r="L219">
            <v>0</v>
          </cell>
          <cell r="N219">
            <v>0</v>
          </cell>
          <cell r="O219">
            <v>0</v>
          </cell>
          <cell r="P219">
            <v>0</v>
          </cell>
          <cell r="Q219">
            <v>0</v>
          </cell>
          <cell r="R219">
            <v>0</v>
          </cell>
          <cell r="S219">
            <v>0</v>
          </cell>
        </row>
        <row r="220">
          <cell r="F220">
            <v>21.375</v>
          </cell>
          <cell r="J220">
            <v>1</v>
          </cell>
          <cell r="K220">
            <v>94093</v>
          </cell>
          <cell r="L220">
            <v>302692</v>
          </cell>
          <cell r="M220">
            <v>311156.06931818178</v>
          </cell>
          <cell r="N220">
            <v>250914.66666666666</v>
          </cell>
          <cell r="O220">
            <v>864762.73598484846</v>
          </cell>
          <cell r="P220">
            <v>0</v>
          </cell>
          <cell r="Q220">
            <v>0</v>
          </cell>
          <cell r="R220">
            <v>250914.66666666666</v>
          </cell>
          <cell r="S220">
            <v>864762.73598484846</v>
          </cell>
          <cell r="T220">
            <v>153057</v>
          </cell>
          <cell r="U220">
            <v>94093</v>
          </cell>
          <cell r="V220">
            <v>302692</v>
          </cell>
        </row>
        <row r="221">
          <cell r="F221">
            <v>24.75</v>
          </cell>
          <cell r="J221">
            <v>1</v>
          </cell>
          <cell r="K221">
            <v>94093</v>
          </cell>
          <cell r="L221">
            <v>329651</v>
          </cell>
          <cell r="M221">
            <v>360285.97499999998</v>
          </cell>
          <cell r="N221">
            <v>250914.66666666666</v>
          </cell>
          <cell r="O221">
            <v>940851.6416666666</v>
          </cell>
          <cell r="P221">
            <v>0</v>
          </cell>
          <cell r="Q221">
            <v>0</v>
          </cell>
          <cell r="R221">
            <v>250914.66666666666</v>
          </cell>
          <cell r="S221">
            <v>940851.6416666666</v>
          </cell>
          <cell r="T221">
            <v>177183</v>
          </cell>
          <cell r="U221">
            <v>94093</v>
          </cell>
          <cell r="V221">
            <v>329651</v>
          </cell>
        </row>
        <row r="222">
          <cell r="F222">
            <v>25.875</v>
          </cell>
          <cell r="J222">
            <v>1</v>
          </cell>
          <cell r="K222">
            <v>100369</v>
          </cell>
          <cell r="L222">
            <v>348296</v>
          </cell>
          <cell r="M222">
            <v>376662.61022727267</v>
          </cell>
          <cell r="N222">
            <v>267650.66666666663</v>
          </cell>
          <cell r="O222">
            <v>992609.27689393924</v>
          </cell>
          <cell r="P222">
            <v>0</v>
          </cell>
          <cell r="Q222">
            <v>0</v>
          </cell>
          <cell r="R222">
            <v>267650.66666666663</v>
          </cell>
          <cell r="S222">
            <v>992609.27689393936</v>
          </cell>
          <cell r="T222">
            <v>185272</v>
          </cell>
          <cell r="U222">
            <v>100369</v>
          </cell>
          <cell r="V222">
            <v>348296</v>
          </cell>
        </row>
        <row r="223">
          <cell r="F223">
            <v>30.375</v>
          </cell>
          <cell r="J223">
            <v>1</v>
          </cell>
          <cell r="K223">
            <v>100369</v>
          </cell>
          <cell r="L223">
            <v>408848</v>
          </cell>
          <cell r="M223">
            <v>442169.15113636362</v>
          </cell>
          <cell r="N223">
            <v>267650.66666666663</v>
          </cell>
          <cell r="O223">
            <v>1118667.8178030304</v>
          </cell>
          <cell r="P223">
            <v>0</v>
          </cell>
          <cell r="Q223">
            <v>0</v>
          </cell>
          <cell r="R223">
            <v>267650.66666666663</v>
          </cell>
          <cell r="S223">
            <v>1118667.8178030304</v>
          </cell>
          <cell r="T223">
            <v>217487</v>
          </cell>
          <cell r="U223">
            <v>100369</v>
          </cell>
          <cell r="V223">
            <v>408848</v>
          </cell>
        </row>
        <row r="224">
          <cell r="D224" t="str">
            <v>Cần trục ôtô 6T</v>
          </cell>
          <cell r="E224" t="str">
            <v>truck-mounted crane 6T</v>
          </cell>
          <cell r="F224">
            <v>32.625</v>
          </cell>
          <cell r="J224">
            <v>1</v>
          </cell>
          <cell r="K224">
            <v>100369</v>
          </cell>
          <cell r="L224">
            <v>500044</v>
          </cell>
          <cell r="M224">
            <v>474922.42159090907</v>
          </cell>
          <cell r="N224">
            <v>267650.66666666663</v>
          </cell>
          <cell r="O224">
            <v>1242617.0882575759</v>
          </cell>
          <cell r="P224">
            <v>0</v>
          </cell>
          <cell r="Q224">
            <v>0</v>
          </cell>
          <cell r="R224">
            <v>267650.66666666663</v>
          </cell>
          <cell r="S224">
            <v>1242617.0882575756</v>
          </cell>
          <cell r="T224">
            <v>233595</v>
          </cell>
          <cell r="U224">
            <v>100369</v>
          </cell>
          <cell r="V224">
            <v>500044</v>
          </cell>
        </row>
        <row r="225">
          <cell r="D225" t="str">
            <v>Cần trục ôtô 10T</v>
          </cell>
          <cell r="E225" t="str">
            <v>truck-mounted crane 10T</v>
          </cell>
          <cell r="F225">
            <v>37</v>
          </cell>
          <cell r="J225">
            <v>1</v>
          </cell>
          <cell r="K225">
            <v>106306</v>
          </cell>
          <cell r="L225">
            <v>861715</v>
          </cell>
          <cell r="M225">
            <v>538609.33636363631</v>
          </cell>
          <cell r="N225">
            <v>283482.66666666663</v>
          </cell>
          <cell r="O225">
            <v>1683807.0030303029</v>
          </cell>
          <cell r="P225">
            <v>22.922279999999997</v>
          </cell>
          <cell r="Q225">
            <v>12346154.018741451</v>
          </cell>
          <cell r="R225">
            <v>283482.66666666663</v>
          </cell>
          <cell r="S225">
            <v>1683807.0030303029</v>
          </cell>
          <cell r="T225">
            <v>264879</v>
          </cell>
          <cell r="U225">
            <v>106306</v>
          </cell>
          <cell r="V225">
            <v>861715</v>
          </cell>
        </row>
        <row r="226">
          <cell r="D226" t="str">
            <v>Cần trục ôtô 16T</v>
          </cell>
          <cell r="E226" t="str">
            <v>truck-mounted crane 16T</v>
          </cell>
          <cell r="F226">
            <v>43</v>
          </cell>
          <cell r="J226">
            <v>1</v>
          </cell>
          <cell r="K226">
            <v>106306</v>
          </cell>
          <cell r="L226">
            <v>1152795</v>
          </cell>
          <cell r="M226">
            <v>625951.39090909087</v>
          </cell>
          <cell r="N226">
            <v>283482.66666666663</v>
          </cell>
          <cell r="O226">
            <v>2062229.0575757576</v>
          </cell>
          <cell r="P226">
            <v>0</v>
          </cell>
          <cell r="Q226">
            <v>0</v>
          </cell>
          <cell r="R226">
            <v>283482.66666666663</v>
          </cell>
          <cell r="S226">
            <v>2062229.0575757576</v>
          </cell>
          <cell r="T226">
            <v>307833</v>
          </cell>
          <cell r="U226">
            <v>106306</v>
          </cell>
          <cell r="V226">
            <v>1152795</v>
          </cell>
        </row>
        <row r="227">
          <cell r="E227" t="str">
            <v>truck-mounted crane 20T</v>
          </cell>
          <cell r="F227">
            <v>44</v>
          </cell>
          <cell r="J227">
            <v>1</v>
          </cell>
          <cell r="K227">
            <v>112242</v>
          </cell>
          <cell r="L227">
            <v>1347537</v>
          </cell>
          <cell r="M227">
            <v>640508.39999999991</v>
          </cell>
          <cell r="N227">
            <v>299312</v>
          </cell>
          <cell r="O227">
            <v>2287357.4</v>
          </cell>
          <cell r="P227">
            <v>0</v>
          </cell>
          <cell r="Q227">
            <v>0</v>
          </cell>
          <cell r="R227">
            <v>299312</v>
          </cell>
          <cell r="S227">
            <v>2287357.4</v>
          </cell>
          <cell r="T227">
            <v>314992</v>
          </cell>
          <cell r="U227">
            <v>112242</v>
          </cell>
          <cell r="V227">
            <v>1347537</v>
          </cell>
        </row>
        <row r="228">
          <cell r="D228" t="str">
            <v>Cần trục ôtô 25T</v>
          </cell>
          <cell r="E228" t="str">
            <v>truck-mounted crane 25T</v>
          </cell>
          <cell r="F228">
            <v>50</v>
          </cell>
          <cell r="J228">
            <v>1</v>
          </cell>
          <cell r="K228">
            <v>112242</v>
          </cell>
          <cell r="L228">
            <v>1607712</v>
          </cell>
          <cell r="M228">
            <v>727850.45454545459</v>
          </cell>
          <cell r="N228">
            <v>299312</v>
          </cell>
          <cell r="O228">
            <v>2634874.4545454546</v>
          </cell>
          <cell r="P228">
            <v>34.798624000000004</v>
          </cell>
          <cell r="Q228">
            <v>25328194.295956369</v>
          </cell>
          <cell r="R228">
            <v>299312</v>
          </cell>
          <cell r="S228">
            <v>2634874.4545454546</v>
          </cell>
          <cell r="T228">
            <v>357945</v>
          </cell>
          <cell r="U228">
            <v>112242</v>
          </cell>
          <cell r="V228">
            <v>1607712</v>
          </cell>
        </row>
        <row r="229">
          <cell r="D229" t="str">
            <v>Cần trục ôtô 30T</v>
          </cell>
          <cell r="E229" t="str">
            <v>truck-mounted crane 30T</v>
          </cell>
          <cell r="F229">
            <v>54</v>
          </cell>
          <cell r="J229">
            <v>1</v>
          </cell>
          <cell r="K229">
            <v>125811</v>
          </cell>
          <cell r="L229">
            <v>1797235</v>
          </cell>
          <cell r="M229">
            <v>786078.49090909085</v>
          </cell>
          <cell r="N229">
            <v>335496</v>
          </cell>
          <cell r="O229">
            <v>2918809.4909090907</v>
          </cell>
          <cell r="P229">
            <v>0</v>
          </cell>
          <cell r="Q229">
            <v>0</v>
          </cell>
          <cell r="R229">
            <v>335496</v>
          </cell>
          <cell r="S229">
            <v>2918809.4909090907</v>
          </cell>
          <cell r="T229">
            <v>386581</v>
          </cell>
          <cell r="U229">
            <v>125811</v>
          </cell>
          <cell r="V229">
            <v>1797235</v>
          </cell>
        </row>
        <row r="230">
          <cell r="F230">
            <v>60</v>
          </cell>
          <cell r="J230">
            <v>1</v>
          </cell>
          <cell r="K230">
            <v>125811</v>
          </cell>
          <cell r="L230">
            <v>2037857</v>
          </cell>
          <cell r="M230">
            <v>873420.54545454541</v>
          </cell>
          <cell r="N230">
            <v>335496</v>
          </cell>
          <cell r="O230">
            <v>3246773.5454545454</v>
          </cell>
          <cell r="P230">
            <v>0</v>
          </cell>
          <cell r="Q230">
            <v>0</v>
          </cell>
          <cell r="R230">
            <v>335496</v>
          </cell>
          <cell r="S230">
            <v>3246773.5454545454</v>
          </cell>
          <cell r="T230">
            <v>429534</v>
          </cell>
          <cell r="U230">
            <v>125811</v>
          </cell>
          <cell r="V230">
            <v>2037857</v>
          </cell>
        </row>
        <row r="231">
          <cell r="F231">
            <v>64</v>
          </cell>
          <cell r="J231">
            <v>1</v>
          </cell>
          <cell r="K231">
            <v>134122</v>
          </cell>
          <cell r="L231">
            <v>2275634</v>
          </cell>
          <cell r="M231">
            <v>931648.58181818179</v>
          </cell>
          <cell r="N231">
            <v>357658.66666666663</v>
          </cell>
          <cell r="O231">
            <v>3564941.2484848485</v>
          </cell>
          <cell r="P231">
            <v>0</v>
          </cell>
          <cell r="Q231">
            <v>0</v>
          </cell>
          <cell r="R231">
            <v>357658.66666666663</v>
          </cell>
          <cell r="S231">
            <v>3564941.2484848485</v>
          </cell>
          <cell r="T231">
            <v>458170</v>
          </cell>
          <cell r="U231">
            <v>134122</v>
          </cell>
          <cell r="V231">
            <v>2275634</v>
          </cell>
        </row>
        <row r="232">
          <cell r="F232">
            <v>66</v>
          </cell>
          <cell r="J232">
            <v>1</v>
          </cell>
          <cell r="K232">
            <v>134122</v>
          </cell>
          <cell r="L232">
            <v>2563023</v>
          </cell>
          <cell r="M232">
            <v>960762.59999999986</v>
          </cell>
          <cell r="N232">
            <v>357658.66666666663</v>
          </cell>
          <cell r="O232">
            <v>3881444.2666666661</v>
          </cell>
          <cell r="P232">
            <v>0</v>
          </cell>
          <cell r="Q232">
            <v>0</v>
          </cell>
          <cell r="R232">
            <v>357658.66666666663</v>
          </cell>
          <cell r="S232">
            <v>3881444.2666666666</v>
          </cell>
          <cell r="T232">
            <v>472487</v>
          </cell>
          <cell r="U232">
            <v>134122</v>
          </cell>
          <cell r="V232">
            <v>2563023</v>
          </cell>
        </row>
        <row r="233">
          <cell r="D233" t="str">
            <v>Cần trục ôtô 50T</v>
          </cell>
          <cell r="E233" t="str">
            <v>truck-mounted crane 50T</v>
          </cell>
          <cell r="F233">
            <v>70</v>
          </cell>
          <cell r="J233">
            <v>1</v>
          </cell>
          <cell r="K233">
            <v>134122</v>
          </cell>
          <cell r="L233">
            <v>2995347</v>
          </cell>
          <cell r="M233">
            <v>1018990.6363636362</v>
          </cell>
          <cell r="N233">
            <v>357658.66666666663</v>
          </cell>
          <cell r="O233">
            <v>4371996.3030303027</v>
          </cell>
          <cell r="P233">
            <v>0</v>
          </cell>
          <cell r="Q233">
            <v>0</v>
          </cell>
          <cell r="R233">
            <v>357658.66666666663</v>
          </cell>
          <cell r="S233">
            <v>4371996.3030303027</v>
          </cell>
          <cell r="T233">
            <v>501123</v>
          </cell>
          <cell r="U233">
            <v>134122</v>
          </cell>
          <cell r="V233">
            <v>2995347</v>
          </cell>
        </row>
        <row r="234">
          <cell r="K234">
            <v>0</v>
          </cell>
          <cell r="L234">
            <v>0</v>
          </cell>
          <cell r="N234">
            <v>0</v>
          </cell>
          <cell r="O234">
            <v>0</v>
          </cell>
          <cell r="P234">
            <v>0</v>
          </cell>
          <cell r="Q234">
            <v>0</v>
          </cell>
          <cell r="R234">
            <v>0</v>
          </cell>
          <cell r="S234">
            <v>0</v>
          </cell>
        </row>
        <row r="235">
          <cell r="D235" t="str">
            <v>Cần cẩu bánh hơi 16T</v>
          </cell>
          <cell r="E235" t="str">
            <v>tyre crane 16T</v>
          </cell>
          <cell r="F235">
            <v>33</v>
          </cell>
          <cell r="J235">
            <v>1</v>
          </cell>
          <cell r="K235">
            <v>98673</v>
          </cell>
          <cell r="L235">
            <v>1152795</v>
          </cell>
          <cell r="M235">
            <v>480381.29999999993</v>
          </cell>
          <cell r="N235">
            <v>263128</v>
          </cell>
          <cell r="O235">
            <v>1896304.2999999998</v>
          </cell>
          <cell r="P235">
            <v>425.387187052</v>
          </cell>
          <cell r="Q235">
            <v>204348049.9193829</v>
          </cell>
          <cell r="R235">
            <v>263128</v>
          </cell>
          <cell r="S235">
            <v>1896304.2999999998</v>
          </cell>
          <cell r="T235">
            <v>236244</v>
          </cell>
          <cell r="U235">
            <v>98673</v>
          </cell>
          <cell r="V235">
            <v>1152795</v>
          </cell>
        </row>
        <row r="236">
          <cell r="D236" t="str">
            <v>Cần cẩu bánh hơi 25T</v>
          </cell>
          <cell r="E236" t="str">
            <v>tyre crane 25T</v>
          </cell>
          <cell r="F236">
            <v>36</v>
          </cell>
          <cell r="J236">
            <v>1</v>
          </cell>
          <cell r="K236">
            <v>114786</v>
          </cell>
          <cell r="L236">
            <v>1607712</v>
          </cell>
          <cell r="M236">
            <v>524052.32727272721</v>
          </cell>
          <cell r="N236">
            <v>306096</v>
          </cell>
          <cell r="O236">
            <v>2437860.3272727272</v>
          </cell>
          <cell r="P236">
            <v>1.03581765</v>
          </cell>
          <cell r="Q236">
            <v>542822.65011266724</v>
          </cell>
          <cell r="R236">
            <v>306096</v>
          </cell>
          <cell r="S236">
            <v>2437860.3272727272</v>
          </cell>
          <cell r="T236">
            <v>257720</v>
          </cell>
          <cell r="U236">
            <v>114786</v>
          </cell>
          <cell r="V236">
            <v>1607712</v>
          </cell>
        </row>
        <row r="237">
          <cell r="D237" t="str">
            <v>Cần cẩu bánh hơi 40T</v>
          </cell>
          <cell r="E237" t="str">
            <v>tyre crane 40T</v>
          </cell>
          <cell r="F237">
            <v>49.5</v>
          </cell>
          <cell r="J237">
            <v>1</v>
          </cell>
          <cell r="K237">
            <v>114786</v>
          </cell>
          <cell r="L237">
            <v>2275634</v>
          </cell>
          <cell r="M237">
            <v>720571.95</v>
          </cell>
          <cell r="N237">
            <v>306096</v>
          </cell>
          <cell r="O237">
            <v>3302301.95</v>
          </cell>
          <cell r="P237">
            <v>0</v>
          </cell>
          <cell r="Q237">
            <v>0</v>
          </cell>
          <cell r="R237">
            <v>306096</v>
          </cell>
          <cell r="S237">
            <v>3302301.95</v>
          </cell>
          <cell r="T237">
            <v>354366</v>
          </cell>
          <cell r="U237">
            <v>114786</v>
          </cell>
          <cell r="V237">
            <v>2275634</v>
          </cell>
        </row>
        <row r="238">
          <cell r="F238">
            <v>60.5</v>
          </cell>
          <cell r="J238">
            <v>1</v>
          </cell>
          <cell r="K238">
            <v>114786</v>
          </cell>
          <cell r="L238">
            <v>2908858</v>
          </cell>
          <cell r="M238">
            <v>880699.04999999993</v>
          </cell>
          <cell r="N238">
            <v>306096</v>
          </cell>
          <cell r="O238">
            <v>4095653.05</v>
          </cell>
          <cell r="P238">
            <v>0</v>
          </cell>
          <cell r="Q238">
            <v>0</v>
          </cell>
          <cell r="R238">
            <v>306096</v>
          </cell>
          <cell r="S238">
            <v>4095653.05</v>
          </cell>
          <cell r="T238">
            <v>433113</v>
          </cell>
          <cell r="U238">
            <v>114786</v>
          </cell>
          <cell r="V238">
            <v>2908858</v>
          </cell>
        </row>
        <row r="239">
          <cell r="F239">
            <v>68.75</v>
          </cell>
          <cell r="J239">
            <v>1</v>
          </cell>
          <cell r="K239">
            <v>125981</v>
          </cell>
          <cell r="L239">
            <v>3531818</v>
          </cell>
          <cell r="M239">
            <v>1000794.3749999999</v>
          </cell>
          <cell r="N239">
            <v>335949.33333333331</v>
          </cell>
          <cell r="O239">
            <v>4868561.708333333</v>
          </cell>
          <cell r="P239">
            <v>0</v>
          </cell>
          <cell r="Q239">
            <v>0</v>
          </cell>
          <cell r="R239">
            <v>335949.33333333331</v>
          </cell>
          <cell r="S239">
            <v>4868561.708333333</v>
          </cell>
          <cell r="T239">
            <v>492174</v>
          </cell>
          <cell r="U239">
            <v>125981</v>
          </cell>
          <cell r="V239">
            <v>3531818</v>
          </cell>
        </row>
        <row r="240">
          <cell r="F240">
            <v>74.25</v>
          </cell>
          <cell r="J240">
            <v>1</v>
          </cell>
          <cell r="K240">
            <v>174639</v>
          </cell>
          <cell r="L240">
            <v>4196433</v>
          </cell>
          <cell r="M240">
            <v>1080857.9249999998</v>
          </cell>
          <cell r="N240">
            <v>465704</v>
          </cell>
          <cell r="O240">
            <v>5742994.9249999998</v>
          </cell>
          <cell r="P240">
            <v>0</v>
          </cell>
          <cell r="Q240">
            <v>0</v>
          </cell>
          <cell r="R240">
            <v>465704</v>
          </cell>
          <cell r="S240">
            <v>5742994.9249999998</v>
          </cell>
          <cell r="T240">
            <v>531548</v>
          </cell>
          <cell r="U240">
            <v>174639</v>
          </cell>
          <cell r="V240">
            <v>4196433</v>
          </cell>
        </row>
        <row r="241">
          <cell r="F241">
            <v>77.5</v>
          </cell>
          <cell r="J241">
            <v>1</v>
          </cell>
          <cell r="K241">
            <v>174639</v>
          </cell>
          <cell r="L241">
            <v>5080905</v>
          </cell>
          <cell r="M241">
            <v>1128168.2045454544</v>
          </cell>
          <cell r="N241">
            <v>465704</v>
          </cell>
          <cell r="O241">
            <v>6674777.2045454541</v>
          </cell>
          <cell r="P241">
            <v>0</v>
          </cell>
          <cell r="Q241">
            <v>0</v>
          </cell>
          <cell r="R241">
            <v>465704</v>
          </cell>
          <cell r="S241">
            <v>6674777.2045454541</v>
          </cell>
          <cell r="T241">
            <v>554815</v>
          </cell>
          <cell r="U241">
            <v>174639</v>
          </cell>
          <cell r="V241">
            <v>5080905</v>
          </cell>
        </row>
        <row r="242">
          <cell r="F242">
            <v>81</v>
          </cell>
          <cell r="J242">
            <v>1</v>
          </cell>
          <cell r="K242">
            <v>174639</v>
          </cell>
          <cell r="L242">
            <v>5945809</v>
          </cell>
          <cell r="M242">
            <v>1179117.7363636363</v>
          </cell>
          <cell r="N242">
            <v>465704</v>
          </cell>
          <cell r="O242">
            <v>7590630.7363636363</v>
          </cell>
          <cell r="P242">
            <v>0</v>
          </cell>
          <cell r="Q242">
            <v>0</v>
          </cell>
          <cell r="R242">
            <v>465704</v>
          </cell>
          <cell r="S242">
            <v>7590630.7363636363</v>
          </cell>
          <cell r="T242">
            <v>579871</v>
          </cell>
          <cell r="U242">
            <v>174639</v>
          </cell>
          <cell r="V242">
            <v>5945809</v>
          </cell>
        </row>
        <row r="243">
          <cell r="K243">
            <v>0</v>
          </cell>
          <cell r="L243">
            <v>0</v>
          </cell>
          <cell r="N243">
            <v>0</v>
          </cell>
          <cell r="O243">
            <v>0</v>
          </cell>
          <cell r="P243">
            <v>0</v>
          </cell>
          <cell r="Q243">
            <v>0</v>
          </cell>
          <cell r="R243">
            <v>0</v>
          </cell>
          <cell r="S243">
            <v>0</v>
          </cell>
        </row>
        <row r="244">
          <cell r="F244">
            <v>31.5</v>
          </cell>
          <cell r="J244">
            <v>1</v>
          </cell>
          <cell r="K244">
            <v>98673</v>
          </cell>
          <cell r="L244">
            <v>401853</v>
          </cell>
          <cell r="M244">
            <v>458545.78636363632</v>
          </cell>
          <cell r="N244">
            <v>263128</v>
          </cell>
          <cell r="O244">
            <v>1123526.7863636364</v>
          </cell>
          <cell r="P244">
            <v>0</v>
          </cell>
          <cell r="Q244">
            <v>0</v>
          </cell>
          <cell r="R244">
            <v>263128</v>
          </cell>
          <cell r="S244">
            <v>1123526.7863636364</v>
          </cell>
          <cell r="T244">
            <v>225505</v>
          </cell>
          <cell r="U244">
            <v>98673</v>
          </cell>
          <cell r="V244">
            <v>401853</v>
          </cell>
        </row>
        <row r="245">
          <cell r="F245">
            <v>33</v>
          </cell>
          <cell r="J245">
            <v>1</v>
          </cell>
          <cell r="K245">
            <v>98673</v>
          </cell>
          <cell r="L245">
            <v>422716</v>
          </cell>
          <cell r="M245">
            <v>480381.29999999993</v>
          </cell>
          <cell r="N245">
            <v>263128</v>
          </cell>
          <cell r="O245">
            <v>1166225.2999999998</v>
          </cell>
          <cell r="P245">
            <v>0</v>
          </cell>
          <cell r="Q245">
            <v>0</v>
          </cell>
          <cell r="R245">
            <v>263128</v>
          </cell>
          <cell r="S245">
            <v>1166225.2999999998</v>
          </cell>
          <cell r="T245">
            <v>236244</v>
          </cell>
          <cell r="U245">
            <v>98673</v>
          </cell>
          <cell r="V245">
            <v>422716</v>
          </cell>
        </row>
        <row r="246">
          <cell r="D246" t="str">
            <v>Cần cẩu bánh xích 10T</v>
          </cell>
          <cell r="E246" t="str">
            <v>caterpillar crane 10T/ crawler crane 10T</v>
          </cell>
          <cell r="F246">
            <v>36</v>
          </cell>
          <cell r="J246">
            <v>1</v>
          </cell>
          <cell r="K246">
            <v>98673</v>
          </cell>
          <cell r="L246">
            <v>694918</v>
          </cell>
          <cell r="M246">
            <v>524052.32727272721</v>
          </cell>
          <cell r="N246">
            <v>263128</v>
          </cell>
          <cell r="O246">
            <v>1482098.3272727272</v>
          </cell>
          <cell r="P246">
            <v>211.708564</v>
          </cell>
          <cell r="Q246">
            <v>110946365.66776711</v>
          </cell>
          <cell r="R246">
            <v>263128</v>
          </cell>
          <cell r="S246">
            <v>1482098.3272727272</v>
          </cell>
          <cell r="T246">
            <v>257720</v>
          </cell>
          <cell r="U246">
            <v>98673</v>
          </cell>
          <cell r="V246">
            <v>694918</v>
          </cell>
        </row>
        <row r="247">
          <cell r="D247" t="str">
            <v>Cần cẩu bánh xích 16T</v>
          </cell>
          <cell r="E247" t="str">
            <v>caterpillar crane 16T</v>
          </cell>
          <cell r="F247">
            <v>45</v>
          </cell>
          <cell r="J247">
            <v>1</v>
          </cell>
          <cell r="K247">
            <v>98673</v>
          </cell>
          <cell r="L247">
            <v>1084356</v>
          </cell>
          <cell r="M247">
            <v>655065.40909090906</v>
          </cell>
          <cell r="N247">
            <v>263128</v>
          </cell>
          <cell r="O247">
            <v>2002549.4090909092</v>
          </cell>
          <cell r="P247">
            <v>151.17297728056624</v>
          </cell>
          <cell r="Q247">
            <v>99028188.205784827</v>
          </cell>
          <cell r="R247">
            <v>263128</v>
          </cell>
          <cell r="S247">
            <v>2002549.4090909092</v>
          </cell>
          <cell r="T247">
            <v>322151</v>
          </cell>
          <cell r="U247">
            <v>98673</v>
          </cell>
          <cell r="V247">
            <v>1084356</v>
          </cell>
        </row>
        <row r="248">
          <cell r="D248" t="str">
            <v>Cần cẩu bánh xích 25T</v>
          </cell>
          <cell r="E248" t="str">
            <v>caterpillar crane 25T</v>
          </cell>
          <cell r="F248">
            <v>47</v>
          </cell>
          <cell r="J248">
            <v>1</v>
          </cell>
          <cell r="K248">
            <v>114786</v>
          </cell>
          <cell r="L248">
            <v>1569309</v>
          </cell>
          <cell r="M248">
            <v>684179.42727272725</v>
          </cell>
          <cell r="N248">
            <v>306096</v>
          </cell>
          <cell r="O248">
            <v>2559584.4272727272</v>
          </cell>
          <cell r="P248">
            <v>1499.9800917</v>
          </cell>
          <cell r="Q248">
            <v>1026255520.059799</v>
          </cell>
          <cell r="R248">
            <v>306096</v>
          </cell>
          <cell r="S248">
            <v>2559584.4272727272</v>
          </cell>
          <cell r="T248">
            <v>336468</v>
          </cell>
          <cell r="U248">
            <v>114786</v>
          </cell>
          <cell r="V248">
            <v>1569309</v>
          </cell>
        </row>
        <row r="249">
          <cell r="D249" t="str">
            <v>Cần cẩu bánh xích 30T</v>
          </cell>
          <cell r="E249" t="str">
            <v>caterpillar crane 30T</v>
          </cell>
          <cell r="F249">
            <v>48.75</v>
          </cell>
          <cell r="J249">
            <v>1</v>
          </cell>
          <cell r="K249">
            <v>114786</v>
          </cell>
          <cell r="L249">
            <v>1648370</v>
          </cell>
          <cell r="M249">
            <v>709654.19318181812</v>
          </cell>
          <cell r="N249">
            <v>306096</v>
          </cell>
          <cell r="O249">
            <v>2664120.1931818184</v>
          </cell>
          <cell r="P249">
            <v>123.49694700000001</v>
          </cell>
          <cell r="Q249">
            <v>87640126.283702761</v>
          </cell>
          <cell r="R249">
            <v>306096</v>
          </cell>
          <cell r="S249">
            <v>2664120.1931818184</v>
          </cell>
          <cell r="T249">
            <v>348996</v>
          </cell>
          <cell r="U249">
            <v>114786</v>
          </cell>
          <cell r="V249">
            <v>1648370</v>
          </cell>
        </row>
        <row r="250">
          <cell r="D250" t="str">
            <v>Cần cẩu bánh xích 40T</v>
          </cell>
          <cell r="E250" t="str">
            <v>caterpillar crane 40T</v>
          </cell>
          <cell r="F250">
            <v>51.25</v>
          </cell>
          <cell r="J250">
            <v>1</v>
          </cell>
          <cell r="K250">
            <v>114786</v>
          </cell>
          <cell r="L250">
            <v>2162321</v>
          </cell>
          <cell r="M250">
            <v>746046.71590909094</v>
          </cell>
          <cell r="N250">
            <v>306096</v>
          </cell>
          <cell r="O250">
            <v>3214463.7159090908</v>
          </cell>
          <cell r="P250">
            <v>0</v>
          </cell>
          <cell r="Q250">
            <v>0</v>
          </cell>
          <cell r="R250">
            <v>306096</v>
          </cell>
          <cell r="S250">
            <v>3214463.7159090908</v>
          </cell>
          <cell r="T250">
            <v>366894</v>
          </cell>
          <cell r="U250">
            <v>114786</v>
          </cell>
          <cell r="V250">
            <v>2162321</v>
          </cell>
        </row>
        <row r="251">
          <cell r="D251" t="str">
            <v>Cần cẩu bánh xích 50T</v>
          </cell>
          <cell r="E251" t="str">
            <v>caterpillar crane 50T</v>
          </cell>
          <cell r="F251">
            <v>53.75</v>
          </cell>
          <cell r="J251">
            <v>1</v>
          </cell>
          <cell r="K251">
            <v>114786</v>
          </cell>
          <cell r="L251">
            <v>2294916</v>
          </cell>
          <cell r="M251">
            <v>782439.23863636353</v>
          </cell>
          <cell r="N251">
            <v>306096</v>
          </cell>
          <cell r="O251">
            <v>3383451.2386363633</v>
          </cell>
          <cell r="P251">
            <v>169.05</v>
          </cell>
          <cell r="Q251">
            <v>132271353.29147726</v>
          </cell>
          <cell r="R251">
            <v>306096</v>
          </cell>
          <cell r="S251">
            <v>3383451.2386363633</v>
          </cell>
          <cell r="T251">
            <v>384791</v>
          </cell>
          <cell r="U251">
            <v>114786</v>
          </cell>
          <cell r="V251">
            <v>2294916</v>
          </cell>
        </row>
        <row r="252">
          <cell r="D252" t="str">
            <v>Cần cẩu bánh xích 63T</v>
          </cell>
          <cell r="E252" t="str">
            <v>caterpillar crane 63T</v>
          </cell>
          <cell r="F252">
            <v>56.25</v>
          </cell>
          <cell r="J252">
            <v>1</v>
          </cell>
          <cell r="K252">
            <v>125981</v>
          </cell>
          <cell r="L252">
            <v>2888680</v>
          </cell>
          <cell r="M252">
            <v>818831.76136363624</v>
          </cell>
          <cell r="N252">
            <v>335949.33333333331</v>
          </cell>
          <cell r="O252">
            <v>4043461.0946969697</v>
          </cell>
          <cell r="P252">
            <v>0</v>
          </cell>
          <cell r="Q252">
            <v>0</v>
          </cell>
          <cell r="R252">
            <v>335949.33333333331</v>
          </cell>
          <cell r="S252">
            <v>4043461.0946969697</v>
          </cell>
          <cell r="T252">
            <v>402688</v>
          </cell>
          <cell r="U252">
            <v>125981</v>
          </cell>
          <cell r="V252">
            <v>2888680</v>
          </cell>
        </row>
        <row r="253">
          <cell r="F253">
            <v>58.95</v>
          </cell>
          <cell r="J253">
            <v>1</v>
          </cell>
          <cell r="K253">
            <v>174639</v>
          </cell>
          <cell r="L253">
            <v>3464038</v>
          </cell>
          <cell r="M253">
            <v>858135.68590909091</v>
          </cell>
          <cell r="N253">
            <v>465704</v>
          </cell>
          <cell r="O253">
            <v>4787877.6859090906</v>
          </cell>
          <cell r="P253">
            <v>0</v>
          </cell>
          <cell r="Q253">
            <v>0</v>
          </cell>
          <cell r="R253">
            <v>465704</v>
          </cell>
          <cell r="S253">
            <v>4787877.6859090906</v>
          </cell>
          <cell r="T253">
            <v>422017</v>
          </cell>
          <cell r="U253">
            <v>174639</v>
          </cell>
          <cell r="V253">
            <v>3464038</v>
          </cell>
        </row>
        <row r="254">
          <cell r="F254">
            <v>62.774999999999999</v>
          </cell>
          <cell r="J254">
            <v>1</v>
          </cell>
          <cell r="K254">
            <v>174639</v>
          </cell>
          <cell r="L254">
            <v>3861509</v>
          </cell>
          <cell r="M254">
            <v>913816.24568181811</v>
          </cell>
          <cell r="N254">
            <v>465704</v>
          </cell>
          <cell r="O254">
            <v>5241029.2456818186</v>
          </cell>
          <cell r="P254">
            <v>0</v>
          </cell>
          <cell r="Q254">
            <v>0</v>
          </cell>
          <cell r="R254">
            <v>465704</v>
          </cell>
          <cell r="S254">
            <v>5241029.2456818186</v>
          </cell>
          <cell r="T254">
            <v>449436</v>
          </cell>
          <cell r="U254">
            <v>174639</v>
          </cell>
          <cell r="V254">
            <v>3861509</v>
          </cell>
        </row>
        <row r="255">
          <cell r="F255">
            <v>72</v>
          </cell>
          <cell r="J255">
            <v>1</v>
          </cell>
          <cell r="K255">
            <v>174639</v>
          </cell>
          <cell r="L255">
            <v>4480868</v>
          </cell>
          <cell r="M255">
            <v>1048104.6545454544</v>
          </cell>
          <cell r="N255">
            <v>465704</v>
          </cell>
          <cell r="O255">
            <v>5994676.6545454543</v>
          </cell>
          <cell r="P255">
            <v>0</v>
          </cell>
          <cell r="Q255">
            <v>0</v>
          </cell>
          <cell r="R255">
            <v>465704</v>
          </cell>
          <cell r="S255">
            <v>5994676.6545454543</v>
          </cell>
          <cell r="T255">
            <v>515441</v>
          </cell>
          <cell r="U255">
            <v>174639</v>
          </cell>
          <cell r="V255">
            <v>4480868</v>
          </cell>
        </row>
        <row r="256">
          <cell r="F256">
            <v>83.25</v>
          </cell>
          <cell r="J256">
            <v>1</v>
          </cell>
          <cell r="K256">
            <v>174639</v>
          </cell>
          <cell r="L256">
            <v>5000318</v>
          </cell>
          <cell r="M256">
            <v>1211871.0068181818</v>
          </cell>
          <cell r="N256">
            <v>465704</v>
          </cell>
          <cell r="O256">
            <v>6677893.0068181818</v>
          </cell>
          <cell r="P256">
            <v>0</v>
          </cell>
          <cell r="Q256">
            <v>0</v>
          </cell>
          <cell r="R256">
            <v>465704</v>
          </cell>
          <cell r="S256">
            <v>6677893.0068181818</v>
          </cell>
          <cell r="T256">
            <v>595978</v>
          </cell>
          <cell r="U256">
            <v>174639</v>
          </cell>
          <cell r="V256">
            <v>5000318</v>
          </cell>
        </row>
        <row r="257">
          <cell r="K257">
            <v>0</v>
          </cell>
          <cell r="L257">
            <v>0</v>
          </cell>
          <cell r="N257">
            <v>0</v>
          </cell>
          <cell r="O257">
            <v>0</v>
          </cell>
          <cell r="P257">
            <v>0</v>
          </cell>
          <cell r="Q257">
            <v>0</v>
          </cell>
          <cell r="R257">
            <v>0</v>
          </cell>
          <cell r="S257">
            <v>0</v>
          </cell>
        </row>
        <row r="258">
          <cell r="G258">
            <v>37.5</v>
          </cell>
          <cell r="J258">
            <v>1</v>
          </cell>
          <cell r="K258">
            <v>98673</v>
          </cell>
          <cell r="L258">
            <v>284668</v>
          </cell>
          <cell r="M258">
            <v>24630.731249999997</v>
          </cell>
          <cell r="N258">
            <v>263128</v>
          </cell>
          <cell r="O258">
            <v>572426.73124999995</v>
          </cell>
          <cell r="P258">
            <v>0</v>
          </cell>
          <cell r="Q258">
            <v>0</v>
          </cell>
          <cell r="R258">
            <v>263128</v>
          </cell>
          <cell r="S258">
            <v>572426.73124999995</v>
          </cell>
          <cell r="T258">
            <v>35912</v>
          </cell>
          <cell r="U258">
            <v>98673</v>
          </cell>
          <cell r="V258">
            <v>284668</v>
          </cell>
        </row>
        <row r="259">
          <cell r="G259">
            <v>42</v>
          </cell>
          <cell r="J259">
            <v>1</v>
          </cell>
          <cell r="K259">
            <v>98673</v>
          </cell>
          <cell r="L259">
            <v>427927</v>
          </cell>
          <cell r="M259">
            <v>27586.418999999998</v>
          </cell>
          <cell r="N259">
            <v>263128</v>
          </cell>
          <cell r="O259">
            <v>718641.41899999999</v>
          </cell>
          <cell r="P259">
            <v>0</v>
          </cell>
          <cell r="Q259">
            <v>0</v>
          </cell>
          <cell r="R259">
            <v>263128</v>
          </cell>
          <cell r="S259">
            <v>718641.41899999999</v>
          </cell>
          <cell r="T259">
            <v>40221</v>
          </cell>
          <cell r="U259">
            <v>98673</v>
          </cell>
          <cell r="V259">
            <v>427927</v>
          </cell>
        </row>
        <row r="260">
          <cell r="G260">
            <v>52.5</v>
          </cell>
          <cell r="J260">
            <v>1</v>
          </cell>
          <cell r="K260">
            <v>98673</v>
          </cell>
          <cell r="L260">
            <v>633262</v>
          </cell>
          <cell r="M260">
            <v>34483.02375</v>
          </cell>
          <cell r="N260">
            <v>263128</v>
          </cell>
          <cell r="O260">
            <v>930873.02375000005</v>
          </cell>
          <cell r="P260">
            <v>0</v>
          </cell>
          <cell r="Q260">
            <v>0</v>
          </cell>
          <cell r="R260">
            <v>263128</v>
          </cell>
          <cell r="S260">
            <v>930873.02374999993</v>
          </cell>
          <cell r="T260">
            <v>50277</v>
          </cell>
          <cell r="U260">
            <v>98673</v>
          </cell>
          <cell r="V260">
            <v>633262</v>
          </cell>
        </row>
        <row r="261">
          <cell r="G261">
            <v>60</v>
          </cell>
          <cell r="J261">
            <v>1</v>
          </cell>
          <cell r="K261">
            <v>98673</v>
          </cell>
          <cell r="L261">
            <v>826491</v>
          </cell>
          <cell r="M261">
            <v>39409.169999999991</v>
          </cell>
          <cell r="N261">
            <v>263128</v>
          </cell>
          <cell r="O261">
            <v>1129028.17</v>
          </cell>
          <cell r="P261">
            <v>0</v>
          </cell>
          <cell r="Q261">
            <v>0</v>
          </cell>
          <cell r="R261">
            <v>263128</v>
          </cell>
          <cell r="S261">
            <v>1129028.17</v>
          </cell>
          <cell r="T261">
            <v>57459</v>
          </cell>
          <cell r="U261">
            <v>98673</v>
          </cell>
          <cell r="V261">
            <v>826491</v>
          </cell>
        </row>
        <row r="262">
          <cell r="G262">
            <v>67.5</v>
          </cell>
          <cell r="J262">
            <v>1</v>
          </cell>
          <cell r="K262">
            <v>98673</v>
          </cell>
          <cell r="L262">
            <v>844311</v>
          </cell>
          <cell r="M262">
            <v>44335.316249999996</v>
          </cell>
          <cell r="N262">
            <v>263128</v>
          </cell>
          <cell r="O262">
            <v>1151774.3162500001</v>
          </cell>
          <cell r="P262">
            <v>0</v>
          </cell>
          <cell r="Q262">
            <v>0</v>
          </cell>
          <cell r="R262">
            <v>263128</v>
          </cell>
          <cell r="S262">
            <v>1151774.3162499999</v>
          </cell>
          <cell r="T262">
            <v>64641</v>
          </cell>
          <cell r="U262">
            <v>98673</v>
          </cell>
          <cell r="V262">
            <v>844311</v>
          </cell>
        </row>
        <row r="263">
          <cell r="D263" t="str">
            <v>Cần trục tháp 16T</v>
          </cell>
          <cell r="E263" t="str">
            <v>tower crane 16T</v>
          </cell>
          <cell r="G263">
            <v>90</v>
          </cell>
          <cell r="J263">
            <v>1</v>
          </cell>
          <cell r="K263">
            <v>98673</v>
          </cell>
          <cell r="L263">
            <v>924568</v>
          </cell>
          <cell r="M263">
            <v>59113.754999999997</v>
          </cell>
          <cell r="N263">
            <v>263128</v>
          </cell>
          <cell r="O263">
            <v>1246809.7549999999</v>
          </cell>
          <cell r="P263">
            <v>0</v>
          </cell>
          <cell r="Q263">
            <v>0</v>
          </cell>
          <cell r="R263">
            <v>263128</v>
          </cell>
          <cell r="S263">
            <v>1246809.7549999999</v>
          </cell>
          <cell r="T263">
            <v>86189</v>
          </cell>
          <cell r="U263">
            <v>98673</v>
          </cell>
          <cell r="V263">
            <v>924568</v>
          </cell>
        </row>
        <row r="264">
          <cell r="G264">
            <v>112.5</v>
          </cell>
          <cell r="J264">
            <v>1</v>
          </cell>
          <cell r="K264">
            <v>98673</v>
          </cell>
          <cell r="L264">
            <v>1208665</v>
          </cell>
          <cell r="M264">
            <v>73892.193749999991</v>
          </cell>
          <cell r="N264">
            <v>263128</v>
          </cell>
          <cell r="O264">
            <v>1545685.1937500001</v>
          </cell>
          <cell r="P264">
            <v>0</v>
          </cell>
          <cell r="Q264">
            <v>0</v>
          </cell>
          <cell r="R264">
            <v>263128</v>
          </cell>
          <cell r="S264">
            <v>1545685.1937500001</v>
          </cell>
          <cell r="T264">
            <v>107736</v>
          </cell>
          <cell r="U264">
            <v>98673</v>
          </cell>
          <cell r="V264">
            <v>1208665</v>
          </cell>
        </row>
        <row r="265">
          <cell r="D265" t="str">
            <v>Cần trục tháp 25T</v>
          </cell>
          <cell r="E265" t="str">
            <v>tower crane 25T</v>
          </cell>
          <cell r="G265">
            <v>120</v>
          </cell>
          <cell r="J265">
            <v>1</v>
          </cell>
          <cell r="K265">
            <v>108001</v>
          </cell>
          <cell r="L265">
            <v>1654097</v>
          </cell>
          <cell r="M265">
            <v>78818.339999999982</v>
          </cell>
          <cell r="N265">
            <v>288002.66666666663</v>
          </cell>
          <cell r="O265">
            <v>2020918.0066666668</v>
          </cell>
          <cell r="P265">
            <v>0</v>
          </cell>
          <cell r="Q265">
            <v>0</v>
          </cell>
          <cell r="R265">
            <v>288002.66666666663</v>
          </cell>
          <cell r="S265">
            <v>2020918.0066666666</v>
          </cell>
          <cell r="T265">
            <v>114918</v>
          </cell>
          <cell r="U265">
            <v>108001</v>
          </cell>
          <cell r="V265">
            <v>1654097</v>
          </cell>
        </row>
        <row r="266">
          <cell r="G266">
            <v>127.5</v>
          </cell>
          <cell r="J266">
            <v>1</v>
          </cell>
          <cell r="K266">
            <v>108001</v>
          </cell>
          <cell r="L266">
            <v>1859967</v>
          </cell>
          <cell r="M266">
            <v>83744.486249999987</v>
          </cell>
          <cell r="N266">
            <v>288002.66666666663</v>
          </cell>
          <cell r="O266">
            <v>2231714.1529166666</v>
          </cell>
          <cell r="P266">
            <v>0</v>
          </cell>
          <cell r="Q266">
            <v>0</v>
          </cell>
          <cell r="R266">
            <v>288002.66666666663</v>
          </cell>
          <cell r="S266">
            <v>2231714.1529166666</v>
          </cell>
          <cell r="T266">
            <v>122100</v>
          </cell>
          <cell r="U266">
            <v>108001</v>
          </cell>
          <cell r="V266">
            <v>1859967</v>
          </cell>
        </row>
        <row r="267">
          <cell r="D267" t="str">
            <v>Cần trục tháp 40T</v>
          </cell>
          <cell r="E267" t="str">
            <v>tower crane 40T</v>
          </cell>
          <cell r="G267">
            <v>135</v>
          </cell>
          <cell r="J267">
            <v>1</v>
          </cell>
          <cell r="K267">
            <v>108001</v>
          </cell>
          <cell r="L267">
            <v>2146621</v>
          </cell>
          <cell r="M267">
            <v>88670.632499999992</v>
          </cell>
          <cell r="N267">
            <v>288002.66666666663</v>
          </cell>
          <cell r="O267">
            <v>2523294.2991666663</v>
          </cell>
          <cell r="P267">
            <v>0</v>
          </cell>
          <cell r="Q267">
            <v>0</v>
          </cell>
          <cell r="R267">
            <v>288002.66666666663</v>
          </cell>
          <cell r="S267">
            <v>2523294.2991666668</v>
          </cell>
          <cell r="T267">
            <v>129283</v>
          </cell>
          <cell r="U267">
            <v>108001</v>
          </cell>
          <cell r="V267">
            <v>2146621</v>
          </cell>
        </row>
        <row r="268">
          <cell r="D268" t="str">
            <v>Cần trục tháp 50T</v>
          </cell>
          <cell r="E268" t="str">
            <v>tower crane 50T</v>
          </cell>
          <cell r="G268">
            <v>142.5</v>
          </cell>
          <cell r="J268">
            <v>1</v>
          </cell>
          <cell r="K268">
            <v>163444</v>
          </cell>
          <cell r="L268">
            <v>2673237</v>
          </cell>
          <cell r="M268">
            <v>93596.778749999983</v>
          </cell>
          <cell r="N268">
            <v>435850.66666666663</v>
          </cell>
          <cell r="O268">
            <v>3202684.4454166666</v>
          </cell>
          <cell r="P268">
            <v>0</v>
          </cell>
          <cell r="Q268">
            <v>0</v>
          </cell>
          <cell r="R268">
            <v>435850.66666666663</v>
          </cell>
          <cell r="S268">
            <v>3202684.4454166666</v>
          </cell>
          <cell r="T268">
            <v>136465</v>
          </cell>
          <cell r="U268">
            <v>163444</v>
          </cell>
          <cell r="V268">
            <v>2673237</v>
          </cell>
        </row>
        <row r="269">
          <cell r="D269" t="str">
            <v>Cần trục tháp 80T</v>
          </cell>
          <cell r="E269" t="str">
            <v>tower crane 80T</v>
          </cell>
          <cell r="G269">
            <v>198</v>
          </cell>
          <cell r="J269">
            <v>1</v>
          </cell>
          <cell r="K269">
            <v>163444</v>
          </cell>
          <cell r="L269">
            <v>3235085</v>
          </cell>
          <cell r="M269">
            <v>130050.261</v>
          </cell>
          <cell r="N269">
            <v>435850.66666666663</v>
          </cell>
          <cell r="O269">
            <v>3800985.9276666665</v>
          </cell>
          <cell r="P269">
            <v>0</v>
          </cell>
          <cell r="Q269">
            <v>0</v>
          </cell>
          <cell r="R269">
            <v>435850.66666666663</v>
          </cell>
          <cell r="S269">
            <v>3800985.9276666669</v>
          </cell>
          <cell r="T269">
            <v>189615</v>
          </cell>
          <cell r="U269">
            <v>163444</v>
          </cell>
          <cell r="V269">
            <v>3235085</v>
          </cell>
        </row>
        <row r="270">
          <cell r="G270">
            <v>480</v>
          </cell>
          <cell r="J270">
            <v>1</v>
          </cell>
          <cell r="K270">
            <v>240767</v>
          </cell>
          <cell r="L270">
            <v>9037005</v>
          </cell>
          <cell r="M270">
            <v>315273.35999999993</v>
          </cell>
          <cell r="N270">
            <v>642045.33333333326</v>
          </cell>
          <cell r="O270">
            <v>9994323.6933333334</v>
          </cell>
          <cell r="P270">
            <v>0</v>
          </cell>
          <cell r="Q270">
            <v>0</v>
          </cell>
          <cell r="R270">
            <v>642045.33333333326</v>
          </cell>
          <cell r="S270">
            <v>9994323.6933333334</v>
          </cell>
          <cell r="T270">
            <v>459672</v>
          </cell>
          <cell r="U270">
            <v>240767</v>
          </cell>
          <cell r="V270">
            <v>9037005</v>
          </cell>
        </row>
        <row r="271">
          <cell r="K271">
            <v>0</v>
          </cell>
          <cell r="L271">
            <v>0</v>
          </cell>
          <cell r="N271">
            <v>0</v>
          </cell>
          <cell r="O271">
            <v>0</v>
          </cell>
          <cell r="P271">
            <v>0</v>
          </cell>
          <cell r="Q271">
            <v>0</v>
          </cell>
          <cell r="R271">
            <v>0</v>
          </cell>
          <cell r="S271">
            <v>0</v>
          </cell>
        </row>
        <row r="272">
          <cell r="D272" t="str">
            <v>Cần cẩu nổi 30T</v>
          </cell>
          <cell r="E272" t="str">
            <v>crane barge 30T</v>
          </cell>
          <cell r="F272">
            <v>81</v>
          </cell>
          <cell r="J272">
            <v>1</v>
          </cell>
          <cell r="K272">
            <v>330959</v>
          </cell>
          <cell r="L272">
            <v>2933280</v>
          </cell>
          <cell r="M272">
            <v>1179117.7363636363</v>
          </cell>
          <cell r="N272">
            <v>882557.33333333326</v>
          </cell>
          <cell r="O272">
            <v>4994955.0696969694</v>
          </cell>
          <cell r="P272">
            <v>0</v>
          </cell>
          <cell r="Q272">
            <v>0</v>
          </cell>
          <cell r="R272">
            <v>882557.33333333326</v>
          </cell>
          <cell r="S272">
            <v>4994955.0696969694</v>
          </cell>
          <cell r="T272">
            <v>579871</v>
          </cell>
          <cell r="U272">
            <v>330959</v>
          </cell>
          <cell r="V272">
            <v>2933280</v>
          </cell>
        </row>
        <row r="273">
          <cell r="K273">
            <v>0</v>
          </cell>
          <cell r="L273">
            <v>0</v>
          </cell>
          <cell r="N273">
            <v>0</v>
          </cell>
          <cell r="O273">
            <v>0</v>
          </cell>
          <cell r="P273">
            <v>0</v>
          </cell>
          <cell r="Q273">
            <v>0</v>
          </cell>
          <cell r="R273">
            <v>0</v>
          </cell>
          <cell r="S273">
            <v>0</v>
          </cell>
        </row>
        <row r="274">
          <cell r="F274">
            <v>117.6</v>
          </cell>
          <cell r="J274">
            <v>1</v>
          </cell>
          <cell r="K274">
            <v>344868</v>
          </cell>
          <cell r="L274">
            <v>3819883</v>
          </cell>
          <cell r="M274">
            <v>1711904.2690909088</v>
          </cell>
          <cell r="N274">
            <v>919648</v>
          </cell>
          <cell r="O274">
            <v>6451435.2690909086</v>
          </cell>
          <cell r="P274">
            <v>0</v>
          </cell>
          <cell r="Q274">
            <v>0</v>
          </cell>
          <cell r="R274">
            <v>919648</v>
          </cell>
          <cell r="S274">
            <v>6451435.2690909086</v>
          </cell>
          <cell r="T274">
            <v>841887</v>
          </cell>
          <cell r="U274">
            <v>344868</v>
          </cell>
          <cell r="V274">
            <v>3819883</v>
          </cell>
        </row>
        <row r="275">
          <cell r="K275">
            <v>0</v>
          </cell>
          <cell r="L275">
            <v>0</v>
          </cell>
          <cell r="N275">
            <v>0</v>
          </cell>
          <cell r="O275">
            <v>0</v>
          </cell>
          <cell r="P275">
            <v>0</v>
          </cell>
          <cell r="Q275">
            <v>0</v>
          </cell>
          <cell r="R275">
            <v>0</v>
          </cell>
          <cell r="S275">
            <v>0</v>
          </cell>
        </row>
        <row r="276">
          <cell r="D276" t="str">
            <v>Cẩu long môn</v>
          </cell>
          <cell r="E276" t="str">
            <v>beam-launch crane</v>
          </cell>
          <cell r="G276">
            <v>232.56</v>
          </cell>
          <cell r="J276">
            <v>1</v>
          </cell>
          <cell r="K276">
            <v>302633</v>
          </cell>
          <cell r="L276">
            <v>3334869</v>
          </cell>
          <cell r="M276">
            <v>152749.94291999997</v>
          </cell>
          <cell r="N276">
            <v>807021.33333333326</v>
          </cell>
          <cell r="O276">
            <v>4294640.2762533333</v>
          </cell>
          <cell r="P276">
            <v>5.6528400000000003</v>
          </cell>
          <cell r="Q276">
            <v>863470.98733589274</v>
          </cell>
          <cell r="R276">
            <v>807021.33333333326</v>
          </cell>
          <cell r="S276">
            <v>4294640.2762533333</v>
          </cell>
          <cell r="T276">
            <v>222711</v>
          </cell>
          <cell r="U276">
            <v>302633</v>
          </cell>
          <cell r="V276">
            <v>3334869</v>
          </cell>
        </row>
        <row r="277">
          <cell r="K277">
            <v>0</v>
          </cell>
          <cell r="L277">
            <v>0</v>
          </cell>
          <cell r="N277">
            <v>0</v>
          </cell>
          <cell r="O277">
            <v>0</v>
          </cell>
          <cell r="P277">
            <v>0</v>
          </cell>
          <cell r="Q277">
            <v>0</v>
          </cell>
          <cell r="R277">
            <v>0</v>
          </cell>
          <cell r="S277">
            <v>0</v>
          </cell>
        </row>
        <row r="278">
          <cell r="D278" t="str">
            <v>Cẩu long môn 10T</v>
          </cell>
          <cell r="E278" t="str">
            <v>beam-launch crane</v>
          </cell>
          <cell r="G278">
            <v>81</v>
          </cell>
          <cell r="J278">
            <v>1</v>
          </cell>
          <cell r="K278">
            <v>98673</v>
          </cell>
          <cell r="L278">
            <v>735846</v>
          </cell>
          <cell r="M278">
            <v>53202.379499999995</v>
          </cell>
          <cell r="N278">
            <v>263128</v>
          </cell>
          <cell r="O278">
            <v>1052176.3795</v>
          </cell>
          <cell r="P278">
            <v>0</v>
          </cell>
          <cell r="Q278">
            <v>0</v>
          </cell>
          <cell r="R278">
            <v>263128</v>
          </cell>
          <cell r="S278">
            <v>1052176.3795</v>
          </cell>
          <cell r="T278">
            <v>77570</v>
          </cell>
          <cell r="U278">
            <v>98673</v>
          </cell>
          <cell r="V278">
            <v>735846</v>
          </cell>
        </row>
        <row r="279">
          <cell r="G279">
            <v>86.4</v>
          </cell>
          <cell r="J279">
            <v>1</v>
          </cell>
          <cell r="K279">
            <v>98673</v>
          </cell>
          <cell r="L279">
            <v>926527</v>
          </cell>
          <cell r="M279">
            <v>56749.204799999992</v>
          </cell>
          <cell r="N279">
            <v>263128</v>
          </cell>
          <cell r="O279">
            <v>1246404.2047999999</v>
          </cell>
          <cell r="P279">
            <v>0</v>
          </cell>
          <cell r="Q279">
            <v>0</v>
          </cell>
          <cell r="R279">
            <v>263128</v>
          </cell>
          <cell r="S279">
            <v>1246404.2047999999</v>
          </cell>
          <cell r="T279">
            <v>82741</v>
          </cell>
          <cell r="U279">
            <v>98673</v>
          </cell>
          <cell r="V279">
            <v>926527</v>
          </cell>
        </row>
        <row r="280">
          <cell r="D280" t="str">
            <v>Cần cẩu cổng 30T</v>
          </cell>
          <cell r="E280" t="str">
            <v>overhead crane 30T</v>
          </cell>
          <cell r="G280">
            <v>90</v>
          </cell>
          <cell r="J280">
            <v>1</v>
          </cell>
          <cell r="K280">
            <v>108001</v>
          </cell>
          <cell r="L280">
            <v>990088</v>
          </cell>
          <cell r="M280">
            <v>59113.754999999997</v>
          </cell>
          <cell r="N280">
            <v>288002.66666666663</v>
          </cell>
          <cell r="O280">
            <v>1337204.4216666664</v>
          </cell>
          <cell r="P280">
            <v>0</v>
          </cell>
          <cell r="Q280">
            <v>0</v>
          </cell>
          <cell r="R280">
            <v>288002.66666666663</v>
          </cell>
          <cell r="S280">
            <v>1337204.4216666666</v>
          </cell>
          <cell r="T280">
            <v>86189</v>
          </cell>
          <cell r="U280">
            <v>108001</v>
          </cell>
          <cell r="V280">
            <v>990088</v>
          </cell>
        </row>
        <row r="281">
          <cell r="G281">
            <v>144</v>
          </cell>
          <cell r="J281">
            <v>1</v>
          </cell>
          <cell r="K281">
            <v>119196</v>
          </cell>
          <cell r="L281">
            <v>1319618</v>
          </cell>
          <cell r="M281">
            <v>94582.008000000002</v>
          </cell>
          <cell r="N281">
            <v>317856</v>
          </cell>
          <cell r="O281">
            <v>1732056.0079999999</v>
          </cell>
          <cell r="P281">
            <v>0</v>
          </cell>
          <cell r="Q281">
            <v>0</v>
          </cell>
          <cell r="R281">
            <v>317856</v>
          </cell>
          <cell r="S281">
            <v>1732056.0079999999</v>
          </cell>
          <cell r="T281">
            <v>137902</v>
          </cell>
          <cell r="U281">
            <v>119196</v>
          </cell>
          <cell r="V281">
            <v>1319618</v>
          </cell>
        </row>
        <row r="282">
          <cell r="K282">
            <v>0</v>
          </cell>
          <cell r="L282">
            <v>0</v>
          </cell>
          <cell r="N282">
            <v>0</v>
          </cell>
          <cell r="O282">
            <v>0</v>
          </cell>
          <cell r="P282">
            <v>0</v>
          </cell>
          <cell r="Q282">
            <v>0</v>
          </cell>
          <cell r="R282">
            <v>0</v>
          </cell>
          <cell r="S282">
            <v>0</v>
          </cell>
        </row>
        <row r="283">
          <cell r="G283">
            <v>48</v>
          </cell>
          <cell r="J283">
            <v>1</v>
          </cell>
          <cell r="K283">
            <v>108001</v>
          </cell>
          <cell r="L283">
            <v>327169</v>
          </cell>
          <cell r="M283">
            <v>31527.335999999996</v>
          </cell>
          <cell r="N283">
            <v>288002.66666666663</v>
          </cell>
          <cell r="O283">
            <v>646699.00266666664</v>
          </cell>
          <cell r="P283">
            <v>0</v>
          </cell>
          <cell r="Q283">
            <v>0</v>
          </cell>
          <cell r="R283">
            <v>288002.66666666663</v>
          </cell>
          <cell r="S283">
            <v>646699.00266666664</v>
          </cell>
          <cell r="T283">
            <v>45967</v>
          </cell>
          <cell r="U283">
            <v>108001</v>
          </cell>
          <cell r="V283">
            <v>327169</v>
          </cell>
        </row>
        <row r="284">
          <cell r="G284">
            <v>60</v>
          </cell>
          <cell r="J284">
            <v>1</v>
          </cell>
          <cell r="K284">
            <v>108001</v>
          </cell>
          <cell r="L284">
            <v>360986</v>
          </cell>
          <cell r="M284">
            <v>39409.169999999991</v>
          </cell>
          <cell r="N284">
            <v>288002.66666666663</v>
          </cell>
          <cell r="O284">
            <v>688397.83666666667</v>
          </cell>
          <cell r="P284">
            <v>0</v>
          </cell>
          <cell r="Q284">
            <v>0</v>
          </cell>
          <cell r="R284">
            <v>288002.66666666663</v>
          </cell>
          <cell r="S284">
            <v>688397.83666666667</v>
          </cell>
          <cell r="T284">
            <v>57459</v>
          </cell>
          <cell r="U284">
            <v>108001</v>
          </cell>
          <cell r="V284">
            <v>360986</v>
          </cell>
        </row>
        <row r="285">
          <cell r="G285">
            <v>72</v>
          </cell>
          <cell r="J285">
            <v>1</v>
          </cell>
          <cell r="K285">
            <v>108001</v>
          </cell>
          <cell r="L285">
            <v>398997</v>
          </cell>
          <cell r="M285">
            <v>47291.004000000001</v>
          </cell>
          <cell r="N285">
            <v>288002.66666666663</v>
          </cell>
          <cell r="O285">
            <v>734290.6706666667</v>
          </cell>
          <cell r="P285">
            <v>0</v>
          </cell>
          <cell r="Q285">
            <v>0</v>
          </cell>
          <cell r="R285">
            <v>288002.66666666663</v>
          </cell>
          <cell r="S285">
            <v>734290.6706666667</v>
          </cell>
          <cell r="T285">
            <v>68951</v>
          </cell>
          <cell r="U285">
            <v>108001</v>
          </cell>
          <cell r="V285">
            <v>398997</v>
          </cell>
        </row>
        <row r="286">
          <cell r="G286">
            <v>84</v>
          </cell>
          <cell r="J286">
            <v>1</v>
          </cell>
          <cell r="K286">
            <v>119196</v>
          </cell>
          <cell r="L286">
            <v>465830</v>
          </cell>
          <cell r="M286">
            <v>55172.837999999996</v>
          </cell>
          <cell r="N286">
            <v>317856</v>
          </cell>
          <cell r="O286">
            <v>838858.83799999999</v>
          </cell>
          <cell r="P286">
            <v>0</v>
          </cell>
          <cell r="Q286">
            <v>0</v>
          </cell>
          <cell r="R286">
            <v>317856</v>
          </cell>
          <cell r="S286">
            <v>838858.83799999999</v>
          </cell>
          <cell r="T286">
            <v>80443</v>
          </cell>
          <cell r="U286">
            <v>119196</v>
          </cell>
          <cell r="V286">
            <v>465830</v>
          </cell>
        </row>
        <row r="287">
          <cell r="G287">
            <v>108</v>
          </cell>
          <cell r="J287">
            <v>1</v>
          </cell>
          <cell r="K287">
            <v>119196</v>
          </cell>
          <cell r="L287">
            <v>553874</v>
          </cell>
          <cell r="M287">
            <v>70936.505999999994</v>
          </cell>
          <cell r="N287">
            <v>317856</v>
          </cell>
          <cell r="O287">
            <v>942666.50600000005</v>
          </cell>
          <cell r="P287">
            <v>0</v>
          </cell>
          <cell r="Q287">
            <v>0</v>
          </cell>
          <cell r="R287">
            <v>317856</v>
          </cell>
          <cell r="S287">
            <v>942666.50600000005</v>
          </cell>
          <cell r="T287">
            <v>103426</v>
          </cell>
          <cell r="U287">
            <v>119196</v>
          </cell>
          <cell r="V287">
            <v>553874</v>
          </cell>
        </row>
        <row r="288">
          <cell r="G288">
            <v>132</v>
          </cell>
          <cell r="J288">
            <v>1</v>
          </cell>
          <cell r="K288">
            <v>119196</v>
          </cell>
          <cell r="L288">
            <v>695574</v>
          </cell>
          <cell r="M288">
            <v>86700.173999999985</v>
          </cell>
          <cell r="N288">
            <v>317856</v>
          </cell>
          <cell r="O288">
            <v>1100130.1740000001</v>
          </cell>
          <cell r="P288">
            <v>0</v>
          </cell>
          <cell r="Q288">
            <v>0</v>
          </cell>
          <cell r="R288">
            <v>317856</v>
          </cell>
          <cell r="S288">
            <v>1100130.1740000001</v>
          </cell>
          <cell r="T288">
            <v>126410</v>
          </cell>
          <cell r="U288">
            <v>119196</v>
          </cell>
          <cell r="V288">
            <v>695574</v>
          </cell>
        </row>
        <row r="289">
          <cell r="G289">
            <v>144</v>
          </cell>
          <cell r="J289">
            <v>1</v>
          </cell>
          <cell r="K289">
            <v>119196</v>
          </cell>
          <cell r="L289">
            <v>773681</v>
          </cell>
          <cell r="M289">
            <v>94582.008000000002</v>
          </cell>
          <cell r="N289">
            <v>317856</v>
          </cell>
          <cell r="O289">
            <v>1186119.0079999999</v>
          </cell>
          <cell r="P289">
            <v>0</v>
          </cell>
          <cell r="Q289">
            <v>0</v>
          </cell>
          <cell r="R289">
            <v>317856</v>
          </cell>
          <cell r="S289">
            <v>1186119.0079999999</v>
          </cell>
          <cell r="T289">
            <v>137902</v>
          </cell>
          <cell r="U289">
            <v>119196</v>
          </cell>
          <cell r="V289">
            <v>773681</v>
          </cell>
        </row>
        <row r="290">
          <cell r="G290">
            <v>168</v>
          </cell>
          <cell r="J290">
            <v>1</v>
          </cell>
          <cell r="K290">
            <v>119196</v>
          </cell>
          <cell r="L290">
            <v>949529</v>
          </cell>
          <cell r="M290">
            <v>110345.67599999999</v>
          </cell>
          <cell r="N290">
            <v>317856</v>
          </cell>
          <cell r="O290">
            <v>1377730.676</v>
          </cell>
          <cell r="P290">
            <v>0</v>
          </cell>
          <cell r="Q290">
            <v>0</v>
          </cell>
          <cell r="R290">
            <v>317856</v>
          </cell>
          <cell r="S290">
            <v>1377730.676</v>
          </cell>
          <cell r="T290">
            <v>160885</v>
          </cell>
          <cell r="U290">
            <v>119196</v>
          </cell>
          <cell r="V290">
            <v>949529</v>
          </cell>
        </row>
        <row r="291">
          <cell r="G291">
            <v>204</v>
          </cell>
          <cell r="J291">
            <v>1</v>
          </cell>
          <cell r="K291">
            <v>119196</v>
          </cell>
          <cell r="L291">
            <v>1172362</v>
          </cell>
          <cell r="M291">
            <v>133991.17799999999</v>
          </cell>
          <cell r="N291">
            <v>317856</v>
          </cell>
          <cell r="O291">
            <v>1624209.1780000001</v>
          </cell>
          <cell r="P291">
            <v>0</v>
          </cell>
          <cell r="Q291">
            <v>0</v>
          </cell>
          <cell r="R291">
            <v>317856</v>
          </cell>
          <cell r="S291">
            <v>1624209.1779999998</v>
          </cell>
          <cell r="T291">
            <v>195361</v>
          </cell>
          <cell r="U291">
            <v>119196</v>
          </cell>
          <cell r="V291">
            <v>1172362</v>
          </cell>
        </row>
        <row r="292">
          <cell r="K292">
            <v>0</v>
          </cell>
          <cell r="L292">
            <v>0</v>
          </cell>
          <cell r="N292">
            <v>0</v>
          </cell>
          <cell r="O292">
            <v>0</v>
          </cell>
          <cell r="P292">
            <v>0</v>
          </cell>
          <cell r="Q292">
            <v>0</v>
          </cell>
          <cell r="R292">
            <v>0</v>
          </cell>
          <cell r="S292">
            <v>0</v>
          </cell>
        </row>
        <row r="293">
          <cell r="G293">
            <v>8.4</v>
          </cell>
          <cell r="J293">
            <v>1</v>
          </cell>
          <cell r="K293">
            <v>41873</v>
          </cell>
          <cell r="L293">
            <v>55019</v>
          </cell>
          <cell r="M293">
            <v>5517.2837999999992</v>
          </cell>
          <cell r="N293">
            <v>111661.33333333333</v>
          </cell>
          <cell r="O293">
            <v>172197.61713333332</v>
          </cell>
          <cell r="P293">
            <v>0</v>
          </cell>
          <cell r="Q293">
            <v>0</v>
          </cell>
          <cell r="R293">
            <v>111661.33333333333</v>
          </cell>
          <cell r="S293">
            <v>172197.61713333335</v>
          </cell>
          <cell r="T293">
            <v>8044</v>
          </cell>
          <cell r="U293">
            <v>41873</v>
          </cell>
          <cell r="V293">
            <v>55019</v>
          </cell>
        </row>
        <row r="294">
          <cell r="G294">
            <v>15.75</v>
          </cell>
          <cell r="J294">
            <v>1</v>
          </cell>
          <cell r="K294">
            <v>41873</v>
          </cell>
          <cell r="L294">
            <v>76293</v>
          </cell>
          <cell r="M294">
            <v>10344.907125</v>
          </cell>
          <cell r="N294">
            <v>111661.33333333333</v>
          </cell>
          <cell r="O294">
            <v>198299.24045833334</v>
          </cell>
          <cell r="P294">
            <v>0</v>
          </cell>
          <cell r="Q294">
            <v>0</v>
          </cell>
          <cell r="R294">
            <v>111661.33333333333</v>
          </cell>
          <cell r="S294">
            <v>198299.24045833334</v>
          </cell>
          <cell r="T294">
            <v>15083</v>
          </cell>
          <cell r="U294">
            <v>41873</v>
          </cell>
          <cell r="V294">
            <v>76293</v>
          </cell>
        </row>
        <row r="295">
          <cell r="D295" t="str">
            <v>Vận thăng 0.8T</v>
          </cell>
          <cell r="E295" t="str">
            <v>lifting machine 0.8T</v>
          </cell>
          <cell r="G295">
            <v>21</v>
          </cell>
          <cell r="J295">
            <v>1</v>
          </cell>
          <cell r="K295">
            <v>41873</v>
          </cell>
          <cell r="L295">
            <v>86359</v>
          </cell>
          <cell r="M295">
            <v>13793.209499999999</v>
          </cell>
          <cell r="N295">
            <v>111661.33333333333</v>
          </cell>
          <cell r="O295">
            <v>211813.54283333331</v>
          </cell>
          <cell r="P295">
            <v>18.351698030972454</v>
          </cell>
          <cell r="Q295">
            <v>253128.81562194054</v>
          </cell>
          <cell r="R295">
            <v>111661.33333333333</v>
          </cell>
          <cell r="S295">
            <v>211813.54283333331</v>
          </cell>
          <cell r="T295">
            <v>20111</v>
          </cell>
          <cell r="U295">
            <v>41873</v>
          </cell>
          <cell r="V295">
            <v>86359</v>
          </cell>
        </row>
        <row r="296">
          <cell r="G296">
            <v>31.5</v>
          </cell>
          <cell r="J296">
            <v>1</v>
          </cell>
          <cell r="K296">
            <v>41873</v>
          </cell>
          <cell r="L296">
            <v>126626</v>
          </cell>
          <cell r="M296">
            <v>20689.814249999999</v>
          </cell>
          <cell r="N296">
            <v>111661.33333333333</v>
          </cell>
          <cell r="O296">
            <v>258977.14758333331</v>
          </cell>
          <cell r="P296">
            <v>0</v>
          </cell>
          <cell r="Q296">
            <v>0</v>
          </cell>
          <cell r="R296">
            <v>111661.33333333333</v>
          </cell>
          <cell r="S296">
            <v>258977.14758333334</v>
          </cell>
          <cell r="T296">
            <v>30166</v>
          </cell>
          <cell r="U296">
            <v>41873</v>
          </cell>
          <cell r="V296">
            <v>126626</v>
          </cell>
        </row>
        <row r="297">
          <cell r="K297">
            <v>0</v>
          </cell>
          <cell r="L297">
            <v>0</v>
          </cell>
          <cell r="N297">
            <v>0</v>
          </cell>
          <cell r="O297">
            <v>0</v>
          </cell>
          <cell r="P297">
            <v>0</v>
          </cell>
          <cell r="Q297">
            <v>0</v>
          </cell>
          <cell r="R297">
            <v>0</v>
          </cell>
          <cell r="S297">
            <v>0</v>
          </cell>
        </row>
        <row r="298">
          <cell r="G298">
            <v>3.6</v>
          </cell>
          <cell r="J298">
            <v>1</v>
          </cell>
          <cell r="K298">
            <v>41873</v>
          </cell>
          <cell r="L298">
            <v>48045</v>
          </cell>
          <cell r="M298">
            <v>2364.5501999999997</v>
          </cell>
          <cell r="N298">
            <v>111661.33333333333</v>
          </cell>
          <cell r="O298">
            <v>162070.88353333331</v>
          </cell>
          <cell r="P298">
            <v>0</v>
          </cell>
          <cell r="Q298">
            <v>0</v>
          </cell>
          <cell r="R298">
            <v>111661.33333333333</v>
          </cell>
          <cell r="S298">
            <v>162070.88353333331</v>
          </cell>
          <cell r="T298">
            <v>3448</v>
          </cell>
          <cell r="U298">
            <v>41873</v>
          </cell>
          <cell r="V298">
            <v>48045</v>
          </cell>
        </row>
        <row r="299">
          <cell r="K299">
            <v>0</v>
          </cell>
          <cell r="L299">
            <v>0</v>
          </cell>
          <cell r="N299">
            <v>0</v>
          </cell>
          <cell r="O299">
            <v>0</v>
          </cell>
          <cell r="P299">
            <v>0</v>
          </cell>
          <cell r="Q299">
            <v>0</v>
          </cell>
          <cell r="R299">
            <v>0</v>
          </cell>
          <cell r="S299">
            <v>0</v>
          </cell>
        </row>
        <row r="300">
          <cell r="G300">
            <v>3.78</v>
          </cell>
          <cell r="J300">
            <v>1</v>
          </cell>
          <cell r="K300">
            <v>41873</v>
          </cell>
          <cell r="L300">
            <v>46336</v>
          </cell>
          <cell r="M300">
            <v>2482.7777099999998</v>
          </cell>
          <cell r="N300">
            <v>111661.33333333333</v>
          </cell>
          <cell r="O300">
            <v>160480.11104333334</v>
          </cell>
          <cell r="P300">
            <v>0</v>
          </cell>
          <cell r="Q300">
            <v>0</v>
          </cell>
          <cell r="R300">
            <v>111661.33333333333</v>
          </cell>
          <cell r="S300">
            <v>160480.11104333331</v>
          </cell>
          <cell r="T300">
            <v>3620</v>
          </cell>
          <cell r="U300">
            <v>41873</v>
          </cell>
          <cell r="V300">
            <v>46336</v>
          </cell>
        </row>
        <row r="301">
          <cell r="G301">
            <v>4.5</v>
          </cell>
          <cell r="J301">
            <v>1</v>
          </cell>
          <cell r="K301">
            <v>41873</v>
          </cell>
          <cell r="L301">
            <v>47517</v>
          </cell>
          <cell r="M301">
            <v>2955.6877500000001</v>
          </cell>
          <cell r="N301">
            <v>111661.33333333333</v>
          </cell>
          <cell r="O301">
            <v>162134.02108333333</v>
          </cell>
          <cell r="P301">
            <v>0</v>
          </cell>
          <cell r="Q301">
            <v>0</v>
          </cell>
          <cell r="R301">
            <v>111661.33333333333</v>
          </cell>
          <cell r="S301">
            <v>162134.02108333333</v>
          </cell>
          <cell r="T301">
            <v>4309</v>
          </cell>
          <cell r="U301">
            <v>41873</v>
          </cell>
          <cell r="V301">
            <v>47517</v>
          </cell>
        </row>
        <row r="302">
          <cell r="E302" t="str">
            <v>Winch 1.5Ton</v>
          </cell>
          <cell r="G302">
            <v>5.58</v>
          </cell>
          <cell r="J302">
            <v>1</v>
          </cell>
          <cell r="K302">
            <v>41873</v>
          </cell>
          <cell r="L302">
            <v>50865</v>
          </cell>
          <cell r="M302">
            <v>3665.0528099999997</v>
          </cell>
          <cell r="N302">
            <v>111661.33333333333</v>
          </cell>
          <cell r="O302">
            <v>166191.38614333334</v>
          </cell>
          <cell r="P302">
            <v>0</v>
          </cell>
          <cell r="Q302">
            <v>0</v>
          </cell>
          <cell r="R302">
            <v>111661.33333333333</v>
          </cell>
          <cell r="S302">
            <v>166191.38614333334</v>
          </cell>
          <cell r="T302">
            <v>5344</v>
          </cell>
          <cell r="U302">
            <v>41873</v>
          </cell>
          <cell r="V302">
            <v>50865</v>
          </cell>
        </row>
        <row r="303">
          <cell r="G303">
            <v>6.3</v>
          </cell>
          <cell r="J303">
            <v>1</v>
          </cell>
          <cell r="K303">
            <v>41873</v>
          </cell>
          <cell r="L303">
            <v>60669</v>
          </cell>
          <cell r="M303">
            <v>4137.962849999999</v>
          </cell>
          <cell r="N303">
            <v>111661.33333333333</v>
          </cell>
          <cell r="O303">
            <v>176468.29618333332</v>
          </cell>
          <cell r="P303">
            <v>0</v>
          </cell>
          <cell r="Q303">
            <v>0</v>
          </cell>
          <cell r="R303">
            <v>111661.33333333333</v>
          </cell>
          <cell r="S303">
            <v>176468.29618333332</v>
          </cell>
          <cell r="T303">
            <v>6033</v>
          </cell>
          <cell r="U303">
            <v>41873</v>
          </cell>
          <cell r="V303">
            <v>60669</v>
          </cell>
        </row>
        <row r="304">
          <cell r="G304">
            <v>9.18</v>
          </cell>
          <cell r="J304">
            <v>1</v>
          </cell>
          <cell r="K304">
            <v>41873</v>
          </cell>
          <cell r="L304">
            <v>67007</v>
          </cell>
          <cell r="M304">
            <v>6029.6030099999998</v>
          </cell>
          <cell r="N304">
            <v>111661.33333333333</v>
          </cell>
          <cell r="O304">
            <v>184697.93634333333</v>
          </cell>
          <cell r="P304">
            <v>0</v>
          </cell>
          <cell r="Q304">
            <v>0</v>
          </cell>
          <cell r="R304">
            <v>111661.33333333333</v>
          </cell>
          <cell r="S304">
            <v>184697.93634333333</v>
          </cell>
          <cell r="T304">
            <v>8791</v>
          </cell>
          <cell r="U304">
            <v>41873</v>
          </cell>
          <cell r="V304">
            <v>67007</v>
          </cell>
        </row>
        <row r="305">
          <cell r="D305" t="str">
            <v>Tời điện 3T</v>
          </cell>
          <cell r="E305" t="str">
            <v>electric winch 3Ton</v>
          </cell>
          <cell r="G305">
            <v>10.8</v>
          </cell>
          <cell r="J305">
            <v>1</v>
          </cell>
          <cell r="K305">
            <v>41873</v>
          </cell>
          <cell r="L305">
            <v>78735</v>
          </cell>
          <cell r="M305">
            <v>7093.650599999999</v>
          </cell>
          <cell r="N305">
            <v>111661.33333333333</v>
          </cell>
          <cell r="O305">
            <v>197489.98393333331</v>
          </cell>
          <cell r="P305">
            <v>617.4</v>
          </cell>
          <cell r="Q305">
            <v>4379619.8804399995</v>
          </cell>
          <cell r="R305">
            <v>111661.33333333333</v>
          </cell>
          <cell r="S305">
            <v>197489.98393333331</v>
          </cell>
          <cell r="T305">
            <v>10343</v>
          </cell>
          <cell r="U305">
            <v>41873</v>
          </cell>
          <cell r="V305">
            <v>78735</v>
          </cell>
        </row>
        <row r="306">
          <cell r="G306">
            <v>11.7</v>
          </cell>
          <cell r="J306">
            <v>1</v>
          </cell>
          <cell r="K306">
            <v>41873</v>
          </cell>
          <cell r="L306">
            <v>87280</v>
          </cell>
          <cell r="M306">
            <v>7684.7881499999985</v>
          </cell>
          <cell r="N306">
            <v>111661.33333333333</v>
          </cell>
          <cell r="O306">
            <v>206626.12148333332</v>
          </cell>
          <cell r="P306">
            <v>0</v>
          </cell>
          <cell r="Q306">
            <v>0</v>
          </cell>
          <cell r="R306">
            <v>111661.33333333333</v>
          </cell>
          <cell r="S306">
            <v>206626.12148333332</v>
          </cell>
          <cell r="T306">
            <v>11205</v>
          </cell>
          <cell r="U306">
            <v>41873</v>
          </cell>
          <cell r="V306">
            <v>87280</v>
          </cell>
        </row>
        <row r="307">
          <cell r="D307" t="str">
            <v>Tời điện 5T</v>
          </cell>
          <cell r="E307" t="str">
            <v>electric winch 5Ton</v>
          </cell>
          <cell r="G307">
            <v>13.5</v>
          </cell>
          <cell r="J307">
            <v>1</v>
          </cell>
          <cell r="K307">
            <v>41873</v>
          </cell>
          <cell r="L307">
            <v>98616</v>
          </cell>
          <cell r="M307">
            <v>8867.0632499999992</v>
          </cell>
          <cell r="N307">
            <v>111661.33333333333</v>
          </cell>
          <cell r="O307">
            <v>219144.39658333332</v>
          </cell>
          <cell r="P307">
            <v>84.019182299999983</v>
          </cell>
          <cell r="Q307">
            <v>745003.40366738022</v>
          </cell>
          <cell r="R307">
            <v>111661.33333333333</v>
          </cell>
          <cell r="S307">
            <v>219144.39658333332</v>
          </cell>
          <cell r="T307">
            <v>12928</v>
          </cell>
          <cell r="U307">
            <v>41873</v>
          </cell>
          <cell r="V307">
            <v>98616</v>
          </cell>
        </row>
        <row r="308">
          <cell r="J308">
            <v>1</v>
          </cell>
          <cell r="K308">
            <v>48658</v>
          </cell>
          <cell r="L308">
            <v>58669</v>
          </cell>
          <cell r="M308">
            <v>0</v>
          </cell>
          <cell r="N308">
            <v>129754.66666666666</v>
          </cell>
          <cell r="O308">
            <v>188423.66666666666</v>
          </cell>
          <cell r="P308">
            <v>0</v>
          </cell>
          <cell r="Q308">
            <v>0</v>
          </cell>
          <cell r="R308">
            <v>129754.66666666666</v>
          </cell>
          <cell r="S308">
            <v>188423.66666666666</v>
          </cell>
          <cell r="U308">
            <v>48658</v>
          </cell>
          <cell r="V308">
            <v>58669</v>
          </cell>
        </row>
        <row r="309">
          <cell r="J309">
            <v>1</v>
          </cell>
          <cell r="K309">
            <v>48658</v>
          </cell>
          <cell r="L309">
            <v>63577</v>
          </cell>
          <cell r="M309">
            <v>0</v>
          </cell>
          <cell r="N309">
            <v>129754.66666666666</v>
          </cell>
          <cell r="O309">
            <v>193331.66666666666</v>
          </cell>
          <cell r="P309">
            <v>0</v>
          </cell>
          <cell r="Q309">
            <v>0</v>
          </cell>
          <cell r="R309">
            <v>129754.66666666666</v>
          </cell>
          <cell r="S309">
            <v>193331.66666666666</v>
          </cell>
          <cell r="U309">
            <v>48658</v>
          </cell>
          <cell r="V309">
            <v>63577</v>
          </cell>
        </row>
        <row r="310">
          <cell r="G310">
            <v>30</v>
          </cell>
          <cell r="J310">
            <v>1</v>
          </cell>
          <cell r="K310">
            <v>105458</v>
          </cell>
          <cell r="L310">
            <v>347828</v>
          </cell>
          <cell r="M310">
            <v>19704.584999999995</v>
          </cell>
          <cell r="N310">
            <v>281221.33333333331</v>
          </cell>
          <cell r="O310">
            <v>648753.91833333333</v>
          </cell>
          <cell r="P310">
            <v>0</v>
          </cell>
          <cell r="Q310">
            <v>0</v>
          </cell>
          <cell r="R310">
            <v>281221.33333333331</v>
          </cell>
          <cell r="S310">
            <v>648753.91833333333</v>
          </cell>
          <cell r="T310">
            <v>28730</v>
          </cell>
          <cell r="U310">
            <v>105458</v>
          </cell>
          <cell r="V310">
            <v>347828</v>
          </cell>
        </row>
        <row r="311">
          <cell r="J311">
            <v>1</v>
          </cell>
          <cell r="K311">
            <v>48658</v>
          </cell>
          <cell r="L311">
            <v>94555</v>
          </cell>
          <cell r="M311">
            <v>0</v>
          </cell>
          <cell r="N311">
            <v>129754.66666666666</v>
          </cell>
          <cell r="O311">
            <v>224309.66666666666</v>
          </cell>
          <cell r="P311">
            <v>0</v>
          </cell>
          <cell r="Q311">
            <v>0</v>
          </cell>
          <cell r="R311">
            <v>129754.66666666666</v>
          </cell>
          <cell r="S311">
            <v>224309.66666666666</v>
          </cell>
          <cell r="U311">
            <v>48658</v>
          </cell>
          <cell r="V311">
            <v>94555</v>
          </cell>
        </row>
        <row r="312">
          <cell r="J312">
            <v>1</v>
          </cell>
          <cell r="K312">
            <v>48658</v>
          </cell>
          <cell r="L312">
            <v>65391</v>
          </cell>
          <cell r="M312">
            <v>0</v>
          </cell>
          <cell r="N312">
            <v>129754.66666666666</v>
          </cell>
          <cell r="O312">
            <v>195145.66666666666</v>
          </cell>
          <cell r="P312">
            <v>0</v>
          </cell>
          <cell r="Q312">
            <v>0</v>
          </cell>
          <cell r="R312">
            <v>129754.66666666666</v>
          </cell>
          <cell r="S312">
            <v>195145.66666666666</v>
          </cell>
          <cell r="U312">
            <v>48658</v>
          </cell>
          <cell r="V312">
            <v>65391</v>
          </cell>
        </row>
        <row r="313">
          <cell r="J313">
            <v>1</v>
          </cell>
          <cell r="K313">
            <v>48658</v>
          </cell>
          <cell r="L313">
            <v>118475</v>
          </cell>
          <cell r="M313">
            <v>0</v>
          </cell>
          <cell r="N313">
            <v>129754.66666666666</v>
          </cell>
          <cell r="O313">
            <v>248229.66666666666</v>
          </cell>
          <cell r="P313">
            <v>0</v>
          </cell>
          <cell r="Q313">
            <v>0</v>
          </cell>
          <cell r="R313">
            <v>129754.66666666666</v>
          </cell>
          <cell r="S313">
            <v>248229.66666666666</v>
          </cell>
          <cell r="U313">
            <v>48658</v>
          </cell>
          <cell r="V313">
            <v>118475</v>
          </cell>
        </row>
        <row r="314">
          <cell r="J314">
            <v>1</v>
          </cell>
          <cell r="K314">
            <v>48658</v>
          </cell>
          <cell r="L314">
            <v>270549</v>
          </cell>
          <cell r="M314">
            <v>0</v>
          </cell>
          <cell r="N314">
            <v>129754.66666666666</v>
          </cell>
          <cell r="O314">
            <v>400303.66666666663</v>
          </cell>
          <cell r="P314">
            <v>0</v>
          </cell>
          <cell r="Q314">
            <v>0</v>
          </cell>
          <cell r="R314">
            <v>129754.66666666666</v>
          </cell>
          <cell r="S314">
            <v>400303.66666666663</v>
          </cell>
          <cell r="U314">
            <v>48658</v>
          </cell>
          <cell r="V314">
            <v>270549</v>
          </cell>
        </row>
        <row r="315">
          <cell r="K315">
            <v>0</v>
          </cell>
          <cell r="L315">
            <v>0</v>
          </cell>
          <cell r="N315">
            <v>0</v>
          </cell>
          <cell r="O315">
            <v>0</v>
          </cell>
          <cell r="P315">
            <v>0</v>
          </cell>
          <cell r="Q315">
            <v>0</v>
          </cell>
          <cell r="R315">
            <v>0</v>
          </cell>
          <cell r="S315">
            <v>0</v>
          </cell>
        </row>
        <row r="316">
          <cell r="D316" t="str">
            <v>Máy luồn cáp 15KW</v>
          </cell>
          <cell r="E316" t="str">
            <v>cable passing machine 15kW</v>
          </cell>
          <cell r="G316">
            <v>27</v>
          </cell>
          <cell r="J316">
            <v>1</v>
          </cell>
          <cell r="K316">
            <v>48658</v>
          </cell>
          <cell r="L316">
            <v>296572</v>
          </cell>
          <cell r="M316">
            <v>17734.126499999998</v>
          </cell>
          <cell r="N316">
            <v>129754.66666666666</v>
          </cell>
          <cell r="O316">
            <v>444060.79316666664</v>
          </cell>
          <cell r="P316">
            <v>1619.8273349999999</v>
          </cell>
          <cell r="Q316">
            <v>28726222.867047872</v>
          </cell>
          <cell r="R316">
            <v>129754.66666666666</v>
          </cell>
          <cell r="S316">
            <v>444060.79316666664</v>
          </cell>
          <cell r="T316">
            <v>25857</v>
          </cell>
          <cell r="U316">
            <v>48658</v>
          </cell>
          <cell r="V316">
            <v>296572</v>
          </cell>
        </row>
        <row r="317">
          <cell r="K317">
            <v>0</v>
          </cell>
          <cell r="L317">
            <v>0</v>
          </cell>
          <cell r="N317">
            <v>0</v>
          </cell>
          <cell r="O317">
            <v>0</v>
          </cell>
          <cell r="P317">
            <v>0</v>
          </cell>
          <cell r="Q317">
            <v>0</v>
          </cell>
          <cell r="R317">
            <v>0</v>
          </cell>
          <cell r="S317">
            <v>0</v>
          </cell>
        </row>
        <row r="318">
          <cell r="G318">
            <v>13.65</v>
          </cell>
          <cell r="J318">
            <v>1</v>
          </cell>
          <cell r="K318">
            <v>48658</v>
          </cell>
          <cell r="L318">
            <v>65149</v>
          </cell>
          <cell r="M318">
            <v>8965.5861750000004</v>
          </cell>
          <cell r="N318">
            <v>129754.66666666666</v>
          </cell>
          <cell r="O318">
            <v>203869.25284166666</v>
          </cell>
          <cell r="P318">
            <v>0</v>
          </cell>
          <cell r="Q318">
            <v>0</v>
          </cell>
          <cell r="R318">
            <v>129754.66666666666</v>
          </cell>
          <cell r="S318">
            <v>203869.25284166666</v>
          </cell>
          <cell r="T318">
            <v>13072</v>
          </cell>
          <cell r="U318">
            <v>48658</v>
          </cell>
          <cell r="V318">
            <v>65149</v>
          </cell>
        </row>
        <row r="319">
          <cell r="G319">
            <v>19.5</v>
          </cell>
          <cell r="J319">
            <v>1</v>
          </cell>
          <cell r="K319">
            <v>48658</v>
          </cell>
          <cell r="L319">
            <v>77865</v>
          </cell>
          <cell r="M319">
            <v>12807.980249999999</v>
          </cell>
          <cell r="N319">
            <v>129754.66666666666</v>
          </cell>
          <cell r="O319">
            <v>220427.64691666665</v>
          </cell>
          <cell r="P319">
            <v>0</v>
          </cell>
          <cell r="Q319">
            <v>0</v>
          </cell>
          <cell r="R319">
            <v>129754.66666666666</v>
          </cell>
          <cell r="S319">
            <v>220427.64691666665</v>
          </cell>
          <cell r="T319">
            <v>18674</v>
          </cell>
          <cell r="U319">
            <v>48658</v>
          </cell>
          <cell r="V319">
            <v>77865</v>
          </cell>
        </row>
        <row r="320">
          <cell r="K320">
            <v>0</v>
          </cell>
          <cell r="L320">
            <v>0</v>
          </cell>
          <cell r="N320">
            <v>0</v>
          </cell>
          <cell r="O320">
            <v>0</v>
          </cell>
          <cell r="P320">
            <v>0</v>
          </cell>
          <cell r="Q320">
            <v>0</v>
          </cell>
          <cell r="R320">
            <v>0</v>
          </cell>
          <cell r="S320">
            <v>0</v>
          </cell>
        </row>
        <row r="321">
          <cell r="F321">
            <v>7.92</v>
          </cell>
          <cell r="J321">
            <v>1</v>
          </cell>
          <cell r="K321">
            <v>48658</v>
          </cell>
          <cell r="L321">
            <v>181692</v>
          </cell>
          <cell r="M321">
            <v>115291.51199999999</v>
          </cell>
          <cell r="N321">
            <v>129754.66666666666</v>
          </cell>
          <cell r="O321">
            <v>426738.17866666662</v>
          </cell>
          <cell r="P321">
            <v>0</v>
          </cell>
          <cell r="Q321">
            <v>0</v>
          </cell>
          <cell r="R321">
            <v>129754.66666666666</v>
          </cell>
          <cell r="S321">
            <v>426738.17866666662</v>
          </cell>
          <cell r="T321">
            <v>56698</v>
          </cell>
          <cell r="U321">
            <v>48658</v>
          </cell>
          <cell r="V321">
            <v>181692</v>
          </cell>
        </row>
        <row r="322">
          <cell r="F322">
            <v>9</v>
          </cell>
          <cell r="J322">
            <v>1</v>
          </cell>
          <cell r="K322">
            <v>48658</v>
          </cell>
          <cell r="L322">
            <v>213009</v>
          </cell>
          <cell r="M322">
            <v>131013.0818181818</v>
          </cell>
          <cell r="N322">
            <v>129754.66666666666</v>
          </cell>
          <cell r="O322">
            <v>473776.74848484842</v>
          </cell>
          <cell r="P322">
            <v>0</v>
          </cell>
          <cell r="Q322">
            <v>0</v>
          </cell>
          <cell r="R322">
            <v>129754.66666666666</v>
          </cell>
          <cell r="S322">
            <v>473776.74848484847</v>
          </cell>
          <cell r="T322">
            <v>64430</v>
          </cell>
          <cell r="U322">
            <v>48658</v>
          </cell>
          <cell r="V322">
            <v>213009</v>
          </cell>
        </row>
        <row r="323">
          <cell r="F323">
            <v>10.08</v>
          </cell>
          <cell r="J323">
            <v>1</v>
          </cell>
          <cell r="K323">
            <v>48658</v>
          </cell>
          <cell r="L323">
            <v>259979</v>
          </cell>
          <cell r="M323">
            <v>146734.65163636362</v>
          </cell>
          <cell r="N323">
            <v>129754.66666666666</v>
          </cell>
          <cell r="O323">
            <v>536468.31830303022</v>
          </cell>
          <cell r="P323">
            <v>0</v>
          </cell>
          <cell r="Q323">
            <v>0</v>
          </cell>
          <cell r="R323">
            <v>129754.66666666666</v>
          </cell>
          <cell r="S323">
            <v>536468.31830303022</v>
          </cell>
          <cell r="T323">
            <v>72162</v>
          </cell>
          <cell r="U323">
            <v>48658</v>
          </cell>
          <cell r="V323">
            <v>259979</v>
          </cell>
        </row>
        <row r="324">
          <cell r="F324">
            <v>11.52</v>
          </cell>
          <cell r="J324">
            <v>1</v>
          </cell>
          <cell r="K324">
            <v>48658</v>
          </cell>
          <cell r="L324">
            <v>274947</v>
          </cell>
          <cell r="M324">
            <v>167696.74472727271</v>
          </cell>
          <cell r="N324">
            <v>129754.66666666666</v>
          </cell>
          <cell r="O324">
            <v>572398.4113939394</v>
          </cell>
          <cell r="P324">
            <v>0</v>
          </cell>
          <cell r="Q324">
            <v>0</v>
          </cell>
          <cell r="R324">
            <v>129754.66666666666</v>
          </cell>
          <cell r="S324">
            <v>572398.4113939394</v>
          </cell>
          <cell r="T324">
            <v>82471</v>
          </cell>
          <cell r="U324">
            <v>48658</v>
          </cell>
          <cell r="V324">
            <v>274947</v>
          </cell>
        </row>
        <row r="325">
          <cell r="F325">
            <v>14.4</v>
          </cell>
          <cell r="J325">
            <v>1</v>
          </cell>
          <cell r="K325">
            <v>48658</v>
          </cell>
          <cell r="L325">
            <v>306796</v>
          </cell>
          <cell r="M325">
            <v>209620.93090909091</v>
          </cell>
          <cell r="N325">
            <v>129754.66666666666</v>
          </cell>
          <cell r="O325">
            <v>646171.59757575754</v>
          </cell>
          <cell r="P325">
            <v>0</v>
          </cell>
          <cell r="Q325">
            <v>0</v>
          </cell>
          <cell r="R325">
            <v>129754.66666666666</v>
          </cell>
          <cell r="S325">
            <v>646171.59757575754</v>
          </cell>
          <cell r="T325">
            <v>103088</v>
          </cell>
          <cell r="U325">
            <v>48658</v>
          </cell>
          <cell r="V325">
            <v>306796</v>
          </cell>
        </row>
        <row r="326">
          <cell r="F326">
            <v>16.2</v>
          </cell>
          <cell r="J326">
            <v>1</v>
          </cell>
          <cell r="K326">
            <v>48658</v>
          </cell>
          <cell r="L326">
            <v>356710</v>
          </cell>
          <cell r="M326">
            <v>235823.54727272724</v>
          </cell>
          <cell r="N326">
            <v>129754.66666666666</v>
          </cell>
          <cell r="O326">
            <v>722288.21393939387</v>
          </cell>
          <cell r="P326">
            <v>0</v>
          </cell>
          <cell r="Q326">
            <v>0</v>
          </cell>
          <cell r="R326">
            <v>129754.66666666666</v>
          </cell>
          <cell r="S326">
            <v>722288.21393939387</v>
          </cell>
          <cell r="T326">
            <v>115974</v>
          </cell>
          <cell r="U326">
            <v>48658</v>
          </cell>
          <cell r="V326">
            <v>356710</v>
          </cell>
        </row>
        <row r="327">
          <cell r="K327">
            <v>0</v>
          </cell>
          <cell r="L327">
            <v>0</v>
          </cell>
          <cell r="N327">
            <v>0</v>
          </cell>
          <cell r="O327">
            <v>0</v>
          </cell>
          <cell r="P327">
            <v>0</v>
          </cell>
          <cell r="Q327">
            <v>0</v>
          </cell>
          <cell r="R327">
            <v>0</v>
          </cell>
          <cell r="S327">
            <v>0</v>
          </cell>
        </row>
        <row r="328">
          <cell r="E328" t="str">
            <v>135CV</v>
          </cell>
          <cell r="F328">
            <v>44.55</v>
          </cell>
          <cell r="J328">
            <v>1</v>
          </cell>
          <cell r="K328">
            <v>48658</v>
          </cell>
          <cell r="L328">
            <v>671710</v>
          </cell>
          <cell r="M328">
            <v>648514.75499999989</v>
          </cell>
          <cell r="N328">
            <v>129754.66666666666</v>
          </cell>
          <cell r="O328">
            <v>1449979.4216666666</v>
          </cell>
          <cell r="P328">
            <v>0</v>
          </cell>
          <cell r="Q328">
            <v>0</v>
          </cell>
          <cell r="R328">
            <v>129754.66666666666</v>
          </cell>
          <cell r="S328">
            <v>1449979.4216666664</v>
          </cell>
          <cell r="T328">
            <v>312854</v>
          </cell>
          <cell r="U328">
            <v>48658</v>
          </cell>
          <cell r="V328">
            <v>671710</v>
          </cell>
        </row>
        <row r="329">
          <cell r="K329">
            <v>0</v>
          </cell>
          <cell r="L329">
            <v>0</v>
          </cell>
          <cell r="N329">
            <v>0</v>
          </cell>
          <cell r="O329">
            <v>0</v>
          </cell>
          <cell r="P329">
            <v>0</v>
          </cell>
          <cell r="Q329">
            <v>0</v>
          </cell>
          <cell r="R329">
            <v>0</v>
          </cell>
          <cell r="S329">
            <v>0</v>
          </cell>
        </row>
        <row r="330">
          <cell r="G330">
            <v>6.72</v>
          </cell>
          <cell r="J330">
            <v>1</v>
          </cell>
          <cell r="K330">
            <v>41873</v>
          </cell>
          <cell r="L330">
            <v>72631</v>
          </cell>
          <cell r="M330">
            <v>4413.8270399999992</v>
          </cell>
          <cell r="N330">
            <v>111661.33333333333</v>
          </cell>
          <cell r="O330">
            <v>188706.16037333332</v>
          </cell>
          <cell r="P330">
            <v>0</v>
          </cell>
          <cell r="Q330">
            <v>0</v>
          </cell>
          <cell r="R330">
            <v>111661.33333333333</v>
          </cell>
          <cell r="S330">
            <v>188706.16037333332</v>
          </cell>
          <cell r="T330">
            <v>6435</v>
          </cell>
          <cell r="U330">
            <v>41873</v>
          </cell>
          <cell r="V330">
            <v>72631</v>
          </cell>
        </row>
        <row r="331">
          <cell r="G331">
            <v>8.4</v>
          </cell>
          <cell r="J331">
            <v>1</v>
          </cell>
          <cell r="K331">
            <v>41873</v>
          </cell>
          <cell r="L331">
            <v>90909</v>
          </cell>
          <cell r="M331">
            <v>5517.2837999999992</v>
          </cell>
          <cell r="N331">
            <v>111661.33333333333</v>
          </cell>
          <cell r="O331">
            <v>208087.61713333335</v>
          </cell>
          <cell r="P331">
            <v>0</v>
          </cell>
          <cell r="Q331">
            <v>0</v>
          </cell>
          <cell r="R331">
            <v>111661.33333333333</v>
          </cell>
          <cell r="S331">
            <v>208087.61713333335</v>
          </cell>
          <cell r="T331">
            <v>8044</v>
          </cell>
          <cell r="U331">
            <v>41873</v>
          </cell>
          <cell r="V331">
            <v>90909</v>
          </cell>
        </row>
        <row r="332">
          <cell r="G332">
            <v>9.6</v>
          </cell>
          <cell r="J332">
            <v>1</v>
          </cell>
          <cell r="K332">
            <v>41873</v>
          </cell>
          <cell r="L332">
            <v>109483</v>
          </cell>
          <cell r="M332">
            <v>6305.4671999999991</v>
          </cell>
          <cell r="N332">
            <v>111661.33333333333</v>
          </cell>
          <cell r="O332">
            <v>227449.80053333333</v>
          </cell>
          <cell r="P332">
            <v>0</v>
          </cell>
          <cell r="Q332">
            <v>0</v>
          </cell>
          <cell r="R332">
            <v>111661.33333333333</v>
          </cell>
          <cell r="S332">
            <v>227449.80053333333</v>
          </cell>
          <cell r="T332">
            <v>9193</v>
          </cell>
          <cell r="U332">
            <v>41873</v>
          </cell>
          <cell r="V332">
            <v>109483</v>
          </cell>
        </row>
        <row r="333">
          <cell r="D333" t="str">
            <v>Máy trộn 250L</v>
          </cell>
          <cell r="E333" t="str">
            <v>concrete mixer 250L</v>
          </cell>
          <cell r="G333">
            <v>10.8</v>
          </cell>
          <cell r="J333">
            <v>1</v>
          </cell>
          <cell r="K333">
            <v>41873</v>
          </cell>
          <cell r="L333">
            <v>134552</v>
          </cell>
          <cell r="M333">
            <v>7093.650599999999</v>
          </cell>
          <cell r="N333">
            <v>111661.33333333333</v>
          </cell>
          <cell r="O333">
            <v>253306.98393333331</v>
          </cell>
          <cell r="P333">
            <v>122.8850189045877</v>
          </cell>
          <cell r="Q333">
            <v>871703.38808353979</v>
          </cell>
          <cell r="R333">
            <v>111661.33333333333</v>
          </cell>
          <cell r="S333">
            <v>253306.98393333331</v>
          </cell>
          <cell r="T333">
            <v>10343</v>
          </cell>
          <cell r="U333">
            <v>41873</v>
          </cell>
          <cell r="V333">
            <v>134552</v>
          </cell>
        </row>
        <row r="334">
          <cell r="G334">
            <v>24</v>
          </cell>
          <cell r="J334">
            <v>1</v>
          </cell>
          <cell r="K334">
            <v>48658</v>
          </cell>
          <cell r="L334">
            <v>166724</v>
          </cell>
          <cell r="M334">
            <v>15763.667999999998</v>
          </cell>
          <cell r="N334">
            <v>129754.66666666666</v>
          </cell>
          <cell r="O334">
            <v>312242.33466666669</v>
          </cell>
          <cell r="P334">
            <v>0</v>
          </cell>
          <cell r="Q334">
            <v>0</v>
          </cell>
          <cell r="R334">
            <v>129754.66666666666</v>
          </cell>
          <cell r="S334">
            <v>312242.33466666669</v>
          </cell>
          <cell r="T334">
            <v>22984</v>
          </cell>
          <cell r="U334">
            <v>48658</v>
          </cell>
          <cell r="V334">
            <v>166724</v>
          </cell>
        </row>
        <row r="335">
          <cell r="D335" t="str">
            <v>Máy trộn 500L</v>
          </cell>
          <cell r="E335" t="str">
            <v>concrete mixer 500L</v>
          </cell>
          <cell r="G335">
            <v>33.6</v>
          </cell>
          <cell r="J335">
            <v>1</v>
          </cell>
          <cell r="K335">
            <v>48658</v>
          </cell>
          <cell r="L335">
            <v>183527</v>
          </cell>
          <cell r="M335">
            <v>22069.135199999997</v>
          </cell>
          <cell r="N335">
            <v>129754.66666666666</v>
          </cell>
          <cell r="O335">
            <v>335350.80186666665</v>
          </cell>
          <cell r="P335">
            <v>0</v>
          </cell>
          <cell r="Q335">
            <v>0</v>
          </cell>
          <cell r="R335">
            <v>129754.66666666666</v>
          </cell>
          <cell r="S335">
            <v>335350.80186666665</v>
          </cell>
          <cell r="T335">
            <v>32177</v>
          </cell>
          <cell r="U335">
            <v>48658</v>
          </cell>
          <cell r="V335">
            <v>183527</v>
          </cell>
        </row>
        <row r="336">
          <cell r="G336">
            <v>60</v>
          </cell>
          <cell r="J336">
            <v>1</v>
          </cell>
          <cell r="K336">
            <v>48658</v>
          </cell>
          <cell r="L336">
            <v>231848</v>
          </cell>
          <cell r="M336">
            <v>39409.169999999991</v>
          </cell>
          <cell r="N336">
            <v>129754.66666666666</v>
          </cell>
          <cell r="O336">
            <v>401011.83666666667</v>
          </cell>
          <cell r="P336">
            <v>0</v>
          </cell>
          <cell r="Q336">
            <v>0</v>
          </cell>
          <cell r="R336">
            <v>129754.66666666666</v>
          </cell>
          <cell r="S336">
            <v>401011.83666666667</v>
          </cell>
          <cell r="T336">
            <v>57459</v>
          </cell>
          <cell r="U336">
            <v>48658</v>
          </cell>
          <cell r="V336">
            <v>231848</v>
          </cell>
        </row>
        <row r="337">
          <cell r="E337" t="str">
            <v>concrete mixer 1150L</v>
          </cell>
          <cell r="G337">
            <v>72</v>
          </cell>
          <cell r="J337">
            <v>1</v>
          </cell>
          <cell r="K337">
            <v>48658</v>
          </cell>
          <cell r="L337">
            <v>341245</v>
          </cell>
          <cell r="M337">
            <v>47291.004000000001</v>
          </cell>
          <cell r="N337">
            <v>129754.66666666666</v>
          </cell>
          <cell r="O337">
            <v>518290.6706666667</v>
          </cell>
          <cell r="P337">
            <v>0</v>
          </cell>
          <cell r="Q337">
            <v>0</v>
          </cell>
          <cell r="R337">
            <v>129754.66666666666</v>
          </cell>
          <cell r="S337">
            <v>518290.67066666664</v>
          </cell>
          <cell r="T337">
            <v>68951</v>
          </cell>
          <cell r="U337">
            <v>48658</v>
          </cell>
          <cell r="V337">
            <v>341245</v>
          </cell>
        </row>
        <row r="338">
          <cell r="E338" t="str">
            <v>concrete mixer 1600L</v>
          </cell>
          <cell r="G338">
            <v>96</v>
          </cell>
          <cell r="J338">
            <v>1</v>
          </cell>
          <cell r="K338">
            <v>48658</v>
          </cell>
          <cell r="L338">
            <v>415440</v>
          </cell>
          <cell r="M338">
            <v>63054.671999999991</v>
          </cell>
          <cell r="N338">
            <v>129754.66666666666</v>
          </cell>
          <cell r="O338">
            <v>608249.33866666665</v>
          </cell>
          <cell r="P338">
            <v>0</v>
          </cell>
          <cell r="Q338">
            <v>0</v>
          </cell>
          <cell r="R338">
            <v>129754.66666666666</v>
          </cell>
          <cell r="S338">
            <v>608249.33866666665</v>
          </cell>
          <cell r="T338">
            <v>91934</v>
          </cell>
          <cell r="U338">
            <v>48658</v>
          </cell>
          <cell r="V338">
            <v>415440</v>
          </cell>
        </row>
        <row r="339">
          <cell r="K339">
            <v>0</v>
          </cell>
          <cell r="L339">
            <v>0</v>
          </cell>
          <cell r="N339">
            <v>0</v>
          </cell>
          <cell r="O339">
            <v>0</v>
          </cell>
          <cell r="P339">
            <v>0</v>
          </cell>
          <cell r="Q339">
            <v>0</v>
          </cell>
          <cell r="R339">
            <v>0</v>
          </cell>
          <cell r="S339">
            <v>0</v>
          </cell>
        </row>
        <row r="340">
          <cell r="D340" t="str">
            <v>Máy trộn vữa 80L</v>
          </cell>
          <cell r="E340" t="str">
            <v>mortar mixer 80L</v>
          </cell>
          <cell r="G340">
            <v>5.28</v>
          </cell>
          <cell r="J340">
            <v>1</v>
          </cell>
          <cell r="K340">
            <v>41873</v>
          </cell>
          <cell r="L340">
            <v>63412</v>
          </cell>
          <cell r="M340">
            <v>3468.0069599999997</v>
          </cell>
          <cell r="N340">
            <v>111661.33333333333</v>
          </cell>
          <cell r="O340">
            <v>178541.34029333334</v>
          </cell>
          <cell r="P340">
            <v>135.48404600000003</v>
          </cell>
          <cell r="Q340">
            <v>469859.61449696025</v>
          </cell>
          <cell r="R340">
            <v>111661.33333333333</v>
          </cell>
          <cell r="S340">
            <v>178541.34029333334</v>
          </cell>
          <cell r="T340">
            <v>5056</v>
          </cell>
          <cell r="U340">
            <v>41873</v>
          </cell>
          <cell r="V340">
            <v>63412</v>
          </cell>
        </row>
        <row r="341">
          <cell r="G341">
            <v>7.68</v>
          </cell>
          <cell r="J341">
            <v>1</v>
          </cell>
          <cell r="K341">
            <v>41873</v>
          </cell>
          <cell r="L341">
            <v>71774</v>
          </cell>
          <cell r="M341">
            <v>5044.3737599999995</v>
          </cell>
          <cell r="N341">
            <v>111661.33333333333</v>
          </cell>
          <cell r="O341">
            <v>188479.70709333333</v>
          </cell>
          <cell r="P341">
            <v>0</v>
          </cell>
          <cell r="Q341">
            <v>0</v>
          </cell>
          <cell r="R341">
            <v>111661.33333333333</v>
          </cell>
          <cell r="S341">
            <v>188479.70709333333</v>
          </cell>
          <cell r="T341">
            <v>7355</v>
          </cell>
          <cell r="U341">
            <v>41873</v>
          </cell>
          <cell r="V341">
            <v>71774</v>
          </cell>
        </row>
        <row r="342">
          <cell r="G342">
            <v>8.4</v>
          </cell>
          <cell r="J342">
            <v>1</v>
          </cell>
          <cell r="K342">
            <v>41873</v>
          </cell>
          <cell r="L342">
            <v>81918</v>
          </cell>
          <cell r="M342">
            <v>5517.2837999999992</v>
          </cell>
          <cell r="N342">
            <v>111661.33333333333</v>
          </cell>
          <cell r="O342">
            <v>199096.61713333335</v>
          </cell>
          <cell r="P342">
            <v>0</v>
          </cell>
          <cell r="Q342">
            <v>0</v>
          </cell>
          <cell r="R342">
            <v>111661.33333333333</v>
          </cell>
          <cell r="S342">
            <v>199096.61713333335</v>
          </cell>
          <cell r="T342">
            <v>8044</v>
          </cell>
          <cell r="U342">
            <v>41873</v>
          </cell>
          <cell r="V342">
            <v>81918</v>
          </cell>
        </row>
        <row r="343">
          <cell r="G343">
            <v>9.6</v>
          </cell>
          <cell r="J343">
            <v>1</v>
          </cell>
          <cell r="K343">
            <v>41873</v>
          </cell>
          <cell r="L343">
            <v>97671</v>
          </cell>
          <cell r="M343">
            <v>6305.4671999999991</v>
          </cell>
          <cell r="N343">
            <v>111661.33333333333</v>
          </cell>
          <cell r="O343">
            <v>215637.80053333333</v>
          </cell>
          <cell r="P343">
            <v>0</v>
          </cell>
          <cell r="Q343">
            <v>0</v>
          </cell>
          <cell r="R343">
            <v>111661.33333333333</v>
          </cell>
          <cell r="S343">
            <v>215637.80053333333</v>
          </cell>
          <cell r="T343">
            <v>9193</v>
          </cell>
          <cell r="U343">
            <v>41873</v>
          </cell>
          <cell r="V343">
            <v>97671</v>
          </cell>
        </row>
        <row r="344">
          <cell r="G344">
            <v>10.8</v>
          </cell>
          <cell r="J344">
            <v>1</v>
          </cell>
          <cell r="K344">
            <v>41873</v>
          </cell>
          <cell r="L344">
            <v>105148</v>
          </cell>
          <cell r="M344">
            <v>7093.650599999999</v>
          </cell>
          <cell r="N344">
            <v>111661.33333333333</v>
          </cell>
          <cell r="O344">
            <v>223902.98393333331</v>
          </cell>
          <cell r="P344">
            <v>0</v>
          </cell>
          <cell r="Q344">
            <v>0</v>
          </cell>
          <cell r="R344">
            <v>111661.33333333333</v>
          </cell>
          <cell r="S344">
            <v>223902.98393333331</v>
          </cell>
          <cell r="T344">
            <v>10343</v>
          </cell>
          <cell r="U344">
            <v>41873</v>
          </cell>
          <cell r="V344">
            <v>105148</v>
          </cell>
        </row>
        <row r="345">
          <cell r="G345">
            <v>16.8</v>
          </cell>
          <cell r="J345">
            <v>1</v>
          </cell>
          <cell r="K345">
            <v>41873</v>
          </cell>
          <cell r="L345">
            <v>123827</v>
          </cell>
          <cell r="M345">
            <v>11034.567599999998</v>
          </cell>
          <cell r="N345">
            <v>111661.33333333333</v>
          </cell>
          <cell r="O345">
            <v>246522.90093333332</v>
          </cell>
          <cell r="P345">
            <v>0</v>
          </cell>
          <cell r="Q345">
            <v>0</v>
          </cell>
          <cell r="R345">
            <v>111661.33333333333</v>
          </cell>
          <cell r="S345">
            <v>246522.90093333332</v>
          </cell>
          <cell r="T345">
            <v>16089</v>
          </cell>
          <cell r="U345">
            <v>41873</v>
          </cell>
          <cell r="V345">
            <v>123827</v>
          </cell>
        </row>
        <row r="346">
          <cell r="K346">
            <v>0</v>
          </cell>
          <cell r="L346">
            <v>0</v>
          </cell>
          <cell r="N346">
            <v>0</v>
          </cell>
          <cell r="O346">
            <v>0</v>
          </cell>
          <cell r="P346">
            <v>0</v>
          </cell>
          <cell r="Q346">
            <v>0</v>
          </cell>
          <cell r="R346">
            <v>0</v>
          </cell>
          <cell r="S346">
            <v>0</v>
          </cell>
        </row>
        <row r="347">
          <cell r="G347">
            <v>92.4</v>
          </cell>
          <cell r="J347">
            <v>1</v>
          </cell>
          <cell r="K347">
            <v>98673</v>
          </cell>
          <cell r="L347">
            <v>1205980</v>
          </cell>
          <cell r="M347">
            <v>60690.121800000001</v>
          </cell>
          <cell r="N347">
            <v>263128</v>
          </cell>
          <cell r="O347">
            <v>1529798.1218000001</v>
          </cell>
          <cell r="P347">
            <v>0</v>
          </cell>
          <cell r="Q347">
            <v>0</v>
          </cell>
          <cell r="R347">
            <v>263128</v>
          </cell>
          <cell r="S347">
            <v>1529798.1218000001</v>
          </cell>
          <cell r="T347">
            <v>88487</v>
          </cell>
          <cell r="U347">
            <v>98673</v>
          </cell>
          <cell r="V347">
            <v>1205980</v>
          </cell>
        </row>
        <row r="348">
          <cell r="D348" t="str">
            <v>Trạm trộn bêtông 22m3/h</v>
          </cell>
          <cell r="E348" t="str">
            <v>concrete batching plant 22m3/h</v>
          </cell>
          <cell r="G348">
            <v>99</v>
          </cell>
          <cell r="J348">
            <v>1</v>
          </cell>
          <cell r="K348">
            <v>98673</v>
          </cell>
          <cell r="L348">
            <v>1293278</v>
          </cell>
          <cell r="M348">
            <v>65025.130499999999</v>
          </cell>
          <cell r="N348">
            <v>263128</v>
          </cell>
          <cell r="O348">
            <v>1621431.1305</v>
          </cell>
          <cell r="P348">
            <v>0</v>
          </cell>
          <cell r="Q348">
            <v>0</v>
          </cell>
          <cell r="R348">
            <v>263128</v>
          </cell>
          <cell r="S348">
            <v>1621431.1305</v>
          </cell>
          <cell r="T348">
            <v>94807</v>
          </cell>
          <cell r="U348">
            <v>98673</v>
          </cell>
          <cell r="V348">
            <v>1293278</v>
          </cell>
        </row>
        <row r="349">
          <cell r="D349" t="str">
            <v>Trạm trộn bêtông 25m3/h</v>
          </cell>
          <cell r="E349" t="str">
            <v>concrete batching plant 25m3/h</v>
          </cell>
          <cell r="G349">
            <v>115.5</v>
          </cell>
          <cell r="J349">
            <v>1</v>
          </cell>
          <cell r="K349">
            <v>98673</v>
          </cell>
          <cell r="L349">
            <v>1412114</v>
          </cell>
          <cell r="M349">
            <v>75862.652249999999</v>
          </cell>
          <cell r="N349">
            <v>263128</v>
          </cell>
          <cell r="O349">
            <v>1751104.65225</v>
          </cell>
          <cell r="P349">
            <v>0</v>
          </cell>
          <cell r="Q349">
            <v>0</v>
          </cell>
          <cell r="R349">
            <v>263128</v>
          </cell>
          <cell r="S349">
            <v>1751104.65225</v>
          </cell>
          <cell r="T349">
            <v>110609</v>
          </cell>
          <cell r="U349">
            <v>98673</v>
          </cell>
          <cell r="V349">
            <v>1412114</v>
          </cell>
        </row>
        <row r="350">
          <cell r="D350" t="str">
            <v>Trạm trộn bêtông 30m3/h</v>
          </cell>
          <cell r="E350" t="str">
            <v>concrete batching plant 30m3/h</v>
          </cell>
          <cell r="G350">
            <v>171.6</v>
          </cell>
          <cell r="J350">
            <v>1</v>
          </cell>
          <cell r="K350">
            <v>140546</v>
          </cell>
          <cell r="L350">
            <v>1610174</v>
          </cell>
          <cell r="M350">
            <v>112710.22619999998</v>
          </cell>
          <cell r="N350">
            <v>374789.33333333331</v>
          </cell>
          <cell r="O350">
            <v>2097673.5595333334</v>
          </cell>
          <cell r="P350">
            <v>2.573804348159082</v>
          </cell>
          <cell r="Q350">
            <v>290094.07027555362</v>
          </cell>
          <cell r="R350">
            <v>374789.33333333331</v>
          </cell>
          <cell r="S350">
            <v>2097673.5595333334</v>
          </cell>
          <cell r="T350">
            <v>164333</v>
          </cell>
          <cell r="U350">
            <v>140546</v>
          </cell>
          <cell r="V350">
            <v>1610174</v>
          </cell>
        </row>
        <row r="351">
          <cell r="D351" t="str">
            <v>Trạm trộn bêtông 50m3/h</v>
          </cell>
          <cell r="E351" t="str">
            <v>concrete batching plant 50m3/h</v>
          </cell>
          <cell r="G351">
            <v>198</v>
          </cell>
          <cell r="J351">
            <v>1</v>
          </cell>
          <cell r="K351">
            <v>140546</v>
          </cell>
          <cell r="L351">
            <v>2047058</v>
          </cell>
          <cell r="M351">
            <v>130050.261</v>
          </cell>
          <cell r="N351">
            <v>374789.33333333331</v>
          </cell>
          <cell r="O351">
            <v>2551897.5943333334</v>
          </cell>
          <cell r="P351">
            <v>186.32781287399999</v>
          </cell>
          <cell r="Q351">
            <v>24231980.695822857</v>
          </cell>
          <cell r="R351">
            <v>374789.33333333331</v>
          </cell>
          <cell r="S351">
            <v>2551897.5943333334</v>
          </cell>
          <cell r="T351">
            <v>189615</v>
          </cell>
          <cell r="U351">
            <v>140546</v>
          </cell>
          <cell r="V351">
            <v>2047058</v>
          </cell>
        </row>
        <row r="352">
          <cell r="G352">
            <v>265.2</v>
          </cell>
          <cell r="J352">
            <v>1</v>
          </cell>
          <cell r="K352">
            <v>140546</v>
          </cell>
          <cell r="L352">
            <v>2265500</v>
          </cell>
          <cell r="M352">
            <v>174188.53139999998</v>
          </cell>
          <cell r="N352">
            <v>374789.33333333331</v>
          </cell>
          <cell r="O352">
            <v>2814477.8647333332</v>
          </cell>
          <cell r="P352">
            <v>0</v>
          </cell>
          <cell r="Q352">
            <v>0</v>
          </cell>
          <cell r="R352">
            <v>374789.33333333331</v>
          </cell>
          <cell r="S352">
            <v>2814477.8647333332</v>
          </cell>
          <cell r="T352">
            <v>253969</v>
          </cell>
          <cell r="U352">
            <v>140546</v>
          </cell>
          <cell r="V352">
            <v>2265500</v>
          </cell>
        </row>
        <row r="353">
          <cell r="G353">
            <v>417.6</v>
          </cell>
          <cell r="J353">
            <v>1</v>
          </cell>
          <cell r="K353">
            <v>198532</v>
          </cell>
          <cell r="L353">
            <v>2866380</v>
          </cell>
          <cell r="M353">
            <v>274287.82319999998</v>
          </cell>
          <cell r="N353">
            <v>529418.66666666663</v>
          </cell>
          <cell r="O353">
            <v>3670086.4898666665</v>
          </cell>
          <cell r="P353">
            <v>0</v>
          </cell>
          <cell r="Q353">
            <v>0</v>
          </cell>
          <cell r="R353">
            <v>529418.66666666663</v>
          </cell>
          <cell r="S353">
            <v>3670086.4898666665</v>
          </cell>
          <cell r="T353">
            <v>399915</v>
          </cell>
          <cell r="U353">
            <v>198532</v>
          </cell>
          <cell r="V353">
            <v>2866380</v>
          </cell>
        </row>
        <row r="354">
          <cell r="D354" t="str">
            <v>Trạm trộn bêtông 125m3/h</v>
          </cell>
          <cell r="E354" t="str">
            <v>concrete batching plant 125m3/h</v>
          </cell>
          <cell r="G354">
            <v>445.5</v>
          </cell>
          <cell r="J354">
            <v>1</v>
          </cell>
          <cell r="K354">
            <v>198532</v>
          </cell>
          <cell r="L354">
            <v>4425817</v>
          </cell>
          <cell r="M354">
            <v>292613.08724999998</v>
          </cell>
          <cell r="N354">
            <v>529418.66666666663</v>
          </cell>
          <cell r="O354">
            <v>5247848.7539166668</v>
          </cell>
          <cell r="P354">
            <v>0</v>
          </cell>
          <cell r="Q354">
            <v>0</v>
          </cell>
          <cell r="R354">
            <v>529418.66666666663</v>
          </cell>
          <cell r="S354">
            <v>5247848.7539166668</v>
          </cell>
          <cell r="T354">
            <v>426633</v>
          </cell>
          <cell r="U354">
            <v>198532</v>
          </cell>
          <cell r="V354">
            <v>4425817</v>
          </cell>
        </row>
        <row r="355">
          <cell r="K355">
            <v>0</v>
          </cell>
          <cell r="L355">
            <v>0</v>
          </cell>
          <cell r="N355">
            <v>0</v>
          </cell>
          <cell r="O355">
            <v>0</v>
          </cell>
          <cell r="P355">
            <v>0</v>
          </cell>
          <cell r="Q355">
            <v>0</v>
          </cell>
          <cell r="R355">
            <v>0</v>
          </cell>
          <cell r="S355">
            <v>0</v>
          </cell>
        </row>
        <row r="356">
          <cell r="D356" t="str">
            <v>Máy bơm vữa ximăng</v>
          </cell>
          <cell r="E356" t="str">
            <v>mortar pump 2m3/h</v>
          </cell>
          <cell r="G356">
            <v>12.6</v>
          </cell>
          <cell r="J356">
            <v>1</v>
          </cell>
          <cell r="K356">
            <v>48658</v>
          </cell>
          <cell r="L356">
            <v>157819</v>
          </cell>
          <cell r="M356">
            <v>8275.925699999998</v>
          </cell>
          <cell r="N356">
            <v>129754.66666666666</v>
          </cell>
          <cell r="O356">
            <v>295849.59236666665</v>
          </cell>
          <cell r="P356">
            <v>132.55708600000003</v>
          </cell>
          <cell r="Q356">
            <v>1097032.5947445103</v>
          </cell>
          <cell r="R356">
            <v>129754.66666666666</v>
          </cell>
          <cell r="S356">
            <v>295849.59236666665</v>
          </cell>
          <cell r="T356">
            <v>12066</v>
          </cell>
          <cell r="U356">
            <v>48658</v>
          </cell>
          <cell r="V356">
            <v>157819</v>
          </cell>
        </row>
        <row r="357">
          <cell r="G357">
            <v>16.2</v>
          </cell>
          <cell r="J357">
            <v>1</v>
          </cell>
          <cell r="K357">
            <v>48658</v>
          </cell>
          <cell r="L357">
            <v>197722</v>
          </cell>
          <cell r="M357">
            <v>10640.475899999999</v>
          </cell>
          <cell r="N357">
            <v>129754.66666666666</v>
          </cell>
          <cell r="O357">
            <v>338117.14256666665</v>
          </cell>
          <cell r="P357">
            <v>0</v>
          </cell>
          <cell r="Q357">
            <v>0</v>
          </cell>
          <cell r="R357">
            <v>129754.66666666666</v>
          </cell>
          <cell r="S357">
            <v>338117.14256666665</v>
          </cell>
          <cell r="T357">
            <v>15514</v>
          </cell>
          <cell r="U357">
            <v>48658</v>
          </cell>
          <cell r="V357">
            <v>197722</v>
          </cell>
        </row>
        <row r="358">
          <cell r="G358">
            <v>19.8</v>
          </cell>
          <cell r="J358">
            <v>1</v>
          </cell>
          <cell r="K358">
            <v>90531</v>
          </cell>
          <cell r="L358">
            <v>253275</v>
          </cell>
          <cell r="M358">
            <v>13005.026099999999</v>
          </cell>
          <cell r="N358">
            <v>241416</v>
          </cell>
          <cell r="O358">
            <v>507696.02610000002</v>
          </cell>
          <cell r="P358">
            <v>0</v>
          </cell>
          <cell r="Q358">
            <v>0</v>
          </cell>
          <cell r="R358">
            <v>241416</v>
          </cell>
          <cell r="S358">
            <v>507696.02610000002</v>
          </cell>
          <cell r="T358">
            <v>18961</v>
          </cell>
          <cell r="U358">
            <v>90531</v>
          </cell>
          <cell r="V358">
            <v>253275</v>
          </cell>
        </row>
        <row r="359">
          <cell r="E359" t="str">
            <v>Mortar pump 9m3/h</v>
          </cell>
          <cell r="G359">
            <v>33.75</v>
          </cell>
          <cell r="J359">
            <v>1</v>
          </cell>
          <cell r="K359">
            <v>90531</v>
          </cell>
          <cell r="L359">
            <v>310489</v>
          </cell>
          <cell r="M359">
            <v>22167.658124999998</v>
          </cell>
          <cell r="N359">
            <v>241416</v>
          </cell>
          <cell r="O359">
            <v>574072.65812500007</v>
          </cell>
          <cell r="P359">
            <v>0</v>
          </cell>
          <cell r="Q359">
            <v>0</v>
          </cell>
          <cell r="R359">
            <v>241416</v>
          </cell>
          <cell r="S359">
            <v>574072.65812500007</v>
          </cell>
          <cell r="T359">
            <v>32321</v>
          </cell>
          <cell r="U359">
            <v>90531</v>
          </cell>
          <cell r="V359">
            <v>310489</v>
          </cell>
        </row>
        <row r="360">
          <cell r="E360" t="str">
            <v>mortar pump 32-50m3/h</v>
          </cell>
          <cell r="G360">
            <v>72</v>
          </cell>
          <cell r="J360">
            <v>1</v>
          </cell>
          <cell r="K360">
            <v>90531</v>
          </cell>
          <cell r="L360">
            <v>402431</v>
          </cell>
          <cell r="M360">
            <v>47291.004000000001</v>
          </cell>
          <cell r="N360">
            <v>241416</v>
          </cell>
          <cell r="O360">
            <v>691138.00399999996</v>
          </cell>
          <cell r="P360">
            <v>0</v>
          </cell>
          <cell r="Q360">
            <v>0</v>
          </cell>
          <cell r="R360">
            <v>241416</v>
          </cell>
          <cell r="S360">
            <v>691138.00399999996</v>
          </cell>
          <cell r="T360">
            <v>68951</v>
          </cell>
          <cell r="U360">
            <v>90531</v>
          </cell>
          <cell r="V360">
            <v>402431</v>
          </cell>
        </row>
        <row r="361">
          <cell r="K361">
            <v>0</v>
          </cell>
          <cell r="L361">
            <v>0</v>
          </cell>
          <cell r="N361">
            <v>0</v>
          </cell>
          <cell r="O361">
            <v>0</v>
          </cell>
          <cell r="P361">
            <v>0</v>
          </cell>
          <cell r="Q361">
            <v>0</v>
          </cell>
          <cell r="R361">
            <v>0</v>
          </cell>
          <cell r="S361">
            <v>0</v>
          </cell>
        </row>
        <row r="362">
          <cell r="D362" t="str">
            <v>Máy bơm BT 50m3/h</v>
          </cell>
          <cell r="E362" t="str">
            <v>concrete pump truck 50m3/h</v>
          </cell>
          <cell r="F362">
            <v>52.8</v>
          </cell>
          <cell r="J362">
            <v>1</v>
          </cell>
          <cell r="K362">
            <v>112242</v>
          </cell>
          <cell r="L362">
            <v>2006645</v>
          </cell>
          <cell r="M362">
            <v>768610.07999999984</v>
          </cell>
          <cell r="N362">
            <v>299312</v>
          </cell>
          <cell r="O362">
            <v>3074567.08</v>
          </cell>
          <cell r="P362">
            <v>859.7633307064433</v>
          </cell>
          <cell r="Q362">
            <v>660822762.39534569</v>
          </cell>
          <cell r="R362">
            <v>299312</v>
          </cell>
          <cell r="S362">
            <v>3074567.08</v>
          </cell>
          <cell r="T362">
            <v>377990</v>
          </cell>
          <cell r="U362">
            <v>112242</v>
          </cell>
          <cell r="V362">
            <v>2006645</v>
          </cell>
        </row>
        <row r="363">
          <cell r="F363">
            <v>60</v>
          </cell>
          <cell r="J363">
            <v>1</v>
          </cell>
          <cell r="K363">
            <v>112242</v>
          </cell>
          <cell r="L363">
            <v>2362924</v>
          </cell>
          <cell r="M363">
            <v>873420.54545454541</v>
          </cell>
          <cell r="N363">
            <v>299312</v>
          </cell>
          <cell r="O363">
            <v>3535656.5454545454</v>
          </cell>
          <cell r="P363">
            <v>0</v>
          </cell>
          <cell r="Q363">
            <v>0</v>
          </cell>
          <cell r="R363">
            <v>299312</v>
          </cell>
          <cell r="S363">
            <v>3535656.5454545454</v>
          </cell>
          <cell r="T363">
            <v>429534</v>
          </cell>
          <cell r="U363">
            <v>112242</v>
          </cell>
          <cell r="V363">
            <v>2362924</v>
          </cell>
        </row>
        <row r="364">
          <cell r="K364">
            <v>0</v>
          </cell>
          <cell r="L364">
            <v>0</v>
          </cell>
          <cell r="N364">
            <v>0</v>
          </cell>
          <cell r="O364">
            <v>0</v>
          </cell>
          <cell r="P364">
            <v>0</v>
          </cell>
          <cell r="Q364">
            <v>0</v>
          </cell>
          <cell r="R364">
            <v>0</v>
          </cell>
          <cell r="S364">
            <v>0</v>
          </cell>
        </row>
        <row r="365">
          <cell r="G365">
            <v>180.67500000000001</v>
          </cell>
          <cell r="J365">
            <v>1</v>
          </cell>
          <cell r="K365">
            <v>112242</v>
          </cell>
          <cell r="L365">
            <v>1443204</v>
          </cell>
          <cell r="M365">
            <v>118670.8631625</v>
          </cell>
          <cell r="N365">
            <v>299312</v>
          </cell>
          <cell r="O365">
            <v>1861186.8631625001</v>
          </cell>
          <cell r="P365">
            <v>0</v>
          </cell>
          <cell r="Q365">
            <v>0</v>
          </cell>
          <cell r="R365">
            <v>299312</v>
          </cell>
          <cell r="S365">
            <v>1861186.8631624999</v>
          </cell>
          <cell r="T365">
            <v>173028</v>
          </cell>
          <cell r="U365">
            <v>112242</v>
          </cell>
          <cell r="V365">
            <v>1443204</v>
          </cell>
        </row>
        <row r="366">
          <cell r="G366">
            <v>247.5</v>
          </cell>
          <cell r="J366">
            <v>1</v>
          </cell>
          <cell r="K366">
            <v>112242</v>
          </cell>
          <cell r="L366">
            <v>2019541</v>
          </cell>
          <cell r="M366">
            <v>162562.82624999998</v>
          </cell>
          <cell r="N366">
            <v>299312</v>
          </cell>
          <cell r="O366">
            <v>2481415.8262499999</v>
          </cell>
          <cell r="P366">
            <v>0</v>
          </cell>
          <cell r="Q366">
            <v>0</v>
          </cell>
          <cell r="R366">
            <v>299312</v>
          </cell>
          <cell r="S366">
            <v>2481415.8262499999</v>
          </cell>
          <cell r="T366">
            <v>237018</v>
          </cell>
          <cell r="U366">
            <v>112242</v>
          </cell>
          <cell r="V366">
            <v>2019541</v>
          </cell>
        </row>
        <row r="367">
          <cell r="K367">
            <v>0</v>
          </cell>
          <cell r="L367">
            <v>0</v>
          </cell>
          <cell r="N367">
            <v>0</v>
          </cell>
          <cell r="O367">
            <v>0</v>
          </cell>
          <cell r="P367">
            <v>0</v>
          </cell>
          <cell r="Q367">
            <v>0</v>
          </cell>
          <cell r="R367">
            <v>0</v>
          </cell>
          <cell r="S367">
            <v>0</v>
          </cell>
        </row>
        <row r="368">
          <cell r="G368">
            <v>54</v>
          </cell>
          <cell r="J368">
            <v>1</v>
          </cell>
          <cell r="K368">
            <v>198532</v>
          </cell>
          <cell r="L368">
            <v>1434879</v>
          </cell>
          <cell r="M368">
            <v>35468.252999999997</v>
          </cell>
          <cell r="N368">
            <v>529418.66666666663</v>
          </cell>
          <cell r="O368">
            <v>1999765.9196666665</v>
          </cell>
          <cell r="P368">
            <v>0</v>
          </cell>
          <cell r="Q368">
            <v>0</v>
          </cell>
          <cell r="R368">
            <v>529418.66666666663</v>
          </cell>
          <cell r="S368">
            <v>1999765.9196666665</v>
          </cell>
          <cell r="T368">
            <v>51713</v>
          </cell>
          <cell r="U368">
            <v>198532</v>
          </cell>
          <cell r="V368">
            <v>1434879</v>
          </cell>
        </row>
        <row r="369">
          <cell r="G369">
            <v>429</v>
          </cell>
          <cell r="J369">
            <v>1</v>
          </cell>
          <cell r="K369">
            <v>255332</v>
          </cell>
          <cell r="L369">
            <v>3927794</v>
          </cell>
          <cell r="M369">
            <v>281775.56549999997</v>
          </cell>
          <cell r="N369">
            <v>680885.33333333326</v>
          </cell>
          <cell r="O369">
            <v>4890454.8988333326</v>
          </cell>
          <cell r="P369">
            <v>0</v>
          </cell>
          <cell r="Q369">
            <v>0</v>
          </cell>
          <cell r="R369">
            <v>680885.33333333326</v>
          </cell>
          <cell r="S369">
            <v>4890454.8988333335</v>
          </cell>
          <cell r="T369">
            <v>410832</v>
          </cell>
          <cell r="U369">
            <v>255332</v>
          </cell>
          <cell r="V369">
            <v>3927794</v>
          </cell>
        </row>
        <row r="370">
          <cell r="D370" t="str">
            <v>Máy trải bêtông SP.500</v>
          </cell>
          <cell r="E370" t="str">
            <v>concrete paver SP.500</v>
          </cell>
          <cell r="F370">
            <v>72.599999999999994</v>
          </cell>
          <cell r="J370">
            <v>1</v>
          </cell>
          <cell r="K370">
            <v>206674</v>
          </cell>
          <cell r="L370">
            <v>4741505</v>
          </cell>
          <cell r="M370">
            <v>1056838.8599999999</v>
          </cell>
          <cell r="N370">
            <v>551130.66666666663</v>
          </cell>
          <cell r="O370">
            <v>6349474.5266666664</v>
          </cell>
          <cell r="P370">
            <v>0</v>
          </cell>
          <cell r="Q370">
            <v>0</v>
          </cell>
          <cell r="R370">
            <v>551130.66666666663</v>
          </cell>
          <cell r="S370">
            <v>6349474.5266666664</v>
          </cell>
          <cell r="T370">
            <v>519736</v>
          </cell>
          <cell r="U370">
            <v>206674</v>
          </cell>
          <cell r="V370">
            <v>4741505</v>
          </cell>
        </row>
        <row r="371">
          <cell r="K371">
            <v>0</v>
          </cell>
          <cell r="L371">
            <v>0</v>
          </cell>
          <cell r="N371">
            <v>0</v>
          </cell>
          <cell r="O371">
            <v>0</v>
          </cell>
          <cell r="P371">
            <v>0</v>
          </cell>
          <cell r="Q371">
            <v>0</v>
          </cell>
          <cell r="R371">
            <v>0</v>
          </cell>
          <cell r="S371">
            <v>0</v>
          </cell>
        </row>
        <row r="372">
          <cell r="G372">
            <v>1.8</v>
          </cell>
          <cell r="J372">
            <v>1</v>
          </cell>
          <cell r="K372">
            <v>41873</v>
          </cell>
          <cell r="L372">
            <v>46308</v>
          </cell>
          <cell r="M372">
            <v>1182.2750999999998</v>
          </cell>
          <cell r="N372">
            <v>111661.33333333333</v>
          </cell>
          <cell r="O372">
            <v>159151.60843333334</v>
          </cell>
          <cell r="P372">
            <v>0</v>
          </cell>
          <cell r="Q372">
            <v>0</v>
          </cell>
          <cell r="R372">
            <v>111661.33333333333</v>
          </cell>
          <cell r="S372">
            <v>159151.60843333334</v>
          </cell>
          <cell r="T372">
            <v>1724</v>
          </cell>
          <cell r="U372">
            <v>41873</v>
          </cell>
          <cell r="V372">
            <v>46308</v>
          </cell>
        </row>
        <row r="373">
          <cell r="G373">
            <v>2.7</v>
          </cell>
          <cell r="J373">
            <v>1</v>
          </cell>
          <cell r="K373">
            <v>41873</v>
          </cell>
          <cell r="L373">
            <v>47899</v>
          </cell>
          <cell r="M373">
            <v>1773.4126499999998</v>
          </cell>
          <cell r="N373">
            <v>111661.33333333333</v>
          </cell>
          <cell r="O373">
            <v>161333.74598333333</v>
          </cell>
          <cell r="P373">
            <v>0</v>
          </cell>
          <cell r="Q373">
            <v>0</v>
          </cell>
          <cell r="R373">
            <v>111661.33333333333</v>
          </cell>
          <cell r="S373">
            <v>161333.74598333333</v>
          </cell>
          <cell r="T373">
            <v>2586</v>
          </cell>
          <cell r="U373">
            <v>41873</v>
          </cell>
          <cell r="V373">
            <v>47899</v>
          </cell>
        </row>
        <row r="374">
          <cell r="G374">
            <v>3.6</v>
          </cell>
          <cell r="J374">
            <v>1</v>
          </cell>
          <cell r="K374">
            <v>41873</v>
          </cell>
          <cell r="L374">
            <v>49488</v>
          </cell>
          <cell r="M374">
            <v>2364.5501999999997</v>
          </cell>
          <cell r="N374">
            <v>111661.33333333333</v>
          </cell>
          <cell r="O374">
            <v>163513.88353333331</v>
          </cell>
          <cell r="P374">
            <v>0</v>
          </cell>
          <cell r="Q374">
            <v>0</v>
          </cell>
          <cell r="R374">
            <v>111661.33333333333</v>
          </cell>
          <cell r="S374">
            <v>163513.88353333331</v>
          </cell>
          <cell r="T374">
            <v>3448</v>
          </cell>
          <cell r="U374">
            <v>41873</v>
          </cell>
          <cell r="V374">
            <v>49488</v>
          </cell>
        </row>
        <row r="375">
          <cell r="E375" t="str">
            <v>concrete plate compactor 1kW</v>
          </cell>
          <cell r="G375">
            <v>4.5</v>
          </cell>
          <cell r="J375">
            <v>1</v>
          </cell>
          <cell r="K375">
            <v>41873</v>
          </cell>
          <cell r="L375">
            <v>50799</v>
          </cell>
          <cell r="M375">
            <v>2955.6877500000001</v>
          </cell>
          <cell r="N375">
            <v>111661.33333333333</v>
          </cell>
          <cell r="O375">
            <v>165416.02108333333</v>
          </cell>
          <cell r="P375">
            <v>0</v>
          </cell>
          <cell r="Q375">
            <v>0</v>
          </cell>
          <cell r="R375">
            <v>111661.33333333333</v>
          </cell>
          <cell r="S375">
            <v>165416.02108333333</v>
          </cell>
          <cell r="T375">
            <v>4309</v>
          </cell>
          <cell r="U375">
            <v>41873</v>
          </cell>
          <cell r="V375">
            <v>50799</v>
          </cell>
        </row>
        <row r="376">
          <cell r="K376">
            <v>0</v>
          </cell>
          <cell r="L376">
            <v>0</v>
          </cell>
          <cell r="N376">
            <v>0</v>
          </cell>
          <cell r="O376">
            <v>0</v>
          </cell>
          <cell r="P376">
            <v>0</v>
          </cell>
          <cell r="Q376">
            <v>0</v>
          </cell>
          <cell r="R376">
            <v>0</v>
          </cell>
          <cell r="S376">
            <v>0</v>
          </cell>
        </row>
        <row r="377">
          <cell r="E377" t="str">
            <v>concrete compactor 1kW</v>
          </cell>
          <cell r="G377">
            <v>4.5</v>
          </cell>
          <cell r="J377">
            <v>1</v>
          </cell>
          <cell r="K377">
            <v>41873</v>
          </cell>
          <cell r="L377">
            <v>50073</v>
          </cell>
          <cell r="M377">
            <v>2955.6877500000001</v>
          </cell>
          <cell r="N377">
            <v>111661.33333333333</v>
          </cell>
          <cell r="O377">
            <v>164690.02108333333</v>
          </cell>
          <cell r="P377">
            <v>0</v>
          </cell>
          <cell r="Q377">
            <v>0</v>
          </cell>
          <cell r="R377">
            <v>111661.33333333333</v>
          </cell>
          <cell r="S377">
            <v>164690.02108333333</v>
          </cell>
          <cell r="T377">
            <v>4309</v>
          </cell>
          <cell r="U377">
            <v>41873</v>
          </cell>
          <cell r="V377">
            <v>50073</v>
          </cell>
        </row>
        <row r="378">
          <cell r="K378">
            <v>0</v>
          </cell>
          <cell r="L378">
            <v>0</v>
          </cell>
          <cell r="N378">
            <v>0</v>
          </cell>
          <cell r="O378">
            <v>0</v>
          </cell>
          <cell r="P378">
            <v>0</v>
          </cell>
          <cell r="Q378">
            <v>0</v>
          </cell>
          <cell r="R378">
            <v>0</v>
          </cell>
          <cell r="S378">
            <v>0</v>
          </cell>
        </row>
        <row r="379">
          <cell r="G379">
            <v>2.7</v>
          </cell>
          <cell r="J379">
            <v>1</v>
          </cell>
          <cell r="K379">
            <v>41873</v>
          </cell>
          <cell r="L379">
            <v>48122</v>
          </cell>
          <cell r="M379">
            <v>1773.4126499999998</v>
          </cell>
          <cell r="N379">
            <v>111661.33333333333</v>
          </cell>
          <cell r="O379">
            <v>161556.74598333333</v>
          </cell>
          <cell r="P379">
            <v>0</v>
          </cell>
          <cell r="Q379">
            <v>0</v>
          </cell>
          <cell r="R379">
            <v>111661.33333333333</v>
          </cell>
          <cell r="S379">
            <v>161556.74598333333</v>
          </cell>
          <cell r="T379">
            <v>2586</v>
          </cell>
          <cell r="U379">
            <v>41873</v>
          </cell>
          <cell r="V379">
            <v>48122</v>
          </cell>
        </row>
        <row r="380">
          <cell r="G380">
            <v>3.6</v>
          </cell>
          <cell r="J380">
            <v>1</v>
          </cell>
          <cell r="K380">
            <v>41873</v>
          </cell>
          <cell r="L380">
            <v>50653</v>
          </cell>
          <cell r="M380">
            <v>2364.5501999999997</v>
          </cell>
          <cell r="N380">
            <v>111661.33333333333</v>
          </cell>
          <cell r="O380">
            <v>164678.88353333331</v>
          </cell>
          <cell r="P380">
            <v>0</v>
          </cell>
          <cell r="Q380">
            <v>0</v>
          </cell>
          <cell r="R380">
            <v>111661.33333333333</v>
          </cell>
          <cell r="S380">
            <v>164678.88353333331</v>
          </cell>
          <cell r="T380">
            <v>3448</v>
          </cell>
          <cell r="U380">
            <v>41873</v>
          </cell>
          <cell r="V380">
            <v>50653</v>
          </cell>
        </row>
        <row r="381">
          <cell r="D381" t="str">
            <v>Máy đầm bàn 1KW</v>
          </cell>
          <cell r="E381" t="str">
            <v>concrete vibrating compactor 1Kw</v>
          </cell>
          <cell r="G381">
            <v>4.5</v>
          </cell>
          <cell r="J381">
            <v>1</v>
          </cell>
          <cell r="K381">
            <v>41873</v>
          </cell>
          <cell r="L381">
            <v>50799</v>
          </cell>
          <cell r="M381">
            <v>2955.6877500000001</v>
          </cell>
          <cell r="N381">
            <v>111661.33333333333</v>
          </cell>
          <cell r="O381">
            <v>165416.02108333333</v>
          </cell>
          <cell r="P381">
            <v>17.079612640000001</v>
          </cell>
          <cell r="Q381">
            <v>50482.001854793161</v>
          </cell>
          <cell r="R381">
            <v>111661.33333333333</v>
          </cell>
          <cell r="S381">
            <v>165416.02108333333</v>
          </cell>
          <cell r="T381">
            <v>4309</v>
          </cell>
          <cell r="U381">
            <v>41873</v>
          </cell>
          <cell r="V381">
            <v>50799</v>
          </cell>
        </row>
        <row r="382">
          <cell r="D382" t="str">
            <v>Máy đầm dùi 1.5KW</v>
          </cell>
          <cell r="E382" t="str">
            <v>concrete vibrating compactor 1.5Kw</v>
          </cell>
          <cell r="G382">
            <v>6.75</v>
          </cell>
          <cell r="J382">
            <v>1</v>
          </cell>
          <cell r="K382">
            <v>41873</v>
          </cell>
          <cell r="L382">
            <v>54629</v>
          </cell>
          <cell r="M382">
            <v>4433.5316249999996</v>
          </cell>
          <cell r="N382">
            <v>111661.33333333333</v>
          </cell>
          <cell r="O382">
            <v>170723.86495833332</v>
          </cell>
          <cell r="P382">
            <v>1581.4592755328326</v>
          </cell>
          <cell r="Q382">
            <v>7011449.7117244015</v>
          </cell>
          <cell r="R382">
            <v>111661.33333333333</v>
          </cell>
          <cell r="S382">
            <v>170723.86495833332</v>
          </cell>
          <cell r="T382">
            <v>6464</v>
          </cell>
          <cell r="U382">
            <v>41873</v>
          </cell>
          <cell r="V382">
            <v>54629</v>
          </cell>
        </row>
        <row r="383">
          <cell r="D383" t="str">
            <v>Máy đầm dùi 2.8KW</v>
          </cell>
          <cell r="E383" t="str">
            <v>concrete vibrating compactor 1.8Kw</v>
          </cell>
          <cell r="G383">
            <v>12.6</v>
          </cell>
          <cell r="J383">
            <v>1</v>
          </cell>
          <cell r="K383">
            <v>41873</v>
          </cell>
          <cell r="L383">
            <v>62066</v>
          </cell>
          <cell r="M383">
            <v>8275.925699999998</v>
          </cell>
          <cell r="N383">
            <v>111661.33333333333</v>
          </cell>
          <cell r="O383">
            <v>182003.25903333334</v>
          </cell>
          <cell r="P383">
            <v>0</v>
          </cell>
          <cell r="Q383">
            <v>0</v>
          </cell>
          <cell r="R383">
            <v>111661.33333333333</v>
          </cell>
          <cell r="S383">
            <v>182003.25903333334</v>
          </cell>
          <cell r="T383">
            <v>12066</v>
          </cell>
          <cell r="U383">
            <v>41873</v>
          </cell>
          <cell r="V383">
            <v>62066</v>
          </cell>
        </row>
        <row r="384">
          <cell r="E384" t="str">
            <v>Hand poker vibrator 3.5Kw</v>
          </cell>
          <cell r="G384">
            <v>15.75</v>
          </cell>
          <cell r="J384">
            <v>1</v>
          </cell>
          <cell r="K384">
            <v>41873</v>
          </cell>
          <cell r="L384">
            <v>75621</v>
          </cell>
          <cell r="M384">
            <v>10344.907125</v>
          </cell>
          <cell r="N384">
            <v>111661.33333333333</v>
          </cell>
          <cell r="O384">
            <v>197627.24045833334</v>
          </cell>
          <cell r="P384">
            <v>0</v>
          </cell>
          <cell r="Q384">
            <v>0</v>
          </cell>
          <cell r="R384">
            <v>111661.33333333333</v>
          </cell>
          <cell r="S384">
            <v>197627.24045833334</v>
          </cell>
          <cell r="T384">
            <v>15083</v>
          </cell>
          <cell r="U384">
            <v>41873</v>
          </cell>
          <cell r="V384">
            <v>75621</v>
          </cell>
        </row>
        <row r="385">
          <cell r="K385">
            <v>0</v>
          </cell>
          <cell r="L385">
            <v>0</v>
          </cell>
          <cell r="N385">
            <v>0</v>
          </cell>
          <cell r="O385">
            <v>0</v>
          </cell>
          <cell r="P385">
            <v>0</v>
          </cell>
          <cell r="Q385">
            <v>0</v>
          </cell>
          <cell r="R385">
            <v>0</v>
          </cell>
          <cell r="S385">
            <v>0</v>
          </cell>
        </row>
        <row r="386">
          <cell r="G386">
            <v>29.4</v>
          </cell>
          <cell r="J386">
            <v>1</v>
          </cell>
          <cell r="K386">
            <v>41873</v>
          </cell>
          <cell r="L386">
            <v>77353</v>
          </cell>
          <cell r="M386">
            <v>19310.493299999995</v>
          </cell>
          <cell r="N386">
            <v>111661.33333333333</v>
          </cell>
          <cell r="O386">
            <v>208324.82663333334</v>
          </cell>
          <cell r="P386">
            <v>0</v>
          </cell>
          <cell r="Q386">
            <v>0</v>
          </cell>
          <cell r="R386">
            <v>111661.33333333333</v>
          </cell>
          <cell r="S386">
            <v>208324.82663333332</v>
          </cell>
          <cell r="T386">
            <v>28155</v>
          </cell>
          <cell r="U386">
            <v>41873</v>
          </cell>
          <cell r="V386">
            <v>77353</v>
          </cell>
        </row>
        <row r="387">
          <cell r="G387">
            <v>75.599999999999994</v>
          </cell>
          <cell r="J387">
            <v>1</v>
          </cell>
          <cell r="K387">
            <v>48658</v>
          </cell>
          <cell r="L387">
            <v>132346</v>
          </cell>
          <cell r="M387">
            <v>49655.554199999991</v>
          </cell>
          <cell r="N387">
            <v>129754.66666666666</v>
          </cell>
          <cell r="O387">
            <v>311756.22086666664</v>
          </cell>
          <cell r="P387">
            <v>0</v>
          </cell>
          <cell r="Q387">
            <v>0</v>
          </cell>
          <cell r="R387">
            <v>129754.66666666666</v>
          </cell>
          <cell r="S387">
            <v>311756.22086666664</v>
          </cell>
          <cell r="T387">
            <v>72398</v>
          </cell>
          <cell r="U387">
            <v>48658</v>
          </cell>
          <cell r="V387">
            <v>132346</v>
          </cell>
        </row>
        <row r="388">
          <cell r="G388">
            <v>96.6</v>
          </cell>
          <cell r="J388">
            <v>1</v>
          </cell>
          <cell r="K388">
            <v>48658</v>
          </cell>
          <cell r="L388">
            <v>155215</v>
          </cell>
          <cell r="M388">
            <v>63448.763699999989</v>
          </cell>
          <cell r="N388">
            <v>129754.66666666666</v>
          </cell>
          <cell r="O388">
            <v>348418.43036666664</v>
          </cell>
          <cell r="P388">
            <v>0</v>
          </cell>
          <cell r="Q388">
            <v>0</v>
          </cell>
          <cell r="R388">
            <v>129754.66666666666</v>
          </cell>
          <cell r="S388">
            <v>348418.43036666664</v>
          </cell>
          <cell r="T388">
            <v>92509</v>
          </cell>
          <cell r="U388">
            <v>48658</v>
          </cell>
          <cell r="V388">
            <v>155215</v>
          </cell>
        </row>
        <row r="389">
          <cell r="K389">
            <v>0</v>
          </cell>
          <cell r="L389">
            <v>0</v>
          </cell>
          <cell r="N389">
            <v>0</v>
          </cell>
          <cell r="O389">
            <v>0</v>
          </cell>
          <cell r="P389">
            <v>0</v>
          </cell>
          <cell r="Q389">
            <v>0</v>
          </cell>
          <cell r="R389">
            <v>0</v>
          </cell>
          <cell r="S389">
            <v>0</v>
          </cell>
        </row>
        <row r="390">
          <cell r="G390">
            <v>63</v>
          </cell>
          <cell r="J390">
            <v>1</v>
          </cell>
          <cell r="K390">
            <v>90531</v>
          </cell>
          <cell r="L390">
            <v>542142</v>
          </cell>
          <cell r="M390">
            <v>41379.628499999999</v>
          </cell>
          <cell r="N390">
            <v>241416</v>
          </cell>
          <cell r="O390">
            <v>824937.62849999999</v>
          </cell>
          <cell r="P390">
            <v>0</v>
          </cell>
          <cell r="Q390">
            <v>0</v>
          </cell>
          <cell r="R390">
            <v>241416</v>
          </cell>
          <cell r="S390">
            <v>824937.62849999999</v>
          </cell>
          <cell r="T390">
            <v>60332</v>
          </cell>
          <cell r="U390">
            <v>90531</v>
          </cell>
          <cell r="V390">
            <v>542142</v>
          </cell>
        </row>
        <row r="391">
          <cell r="G391">
            <v>315</v>
          </cell>
          <cell r="J391">
            <v>1</v>
          </cell>
          <cell r="K391">
            <v>90531</v>
          </cell>
          <cell r="L391">
            <v>1586413</v>
          </cell>
          <cell r="M391">
            <v>206898.14249999999</v>
          </cell>
          <cell r="N391">
            <v>241416</v>
          </cell>
          <cell r="O391">
            <v>2034727.1425000001</v>
          </cell>
          <cell r="P391">
            <v>0</v>
          </cell>
          <cell r="Q391">
            <v>0</v>
          </cell>
          <cell r="R391">
            <v>241416</v>
          </cell>
          <cell r="S391">
            <v>2034727.1425000001</v>
          </cell>
          <cell r="T391">
            <v>301660</v>
          </cell>
          <cell r="U391">
            <v>90531</v>
          </cell>
          <cell r="V391">
            <v>1586413</v>
          </cell>
        </row>
        <row r="392">
          <cell r="G392">
            <v>357</v>
          </cell>
          <cell r="J392">
            <v>1</v>
          </cell>
          <cell r="K392">
            <v>132404</v>
          </cell>
          <cell r="L392">
            <v>1875997</v>
          </cell>
          <cell r="M392">
            <v>234484.56149999995</v>
          </cell>
          <cell r="N392">
            <v>353077.33333333331</v>
          </cell>
          <cell r="O392">
            <v>2463558.8948333333</v>
          </cell>
          <cell r="P392">
            <v>0</v>
          </cell>
          <cell r="Q392">
            <v>0</v>
          </cell>
          <cell r="R392">
            <v>353077.33333333331</v>
          </cell>
          <cell r="S392">
            <v>2463558.8948333333</v>
          </cell>
          <cell r="T392">
            <v>341881</v>
          </cell>
          <cell r="U392">
            <v>132404</v>
          </cell>
          <cell r="V392">
            <v>1875997</v>
          </cell>
        </row>
        <row r="393">
          <cell r="G393">
            <v>630</v>
          </cell>
          <cell r="J393">
            <v>1</v>
          </cell>
          <cell r="K393">
            <v>132404</v>
          </cell>
          <cell r="L393">
            <v>5290232</v>
          </cell>
          <cell r="M393">
            <v>413796.28499999997</v>
          </cell>
          <cell r="N393">
            <v>353077.33333333331</v>
          </cell>
          <cell r="O393">
            <v>6057105.6183333332</v>
          </cell>
          <cell r="P393">
            <v>0</v>
          </cell>
          <cell r="Q393">
            <v>0</v>
          </cell>
          <cell r="R393">
            <v>353077.33333333331</v>
          </cell>
          <cell r="S393">
            <v>6057105.6183333332</v>
          </cell>
          <cell r="T393">
            <v>603320</v>
          </cell>
          <cell r="U393">
            <v>132404</v>
          </cell>
          <cell r="V393">
            <v>5290232</v>
          </cell>
        </row>
        <row r="394">
          <cell r="K394">
            <v>0</v>
          </cell>
          <cell r="L394">
            <v>0</v>
          </cell>
          <cell r="N394">
            <v>0</v>
          </cell>
          <cell r="O394">
            <v>0</v>
          </cell>
          <cell r="P394">
            <v>0</v>
          </cell>
          <cell r="Q394">
            <v>0</v>
          </cell>
          <cell r="R394">
            <v>0</v>
          </cell>
          <cell r="S394">
            <v>0</v>
          </cell>
        </row>
        <row r="395">
          <cell r="G395">
            <v>134.4</v>
          </cell>
          <cell r="J395">
            <v>1</v>
          </cell>
          <cell r="K395">
            <v>90531</v>
          </cell>
          <cell r="L395">
            <v>249676</v>
          </cell>
          <cell r="M395">
            <v>88276.540799999988</v>
          </cell>
          <cell r="N395">
            <v>241416</v>
          </cell>
          <cell r="O395">
            <v>579368.54079999996</v>
          </cell>
          <cell r="P395">
            <v>0</v>
          </cell>
          <cell r="Q395">
            <v>0</v>
          </cell>
          <cell r="R395">
            <v>241416</v>
          </cell>
          <cell r="S395">
            <v>579368.54079999996</v>
          </cell>
          <cell r="T395">
            <v>128708</v>
          </cell>
          <cell r="U395">
            <v>90531</v>
          </cell>
          <cell r="V395">
            <v>249676</v>
          </cell>
        </row>
        <row r="396">
          <cell r="G396">
            <v>840</v>
          </cell>
          <cell r="J396">
            <v>1</v>
          </cell>
          <cell r="K396">
            <v>262117</v>
          </cell>
          <cell r="L396">
            <v>1728497</v>
          </cell>
          <cell r="M396">
            <v>551728.38</v>
          </cell>
          <cell r="N396">
            <v>698978.66666666663</v>
          </cell>
          <cell r="O396">
            <v>2979204.0466666664</v>
          </cell>
          <cell r="P396">
            <v>0</v>
          </cell>
          <cell r="Q396">
            <v>0</v>
          </cell>
          <cell r="R396">
            <v>698978.66666666663</v>
          </cell>
          <cell r="S396">
            <v>2979204.0466666669</v>
          </cell>
          <cell r="T396">
            <v>804426</v>
          </cell>
          <cell r="U396">
            <v>262117</v>
          </cell>
          <cell r="V396">
            <v>1728497</v>
          </cell>
        </row>
        <row r="397">
          <cell r="K397">
            <v>0</v>
          </cell>
          <cell r="L397">
            <v>0</v>
          </cell>
          <cell r="N397">
            <v>0</v>
          </cell>
          <cell r="O397">
            <v>0</v>
          </cell>
          <cell r="P397">
            <v>0</v>
          </cell>
          <cell r="Q397">
            <v>0</v>
          </cell>
          <cell r="R397">
            <v>0</v>
          </cell>
          <cell r="S397">
            <v>0</v>
          </cell>
        </row>
        <row r="398">
          <cell r="D398" t="str">
            <v>Trạm trộn BTN 25T/h</v>
          </cell>
          <cell r="E398" t="str">
            <v>asphalt batch mix plant 25T/h</v>
          </cell>
          <cell r="G398">
            <v>210</v>
          </cell>
          <cell r="J398">
            <v>1</v>
          </cell>
          <cell r="K398">
            <v>598652</v>
          </cell>
          <cell r="L398">
            <v>10266496</v>
          </cell>
          <cell r="M398">
            <v>137932.095</v>
          </cell>
          <cell r="N398">
            <v>1596405.3333333333</v>
          </cell>
          <cell r="O398">
            <v>12000833.428333335</v>
          </cell>
          <cell r="P398">
            <v>0</v>
          </cell>
          <cell r="Q398">
            <v>0</v>
          </cell>
          <cell r="R398">
            <v>1596405.3333333333</v>
          </cell>
          <cell r="S398">
            <v>12000833.428333333</v>
          </cell>
          <cell r="T398">
            <v>8881604</v>
          </cell>
          <cell r="U398">
            <v>598652</v>
          </cell>
          <cell r="V398">
            <v>10266496</v>
          </cell>
        </row>
        <row r="399">
          <cell r="D399" t="str">
            <v>Trạm trộn BTN 30T/h</v>
          </cell>
          <cell r="G399">
            <v>234</v>
          </cell>
          <cell r="J399">
            <v>1</v>
          </cell>
          <cell r="K399">
            <v>598652</v>
          </cell>
          <cell r="L399">
            <v>11438784</v>
          </cell>
          <cell r="M399">
            <v>153695.76299999998</v>
          </cell>
          <cell r="N399">
            <v>1596405.3333333333</v>
          </cell>
          <cell r="O399">
            <v>13188885.096333334</v>
          </cell>
          <cell r="P399">
            <v>0</v>
          </cell>
          <cell r="Q399">
            <v>0</v>
          </cell>
          <cell r="R399">
            <v>1596405.3333333333</v>
          </cell>
          <cell r="S399">
            <v>13188885.096333332</v>
          </cell>
          <cell r="T399">
            <v>9896644</v>
          </cell>
          <cell r="U399">
            <v>598652</v>
          </cell>
          <cell r="V399">
            <v>11438784</v>
          </cell>
        </row>
        <row r="400">
          <cell r="G400">
            <v>264</v>
          </cell>
          <cell r="J400">
            <v>1</v>
          </cell>
          <cell r="K400">
            <v>745983</v>
          </cell>
          <cell r="L400">
            <v>12961619</v>
          </cell>
          <cell r="M400">
            <v>173400.34799999997</v>
          </cell>
          <cell r="N400">
            <v>1989288</v>
          </cell>
          <cell r="O400">
            <v>15124307.347999999</v>
          </cell>
          <cell r="P400">
            <v>0</v>
          </cell>
          <cell r="Q400">
            <v>0</v>
          </cell>
          <cell r="R400">
            <v>1989288</v>
          </cell>
          <cell r="S400">
            <v>15124307.347999999</v>
          </cell>
          <cell r="T400">
            <v>11165444</v>
          </cell>
          <cell r="U400">
            <v>745983</v>
          </cell>
          <cell r="V400">
            <v>12961619</v>
          </cell>
        </row>
        <row r="401">
          <cell r="G401">
            <v>300</v>
          </cell>
          <cell r="J401">
            <v>1</v>
          </cell>
          <cell r="K401">
            <v>745983</v>
          </cell>
          <cell r="L401">
            <v>14514852</v>
          </cell>
          <cell r="M401">
            <v>197045.84999999998</v>
          </cell>
          <cell r="N401">
            <v>1989288</v>
          </cell>
          <cell r="O401">
            <v>16701185.85</v>
          </cell>
          <cell r="P401">
            <v>0</v>
          </cell>
          <cell r="Q401">
            <v>0</v>
          </cell>
          <cell r="R401">
            <v>1989288</v>
          </cell>
          <cell r="S401">
            <v>16701185.85</v>
          </cell>
          <cell r="T401">
            <v>12688005</v>
          </cell>
          <cell r="U401">
            <v>745983</v>
          </cell>
          <cell r="V401">
            <v>14514852</v>
          </cell>
        </row>
        <row r="402">
          <cell r="D402" t="str">
            <v>Trạm trộn BTN 50-60T/h</v>
          </cell>
          <cell r="E402" t="str">
            <v>asphalt batch mix plant 60T/h</v>
          </cell>
          <cell r="G402">
            <v>324</v>
          </cell>
          <cell r="J402">
            <v>1</v>
          </cell>
          <cell r="K402">
            <v>745983</v>
          </cell>
          <cell r="L402">
            <v>16394972</v>
          </cell>
          <cell r="M402">
            <v>212809.51799999998</v>
          </cell>
          <cell r="N402">
            <v>1989288</v>
          </cell>
          <cell r="O402">
            <v>18597069.517999999</v>
          </cell>
          <cell r="P402">
            <v>90.211145566038951</v>
          </cell>
          <cell r="Q402">
            <v>19197790.406136584</v>
          </cell>
          <cell r="R402">
            <v>1989288</v>
          </cell>
          <cell r="S402">
            <v>18597069.517999999</v>
          </cell>
          <cell r="T402">
            <v>13703045</v>
          </cell>
          <cell r="U402">
            <v>745983</v>
          </cell>
          <cell r="V402">
            <v>16394972</v>
          </cell>
        </row>
        <row r="403">
          <cell r="D403" t="str">
            <v>Trạm trộn BTN 80-90T/h</v>
          </cell>
          <cell r="E403" t="str">
            <v>asphalt batch mix plant 80T/h</v>
          </cell>
          <cell r="G403">
            <v>384</v>
          </cell>
          <cell r="J403">
            <v>1</v>
          </cell>
          <cell r="K403">
            <v>745983</v>
          </cell>
          <cell r="L403">
            <v>20322631</v>
          </cell>
          <cell r="M403">
            <v>252218.68799999997</v>
          </cell>
          <cell r="N403">
            <v>1989288</v>
          </cell>
          <cell r="O403">
            <v>22564137.688000001</v>
          </cell>
          <cell r="P403">
            <v>0</v>
          </cell>
          <cell r="Q403">
            <v>0</v>
          </cell>
          <cell r="R403">
            <v>1989288</v>
          </cell>
          <cell r="S403">
            <v>22564137.688000001</v>
          </cell>
          <cell r="T403">
            <v>16240646</v>
          </cell>
          <cell r="U403">
            <v>745983</v>
          </cell>
          <cell r="V403">
            <v>20322631</v>
          </cell>
        </row>
        <row r="404">
          <cell r="K404">
            <v>0</v>
          </cell>
          <cell r="L404">
            <v>0</v>
          </cell>
          <cell r="N404">
            <v>0</v>
          </cell>
          <cell r="O404">
            <v>0</v>
          </cell>
          <cell r="P404">
            <v>0</v>
          </cell>
          <cell r="Q404">
            <v>0</v>
          </cell>
          <cell r="R404">
            <v>0</v>
          </cell>
          <cell r="S404">
            <v>0</v>
          </cell>
        </row>
        <row r="405">
          <cell r="D405" t="str">
            <v>Máy phun nhựa đường - công suất 190CV</v>
          </cell>
          <cell r="E405" t="str">
            <v>asphalt distributor truct 7T</v>
          </cell>
          <cell r="F405">
            <v>57</v>
          </cell>
          <cell r="J405">
            <v>1</v>
          </cell>
          <cell r="K405">
            <v>106306</v>
          </cell>
          <cell r="L405">
            <v>1043134</v>
          </cell>
          <cell r="M405">
            <v>829749.51818181807</v>
          </cell>
          <cell r="N405">
            <v>283482.66666666663</v>
          </cell>
          <cell r="O405">
            <v>2156366.1848484846</v>
          </cell>
          <cell r="P405">
            <v>130.45766321000002</v>
          </cell>
          <cell r="Q405">
            <v>108247183.1916234</v>
          </cell>
          <cell r="R405">
            <v>283482.66666666663</v>
          </cell>
          <cell r="S405">
            <v>2156366.1848484846</v>
          </cell>
          <cell r="T405">
            <v>408057</v>
          </cell>
          <cell r="U405">
            <v>106306</v>
          </cell>
          <cell r="V405">
            <v>1043134</v>
          </cell>
        </row>
        <row r="406">
          <cell r="K406">
            <v>0</v>
          </cell>
          <cell r="L406">
            <v>0</v>
          </cell>
          <cell r="N406">
            <v>0</v>
          </cell>
          <cell r="O406">
            <v>0</v>
          </cell>
          <cell r="P406">
            <v>0</v>
          </cell>
          <cell r="Q406">
            <v>0</v>
          </cell>
          <cell r="R406">
            <v>0</v>
          </cell>
          <cell r="S406">
            <v>0</v>
          </cell>
        </row>
        <row r="407">
          <cell r="F407">
            <v>33.6</v>
          </cell>
          <cell r="J407">
            <v>1</v>
          </cell>
          <cell r="K407">
            <v>98673</v>
          </cell>
          <cell r="L407">
            <v>900553</v>
          </cell>
          <cell r="M407">
            <v>489115.50545454543</v>
          </cell>
          <cell r="N407">
            <v>263128</v>
          </cell>
          <cell r="O407">
            <v>1652796.5054545454</v>
          </cell>
          <cell r="P407">
            <v>0</v>
          </cell>
          <cell r="Q407">
            <v>0</v>
          </cell>
          <cell r="R407">
            <v>263128</v>
          </cell>
          <cell r="S407">
            <v>1652796.5054545454</v>
          </cell>
          <cell r="T407">
            <v>240539</v>
          </cell>
          <cell r="U407">
            <v>98673</v>
          </cell>
          <cell r="V407">
            <v>900553</v>
          </cell>
        </row>
        <row r="408">
          <cell r="F408">
            <v>50.4</v>
          </cell>
          <cell r="J408">
            <v>1</v>
          </cell>
          <cell r="K408">
            <v>98673</v>
          </cell>
          <cell r="L408">
            <v>1056058</v>
          </cell>
          <cell r="M408">
            <v>733673.25818181818</v>
          </cell>
          <cell r="N408">
            <v>263128</v>
          </cell>
          <cell r="O408">
            <v>2052859.2581818183</v>
          </cell>
          <cell r="P408">
            <v>0</v>
          </cell>
          <cell r="Q408">
            <v>0</v>
          </cell>
          <cell r="R408">
            <v>263128</v>
          </cell>
          <cell r="S408">
            <v>2052859.2581818183</v>
          </cell>
          <cell r="T408">
            <v>360809</v>
          </cell>
          <cell r="U408">
            <v>98673</v>
          </cell>
          <cell r="V408">
            <v>1056058</v>
          </cell>
        </row>
        <row r="409">
          <cell r="D409" t="str">
            <v>Máy cào bóc</v>
          </cell>
          <cell r="E409" t="str">
            <v>Wirtgen - 1000C</v>
          </cell>
          <cell r="F409">
            <v>92.4</v>
          </cell>
          <cell r="J409">
            <v>1</v>
          </cell>
          <cell r="K409">
            <v>105458</v>
          </cell>
          <cell r="L409">
            <v>2340271</v>
          </cell>
          <cell r="M409">
            <v>1345067.64</v>
          </cell>
          <cell r="N409">
            <v>281221.33333333331</v>
          </cell>
          <cell r="O409">
            <v>3966559.9733333332</v>
          </cell>
          <cell r="P409">
            <v>0</v>
          </cell>
          <cell r="Q409">
            <v>0</v>
          </cell>
          <cell r="R409">
            <v>281221.33333333331</v>
          </cell>
          <cell r="S409">
            <v>3966559.9733333332</v>
          </cell>
          <cell r="T409">
            <v>661482</v>
          </cell>
          <cell r="U409">
            <v>105458</v>
          </cell>
          <cell r="V409">
            <v>2340271</v>
          </cell>
        </row>
        <row r="410">
          <cell r="D410" t="str">
            <v>Thiết bị sơn kẻ vạch</v>
          </cell>
          <cell r="E410" t="str">
            <v>Equipment paint denounce THK10A</v>
          </cell>
          <cell r="J410">
            <v>1</v>
          </cell>
          <cell r="K410">
            <v>48658</v>
          </cell>
          <cell r="L410">
            <v>103435</v>
          </cell>
          <cell r="M410">
            <v>0</v>
          </cell>
          <cell r="N410">
            <v>129754.66666666666</v>
          </cell>
          <cell r="O410">
            <v>233189.66666666666</v>
          </cell>
          <cell r="P410">
            <v>134.23076784</v>
          </cell>
          <cell r="Q410">
            <v>0</v>
          </cell>
          <cell r="R410">
            <v>129754.66666666666</v>
          </cell>
          <cell r="S410">
            <v>233189.66666666666</v>
          </cell>
          <cell r="U410">
            <v>48658</v>
          </cell>
          <cell r="V410">
            <v>103435</v>
          </cell>
        </row>
        <row r="411">
          <cell r="D411" t="str">
            <v>Lò nấu sơn</v>
          </cell>
          <cell r="E411" t="str">
            <v>paint furnace YHK 3A</v>
          </cell>
          <cell r="F411">
            <v>10.538922155688624</v>
          </cell>
          <cell r="J411">
            <v>1</v>
          </cell>
          <cell r="K411">
            <v>48658</v>
          </cell>
          <cell r="L411">
            <v>318241</v>
          </cell>
          <cell r="M411">
            <v>153415.1856287425</v>
          </cell>
          <cell r="N411">
            <v>129754.66666666666</v>
          </cell>
          <cell r="O411">
            <v>601410.85229540919</v>
          </cell>
          <cell r="P411">
            <v>134.23076784</v>
          </cell>
          <cell r="Q411">
            <v>20593038.165262241</v>
          </cell>
          <cell r="R411">
            <v>129754.66666666666</v>
          </cell>
          <cell r="S411">
            <v>601410.85229540919</v>
          </cell>
          <cell r="T411">
            <v>75455</v>
          </cell>
          <cell r="U411">
            <v>48658</v>
          </cell>
          <cell r="V411">
            <v>318241</v>
          </cell>
        </row>
        <row r="412">
          <cell r="D412" t="str">
            <v>Thiết bị nấu nhựa</v>
          </cell>
          <cell r="E412" t="str">
            <v>Bitumen-cook equipment</v>
          </cell>
          <cell r="J412">
            <v>1</v>
          </cell>
          <cell r="K412">
            <v>48658</v>
          </cell>
          <cell r="L412">
            <v>54949</v>
          </cell>
          <cell r="M412">
            <v>0</v>
          </cell>
          <cell r="N412">
            <v>129754.66666666666</v>
          </cell>
          <cell r="O412">
            <v>184703.66666666666</v>
          </cell>
          <cell r="P412">
            <v>65.228831605000011</v>
          </cell>
          <cell r="Q412">
            <v>0</v>
          </cell>
          <cell r="R412">
            <v>129754.66666666666</v>
          </cell>
          <cell r="S412">
            <v>184703.66666666666</v>
          </cell>
          <cell r="U412">
            <v>48658</v>
          </cell>
          <cell r="V412">
            <v>54949</v>
          </cell>
        </row>
        <row r="413">
          <cell r="K413">
            <v>0</v>
          </cell>
          <cell r="L413">
            <v>0</v>
          </cell>
          <cell r="N413">
            <v>0</v>
          </cell>
          <cell r="O413">
            <v>0</v>
          </cell>
          <cell r="P413">
            <v>0</v>
          </cell>
          <cell r="Q413">
            <v>0</v>
          </cell>
          <cell r="R413">
            <v>0</v>
          </cell>
          <cell r="S413">
            <v>0</v>
          </cell>
        </row>
        <row r="414">
          <cell r="G414">
            <v>1.4850000000000001</v>
          </cell>
          <cell r="J414">
            <v>1</v>
          </cell>
          <cell r="K414">
            <v>41873</v>
          </cell>
          <cell r="L414">
            <v>44683</v>
          </cell>
          <cell r="M414">
            <v>975.3769575</v>
          </cell>
          <cell r="N414">
            <v>111661.33333333333</v>
          </cell>
          <cell r="O414">
            <v>157319.71029083332</v>
          </cell>
          <cell r="P414">
            <v>0</v>
          </cell>
          <cell r="Q414">
            <v>0</v>
          </cell>
          <cell r="R414">
            <v>111661.33333333333</v>
          </cell>
          <cell r="S414">
            <v>157319.71029083332</v>
          </cell>
          <cell r="T414">
            <v>1427</v>
          </cell>
          <cell r="U414">
            <v>41873</v>
          </cell>
          <cell r="V414">
            <v>44683</v>
          </cell>
        </row>
        <row r="415">
          <cell r="G415">
            <v>2.0249999999999999</v>
          </cell>
          <cell r="J415">
            <v>1</v>
          </cell>
          <cell r="K415">
            <v>41873</v>
          </cell>
          <cell r="L415">
            <v>45459</v>
          </cell>
          <cell r="M415">
            <v>1330.0594874999999</v>
          </cell>
          <cell r="N415">
            <v>111661.33333333333</v>
          </cell>
          <cell r="O415">
            <v>158450.39282083334</v>
          </cell>
          <cell r="P415">
            <v>0</v>
          </cell>
          <cell r="Q415">
            <v>0</v>
          </cell>
          <cell r="R415">
            <v>111661.33333333333</v>
          </cell>
          <cell r="S415">
            <v>158450.39282083331</v>
          </cell>
          <cell r="T415">
            <v>1944</v>
          </cell>
          <cell r="U415">
            <v>41873</v>
          </cell>
          <cell r="V415">
            <v>45459</v>
          </cell>
        </row>
        <row r="416">
          <cell r="D416" t="str">
            <v>Máy bơm nước 1.1kW</v>
          </cell>
          <cell r="E416" t="str">
            <v>water pump 1.1kW</v>
          </cell>
          <cell r="G416">
            <v>2.97</v>
          </cell>
          <cell r="J416">
            <v>1</v>
          </cell>
          <cell r="K416">
            <v>41873</v>
          </cell>
          <cell r="L416">
            <v>46952</v>
          </cell>
          <cell r="M416">
            <v>1950.753915</v>
          </cell>
          <cell r="N416">
            <v>111661.33333333333</v>
          </cell>
          <cell r="O416">
            <v>160564.08724833332</v>
          </cell>
          <cell r="P416">
            <v>0</v>
          </cell>
          <cell r="Q416">
            <v>0</v>
          </cell>
          <cell r="R416">
            <v>111661.33333333333</v>
          </cell>
          <cell r="S416">
            <v>160564.08724833332</v>
          </cell>
          <cell r="T416">
            <v>2844</v>
          </cell>
          <cell r="U416">
            <v>41873</v>
          </cell>
          <cell r="V416">
            <v>46952</v>
          </cell>
        </row>
        <row r="417">
          <cell r="G417">
            <v>4.05</v>
          </cell>
          <cell r="J417">
            <v>1</v>
          </cell>
          <cell r="K417">
            <v>41873</v>
          </cell>
          <cell r="L417">
            <v>47826</v>
          </cell>
          <cell r="M417">
            <v>2660.1189749999999</v>
          </cell>
          <cell r="N417">
            <v>111661.33333333333</v>
          </cell>
          <cell r="O417">
            <v>162147.45230833333</v>
          </cell>
          <cell r="P417">
            <v>0</v>
          </cell>
          <cell r="Q417">
            <v>0</v>
          </cell>
          <cell r="R417">
            <v>111661.33333333333</v>
          </cell>
          <cell r="S417">
            <v>162147.45230833333</v>
          </cell>
          <cell r="T417">
            <v>3878</v>
          </cell>
          <cell r="U417">
            <v>41873</v>
          </cell>
          <cell r="V417">
            <v>47826</v>
          </cell>
        </row>
        <row r="418">
          <cell r="G418">
            <v>5.4</v>
          </cell>
          <cell r="J418">
            <v>1</v>
          </cell>
          <cell r="K418">
            <v>41873</v>
          </cell>
          <cell r="L418">
            <v>49205</v>
          </cell>
          <cell r="M418">
            <v>3546.8252999999995</v>
          </cell>
          <cell r="N418">
            <v>111661.33333333333</v>
          </cell>
          <cell r="O418">
            <v>164413.15863333334</v>
          </cell>
          <cell r="P418">
            <v>0</v>
          </cell>
          <cell r="Q418">
            <v>0</v>
          </cell>
          <cell r="R418">
            <v>111661.33333333333</v>
          </cell>
          <cell r="S418">
            <v>164413.15863333334</v>
          </cell>
          <cell r="T418">
            <v>5171</v>
          </cell>
          <cell r="U418">
            <v>41873</v>
          </cell>
          <cell r="V418">
            <v>49205</v>
          </cell>
        </row>
        <row r="419">
          <cell r="G419">
            <v>7.56</v>
          </cell>
          <cell r="J419">
            <v>1</v>
          </cell>
          <cell r="K419">
            <v>41873</v>
          </cell>
          <cell r="L419">
            <v>51368</v>
          </cell>
          <cell r="M419">
            <v>4965.5554199999997</v>
          </cell>
          <cell r="N419">
            <v>111661.33333333333</v>
          </cell>
          <cell r="O419">
            <v>167994.88875333333</v>
          </cell>
          <cell r="P419">
            <v>0</v>
          </cell>
          <cell r="Q419">
            <v>0</v>
          </cell>
          <cell r="R419">
            <v>111661.33333333333</v>
          </cell>
          <cell r="S419">
            <v>167994.88875333333</v>
          </cell>
          <cell r="T419">
            <v>7240</v>
          </cell>
          <cell r="U419">
            <v>41873</v>
          </cell>
          <cell r="V419">
            <v>51368</v>
          </cell>
        </row>
        <row r="420">
          <cell r="G420">
            <v>10.8</v>
          </cell>
          <cell r="J420">
            <v>1</v>
          </cell>
          <cell r="K420">
            <v>41873</v>
          </cell>
          <cell r="L420">
            <v>56099</v>
          </cell>
          <cell r="M420">
            <v>7093.650599999999</v>
          </cell>
          <cell r="N420">
            <v>111661.33333333333</v>
          </cell>
          <cell r="O420">
            <v>174853.98393333334</v>
          </cell>
          <cell r="P420">
            <v>0</v>
          </cell>
          <cell r="Q420">
            <v>0</v>
          </cell>
          <cell r="R420">
            <v>111661.33333333333</v>
          </cell>
          <cell r="S420">
            <v>174853.98393333331</v>
          </cell>
          <cell r="T420">
            <v>10343</v>
          </cell>
          <cell r="U420">
            <v>41873</v>
          </cell>
          <cell r="V420">
            <v>56099</v>
          </cell>
        </row>
        <row r="421">
          <cell r="G421">
            <v>12.15</v>
          </cell>
          <cell r="J421">
            <v>1</v>
          </cell>
          <cell r="K421">
            <v>41873</v>
          </cell>
          <cell r="L421">
            <v>58363</v>
          </cell>
          <cell r="M421">
            <v>7980.356925</v>
          </cell>
          <cell r="N421">
            <v>111661.33333333333</v>
          </cell>
          <cell r="O421">
            <v>178004.69025833334</v>
          </cell>
          <cell r="P421">
            <v>0</v>
          </cell>
          <cell r="Q421">
            <v>0</v>
          </cell>
          <cell r="R421">
            <v>111661.33333333333</v>
          </cell>
          <cell r="S421">
            <v>178004.69025833334</v>
          </cell>
          <cell r="T421">
            <v>11635</v>
          </cell>
          <cell r="U421">
            <v>41873</v>
          </cell>
          <cell r="V421">
            <v>58363</v>
          </cell>
        </row>
        <row r="422">
          <cell r="D422" t="str">
            <v>Máy bơm nước 7.0kW</v>
          </cell>
          <cell r="E422" t="str">
            <v>water pump 7kW</v>
          </cell>
          <cell r="G422">
            <v>16.8</v>
          </cell>
          <cell r="J422">
            <v>1</v>
          </cell>
          <cell r="K422">
            <v>41873</v>
          </cell>
          <cell r="L422">
            <v>67947</v>
          </cell>
          <cell r="M422">
            <v>11034.567599999998</v>
          </cell>
          <cell r="N422">
            <v>111661.33333333333</v>
          </cell>
          <cell r="O422">
            <v>190642.90093333332</v>
          </cell>
          <cell r="P422">
            <v>0</v>
          </cell>
          <cell r="Q422">
            <v>0</v>
          </cell>
          <cell r="R422">
            <v>111661.33333333333</v>
          </cell>
          <cell r="S422">
            <v>190642.90093333332</v>
          </cell>
          <cell r="T422">
            <v>16089</v>
          </cell>
          <cell r="U422">
            <v>41873</v>
          </cell>
          <cell r="V422">
            <v>67947</v>
          </cell>
        </row>
        <row r="423">
          <cell r="G423">
            <v>24</v>
          </cell>
          <cell r="J423">
            <v>1</v>
          </cell>
          <cell r="K423">
            <v>48658</v>
          </cell>
          <cell r="L423">
            <v>85250</v>
          </cell>
          <cell r="M423">
            <v>15763.667999999998</v>
          </cell>
          <cell r="N423">
            <v>129754.66666666666</v>
          </cell>
          <cell r="O423">
            <v>230768.33466666666</v>
          </cell>
          <cell r="P423">
            <v>0</v>
          </cell>
          <cell r="Q423">
            <v>0</v>
          </cell>
          <cell r="R423">
            <v>129754.66666666666</v>
          </cell>
          <cell r="S423">
            <v>230768.33466666666</v>
          </cell>
          <cell r="T423">
            <v>22984</v>
          </cell>
          <cell r="U423">
            <v>48658</v>
          </cell>
          <cell r="V423">
            <v>85250</v>
          </cell>
        </row>
        <row r="424">
          <cell r="G424">
            <v>33.6</v>
          </cell>
          <cell r="J424">
            <v>1</v>
          </cell>
          <cell r="K424">
            <v>48658</v>
          </cell>
          <cell r="L424">
            <v>101911</v>
          </cell>
          <cell r="M424">
            <v>22069.135199999997</v>
          </cell>
          <cell r="N424">
            <v>129754.66666666666</v>
          </cell>
          <cell r="O424">
            <v>253734.80186666665</v>
          </cell>
          <cell r="P424">
            <v>0</v>
          </cell>
          <cell r="Q424">
            <v>0</v>
          </cell>
          <cell r="R424">
            <v>129754.66666666666</v>
          </cell>
          <cell r="S424">
            <v>253734.80186666665</v>
          </cell>
          <cell r="T424">
            <v>32177</v>
          </cell>
          <cell r="U424">
            <v>48658</v>
          </cell>
          <cell r="V424">
            <v>101911</v>
          </cell>
        </row>
        <row r="425">
          <cell r="D425" t="str">
            <v>Máy bơm nước 20KW</v>
          </cell>
          <cell r="E425" t="str">
            <v>water pump 20kW</v>
          </cell>
          <cell r="G425">
            <v>48</v>
          </cell>
          <cell r="J425">
            <v>1</v>
          </cell>
          <cell r="K425">
            <v>48658</v>
          </cell>
          <cell r="L425">
            <v>133747</v>
          </cell>
          <cell r="M425">
            <v>31527.335999999996</v>
          </cell>
          <cell r="N425">
            <v>129754.66666666666</v>
          </cell>
          <cell r="O425">
            <v>295029.00266666664</v>
          </cell>
          <cell r="P425">
            <v>280.7490075</v>
          </cell>
          <cell r="Q425">
            <v>8851268.2911190186</v>
          </cell>
          <cell r="R425">
            <v>129754.66666666666</v>
          </cell>
          <cell r="S425">
            <v>295029.00266666664</v>
          </cell>
          <cell r="T425">
            <v>45967</v>
          </cell>
          <cell r="U425">
            <v>48658</v>
          </cell>
          <cell r="V425">
            <v>133747</v>
          </cell>
        </row>
        <row r="426">
          <cell r="G426">
            <v>52.8</v>
          </cell>
          <cell r="J426">
            <v>1</v>
          </cell>
          <cell r="K426">
            <v>48658</v>
          </cell>
          <cell r="L426">
            <v>140086</v>
          </cell>
          <cell r="M426">
            <v>34680.069599999995</v>
          </cell>
          <cell r="N426">
            <v>129754.66666666666</v>
          </cell>
          <cell r="O426">
            <v>304520.73626666667</v>
          </cell>
          <cell r="P426">
            <v>0</v>
          </cell>
          <cell r="Q426">
            <v>0</v>
          </cell>
          <cell r="R426">
            <v>129754.66666666666</v>
          </cell>
          <cell r="S426">
            <v>304520.73626666667</v>
          </cell>
          <cell r="T426">
            <v>50564</v>
          </cell>
          <cell r="U426">
            <v>48658</v>
          </cell>
          <cell r="V426">
            <v>140086</v>
          </cell>
        </row>
        <row r="427">
          <cell r="G427">
            <v>67.2</v>
          </cell>
          <cell r="J427">
            <v>1</v>
          </cell>
          <cell r="K427">
            <v>48658</v>
          </cell>
          <cell r="L427">
            <v>159077</v>
          </cell>
          <cell r="M427">
            <v>44138.270399999994</v>
          </cell>
          <cell r="N427">
            <v>129754.66666666666</v>
          </cell>
          <cell r="O427">
            <v>332969.93706666667</v>
          </cell>
          <cell r="P427">
            <v>0</v>
          </cell>
          <cell r="Q427">
            <v>0</v>
          </cell>
          <cell r="R427">
            <v>129754.66666666666</v>
          </cell>
          <cell r="S427">
            <v>332969.93706666667</v>
          </cell>
          <cell r="T427">
            <v>64354</v>
          </cell>
          <cell r="U427">
            <v>48658</v>
          </cell>
          <cell r="V427">
            <v>159077</v>
          </cell>
        </row>
        <row r="428">
          <cell r="G428">
            <v>72</v>
          </cell>
          <cell r="J428">
            <v>1</v>
          </cell>
          <cell r="K428">
            <v>48658</v>
          </cell>
          <cell r="L428">
            <v>173431</v>
          </cell>
          <cell r="M428">
            <v>47291.004000000001</v>
          </cell>
          <cell r="N428">
            <v>129754.66666666666</v>
          </cell>
          <cell r="O428">
            <v>350476.6706666667</v>
          </cell>
          <cell r="P428">
            <v>0</v>
          </cell>
          <cell r="Q428">
            <v>0</v>
          </cell>
          <cell r="R428">
            <v>129754.66666666666</v>
          </cell>
          <cell r="S428">
            <v>350476.67066666664</v>
          </cell>
          <cell r="T428">
            <v>68951</v>
          </cell>
          <cell r="U428">
            <v>48658</v>
          </cell>
          <cell r="V428">
            <v>173431</v>
          </cell>
        </row>
        <row r="429">
          <cell r="G429">
            <v>96</v>
          </cell>
          <cell r="J429">
            <v>1</v>
          </cell>
          <cell r="K429">
            <v>48658</v>
          </cell>
          <cell r="L429">
            <v>211658</v>
          </cell>
          <cell r="M429">
            <v>63054.671999999991</v>
          </cell>
          <cell r="N429">
            <v>129754.66666666666</v>
          </cell>
          <cell r="O429">
            <v>404467.33866666665</v>
          </cell>
          <cell r="P429">
            <v>0</v>
          </cell>
          <cell r="Q429">
            <v>0</v>
          </cell>
          <cell r="R429">
            <v>129754.66666666666</v>
          </cell>
          <cell r="S429">
            <v>404467.33866666665</v>
          </cell>
          <cell r="T429">
            <v>91934</v>
          </cell>
          <cell r="U429">
            <v>48658</v>
          </cell>
          <cell r="V429">
            <v>211658</v>
          </cell>
        </row>
        <row r="430">
          <cell r="G430">
            <v>120</v>
          </cell>
          <cell r="J430">
            <v>1</v>
          </cell>
          <cell r="K430">
            <v>48658</v>
          </cell>
          <cell r="L430">
            <v>247050</v>
          </cell>
          <cell r="M430">
            <v>78818.339999999982</v>
          </cell>
          <cell r="N430">
            <v>129754.66666666666</v>
          </cell>
          <cell r="O430">
            <v>455623.0066666666</v>
          </cell>
          <cell r="P430">
            <v>0</v>
          </cell>
          <cell r="Q430">
            <v>0</v>
          </cell>
          <cell r="R430">
            <v>129754.66666666666</v>
          </cell>
          <cell r="S430">
            <v>455623.00666666665</v>
          </cell>
          <cell r="T430">
            <v>114918</v>
          </cell>
          <cell r="U430">
            <v>48658</v>
          </cell>
          <cell r="V430">
            <v>247050</v>
          </cell>
        </row>
        <row r="431">
          <cell r="G431">
            <v>132</v>
          </cell>
          <cell r="J431">
            <v>1</v>
          </cell>
          <cell r="K431">
            <v>48658</v>
          </cell>
          <cell r="L431">
            <v>263054</v>
          </cell>
          <cell r="M431">
            <v>86700.173999999985</v>
          </cell>
          <cell r="N431">
            <v>129754.66666666666</v>
          </cell>
          <cell r="O431">
            <v>479508.84066666663</v>
          </cell>
          <cell r="P431">
            <v>0</v>
          </cell>
          <cell r="Q431">
            <v>0</v>
          </cell>
          <cell r="R431">
            <v>129754.66666666666</v>
          </cell>
          <cell r="S431">
            <v>479508.84066666663</v>
          </cell>
          <cell r="T431">
            <v>126410</v>
          </cell>
          <cell r="U431">
            <v>48658</v>
          </cell>
          <cell r="V431">
            <v>263054</v>
          </cell>
        </row>
        <row r="432">
          <cell r="G432">
            <v>180</v>
          </cell>
          <cell r="J432">
            <v>1</v>
          </cell>
          <cell r="K432">
            <v>48658</v>
          </cell>
          <cell r="L432">
            <v>335699</v>
          </cell>
          <cell r="M432">
            <v>118227.51</v>
          </cell>
          <cell r="N432">
            <v>129754.66666666666</v>
          </cell>
          <cell r="O432">
            <v>583681.17666666664</v>
          </cell>
          <cell r="P432">
            <v>0</v>
          </cell>
          <cell r="Q432">
            <v>0</v>
          </cell>
          <cell r="R432">
            <v>129754.66666666666</v>
          </cell>
          <cell r="S432">
            <v>583681.17666666664</v>
          </cell>
          <cell r="T432">
            <v>172377</v>
          </cell>
          <cell r="U432">
            <v>48658</v>
          </cell>
          <cell r="V432">
            <v>335699</v>
          </cell>
        </row>
        <row r="433">
          <cell r="D433" t="str">
            <v>Máy bơm nước 113kw</v>
          </cell>
          <cell r="G433">
            <v>271.2</v>
          </cell>
          <cell r="J433">
            <v>1</v>
          </cell>
          <cell r="K433">
            <v>48658</v>
          </cell>
          <cell r="L433">
            <v>458244</v>
          </cell>
          <cell r="M433">
            <v>178129.44839999996</v>
          </cell>
          <cell r="N433">
            <v>129754.66666666666</v>
          </cell>
          <cell r="O433">
            <v>766128.11506666662</v>
          </cell>
          <cell r="P433">
            <v>0</v>
          </cell>
          <cell r="Q433">
            <v>0</v>
          </cell>
          <cell r="R433">
            <v>129754.66666666666</v>
          </cell>
          <cell r="S433">
            <v>766128.11506666662</v>
          </cell>
          <cell r="T433">
            <v>259715</v>
          </cell>
          <cell r="U433">
            <v>48658</v>
          </cell>
          <cell r="V433">
            <v>458244</v>
          </cell>
        </row>
        <row r="434">
          <cell r="K434">
            <v>0</v>
          </cell>
          <cell r="L434">
            <v>0</v>
          </cell>
          <cell r="N434">
            <v>0</v>
          </cell>
          <cell r="O434">
            <v>0</v>
          </cell>
          <cell r="P434">
            <v>0</v>
          </cell>
          <cell r="Q434">
            <v>0</v>
          </cell>
          <cell r="R434">
            <v>0</v>
          </cell>
          <cell r="S434">
            <v>0</v>
          </cell>
        </row>
        <row r="435">
          <cell r="D435" t="str">
            <v>Máy bơm nước 5CV</v>
          </cell>
          <cell r="E435" t="str">
            <v>water pump 5CV</v>
          </cell>
          <cell r="F435">
            <v>2.7</v>
          </cell>
          <cell r="J435">
            <v>1</v>
          </cell>
          <cell r="K435">
            <v>48658</v>
          </cell>
          <cell r="L435">
            <v>74943</v>
          </cell>
          <cell r="M435">
            <v>39303.924545454545</v>
          </cell>
          <cell r="N435">
            <v>129754.66666666666</v>
          </cell>
          <cell r="O435">
            <v>244001.59121212119</v>
          </cell>
          <cell r="P435">
            <v>0</v>
          </cell>
          <cell r="Q435">
            <v>0</v>
          </cell>
          <cell r="R435">
            <v>129754.66666666666</v>
          </cell>
          <cell r="S435">
            <v>244001.59121212119</v>
          </cell>
          <cell r="T435">
            <v>19329</v>
          </cell>
          <cell r="U435">
            <v>48658</v>
          </cell>
          <cell r="V435">
            <v>74943</v>
          </cell>
        </row>
        <row r="436">
          <cell r="F436">
            <v>2.97</v>
          </cell>
          <cell r="J436">
            <v>1</v>
          </cell>
          <cell r="K436">
            <v>48658</v>
          </cell>
          <cell r="L436">
            <v>81197</v>
          </cell>
          <cell r="M436">
            <v>43234.317000000003</v>
          </cell>
          <cell r="N436">
            <v>129754.66666666666</v>
          </cell>
          <cell r="O436">
            <v>254185.98366666667</v>
          </cell>
          <cell r="P436">
            <v>0</v>
          </cell>
          <cell r="Q436">
            <v>0</v>
          </cell>
          <cell r="R436">
            <v>129754.66666666666</v>
          </cell>
          <cell r="S436">
            <v>254185.98366666667</v>
          </cell>
          <cell r="T436">
            <v>21262</v>
          </cell>
          <cell r="U436">
            <v>48658</v>
          </cell>
          <cell r="V436">
            <v>81197</v>
          </cell>
        </row>
        <row r="437">
          <cell r="F437">
            <v>3.78</v>
          </cell>
          <cell r="J437">
            <v>1</v>
          </cell>
          <cell r="K437">
            <v>48658</v>
          </cell>
          <cell r="L437">
            <v>89946</v>
          </cell>
          <cell r="M437">
            <v>55025.494363636361</v>
          </cell>
          <cell r="N437">
            <v>129754.66666666666</v>
          </cell>
          <cell r="O437">
            <v>274726.16103030299</v>
          </cell>
          <cell r="P437">
            <v>0</v>
          </cell>
          <cell r="Q437">
            <v>0</v>
          </cell>
          <cell r="R437">
            <v>129754.66666666666</v>
          </cell>
          <cell r="S437">
            <v>274726.16103030299</v>
          </cell>
          <cell r="T437">
            <v>27061</v>
          </cell>
          <cell r="U437">
            <v>48658</v>
          </cell>
          <cell r="V437">
            <v>89946</v>
          </cell>
        </row>
        <row r="438">
          <cell r="F438">
            <v>4.05</v>
          </cell>
          <cell r="J438">
            <v>1</v>
          </cell>
          <cell r="K438">
            <v>48658</v>
          </cell>
          <cell r="L438">
            <v>93278</v>
          </cell>
          <cell r="M438">
            <v>58955.886818181811</v>
          </cell>
          <cell r="N438">
            <v>129754.66666666666</v>
          </cell>
          <cell r="O438">
            <v>281988.55348484847</v>
          </cell>
          <cell r="P438">
            <v>0</v>
          </cell>
          <cell r="Q438">
            <v>0</v>
          </cell>
          <cell r="R438">
            <v>129754.66666666666</v>
          </cell>
          <cell r="S438">
            <v>281988.55348484847</v>
          </cell>
          <cell r="T438">
            <v>28994</v>
          </cell>
          <cell r="U438">
            <v>48658</v>
          </cell>
          <cell r="V438">
            <v>93278</v>
          </cell>
        </row>
        <row r="439">
          <cell r="F439">
            <v>5.0999999999999996</v>
          </cell>
          <cell r="J439">
            <v>1</v>
          </cell>
          <cell r="K439">
            <v>48658</v>
          </cell>
          <cell r="L439">
            <v>107510</v>
          </cell>
          <cell r="M439">
            <v>74240.746363636354</v>
          </cell>
          <cell r="N439">
            <v>129754.66666666666</v>
          </cell>
          <cell r="O439">
            <v>311505.41303030297</v>
          </cell>
          <cell r="P439">
            <v>0</v>
          </cell>
          <cell r="Q439">
            <v>0</v>
          </cell>
          <cell r="R439">
            <v>129754.66666666666</v>
          </cell>
          <cell r="S439">
            <v>311505.41303030303</v>
          </cell>
          <cell r="T439">
            <v>36510</v>
          </cell>
          <cell r="U439">
            <v>48658</v>
          </cell>
          <cell r="V439">
            <v>107510</v>
          </cell>
        </row>
        <row r="440">
          <cell r="F440">
            <v>7.65</v>
          </cell>
          <cell r="J440">
            <v>1</v>
          </cell>
          <cell r="K440">
            <v>48658</v>
          </cell>
          <cell r="L440">
            <v>158515</v>
          </cell>
          <cell r="M440">
            <v>111361.11954545454</v>
          </cell>
          <cell r="N440">
            <v>129754.66666666666</v>
          </cell>
          <cell r="O440">
            <v>399630.78621212114</v>
          </cell>
          <cell r="P440">
            <v>0</v>
          </cell>
          <cell r="Q440">
            <v>0</v>
          </cell>
          <cell r="R440">
            <v>129754.66666666666</v>
          </cell>
          <cell r="S440">
            <v>399630.78621212119</v>
          </cell>
          <cell r="T440">
            <v>54766</v>
          </cell>
          <cell r="U440">
            <v>48658</v>
          </cell>
          <cell r="V440">
            <v>158515</v>
          </cell>
        </row>
        <row r="441">
          <cell r="D441" t="str">
            <v>Máy bơm nước 20CV</v>
          </cell>
          <cell r="E441" t="str">
            <v>water pump 20CV</v>
          </cell>
          <cell r="F441">
            <v>10.199999999999999</v>
          </cell>
          <cell r="J441">
            <v>1</v>
          </cell>
          <cell r="K441">
            <v>48658</v>
          </cell>
          <cell r="L441">
            <v>196013</v>
          </cell>
          <cell r="M441">
            <v>148481.49272727271</v>
          </cell>
          <cell r="N441">
            <v>129754.66666666666</v>
          </cell>
          <cell r="O441">
            <v>474249.15939393931</v>
          </cell>
          <cell r="P441">
            <v>0</v>
          </cell>
          <cell r="Q441">
            <v>0</v>
          </cell>
          <cell r="R441">
            <v>129754.66666666666</v>
          </cell>
          <cell r="S441">
            <v>474249.15939393936</v>
          </cell>
          <cell r="T441">
            <v>73021</v>
          </cell>
          <cell r="U441">
            <v>48658</v>
          </cell>
          <cell r="V441">
            <v>196013</v>
          </cell>
        </row>
        <row r="442">
          <cell r="F442">
            <v>17.760000000000002</v>
          </cell>
          <cell r="J442">
            <v>1</v>
          </cell>
          <cell r="K442">
            <v>48658</v>
          </cell>
          <cell r="L442">
            <v>320972</v>
          </cell>
          <cell r="M442">
            <v>258532.48145454546</v>
          </cell>
          <cell r="N442">
            <v>129754.66666666666</v>
          </cell>
          <cell r="O442">
            <v>709259.14812121203</v>
          </cell>
          <cell r="P442">
            <v>0</v>
          </cell>
          <cell r="Q442">
            <v>0</v>
          </cell>
          <cell r="R442">
            <v>129754.66666666666</v>
          </cell>
          <cell r="S442">
            <v>709259.14812121214</v>
          </cell>
          <cell r="T442">
            <v>127142</v>
          </cell>
          <cell r="U442">
            <v>48658</v>
          </cell>
          <cell r="V442">
            <v>320972</v>
          </cell>
        </row>
        <row r="443">
          <cell r="F443">
            <v>21.6</v>
          </cell>
          <cell r="J443">
            <v>1</v>
          </cell>
          <cell r="K443">
            <v>48658</v>
          </cell>
          <cell r="L443">
            <v>352389</v>
          </cell>
          <cell r="M443">
            <v>314431.39636363636</v>
          </cell>
          <cell r="N443">
            <v>129754.66666666666</v>
          </cell>
          <cell r="O443">
            <v>796575.06303030299</v>
          </cell>
          <cell r="P443">
            <v>0</v>
          </cell>
          <cell r="Q443">
            <v>0</v>
          </cell>
          <cell r="R443">
            <v>129754.66666666666</v>
          </cell>
          <cell r="S443">
            <v>796575.06303030299</v>
          </cell>
          <cell r="T443">
            <v>154632</v>
          </cell>
          <cell r="U443">
            <v>48658</v>
          </cell>
          <cell r="V443">
            <v>352389</v>
          </cell>
        </row>
        <row r="444">
          <cell r="F444">
            <v>36</v>
          </cell>
          <cell r="J444">
            <v>1</v>
          </cell>
          <cell r="K444">
            <v>48658</v>
          </cell>
          <cell r="L444">
            <v>579497</v>
          </cell>
          <cell r="M444">
            <v>524052.32727272721</v>
          </cell>
          <cell r="N444">
            <v>129754.66666666666</v>
          </cell>
          <cell r="O444">
            <v>1233303.9939393939</v>
          </cell>
          <cell r="P444">
            <v>0</v>
          </cell>
          <cell r="Q444">
            <v>0</v>
          </cell>
          <cell r="R444">
            <v>129754.66666666666</v>
          </cell>
          <cell r="S444">
            <v>1233303.9939393939</v>
          </cell>
          <cell r="T444">
            <v>257720</v>
          </cell>
          <cell r="U444">
            <v>48658</v>
          </cell>
          <cell r="V444">
            <v>579497</v>
          </cell>
        </row>
        <row r="445">
          <cell r="D445" t="str">
            <v>Máy bơm nước 37CV (200m3/h)</v>
          </cell>
          <cell r="E445" t="str">
            <v>water pump 100CV</v>
          </cell>
          <cell r="F445">
            <v>45</v>
          </cell>
          <cell r="J445">
            <v>1</v>
          </cell>
          <cell r="K445">
            <v>48658</v>
          </cell>
          <cell r="L445">
            <v>647684</v>
          </cell>
          <cell r="M445">
            <v>655065.40909090906</v>
          </cell>
          <cell r="N445">
            <v>129754.66666666666</v>
          </cell>
          <cell r="O445">
            <v>1432504.0757575759</v>
          </cell>
          <cell r="P445">
            <v>592.32382747845179</v>
          </cell>
          <cell r="Q445">
            <v>388010850.36146504</v>
          </cell>
          <cell r="R445">
            <v>129754.66666666666</v>
          </cell>
          <cell r="S445">
            <v>1432504.0757575757</v>
          </cell>
          <cell r="T445">
            <v>322151</v>
          </cell>
          <cell r="U445">
            <v>48658</v>
          </cell>
          <cell r="V445">
            <v>647684</v>
          </cell>
        </row>
        <row r="446">
          <cell r="F446">
            <v>63</v>
          </cell>
          <cell r="J446">
            <v>1</v>
          </cell>
          <cell r="K446">
            <v>56800</v>
          </cell>
          <cell r="L446">
            <v>862689</v>
          </cell>
          <cell r="M446">
            <v>917091.57272727264</v>
          </cell>
          <cell r="N446">
            <v>151466.66666666666</v>
          </cell>
          <cell r="O446">
            <v>1931247.2393939395</v>
          </cell>
          <cell r="P446">
            <v>0</v>
          </cell>
          <cell r="Q446">
            <v>0</v>
          </cell>
          <cell r="R446">
            <v>151466.66666666666</v>
          </cell>
          <cell r="S446">
            <v>1931247.2393939393</v>
          </cell>
          <cell r="T446">
            <v>451011</v>
          </cell>
          <cell r="U446">
            <v>56800</v>
          </cell>
          <cell r="V446">
            <v>862689</v>
          </cell>
        </row>
        <row r="447">
          <cell r="K447">
            <v>0</v>
          </cell>
          <cell r="L447">
            <v>0</v>
          </cell>
          <cell r="N447">
            <v>0</v>
          </cell>
          <cell r="O447">
            <v>0</v>
          </cell>
          <cell r="P447">
            <v>0</v>
          </cell>
          <cell r="Q447">
            <v>0</v>
          </cell>
          <cell r="R447">
            <v>0</v>
          </cell>
          <cell r="S447">
            <v>0</v>
          </cell>
        </row>
        <row r="448">
          <cell r="H448">
            <v>1.62</v>
          </cell>
          <cell r="J448">
            <v>1</v>
          </cell>
          <cell r="K448">
            <v>48658</v>
          </cell>
          <cell r="L448">
            <v>71875</v>
          </cell>
          <cell r="M448">
            <v>23435.487000000001</v>
          </cell>
          <cell r="N448">
            <v>129754.66666666666</v>
          </cell>
          <cell r="O448">
            <v>225065.15366666665</v>
          </cell>
          <cell r="P448">
            <v>0</v>
          </cell>
          <cell r="Q448">
            <v>0</v>
          </cell>
          <cell r="R448">
            <v>129754.66666666666</v>
          </cell>
          <cell r="S448">
            <v>225065.15366666665</v>
          </cell>
          <cell r="T448">
            <v>14108</v>
          </cell>
          <cell r="U448">
            <v>48658</v>
          </cell>
          <cell r="V448">
            <v>71875</v>
          </cell>
        </row>
        <row r="449">
          <cell r="H449">
            <v>2.16</v>
          </cell>
          <cell r="J449">
            <v>1</v>
          </cell>
          <cell r="K449">
            <v>48658</v>
          </cell>
          <cell r="L449">
            <v>82533</v>
          </cell>
          <cell r="M449">
            <v>31247.316000000003</v>
          </cell>
          <cell r="N449">
            <v>129754.66666666666</v>
          </cell>
          <cell r="O449">
            <v>243534.98266666668</v>
          </cell>
          <cell r="P449">
            <v>0</v>
          </cell>
          <cell r="Q449">
            <v>0</v>
          </cell>
          <cell r="R449">
            <v>129754.66666666666</v>
          </cell>
          <cell r="S449">
            <v>243534.98266666665</v>
          </cell>
          <cell r="T449">
            <v>18811</v>
          </cell>
          <cell r="U449">
            <v>48658</v>
          </cell>
          <cell r="V449">
            <v>82533</v>
          </cell>
        </row>
        <row r="450">
          <cell r="H450">
            <v>3.24</v>
          </cell>
          <cell r="J450">
            <v>1</v>
          </cell>
          <cell r="K450">
            <v>48658</v>
          </cell>
          <cell r="L450">
            <v>98479</v>
          </cell>
          <cell r="M450">
            <v>46870.974000000002</v>
          </cell>
          <cell r="N450">
            <v>129754.66666666666</v>
          </cell>
          <cell r="O450">
            <v>275104.64066666667</v>
          </cell>
          <cell r="P450">
            <v>0</v>
          </cell>
          <cell r="Q450">
            <v>0</v>
          </cell>
          <cell r="R450">
            <v>129754.66666666666</v>
          </cell>
          <cell r="S450">
            <v>275104.64066666667</v>
          </cell>
          <cell r="T450">
            <v>28216</v>
          </cell>
          <cell r="U450">
            <v>48658</v>
          </cell>
          <cell r="V450">
            <v>98479</v>
          </cell>
        </row>
        <row r="451">
          <cell r="H451">
            <v>3.78</v>
          </cell>
          <cell r="J451">
            <v>1</v>
          </cell>
          <cell r="K451">
            <v>48658</v>
          </cell>
          <cell r="L451">
            <v>108397</v>
          </cell>
          <cell r="M451">
            <v>54682.803</v>
          </cell>
          <cell r="N451">
            <v>129754.66666666666</v>
          </cell>
          <cell r="O451">
            <v>292834.4696666667</v>
          </cell>
          <cell r="P451">
            <v>0</v>
          </cell>
          <cell r="Q451">
            <v>0</v>
          </cell>
          <cell r="R451">
            <v>129754.66666666666</v>
          </cell>
          <cell r="S451">
            <v>292834.46966666664</v>
          </cell>
          <cell r="T451">
            <v>32919</v>
          </cell>
          <cell r="U451">
            <v>48658</v>
          </cell>
          <cell r="V451">
            <v>108397</v>
          </cell>
        </row>
        <row r="452">
          <cell r="H452">
            <v>4.32</v>
          </cell>
          <cell r="J452">
            <v>1</v>
          </cell>
          <cell r="K452">
            <v>48658</v>
          </cell>
          <cell r="L452">
            <v>114403</v>
          </cell>
          <cell r="M452">
            <v>62494.632000000005</v>
          </cell>
          <cell r="N452">
            <v>129754.66666666666</v>
          </cell>
          <cell r="O452">
            <v>306652.29866666667</v>
          </cell>
          <cell r="P452">
            <v>0</v>
          </cell>
          <cell r="Q452">
            <v>0</v>
          </cell>
          <cell r="R452">
            <v>129754.66666666666</v>
          </cell>
          <cell r="S452">
            <v>306652.29866666667</v>
          </cell>
          <cell r="T452">
            <v>37621</v>
          </cell>
          <cell r="U452">
            <v>48658</v>
          </cell>
          <cell r="V452">
            <v>114403</v>
          </cell>
        </row>
        <row r="453">
          <cell r="K453">
            <v>0</v>
          </cell>
          <cell r="L453">
            <v>0</v>
          </cell>
          <cell r="N453">
            <v>0</v>
          </cell>
          <cell r="O453">
            <v>0</v>
          </cell>
          <cell r="P453">
            <v>0</v>
          </cell>
          <cell r="Q453">
            <v>0</v>
          </cell>
          <cell r="R453">
            <v>0</v>
          </cell>
          <cell r="S453">
            <v>0</v>
          </cell>
        </row>
        <row r="454">
          <cell r="F454">
            <v>4.8600000000000003</v>
          </cell>
          <cell r="J454">
            <v>1</v>
          </cell>
          <cell r="K454">
            <v>41873</v>
          </cell>
          <cell r="L454">
            <v>96068</v>
          </cell>
          <cell r="M454">
            <v>70747.064181818176</v>
          </cell>
          <cell r="N454">
            <v>111661.33333333333</v>
          </cell>
          <cell r="O454">
            <v>278476.39751515148</v>
          </cell>
          <cell r="P454">
            <v>0</v>
          </cell>
          <cell r="Q454">
            <v>0</v>
          </cell>
          <cell r="R454">
            <v>111661.33333333333</v>
          </cell>
          <cell r="S454">
            <v>278476.39751515153</v>
          </cell>
          <cell r="T454">
            <v>34792</v>
          </cell>
          <cell r="U454">
            <v>41873</v>
          </cell>
          <cell r="V454">
            <v>96068</v>
          </cell>
        </row>
        <row r="455">
          <cell r="F455">
            <v>7.56</v>
          </cell>
          <cell r="J455">
            <v>1</v>
          </cell>
          <cell r="K455">
            <v>41873</v>
          </cell>
          <cell r="L455">
            <v>123323</v>
          </cell>
          <cell r="M455">
            <v>110050.98872727272</v>
          </cell>
          <cell r="N455">
            <v>111661.33333333333</v>
          </cell>
          <cell r="O455">
            <v>345035.32206060603</v>
          </cell>
          <cell r="P455">
            <v>0</v>
          </cell>
          <cell r="Q455">
            <v>0</v>
          </cell>
          <cell r="R455">
            <v>111661.33333333333</v>
          </cell>
          <cell r="S455">
            <v>345035.32206060603</v>
          </cell>
          <cell r="T455">
            <v>54121</v>
          </cell>
          <cell r="U455">
            <v>41873</v>
          </cell>
          <cell r="V455">
            <v>123323</v>
          </cell>
        </row>
        <row r="456">
          <cell r="F456">
            <v>10.8</v>
          </cell>
          <cell r="J456">
            <v>1</v>
          </cell>
          <cell r="K456">
            <v>41873</v>
          </cell>
          <cell r="L456">
            <v>158071</v>
          </cell>
          <cell r="M456">
            <v>157215.69818181818</v>
          </cell>
          <cell r="N456">
            <v>111661.33333333333</v>
          </cell>
          <cell r="O456">
            <v>426948.0315151515</v>
          </cell>
          <cell r="P456">
            <v>0</v>
          </cell>
          <cell r="Q456">
            <v>0</v>
          </cell>
          <cell r="R456">
            <v>111661.33333333333</v>
          </cell>
          <cell r="S456">
            <v>426948.0315151515</v>
          </cell>
          <cell r="T456">
            <v>77316</v>
          </cell>
          <cell r="U456">
            <v>41873</v>
          </cell>
          <cell r="V456">
            <v>158071</v>
          </cell>
        </row>
        <row r="457">
          <cell r="F457">
            <v>13.5</v>
          </cell>
          <cell r="J457">
            <v>1</v>
          </cell>
          <cell r="K457">
            <v>41873</v>
          </cell>
          <cell r="L457">
            <v>185793</v>
          </cell>
          <cell r="M457">
            <v>196519.62272727271</v>
          </cell>
          <cell r="N457">
            <v>111661.33333333333</v>
          </cell>
          <cell r="O457">
            <v>493973.956060606</v>
          </cell>
          <cell r="P457">
            <v>0</v>
          </cell>
          <cell r="Q457">
            <v>0</v>
          </cell>
          <cell r="R457">
            <v>111661.33333333333</v>
          </cell>
          <cell r="S457">
            <v>493973.95606060605</v>
          </cell>
          <cell r="T457">
            <v>96645</v>
          </cell>
          <cell r="U457">
            <v>41873</v>
          </cell>
          <cell r="V457">
            <v>185793</v>
          </cell>
        </row>
        <row r="458">
          <cell r="F458">
            <v>19.2</v>
          </cell>
          <cell r="J458">
            <v>1</v>
          </cell>
          <cell r="K458">
            <v>41873</v>
          </cell>
          <cell r="L458">
            <v>217147</v>
          </cell>
          <cell r="M458">
            <v>279494.57454545447</v>
          </cell>
          <cell r="N458">
            <v>111661.33333333333</v>
          </cell>
          <cell r="O458">
            <v>608302.90787878784</v>
          </cell>
          <cell r="P458">
            <v>0</v>
          </cell>
          <cell r="Q458">
            <v>0</v>
          </cell>
          <cell r="R458">
            <v>111661.33333333333</v>
          </cell>
          <cell r="S458">
            <v>608302.90787878772</v>
          </cell>
          <cell r="T458">
            <v>137451</v>
          </cell>
          <cell r="U458">
            <v>41873</v>
          </cell>
          <cell r="V458">
            <v>217147</v>
          </cell>
        </row>
        <row r="459">
          <cell r="F459">
            <v>21.6</v>
          </cell>
          <cell r="J459">
            <v>1</v>
          </cell>
          <cell r="K459">
            <v>41873</v>
          </cell>
          <cell r="L459">
            <v>248695</v>
          </cell>
          <cell r="M459">
            <v>314431.39636363636</v>
          </cell>
          <cell r="N459">
            <v>111661.33333333333</v>
          </cell>
          <cell r="O459">
            <v>674787.72969696973</v>
          </cell>
          <cell r="P459">
            <v>0</v>
          </cell>
          <cell r="Q459">
            <v>0</v>
          </cell>
          <cell r="R459">
            <v>111661.33333333333</v>
          </cell>
          <cell r="S459">
            <v>674787.72969696973</v>
          </cell>
          <cell r="T459">
            <v>154632</v>
          </cell>
          <cell r="U459">
            <v>41873</v>
          </cell>
          <cell r="V459">
            <v>248695</v>
          </cell>
        </row>
        <row r="460">
          <cell r="D460" t="str">
            <v>Máy phát điện lưu động 30kW</v>
          </cell>
          <cell r="E460" t="str">
            <v>Mobile genorator 30kW</v>
          </cell>
          <cell r="F460">
            <v>24</v>
          </cell>
          <cell r="J460">
            <v>1</v>
          </cell>
          <cell r="K460">
            <v>41873</v>
          </cell>
          <cell r="L460">
            <v>281701</v>
          </cell>
          <cell r="M460">
            <v>349368.2181818182</v>
          </cell>
          <cell r="N460">
            <v>111661.33333333333</v>
          </cell>
          <cell r="O460">
            <v>742730.55151515163</v>
          </cell>
          <cell r="P460">
            <v>16.937100000000001</v>
          </cell>
          <cell r="Q460">
            <v>5917284.4481672738</v>
          </cell>
          <cell r="R460">
            <v>111661.33333333333</v>
          </cell>
          <cell r="S460">
            <v>742730.55151515151</v>
          </cell>
          <cell r="T460">
            <v>171814</v>
          </cell>
          <cell r="U460">
            <v>41873</v>
          </cell>
          <cell r="V460">
            <v>281701</v>
          </cell>
        </row>
        <row r="461">
          <cell r="F461">
            <v>28.8</v>
          </cell>
          <cell r="J461">
            <v>1</v>
          </cell>
          <cell r="K461">
            <v>41873</v>
          </cell>
          <cell r="L461">
            <v>324962</v>
          </cell>
          <cell r="M461">
            <v>419241.86181818182</v>
          </cell>
          <cell r="N461">
            <v>111661.33333333333</v>
          </cell>
          <cell r="O461">
            <v>855865.19515151519</v>
          </cell>
          <cell r="P461">
            <v>0</v>
          </cell>
          <cell r="Q461">
            <v>0</v>
          </cell>
          <cell r="R461">
            <v>111661.33333333333</v>
          </cell>
          <cell r="S461">
            <v>855865.19515151519</v>
          </cell>
          <cell r="T461">
            <v>206176</v>
          </cell>
          <cell r="U461">
            <v>41873</v>
          </cell>
          <cell r="V461">
            <v>324962</v>
          </cell>
        </row>
        <row r="462">
          <cell r="F462">
            <v>31.2</v>
          </cell>
          <cell r="J462">
            <v>1</v>
          </cell>
          <cell r="K462">
            <v>41873</v>
          </cell>
          <cell r="L462">
            <v>351596</v>
          </cell>
          <cell r="M462">
            <v>454178.6836363636</v>
          </cell>
          <cell r="N462">
            <v>111661.33333333333</v>
          </cell>
          <cell r="O462">
            <v>917436.01696969697</v>
          </cell>
          <cell r="P462">
            <v>0</v>
          </cell>
          <cell r="Q462">
            <v>0</v>
          </cell>
          <cell r="R462">
            <v>111661.33333333333</v>
          </cell>
          <cell r="S462">
            <v>917436.01696969697</v>
          </cell>
          <cell r="T462">
            <v>223358</v>
          </cell>
          <cell r="U462">
            <v>41873</v>
          </cell>
          <cell r="V462">
            <v>351596</v>
          </cell>
        </row>
        <row r="463">
          <cell r="D463" t="str">
            <v>Máy phát điện lưu động 50kW</v>
          </cell>
          <cell r="E463" t="str">
            <v>Mobile genorator 50kW</v>
          </cell>
          <cell r="F463">
            <v>36</v>
          </cell>
          <cell r="J463">
            <v>1</v>
          </cell>
          <cell r="K463">
            <v>41873</v>
          </cell>
          <cell r="L463">
            <v>398931</v>
          </cell>
          <cell r="M463">
            <v>524052.32727272721</v>
          </cell>
          <cell r="N463">
            <v>111661.33333333333</v>
          </cell>
          <cell r="O463">
            <v>1034644.6606060605</v>
          </cell>
          <cell r="P463">
            <v>0</v>
          </cell>
          <cell r="Q463">
            <v>0</v>
          </cell>
          <cell r="R463">
            <v>111661.33333333333</v>
          </cell>
          <cell r="S463">
            <v>1034644.6606060605</v>
          </cell>
          <cell r="T463">
            <v>257720</v>
          </cell>
          <cell r="U463">
            <v>41873</v>
          </cell>
          <cell r="V463">
            <v>398931</v>
          </cell>
        </row>
        <row r="464">
          <cell r="F464">
            <v>40.5</v>
          </cell>
          <cell r="J464">
            <v>1</v>
          </cell>
          <cell r="K464">
            <v>41873</v>
          </cell>
          <cell r="L464">
            <v>428520</v>
          </cell>
          <cell r="M464">
            <v>589558.86818181816</v>
          </cell>
          <cell r="N464">
            <v>111661.33333333333</v>
          </cell>
          <cell r="O464">
            <v>1129740.2015151514</v>
          </cell>
          <cell r="P464">
            <v>0</v>
          </cell>
          <cell r="Q464">
            <v>0</v>
          </cell>
          <cell r="R464">
            <v>111661.33333333333</v>
          </cell>
          <cell r="S464">
            <v>1129740.2015151517</v>
          </cell>
          <cell r="T464">
            <v>289935</v>
          </cell>
          <cell r="U464">
            <v>41873</v>
          </cell>
          <cell r="V464">
            <v>428520</v>
          </cell>
        </row>
        <row r="465">
          <cell r="D465" t="str">
            <v>Máy phát điện lưu động 75kW</v>
          </cell>
          <cell r="E465" t="str">
            <v>Mobile genorator 75kW</v>
          </cell>
          <cell r="F465">
            <v>45</v>
          </cell>
          <cell r="J465">
            <v>1</v>
          </cell>
          <cell r="K465">
            <v>48658</v>
          </cell>
          <cell r="L465">
            <v>492456</v>
          </cell>
          <cell r="M465">
            <v>655065.40909090906</v>
          </cell>
          <cell r="N465">
            <v>129754.66666666666</v>
          </cell>
          <cell r="O465">
            <v>1277276.0757575759</v>
          </cell>
          <cell r="P465">
            <v>0</v>
          </cell>
          <cell r="Q465">
            <v>0</v>
          </cell>
          <cell r="R465">
            <v>129754.66666666666</v>
          </cell>
          <cell r="S465">
            <v>1277276.0757575757</v>
          </cell>
          <cell r="T465">
            <v>322151</v>
          </cell>
          <cell r="U465">
            <v>48658</v>
          </cell>
          <cell r="V465">
            <v>492456</v>
          </cell>
        </row>
        <row r="466">
          <cell r="F466">
            <v>68.25</v>
          </cell>
          <cell r="J466">
            <v>1</v>
          </cell>
          <cell r="K466">
            <v>48658</v>
          </cell>
          <cell r="L466">
            <v>742812</v>
          </cell>
          <cell r="M466">
            <v>993515.87045454537</v>
          </cell>
          <cell r="N466">
            <v>129754.66666666666</v>
          </cell>
          <cell r="O466">
            <v>1866082.5371212121</v>
          </cell>
          <cell r="P466">
            <v>0</v>
          </cell>
          <cell r="Q466">
            <v>0</v>
          </cell>
          <cell r="R466">
            <v>129754.66666666666</v>
          </cell>
          <cell r="S466">
            <v>1866082.5371212121</v>
          </cell>
          <cell r="T466">
            <v>488595</v>
          </cell>
          <cell r="U466">
            <v>48658</v>
          </cell>
          <cell r="V466">
            <v>742812</v>
          </cell>
        </row>
        <row r="467">
          <cell r="E467" t="str">
            <v>Mobile genorator 122kW</v>
          </cell>
          <cell r="F467">
            <v>75.599999999999994</v>
          </cell>
          <cell r="J467">
            <v>1</v>
          </cell>
          <cell r="K467">
            <v>48658</v>
          </cell>
          <cell r="L467">
            <v>794098</v>
          </cell>
          <cell r="M467">
            <v>1100509.887272727</v>
          </cell>
          <cell r="N467">
            <v>129754.66666666666</v>
          </cell>
          <cell r="O467">
            <v>2024362.5539393937</v>
          </cell>
          <cell r="P467">
            <v>0</v>
          </cell>
          <cell r="Q467">
            <v>0</v>
          </cell>
          <cell r="R467">
            <v>129754.66666666666</v>
          </cell>
          <cell r="S467">
            <v>2024362.5539393937</v>
          </cell>
          <cell r="T467">
            <v>541213</v>
          </cell>
          <cell r="U467">
            <v>48658</v>
          </cell>
          <cell r="V467">
            <v>794098</v>
          </cell>
        </row>
        <row r="468">
          <cell r="K468">
            <v>0</v>
          </cell>
          <cell r="L468">
            <v>0</v>
          </cell>
          <cell r="N468">
            <v>0</v>
          </cell>
          <cell r="O468">
            <v>0</v>
          </cell>
          <cell r="P468">
            <v>0</v>
          </cell>
          <cell r="Q468">
            <v>0</v>
          </cell>
          <cell r="R468">
            <v>0</v>
          </cell>
          <cell r="S468">
            <v>0</v>
          </cell>
        </row>
        <row r="469">
          <cell r="H469">
            <v>0.63</v>
          </cell>
          <cell r="J469">
            <v>1</v>
          </cell>
          <cell r="K469">
            <v>48658</v>
          </cell>
          <cell r="L469">
            <v>56806</v>
          </cell>
          <cell r="M469">
            <v>9113.8005000000012</v>
          </cell>
          <cell r="N469">
            <v>129754.66666666666</v>
          </cell>
          <cell r="O469">
            <v>195674.46716666664</v>
          </cell>
          <cell r="P469">
            <v>0</v>
          </cell>
          <cell r="Q469">
            <v>0</v>
          </cell>
          <cell r="R469">
            <v>129754.66666666666</v>
          </cell>
          <cell r="S469">
            <v>195674.46716666667</v>
          </cell>
          <cell r="T469">
            <v>5486</v>
          </cell>
          <cell r="U469">
            <v>48658</v>
          </cell>
          <cell r="V469">
            <v>56806</v>
          </cell>
        </row>
        <row r="470">
          <cell r="D470" t="str">
            <v>Máy nén khí 11m3/ph</v>
          </cell>
          <cell r="H470">
            <v>1.8</v>
          </cell>
          <cell r="J470">
            <v>1</v>
          </cell>
          <cell r="K470">
            <v>48658</v>
          </cell>
          <cell r="L470">
            <v>68287</v>
          </cell>
          <cell r="M470">
            <v>26039.43</v>
          </cell>
          <cell r="N470">
            <v>129754.66666666666</v>
          </cell>
          <cell r="O470">
            <v>224081.09666666665</v>
          </cell>
          <cell r="P470">
            <v>0</v>
          </cell>
          <cell r="Q470">
            <v>0</v>
          </cell>
          <cell r="R470">
            <v>129754.66666666666</v>
          </cell>
          <cell r="S470">
            <v>224081.09666666665</v>
          </cell>
          <cell r="T470">
            <v>15676</v>
          </cell>
          <cell r="U470">
            <v>48658</v>
          </cell>
          <cell r="V470">
            <v>68287</v>
          </cell>
        </row>
        <row r="471">
          <cell r="H471">
            <v>2.88</v>
          </cell>
          <cell r="J471">
            <v>1</v>
          </cell>
          <cell r="K471">
            <v>48658</v>
          </cell>
          <cell r="L471">
            <v>81266</v>
          </cell>
          <cell r="M471">
            <v>41663.087999999996</v>
          </cell>
          <cell r="N471">
            <v>129754.66666666666</v>
          </cell>
          <cell r="O471">
            <v>252683.75466666665</v>
          </cell>
          <cell r="P471">
            <v>0</v>
          </cell>
          <cell r="Q471">
            <v>0</v>
          </cell>
          <cell r="R471">
            <v>129754.66666666666</v>
          </cell>
          <cell r="S471">
            <v>252683.75466666665</v>
          </cell>
          <cell r="T471">
            <v>25081</v>
          </cell>
          <cell r="U471">
            <v>48658</v>
          </cell>
          <cell r="V471">
            <v>81266</v>
          </cell>
        </row>
        <row r="472">
          <cell r="H472">
            <v>7.8</v>
          </cell>
          <cell r="J472">
            <v>1</v>
          </cell>
          <cell r="K472">
            <v>48658</v>
          </cell>
          <cell r="L472">
            <v>136731</v>
          </cell>
          <cell r="M472">
            <v>112837.53</v>
          </cell>
          <cell r="N472">
            <v>129754.66666666666</v>
          </cell>
          <cell r="O472">
            <v>379323.19666666666</v>
          </cell>
          <cell r="P472">
            <v>0</v>
          </cell>
          <cell r="Q472">
            <v>0</v>
          </cell>
          <cell r="R472">
            <v>129754.66666666666</v>
          </cell>
          <cell r="S472">
            <v>379323.19666666666</v>
          </cell>
          <cell r="T472">
            <v>67927</v>
          </cell>
          <cell r="U472">
            <v>48658</v>
          </cell>
          <cell r="V472">
            <v>136731</v>
          </cell>
        </row>
        <row r="473">
          <cell r="H473">
            <v>14.4</v>
          </cell>
          <cell r="J473">
            <v>1</v>
          </cell>
          <cell r="K473">
            <v>48658</v>
          </cell>
          <cell r="L473">
            <v>233178</v>
          </cell>
          <cell r="M473">
            <v>208315.44</v>
          </cell>
          <cell r="N473">
            <v>129754.66666666666</v>
          </cell>
          <cell r="O473">
            <v>571248.10666666669</v>
          </cell>
          <cell r="P473">
            <v>0</v>
          </cell>
          <cell r="Q473">
            <v>0</v>
          </cell>
          <cell r="R473">
            <v>129754.66666666666</v>
          </cell>
          <cell r="S473">
            <v>571248.10666666669</v>
          </cell>
          <cell r="T473">
            <v>125405</v>
          </cell>
          <cell r="U473">
            <v>48658</v>
          </cell>
          <cell r="V473">
            <v>233178</v>
          </cell>
        </row>
        <row r="474">
          <cell r="H474">
            <v>24</v>
          </cell>
          <cell r="J474">
            <v>1</v>
          </cell>
          <cell r="K474">
            <v>48658</v>
          </cell>
          <cell r="L474">
            <v>352352</v>
          </cell>
          <cell r="M474">
            <v>347192.4</v>
          </cell>
          <cell r="N474">
            <v>129754.66666666666</v>
          </cell>
          <cell r="O474">
            <v>829299.06666666665</v>
          </cell>
          <cell r="P474">
            <v>0</v>
          </cell>
          <cell r="Q474">
            <v>0</v>
          </cell>
          <cell r="R474">
            <v>129754.66666666666</v>
          </cell>
          <cell r="S474">
            <v>829299.06666666665</v>
          </cell>
          <cell r="T474">
            <v>209008</v>
          </cell>
          <cell r="U474">
            <v>48658</v>
          </cell>
          <cell r="V474">
            <v>352352</v>
          </cell>
        </row>
        <row r="475">
          <cell r="E475" t="str">
            <v>diesel air compressor 300m3/h</v>
          </cell>
          <cell r="H475">
            <v>33</v>
          </cell>
          <cell r="J475">
            <v>1</v>
          </cell>
          <cell r="K475">
            <v>48658</v>
          </cell>
          <cell r="L475">
            <v>472474</v>
          </cell>
          <cell r="M475">
            <v>477389.55</v>
          </cell>
          <cell r="N475">
            <v>129754.66666666666</v>
          </cell>
          <cell r="O475">
            <v>1079618.2166666668</v>
          </cell>
          <cell r="P475">
            <v>0</v>
          </cell>
          <cell r="Q475">
            <v>0</v>
          </cell>
          <cell r="R475">
            <v>129754.66666666666</v>
          </cell>
          <cell r="S475">
            <v>1079618.2166666668</v>
          </cell>
          <cell r="T475">
            <v>287385</v>
          </cell>
          <cell r="U475">
            <v>48658</v>
          </cell>
          <cell r="V475">
            <v>472474</v>
          </cell>
        </row>
        <row r="476">
          <cell r="H476">
            <v>46.2</v>
          </cell>
          <cell r="J476">
            <v>1</v>
          </cell>
          <cell r="K476">
            <v>48658</v>
          </cell>
          <cell r="L476">
            <v>742071</v>
          </cell>
          <cell r="M476">
            <v>668345.37</v>
          </cell>
          <cell r="N476">
            <v>129754.66666666666</v>
          </cell>
          <cell r="O476">
            <v>1540171.0366666669</v>
          </cell>
          <cell r="P476">
            <v>0</v>
          </cell>
          <cell r="Q476">
            <v>0</v>
          </cell>
          <cell r="R476">
            <v>129754.66666666666</v>
          </cell>
          <cell r="S476">
            <v>1540171.0366666666</v>
          </cell>
          <cell r="T476">
            <v>402340</v>
          </cell>
          <cell r="U476">
            <v>48658</v>
          </cell>
          <cell r="V476">
            <v>742071</v>
          </cell>
        </row>
        <row r="477">
          <cell r="K477">
            <v>0</v>
          </cell>
          <cell r="L477">
            <v>0</v>
          </cell>
          <cell r="N477">
            <v>0</v>
          </cell>
          <cell r="O477">
            <v>0</v>
          </cell>
          <cell r="P477">
            <v>0</v>
          </cell>
          <cell r="Q477">
            <v>0</v>
          </cell>
          <cell r="R477">
            <v>0</v>
          </cell>
          <cell r="S477">
            <v>0</v>
          </cell>
        </row>
        <row r="478">
          <cell r="F478">
            <v>0.62700000000000011</v>
          </cell>
          <cell r="J478">
            <v>1</v>
          </cell>
          <cell r="K478">
            <v>48658</v>
          </cell>
          <cell r="L478">
            <v>55610</v>
          </cell>
          <cell r="M478">
            <v>9127.2447000000011</v>
          </cell>
          <cell r="N478">
            <v>129754.66666666666</v>
          </cell>
          <cell r="O478">
            <v>194491.91136666667</v>
          </cell>
          <cell r="P478">
            <v>0</v>
          </cell>
          <cell r="Q478">
            <v>0</v>
          </cell>
          <cell r="R478">
            <v>129754.66666666666</v>
          </cell>
          <cell r="S478">
            <v>194491.91136666667</v>
          </cell>
          <cell r="T478">
            <v>4510</v>
          </cell>
          <cell r="U478">
            <v>48658</v>
          </cell>
          <cell r="V478">
            <v>55610</v>
          </cell>
        </row>
        <row r="479">
          <cell r="F479">
            <v>5.76</v>
          </cell>
          <cell r="J479">
            <v>1</v>
          </cell>
          <cell r="K479">
            <v>48658</v>
          </cell>
          <cell r="L479">
            <v>107572</v>
          </cell>
          <cell r="M479">
            <v>83848.372363636357</v>
          </cell>
          <cell r="N479">
            <v>129754.66666666666</v>
          </cell>
          <cell r="O479">
            <v>321175.03903030301</v>
          </cell>
          <cell r="P479">
            <v>0</v>
          </cell>
          <cell r="Q479">
            <v>0</v>
          </cell>
          <cell r="R479">
            <v>129754.66666666666</v>
          </cell>
          <cell r="S479">
            <v>321175.03903030301</v>
          </cell>
          <cell r="T479">
            <v>41235</v>
          </cell>
          <cell r="U479">
            <v>48658</v>
          </cell>
          <cell r="V479">
            <v>107572</v>
          </cell>
        </row>
        <row r="480">
          <cell r="F480">
            <v>13.2</v>
          </cell>
          <cell r="J480">
            <v>1</v>
          </cell>
          <cell r="K480">
            <v>48658</v>
          </cell>
          <cell r="L480">
            <v>173268</v>
          </cell>
          <cell r="M480">
            <v>192152.51999999996</v>
          </cell>
          <cell r="N480">
            <v>129754.66666666666</v>
          </cell>
          <cell r="O480">
            <v>495175.18666666665</v>
          </cell>
          <cell r="P480">
            <v>0</v>
          </cell>
          <cell r="Q480">
            <v>0</v>
          </cell>
          <cell r="R480">
            <v>129754.66666666666</v>
          </cell>
          <cell r="S480">
            <v>495175.18666666665</v>
          </cell>
          <cell r="T480">
            <v>94497</v>
          </cell>
          <cell r="U480">
            <v>48658</v>
          </cell>
          <cell r="V480">
            <v>173268</v>
          </cell>
        </row>
        <row r="481">
          <cell r="F481">
            <v>13.86</v>
          </cell>
          <cell r="J481">
            <v>1</v>
          </cell>
          <cell r="K481">
            <v>48658</v>
          </cell>
          <cell r="L481">
            <v>188490</v>
          </cell>
          <cell r="M481">
            <v>201760.14599999998</v>
          </cell>
          <cell r="N481">
            <v>129754.66666666666</v>
          </cell>
          <cell r="O481">
            <v>520004.81266666658</v>
          </cell>
          <cell r="P481">
            <v>0</v>
          </cell>
          <cell r="Q481">
            <v>0</v>
          </cell>
          <cell r="R481">
            <v>129754.66666666666</v>
          </cell>
          <cell r="S481">
            <v>520004.81266666664</v>
          </cell>
          <cell r="T481">
            <v>99222</v>
          </cell>
          <cell r="U481">
            <v>48658</v>
          </cell>
          <cell r="V481">
            <v>188490</v>
          </cell>
        </row>
        <row r="482">
          <cell r="F482">
            <v>18</v>
          </cell>
          <cell r="J482">
            <v>1</v>
          </cell>
          <cell r="K482">
            <v>48658</v>
          </cell>
          <cell r="L482">
            <v>272091</v>
          </cell>
          <cell r="M482">
            <v>262026.16363636361</v>
          </cell>
          <cell r="N482">
            <v>129754.66666666666</v>
          </cell>
          <cell r="O482">
            <v>663871.8303030302</v>
          </cell>
          <cell r="P482">
            <v>0</v>
          </cell>
          <cell r="Q482">
            <v>0</v>
          </cell>
          <cell r="R482">
            <v>129754.66666666666</v>
          </cell>
          <cell r="S482">
            <v>663871.83030303032</v>
          </cell>
          <cell r="T482">
            <v>128860</v>
          </cell>
          <cell r="U482">
            <v>48658</v>
          </cell>
          <cell r="V482">
            <v>272091</v>
          </cell>
        </row>
        <row r="483">
          <cell r="D483" t="str">
            <v>Máy nén khí 240m3/h</v>
          </cell>
          <cell r="E483" t="str">
            <v>diesel air compressor 240m3/h</v>
          </cell>
          <cell r="F483">
            <v>27.54</v>
          </cell>
          <cell r="J483">
            <v>1</v>
          </cell>
          <cell r="K483">
            <v>48658</v>
          </cell>
          <cell r="L483">
            <v>358623</v>
          </cell>
          <cell r="M483">
            <v>400900.03036363632</v>
          </cell>
          <cell r="N483">
            <v>129754.66666666666</v>
          </cell>
          <cell r="O483">
            <v>889277.69703030295</v>
          </cell>
          <cell r="P483">
            <v>64.963503000000003</v>
          </cell>
          <cell r="Q483">
            <v>26043870.325228181</v>
          </cell>
          <cell r="R483">
            <v>129754.66666666666</v>
          </cell>
          <cell r="S483">
            <v>889277.69703030295</v>
          </cell>
          <cell r="T483">
            <v>197156</v>
          </cell>
          <cell r="U483">
            <v>48658</v>
          </cell>
          <cell r="V483">
            <v>358623</v>
          </cell>
        </row>
        <row r="484">
          <cell r="D484" t="str">
            <v>Máy nén khí 300m3/h</v>
          </cell>
          <cell r="E484" t="str">
            <v>diesel air compressor 300m3/h</v>
          </cell>
          <cell r="F484">
            <v>32.4</v>
          </cell>
          <cell r="J484">
            <v>1</v>
          </cell>
          <cell r="K484">
            <v>48658</v>
          </cell>
          <cell r="L484">
            <v>396551</v>
          </cell>
          <cell r="M484">
            <v>471647.09454545449</v>
          </cell>
          <cell r="N484">
            <v>129754.66666666666</v>
          </cell>
          <cell r="O484">
            <v>997952.76121212111</v>
          </cell>
          <cell r="P484">
            <v>0</v>
          </cell>
          <cell r="Q484">
            <v>0</v>
          </cell>
          <cell r="R484">
            <v>129754.66666666666</v>
          </cell>
          <cell r="S484">
            <v>997952.76121212111</v>
          </cell>
          <cell r="T484">
            <v>231948</v>
          </cell>
          <cell r="U484">
            <v>48658</v>
          </cell>
          <cell r="V484">
            <v>396551</v>
          </cell>
        </row>
        <row r="485">
          <cell r="D485" t="str">
            <v>Máy nén khí 360m3/h</v>
          </cell>
          <cell r="E485" t="str">
            <v>diesel air compressor 360m3/h</v>
          </cell>
          <cell r="F485">
            <v>34.56</v>
          </cell>
          <cell r="J485">
            <v>1</v>
          </cell>
          <cell r="K485">
            <v>48658</v>
          </cell>
          <cell r="L485">
            <v>441248</v>
          </cell>
          <cell r="M485">
            <v>503090.2341818182</v>
          </cell>
          <cell r="N485">
            <v>129754.66666666666</v>
          </cell>
          <cell r="O485">
            <v>1074092.9008484848</v>
          </cell>
          <cell r="P485">
            <v>38.994839999999996</v>
          </cell>
          <cell r="Q485">
            <v>19617923.187482528</v>
          </cell>
          <cell r="R485">
            <v>129754.66666666666</v>
          </cell>
          <cell r="S485">
            <v>1074092.9008484848</v>
          </cell>
          <cell r="T485">
            <v>247412</v>
          </cell>
          <cell r="U485">
            <v>48658</v>
          </cell>
          <cell r="V485">
            <v>441248</v>
          </cell>
        </row>
        <row r="486">
          <cell r="D486" t="str">
            <v>Máy nén khí 420m3/h</v>
          </cell>
          <cell r="E486" t="str">
            <v>diesel air compressor 420m3/h</v>
          </cell>
          <cell r="F486">
            <v>37.799999999999997</v>
          </cell>
          <cell r="J486">
            <v>1</v>
          </cell>
          <cell r="K486">
            <v>48658</v>
          </cell>
          <cell r="L486">
            <v>492522</v>
          </cell>
          <cell r="M486">
            <v>550254.94363636349</v>
          </cell>
          <cell r="N486">
            <v>129754.66666666666</v>
          </cell>
          <cell r="O486">
            <v>1172531.6103030301</v>
          </cell>
          <cell r="P486">
            <v>0</v>
          </cell>
          <cell r="Q486">
            <v>0</v>
          </cell>
          <cell r="R486">
            <v>129754.66666666666</v>
          </cell>
          <cell r="S486">
            <v>1172531.6103030301</v>
          </cell>
          <cell r="T486">
            <v>270606</v>
          </cell>
          <cell r="U486">
            <v>48658</v>
          </cell>
          <cell r="V486">
            <v>492522</v>
          </cell>
        </row>
        <row r="487">
          <cell r="D487" t="str">
            <v>Máy nén khí 540m3/h</v>
          </cell>
          <cell r="E487" t="str">
            <v>diesel air compressor 540m3/h</v>
          </cell>
          <cell r="F487">
            <v>36.479999999999997</v>
          </cell>
          <cell r="J487">
            <v>1</v>
          </cell>
          <cell r="K487">
            <v>48658</v>
          </cell>
          <cell r="L487">
            <v>520015</v>
          </cell>
          <cell r="M487">
            <v>531039.69163636351</v>
          </cell>
          <cell r="N487">
            <v>129754.66666666666</v>
          </cell>
          <cell r="O487">
            <v>1180809.3583030303</v>
          </cell>
          <cell r="P487">
            <v>0</v>
          </cell>
          <cell r="Q487">
            <v>0</v>
          </cell>
          <cell r="R487">
            <v>129754.66666666666</v>
          </cell>
          <cell r="S487">
            <v>1180809.35830303</v>
          </cell>
          <cell r="T487">
            <v>261157</v>
          </cell>
          <cell r="U487">
            <v>48658</v>
          </cell>
          <cell r="V487">
            <v>520015</v>
          </cell>
        </row>
        <row r="488">
          <cell r="D488" t="str">
            <v>Máy nén khí 600m3/h</v>
          </cell>
          <cell r="E488" t="str">
            <v>diesel air compressor 600m3/h</v>
          </cell>
          <cell r="F488">
            <v>38.4</v>
          </cell>
          <cell r="J488">
            <v>1</v>
          </cell>
          <cell r="K488">
            <v>48658</v>
          </cell>
          <cell r="L488">
            <v>542174</v>
          </cell>
          <cell r="M488">
            <v>558989.14909090893</v>
          </cell>
          <cell r="N488">
            <v>129754.66666666666</v>
          </cell>
          <cell r="O488">
            <v>1230917.8157575757</v>
          </cell>
          <cell r="P488">
            <v>361.69013645500002</v>
          </cell>
          <cell r="Q488">
            <v>202180861.61155519</v>
          </cell>
          <cell r="R488">
            <v>129754.66666666666</v>
          </cell>
          <cell r="S488">
            <v>1230917.8157575754</v>
          </cell>
          <cell r="T488">
            <v>274902</v>
          </cell>
          <cell r="U488">
            <v>48658</v>
          </cell>
          <cell r="V488">
            <v>542174</v>
          </cell>
        </row>
        <row r="489">
          <cell r="D489" t="str">
            <v>Máy nén khí 660m3/h</v>
          </cell>
          <cell r="E489" t="str">
            <v>diesel air compressor 660m3/h</v>
          </cell>
          <cell r="F489">
            <v>38.880000000000003</v>
          </cell>
          <cell r="J489">
            <v>1</v>
          </cell>
          <cell r="K489">
            <v>48658</v>
          </cell>
          <cell r="L489">
            <v>594434</v>
          </cell>
          <cell r="M489">
            <v>565976.51345454541</v>
          </cell>
          <cell r="N489">
            <v>129754.66666666666</v>
          </cell>
          <cell r="O489">
            <v>1290165.180121212</v>
          </cell>
          <cell r="P489">
            <v>0</v>
          </cell>
          <cell r="Q489">
            <v>0</v>
          </cell>
          <cell r="R489">
            <v>129754.66666666666</v>
          </cell>
          <cell r="S489">
            <v>1290165.180121212</v>
          </cell>
          <cell r="T489">
            <v>278338</v>
          </cell>
          <cell r="U489">
            <v>48658</v>
          </cell>
          <cell r="V489">
            <v>594434</v>
          </cell>
        </row>
        <row r="490">
          <cell r="D490" t="str">
            <v>Máy nén khí 1200m3/h</v>
          </cell>
          <cell r="E490" t="str">
            <v>diesel air compressor 1200m3/h</v>
          </cell>
          <cell r="F490">
            <v>75</v>
          </cell>
          <cell r="J490">
            <v>1</v>
          </cell>
          <cell r="K490">
            <v>48658</v>
          </cell>
          <cell r="L490">
            <v>1170565</v>
          </cell>
          <cell r="M490">
            <v>1091775.6818181816</v>
          </cell>
          <cell r="N490">
            <v>129754.66666666666</v>
          </cell>
          <cell r="O490">
            <v>2392095.3484848482</v>
          </cell>
          <cell r="P490">
            <v>0</v>
          </cell>
          <cell r="Q490">
            <v>0</v>
          </cell>
          <cell r="R490">
            <v>129754.66666666666</v>
          </cell>
          <cell r="S490">
            <v>2392095.3484848486</v>
          </cell>
          <cell r="T490">
            <v>536918</v>
          </cell>
          <cell r="U490">
            <v>48658</v>
          </cell>
          <cell r="V490">
            <v>1170565</v>
          </cell>
        </row>
        <row r="491">
          <cell r="K491">
            <v>0</v>
          </cell>
          <cell r="L491">
            <v>0</v>
          </cell>
          <cell r="N491">
            <v>0</v>
          </cell>
          <cell r="O491">
            <v>0</v>
          </cell>
          <cell r="P491">
            <v>0</v>
          </cell>
          <cell r="Q491">
            <v>0</v>
          </cell>
          <cell r="R491">
            <v>0</v>
          </cell>
          <cell r="S491">
            <v>0</v>
          </cell>
        </row>
        <row r="492">
          <cell r="G492">
            <v>1.845</v>
          </cell>
          <cell r="J492">
            <v>1</v>
          </cell>
          <cell r="K492">
            <v>41873</v>
          </cell>
          <cell r="L492">
            <v>44781</v>
          </cell>
          <cell r="M492">
            <v>1211.8319774999998</v>
          </cell>
          <cell r="N492">
            <v>111661.33333333333</v>
          </cell>
          <cell r="O492">
            <v>157654.16531083331</v>
          </cell>
          <cell r="P492">
            <v>0</v>
          </cell>
          <cell r="Q492">
            <v>0</v>
          </cell>
          <cell r="R492">
            <v>111661.33333333333</v>
          </cell>
          <cell r="S492">
            <v>157654.16531083331</v>
          </cell>
          <cell r="T492">
            <v>1772</v>
          </cell>
          <cell r="U492">
            <v>41873</v>
          </cell>
          <cell r="V492">
            <v>44781</v>
          </cell>
        </row>
        <row r="493">
          <cell r="G493">
            <v>5.4119999999999999</v>
          </cell>
          <cell r="J493">
            <v>1</v>
          </cell>
          <cell r="K493">
            <v>41873</v>
          </cell>
          <cell r="L493">
            <v>48893</v>
          </cell>
          <cell r="M493">
            <v>3554.7071339999998</v>
          </cell>
          <cell r="N493">
            <v>111661.33333333333</v>
          </cell>
          <cell r="O493">
            <v>164109.04046733334</v>
          </cell>
          <cell r="P493">
            <v>0</v>
          </cell>
          <cell r="Q493">
            <v>0</v>
          </cell>
          <cell r="R493">
            <v>111661.33333333333</v>
          </cell>
          <cell r="S493">
            <v>164109.04046733334</v>
          </cell>
          <cell r="T493">
            <v>5181</v>
          </cell>
          <cell r="U493">
            <v>41873</v>
          </cell>
          <cell r="V493">
            <v>48893</v>
          </cell>
        </row>
        <row r="494">
          <cell r="G494">
            <v>6.8970000000000002</v>
          </cell>
          <cell r="J494">
            <v>1</v>
          </cell>
          <cell r="K494">
            <v>41873</v>
          </cell>
          <cell r="L494">
            <v>51302</v>
          </cell>
          <cell r="M494">
            <v>4530.0840914999999</v>
          </cell>
          <cell r="N494">
            <v>111661.33333333333</v>
          </cell>
          <cell r="O494">
            <v>167493.41742483334</v>
          </cell>
          <cell r="P494">
            <v>0</v>
          </cell>
          <cell r="Q494">
            <v>0</v>
          </cell>
          <cell r="R494">
            <v>111661.33333333333</v>
          </cell>
          <cell r="S494">
            <v>167493.41742483334</v>
          </cell>
          <cell r="T494">
            <v>6608</v>
          </cell>
          <cell r="U494">
            <v>41873</v>
          </cell>
          <cell r="V494">
            <v>51302</v>
          </cell>
        </row>
        <row r="495">
          <cell r="G495">
            <v>10.050000000000001</v>
          </cell>
          <cell r="J495">
            <v>1</v>
          </cell>
          <cell r="K495">
            <v>41873</v>
          </cell>
          <cell r="L495">
            <v>56090</v>
          </cell>
          <cell r="M495">
            <v>6601.0359749999998</v>
          </cell>
          <cell r="N495">
            <v>111661.33333333333</v>
          </cell>
          <cell r="O495">
            <v>174352.36930833332</v>
          </cell>
          <cell r="P495">
            <v>0</v>
          </cell>
          <cell r="Q495">
            <v>0</v>
          </cell>
          <cell r="R495">
            <v>111661.33333333333</v>
          </cell>
          <cell r="S495">
            <v>174352.36930833332</v>
          </cell>
          <cell r="T495">
            <v>9624</v>
          </cell>
          <cell r="U495">
            <v>41873</v>
          </cell>
          <cell r="V495">
            <v>56090</v>
          </cell>
        </row>
        <row r="496">
          <cell r="G496">
            <v>16.77</v>
          </cell>
          <cell r="J496">
            <v>1</v>
          </cell>
          <cell r="K496">
            <v>41873</v>
          </cell>
          <cell r="L496">
            <v>78000</v>
          </cell>
          <cell r="M496">
            <v>11014.863014999997</v>
          </cell>
          <cell r="N496">
            <v>111661.33333333333</v>
          </cell>
          <cell r="O496">
            <v>200676.19634833332</v>
          </cell>
          <cell r="P496">
            <v>0</v>
          </cell>
          <cell r="Q496">
            <v>0</v>
          </cell>
          <cell r="R496">
            <v>111661.33333333333</v>
          </cell>
          <cell r="S496">
            <v>200676.19634833332</v>
          </cell>
          <cell r="T496">
            <v>16060</v>
          </cell>
          <cell r="U496">
            <v>41873</v>
          </cell>
          <cell r="V496">
            <v>78000</v>
          </cell>
        </row>
        <row r="497">
          <cell r="G497">
            <v>44.28</v>
          </cell>
          <cell r="J497">
            <v>1</v>
          </cell>
          <cell r="K497">
            <v>41873</v>
          </cell>
          <cell r="L497">
            <v>123948</v>
          </cell>
          <cell r="M497">
            <v>29083.96746</v>
          </cell>
          <cell r="N497">
            <v>111661.33333333333</v>
          </cell>
          <cell r="O497">
            <v>264693.30079333333</v>
          </cell>
          <cell r="P497">
            <v>0</v>
          </cell>
          <cell r="Q497">
            <v>0</v>
          </cell>
          <cell r="R497">
            <v>111661.33333333333</v>
          </cell>
          <cell r="S497">
            <v>264693.30079333333</v>
          </cell>
          <cell r="T497">
            <v>42405</v>
          </cell>
          <cell r="U497">
            <v>41873</v>
          </cell>
          <cell r="V497">
            <v>123948</v>
          </cell>
        </row>
        <row r="498">
          <cell r="G498">
            <v>52.38</v>
          </cell>
          <cell r="J498">
            <v>1</v>
          </cell>
          <cell r="K498">
            <v>41873</v>
          </cell>
          <cell r="L498">
            <v>148034</v>
          </cell>
          <cell r="M498">
            <v>34404.205409999995</v>
          </cell>
          <cell r="N498">
            <v>111661.33333333333</v>
          </cell>
          <cell r="O498">
            <v>294099.53874333331</v>
          </cell>
          <cell r="P498">
            <v>0</v>
          </cell>
          <cell r="Q498">
            <v>0</v>
          </cell>
          <cell r="R498">
            <v>111661.33333333333</v>
          </cell>
          <cell r="S498">
            <v>294099.53874333331</v>
          </cell>
          <cell r="T498">
            <v>50162</v>
          </cell>
          <cell r="U498">
            <v>41873</v>
          </cell>
          <cell r="V498">
            <v>148034</v>
          </cell>
        </row>
        <row r="499">
          <cell r="G499">
            <v>80.459999999999994</v>
          </cell>
          <cell r="J499">
            <v>1</v>
          </cell>
          <cell r="K499">
            <v>41873</v>
          </cell>
          <cell r="L499">
            <v>190739</v>
          </cell>
          <cell r="M499">
            <v>52847.696969999997</v>
          </cell>
          <cell r="N499">
            <v>111661.33333333333</v>
          </cell>
          <cell r="O499">
            <v>355248.0303033333</v>
          </cell>
          <cell r="P499">
            <v>0</v>
          </cell>
          <cell r="Q499">
            <v>0</v>
          </cell>
          <cell r="R499">
            <v>111661.33333333333</v>
          </cell>
          <cell r="S499">
            <v>355248.0303033333</v>
          </cell>
          <cell r="T499">
            <v>77053</v>
          </cell>
          <cell r="U499">
            <v>41873</v>
          </cell>
          <cell r="V499">
            <v>190739</v>
          </cell>
        </row>
        <row r="500">
          <cell r="G500">
            <v>86.4</v>
          </cell>
          <cell r="J500">
            <v>1</v>
          </cell>
          <cell r="K500">
            <v>41873</v>
          </cell>
          <cell r="L500">
            <v>215420</v>
          </cell>
          <cell r="M500">
            <v>56749.204799999992</v>
          </cell>
          <cell r="N500">
            <v>111661.33333333333</v>
          </cell>
          <cell r="O500">
            <v>383830.53813333332</v>
          </cell>
          <cell r="P500">
            <v>0</v>
          </cell>
          <cell r="Q500">
            <v>0</v>
          </cell>
          <cell r="R500">
            <v>111661.33333333333</v>
          </cell>
          <cell r="S500">
            <v>383830.53813333332</v>
          </cell>
          <cell r="T500">
            <v>82741</v>
          </cell>
          <cell r="U500">
            <v>41873</v>
          </cell>
          <cell r="V500">
            <v>215420</v>
          </cell>
        </row>
        <row r="501">
          <cell r="D501" t="str">
            <v>Máy nén khí, động cơ điện- năng suất 600m3/h</v>
          </cell>
          <cell r="E501" t="str">
            <v>Electric air compressor 600m3/h</v>
          </cell>
          <cell r="G501">
            <v>125.28</v>
          </cell>
          <cell r="J501">
            <v>1</v>
          </cell>
          <cell r="K501">
            <v>48658</v>
          </cell>
          <cell r="L501">
            <v>373403</v>
          </cell>
          <cell r="M501">
            <v>82286.346959999981</v>
          </cell>
          <cell r="N501">
            <v>129754.66666666666</v>
          </cell>
          <cell r="O501">
            <v>585444.01362666662</v>
          </cell>
          <cell r="P501">
            <v>170.59139999999999</v>
          </cell>
          <cell r="Q501">
            <v>14037343.128792141</v>
          </cell>
          <cell r="R501">
            <v>129754.66666666666</v>
          </cell>
          <cell r="S501">
            <v>585444.01362666662</v>
          </cell>
          <cell r="T501">
            <v>119974</v>
          </cell>
          <cell r="U501">
            <v>48658</v>
          </cell>
          <cell r="V501">
            <v>373403</v>
          </cell>
        </row>
        <row r="502">
          <cell r="K502">
            <v>0</v>
          </cell>
          <cell r="L502">
            <v>0</v>
          </cell>
          <cell r="N502">
            <v>0</v>
          </cell>
          <cell r="O502">
            <v>0</v>
          </cell>
          <cell r="P502">
            <v>0</v>
          </cell>
          <cell r="Q502">
            <v>0</v>
          </cell>
          <cell r="R502">
            <v>0</v>
          </cell>
          <cell r="S502">
            <v>0</v>
          </cell>
        </row>
        <row r="503">
          <cell r="G503">
            <v>84</v>
          </cell>
          <cell r="J503">
            <v>1</v>
          </cell>
          <cell r="K503">
            <v>48658</v>
          </cell>
          <cell r="L503">
            <v>156861</v>
          </cell>
          <cell r="M503">
            <v>55172.837999999996</v>
          </cell>
          <cell r="N503">
            <v>129754.66666666666</v>
          </cell>
          <cell r="O503">
            <v>341788.50466666662</v>
          </cell>
          <cell r="P503">
            <v>0</v>
          </cell>
          <cell r="Q503">
            <v>0</v>
          </cell>
          <cell r="R503">
            <v>129754.66666666666</v>
          </cell>
          <cell r="S503">
            <v>341788.50466666662</v>
          </cell>
          <cell r="T503">
            <v>80443</v>
          </cell>
          <cell r="U503">
            <v>48658</v>
          </cell>
          <cell r="V503">
            <v>156861</v>
          </cell>
        </row>
        <row r="504">
          <cell r="G504">
            <v>105</v>
          </cell>
          <cell r="J504">
            <v>1</v>
          </cell>
          <cell r="K504">
            <v>48658</v>
          </cell>
          <cell r="L504">
            <v>185136</v>
          </cell>
          <cell r="M504">
            <v>68966.047500000001</v>
          </cell>
          <cell r="N504">
            <v>129754.66666666666</v>
          </cell>
          <cell r="O504">
            <v>383856.71416666661</v>
          </cell>
          <cell r="P504">
            <v>0</v>
          </cell>
          <cell r="Q504">
            <v>0</v>
          </cell>
          <cell r="R504">
            <v>129754.66666666666</v>
          </cell>
          <cell r="S504">
            <v>383856.71416666667</v>
          </cell>
          <cell r="T504">
            <v>100553</v>
          </cell>
          <cell r="U504">
            <v>48658</v>
          </cell>
          <cell r="V504">
            <v>185136</v>
          </cell>
        </row>
        <row r="505">
          <cell r="K505">
            <v>0</v>
          </cell>
          <cell r="L505">
            <v>0</v>
          </cell>
          <cell r="N505">
            <v>0</v>
          </cell>
          <cell r="O505">
            <v>0</v>
          </cell>
          <cell r="P505">
            <v>0</v>
          </cell>
          <cell r="Q505">
            <v>0</v>
          </cell>
          <cell r="R505">
            <v>0</v>
          </cell>
          <cell r="S505">
            <v>0</v>
          </cell>
        </row>
        <row r="506">
          <cell r="G506">
            <v>8.4</v>
          </cell>
          <cell r="J506">
            <v>1</v>
          </cell>
          <cell r="K506">
            <v>48658</v>
          </cell>
          <cell r="L506">
            <v>58740</v>
          </cell>
          <cell r="M506">
            <v>5517.2837999999992</v>
          </cell>
          <cell r="N506">
            <v>129754.66666666666</v>
          </cell>
          <cell r="O506">
            <v>194011.95046666666</v>
          </cell>
          <cell r="P506">
            <v>0</v>
          </cell>
          <cell r="Q506">
            <v>0</v>
          </cell>
          <cell r="R506">
            <v>129754.66666666666</v>
          </cell>
          <cell r="S506">
            <v>194011.95046666666</v>
          </cell>
          <cell r="T506">
            <v>8044</v>
          </cell>
          <cell r="U506">
            <v>48658</v>
          </cell>
          <cell r="V506">
            <v>58740</v>
          </cell>
        </row>
        <row r="507">
          <cell r="G507">
            <v>14.7</v>
          </cell>
          <cell r="J507">
            <v>1</v>
          </cell>
          <cell r="K507">
            <v>48658</v>
          </cell>
          <cell r="L507">
            <v>67633</v>
          </cell>
          <cell r="M507">
            <v>9655.2466499999973</v>
          </cell>
          <cell r="N507">
            <v>129754.66666666666</v>
          </cell>
          <cell r="O507">
            <v>207042.91331666667</v>
          </cell>
          <cell r="P507">
            <v>0</v>
          </cell>
          <cell r="Q507">
            <v>0</v>
          </cell>
          <cell r="R507">
            <v>129754.66666666666</v>
          </cell>
          <cell r="S507">
            <v>207042.91331666664</v>
          </cell>
          <cell r="T507">
            <v>14077</v>
          </cell>
          <cell r="U507">
            <v>48658</v>
          </cell>
          <cell r="V507">
            <v>67633</v>
          </cell>
        </row>
        <row r="508">
          <cell r="G508">
            <v>21</v>
          </cell>
          <cell r="J508">
            <v>1</v>
          </cell>
          <cell r="K508">
            <v>48658</v>
          </cell>
          <cell r="L508">
            <v>75736</v>
          </cell>
          <cell r="M508">
            <v>13793.209499999999</v>
          </cell>
          <cell r="N508">
            <v>129754.66666666666</v>
          </cell>
          <cell r="O508">
            <v>219283.87616666665</v>
          </cell>
          <cell r="P508">
            <v>0</v>
          </cell>
          <cell r="Q508">
            <v>0</v>
          </cell>
          <cell r="R508">
            <v>129754.66666666666</v>
          </cell>
          <cell r="S508">
            <v>219283.87616666665</v>
          </cell>
          <cell r="T508">
            <v>20111</v>
          </cell>
          <cell r="U508">
            <v>48658</v>
          </cell>
          <cell r="V508">
            <v>75736</v>
          </cell>
        </row>
        <row r="509">
          <cell r="E509" t="str">
            <v>welding machine 14kW</v>
          </cell>
          <cell r="G509">
            <v>29.4</v>
          </cell>
          <cell r="J509">
            <v>1</v>
          </cell>
          <cell r="K509">
            <v>48658</v>
          </cell>
          <cell r="L509">
            <v>86713</v>
          </cell>
          <cell r="M509">
            <v>19310.493299999995</v>
          </cell>
          <cell r="N509">
            <v>129754.66666666666</v>
          </cell>
          <cell r="O509">
            <v>235778.15996666666</v>
          </cell>
          <cell r="P509">
            <v>0</v>
          </cell>
          <cell r="Q509">
            <v>0</v>
          </cell>
          <cell r="R509">
            <v>129754.66666666666</v>
          </cell>
          <cell r="S509">
            <v>235778.15996666666</v>
          </cell>
          <cell r="T509">
            <v>28155</v>
          </cell>
          <cell r="U509">
            <v>48658</v>
          </cell>
          <cell r="V509">
            <v>86713</v>
          </cell>
        </row>
        <row r="510">
          <cell r="D510" t="str">
            <v>Máy hàn 23KW</v>
          </cell>
          <cell r="E510" t="str">
            <v>welding machine 23kW</v>
          </cell>
          <cell r="G510">
            <v>48.3</v>
          </cell>
          <cell r="J510">
            <v>1</v>
          </cell>
          <cell r="K510">
            <v>48658</v>
          </cell>
          <cell r="L510">
            <v>109224</v>
          </cell>
          <cell r="M510">
            <v>31724.381849999994</v>
          </cell>
          <cell r="N510">
            <v>129754.66666666666</v>
          </cell>
          <cell r="O510">
            <v>270703.04851666663</v>
          </cell>
          <cell r="P510">
            <v>15440.471520494379</v>
          </cell>
          <cell r="Q510">
            <v>489839414.46021366</v>
          </cell>
          <cell r="R510">
            <v>129754.66666666666</v>
          </cell>
          <cell r="S510">
            <v>270703.04851666663</v>
          </cell>
          <cell r="T510">
            <v>46254</v>
          </cell>
          <cell r="U510">
            <v>48658</v>
          </cell>
          <cell r="V510">
            <v>109224</v>
          </cell>
        </row>
        <row r="511">
          <cell r="G511">
            <v>57.75</v>
          </cell>
          <cell r="J511">
            <v>1</v>
          </cell>
          <cell r="K511">
            <v>48658</v>
          </cell>
          <cell r="L511">
            <v>114376</v>
          </cell>
          <cell r="M511">
            <v>37931.326125</v>
          </cell>
          <cell r="N511">
            <v>129754.66666666666</v>
          </cell>
          <cell r="O511">
            <v>282061.99279166665</v>
          </cell>
          <cell r="P511">
            <v>0</v>
          </cell>
          <cell r="Q511">
            <v>0</v>
          </cell>
          <cell r="R511">
            <v>129754.66666666666</v>
          </cell>
          <cell r="S511">
            <v>282061.99279166665</v>
          </cell>
          <cell r="T511">
            <v>55304</v>
          </cell>
          <cell r="U511">
            <v>48658</v>
          </cell>
          <cell r="V511">
            <v>114376</v>
          </cell>
        </row>
        <row r="512">
          <cell r="G512">
            <v>61.32</v>
          </cell>
          <cell r="J512">
            <v>1</v>
          </cell>
          <cell r="K512">
            <v>48658</v>
          </cell>
          <cell r="L512">
            <v>123138</v>
          </cell>
          <cell r="M512">
            <v>40276.171739999991</v>
          </cell>
          <cell r="N512">
            <v>129754.66666666666</v>
          </cell>
          <cell r="O512">
            <v>293168.83840666665</v>
          </cell>
          <cell r="P512">
            <v>0</v>
          </cell>
          <cell r="Q512">
            <v>0</v>
          </cell>
          <cell r="R512">
            <v>129754.66666666666</v>
          </cell>
          <cell r="S512">
            <v>293168.83840666665</v>
          </cell>
          <cell r="T512">
            <v>58723</v>
          </cell>
          <cell r="U512">
            <v>48658</v>
          </cell>
          <cell r="V512">
            <v>123138</v>
          </cell>
        </row>
        <row r="513">
          <cell r="G513">
            <v>70.349999999999994</v>
          </cell>
          <cell r="J513">
            <v>1</v>
          </cell>
          <cell r="K513">
            <v>48658</v>
          </cell>
          <cell r="L513">
            <v>136460</v>
          </cell>
          <cell r="M513">
            <v>46207.251824999992</v>
          </cell>
          <cell r="N513">
            <v>129754.66666666666</v>
          </cell>
          <cell r="O513">
            <v>312421.91849166667</v>
          </cell>
          <cell r="P513">
            <v>0</v>
          </cell>
          <cell r="Q513">
            <v>0</v>
          </cell>
          <cell r="R513">
            <v>129754.66666666666</v>
          </cell>
          <cell r="S513">
            <v>312421.91849166667</v>
          </cell>
          <cell r="T513">
            <v>67371</v>
          </cell>
          <cell r="U513">
            <v>48658</v>
          </cell>
          <cell r="V513">
            <v>136460</v>
          </cell>
        </row>
        <row r="514">
          <cell r="K514">
            <v>0</v>
          </cell>
          <cell r="L514">
            <v>0</v>
          </cell>
          <cell r="N514">
            <v>0</v>
          </cell>
          <cell r="O514">
            <v>0</v>
          </cell>
          <cell r="P514">
            <v>0</v>
          </cell>
          <cell r="Q514">
            <v>0</v>
          </cell>
          <cell r="R514">
            <v>0</v>
          </cell>
          <cell r="S514">
            <v>0</v>
          </cell>
        </row>
        <row r="515">
          <cell r="H515">
            <v>2.7</v>
          </cell>
          <cell r="J515">
            <v>1</v>
          </cell>
          <cell r="K515">
            <v>48658</v>
          </cell>
          <cell r="L515">
            <v>110296</v>
          </cell>
          <cell r="M515">
            <v>39059.145000000004</v>
          </cell>
          <cell r="N515">
            <v>129754.66666666666</v>
          </cell>
          <cell r="O515">
            <v>279109.81166666665</v>
          </cell>
          <cell r="P515">
            <v>0</v>
          </cell>
          <cell r="Q515">
            <v>0</v>
          </cell>
          <cell r="R515">
            <v>129754.66666666666</v>
          </cell>
          <cell r="S515">
            <v>279109.81166666665</v>
          </cell>
          <cell r="T515">
            <v>23513</v>
          </cell>
          <cell r="U515">
            <v>48658</v>
          </cell>
          <cell r="V515">
            <v>110296</v>
          </cell>
        </row>
        <row r="516">
          <cell r="H516">
            <v>4.8</v>
          </cell>
          <cell r="J516">
            <v>1</v>
          </cell>
          <cell r="K516">
            <v>48658</v>
          </cell>
          <cell r="L516">
            <v>137861</v>
          </cell>
          <cell r="M516">
            <v>69438.48</v>
          </cell>
          <cell r="N516">
            <v>129754.66666666666</v>
          </cell>
          <cell r="O516">
            <v>337054.14666666661</v>
          </cell>
          <cell r="P516">
            <v>0</v>
          </cell>
          <cell r="Q516">
            <v>0</v>
          </cell>
          <cell r="R516">
            <v>129754.66666666666</v>
          </cell>
          <cell r="S516">
            <v>337054.14666666667</v>
          </cell>
          <cell r="T516">
            <v>41802</v>
          </cell>
          <cell r="U516">
            <v>48658</v>
          </cell>
          <cell r="V516">
            <v>137861</v>
          </cell>
        </row>
        <row r="517">
          <cell r="K517">
            <v>0</v>
          </cell>
          <cell r="L517">
            <v>0</v>
          </cell>
          <cell r="N517">
            <v>0</v>
          </cell>
          <cell r="O517">
            <v>0</v>
          </cell>
          <cell r="P517">
            <v>0</v>
          </cell>
          <cell r="Q517">
            <v>0</v>
          </cell>
          <cell r="R517">
            <v>0</v>
          </cell>
          <cell r="S517">
            <v>0</v>
          </cell>
        </row>
        <row r="518">
          <cell r="F518">
            <v>1.44</v>
          </cell>
          <cell r="J518">
            <v>1</v>
          </cell>
          <cell r="K518">
            <v>48658</v>
          </cell>
          <cell r="L518">
            <v>86885</v>
          </cell>
          <cell r="M518">
            <v>20962.093090909089</v>
          </cell>
          <cell r="N518">
            <v>129754.66666666666</v>
          </cell>
          <cell r="O518">
            <v>237601.75975757575</v>
          </cell>
          <cell r="P518">
            <v>0</v>
          </cell>
          <cell r="Q518">
            <v>0</v>
          </cell>
          <cell r="R518">
            <v>129754.66666666666</v>
          </cell>
          <cell r="S518">
            <v>237601.75975757575</v>
          </cell>
          <cell r="T518">
            <v>10309</v>
          </cell>
          <cell r="U518">
            <v>48658</v>
          </cell>
          <cell r="V518">
            <v>86885</v>
          </cell>
        </row>
        <row r="519">
          <cell r="F519">
            <v>3.06</v>
          </cell>
          <cell r="J519">
            <v>1</v>
          </cell>
          <cell r="K519">
            <v>48658</v>
          </cell>
          <cell r="L519">
            <v>124104</v>
          </cell>
          <cell r="M519">
            <v>44544.447818181812</v>
          </cell>
          <cell r="N519">
            <v>129754.66666666666</v>
          </cell>
          <cell r="O519">
            <v>298403.11448484845</v>
          </cell>
          <cell r="P519">
            <v>0</v>
          </cell>
          <cell r="Q519">
            <v>0</v>
          </cell>
          <cell r="R519">
            <v>129754.66666666666</v>
          </cell>
          <cell r="S519">
            <v>298403.11448484845</v>
          </cell>
          <cell r="T519">
            <v>21906</v>
          </cell>
          <cell r="U519">
            <v>48658</v>
          </cell>
          <cell r="V519">
            <v>124104</v>
          </cell>
        </row>
        <row r="520">
          <cell r="F520">
            <v>7.4249999999999998</v>
          </cell>
          <cell r="J520">
            <v>1</v>
          </cell>
          <cell r="K520">
            <v>48658</v>
          </cell>
          <cell r="L520">
            <v>234935</v>
          </cell>
          <cell r="M520">
            <v>108085.7925</v>
          </cell>
          <cell r="N520">
            <v>129754.66666666666</v>
          </cell>
          <cell r="O520">
            <v>472775.45916666661</v>
          </cell>
          <cell r="P520">
            <v>0</v>
          </cell>
          <cell r="Q520">
            <v>0</v>
          </cell>
          <cell r="R520">
            <v>129754.66666666666</v>
          </cell>
          <cell r="S520">
            <v>472775.45916666667</v>
          </cell>
          <cell r="T520">
            <v>53191</v>
          </cell>
          <cell r="U520">
            <v>48658</v>
          </cell>
          <cell r="V520">
            <v>234935</v>
          </cell>
        </row>
        <row r="521">
          <cell r="K521">
            <v>0</v>
          </cell>
          <cell r="L521">
            <v>0</v>
          </cell>
          <cell r="N521">
            <v>0</v>
          </cell>
          <cell r="O521">
            <v>0</v>
          </cell>
          <cell r="P521">
            <v>0</v>
          </cell>
          <cell r="Q521">
            <v>0</v>
          </cell>
          <cell r="R521">
            <v>0</v>
          </cell>
          <cell r="S521">
            <v>0</v>
          </cell>
        </row>
        <row r="522">
          <cell r="E522" t="str">
            <v>hot air welding machine 1000l/h</v>
          </cell>
          <cell r="J522">
            <v>1</v>
          </cell>
          <cell r="K522">
            <v>48658</v>
          </cell>
          <cell r="L522">
            <v>51357</v>
          </cell>
          <cell r="M522">
            <v>0</v>
          </cell>
          <cell r="N522">
            <v>129754.66666666666</v>
          </cell>
          <cell r="O522">
            <v>181111.66666666666</v>
          </cell>
          <cell r="P522">
            <v>0</v>
          </cell>
          <cell r="Q522">
            <v>0</v>
          </cell>
          <cell r="R522">
            <v>129754.66666666666</v>
          </cell>
          <cell r="S522">
            <v>181111.66666666666</v>
          </cell>
          <cell r="U522">
            <v>48658</v>
          </cell>
          <cell r="V522">
            <v>51357</v>
          </cell>
        </row>
        <row r="523">
          <cell r="D523" t="str">
            <v>Máy hàn hơi - công suất 2000l/h</v>
          </cell>
          <cell r="E523" t="str">
            <v>hot air welding machine 2000l/h</v>
          </cell>
          <cell r="J523">
            <v>1</v>
          </cell>
          <cell r="K523">
            <v>48658</v>
          </cell>
          <cell r="L523">
            <v>52883</v>
          </cell>
          <cell r="M523">
            <v>0</v>
          </cell>
          <cell r="N523">
            <v>129754.66666666666</v>
          </cell>
          <cell r="O523">
            <v>182637.66666666666</v>
          </cell>
          <cell r="P523">
            <v>0</v>
          </cell>
          <cell r="Q523">
            <v>0</v>
          </cell>
          <cell r="R523">
            <v>129754.66666666666</v>
          </cell>
          <cell r="S523">
            <v>182637.66666666666</v>
          </cell>
          <cell r="U523">
            <v>48658</v>
          </cell>
          <cell r="V523">
            <v>52883</v>
          </cell>
        </row>
        <row r="524">
          <cell r="J524">
            <v>1</v>
          </cell>
          <cell r="K524">
            <v>113600</v>
          </cell>
          <cell r="L524">
            <v>497225</v>
          </cell>
          <cell r="M524">
            <v>0</v>
          </cell>
          <cell r="N524">
            <v>302933.33333333331</v>
          </cell>
          <cell r="O524">
            <v>800158.33333333326</v>
          </cell>
          <cell r="P524">
            <v>0</v>
          </cell>
          <cell r="Q524">
            <v>0</v>
          </cell>
          <cell r="R524">
            <v>302933.33333333331</v>
          </cell>
          <cell r="S524">
            <v>800158.33333333326</v>
          </cell>
          <cell r="U524">
            <v>113600</v>
          </cell>
          <cell r="V524">
            <v>497225</v>
          </cell>
        </row>
        <row r="525">
          <cell r="K525">
            <v>0</v>
          </cell>
          <cell r="L525">
            <v>0</v>
          </cell>
          <cell r="N525">
            <v>0</v>
          </cell>
          <cell r="O525">
            <v>0</v>
          </cell>
          <cell r="P525">
            <v>0</v>
          </cell>
          <cell r="Q525">
            <v>0</v>
          </cell>
          <cell r="R525">
            <v>0</v>
          </cell>
          <cell r="S525">
            <v>0</v>
          </cell>
        </row>
        <row r="526">
          <cell r="D526" t="str">
            <v>Máy phun sơn 400m2/h</v>
          </cell>
          <cell r="E526" t="str">
            <v>paint prayer 400m2/h</v>
          </cell>
          <cell r="J526">
            <v>1</v>
          </cell>
          <cell r="K526">
            <v>41873</v>
          </cell>
          <cell r="L526">
            <v>49718</v>
          </cell>
          <cell r="M526">
            <v>0</v>
          </cell>
          <cell r="N526">
            <v>111661.33333333333</v>
          </cell>
          <cell r="O526">
            <v>161379.33333333331</v>
          </cell>
          <cell r="P526">
            <v>0</v>
          </cell>
          <cell r="Q526">
            <v>0</v>
          </cell>
          <cell r="R526">
            <v>111661.33333333333</v>
          </cell>
          <cell r="S526">
            <v>161379.33333333331</v>
          </cell>
          <cell r="U526">
            <v>41873</v>
          </cell>
          <cell r="V526">
            <v>49718</v>
          </cell>
        </row>
        <row r="527">
          <cell r="D527" t="str">
            <v>Thiết bị phun cát</v>
          </cell>
          <cell r="E527" t="str">
            <v>sandblaster</v>
          </cell>
          <cell r="J527">
            <v>1</v>
          </cell>
          <cell r="K527">
            <v>41873</v>
          </cell>
          <cell r="L527">
            <v>53199</v>
          </cell>
          <cell r="M527">
            <v>0</v>
          </cell>
          <cell r="N527">
            <v>111661.33333333333</v>
          </cell>
          <cell r="O527">
            <v>164860.33333333331</v>
          </cell>
          <cell r="P527">
            <v>0</v>
          </cell>
          <cell r="Q527">
            <v>0</v>
          </cell>
          <cell r="R527">
            <v>111661.33333333333</v>
          </cell>
          <cell r="S527">
            <v>164860.33333333331</v>
          </cell>
          <cell r="U527">
            <v>41873</v>
          </cell>
          <cell r="V527">
            <v>53199</v>
          </cell>
        </row>
        <row r="528">
          <cell r="K528">
            <v>0</v>
          </cell>
          <cell r="L528">
            <v>0</v>
          </cell>
          <cell r="N528">
            <v>0</v>
          </cell>
          <cell r="O528">
            <v>0</v>
          </cell>
          <cell r="P528">
            <v>0</v>
          </cell>
          <cell r="Q528">
            <v>0</v>
          </cell>
          <cell r="R528">
            <v>0</v>
          </cell>
          <cell r="S528">
            <v>0</v>
          </cell>
        </row>
        <row r="529">
          <cell r="D529" t="str">
            <v>Máy khoan 4.5kW</v>
          </cell>
          <cell r="E529" t="str">
            <v>driller 4.5kW</v>
          </cell>
          <cell r="G529">
            <v>9.4499999999999993</v>
          </cell>
          <cell r="J529">
            <v>1</v>
          </cell>
          <cell r="K529">
            <v>41873</v>
          </cell>
          <cell r="L529">
            <v>79180</v>
          </cell>
          <cell r="M529">
            <v>6206.9442749999989</v>
          </cell>
          <cell r="N529">
            <v>111661.33333333333</v>
          </cell>
          <cell r="O529">
            <v>197048.27760833333</v>
          </cell>
          <cell r="P529">
            <v>893.04080599999998</v>
          </cell>
          <cell r="Q529">
            <v>5543054.5181430848</v>
          </cell>
          <cell r="R529">
            <v>111661.33333333333</v>
          </cell>
          <cell r="S529">
            <v>197048.27760833333</v>
          </cell>
          <cell r="T529">
            <v>9050</v>
          </cell>
          <cell r="U529">
            <v>41873</v>
          </cell>
          <cell r="V529">
            <v>79180</v>
          </cell>
        </row>
        <row r="530">
          <cell r="K530">
            <v>0</v>
          </cell>
          <cell r="L530">
            <v>0</v>
          </cell>
          <cell r="N530">
            <v>0</v>
          </cell>
          <cell r="O530">
            <v>0</v>
          </cell>
          <cell r="P530">
            <v>0</v>
          </cell>
          <cell r="Q530">
            <v>0</v>
          </cell>
          <cell r="R530">
            <v>0</v>
          </cell>
          <cell r="S530">
            <v>0</v>
          </cell>
        </row>
        <row r="531">
          <cell r="G531">
            <v>1.05</v>
          </cell>
          <cell r="J531">
            <v>1</v>
          </cell>
          <cell r="K531">
            <v>41873</v>
          </cell>
          <cell r="L531">
            <v>44275</v>
          </cell>
          <cell r="M531">
            <v>689.66047499999991</v>
          </cell>
          <cell r="N531">
            <v>111661.33333333333</v>
          </cell>
          <cell r="O531">
            <v>156625.99380833333</v>
          </cell>
          <cell r="P531">
            <v>0</v>
          </cell>
          <cell r="Q531">
            <v>0</v>
          </cell>
          <cell r="R531">
            <v>111661.33333333333</v>
          </cell>
          <cell r="S531">
            <v>156625.99380833333</v>
          </cell>
          <cell r="T531">
            <v>1006</v>
          </cell>
          <cell r="U531">
            <v>41873</v>
          </cell>
          <cell r="V531">
            <v>44275</v>
          </cell>
        </row>
        <row r="532">
          <cell r="K532">
            <v>0</v>
          </cell>
          <cell r="L532">
            <v>0</v>
          </cell>
          <cell r="N532">
            <v>0</v>
          </cell>
          <cell r="O532">
            <v>0</v>
          </cell>
          <cell r="P532">
            <v>0</v>
          </cell>
          <cell r="Q532">
            <v>0</v>
          </cell>
          <cell r="R532">
            <v>0</v>
          </cell>
          <cell r="S532">
            <v>0</v>
          </cell>
        </row>
        <row r="533">
          <cell r="G533">
            <v>2.1</v>
          </cell>
          <cell r="J533">
            <v>1</v>
          </cell>
          <cell r="K533">
            <v>41873</v>
          </cell>
          <cell r="L533">
            <v>46464</v>
          </cell>
          <cell r="M533">
            <v>1379.3209499999998</v>
          </cell>
          <cell r="N533">
            <v>111661.33333333333</v>
          </cell>
          <cell r="O533">
            <v>159504.65428333334</v>
          </cell>
          <cell r="P533">
            <v>0</v>
          </cell>
          <cell r="Q533">
            <v>0</v>
          </cell>
          <cell r="R533">
            <v>111661.33333333333</v>
          </cell>
          <cell r="S533">
            <v>159504.65428333334</v>
          </cell>
          <cell r="T533">
            <v>2011</v>
          </cell>
          <cell r="U533">
            <v>41873</v>
          </cell>
          <cell r="V533">
            <v>46464</v>
          </cell>
        </row>
        <row r="534">
          <cell r="K534">
            <v>0</v>
          </cell>
          <cell r="L534">
            <v>0</v>
          </cell>
          <cell r="N534">
            <v>0</v>
          </cell>
          <cell r="O534">
            <v>0</v>
          </cell>
          <cell r="P534">
            <v>0</v>
          </cell>
          <cell r="Q534">
            <v>0</v>
          </cell>
          <cell r="R534">
            <v>0</v>
          </cell>
          <cell r="S534">
            <v>0</v>
          </cell>
        </row>
        <row r="535">
          <cell r="D535" t="str">
            <v xml:space="preserve">Máy khoan bêtông cầm tay - công suất 0.6kW </v>
          </cell>
          <cell r="E535" t="str">
            <v>Concrete hand drill 0.6kW</v>
          </cell>
          <cell r="G535">
            <v>0.93</v>
          </cell>
          <cell r="J535">
            <v>1</v>
          </cell>
          <cell r="K535">
            <v>41873</v>
          </cell>
          <cell r="L535">
            <v>46701</v>
          </cell>
          <cell r="M535">
            <v>610.84213499999998</v>
          </cell>
          <cell r="N535">
            <v>111661.33333333333</v>
          </cell>
          <cell r="O535">
            <v>158973.17546833333</v>
          </cell>
          <cell r="P535">
            <v>213.23076923076923</v>
          </cell>
          <cell r="Q535">
            <v>130250.33832461538</v>
          </cell>
          <cell r="R535">
            <v>111661.33333333333</v>
          </cell>
          <cell r="S535">
            <v>158973.17546833333</v>
          </cell>
          <cell r="T535">
            <v>891</v>
          </cell>
          <cell r="U535">
            <v>41873</v>
          </cell>
          <cell r="V535">
            <v>46701</v>
          </cell>
        </row>
        <row r="536">
          <cell r="G536">
            <v>1.125</v>
          </cell>
          <cell r="J536">
            <v>1</v>
          </cell>
          <cell r="K536">
            <v>41873</v>
          </cell>
          <cell r="L536">
            <v>46895</v>
          </cell>
          <cell r="M536">
            <v>738.92193750000001</v>
          </cell>
          <cell r="N536">
            <v>111661.33333333333</v>
          </cell>
          <cell r="O536">
            <v>159295.25527083332</v>
          </cell>
          <cell r="P536">
            <v>0</v>
          </cell>
          <cell r="Q536">
            <v>0</v>
          </cell>
          <cell r="R536">
            <v>111661.33333333333</v>
          </cell>
          <cell r="S536">
            <v>159295.25527083332</v>
          </cell>
          <cell r="T536">
            <v>1082</v>
          </cell>
          <cell r="U536">
            <v>41873</v>
          </cell>
          <cell r="V536">
            <v>46895</v>
          </cell>
        </row>
        <row r="537">
          <cell r="G537">
            <v>1.2749999999999999</v>
          </cell>
          <cell r="J537">
            <v>1</v>
          </cell>
          <cell r="K537">
            <v>41873</v>
          </cell>
          <cell r="L537">
            <v>47436</v>
          </cell>
          <cell r="M537">
            <v>837.44486249999989</v>
          </cell>
          <cell r="N537">
            <v>111661.33333333333</v>
          </cell>
          <cell r="O537">
            <v>159934.77819583332</v>
          </cell>
          <cell r="P537">
            <v>0</v>
          </cell>
          <cell r="Q537">
            <v>0</v>
          </cell>
          <cell r="R537">
            <v>111661.33333333333</v>
          </cell>
          <cell r="S537">
            <v>159934.77819583332</v>
          </cell>
          <cell r="T537">
            <v>1226</v>
          </cell>
          <cell r="U537">
            <v>41873</v>
          </cell>
          <cell r="V537">
            <v>47436</v>
          </cell>
        </row>
        <row r="538">
          <cell r="G538">
            <v>1.575</v>
          </cell>
          <cell r="J538">
            <v>1</v>
          </cell>
          <cell r="K538">
            <v>41873</v>
          </cell>
          <cell r="L538">
            <v>50077</v>
          </cell>
          <cell r="M538">
            <v>1034.4907124999997</v>
          </cell>
          <cell r="N538">
            <v>111661.33333333333</v>
          </cell>
          <cell r="O538">
            <v>162772.82404583332</v>
          </cell>
          <cell r="P538">
            <v>0</v>
          </cell>
          <cell r="Q538">
            <v>0</v>
          </cell>
          <cell r="R538">
            <v>111661.33333333333</v>
          </cell>
          <cell r="S538">
            <v>162772.82404583332</v>
          </cell>
          <cell r="T538">
            <v>1513</v>
          </cell>
          <cell r="U538">
            <v>41873</v>
          </cell>
          <cell r="V538">
            <v>50077</v>
          </cell>
        </row>
        <row r="539">
          <cell r="D539" t="str">
            <v xml:space="preserve">Máy khoan bêtông cầm tay - công suất 1,5kW </v>
          </cell>
          <cell r="E539" t="str">
            <v>Concrete hand drill 1.5kW</v>
          </cell>
          <cell r="G539">
            <v>2.25</v>
          </cell>
          <cell r="J539">
            <v>1</v>
          </cell>
          <cell r="K539">
            <v>41873</v>
          </cell>
          <cell r="L539">
            <v>53812</v>
          </cell>
          <cell r="M539">
            <v>1477.843875</v>
          </cell>
          <cell r="N539">
            <v>111661.33333333333</v>
          </cell>
          <cell r="O539">
            <v>166951.17720833333</v>
          </cell>
          <cell r="P539">
            <v>7.0770000000000008</v>
          </cell>
          <cell r="Q539">
            <v>10458.701103375002</v>
          </cell>
          <cell r="R539">
            <v>111661.33333333333</v>
          </cell>
          <cell r="S539">
            <v>166951.17720833333</v>
          </cell>
          <cell r="T539">
            <v>2155</v>
          </cell>
          <cell r="U539">
            <v>41873</v>
          </cell>
          <cell r="V539">
            <v>53812</v>
          </cell>
        </row>
        <row r="540">
          <cell r="K540">
            <v>0</v>
          </cell>
          <cell r="L540">
            <v>0</v>
          </cell>
          <cell r="N540">
            <v>0</v>
          </cell>
          <cell r="O540">
            <v>0</v>
          </cell>
          <cell r="P540">
            <v>0</v>
          </cell>
          <cell r="Q540">
            <v>0</v>
          </cell>
          <cell r="R540">
            <v>0</v>
          </cell>
          <cell r="S540">
            <v>0</v>
          </cell>
        </row>
        <row r="541">
          <cell r="D541" t="str">
            <v>Máy cắt gạch đá 1.7KW</v>
          </cell>
          <cell r="E541" t="str">
            <v>brick cutter 1.7kW</v>
          </cell>
          <cell r="G541">
            <v>3.06</v>
          </cell>
          <cell r="J541">
            <v>1</v>
          </cell>
          <cell r="K541">
            <v>41873</v>
          </cell>
          <cell r="L541">
            <v>50995</v>
          </cell>
          <cell r="M541">
            <v>2009.8676699999999</v>
          </cell>
          <cell r="N541">
            <v>111661.33333333333</v>
          </cell>
          <cell r="O541">
            <v>164666.20100333332</v>
          </cell>
          <cell r="P541">
            <v>0</v>
          </cell>
          <cell r="Q541">
            <v>0</v>
          </cell>
          <cell r="R541">
            <v>111661.33333333333</v>
          </cell>
          <cell r="S541">
            <v>164666.20100333332</v>
          </cell>
          <cell r="T541">
            <v>2930</v>
          </cell>
          <cell r="U541">
            <v>41873</v>
          </cell>
          <cell r="V541">
            <v>50995</v>
          </cell>
        </row>
        <row r="542">
          <cell r="K542">
            <v>0</v>
          </cell>
          <cell r="L542">
            <v>0</v>
          </cell>
          <cell r="N542">
            <v>0</v>
          </cell>
          <cell r="O542">
            <v>0</v>
          </cell>
          <cell r="P542">
            <v>0</v>
          </cell>
          <cell r="Q542">
            <v>0</v>
          </cell>
          <cell r="R542">
            <v>0</v>
          </cell>
          <cell r="S542">
            <v>0</v>
          </cell>
        </row>
        <row r="543">
          <cell r="G543">
            <v>2.7</v>
          </cell>
          <cell r="J543">
            <v>1</v>
          </cell>
          <cell r="K543">
            <v>41873</v>
          </cell>
          <cell r="L543">
            <v>51282</v>
          </cell>
          <cell r="M543">
            <v>1773.4126499999998</v>
          </cell>
          <cell r="N543">
            <v>111661.33333333333</v>
          </cell>
          <cell r="O543">
            <v>164716.74598333333</v>
          </cell>
          <cell r="P543">
            <v>0</v>
          </cell>
          <cell r="Q543">
            <v>0</v>
          </cell>
          <cell r="R543">
            <v>111661.33333333333</v>
          </cell>
          <cell r="S543">
            <v>164716.74598333333</v>
          </cell>
          <cell r="T543">
            <v>2586</v>
          </cell>
          <cell r="U543">
            <v>41873</v>
          </cell>
          <cell r="V543">
            <v>51282</v>
          </cell>
        </row>
        <row r="544">
          <cell r="D544" t="str">
            <v>Máy cắt khe MCD</v>
          </cell>
          <cell r="E544" t="str">
            <v>concrete cutter 12CV</v>
          </cell>
          <cell r="H544">
            <v>7.92</v>
          </cell>
          <cell r="J544">
            <v>1</v>
          </cell>
          <cell r="K544">
            <v>48658</v>
          </cell>
          <cell r="L544">
            <v>161244</v>
          </cell>
          <cell r="M544">
            <v>114573.492</v>
          </cell>
          <cell r="N544">
            <v>129754.66666666666</v>
          </cell>
          <cell r="O544">
            <v>405572.1586666666</v>
          </cell>
          <cell r="P544">
            <v>0.69811999999999996</v>
          </cell>
          <cell r="Q544">
            <v>79986.04623503999</v>
          </cell>
          <cell r="R544">
            <v>129754.66666666666</v>
          </cell>
          <cell r="S544">
            <v>405572.15866666666</v>
          </cell>
          <cell r="T544">
            <v>68973</v>
          </cell>
          <cell r="U544">
            <v>48658</v>
          </cell>
          <cell r="V544">
            <v>161244</v>
          </cell>
        </row>
        <row r="545">
          <cell r="K545">
            <v>0</v>
          </cell>
          <cell r="L545">
            <v>0</v>
          </cell>
          <cell r="N545">
            <v>0</v>
          </cell>
          <cell r="O545">
            <v>0</v>
          </cell>
          <cell r="P545">
            <v>0</v>
          </cell>
          <cell r="Q545">
            <v>0</v>
          </cell>
          <cell r="R545">
            <v>0</v>
          </cell>
          <cell r="S545">
            <v>0</v>
          </cell>
        </row>
        <row r="546">
          <cell r="D546" t="str">
            <v>Búa căn khí nén 1.5m3/ph</v>
          </cell>
          <cell r="E546" t="str">
            <v>Air compressed hammer 1.5m3/min</v>
          </cell>
          <cell r="J546">
            <v>1</v>
          </cell>
          <cell r="K546">
            <v>48658</v>
          </cell>
          <cell r="L546">
            <v>51545</v>
          </cell>
          <cell r="M546">
            <v>0</v>
          </cell>
          <cell r="N546">
            <v>129754.66666666666</v>
          </cell>
          <cell r="O546">
            <v>181299.66666666666</v>
          </cell>
          <cell r="P546">
            <v>75.823299999999989</v>
          </cell>
          <cell r="Q546">
            <v>0</v>
          </cell>
          <cell r="R546">
            <v>129754.66666666666</v>
          </cell>
          <cell r="S546">
            <v>181299.66666666666</v>
          </cell>
          <cell r="U546">
            <v>48658</v>
          </cell>
          <cell r="V546">
            <v>51545</v>
          </cell>
        </row>
        <row r="547">
          <cell r="J547">
            <v>1</v>
          </cell>
          <cell r="K547">
            <v>48658</v>
          </cell>
          <cell r="L547">
            <v>51946</v>
          </cell>
          <cell r="M547">
            <v>0</v>
          </cell>
          <cell r="N547">
            <v>129754.66666666666</v>
          </cell>
          <cell r="O547">
            <v>181700.66666666666</v>
          </cell>
          <cell r="P547">
            <v>0</v>
          </cell>
          <cell r="Q547">
            <v>0</v>
          </cell>
          <cell r="R547">
            <v>129754.66666666666</v>
          </cell>
          <cell r="S547">
            <v>181700.66666666666</v>
          </cell>
          <cell r="U547">
            <v>48658</v>
          </cell>
          <cell r="V547">
            <v>51946</v>
          </cell>
        </row>
        <row r="548">
          <cell r="K548">
            <v>0</v>
          </cell>
          <cell r="L548">
            <v>0</v>
          </cell>
          <cell r="N548">
            <v>0</v>
          </cell>
          <cell r="O548">
            <v>0</v>
          </cell>
          <cell r="P548">
            <v>0</v>
          </cell>
          <cell r="Q548">
            <v>0</v>
          </cell>
          <cell r="R548">
            <v>0</v>
          </cell>
          <cell r="S548">
            <v>0</v>
          </cell>
        </row>
        <row r="549">
          <cell r="D549" t="str">
            <v>Máy cuốn ống 2.8kW</v>
          </cell>
          <cell r="E549" t="str">
            <v>plate roll bending machine 2.8kW</v>
          </cell>
          <cell r="G549">
            <v>5.04</v>
          </cell>
          <cell r="J549">
            <v>1</v>
          </cell>
          <cell r="K549">
            <v>41873</v>
          </cell>
          <cell r="L549">
            <v>61161</v>
          </cell>
          <cell r="M549">
            <v>3310.3702799999996</v>
          </cell>
          <cell r="N549">
            <v>111661.33333333333</v>
          </cell>
          <cell r="O549">
            <v>176132.70361333335</v>
          </cell>
          <cell r="P549">
            <v>2.0812268158634044</v>
          </cell>
          <cell r="Q549">
            <v>6889.6313971732461</v>
          </cell>
          <cell r="R549">
            <v>111661.33333333333</v>
          </cell>
          <cell r="S549">
            <v>176132.70361333335</v>
          </cell>
          <cell r="T549">
            <v>4827</v>
          </cell>
          <cell r="U549">
            <v>41873</v>
          </cell>
          <cell r="V549">
            <v>61161</v>
          </cell>
        </row>
        <row r="550">
          <cell r="K550">
            <v>0</v>
          </cell>
          <cell r="L550">
            <v>0</v>
          </cell>
          <cell r="N550">
            <v>0</v>
          </cell>
          <cell r="O550">
            <v>0</v>
          </cell>
          <cell r="P550">
            <v>0</v>
          </cell>
          <cell r="Q550">
            <v>0</v>
          </cell>
          <cell r="R550">
            <v>0</v>
          </cell>
          <cell r="S550">
            <v>0</v>
          </cell>
        </row>
        <row r="551">
          <cell r="G551">
            <v>9</v>
          </cell>
          <cell r="J551">
            <v>1</v>
          </cell>
          <cell r="K551">
            <v>41873</v>
          </cell>
          <cell r="L551">
            <v>64985</v>
          </cell>
          <cell r="M551">
            <v>5911.3755000000001</v>
          </cell>
          <cell r="N551">
            <v>111661.33333333333</v>
          </cell>
          <cell r="O551">
            <v>182557.70883333334</v>
          </cell>
          <cell r="P551">
            <v>0</v>
          </cell>
          <cell r="Q551">
            <v>0</v>
          </cell>
          <cell r="R551">
            <v>111661.33333333333</v>
          </cell>
          <cell r="S551">
            <v>182557.70883333334</v>
          </cell>
          <cell r="T551">
            <v>8619</v>
          </cell>
          <cell r="U551">
            <v>41873</v>
          </cell>
          <cell r="V551">
            <v>64985</v>
          </cell>
        </row>
        <row r="552">
          <cell r="K552">
            <v>0</v>
          </cell>
          <cell r="L552">
            <v>0</v>
          </cell>
          <cell r="N552">
            <v>0</v>
          </cell>
          <cell r="O552">
            <v>0</v>
          </cell>
          <cell r="P552">
            <v>0</v>
          </cell>
          <cell r="Q552">
            <v>0</v>
          </cell>
          <cell r="R552">
            <v>0</v>
          </cell>
          <cell r="S552">
            <v>0</v>
          </cell>
        </row>
        <row r="553">
          <cell r="D553" t="str">
            <v>Máy cắt tôn</v>
          </cell>
          <cell r="E553" t="str">
            <v>Cutting machine 15Kw</v>
          </cell>
          <cell r="G553">
            <v>27</v>
          </cell>
          <cell r="J553">
            <v>1</v>
          </cell>
          <cell r="K553">
            <v>41873</v>
          </cell>
          <cell r="L553">
            <v>145356</v>
          </cell>
          <cell r="M553">
            <v>17734.126499999998</v>
          </cell>
          <cell r="N553">
            <v>111661.33333333333</v>
          </cell>
          <cell r="O553">
            <v>274751.45983333333</v>
          </cell>
          <cell r="P553">
            <v>279.03248000000008</v>
          </cell>
          <cell r="Q553">
            <v>4948397.2979287207</v>
          </cell>
          <cell r="R553">
            <v>111661.33333333333</v>
          </cell>
          <cell r="S553">
            <v>274751.45983333333</v>
          </cell>
          <cell r="T553">
            <v>25857</v>
          </cell>
          <cell r="U553">
            <v>41873</v>
          </cell>
          <cell r="V553">
            <v>145356</v>
          </cell>
        </row>
        <row r="554">
          <cell r="K554">
            <v>0</v>
          </cell>
          <cell r="L554">
            <v>0</v>
          </cell>
          <cell r="N554">
            <v>0</v>
          </cell>
          <cell r="O554">
            <v>0</v>
          </cell>
          <cell r="P554">
            <v>0</v>
          </cell>
          <cell r="Q554">
            <v>0</v>
          </cell>
          <cell r="R554">
            <v>0</v>
          </cell>
          <cell r="S554">
            <v>0</v>
          </cell>
        </row>
        <row r="555">
          <cell r="D555" t="str">
            <v>Máy cắt đột 2.8kW</v>
          </cell>
          <cell r="E555" t="str">
            <v>Cutting machine 2.8Kw</v>
          </cell>
          <cell r="G555">
            <v>5.04</v>
          </cell>
          <cell r="J555">
            <v>1</v>
          </cell>
          <cell r="K555">
            <v>41873</v>
          </cell>
          <cell r="L555">
            <v>68286</v>
          </cell>
          <cell r="M555">
            <v>3310.3702799999996</v>
          </cell>
          <cell r="N555">
            <v>111661.33333333333</v>
          </cell>
          <cell r="O555">
            <v>183257.70361333335</v>
          </cell>
          <cell r="P555">
            <v>4.8</v>
          </cell>
          <cell r="Q555">
            <v>15889.777343999998</v>
          </cell>
          <cell r="R555">
            <v>111661.33333333333</v>
          </cell>
          <cell r="S555">
            <v>183257.70361333335</v>
          </cell>
          <cell r="T555">
            <v>4827</v>
          </cell>
          <cell r="U555">
            <v>41873</v>
          </cell>
          <cell r="V555">
            <v>68286</v>
          </cell>
        </row>
        <row r="556">
          <cell r="K556">
            <v>0</v>
          </cell>
          <cell r="L556">
            <v>0</v>
          </cell>
          <cell r="N556">
            <v>0</v>
          </cell>
          <cell r="O556">
            <v>0</v>
          </cell>
          <cell r="P556">
            <v>0</v>
          </cell>
          <cell r="Q556">
            <v>0</v>
          </cell>
          <cell r="R556">
            <v>0</v>
          </cell>
          <cell r="S556">
            <v>0</v>
          </cell>
        </row>
        <row r="557">
          <cell r="D557" t="str">
            <v>Máy cắt uốn</v>
          </cell>
          <cell r="E557" t="str">
            <v>bender cutter 5Kw</v>
          </cell>
          <cell r="G557">
            <v>9</v>
          </cell>
          <cell r="J557">
            <v>1</v>
          </cell>
          <cell r="K557">
            <v>41873</v>
          </cell>
          <cell r="L557">
            <v>57800</v>
          </cell>
          <cell r="M557">
            <v>5911.3755000000001</v>
          </cell>
          <cell r="N557">
            <v>111661.33333333333</v>
          </cell>
          <cell r="O557">
            <v>175372.70883333334</v>
          </cell>
          <cell r="P557">
            <v>970.47693405056509</v>
          </cell>
          <cell r="Q557">
            <v>5736853.5712616267</v>
          </cell>
          <cell r="R557">
            <v>111661.33333333333</v>
          </cell>
          <cell r="S557">
            <v>175372.70883333334</v>
          </cell>
          <cell r="T557">
            <v>8619</v>
          </cell>
          <cell r="U557">
            <v>41873</v>
          </cell>
          <cell r="V557">
            <v>57800</v>
          </cell>
        </row>
        <row r="558">
          <cell r="K558">
            <v>0</v>
          </cell>
          <cell r="L558">
            <v>0</v>
          </cell>
          <cell r="N558">
            <v>0</v>
          </cell>
          <cell r="O558">
            <v>0</v>
          </cell>
          <cell r="P558">
            <v>0</v>
          </cell>
          <cell r="Q558">
            <v>0</v>
          </cell>
          <cell r="R558">
            <v>0</v>
          </cell>
          <cell r="S558">
            <v>0</v>
          </cell>
        </row>
        <row r="559">
          <cell r="D559" t="str">
            <v>Máy cưa kim loại 1.7kW</v>
          </cell>
          <cell r="E559" t="str">
            <v>metal sawer 1.7kW</v>
          </cell>
          <cell r="G559">
            <v>3.57</v>
          </cell>
          <cell r="J559">
            <v>1</v>
          </cell>
          <cell r="K559">
            <v>41873</v>
          </cell>
          <cell r="L559">
            <v>53040</v>
          </cell>
          <cell r="M559">
            <v>2344.8456149999997</v>
          </cell>
          <cell r="N559">
            <v>111661.33333333333</v>
          </cell>
          <cell r="O559">
            <v>167046.17894833331</v>
          </cell>
          <cell r="P559">
            <v>341.14400250000006</v>
          </cell>
          <cell r="Q559">
            <v>799930.01834567403</v>
          </cell>
          <cell r="R559">
            <v>111661.33333333333</v>
          </cell>
          <cell r="S559">
            <v>167046.17894833331</v>
          </cell>
          <cell r="T559">
            <v>3419</v>
          </cell>
          <cell r="U559">
            <v>41873</v>
          </cell>
          <cell r="V559">
            <v>53040</v>
          </cell>
        </row>
        <row r="560">
          <cell r="K560">
            <v>0</v>
          </cell>
          <cell r="L560">
            <v>0</v>
          </cell>
          <cell r="N560">
            <v>0</v>
          </cell>
          <cell r="O560">
            <v>0</v>
          </cell>
          <cell r="P560">
            <v>0</v>
          </cell>
          <cell r="Q560">
            <v>0</v>
          </cell>
          <cell r="R560">
            <v>0</v>
          </cell>
          <cell r="S560">
            <v>0</v>
          </cell>
        </row>
        <row r="561">
          <cell r="G561">
            <v>9.4499999999999993</v>
          </cell>
          <cell r="J561">
            <v>1</v>
          </cell>
          <cell r="K561">
            <v>41873</v>
          </cell>
          <cell r="L561">
            <v>72393</v>
          </cell>
          <cell r="M561">
            <v>6206.9442749999989</v>
          </cell>
          <cell r="N561">
            <v>111661.33333333333</v>
          </cell>
          <cell r="O561">
            <v>190261.27760833333</v>
          </cell>
          <cell r="P561">
            <v>0</v>
          </cell>
          <cell r="Q561">
            <v>0</v>
          </cell>
          <cell r="R561">
            <v>111661.33333333333</v>
          </cell>
          <cell r="S561">
            <v>190261.27760833333</v>
          </cell>
          <cell r="T561">
            <v>9050</v>
          </cell>
          <cell r="U561">
            <v>41873</v>
          </cell>
          <cell r="V561">
            <v>72393</v>
          </cell>
        </row>
        <row r="562">
          <cell r="K562">
            <v>0</v>
          </cell>
          <cell r="L562">
            <v>0</v>
          </cell>
          <cell r="N562">
            <v>0</v>
          </cell>
          <cell r="O562">
            <v>0</v>
          </cell>
          <cell r="P562">
            <v>0</v>
          </cell>
          <cell r="Q562">
            <v>0</v>
          </cell>
          <cell r="R562">
            <v>0</v>
          </cell>
          <cell r="S562">
            <v>0</v>
          </cell>
        </row>
        <row r="563">
          <cell r="D563" t="str">
            <v>Máy mài 1kW</v>
          </cell>
          <cell r="E563" t="str">
            <v>sharpener 1kW</v>
          </cell>
          <cell r="G563">
            <v>1.8</v>
          </cell>
          <cell r="J563">
            <v>1</v>
          </cell>
          <cell r="K563">
            <v>41873</v>
          </cell>
          <cell r="L563">
            <v>45266</v>
          </cell>
          <cell r="M563">
            <v>1182.2750999999998</v>
          </cell>
          <cell r="N563">
            <v>111661.33333333333</v>
          </cell>
          <cell r="O563">
            <v>158109.60843333334</v>
          </cell>
          <cell r="P563">
            <v>132.74355</v>
          </cell>
          <cell r="Q563">
            <v>156939.39385060497</v>
          </cell>
          <cell r="R563">
            <v>111661.33333333333</v>
          </cell>
          <cell r="S563">
            <v>158109.60843333334</v>
          </cell>
          <cell r="T563">
            <v>1724</v>
          </cell>
          <cell r="U563">
            <v>41873</v>
          </cell>
          <cell r="V563">
            <v>45266</v>
          </cell>
        </row>
        <row r="564">
          <cell r="D564" t="str">
            <v>Máy mài 2.7kW</v>
          </cell>
          <cell r="E564" t="str">
            <v>sharpener 2.7kW</v>
          </cell>
          <cell r="G564">
            <v>4.05</v>
          </cell>
          <cell r="J564">
            <v>1</v>
          </cell>
          <cell r="K564">
            <v>41873</v>
          </cell>
          <cell r="L564">
            <v>50398</v>
          </cell>
          <cell r="M564">
            <v>2660.1189749999999</v>
          </cell>
          <cell r="N564">
            <v>111661.33333333333</v>
          </cell>
          <cell r="O564">
            <v>164719.45230833333</v>
          </cell>
          <cell r="P564">
            <v>72.978162359999999</v>
          </cell>
          <cell r="Q564">
            <v>194130.59445446677</v>
          </cell>
          <cell r="R564">
            <v>111661.33333333333</v>
          </cell>
          <cell r="S564">
            <v>164719.45230833333</v>
          </cell>
          <cell r="T564">
            <v>3878</v>
          </cell>
          <cell r="U564">
            <v>41873</v>
          </cell>
          <cell r="V564">
            <v>50398</v>
          </cell>
        </row>
        <row r="565">
          <cell r="K565">
            <v>0</v>
          </cell>
          <cell r="L565">
            <v>0</v>
          </cell>
          <cell r="N565">
            <v>0</v>
          </cell>
          <cell r="O565">
            <v>0</v>
          </cell>
          <cell r="P565">
            <v>0</v>
          </cell>
          <cell r="Q565">
            <v>0</v>
          </cell>
          <cell r="R565">
            <v>0</v>
          </cell>
          <cell r="S565">
            <v>0</v>
          </cell>
        </row>
        <row r="566">
          <cell r="G566">
            <v>2.73</v>
          </cell>
          <cell r="J566">
            <v>1</v>
          </cell>
          <cell r="K566">
            <v>41873</v>
          </cell>
          <cell r="L566">
            <v>51002</v>
          </cell>
          <cell r="M566">
            <v>1793.1172349999999</v>
          </cell>
          <cell r="N566">
            <v>111661.33333333333</v>
          </cell>
          <cell r="O566">
            <v>164456.45056833333</v>
          </cell>
          <cell r="P566">
            <v>0</v>
          </cell>
          <cell r="Q566">
            <v>0</v>
          </cell>
          <cell r="R566">
            <v>111661.33333333333</v>
          </cell>
          <cell r="S566">
            <v>164456.45056833333</v>
          </cell>
          <cell r="T566">
            <v>2614</v>
          </cell>
          <cell r="U566">
            <v>41873</v>
          </cell>
          <cell r="V566">
            <v>51002</v>
          </cell>
        </row>
        <row r="567">
          <cell r="K567">
            <v>0</v>
          </cell>
          <cell r="L567">
            <v>0</v>
          </cell>
          <cell r="N567">
            <v>0</v>
          </cell>
          <cell r="O567">
            <v>0</v>
          </cell>
          <cell r="P567">
            <v>0</v>
          </cell>
          <cell r="Q567">
            <v>0</v>
          </cell>
          <cell r="R567">
            <v>0</v>
          </cell>
          <cell r="S567">
            <v>0</v>
          </cell>
        </row>
        <row r="568">
          <cell r="G568">
            <v>2.16</v>
          </cell>
          <cell r="J568">
            <v>1</v>
          </cell>
          <cell r="K568">
            <v>48658</v>
          </cell>
          <cell r="L568">
            <v>54694</v>
          </cell>
          <cell r="M568">
            <v>1418.7301199999999</v>
          </cell>
          <cell r="N568">
            <v>129754.66666666666</v>
          </cell>
          <cell r="O568">
            <v>185867.39678666665</v>
          </cell>
          <cell r="P568">
            <v>0</v>
          </cell>
          <cell r="Q568">
            <v>0</v>
          </cell>
          <cell r="R568">
            <v>129754.66666666666</v>
          </cell>
          <cell r="S568">
            <v>185867.39678666665</v>
          </cell>
          <cell r="T568">
            <v>2069</v>
          </cell>
          <cell r="U568">
            <v>48658</v>
          </cell>
          <cell r="V568">
            <v>54694</v>
          </cell>
        </row>
        <row r="569">
          <cell r="K569">
            <v>0</v>
          </cell>
          <cell r="L569">
            <v>0</v>
          </cell>
          <cell r="N569">
            <v>0</v>
          </cell>
          <cell r="O569">
            <v>0</v>
          </cell>
          <cell r="P569">
            <v>0</v>
          </cell>
          <cell r="Q569">
            <v>0</v>
          </cell>
          <cell r="R569">
            <v>0</v>
          </cell>
          <cell r="S569">
            <v>0</v>
          </cell>
        </row>
        <row r="570">
          <cell r="D570" t="str">
            <v>Máy khoan đất đá &lt;=42mm động cơ điện</v>
          </cell>
          <cell r="G570">
            <v>4.68</v>
          </cell>
          <cell r="J570">
            <v>1</v>
          </cell>
          <cell r="K570">
            <v>41873</v>
          </cell>
          <cell r="L570">
            <v>53200</v>
          </cell>
          <cell r="M570">
            <v>3073.9152599999993</v>
          </cell>
          <cell r="N570">
            <v>111661.33333333333</v>
          </cell>
          <cell r="O570">
            <v>167935.24859333332</v>
          </cell>
          <cell r="P570">
            <v>0</v>
          </cell>
          <cell r="Q570">
            <v>0</v>
          </cell>
          <cell r="R570">
            <v>111661.33333333333</v>
          </cell>
          <cell r="S570">
            <v>167935.24859333332</v>
          </cell>
          <cell r="T570">
            <v>4482</v>
          </cell>
          <cell r="U570">
            <v>41873</v>
          </cell>
          <cell r="V570">
            <v>53200</v>
          </cell>
        </row>
        <row r="571">
          <cell r="D571" t="str">
            <v xml:space="preserve">Máy khoan đất đá &lt;=42mm </v>
          </cell>
          <cell r="E571" t="str">
            <v>driller &lt;=4.2mm</v>
          </cell>
          <cell r="J571">
            <v>1</v>
          </cell>
          <cell r="K571">
            <v>41873</v>
          </cell>
          <cell r="L571">
            <v>53086</v>
          </cell>
          <cell r="M571">
            <v>0</v>
          </cell>
          <cell r="N571">
            <v>111661.33333333333</v>
          </cell>
          <cell r="O571">
            <v>164747.33333333331</v>
          </cell>
          <cell r="P571">
            <v>22.276</v>
          </cell>
          <cell r="Q571">
            <v>0</v>
          </cell>
          <cell r="R571">
            <v>111661.33333333333</v>
          </cell>
          <cell r="S571">
            <v>164747.33333333331</v>
          </cell>
          <cell r="U571">
            <v>41873</v>
          </cell>
          <cell r="V571">
            <v>53086</v>
          </cell>
        </row>
        <row r="572">
          <cell r="J572">
            <v>1</v>
          </cell>
          <cell r="K572">
            <v>41873</v>
          </cell>
          <cell r="L572">
            <v>111238</v>
          </cell>
          <cell r="M572">
            <v>0</v>
          </cell>
          <cell r="N572">
            <v>111661.33333333333</v>
          </cell>
          <cell r="O572">
            <v>222899.33333333331</v>
          </cell>
          <cell r="P572">
            <v>0</v>
          </cell>
          <cell r="Q572">
            <v>0</v>
          </cell>
          <cell r="R572">
            <v>111661.33333333333</v>
          </cell>
          <cell r="S572">
            <v>222899.33333333331</v>
          </cell>
          <cell r="U572">
            <v>41873</v>
          </cell>
          <cell r="V572">
            <v>111238</v>
          </cell>
        </row>
        <row r="573">
          <cell r="J573">
            <v>1</v>
          </cell>
          <cell r="K573">
            <v>41873</v>
          </cell>
          <cell r="L573">
            <v>44765</v>
          </cell>
          <cell r="M573">
            <v>0</v>
          </cell>
          <cell r="N573">
            <v>111661.33333333333</v>
          </cell>
          <cell r="O573">
            <v>156426.33333333331</v>
          </cell>
          <cell r="P573">
            <v>0</v>
          </cell>
          <cell r="Q573">
            <v>0</v>
          </cell>
          <cell r="R573">
            <v>111661.33333333333</v>
          </cell>
          <cell r="S573">
            <v>156426.33333333331</v>
          </cell>
          <cell r="U573">
            <v>41873</v>
          </cell>
          <cell r="V573">
            <v>44765</v>
          </cell>
        </row>
        <row r="574">
          <cell r="K574">
            <v>0</v>
          </cell>
          <cell r="L574">
            <v>0</v>
          </cell>
          <cell r="N574">
            <v>0</v>
          </cell>
          <cell r="O574">
            <v>0</v>
          </cell>
          <cell r="P574">
            <v>0</v>
          </cell>
          <cell r="Q574">
            <v>0</v>
          </cell>
          <cell r="R574">
            <v>0</v>
          </cell>
          <cell r="S574">
            <v>0</v>
          </cell>
        </row>
        <row r="575">
          <cell r="D575" t="str">
            <v>Máy khoan xoay đập D76mm</v>
          </cell>
          <cell r="E575" t="str">
            <v>boreder</v>
          </cell>
          <cell r="J575">
            <v>1</v>
          </cell>
          <cell r="K575">
            <v>90531</v>
          </cell>
          <cell r="L575">
            <v>322990</v>
          </cell>
          <cell r="M575">
            <v>0</v>
          </cell>
          <cell r="N575">
            <v>241416</v>
          </cell>
          <cell r="O575">
            <v>564406</v>
          </cell>
          <cell r="P575">
            <v>0</v>
          </cell>
          <cell r="Q575">
            <v>0</v>
          </cell>
          <cell r="R575">
            <v>241416</v>
          </cell>
          <cell r="S575">
            <v>564406</v>
          </cell>
          <cell r="U575">
            <v>90531</v>
          </cell>
          <cell r="V575">
            <v>322990</v>
          </cell>
        </row>
        <row r="576">
          <cell r="D576" t="str">
            <v>Máy khoan xoay đập D105mm</v>
          </cell>
          <cell r="J576">
            <v>1</v>
          </cell>
          <cell r="K576">
            <v>90531</v>
          </cell>
          <cell r="L576">
            <v>461567</v>
          </cell>
          <cell r="M576">
            <v>0</v>
          </cell>
          <cell r="N576">
            <v>241416</v>
          </cell>
          <cell r="O576">
            <v>702983</v>
          </cell>
          <cell r="P576">
            <v>0</v>
          </cell>
          <cell r="Q576">
            <v>0</v>
          </cell>
          <cell r="R576">
            <v>241416</v>
          </cell>
          <cell r="S576">
            <v>702983</v>
          </cell>
          <cell r="U576">
            <v>90531</v>
          </cell>
          <cell r="V576">
            <v>461567</v>
          </cell>
        </row>
        <row r="577">
          <cell r="K577">
            <v>0</v>
          </cell>
          <cell r="L577">
            <v>0</v>
          </cell>
          <cell r="N577">
            <v>0</v>
          </cell>
          <cell r="O577">
            <v>0</v>
          </cell>
          <cell r="P577">
            <v>0</v>
          </cell>
          <cell r="Q577">
            <v>0</v>
          </cell>
          <cell r="R577">
            <v>0</v>
          </cell>
          <cell r="S577">
            <v>0</v>
          </cell>
        </row>
        <row r="578">
          <cell r="G578">
            <v>184.8</v>
          </cell>
          <cell r="J578">
            <v>1</v>
          </cell>
          <cell r="K578">
            <v>90531</v>
          </cell>
          <cell r="L578">
            <v>703425</v>
          </cell>
          <cell r="M578">
            <v>121380.2436</v>
          </cell>
          <cell r="N578">
            <v>241416</v>
          </cell>
          <cell r="O578">
            <v>1066221.2436000002</v>
          </cell>
          <cell r="P578">
            <v>0</v>
          </cell>
          <cell r="Q578">
            <v>0</v>
          </cell>
          <cell r="R578">
            <v>241416</v>
          </cell>
          <cell r="S578">
            <v>1066221.2435999999</v>
          </cell>
          <cell r="T578">
            <v>176974</v>
          </cell>
          <cell r="U578">
            <v>90531</v>
          </cell>
          <cell r="V578">
            <v>703425</v>
          </cell>
        </row>
        <row r="579">
          <cell r="K579">
            <v>0</v>
          </cell>
          <cell r="L579">
            <v>0</v>
          </cell>
          <cell r="N579">
            <v>0</v>
          </cell>
          <cell r="O579">
            <v>0</v>
          </cell>
          <cell r="P579">
            <v>0</v>
          </cell>
          <cell r="Q579">
            <v>0</v>
          </cell>
          <cell r="R579">
            <v>0</v>
          </cell>
          <cell r="S579">
            <v>0</v>
          </cell>
        </row>
        <row r="580">
          <cell r="G580">
            <v>54</v>
          </cell>
          <cell r="J580">
            <v>1</v>
          </cell>
          <cell r="K580">
            <v>132404</v>
          </cell>
          <cell r="L580">
            <v>297864</v>
          </cell>
          <cell r="M580">
            <v>35468.252999999997</v>
          </cell>
          <cell r="N580">
            <v>353077.33333333331</v>
          </cell>
          <cell r="O580">
            <v>686409.58633333328</v>
          </cell>
          <cell r="P580">
            <v>0</v>
          </cell>
          <cell r="Q580">
            <v>0</v>
          </cell>
          <cell r="R580">
            <v>353077.33333333331</v>
          </cell>
          <cell r="S580">
            <v>686409.58633333328</v>
          </cell>
          <cell r="T580">
            <v>51713</v>
          </cell>
          <cell r="U580">
            <v>132404</v>
          </cell>
          <cell r="V580">
            <v>297864</v>
          </cell>
        </row>
        <row r="581">
          <cell r="K581">
            <v>0</v>
          </cell>
          <cell r="L581">
            <v>0</v>
          </cell>
          <cell r="N581">
            <v>0</v>
          </cell>
          <cell r="O581">
            <v>0</v>
          </cell>
          <cell r="P581">
            <v>0</v>
          </cell>
          <cell r="Q581">
            <v>0</v>
          </cell>
          <cell r="R581">
            <v>0</v>
          </cell>
          <cell r="S581">
            <v>0</v>
          </cell>
        </row>
        <row r="582">
          <cell r="G582">
            <v>243</v>
          </cell>
          <cell r="J582">
            <v>1</v>
          </cell>
          <cell r="K582">
            <v>90531</v>
          </cell>
          <cell r="L582">
            <v>823460</v>
          </cell>
          <cell r="M582">
            <v>159607.1385</v>
          </cell>
          <cell r="N582">
            <v>241416</v>
          </cell>
          <cell r="O582">
            <v>1224483.1384999999</v>
          </cell>
          <cell r="P582">
            <v>0</v>
          </cell>
          <cell r="Q582">
            <v>0</v>
          </cell>
          <cell r="R582">
            <v>241416</v>
          </cell>
          <cell r="S582">
            <v>1224483.1384999999</v>
          </cell>
          <cell r="T582">
            <v>232709</v>
          </cell>
          <cell r="U582">
            <v>90531</v>
          </cell>
          <cell r="V582">
            <v>823460</v>
          </cell>
        </row>
        <row r="583">
          <cell r="K583">
            <v>0</v>
          </cell>
          <cell r="L583">
            <v>0</v>
          </cell>
          <cell r="N583">
            <v>0</v>
          </cell>
          <cell r="O583">
            <v>0</v>
          </cell>
          <cell r="P583">
            <v>0</v>
          </cell>
          <cell r="Q583">
            <v>0</v>
          </cell>
          <cell r="R583">
            <v>0</v>
          </cell>
          <cell r="S583">
            <v>0</v>
          </cell>
        </row>
        <row r="584">
          <cell r="D584" t="str">
            <v>Máy khoan xoay đập tự hành</v>
          </cell>
          <cell r="F584">
            <v>167.4</v>
          </cell>
          <cell r="J584">
            <v>1</v>
          </cell>
          <cell r="K584">
            <v>125981</v>
          </cell>
          <cell r="L584">
            <v>2222617</v>
          </cell>
          <cell r="M584">
            <v>2436843.3218181818</v>
          </cell>
          <cell r="N584">
            <v>335949.33333333331</v>
          </cell>
          <cell r="O584">
            <v>4995409.6551515153</v>
          </cell>
          <cell r="P584">
            <v>0</v>
          </cell>
          <cell r="Q584">
            <v>0</v>
          </cell>
          <cell r="R584">
            <v>335949.33333333331</v>
          </cell>
          <cell r="S584">
            <v>4995409.6551515153</v>
          </cell>
          <cell r="T584">
            <v>1198400</v>
          </cell>
          <cell r="U584">
            <v>125981</v>
          </cell>
          <cell r="V584">
            <v>2222617</v>
          </cell>
        </row>
        <row r="585">
          <cell r="F585">
            <v>82.65</v>
          </cell>
          <cell r="J585">
            <v>1</v>
          </cell>
          <cell r="K585">
            <v>125981</v>
          </cell>
          <cell r="L585">
            <v>1935200</v>
          </cell>
          <cell r="M585">
            <v>1203136.8013636365</v>
          </cell>
          <cell r="N585">
            <v>335949.33333333331</v>
          </cell>
          <cell r="O585">
            <v>3474286.1346969702</v>
          </cell>
          <cell r="P585">
            <v>0</v>
          </cell>
          <cell r="Q585">
            <v>0</v>
          </cell>
          <cell r="R585">
            <v>335949.33333333331</v>
          </cell>
          <cell r="S585">
            <v>3474286.1346969698</v>
          </cell>
          <cell r="T585">
            <v>591683</v>
          </cell>
          <cell r="U585">
            <v>125981</v>
          </cell>
          <cell r="V585">
            <v>1935200</v>
          </cell>
        </row>
        <row r="586">
          <cell r="F586">
            <v>121.44</v>
          </cell>
          <cell r="J586">
            <v>1</v>
          </cell>
          <cell r="K586">
            <v>125981</v>
          </cell>
          <cell r="L586">
            <v>2562478</v>
          </cell>
          <cell r="M586">
            <v>1767803.1839999999</v>
          </cell>
          <cell r="N586">
            <v>335949.33333333331</v>
          </cell>
          <cell r="O586">
            <v>4666230.5173333334</v>
          </cell>
          <cell r="P586">
            <v>0</v>
          </cell>
          <cell r="Q586">
            <v>0</v>
          </cell>
          <cell r="R586">
            <v>335949.33333333331</v>
          </cell>
          <cell r="S586">
            <v>4666230.5173333334</v>
          </cell>
          <cell r="T586">
            <v>869377</v>
          </cell>
          <cell r="U586">
            <v>125981</v>
          </cell>
          <cell r="V586">
            <v>2562478</v>
          </cell>
        </row>
        <row r="587">
          <cell r="F587">
            <v>162</v>
          </cell>
          <cell r="J587">
            <v>1</v>
          </cell>
          <cell r="K587">
            <v>125981</v>
          </cell>
          <cell r="L587">
            <v>2965778</v>
          </cell>
          <cell r="M587">
            <v>2358235.4727272727</v>
          </cell>
          <cell r="N587">
            <v>335949.33333333331</v>
          </cell>
          <cell r="O587">
            <v>5659962.8060606057</v>
          </cell>
          <cell r="P587">
            <v>0</v>
          </cell>
          <cell r="Q587">
            <v>0</v>
          </cell>
          <cell r="R587">
            <v>335949.33333333331</v>
          </cell>
          <cell r="S587">
            <v>5659962.8060606066</v>
          </cell>
          <cell r="T587">
            <v>1159742</v>
          </cell>
          <cell r="U587">
            <v>125981</v>
          </cell>
          <cell r="V587">
            <v>2965778</v>
          </cell>
        </row>
        <row r="588">
          <cell r="F588">
            <v>82.08</v>
          </cell>
          <cell r="J588">
            <v>1</v>
          </cell>
          <cell r="K588">
            <v>125981</v>
          </cell>
          <cell r="L588">
            <v>2397292</v>
          </cell>
          <cell r="M588">
            <v>1194839.3061818182</v>
          </cell>
          <cell r="N588">
            <v>335949.33333333331</v>
          </cell>
          <cell r="O588">
            <v>3928080.6395151517</v>
          </cell>
          <cell r="P588">
            <v>0</v>
          </cell>
          <cell r="Q588">
            <v>0</v>
          </cell>
          <cell r="R588">
            <v>335949.33333333331</v>
          </cell>
          <cell r="S588">
            <v>3928080.6395151513</v>
          </cell>
          <cell r="T588">
            <v>587603</v>
          </cell>
          <cell r="U588">
            <v>125981</v>
          </cell>
          <cell r="V588">
            <v>2397292</v>
          </cell>
        </row>
        <row r="589">
          <cell r="F589">
            <v>180.9</v>
          </cell>
          <cell r="J589">
            <v>1</v>
          </cell>
          <cell r="K589">
            <v>125981</v>
          </cell>
          <cell r="L589">
            <v>3326298</v>
          </cell>
          <cell r="M589">
            <v>2633362.9445454543</v>
          </cell>
          <cell r="N589">
            <v>335949.33333333331</v>
          </cell>
          <cell r="O589">
            <v>6295610.2778787874</v>
          </cell>
          <cell r="P589">
            <v>0</v>
          </cell>
          <cell r="Q589">
            <v>0</v>
          </cell>
          <cell r="R589">
            <v>335949.33333333331</v>
          </cell>
          <cell r="S589">
            <v>6295610.2778787874</v>
          </cell>
          <cell r="T589">
            <v>1295045</v>
          </cell>
          <cell r="U589">
            <v>125981</v>
          </cell>
          <cell r="V589">
            <v>3326298</v>
          </cell>
        </row>
        <row r="590">
          <cell r="K590">
            <v>0</v>
          </cell>
          <cell r="L590">
            <v>0</v>
          </cell>
          <cell r="N590">
            <v>0</v>
          </cell>
          <cell r="O590">
            <v>0</v>
          </cell>
          <cell r="P590">
            <v>0</v>
          </cell>
          <cell r="Q590">
            <v>0</v>
          </cell>
          <cell r="R590">
            <v>0</v>
          </cell>
          <cell r="S590">
            <v>0</v>
          </cell>
        </row>
        <row r="591">
          <cell r="G591">
            <v>1042.2</v>
          </cell>
          <cell r="J591">
            <v>1</v>
          </cell>
          <cell r="K591">
            <v>125981</v>
          </cell>
          <cell r="L591">
            <v>3507983</v>
          </cell>
          <cell r="M591">
            <v>684537.28289999999</v>
          </cell>
          <cell r="N591">
            <v>335949.33333333331</v>
          </cell>
          <cell r="O591">
            <v>4528469.616233333</v>
          </cell>
          <cell r="P591">
            <v>0</v>
          </cell>
          <cell r="Q591">
            <v>0</v>
          </cell>
          <cell r="R591">
            <v>335949.33333333331</v>
          </cell>
          <cell r="S591">
            <v>4528469.616233333</v>
          </cell>
          <cell r="T591">
            <v>998063</v>
          </cell>
          <cell r="U591">
            <v>125981</v>
          </cell>
          <cell r="V591">
            <v>3507983</v>
          </cell>
        </row>
        <row r="592">
          <cell r="K592">
            <v>0</v>
          </cell>
          <cell r="L592">
            <v>0</v>
          </cell>
          <cell r="N592">
            <v>0</v>
          </cell>
          <cell r="O592">
            <v>0</v>
          </cell>
          <cell r="P592">
            <v>0</v>
          </cell>
          <cell r="Q592">
            <v>0</v>
          </cell>
          <cell r="R592">
            <v>0</v>
          </cell>
          <cell r="S592">
            <v>0</v>
          </cell>
        </row>
        <row r="593">
          <cell r="F593">
            <v>202.5</v>
          </cell>
          <cell r="J593">
            <v>1</v>
          </cell>
          <cell r="K593">
            <v>125981</v>
          </cell>
          <cell r="L593">
            <v>4367638</v>
          </cell>
          <cell r="M593">
            <v>2947794.3409090908</v>
          </cell>
          <cell r="N593">
            <v>335949.33333333331</v>
          </cell>
          <cell r="O593">
            <v>7651381.6742424238</v>
          </cell>
          <cell r="P593">
            <v>0</v>
          </cell>
          <cell r="Q593">
            <v>0</v>
          </cell>
          <cell r="R593">
            <v>335949.33333333331</v>
          </cell>
          <cell r="S593">
            <v>7651381.6742424238</v>
          </cell>
          <cell r="T593">
            <v>1449677</v>
          </cell>
          <cell r="U593">
            <v>125981</v>
          </cell>
          <cell r="V593">
            <v>4367638</v>
          </cell>
        </row>
        <row r="594">
          <cell r="K594">
            <v>0</v>
          </cell>
          <cell r="L594">
            <v>0</v>
          </cell>
          <cell r="N594">
            <v>0</v>
          </cell>
          <cell r="O594">
            <v>0</v>
          </cell>
          <cell r="P594">
            <v>0</v>
          </cell>
          <cell r="Q594">
            <v>0</v>
          </cell>
          <cell r="R594">
            <v>0</v>
          </cell>
          <cell r="S594">
            <v>0</v>
          </cell>
        </row>
        <row r="595">
          <cell r="F595">
            <v>83.79</v>
          </cell>
          <cell r="J595">
            <v>1</v>
          </cell>
          <cell r="K595">
            <v>251962</v>
          </cell>
          <cell r="L595">
            <v>3636919</v>
          </cell>
          <cell r="M595">
            <v>1219731.7917272728</v>
          </cell>
          <cell r="N595">
            <v>671898.66666666663</v>
          </cell>
          <cell r="O595">
            <v>5528549.4583939398</v>
          </cell>
          <cell r="P595">
            <v>0</v>
          </cell>
          <cell r="Q595">
            <v>0</v>
          </cell>
          <cell r="R595">
            <v>671898.66666666663</v>
          </cell>
          <cell r="S595">
            <v>5528549.4583939388</v>
          </cell>
          <cell r="T595">
            <v>599844</v>
          </cell>
          <cell r="U595">
            <v>251962</v>
          </cell>
          <cell r="V595">
            <v>3636919</v>
          </cell>
        </row>
        <row r="596">
          <cell r="F596">
            <v>137.69999999999999</v>
          </cell>
          <cell r="J596">
            <v>1</v>
          </cell>
          <cell r="K596">
            <v>251962</v>
          </cell>
          <cell r="L596">
            <v>5302904</v>
          </cell>
          <cell r="M596">
            <v>2004500.1518181814</v>
          </cell>
          <cell r="N596">
            <v>671898.66666666663</v>
          </cell>
          <cell r="O596">
            <v>7979302.8184848484</v>
          </cell>
          <cell r="P596">
            <v>0</v>
          </cell>
          <cell r="Q596">
            <v>0</v>
          </cell>
          <cell r="R596">
            <v>671898.66666666663</v>
          </cell>
          <cell r="S596">
            <v>7979302.8184848484</v>
          </cell>
          <cell r="T596">
            <v>985781</v>
          </cell>
          <cell r="U596">
            <v>251962</v>
          </cell>
          <cell r="V596">
            <v>5302904</v>
          </cell>
        </row>
        <row r="597">
          <cell r="K597">
            <v>0</v>
          </cell>
          <cell r="L597">
            <v>0</v>
          </cell>
          <cell r="N597">
            <v>0</v>
          </cell>
          <cell r="O597">
            <v>0</v>
          </cell>
          <cell r="P597">
            <v>0</v>
          </cell>
          <cell r="Q597">
            <v>0</v>
          </cell>
          <cell r="R597">
            <v>0</v>
          </cell>
          <cell r="S597">
            <v>0</v>
          </cell>
        </row>
        <row r="598">
          <cell r="F598">
            <v>38.4</v>
          </cell>
          <cell r="J598">
            <v>1</v>
          </cell>
          <cell r="K598">
            <v>251962</v>
          </cell>
          <cell r="L598">
            <v>3587096</v>
          </cell>
          <cell r="M598">
            <v>558989.14909090893</v>
          </cell>
          <cell r="N598">
            <v>671898.66666666663</v>
          </cell>
          <cell r="O598">
            <v>4817983.8157575754</v>
          </cell>
          <cell r="P598">
            <v>0</v>
          </cell>
          <cell r="Q598">
            <v>0</v>
          </cell>
          <cell r="R598">
            <v>671898.66666666663</v>
          </cell>
          <cell r="S598">
            <v>4817983.8157575754</v>
          </cell>
          <cell r="T598">
            <v>274902</v>
          </cell>
          <cell r="U598">
            <v>251962</v>
          </cell>
          <cell r="V598">
            <v>3587096</v>
          </cell>
        </row>
        <row r="599">
          <cell r="K599">
            <v>0</v>
          </cell>
          <cell r="L599">
            <v>0</v>
          </cell>
          <cell r="N599">
            <v>0</v>
          </cell>
          <cell r="O599">
            <v>0</v>
          </cell>
          <cell r="P599">
            <v>0</v>
          </cell>
          <cell r="Q599">
            <v>0</v>
          </cell>
          <cell r="R599">
            <v>0</v>
          </cell>
          <cell r="S599">
            <v>0</v>
          </cell>
        </row>
        <row r="600">
          <cell r="G600">
            <v>675</v>
          </cell>
          <cell r="J600">
            <v>1</v>
          </cell>
          <cell r="K600">
            <v>251962</v>
          </cell>
          <cell r="L600">
            <v>13130907</v>
          </cell>
          <cell r="M600">
            <v>443353.16249999998</v>
          </cell>
          <cell r="N600">
            <v>671898.66666666663</v>
          </cell>
          <cell r="O600">
            <v>14246158.829166666</v>
          </cell>
          <cell r="P600">
            <v>0</v>
          </cell>
          <cell r="Q600">
            <v>0</v>
          </cell>
          <cell r="R600">
            <v>671898.66666666663</v>
          </cell>
          <cell r="S600">
            <v>14246158.829166666</v>
          </cell>
          <cell r="T600">
            <v>646414</v>
          </cell>
          <cell r="U600">
            <v>251962</v>
          </cell>
          <cell r="V600">
            <v>13130907</v>
          </cell>
        </row>
        <row r="601">
          <cell r="K601">
            <v>0</v>
          </cell>
          <cell r="L601">
            <v>0</v>
          </cell>
          <cell r="N601">
            <v>0</v>
          </cell>
          <cell r="O601">
            <v>0</v>
          </cell>
          <cell r="P601">
            <v>0</v>
          </cell>
          <cell r="Q601">
            <v>0</v>
          </cell>
          <cell r="R601">
            <v>0</v>
          </cell>
          <cell r="S601">
            <v>0</v>
          </cell>
        </row>
        <row r="602">
          <cell r="G602">
            <v>16.2</v>
          </cell>
          <cell r="J602">
            <v>1</v>
          </cell>
          <cell r="K602">
            <v>48658</v>
          </cell>
          <cell r="L602">
            <v>802976</v>
          </cell>
          <cell r="M602">
            <v>10640.475899999999</v>
          </cell>
          <cell r="N602">
            <v>129754.66666666666</v>
          </cell>
          <cell r="O602">
            <v>943371.14256666659</v>
          </cell>
          <cell r="P602">
            <v>0</v>
          </cell>
          <cell r="Q602">
            <v>0</v>
          </cell>
          <cell r="R602">
            <v>129754.66666666666</v>
          </cell>
          <cell r="S602">
            <v>943371.14256666671</v>
          </cell>
          <cell r="T602">
            <v>15514</v>
          </cell>
          <cell r="U602">
            <v>48658</v>
          </cell>
          <cell r="V602">
            <v>802976</v>
          </cell>
        </row>
        <row r="603">
          <cell r="K603">
            <v>0</v>
          </cell>
          <cell r="L603">
            <v>0</v>
          </cell>
          <cell r="N603">
            <v>0</v>
          </cell>
          <cell r="O603">
            <v>0</v>
          </cell>
          <cell r="P603">
            <v>0</v>
          </cell>
          <cell r="Q603">
            <v>0</v>
          </cell>
          <cell r="R603">
            <v>0</v>
          </cell>
          <cell r="S603">
            <v>0</v>
          </cell>
        </row>
        <row r="604">
          <cell r="G604">
            <v>144</v>
          </cell>
          <cell r="J604">
            <v>1</v>
          </cell>
          <cell r="K604">
            <v>132404</v>
          </cell>
          <cell r="L604">
            <v>504120</v>
          </cell>
          <cell r="M604">
            <v>94582.008000000002</v>
          </cell>
          <cell r="N604">
            <v>353077.33333333331</v>
          </cell>
          <cell r="O604">
            <v>951779.3413333334</v>
          </cell>
          <cell r="P604">
            <v>0</v>
          </cell>
          <cell r="Q604">
            <v>0</v>
          </cell>
          <cell r="R604">
            <v>353077.33333333331</v>
          </cell>
          <cell r="S604">
            <v>951779.34133333329</v>
          </cell>
          <cell r="T604">
            <v>137902</v>
          </cell>
          <cell r="U604">
            <v>132404</v>
          </cell>
          <cell r="V604">
            <v>504120</v>
          </cell>
        </row>
        <row r="605">
          <cell r="K605">
            <v>0</v>
          </cell>
          <cell r="L605">
            <v>0</v>
          </cell>
          <cell r="N605">
            <v>0</v>
          </cell>
          <cell r="O605">
            <v>0</v>
          </cell>
          <cell r="P605">
            <v>0</v>
          </cell>
          <cell r="Q605">
            <v>0</v>
          </cell>
          <cell r="R605">
            <v>0</v>
          </cell>
          <cell r="S605">
            <v>0</v>
          </cell>
        </row>
        <row r="606">
          <cell r="F606">
            <v>19.440000000000001</v>
          </cell>
          <cell r="J606">
            <v>1</v>
          </cell>
          <cell r="K606">
            <v>132404</v>
          </cell>
          <cell r="L606">
            <v>652604</v>
          </cell>
          <cell r="M606">
            <v>282988.2567272727</v>
          </cell>
          <cell r="N606">
            <v>353077.33333333331</v>
          </cell>
          <cell r="O606">
            <v>1288669.5900606059</v>
          </cell>
          <cell r="P606">
            <v>0</v>
          </cell>
          <cell r="Q606">
            <v>0</v>
          </cell>
          <cell r="R606">
            <v>353077.33333333331</v>
          </cell>
          <cell r="S606">
            <v>1288669.5900606061</v>
          </cell>
          <cell r="T606">
            <v>139169</v>
          </cell>
          <cell r="U606">
            <v>132404</v>
          </cell>
          <cell r="V606">
            <v>652604</v>
          </cell>
        </row>
        <row r="607">
          <cell r="F607">
            <v>97.2</v>
          </cell>
          <cell r="J607">
            <v>1</v>
          </cell>
          <cell r="K607">
            <v>198532</v>
          </cell>
          <cell r="L607">
            <v>2945411</v>
          </cell>
          <cell r="M607">
            <v>1414941.2836363637</v>
          </cell>
          <cell r="N607">
            <v>529418.66666666663</v>
          </cell>
          <cell r="O607">
            <v>4889770.9503030302</v>
          </cell>
          <cell r="P607">
            <v>0</v>
          </cell>
          <cell r="Q607">
            <v>0</v>
          </cell>
          <cell r="R607">
            <v>529418.66666666663</v>
          </cell>
          <cell r="S607">
            <v>4889770.9503030302</v>
          </cell>
          <cell r="T607">
            <v>695845</v>
          </cell>
          <cell r="U607">
            <v>198532</v>
          </cell>
          <cell r="V607">
            <v>2945411</v>
          </cell>
        </row>
        <row r="608">
          <cell r="K608">
            <v>0</v>
          </cell>
          <cell r="L608">
            <v>0</v>
          </cell>
          <cell r="N608">
            <v>0</v>
          </cell>
          <cell r="O608">
            <v>0</v>
          </cell>
          <cell r="P608">
            <v>0</v>
          </cell>
          <cell r="Q608">
            <v>0</v>
          </cell>
          <cell r="R608">
            <v>0</v>
          </cell>
          <cell r="S608">
            <v>0</v>
          </cell>
        </row>
        <row r="609">
          <cell r="F609">
            <v>45</v>
          </cell>
          <cell r="J609">
            <v>1</v>
          </cell>
          <cell r="K609">
            <v>147331</v>
          </cell>
          <cell r="L609">
            <v>911211</v>
          </cell>
          <cell r="M609">
            <v>655065.40909090906</v>
          </cell>
          <cell r="N609">
            <v>392882.66666666663</v>
          </cell>
          <cell r="O609">
            <v>1959159.0757575757</v>
          </cell>
          <cell r="P609">
            <v>0</v>
          </cell>
          <cell r="Q609">
            <v>0</v>
          </cell>
          <cell r="R609">
            <v>392882.66666666663</v>
          </cell>
          <cell r="S609">
            <v>1959159.0757575757</v>
          </cell>
          <cell r="T609">
            <v>322151</v>
          </cell>
          <cell r="U609">
            <v>147331</v>
          </cell>
          <cell r="V609">
            <v>911211</v>
          </cell>
        </row>
        <row r="610">
          <cell r="F610">
            <v>56.4</v>
          </cell>
          <cell r="J610">
            <v>1</v>
          </cell>
          <cell r="K610">
            <v>147331</v>
          </cell>
          <cell r="L610">
            <v>1118988</v>
          </cell>
          <cell r="M610">
            <v>821015.31272727263</v>
          </cell>
          <cell r="N610">
            <v>392882.66666666663</v>
          </cell>
          <cell r="O610">
            <v>2332885.979393939</v>
          </cell>
          <cell r="P610">
            <v>0</v>
          </cell>
          <cell r="Q610">
            <v>0</v>
          </cell>
          <cell r="R610">
            <v>392882.66666666663</v>
          </cell>
          <cell r="S610">
            <v>2332885.9793939395</v>
          </cell>
          <cell r="T610">
            <v>403762</v>
          </cell>
          <cell r="U610">
            <v>147331</v>
          </cell>
          <cell r="V610">
            <v>1118988</v>
          </cell>
        </row>
        <row r="611">
          <cell r="D611" t="str">
            <v>Máy đóng cọc tự hành 1.8T</v>
          </cell>
          <cell r="E611" t="str">
            <v>pile driver, diesel self-propelled hammer 1.8T</v>
          </cell>
          <cell r="F611">
            <v>58.5</v>
          </cell>
          <cell r="J611">
            <v>1</v>
          </cell>
          <cell r="K611">
            <v>156659</v>
          </cell>
          <cell r="L611">
            <v>1351463</v>
          </cell>
          <cell r="M611">
            <v>851585.03181818174</v>
          </cell>
          <cell r="N611">
            <v>417757.33333333331</v>
          </cell>
          <cell r="O611">
            <v>2620805.3651515152</v>
          </cell>
          <cell r="P611">
            <v>388.69341749999995</v>
          </cell>
          <cell r="Q611">
            <v>331005496.30925524</v>
          </cell>
          <cell r="R611">
            <v>417757.33333333331</v>
          </cell>
          <cell r="S611">
            <v>2620805.3651515152</v>
          </cell>
          <cell r="T611">
            <v>418796</v>
          </cell>
          <cell r="U611">
            <v>156659</v>
          </cell>
          <cell r="V611">
            <v>1351463</v>
          </cell>
        </row>
        <row r="612">
          <cell r="F612">
            <v>61.5</v>
          </cell>
          <cell r="J612">
            <v>1</v>
          </cell>
          <cell r="K612">
            <v>198532</v>
          </cell>
          <cell r="L612">
            <v>2194597</v>
          </cell>
          <cell r="M612">
            <v>895256.05909090908</v>
          </cell>
          <cell r="N612">
            <v>529418.66666666663</v>
          </cell>
          <cell r="O612">
            <v>3619271.7257575756</v>
          </cell>
          <cell r="P612">
            <v>0</v>
          </cell>
          <cell r="Q612">
            <v>0</v>
          </cell>
          <cell r="R612">
            <v>529418.66666666663</v>
          </cell>
          <cell r="S612">
            <v>3619271.7257575756</v>
          </cell>
          <cell r="T612">
            <v>440272</v>
          </cell>
          <cell r="U612">
            <v>198532</v>
          </cell>
          <cell r="V612">
            <v>2194597</v>
          </cell>
        </row>
        <row r="613">
          <cell r="F613">
            <v>64.5</v>
          </cell>
          <cell r="J613">
            <v>1</v>
          </cell>
          <cell r="K613">
            <v>206674</v>
          </cell>
          <cell r="L613">
            <v>2557797</v>
          </cell>
          <cell r="M613">
            <v>938927.08636363631</v>
          </cell>
          <cell r="N613">
            <v>551130.66666666663</v>
          </cell>
          <cell r="O613">
            <v>4047854.7530303029</v>
          </cell>
          <cell r="P613">
            <v>0</v>
          </cell>
          <cell r="Q613">
            <v>0</v>
          </cell>
          <cell r="R613">
            <v>551130.66666666663</v>
          </cell>
          <cell r="S613">
            <v>4047854.7530303029</v>
          </cell>
          <cell r="T613">
            <v>461749</v>
          </cell>
          <cell r="U613">
            <v>206674</v>
          </cell>
          <cell r="V613">
            <v>2557797</v>
          </cell>
        </row>
        <row r="614">
          <cell r="K614">
            <v>0</v>
          </cell>
          <cell r="L614">
            <v>0</v>
          </cell>
          <cell r="N614">
            <v>0</v>
          </cell>
          <cell r="O614">
            <v>0</v>
          </cell>
          <cell r="P614">
            <v>0</v>
          </cell>
          <cell r="Q614">
            <v>0</v>
          </cell>
          <cell r="R614">
            <v>0</v>
          </cell>
          <cell r="S614">
            <v>0</v>
          </cell>
        </row>
        <row r="615">
          <cell r="D615" t="str">
            <v>Máy đóng cọc 1.2T</v>
          </cell>
          <cell r="E615" t="str">
            <v>pile driver, diesel hammer 1.2T</v>
          </cell>
          <cell r="F615">
            <v>24</v>
          </cell>
          <cell r="G615">
            <v>14.12</v>
          </cell>
          <cell r="J615">
            <v>1</v>
          </cell>
          <cell r="K615">
            <v>147331</v>
          </cell>
          <cell r="L615">
            <v>817088</v>
          </cell>
          <cell r="M615">
            <v>358642.5095218182</v>
          </cell>
          <cell r="N615">
            <v>392882.66666666663</v>
          </cell>
          <cell r="O615">
            <v>1568613.1761884848</v>
          </cell>
          <cell r="P615">
            <v>16.533110999999998</v>
          </cell>
          <cell r="Q615">
            <v>5929476.4192427769</v>
          </cell>
          <cell r="R615">
            <v>392882.66666666663</v>
          </cell>
          <cell r="S615">
            <v>1568613.1761884848</v>
          </cell>
          <cell r="T615">
            <v>185336</v>
          </cell>
          <cell r="U615">
            <v>147331</v>
          </cell>
          <cell r="V615">
            <v>817088</v>
          </cell>
        </row>
        <row r="616">
          <cell r="D616" t="str">
            <v>Máy đóng cọc 1.8T</v>
          </cell>
          <cell r="E616" t="str">
            <v>pile driver, diesel hammer 1.8T</v>
          </cell>
          <cell r="F616">
            <v>30</v>
          </cell>
          <cell r="G616">
            <v>14.12</v>
          </cell>
          <cell r="J616">
            <v>1</v>
          </cell>
          <cell r="K616">
            <v>147331</v>
          </cell>
          <cell r="L616">
            <v>1070798</v>
          </cell>
          <cell r="M616">
            <v>445984.5640672727</v>
          </cell>
          <cell r="N616">
            <v>392882.66666666663</v>
          </cell>
          <cell r="O616">
            <v>1909665.2307339394</v>
          </cell>
          <cell r="P616">
            <v>0</v>
          </cell>
          <cell r="Q616">
            <v>0</v>
          </cell>
          <cell r="R616">
            <v>392882.66666666663</v>
          </cell>
          <cell r="S616">
            <v>1909665.2307339394</v>
          </cell>
          <cell r="T616">
            <v>228289</v>
          </cell>
          <cell r="U616">
            <v>147331</v>
          </cell>
          <cell r="V616">
            <v>1070798</v>
          </cell>
        </row>
        <row r="617">
          <cell r="F617">
            <v>33</v>
          </cell>
          <cell r="G617">
            <v>14.12</v>
          </cell>
          <cell r="J617">
            <v>1</v>
          </cell>
          <cell r="K617">
            <v>147331</v>
          </cell>
          <cell r="L617">
            <v>1284160</v>
          </cell>
          <cell r="M617">
            <v>489655.59133999993</v>
          </cell>
          <cell r="N617">
            <v>392882.66666666663</v>
          </cell>
          <cell r="O617">
            <v>2166698.2580066663</v>
          </cell>
          <cell r="P617">
            <v>0</v>
          </cell>
          <cell r="Q617">
            <v>0</v>
          </cell>
          <cell r="R617">
            <v>392882.66666666663</v>
          </cell>
          <cell r="S617">
            <v>2166698.2580066668</v>
          </cell>
          <cell r="T617">
            <v>249766</v>
          </cell>
          <cell r="U617">
            <v>147331</v>
          </cell>
          <cell r="V617">
            <v>1284160</v>
          </cell>
        </row>
        <row r="618">
          <cell r="D618" t="str">
            <v>Máy đóng cọc 2.5T</v>
          </cell>
          <cell r="E618" t="str">
            <v>pile driver, diesel hammer 2.5T</v>
          </cell>
          <cell r="F618">
            <v>36</v>
          </cell>
          <cell r="G618">
            <v>25.42</v>
          </cell>
          <cell r="J618">
            <v>1</v>
          </cell>
          <cell r="K618">
            <v>198532</v>
          </cell>
          <cell r="L618">
            <v>1364006</v>
          </cell>
          <cell r="M618">
            <v>540748.67896272719</v>
          </cell>
          <cell r="N618">
            <v>529418.66666666663</v>
          </cell>
          <cell r="O618">
            <v>2434173.3456293936</v>
          </cell>
          <cell r="P618">
            <v>0</v>
          </cell>
          <cell r="Q618">
            <v>0</v>
          </cell>
          <cell r="R618">
            <v>529418.66666666663</v>
          </cell>
          <cell r="S618">
            <v>2434173.3456293941</v>
          </cell>
          <cell r="T618">
            <v>282064</v>
          </cell>
          <cell r="U618">
            <v>198532</v>
          </cell>
          <cell r="V618">
            <v>1364006</v>
          </cell>
        </row>
        <row r="619">
          <cell r="D619" t="str">
            <v>Máy đóng cọc 3.5T</v>
          </cell>
          <cell r="E619" t="str">
            <v>pile driver, diesel hammer 3.5T</v>
          </cell>
          <cell r="F619">
            <v>48</v>
          </cell>
          <cell r="G619">
            <v>25.42</v>
          </cell>
          <cell r="J619">
            <v>1</v>
          </cell>
          <cell r="K619">
            <v>198532</v>
          </cell>
          <cell r="L619">
            <v>1547388</v>
          </cell>
          <cell r="M619">
            <v>715432.78805363644</v>
          </cell>
          <cell r="N619">
            <v>529418.66666666663</v>
          </cell>
          <cell r="O619">
            <v>2792239.454720303</v>
          </cell>
          <cell r="P619">
            <v>0</v>
          </cell>
          <cell r="Q619">
            <v>0</v>
          </cell>
          <cell r="R619">
            <v>529418.66666666663</v>
          </cell>
          <cell r="S619">
            <v>2792239.454720303</v>
          </cell>
          <cell r="T619">
            <v>367971</v>
          </cell>
          <cell r="U619">
            <v>198532</v>
          </cell>
          <cell r="V619">
            <v>1547388</v>
          </cell>
        </row>
        <row r="620">
          <cell r="E620" t="str">
            <v>pile driver, diesel hammer 4.5T</v>
          </cell>
          <cell r="F620">
            <v>63</v>
          </cell>
          <cell r="G620">
            <v>33.75</v>
          </cell>
          <cell r="J620">
            <v>1</v>
          </cell>
          <cell r="K620">
            <v>206674</v>
          </cell>
          <cell r="L620">
            <v>1879298</v>
          </cell>
          <cell r="M620">
            <v>939259.23085227259</v>
          </cell>
          <cell r="N620">
            <v>551130.66666666663</v>
          </cell>
          <cell r="O620">
            <v>3369687.8975189389</v>
          </cell>
          <cell r="P620">
            <v>0</v>
          </cell>
          <cell r="Q620">
            <v>0</v>
          </cell>
          <cell r="R620">
            <v>551130.66666666663</v>
          </cell>
          <cell r="S620">
            <v>3369687.8975189393</v>
          </cell>
          <cell r="T620">
            <v>483331</v>
          </cell>
          <cell r="U620">
            <v>206674</v>
          </cell>
          <cell r="V620">
            <v>1879298</v>
          </cell>
        </row>
        <row r="621">
          <cell r="E621" t="str">
            <v>pile driver, diesel hammer 5.5T</v>
          </cell>
          <cell r="F621">
            <v>78</v>
          </cell>
          <cell r="G621">
            <v>33.75</v>
          </cell>
          <cell r="J621">
            <v>1</v>
          </cell>
          <cell r="K621">
            <v>206674</v>
          </cell>
          <cell r="L621">
            <v>2215764</v>
          </cell>
          <cell r="M621">
            <v>1157614.3672159091</v>
          </cell>
          <cell r="N621">
            <v>551130.66666666663</v>
          </cell>
          <cell r="O621">
            <v>3924509.0338825756</v>
          </cell>
          <cell r="P621">
            <v>0</v>
          </cell>
          <cell r="Q621">
            <v>0</v>
          </cell>
          <cell r="R621">
            <v>551130.66666666663</v>
          </cell>
          <cell r="S621">
            <v>3924509.0338825756</v>
          </cell>
          <cell r="T621">
            <v>590715</v>
          </cell>
          <cell r="U621">
            <v>206674</v>
          </cell>
          <cell r="V621">
            <v>2215764</v>
          </cell>
        </row>
        <row r="622">
          <cell r="K622">
            <v>0</v>
          </cell>
          <cell r="L622">
            <v>0</v>
          </cell>
          <cell r="N622">
            <v>0</v>
          </cell>
          <cell r="O622">
            <v>0</v>
          </cell>
          <cell r="P622">
            <v>0</v>
          </cell>
          <cell r="Q622">
            <v>0</v>
          </cell>
          <cell r="R622">
            <v>0</v>
          </cell>
          <cell r="S622">
            <v>0</v>
          </cell>
        </row>
        <row r="623">
          <cell r="D623" t="str">
            <v>Búa rung cọc cát 60kW</v>
          </cell>
          <cell r="E623" t="str">
            <v>vibrator hammer 60kW for sand pile</v>
          </cell>
          <cell r="F623">
            <v>39.6</v>
          </cell>
          <cell r="J623">
            <v>1</v>
          </cell>
          <cell r="K623">
            <v>164801</v>
          </cell>
          <cell r="L623">
            <v>996375</v>
          </cell>
          <cell r="M623">
            <v>576457.55999999994</v>
          </cell>
          <cell r="N623">
            <v>439469.33333333331</v>
          </cell>
          <cell r="O623">
            <v>2012301.8933333333</v>
          </cell>
          <cell r="P623">
            <v>0</v>
          </cell>
          <cell r="Q623">
            <v>0</v>
          </cell>
          <cell r="R623">
            <v>439469.33333333331</v>
          </cell>
          <cell r="S623">
            <v>2012301.8933333333</v>
          </cell>
          <cell r="T623">
            <v>283492</v>
          </cell>
          <cell r="U623">
            <v>164801</v>
          </cell>
          <cell r="V623">
            <v>996375</v>
          </cell>
        </row>
        <row r="624">
          <cell r="K624">
            <v>0</v>
          </cell>
          <cell r="L624">
            <v>0</v>
          </cell>
          <cell r="N624">
            <v>0</v>
          </cell>
          <cell r="O624">
            <v>0</v>
          </cell>
          <cell r="P624">
            <v>0</v>
          </cell>
          <cell r="Q624">
            <v>0</v>
          </cell>
          <cell r="R624">
            <v>0</v>
          </cell>
          <cell r="S624">
            <v>0</v>
          </cell>
        </row>
        <row r="625">
          <cell r="D625" t="str">
            <v>Búa rung 40kW</v>
          </cell>
          <cell r="E625" t="str">
            <v>vibrator hammer 40kW</v>
          </cell>
          <cell r="G625">
            <v>108</v>
          </cell>
          <cell r="J625">
            <v>1</v>
          </cell>
          <cell r="K625">
            <v>90531</v>
          </cell>
          <cell r="L625">
            <v>400476</v>
          </cell>
          <cell r="M625">
            <v>70936.505999999994</v>
          </cell>
          <cell r="N625">
            <v>241416</v>
          </cell>
          <cell r="O625">
            <v>712828.50600000005</v>
          </cell>
          <cell r="P625">
            <v>0</v>
          </cell>
          <cell r="Q625">
            <v>0</v>
          </cell>
          <cell r="R625">
            <v>241416</v>
          </cell>
          <cell r="S625">
            <v>712828.50600000005</v>
          </cell>
          <cell r="T625">
            <v>103426</v>
          </cell>
          <cell r="U625">
            <v>90531</v>
          </cell>
          <cell r="V625">
            <v>400476</v>
          </cell>
        </row>
        <row r="626">
          <cell r="G626">
            <v>135</v>
          </cell>
          <cell r="J626">
            <v>1</v>
          </cell>
          <cell r="K626">
            <v>90531</v>
          </cell>
          <cell r="L626">
            <v>484289</v>
          </cell>
          <cell r="M626">
            <v>88670.632499999992</v>
          </cell>
          <cell r="N626">
            <v>241416</v>
          </cell>
          <cell r="O626">
            <v>814375.63249999995</v>
          </cell>
          <cell r="P626">
            <v>0</v>
          </cell>
          <cell r="Q626">
            <v>0</v>
          </cell>
          <cell r="R626">
            <v>241416</v>
          </cell>
          <cell r="S626">
            <v>814375.63250000007</v>
          </cell>
          <cell r="T626">
            <v>129283</v>
          </cell>
          <cell r="U626">
            <v>90531</v>
          </cell>
          <cell r="V626">
            <v>484289</v>
          </cell>
        </row>
        <row r="627">
          <cell r="D627" t="str">
            <v>Búa rung 170kW</v>
          </cell>
          <cell r="E627" t="str">
            <v>vibrator hammer 170kW</v>
          </cell>
          <cell r="G627">
            <v>357</v>
          </cell>
          <cell r="J627">
            <v>1</v>
          </cell>
          <cell r="K627">
            <v>90531</v>
          </cell>
          <cell r="L627">
            <v>1029823</v>
          </cell>
          <cell r="M627">
            <v>234484.56149999995</v>
          </cell>
          <cell r="N627">
            <v>241416</v>
          </cell>
          <cell r="O627">
            <v>1505723.5614999998</v>
          </cell>
          <cell r="P627">
            <v>372.98327699999999</v>
          </cell>
          <cell r="Q627">
            <v>87458820.154178008</v>
          </cell>
          <cell r="R627">
            <v>241416</v>
          </cell>
          <cell r="S627">
            <v>1505723.5614999998</v>
          </cell>
          <cell r="T627">
            <v>341881</v>
          </cell>
          <cell r="U627">
            <v>90531</v>
          </cell>
          <cell r="V627">
            <v>1029823</v>
          </cell>
        </row>
        <row r="628">
          <cell r="K628">
            <v>0</v>
          </cell>
          <cell r="L628">
            <v>0</v>
          </cell>
          <cell r="N628">
            <v>0</v>
          </cell>
          <cell r="O628">
            <v>0</v>
          </cell>
          <cell r="P628">
            <v>0</v>
          </cell>
          <cell r="Q628">
            <v>0</v>
          </cell>
          <cell r="R628">
            <v>0</v>
          </cell>
          <cell r="S628">
            <v>0</v>
          </cell>
        </row>
        <row r="629">
          <cell r="D629" t="str">
            <v>Tàu đóng cọc &lt;=3.5T</v>
          </cell>
          <cell r="E629" t="str">
            <v>Floating hammer (include barge and auxiliary machine) 3.5T</v>
          </cell>
          <cell r="F629">
            <v>51.87</v>
          </cell>
          <cell r="J629">
            <v>1</v>
          </cell>
          <cell r="K629">
            <v>330959</v>
          </cell>
          <cell r="L629">
            <v>2804497</v>
          </cell>
          <cell r="M629">
            <v>755072.06154545455</v>
          </cell>
          <cell r="N629">
            <v>882557.33333333326</v>
          </cell>
          <cell r="O629">
            <v>4442126.3948787879</v>
          </cell>
          <cell r="P629">
            <v>0</v>
          </cell>
          <cell r="Q629">
            <v>0</v>
          </cell>
          <cell r="R629">
            <v>882557.33333333326</v>
          </cell>
          <cell r="S629">
            <v>4442126.3948787879</v>
          </cell>
          <cell r="T629">
            <v>371332</v>
          </cell>
          <cell r="U629">
            <v>330959</v>
          </cell>
          <cell r="V629">
            <v>2804497</v>
          </cell>
        </row>
        <row r="630">
          <cell r="K630">
            <v>0</v>
          </cell>
          <cell r="L630">
            <v>0</v>
          </cell>
          <cell r="N630">
            <v>0</v>
          </cell>
          <cell r="O630">
            <v>0</v>
          </cell>
          <cell r="P630">
            <v>0</v>
          </cell>
          <cell r="Q630">
            <v>0</v>
          </cell>
          <cell r="R630">
            <v>0</v>
          </cell>
          <cell r="S630">
            <v>0</v>
          </cell>
        </row>
        <row r="631">
          <cell r="D631" t="str">
            <v>Tàu đóng cọc C96 - búa thủy lực 7.5T</v>
          </cell>
          <cell r="E631" t="str">
            <v>hydraulic driver barge C96, hammer 7.5 ton</v>
          </cell>
          <cell r="F631">
            <v>162</v>
          </cell>
          <cell r="J631">
            <v>1</v>
          </cell>
          <cell r="K631">
            <v>490863</v>
          </cell>
          <cell r="L631">
            <v>7373107</v>
          </cell>
          <cell r="M631">
            <v>2358235.4727272727</v>
          </cell>
          <cell r="N631">
            <v>1308968</v>
          </cell>
          <cell r="O631">
            <v>11040310.472727273</v>
          </cell>
          <cell r="P631">
            <v>0</v>
          </cell>
          <cell r="Q631">
            <v>0</v>
          </cell>
          <cell r="R631">
            <v>1308968</v>
          </cell>
          <cell r="S631">
            <v>11040310.472727273</v>
          </cell>
          <cell r="T631">
            <v>1159742</v>
          </cell>
          <cell r="U631">
            <v>490863</v>
          </cell>
          <cell r="V631">
            <v>7373107</v>
          </cell>
        </row>
        <row r="632">
          <cell r="K632">
            <v>0</v>
          </cell>
          <cell r="L632">
            <v>0</v>
          </cell>
          <cell r="N632">
            <v>0</v>
          </cell>
          <cell r="O632">
            <v>0</v>
          </cell>
          <cell r="P632">
            <v>0</v>
          </cell>
          <cell r="Q632">
            <v>0</v>
          </cell>
          <cell r="R632">
            <v>0</v>
          </cell>
          <cell r="S632">
            <v>0</v>
          </cell>
        </row>
        <row r="633">
          <cell r="G633">
            <v>37.5</v>
          </cell>
          <cell r="J633">
            <v>1</v>
          </cell>
          <cell r="K633">
            <v>90531</v>
          </cell>
          <cell r="L633">
            <v>335808</v>
          </cell>
          <cell r="M633">
            <v>24630.731249999997</v>
          </cell>
          <cell r="N633">
            <v>241416</v>
          </cell>
          <cell r="O633">
            <v>601854.73124999995</v>
          </cell>
          <cell r="P633">
            <v>0</v>
          </cell>
          <cell r="Q633">
            <v>0</v>
          </cell>
          <cell r="R633">
            <v>241416</v>
          </cell>
          <cell r="S633">
            <v>601854.73124999995</v>
          </cell>
          <cell r="T633">
            <v>35912</v>
          </cell>
          <cell r="U633">
            <v>90531</v>
          </cell>
          <cell r="V633">
            <v>335808</v>
          </cell>
        </row>
        <row r="634">
          <cell r="G634">
            <v>52.5</v>
          </cell>
          <cell r="J634">
            <v>1</v>
          </cell>
          <cell r="K634">
            <v>90531</v>
          </cell>
          <cell r="L634">
            <v>454238</v>
          </cell>
          <cell r="M634">
            <v>34483.02375</v>
          </cell>
          <cell r="N634">
            <v>241416</v>
          </cell>
          <cell r="O634">
            <v>730137.02374999993</v>
          </cell>
          <cell r="P634">
            <v>0</v>
          </cell>
          <cell r="Q634">
            <v>0</v>
          </cell>
          <cell r="R634">
            <v>241416</v>
          </cell>
          <cell r="S634">
            <v>730137.02374999993</v>
          </cell>
          <cell r="T634">
            <v>50277</v>
          </cell>
          <cell r="U634">
            <v>90531</v>
          </cell>
          <cell r="V634">
            <v>454238</v>
          </cell>
        </row>
        <row r="635">
          <cell r="D635" t="str">
            <v>Máy ép cọc trước 150T</v>
          </cell>
          <cell r="E635" t="str">
            <v>Pressing pile machine 150Ton</v>
          </cell>
          <cell r="G635">
            <v>75</v>
          </cell>
          <cell r="J635">
            <v>1</v>
          </cell>
          <cell r="K635">
            <v>90531</v>
          </cell>
          <cell r="L635">
            <v>456110</v>
          </cell>
          <cell r="M635">
            <v>49261.462499999994</v>
          </cell>
          <cell r="N635">
            <v>241416</v>
          </cell>
          <cell r="O635">
            <v>746787.46250000002</v>
          </cell>
          <cell r="P635">
            <v>0</v>
          </cell>
          <cell r="Q635">
            <v>0</v>
          </cell>
          <cell r="R635">
            <v>241416</v>
          </cell>
          <cell r="S635">
            <v>746787.46250000002</v>
          </cell>
          <cell r="T635">
            <v>71824</v>
          </cell>
          <cell r="U635">
            <v>90531</v>
          </cell>
          <cell r="V635">
            <v>456110</v>
          </cell>
        </row>
        <row r="636">
          <cell r="D636" t="str">
            <v>Máy ép cọc trước 200T</v>
          </cell>
          <cell r="E636" t="str">
            <v>Pressing pile machine 200Ton</v>
          </cell>
          <cell r="G636">
            <v>84</v>
          </cell>
          <cell r="J636">
            <v>1</v>
          </cell>
          <cell r="K636">
            <v>90531</v>
          </cell>
          <cell r="L636">
            <v>498918</v>
          </cell>
          <cell r="M636">
            <v>55172.837999999996</v>
          </cell>
          <cell r="N636">
            <v>241416</v>
          </cell>
          <cell r="O636">
            <v>795506.83799999999</v>
          </cell>
          <cell r="P636">
            <v>0</v>
          </cell>
          <cell r="Q636">
            <v>0</v>
          </cell>
          <cell r="R636">
            <v>241416</v>
          </cell>
          <cell r="S636">
            <v>795506.83799999999</v>
          </cell>
          <cell r="T636">
            <v>80443</v>
          </cell>
          <cell r="U636">
            <v>90531</v>
          </cell>
          <cell r="V636">
            <v>498918</v>
          </cell>
        </row>
        <row r="637">
          <cell r="D637" t="str">
            <v>Máy ép cọc sau</v>
          </cell>
          <cell r="E637" t="str">
            <v>Pressing pile machine</v>
          </cell>
          <cell r="G637">
            <v>36</v>
          </cell>
          <cell r="J637">
            <v>1</v>
          </cell>
          <cell r="K637">
            <v>90531</v>
          </cell>
          <cell r="L637">
            <v>226096</v>
          </cell>
          <cell r="M637">
            <v>23645.502</v>
          </cell>
          <cell r="N637">
            <v>241416</v>
          </cell>
          <cell r="O637">
            <v>491157.50199999998</v>
          </cell>
          <cell r="P637">
            <v>0</v>
          </cell>
          <cell r="Q637">
            <v>0</v>
          </cell>
          <cell r="R637">
            <v>241416</v>
          </cell>
          <cell r="S637">
            <v>491157.50199999998</v>
          </cell>
          <cell r="T637">
            <v>34475</v>
          </cell>
          <cell r="U637">
            <v>90531</v>
          </cell>
          <cell r="V637">
            <v>226096</v>
          </cell>
        </row>
        <row r="638">
          <cell r="D638" t="str">
            <v>Máy cắm bấc thấm</v>
          </cell>
          <cell r="E638" t="str">
            <v>Plastic board drain machine</v>
          </cell>
          <cell r="F638">
            <v>47.85</v>
          </cell>
          <cell r="J638">
            <v>1</v>
          </cell>
          <cell r="K638">
            <v>98673</v>
          </cell>
          <cell r="L638">
            <v>956707</v>
          </cell>
          <cell r="M638">
            <v>696552.88500000001</v>
          </cell>
          <cell r="N638">
            <v>263128</v>
          </cell>
          <cell r="O638">
            <v>1916387.885</v>
          </cell>
          <cell r="P638">
            <v>0</v>
          </cell>
          <cell r="Q638">
            <v>0</v>
          </cell>
          <cell r="R638">
            <v>263128</v>
          </cell>
          <cell r="S638">
            <v>1916387.885</v>
          </cell>
          <cell r="T638">
            <v>342553</v>
          </cell>
          <cell r="U638">
            <v>98673</v>
          </cell>
          <cell r="V638">
            <v>956707</v>
          </cell>
        </row>
        <row r="639">
          <cell r="K639">
            <v>0</v>
          </cell>
          <cell r="L639">
            <v>0</v>
          </cell>
          <cell r="N639">
            <v>0</v>
          </cell>
          <cell r="O639">
            <v>0</v>
          </cell>
          <cell r="P639">
            <v>0</v>
          </cell>
          <cell r="Q639">
            <v>0</v>
          </cell>
          <cell r="R639">
            <v>0</v>
          </cell>
          <cell r="S639">
            <v>0</v>
          </cell>
        </row>
        <row r="640">
          <cell r="D640" t="str">
            <v>Máy khoan cọc nhồi VRM HD</v>
          </cell>
          <cell r="E640" t="str">
            <v>Earth drill VRM 1500/800HD</v>
          </cell>
          <cell r="F640">
            <v>51.6</v>
          </cell>
          <cell r="J640">
            <v>1</v>
          </cell>
          <cell r="K640">
            <v>198532</v>
          </cell>
          <cell r="L640">
            <v>5171232</v>
          </cell>
          <cell r="M640">
            <v>751141.66909090895</v>
          </cell>
          <cell r="N640">
            <v>529418.66666666663</v>
          </cell>
          <cell r="O640">
            <v>6451792.3357575759</v>
          </cell>
          <cell r="P640">
            <v>0</v>
          </cell>
          <cell r="Q640">
            <v>0</v>
          </cell>
          <cell r="R640">
            <v>529418.66666666663</v>
          </cell>
          <cell r="S640">
            <v>6451792.3357575759</v>
          </cell>
          <cell r="T640">
            <v>369399</v>
          </cell>
          <cell r="U640">
            <v>198532</v>
          </cell>
          <cell r="V640">
            <v>5171232</v>
          </cell>
        </row>
        <row r="641">
          <cell r="D641" t="str">
            <v>Máy khoan cọc nhồi TRC-15</v>
          </cell>
          <cell r="E641" t="str">
            <v>Boring hammer TRC-15</v>
          </cell>
          <cell r="G641">
            <v>330</v>
          </cell>
          <cell r="J641">
            <v>1</v>
          </cell>
          <cell r="K641">
            <v>321460</v>
          </cell>
          <cell r="L641">
            <v>9288866</v>
          </cell>
          <cell r="M641">
            <v>216750.43499999997</v>
          </cell>
          <cell r="N641">
            <v>857226.66666666663</v>
          </cell>
          <cell r="O641">
            <v>10362843.101666667</v>
          </cell>
          <cell r="P641">
            <v>123.49694700000001</v>
          </cell>
          <cell r="Q641">
            <v>26768016.983421944</v>
          </cell>
          <cell r="R641">
            <v>857226.66666666663</v>
          </cell>
          <cell r="S641">
            <v>10362843.101666667</v>
          </cell>
          <cell r="T641">
            <v>316025</v>
          </cell>
          <cell r="U641">
            <v>321460</v>
          </cell>
          <cell r="V641">
            <v>9288866</v>
          </cell>
        </row>
        <row r="642">
          <cell r="E642" t="str">
            <v>Earth drill GPS-15</v>
          </cell>
          <cell r="G642">
            <v>594</v>
          </cell>
          <cell r="J642">
            <v>1</v>
          </cell>
          <cell r="K642">
            <v>198532</v>
          </cell>
          <cell r="L642">
            <v>2125994</v>
          </cell>
          <cell r="M642">
            <v>390150.783</v>
          </cell>
          <cell r="N642">
            <v>529418.66666666663</v>
          </cell>
          <cell r="O642">
            <v>3045563.4496666663</v>
          </cell>
          <cell r="P642">
            <v>0</v>
          </cell>
          <cell r="Q642">
            <v>0</v>
          </cell>
          <cell r="R642">
            <v>529418.66666666663</v>
          </cell>
          <cell r="S642">
            <v>3045563.4496666668</v>
          </cell>
          <cell r="T642">
            <v>568844</v>
          </cell>
          <cell r="U642">
            <v>198532</v>
          </cell>
          <cell r="V642">
            <v>2125994</v>
          </cell>
        </row>
        <row r="643">
          <cell r="E643" t="str">
            <v>Earth drill QJ 250</v>
          </cell>
          <cell r="G643">
            <v>675</v>
          </cell>
          <cell r="J643">
            <v>1</v>
          </cell>
          <cell r="K643">
            <v>198532</v>
          </cell>
          <cell r="L643">
            <v>3407506</v>
          </cell>
          <cell r="M643">
            <v>443353.16249999998</v>
          </cell>
          <cell r="N643">
            <v>529418.66666666663</v>
          </cell>
          <cell r="O643">
            <v>4380277.8291666666</v>
          </cell>
          <cell r="P643">
            <v>0</v>
          </cell>
          <cell r="Q643">
            <v>0</v>
          </cell>
          <cell r="R643">
            <v>529418.66666666663</v>
          </cell>
          <cell r="S643">
            <v>4380277.8291666666</v>
          </cell>
          <cell r="T643">
            <v>646414</v>
          </cell>
          <cell r="U643">
            <v>198532</v>
          </cell>
          <cell r="V643">
            <v>3407506</v>
          </cell>
        </row>
        <row r="644">
          <cell r="D644" t="str">
            <v>Máy khoan cọc nhồi VRM 2000</v>
          </cell>
          <cell r="E644" t="str">
            <v>Earth drill VRM 2000</v>
          </cell>
          <cell r="F644">
            <v>60</v>
          </cell>
          <cell r="J644">
            <v>1</v>
          </cell>
          <cell r="K644">
            <v>198532</v>
          </cell>
          <cell r="L644">
            <v>7251241</v>
          </cell>
          <cell r="M644">
            <v>873420.54545454541</v>
          </cell>
          <cell r="N644">
            <v>529418.66666666663</v>
          </cell>
          <cell r="O644">
            <v>8654080.212121211</v>
          </cell>
          <cell r="P644">
            <v>0</v>
          </cell>
          <cell r="Q644">
            <v>0</v>
          </cell>
          <cell r="R644">
            <v>529418.66666666663</v>
          </cell>
          <cell r="S644">
            <v>8654080.212121211</v>
          </cell>
          <cell r="T644">
            <v>429534</v>
          </cell>
          <cell r="U644">
            <v>198532</v>
          </cell>
          <cell r="V644">
            <v>7251241</v>
          </cell>
        </row>
        <row r="645">
          <cell r="K645">
            <v>0</v>
          </cell>
          <cell r="L645">
            <v>0</v>
          </cell>
          <cell r="N645">
            <v>0</v>
          </cell>
          <cell r="O645">
            <v>0</v>
          </cell>
          <cell r="P645">
            <v>0</v>
          </cell>
          <cell r="Q645">
            <v>0</v>
          </cell>
          <cell r="R645">
            <v>0</v>
          </cell>
          <cell r="S645">
            <v>0</v>
          </cell>
        </row>
        <row r="646">
          <cell r="D646" t="str">
            <v>Máy trộn dung dịch</v>
          </cell>
          <cell r="E646" t="str">
            <v>bentonite mixer</v>
          </cell>
          <cell r="G646">
            <v>12.6</v>
          </cell>
          <cell r="J646">
            <v>1</v>
          </cell>
          <cell r="K646">
            <v>41873</v>
          </cell>
          <cell r="L646">
            <v>66234</v>
          </cell>
          <cell r="M646">
            <v>8275.925699999998</v>
          </cell>
          <cell r="N646">
            <v>111661.33333333333</v>
          </cell>
          <cell r="O646">
            <v>186171.25903333334</v>
          </cell>
          <cell r="P646">
            <v>576.32382747845179</v>
          </cell>
          <cell r="Q646">
            <v>4769613.1753512844</v>
          </cell>
          <cell r="R646">
            <v>111661.33333333333</v>
          </cell>
          <cell r="S646">
            <v>186171.25903333334</v>
          </cell>
          <cell r="T646">
            <v>12066</v>
          </cell>
          <cell r="U646">
            <v>41873</v>
          </cell>
          <cell r="V646">
            <v>66234</v>
          </cell>
        </row>
        <row r="647">
          <cell r="G647">
            <v>18</v>
          </cell>
          <cell r="J647">
            <v>1</v>
          </cell>
          <cell r="K647">
            <v>48658</v>
          </cell>
          <cell r="L647">
            <v>147779</v>
          </cell>
          <cell r="M647">
            <v>11822.751</v>
          </cell>
          <cell r="N647">
            <v>129754.66666666666</v>
          </cell>
          <cell r="O647">
            <v>289356.41766666668</v>
          </cell>
          <cell r="P647">
            <v>0</v>
          </cell>
          <cell r="Q647">
            <v>0</v>
          </cell>
          <cell r="R647">
            <v>129754.66666666666</v>
          </cell>
          <cell r="S647">
            <v>289356.41766666668</v>
          </cell>
          <cell r="T647">
            <v>17238</v>
          </cell>
          <cell r="U647">
            <v>48658</v>
          </cell>
          <cell r="V647">
            <v>147779</v>
          </cell>
        </row>
        <row r="648">
          <cell r="K648">
            <v>0</v>
          </cell>
          <cell r="L648">
            <v>0</v>
          </cell>
          <cell r="N648">
            <v>0</v>
          </cell>
          <cell r="O648">
            <v>0</v>
          </cell>
          <cell r="P648">
            <v>0</v>
          </cell>
          <cell r="Q648">
            <v>0</v>
          </cell>
          <cell r="R648">
            <v>0</v>
          </cell>
          <cell r="S648">
            <v>0</v>
          </cell>
        </row>
        <row r="649">
          <cell r="D649" t="str">
            <v>Máy sàng rung</v>
          </cell>
          <cell r="E649" t="str">
            <v>bentonite filter</v>
          </cell>
          <cell r="G649">
            <v>21.12</v>
          </cell>
          <cell r="J649">
            <v>1</v>
          </cell>
          <cell r="K649">
            <v>48658</v>
          </cell>
          <cell r="L649">
            <v>216714</v>
          </cell>
          <cell r="M649">
            <v>13872.027839999999</v>
          </cell>
          <cell r="N649">
            <v>129754.66666666666</v>
          </cell>
          <cell r="O649">
            <v>360340.69450666662</v>
          </cell>
          <cell r="P649">
            <v>576.32382747845179</v>
          </cell>
          <cell r="Q649">
            <v>7994780.1796364393</v>
          </cell>
          <cell r="R649">
            <v>129754.66666666666</v>
          </cell>
          <cell r="S649">
            <v>360340.69450666662</v>
          </cell>
          <cell r="T649">
            <v>20226</v>
          </cell>
          <cell r="U649">
            <v>48658</v>
          </cell>
          <cell r="V649">
            <v>216714</v>
          </cell>
        </row>
        <row r="650">
          <cell r="K650">
            <v>0</v>
          </cell>
          <cell r="L650">
            <v>0</v>
          </cell>
          <cell r="N650">
            <v>0</v>
          </cell>
          <cell r="O650">
            <v>0</v>
          </cell>
          <cell r="P650">
            <v>0</v>
          </cell>
          <cell r="Q650">
            <v>0</v>
          </cell>
          <cell r="R650">
            <v>0</v>
          </cell>
          <cell r="S650">
            <v>0</v>
          </cell>
        </row>
        <row r="651">
          <cell r="J651">
            <v>1</v>
          </cell>
          <cell r="K651">
            <v>93246</v>
          </cell>
          <cell r="L651">
            <v>289880</v>
          </cell>
          <cell r="M651">
            <v>0</v>
          </cell>
          <cell r="N651">
            <v>248656</v>
          </cell>
          <cell r="O651">
            <v>538536</v>
          </cell>
          <cell r="P651">
            <v>0</v>
          </cell>
          <cell r="Q651">
            <v>0</v>
          </cell>
          <cell r="R651">
            <v>248656</v>
          </cell>
          <cell r="S651">
            <v>538536</v>
          </cell>
          <cell r="U651">
            <v>93246</v>
          </cell>
          <cell r="V651">
            <v>289880</v>
          </cell>
        </row>
        <row r="652">
          <cell r="D652" t="str">
            <v>Sà lan 200T</v>
          </cell>
          <cell r="E652" t="str">
            <v>barge 200Ton</v>
          </cell>
          <cell r="J652">
            <v>1</v>
          </cell>
          <cell r="K652">
            <v>93246</v>
          </cell>
          <cell r="L652">
            <v>454640</v>
          </cell>
          <cell r="M652">
            <v>0</v>
          </cell>
          <cell r="N652">
            <v>248656</v>
          </cell>
          <cell r="O652">
            <v>703296</v>
          </cell>
          <cell r="P652">
            <v>116.26135500000002</v>
          </cell>
          <cell r="Q652">
            <v>0</v>
          </cell>
          <cell r="R652">
            <v>248656</v>
          </cell>
          <cell r="S652">
            <v>703296</v>
          </cell>
          <cell r="U652">
            <v>93246</v>
          </cell>
          <cell r="V652">
            <v>454640</v>
          </cell>
        </row>
        <row r="653">
          <cell r="D653" t="str">
            <v>Sà lan 250T</v>
          </cell>
          <cell r="E653" t="str">
            <v>barge 250Ton</v>
          </cell>
          <cell r="J653">
            <v>1</v>
          </cell>
          <cell r="K653">
            <v>93246</v>
          </cell>
          <cell r="L653">
            <v>563041</v>
          </cell>
          <cell r="M653">
            <v>0</v>
          </cell>
          <cell r="N653">
            <v>248656</v>
          </cell>
          <cell r="O653">
            <v>811697</v>
          </cell>
          <cell r="P653">
            <v>0</v>
          </cell>
          <cell r="Q653">
            <v>0</v>
          </cell>
          <cell r="R653">
            <v>248656</v>
          </cell>
          <cell r="S653">
            <v>811697</v>
          </cell>
          <cell r="U653">
            <v>93246</v>
          </cell>
          <cell r="V653">
            <v>563041</v>
          </cell>
        </row>
        <row r="654">
          <cell r="D654" t="str">
            <v>Sà lan 300T</v>
          </cell>
          <cell r="E654" t="str">
            <v>barge 300Ton</v>
          </cell>
          <cell r="J654">
            <v>1</v>
          </cell>
          <cell r="K654">
            <v>93246</v>
          </cell>
          <cell r="L654">
            <v>672333</v>
          </cell>
          <cell r="M654">
            <v>0</v>
          </cell>
          <cell r="N654">
            <v>248656</v>
          </cell>
          <cell r="O654">
            <v>920989</v>
          </cell>
          <cell r="P654">
            <v>0</v>
          </cell>
          <cell r="Q654">
            <v>0</v>
          </cell>
          <cell r="R654">
            <v>248656</v>
          </cell>
          <cell r="S654">
            <v>920989</v>
          </cell>
          <cell r="U654">
            <v>93246</v>
          </cell>
          <cell r="V654">
            <v>672333</v>
          </cell>
        </row>
        <row r="655">
          <cell r="D655" t="str">
            <v>Sà lan 400T</v>
          </cell>
          <cell r="E655" t="str">
            <v>barge 400Ton</v>
          </cell>
          <cell r="J655">
            <v>1</v>
          </cell>
          <cell r="K655">
            <v>93246</v>
          </cell>
          <cell r="L655">
            <v>887218</v>
          </cell>
          <cell r="M655">
            <v>0</v>
          </cell>
          <cell r="N655">
            <v>248656</v>
          </cell>
          <cell r="O655">
            <v>1135874</v>
          </cell>
          <cell r="P655">
            <v>40.783680000000004</v>
          </cell>
          <cell r="Q655">
            <v>0</v>
          </cell>
          <cell r="R655">
            <v>248656</v>
          </cell>
          <cell r="S655">
            <v>1135874</v>
          </cell>
          <cell r="U655">
            <v>93246</v>
          </cell>
          <cell r="V655">
            <v>887218</v>
          </cell>
        </row>
        <row r="656">
          <cell r="D656" t="str">
            <v>Sà lan 600T</v>
          </cell>
          <cell r="E656" t="str">
            <v>barge 600Ton</v>
          </cell>
          <cell r="J656">
            <v>1</v>
          </cell>
          <cell r="K656">
            <v>93246</v>
          </cell>
          <cell r="L656">
            <v>1027331</v>
          </cell>
          <cell r="M656">
            <v>0</v>
          </cell>
          <cell r="N656">
            <v>248656</v>
          </cell>
          <cell r="O656">
            <v>1275987</v>
          </cell>
          <cell r="P656">
            <v>0</v>
          </cell>
          <cell r="Q656">
            <v>0</v>
          </cell>
          <cell r="R656">
            <v>248656</v>
          </cell>
          <cell r="S656">
            <v>1275987</v>
          </cell>
          <cell r="U656">
            <v>93246</v>
          </cell>
          <cell r="V656">
            <v>1027331</v>
          </cell>
        </row>
        <row r="657">
          <cell r="E657" t="str">
            <v>Barge 800Ton</v>
          </cell>
          <cell r="J657">
            <v>1</v>
          </cell>
          <cell r="K657">
            <v>93246</v>
          </cell>
          <cell r="L657">
            <v>1402083</v>
          </cell>
          <cell r="M657">
            <v>0</v>
          </cell>
          <cell r="N657">
            <v>248656</v>
          </cell>
          <cell r="O657">
            <v>1650739</v>
          </cell>
          <cell r="P657">
            <v>0</v>
          </cell>
          <cell r="Q657">
            <v>0</v>
          </cell>
          <cell r="R657">
            <v>248656</v>
          </cell>
          <cell r="S657">
            <v>1650739</v>
          </cell>
          <cell r="U657">
            <v>93246</v>
          </cell>
          <cell r="V657">
            <v>1402083</v>
          </cell>
        </row>
        <row r="658">
          <cell r="J658">
            <v>1</v>
          </cell>
          <cell r="K658">
            <v>93246</v>
          </cell>
          <cell r="L658">
            <v>1633054</v>
          </cell>
          <cell r="M658">
            <v>0</v>
          </cell>
          <cell r="N658">
            <v>248656</v>
          </cell>
          <cell r="O658">
            <v>1881710</v>
          </cell>
          <cell r="P658">
            <v>0</v>
          </cell>
          <cell r="Q658">
            <v>0</v>
          </cell>
          <cell r="R658">
            <v>248656</v>
          </cell>
          <cell r="S658">
            <v>1881710</v>
          </cell>
          <cell r="U658">
            <v>93246</v>
          </cell>
          <cell r="V658">
            <v>1633054</v>
          </cell>
        </row>
        <row r="659">
          <cell r="K659">
            <v>0</v>
          </cell>
          <cell r="L659">
            <v>0</v>
          </cell>
          <cell r="N659">
            <v>0</v>
          </cell>
          <cell r="O659">
            <v>0</v>
          </cell>
          <cell r="P659">
            <v>0</v>
          </cell>
          <cell r="Q659">
            <v>0</v>
          </cell>
          <cell r="R659">
            <v>0</v>
          </cell>
          <cell r="S659">
            <v>0</v>
          </cell>
        </row>
        <row r="660">
          <cell r="J660">
            <v>1</v>
          </cell>
          <cell r="K660">
            <v>347244</v>
          </cell>
          <cell r="L660">
            <v>690770</v>
          </cell>
          <cell r="M660">
            <v>0</v>
          </cell>
          <cell r="N660">
            <v>925984</v>
          </cell>
          <cell r="O660">
            <v>1616754</v>
          </cell>
          <cell r="P660">
            <v>0</v>
          </cell>
          <cell r="Q660">
            <v>0</v>
          </cell>
          <cell r="R660">
            <v>925984</v>
          </cell>
          <cell r="S660">
            <v>1616754</v>
          </cell>
          <cell r="U660">
            <v>347244</v>
          </cell>
          <cell r="V660">
            <v>690770</v>
          </cell>
        </row>
        <row r="661">
          <cell r="K661">
            <v>0</v>
          </cell>
          <cell r="L661">
            <v>0</v>
          </cell>
          <cell r="N661">
            <v>0</v>
          </cell>
          <cell r="O661">
            <v>0</v>
          </cell>
          <cell r="P661">
            <v>0</v>
          </cell>
          <cell r="Q661">
            <v>0</v>
          </cell>
          <cell r="R661">
            <v>0</v>
          </cell>
          <cell r="S661">
            <v>0</v>
          </cell>
        </row>
        <row r="662">
          <cell r="J662">
            <v>1</v>
          </cell>
          <cell r="K662">
            <v>0</v>
          </cell>
          <cell r="L662">
            <v>37547</v>
          </cell>
          <cell r="M662">
            <v>0</v>
          </cell>
          <cell r="N662">
            <v>0</v>
          </cell>
          <cell r="O662">
            <v>37547</v>
          </cell>
          <cell r="P662">
            <v>0</v>
          </cell>
          <cell r="Q662">
            <v>0</v>
          </cell>
          <cell r="R662">
            <v>0</v>
          </cell>
          <cell r="S662">
            <v>37547</v>
          </cell>
          <cell r="V662">
            <v>37547</v>
          </cell>
        </row>
        <row r="663">
          <cell r="J663">
            <v>1</v>
          </cell>
          <cell r="K663">
            <v>0</v>
          </cell>
          <cell r="L663">
            <v>49579</v>
          </cell>
          <cell r="M663">
            <v>0</v>
          </cell>
          <cell r="N663">
            <v>0</v>
          </cell>
          <cell r="O663">
            <v>49579</v>
          </cell>
          <cell r="P663">
            <v>0</v>
          </cell>
          <cell r="Q663">
            <v>0</v>
          </cell>
          <cell r="R663">
            <v>0</v>
          </cell>
          <cell r="S663">
            <v>49579</v>
          </cell>
          <cell r="V663">
            <v>49579</v>
          </cell>
        </row>
        <row r="664">
          <cell r="D664" t="str">
            <v>Phao thép 60T</v>
          </cell>
          <cell r="E664" t="str">
            <v>steel buoy 60T</v>
          </cell>
          <cell r="J664">
            <v>1</v>
          </cell>
          <cell r="K664">
            <v>0</v>
          </cell>
          <cell r="L664">
            <v>77303</v>
          </cell>
          <cell r="M664">
            <v>0</v>
          </cell>
          <cell r="N664">
            <v>0</v>
          </cell>
          <cell r="O664">
            <v>77303</v>
          </cell>
          <cell r="Q664">
            <v>0</v>
          </cell>
          <cell r="R664">
            <v>0</v>
          </cell>
          <cell r="S664">
            <v>77303</v>
          </cell>
          <cell r="V664">
            <v>77303</v>
          </cell>
        </row>
        <row r="665">
          <cell r="D665" t="str">
            <v>Phao thép 200T</v>
          </cell>
          <cell r="E665" t="str">
            <v>steel buoy 200T</v>
          </cell>
          <cell r="J665">
            <v>1</v>
          </cell>
          <cell r="K665">
            <v>0</v>
          </cell>
          <cell r="L665">
            <v>134734</v>
          </cell>
          <cell r="M665">
            <v>0</v>
          </cell>
          <cell r="N665">
            <v>0</v>
          </cell>
          <cell r="O665">
            <v>134734</v>
          </cell>
          <cell r="Q665">
            <v>0</v>
          </cell>
          <cell r="R665">
            <v>0</v>
          </cell>
          <cell r="S665">
            <v>134734</v>
          </cell>
          <cell r="V665">
            <v>134734</v>
          </cell>
        </row>
        <row r="666">
          <cell r="K666">
            <v>0</v>
          </cell>
          <cell r="L666">
            <v>0</v>
          </cell>
          <cell r="N666">
            <v>0</v>
          </cell>
          <cell r="O666">
            <v>0</v>
          </cell>
          <cell r="P666">
            <v>0</v>
          </cell>
          <cell r="Q666">
            <v>0</v>
          </cell>
          <cell r="R666">
            <v>0</v>
          </cell>
          <cell r="S666">
            <v>0</v>
          </cell>
        </row>
        <row r="667">
          <cell r="F667">
            <v>3.15</v>
          </cell>
          <cell r="J667">
            <v>1</v>
          </cell>
          <cell r="K667">
            <v>90723</v>
          </cell>
          <cell r="L667">
            <v>153859</v>
          </cell>
          <cell r="M667">
            <v>45854.578636363636</v>
          </cell>
          <cell r="N667">
            <v>241928</v>
          </cell>
          <cell r="O667">
            <v>441641.57863636361</v>
          </cell>
          <cell r="P667">
            <v>0</v>
          </cell>
          <cell r="Q667">
            <v>0</v>
          </cell>
          <cell r="R667">
            <v>241928</v>
          </cell>
          <cell r="S667">
            <v>441641.57863636361</v>
          </cell>
          <cell r="T667">
            <v>22551</v>
          </cell>
          <cell r="U667">
            <v>90723</v>
          </cell>
          <cell r="V667">
            <v>153859</v>
          </cell>
        </row>
        <row r="668">
          <cell r="D668" t="str">
            <v>Canô 23CV</v>
          </cell>
          <cell r="E668" t="str">
            <v>canoe 23CV</v>
          </cell>
          <cell r="F668">
            <v>4.83</v>
          </cell>
          <cell r="J668">
            <v>1</v>
          </cell>
          <cell r="K668">
            <v>90723</v>
          </cell>
          <cell r="L668">
            <v>170356</v>
          </cell>
          <cell r="M668">
            <v>70310.353909090903</v>
          </cell>
          <cell r="N668">
            <v>241928</v>
          </cell>
          <cell r="O668">
            <v>482594.35390909092</v>
          </cell>
          <cell r="P668">
            <v>0</v>
          </cell>
          <cell r="Q668">
            <v>0</v>
          </cell>
          <cell r="R668">
            <v>241928</v>
          </cell>
          <cell r="S668">
            <v>482594.35390909092</v>
          </cell>
          <cell r="T668">
            <v>34577</v>
          </cell>
          <cell r="U668">
            <v>90723</v>
          </cell>
          <cell r="V668">
            <v>170356</v>
          </cell>
        </row>
        <row r="669">
          <cell r="D669" t="str">
            <v>Canô 30CV</v>
          </cell>
          <cell r="E669" t="str">
            <v>canoe 30CV</v>
          </cell>
          <cell r="F669">
            <v>6.3</v>
          </cell>
          <cell r="J669">
            <v>1</v>
          </cell>
          <cell r="K669">
            <v>90723</v>
          </cell>
          <cell r="L669">
            <v>183937</v>
          </cell>
          <cell r="M669">
            <v>91709.157272727272</v>
          </cell>
          <cell r="N669">
            <v>241928</v>
          </cell>
          <cell r="O669">
            <v>517574.15727272729</v>
          </cell>
          <cell r="P669">
            <v>0</v>
          </cell>
          <cell r="Q669">
            <v>0</v>
          </cell>
          <cell r="R669">
            <v>241928</v>
          </cell>
          <cell r="S669">
            <v>517574.15727272729</v>
          </cell>
          <cell r="T669">
            <v>45101</v>
          </cell>
          <cell r="U669">
            <v>90723</v>
          </cell>
          <cell r="V669">
            <v>183937</v>
          </cell>
        </row>
        <row r="670">
          <cell r="D670" t="str">
            <v>Canô 55CV</v>
          </cell>
          <cell r="E670" t="str">
            <v>canoe 55CV</v>
          </cell>
          <cell r="F670">
            <v>9.9</v>
          </cell>
          <cell r="J670">
            <v>1</v>
          </cell>
          <cell r="K670">
            <v>137346</v>
          </cell>
          <cell r="L670">
            <v>270686</v>
          </cell>
          <cell r="M670">
            <v>144114.38999999998</v>
          </cell>
          <cell r="N670">
            <v>366256</v>
          </cell>
          <cell r="O670">
            <v>781056.39</v>
          </cell>
          <cell r="P670">
            <v>0</v>
          </cell>
          <cell r="Q670">
            <v>0</v>
          </cell>
          <cell r="R670">
            <v>366256</v>
          </cell>
          <cell r="S670">
            <v>781056.39</v>
          </cell>
          <cell r="T670">
            <v>70873</v>
          </cell>
          <cell r="U670">
            <v>137346</v>
          </cell>
          <cell r="V670">
            <v>270686</v>
          </cell>
        </row>
        <row r="671">
          <cell r="D671" t="str">
            <v>Canô 75CV</v>
          </cell>
          <cell r="E671" t="str">
            <v>canoe 75CV</v>
          </cell>
          <cell r="F671">
            <v>13.5</v>
          </cell>
          <cell r="J671">
            <v>1</v>
          </cell>
          <cell r="K671">
            <v>137346</v>
          </cell>
          <cell r="L671">
            <v>316788</v>
          </cell>
          <cell r="M671">
            <v>196519.62272727271</v>
          </cell>
          <cell r="N671">
            <v>366256</v>
          </cell>
          <cell r="O671">
            <v>879563.62272727268</v>
          </cell>
          <cell r="P671">
            <v>0</v>
          </cell>
          <cell r="Q671">
            <v>0</v>
          </cell>
          <cell r="R671">
            <v>366256</v>
          </cell>
          <cell r="S671">
            <v>879563.62272727268</v>
          </cell>
          <cell r="T671">
            <v>96645</v>
          </cell>
          <cell r="U671">
            <v>137346</v>
          </cell>
          <cell r="V671">
            <v>316788</v>
          </cell>
        </row>
        <row r="672">
          <cell r="F672">
            <v>16.2</v>
          </cell>
          <cell r="J672">
            <v>1</v>
          </cell>
          <cell r="K672">
            <v>137346</v>
          </cell>
          <cell r="L672">
            <v>360673</v>
          </cell>
          <cell r="M672">
            <v>235823.54727272724</v>
          </cell>
          <cell r="N672">
            <v>366256</v>
          </cell>
          <cell r="O672">
            <v>962752.54727272724</v>
          </cell>
          <cell r="P672">
            <v>0</v>
          </cell>
          <cell r="Q672">
            <v>0</v>
          </cell>
          <cell r="R672">
            <v>366256</v>
          </cell>
          <cell r="S672">
            <v>962752.54727272724</v>
          </cell>
          <cell r="T672">
            <v>115974</v>
          </cell>
          <cell r="U672">
            <v>137346</v>
          </cell>
          <cell r="V672">
            <v>360673</v>
          </cell>
        </row>
        <row r="673">
          <cell r="D673" t="str">
            <v>Canô 120CV</v>
          </cell>
          <cell r="E673" t="str">
            <v>canoe 120CV</v>
          </cell>
          <cell r="F673">
            <v>18</v>
          </cell>
          <cell r="J673">
            <v>1</v>
          </cell>
          <cell r="K673">
            <v>137346</v>
          </cell>
          <cell r="L673">
            <v>399330</v>
          </cell>
          <cell r="M673">
            <v>262026.16363636361</v>
          </cell>
          <cell r="N673">
            <v>366256</v>
          </cell>
          <cell r="O673">
            <v>1027612.1636363636</v>
          </cell>
          <cell r="P673">
            <v>0</v>
          </cell>
          <cell r="Q673">
            <v>0</v>
          </cell>
          <cell r="R673">
            <v>366256</v>
          </cell>
          <cell r="S673">
            <v>1027612.1636363636</v>
          </cell>
          <cell r="T673">
            <v>128860</v>
          </cell>
          <cell r="U673">
            <v>137346</v>
          </cell>
          <cell r="V673">
            <v>399330</v>
          </cell>
        </row>
        <row r="674">
          <cell r="K674">
            <v>0</v>
          </cell>
          <cell r="L674">
            <v>0</v>
          </cell>
          <cell r="N674">
            <v>0</v>
          </cell>
          <cell r="O674">
            <v>0</v>
          </cell>
          <cell r="P674">
            <v>0</v>
          </cell>
          <cell r="Q674">
            <v>0</v>
          </cell>
          <cell r="R674">
            <v>0</v>
          </cell>
          <cell r="S674">
            <v>0</v>
          </cell>
        </row>
        <row r="675">
          <cell r="D675" t="str">
            <v>Tàu kéo 75CV</v>
          </cell>
          <cell r="E675" t="str">
            <v>Tug boat 75CV</v>
          </cell>
          <cell r="F675">
            <v>68.25</v>
          </cell>
          <cell r="J675">
            <v>1</v>
          </cell>
          <cell r="K675">
            <v>288578</v>
          </cell>
          <cell r="L675">
            <v>893891</v>
          </cell>
          <cell r="M675">
            <v>993515.87045454537</v>
          </cell>
          <cell r="N675">
            <v>769541.33333333326</v>
          </cell>
          <cell r="O675">
            <v>2656948.2037878786</v>
          </cell>
          <cell r="P675">
            <v>0</v>
          </cell>
          <cell r="Q675">
            <v>0</v>
          </cell>
          <cell r="R675">
            <v>769541.33333333326</v>
          </cell>
          <cell r="S675">
            <v>2656948.2037878786</v>
          </cell>
          <cell r="T675">
            <v>488595</v>
          </cell>
          <cell r="U675">
            <v>288578</v>
          </cell>
          <cell r="V675">
            <v>893891</v>
          </cell>
        </row>
        <row r="676">
          <cell r="D676" t="str">
            <v>Tàu kéo 150CV</v>
          </cell>
          <cell r="E676" t="str">
            <v>tug boat 150CV</v>
          </cell>
          <cell r="F676">
            <v>94.5</v>
          </cell>
          <cell r="J676">
            <v>1</v>
          </cell>
          <cell r="K676">
            <v>465613</v>
          </cell>
          <cell r="L676">
            <v>1390980</v>
          </cell>
          <cell r="M676">
            <v>1375637.3590909091</v>
          </cell>
          <cell r="N676">
            <v>1241634.6666666665</v>
          </cell>
          <cell r="O676">
            <v>4008252.0257575759</v>
          </cell>
          <cell r="P676">
            <v>3.0912000000000002E-2</v>
          </cell>
          <cell r="Q676">
            <v>42523.702044218189</v>
          </cell>
          <cell r="R676">
            <v>1241634.6666666665</v>
          </cell>
          <cell r="S676">
            <v>4008252.0257575754</v>
          </cell>
          <cell r="T676">
            <v>676516</v>
          </cell>
          <cell r="U676">
            <v>465613</v>
          </cell>
          <cell r="V676">
            <v>1390980</v>
          </cell>
        </row>
        <row r="677">
          <cell r="D677" t="str">
            <v>Tàu kéo 360CV</v>
          </cell>
          <cell r="E677" t="str">
            <v>tug boat 360CV</v>
          </cell>
          <cell r="F677">
            <v>201.6</v>
          </cell>
          <cell r="J677">
            <v>1</v>
          </cell>
          <cell r="K677">
            <v>465613</v>
          </cell>
          <cell r="L677">
            <v>2293982</v>
          </cell>
          <cell r="M677">
            <v>2934693.0327272727</v>
          </cell>
          <cell r="N677">
            <v>1241634.6666666665</v>
          </cell>
          <cell r="O677">
            <v>6470309.6993939392</v>
          </cell>
          <cell r="P677">
            <v>0</v>
          </cell>
          <cell r="Q677">
            <v>0</v>
          </cell>
          <cell r="R677">
            <v>1241634.6666666665</v>
          </cell>
          <cell r="S677">
            <v>6470309.6993939392</v>
          </cell>
          <cell r="T677">
            <v>1443234</v>
          </cell>
          <cell r="U677">
            <v>465613</v>
          </cell>
          <cell r="V677">
            <v>2293982</v>
          </cell>
        </row>
        <row r="678">
          <cell r="D678" t="str">
            <v>Tàu kéo 600CV</v>
          </cell>
          <cell r="E678" t="str">
            <v>Tug boat 600CV</v>
          </cell>
          <cell r="F678">
            <v>315</v>
          </cell>
          <cell r="J678">
            <v>1</v>
          </cell>
          <cell r="K678">
            <v>660437</v>
          </cell>
          <cell r="L678">
            <v>3477879</v>
          </cell>
          <cell r="M678">
            <v>4585457.8636363633</v>
          </cell>
          <cell r="N678">
            <v>1761165.3333333333</v>
          </cell>
          <cell r="O678">
            <v>9824502.1969696973</v>
          </cell>
          <cell r="P678">
            <v>0</v>
          </cell>
          <cell r="Q678">
            <v>0</v>
          </cell>
          <cell r="R678">
            <v>1761165.3333333333</v>
          </cell>
          <cell r="S678">
            <v>9824502.1969696954</v>
          </cell>
          <cell r="T678">
            <v>2255054</v>
          </cell>
          <cell r="U678">
            <v>660437</v>
          </cell>
          <cell r="V678">
            <v>3477879</v>
          </cell>
        </row>
        <row r="679">
          <cell r="D679" t="str">
            <v>Tàu kéo 1200CV</v>
          </cell>
          <cell r="E679" t="str">
            <v>Tug boat 1200CV</v>
          </cell>
          <cell r="F679">
            <v>714</v>
          </cell>
          <cell r="J679">
            <v>1</v>
          </cell>
          <cell r="K679">
            <v>660437</v>
          </cell>
          <cell r="L679">
            <v>9671652</v>
          </cell>
          <cell r="M679">
            <v>10393704.490909088</v>
          </cell>
          <cell r="N679">
            <v>1761165.3333333333</v>
          </cell>
          <cell r="O679">
            <v>21826521.82424242</v>
          </cell>
          <cell r="P679">
            <v>0</v>
          </cell>
          <cell r="Q679">
            <v>0</v>
          </cell>
          <cell r="R679">
            <v>1761165.3333333333</v>
          </cell>
          <cell r="S679">
            <v>21826521.82424242</v>
          </cell>
          <cell r="T679">
            <v>5111455</v>
          </cell>
          <cell r="U679">
            <v>660437</v>
          </cell>
          <cell r="V679">
            <v>9671652</v>
          </cell>
        </row>
        <row r="680">
          <cell r="K680">
            <v>0</v>
          </cell>
          <cell r="L680">
            <v>0</v>
          </cell>
          <cell r="N680">
            <v>0</v>
          </cell>
          <cell r="O680">
            <v>0</v>
          </cell>
          <cell r="P680">
            <v>0</v>
          </cell>
          <cell r="Q680">
            <v>0</v>
          </cell>
          <cell r="R680">
            <v>0</v>
          </cell>
          <cell r="S680">
            <v>0</v>
          </cell>
        </row>
        <row r="681">
          <cell r="F681">
            <v>25.2</v>
          </cell>
          <cell r="J681">
            <v>1</v>
          </cell>
          <cell r="K681">
            <v>106306</v>
          </cell>
          <cell r="L681">
            <v>495296</v>
          </cell>
          <cell r="M681">
            <v>366836.62909090909</v>
          </cell>
          <cell r="N681">
            <v>283482.66666666663</v>
          </cell>
          <cell r="O681">
            <v>1145615.2957575759</v>
          </cell>
          <cell r="P681">
            <v>0</v>
          </cell>
          <cell r="Q681">
            <v>0</v>
          </cell>
          <cell r="R681">
            <v>283482.66666666663</v>
          </cell>
          <cell r="S681">
            <v>1145615.2957575757</v>
          </cell>
          <cell r="T681">
            <v>180404</v>
          </cell>
          <cell r="U681">
            <v>106306</v>
          </cell>
          <cell r="V681">
            <v>495296</v>
          </cell>
        </row>
        <row r="682">
          <cell r="F682">
            <v>29.4</v>
          </cell>
          <cell r="J682">
            <v>1</v>
          </cell>
          <cell r="K682">
            <v>106306</v>
          </cell>
          <cell r="L682">
            <v>650108</v>
          </cell>
          <cell r="M682">
            <v>427976.0672727272</v>
          </cell>
          <cell r="N682">
            <v>283482.66666666663</v>
          </cell>
          <cell r="O682">
            <v>1361566.7339393939</v>
          </cell>
          <cell r="P682">
            <v>0</v>
          </cell>
          <cell r="Q682">
            <v>0</v>
          </cell>
          <cell r="R682">
            <v>283482.66666666663</v>
          </cell>
          <cell r="S682">
            <v>1361566.7339393939</v>
          </cell>
          <cell r="T682">
            <v>210472</v>
          </cell>
          <cell r="U682">
            <v>106306</v>
          </cell>
          <cell r="V682">
            <v>650108</v>
          </cell>
        </row>
        <row r="683">
          <cell r="F683">
            <v>32.549999999999997</v>
          </cell>
          <cell r="J683">
            <v>1</v>
          </cell>
          <cell r="K683">
            <v>106306</v>
          </cell>
          <cell r="L683">
            <v>809353</v>
          </cell>
          <cell r="M683">
            <v>473830.64590909088</v>
          </cell>
          <cell r="N683">
            <v>283482.66666666663</v>
          </cell>
          <cell r="O683">
            <v>1566666.3125757575</v>
          </cell>
          <cell r="P683">
            <v>0</v>
          </cell>
          <cell r="Q683">
            <v>0</v>
          </cell>
          <cell r="R683">
            <v>283482.66666666663</v>
          </cell>
          <cell r="S683">
            <v>1566666.3125757575</v>
          </cell>
          <cell r="T683">
            <v>233022</v>
          </cell>
          <cell r="U683">
            <v>106306</v>
          </cell>
          <cell r="V683">
            <v>809353</v>
          </cell>
        </row>
        <row r="684">
          <cell r="K684">
            <v>0</v>
          </cell>
          <cell r="L684">
            <v>0</v>
          </cell>
          <cell r="N684">
            <v>0</v>
          </cell>
          <cell r="O684">
            <v>0</v>
          </cell>
          <cell r="P684">
            <v>0</v>
          </cell>
          <cell r="Q684">
            <v>0</v>
          </cell>
          <cell r="R684">
            <v>0</v>
          </cell>
          <cell r="S684">
            <v>0</v>
          </cell>
        </row>
        <row r="685">
          <cell r="F685">
            <v>25.2</v>
          </cell>
          <cell r="J685">
            <v>1</v>
          </cell>
          <cell r="K685">
            <v>106306</v>
          </cell>
          <cell r="L685">
            <v>640307</v>
          </cell>
          <cell r="M685">
            <v>366836.62909090909</v>
          </cell>
          <cell r="N685">
            <v>283482.66666666663</v>
          </cell>
          <cell r="O685">
            <v>1290626.2957575759</v>
          </cell>
          <cell r="P685">
            <v>0</v>
          </cell>
          <cell r="Q685">
            <v>0</v>
          </cell>
          <cell r="R685">
            <v>283482.66666666663</v>
          </cell>
          <cell r="S685">
            <v>1290626.2957575757</v>
          </cell>
          <cell r="T685">
            <v>180404</v>
          </cell>
          <cell r="U685">
            <v>106306</v>
          </cell>
          <cell r="V685">
            <v>640307</v>
          </cell>
        </row>
        <row r="686">
          <cell r="F686">
            <v>29.4</v>
          </cell>
          <cell r="J686">
            <v>1</v>
          </cell>
          <cell r="K686">
            <v>106306</v>
          </cell>
          <cell r="L686">
            <v>840423</v>
          </cell>
          <cell r="M686">
            <v>427976.0672727272</v>
          </cell>
          <cell r="N686">
            <v>283482.66666666663</v>
          </cell>
          <cell r="O686">
            <v>1551881.7339393939</v>
          </cell>
          <cell r="P686">
            <v>0</v>
          </cell>
          <cell r="Q686">
            <v>0</v>
          </cell>
          <cell r="R686">
            <v>283482.66666666663</v>
          </cell>
          <cell r="S686">
            <v>1551881.7339393939</v>
          </cell>
          <cell r="T686">
            <v>210472</v>
          </cell>
          <cell r="U686">
            <v>106306</v>
          </cell>
          <cell r="V686">
            <v>840423</v>
          </cell>
        </row>
        <row r="687">
          <cell r="F687">
            <v>32.549999999999997</v>
          </cell>
          <cell r="J687">
            <v>1</v>
          </cell>
          <cell r="K687">
            <v>106306</v>
          </cell>
          <cell r="L687">
            <v>1021262</v>
          </cell>
          <cell r="M687">
            <v>473830.64590909088</v>
          </cell>
          <cell r="N687">
            <v>283482.66666666663</v>
          </cell>
          <cell r="O687">
            <v>1778575.3125757575</v>
          </cell>
          <cell r="P687">
            <v>0</v>
          </cell>
          <cell r="Q687">
            <v>0</v>
          </cell>
          <cell r="R687">
            <v>283482.66666666663</v>
          </cell>
          <cell r="S687">
            <v>1778575.3125757575</v>
          </cell>
          <cell r="T687">
            <v>233022</v>
          </cell>
          <cell r="U687">
            <v>106306</v>
          </cell>
          <cell r="V687">
            <v>1021262</v>
          </cell>
        </row>
        <row r="688">
          <cell r="K688">
            <v>0</v>
          </cell>
          <cell r="L688">
            <v>0</v>
          </cell>
          <cell r="N688">
            <v>0</v>
          </cell>
          <cell r="O688">
            <v>0</v>
          </cell>
          <cell r="P688">
            <v>0</v>
          </cell>
          <cell r="Q688">
            <v>0</v>
          </cell>
          <cell r="R688">
            <v>0</v>
          </cell>
          <cell r="S688">
            <v>0</v>
          </cell>
        </row>
        <row r="689">
          <cell r="J689">
            <v>1</v>
          </cell>
          <cell r="K689">
            <v>0</v>
          </cell>
          <cell r="L689">
            <v>89980</v>
          </cell>
          <cell r="M689">
            <v>0</v>
          </cell>
          <cell r="N689">
            <v>0</v>
          </cell>
          <cell r="O689">
            <v>89980</v>
          </cell>
          <cell r="P689">
            <v>0</v>
          </cell>
          <cell r="Q689">
            <v>0</v>
          </cell>
          <cell r="R689">
            <v>0</v>
          </cell>
          <cell r="S689">
            <v>89980</v>
          </cell>
          <cell r="V689">
            <v>89980</v>
          </cell>
        </row>
        <row r="690">
          <cell r="J690">
            <v>1</v>
          </cell>
          <cell r="K690">
            <v>0</v>
          </cell>
          <cell r="L690">
            <v>129872</v>
          </cell>
          <cell r="M690">
            <v>0</v>
          </cell>
          <cell r="N690">
            <v>0</v>
          </cell>
          <cell r="O690">
            <v>129872</v>
          </cell>
          <cell r="P690">
            <v>0</v>
          </cell>
          <cell r="Q690">
            <v>0</v>
          </cell>
          <cell r="R690">
            <v>0</v>
          </cell>
          <cell r="S690">
            <v>129872</v>
          </cell>
          <cell r="V690">
            <v>129872</v>
          </cell>
        </row>
        <row r="691">
          <cell r="J691">
            <v>1</v>
          </cell>
          <cell r="K691">
            <v>0</v>
          </cell>
          <cell r="L691">
            <v>179738</v>
          </cell>
          <cell r="M691">
            <v>0</v>
          </cell>
          <cell r="N691">
            <v>0</v>
          </cell>
          <cell r="O691">
            <v>179738</v>
          </cell>
          <cell r="P691">
            <v>0</v>
          </cell>
          <cell r="Q691">
            <v>0</v>
          </cell>
          <cell r="R691">
            <v>0</v>
          </cell>
          <cell r="S691">
            <v>179738</v>
          </cell>
          <cell r="V691">
            <v>179738</v>
          </cell>
        </row>
        <row r="692">
          <cell r="K692">
            <v>0</v>
          </cell>
          <cell r="L692">
            <v>0</v>
          </cell>
          <cell r="N692">
            <v>0</v>
          </cell>
          <cell r="O692">
            <v>0</v>
          </cell>
          <cell r="P692">
            <v>0</v>
          </cell>
          <cell r="Q692">
            <v>0</v>
          </cell>
          <cell r="R692">
            <v>0</v>
          </cell>
          <cell r="S692">
            <v>0</v>
          </cell>
        </row>
        <row r="693">
          <cell r="F693">
            <v>519.75</v>
          </cell>
          <cell r="J693">
            <v>1</v>
          </cell>
          <cell r="K693">
            <v>1052928</v>
          </cell>
          <cell r="L693">
            <v>8257860</v>
          </cell>
          <cell r="M693">
            <v>7566005.4749999996</v>
          </cell>
          <cell r="N693">
            <v>2807808</v>
          </cell>
          <cell r="O693">
            <v>18631673.475000001</v>
          </cell>
          <cell r="P693">
            <v>0</v>
          </cell>
          <cell r="Q693">
            <v>0</v>
          </cell>
          <cell r="R693">
            <v>2807808</v>
          </cell>
          <cell r="S693">
            <v>18631673.475000001</v>
          </cell>
          <cell r="T693">
            <v>3720838</v>
          </cell>
          <cell r="U693">
            <v>1052928</v>
          </cell>
          <cell r="V693">
            <v>8257860</v>
          </cell>
        </row>
        <row r="694">
          <cell r="K694">
            <v>0</v>
          </cell>
          <cell r="L694">
            <v>0</v>
          </cell>
          <cell r="N694">
            <v>0</v>
          </cell>
          <cell r="O694">
            <v>0</v>
          </cell>
          <cell r="P694">
            <v>0</v>
          </cell>
          <cell r="Q694">
            <v>0</v>
          </cell>
          <cell r="R694">
            <v>0</v>
          </cell>
          <cell r="S694">
            <v>0</v>
          </cell>
        </row>
        <row r="695">
          <cell r="F695">
            <v>1751.4</v>
          </cell>
          <cell r="J695">
            <v>1</v>
          </cell>
          <cell r="K695">
            <v>1139978</v>
          </cell>
          <cell r="L695">
            <v>24133751</v>
          </cell>
          <cell r="M695">
            <v>25495145.721818179</v>
          </cell>
          <cell r="N695">
            <v>3039941.333333333</v>
          </cell>
          <cell r="O695">
            <v>52668838.055151515</v>
          </cell>
          <cell r="P695">
            <v>0</v>
          </cell>
          <cell r="Q695">
            <v>0</v>
          </cell>
          <cell r="R695">
            <v>3039941.333333333</v>
          </cell>
          <cell r="S695">
            <v>52668838.055151507</v>
          </cell>
          <cell r="T695">
            <v>12538097</v>
          </cell>
          <cell r="U695">
            <v>1139978</v>
          </cell>
          <cell r="V695">
            <v>24133751</v>
          </cell>
        </row>
        <row r="696">
          <cell r="K696">
            <v>0</v>
          </cell>
          <cell r="L696">
            <v>0</v>
          </cell>
          <cell r="N696">
            <v>0</v>
          </cell>
          <cell r="O696">
            <v>0</v>
          </cell>
          <cell r="P696">
            <v>0</v>
          </cell>
          <cell r="Q696">
            <v>0</v>
          </cell>
          <cell r="R696">
            <v>0</v>
          </cell>
          <cell r="S696">
            <v>0</v>
          </cell>
        </row>
        <row r="697">
          <cell r="F697">
            <v>157.5</v>
          </cell>
          <cell r="J697">
            <v>1</v>
          </cell>
          <cell r="K697">
            <v>471358</v>
          </cell>
          <cell r="L697">
            <v>2277899</v>
          </cell>
          <cell r="M697">
            <v>2292728.9318181816</v>
          </cell>
          <cell r="N697">
            <v>1256954.6666666665</v>
          </cell>
          <cell r="O697">
            <v>5827582.5984848477</v>
          </cell>
          <cell r="P697">
            <v>0</v>
          </cell>
          <cell r="Q697">
            <v>0</v>
          </cell>
          <cell r="R697">
            <v>1256954.6666666665</v>
          </cell>
          <cell r="S697">
            <v>5827582.5984848477</v>
          </cell>
          <cell r="T697">
            <v>1127527</v>
          </cell>
          <cell r="U697">
            <v>471358</v>
          </cell>
          <cell r="V697">
            <v>2277899</v>
          </cell>
        </row>
        <row r="698">
          <cell r="F698">
            <v>304.5</v>
          </cell>
          <cell r="J698">
            <v>1</v>
          </cell>
          <cell r="K698">
            <v>558880</v>
          </cell>
          <cell r="L698">
            <v>3734700</v>
          </cell>
          <cell r="M698">
            <v>4432609.2681818176</v>
          </cell>
          <cell r="N698">
            <v>1490346.6666666665</v>
          </cell>
          <cell r="O698">
            <v>9657655.9348484837</v>
          </cell>
          <cell r="P698">
            <v>0</v>
          </cell>
          <cell r="Q698">
            <v>0</v>
          </cell>
          <cell r="R698">
            <v>1490346.6666666665</v>
          </cell>
          <cell r="S698">
            <v>9657655.9348484837</v>
          </cell>
          <cell r="T698">
            <v>2179885</v>
          </cell>
          <cell r="U698">
            <v>558880</v>
          </cell>
          <cell r="V698">
            <v>3734700</v>
          </cell>
        </row>
        <row r="699">
          <cell r="F699">
            <v>573.29999999999995</v>
          </cell>
          <cell r="J699">
            <v>1</v>
          </cell>
          <cell r="K699">
            <v>877332</v>
          </cell>
          <cell r="L699">
            <v>8343496</v>
          </cell>
          <cell r="M699">
            <v>8345533.3118181806</v>
          </cell>
          <cell r="N699">
            <v>2339552</v>
          </cell>
          <cell r="O699">
            <v>19028581.311818182</v>
          </cell>
          <cell r="P699">
            <v>0</v>
          </cell>
          <cell r="Q699">
            <v>0</v>
          </cell>
          <cell r="R699">
            <v>2339552</v>
          </cell>
          <cell r="S699">
            <v>19028581.311818182</v>
          </cell>
          <cell r="T699">
            <v>4104197</v>
          </cell>
          <cell r="U699">
            <v>877332</v>
          </cell>
          <cell r="V699">
            <v>8343496</v>
          </cell>
        </row>
        <row r="700">
          <cell r="F700">
            <v>756</v>
          </cell>
          <cell r="J700">
            <v>1</v>
          </cell>
          <cell r="K700">
            <v>877332</v>
          </cell>
          <cell r="L700">
            <v>10411032</v>
          </cell>
          <cell r="M700">
            <v>11005098.872727273</v>
          </cell>
          <cell r="N700">
            <v>2339552</v>
          </cell>
          <cell r="O700">
            <v>23755682.872727275</v>
          </cell>
          <cell r="P700">
            <v>0</v>
          </cell>
          <cell r="Q700">
            <v>0</v>
          </cell>
          <cell r="R700">
            <v>2339552</v>
          </cell>
          <cell r="S700">
            <v>23755682.872727275</v>
          </cell>
          <cell r="T700">
            <v>5412128</v>
          </cell>
          <cell r="U700">
            <v>877332</v>
          </cell>
          <cell r="V700">
            <v>10411032</v>
          </cell>
        </row>
        <row r="701">
          <cell r="F701">
            <v>1008</v>
          </cell>
          <cell r="J701">
            <v>1</v>
          </cell>
          <cell r="K701">
            <v>1063333</v>
          </cell>
          <cell r="L701">
            <v>17150613</v>
          </cell>
          <cell r="M701">
            <v>14673465.163636362</v>
          </cell>
          <cell r="N701">
            <v>2835554.6666666665</v>
          </cell>
          <cell r="O701">
            <v>34659632.830303028</v>
          </cell>
          <cell r="P701">
            <v>0</v>
          </cell>
          <cell r="Q701">
            <v>0</v>
          </cell>
          <cell r="R701">
            <v>2835554.6666666665</v>
          </cell>
          <cell r="S701">
            <v>34659632.830303028</v>
          </cell>
          <cell r="T701">
            <v>7216171</v>
          </cell>
          <cell r="U701">
            <v>1063333</v>
          </cell>
          <cell r="V701">
            <v>17150613</v>
          </cell>
        </row>
        <row r="702">
          <cell r="F702">
            <v>3210.9</v>
          </cell>
          <cell r="J702">
            <v>1</v>
          </cell>
          <cell r="K702">
            <v>1373983</v>
          </cell>
          <cell r="L702">
            <v>61106523</v>
          </cell>
          <cell r="M702">
            <v>46741100.490000002</v>
          </cell>
          <cell r="N702">
            <v>3663954.6666666665</v>
          </cell>
          <cell r="O702">
            <v>111511578.15666668</v>
          </cell>
          <cell r="P702">
            <v>0</v>
          </cell>
          <cell r="Q702">
            <v>0</v>
          </cell>
          <cell r="R702">
            <v>3663954.6666666665</v>
          </cell>
          <cell r="S702">
            <v>111511578.15666667</v>
          </cell>
          <cell r="T702">
            <v>22986512</v>
          </cell>
          <cell r="U702">
            <v>1373983</v>
          </cell>
          <cell r="V702">
            <v>61106523</v>
          </cell>
        </row>
        <row r="703">
          <cell r="K703">
            <v>0</v>
          </cell>
          <cell r="L703">
            <v>0</v>
          </cell>
          <cell r="N703">
            <v>0</v>
          </cell>
          <cell r="O703">
            <v>0</v>
          </cell>
          <cell r="P703">
            <v>0</v>
          </cell>
          <cell r="Q703">
            <v>0</v>
          </cell>
          <cell r="R703">
            <v>0</v>
          </cell>
          <cell r="S703">
            <v>0</v>
          </cell>
        </row>
        <row r="704">
          <cell r="F704">
            <v>1445.6</v>
          </cell>
          <cell r="J704">
            <v>1</v>
          </cell>
          <cell r="K704">
            <v>869190</v>
          </cell>
          <cell r="L704">
            <v>15816697</v>
          </cell>
          <cell r="M704">
            <v>21043612.341818176</v>
          </cell>
          <cell r="N704">
            <v>2317840</v>
          </cell>
          <cell r="O704">
            <v>39178149.341818176</v>
          </cell>
          <cell r="P704">
            <v>0</v>
          </cell>
          <cell r="Q704">
            <v>0</v>
          </cell>
          <cell r="R704">
            <v>2317840</v>
          </cell>
          <cell r="S704">
            <v>39178149.341818176</v>
          </cell>
          <cell r="T704">
            <v>10348906</v>
          </cell>
          <cell r="U704">
            <v>869190</v>
          </cell>
          <cell r="V704">
            <v>15816697</v>
          </cell>
        </row>
        <row r="705">
          <cell r="F705">
            <v>5231.6000000000004</v>
          </cell>
          <cell r="J705">
            <v>1</v>
          </cell>
          <cell r="K705">
            <v>982811</v>
          </cell>
          <cell r="L705">
            <v>73768069</v>
          </cell>
          <cell r="M705">
            <v>76156448.760000005</v>
          </cell>
          <cell r="N705">
            <v>2620829.333333333</v>
          </cell>
          <cell r="O705">
            <v>152545347.09333333</v>
          </cell>
          <cell r="P705">
            <v>0</v>
          </cell>
          <cell r="Q705">
            <v>0</v>
          </cell>
          <cell r="R705">
            <v>2620829.333333333</v>
          </cell>
          <cell r="S705">
            <v>152545347.09333333</v>
          </cell>
          <cell r="T705">
            <v>37452501</v>
          </cell>
          <cell r="U705">
            <v>982811</v>
          </cell>
          <cell r="V705">
            <v>73768069</v>
          </cell>
        </row>
        <row r="706">
          <cell r="K706">
            <v>0</v>
          </cell>
          <cell r="L706">
            <v>0</v>
          </cell>
          <cell r="N706">
            <v>0</v>
          </cell>
          <cell r="O706">
            <v>0</v>
          </cell>
          <cell r="P706">
            <v>0</v>
          </cell>
          <cell r="Q706">
            <v>0</v>
          </cell>
          <cell r="R706">
            <v>0</v>
          </cell>
          <cell r="S706">
            <v>0</v>
          </cell>
        </row>
        <row r="707">
          <cell r="F707">
            <v>2662.8</v>
          </cell>
          <cell r="J707">
            <v>1</v>
          </cell>
          <cell r="K707">
            <v>1133533</v>
          </cell>
          <cell r="L707">
            <v>39342212</v>
          </cell>
          <cell r="M707">
            <v>38762403.807272732</v>
          </cell>
          <cell r="N707">
            <v>3022754.6666666665</v>
          </cell>
          <cell r="O707">
            <v>81127370.473939404</v>
          </cell>
          <cell r="P707">
            <v>0</v>
          </cell>
          <cell r="Q707">
            <v>0</v>
          </cell>
          <cell r="R707">
            <v>3022754.6666666665</v>
          </cell>
          <cell r="S707">
            <v>81127370.473939389</v>
          </cell>
          <cell r="T707">
            <v>19062719</v>
          </cell>
          <cell r="U707">
            <v>1133533</v>
          </cell>
          <cell r="V707">
            <v>39342212</v>
          </cell>
        </row>
        <row r="708">
          <cell r="K708">
            <v>0</v>
          </cell>
          <cell r="L708">
            <v>0</v>
          </cell>
          <cell r="N708">
            <v>0</v>
          </cell>
          <cell r="O708">
            <v>0</v>
          </cell>
          <cell r="P708">
            <v>0</v>
          </cell>
          <cell r="Q708">
            <v>0</v>
          </cell>
          <cell r="R708">
            <v>0</v>
          </cell>
          <cell r="S708">
            <v>0</v>
          </cell>
        </row>
        <row r="709">
          <cell r="F709">
            <v>45.9</v>
          </cell>
          <cell r="J709">
            <v>1</v>
          </cell>
          <cell r="K709">
            <v>189204</v>
          </cell>
          <cell r="L709">
            <v>1065419</v>
          </cell>
          <cell r="M709">
            <v>668166.71727272717</v>
          </cell>
          <cell r="N709">
            <v>504544</v>
          </cell>
          <cell r="O709">
            <v>2238129.7172727273</v>
          </cell>
          <cell r="P709">
            <v>0</v>
          </cell>
          <cell r="Q709">
            <v>0</v>
          </cell>
          <cell r="R709">
            <v>504544</v>
          </cell>
          <cell r="S709">
            <v>2238129.7172727273</v>
          </cell>
          <cell r="T709">
            <v>328594</v>
          </cell>
          <cell r="U709">
            <v>189204</v>
          </cell>
          <cell r="V709">
            <v>1065419</v>
          </cell>
        </row>
        <row r="710">
          <cell r="F710">
            <v>62.1</v>
          </cell>
          <cell r="J710">
            <v>1</v>
          </cell>
          <cell r="K710">
            <v>198532</v>
          </cell>
          <cell r="L710">
            <v>1274010</v>
          </cell>
          <cell r="M710">
            <v>903990.26454545453</v>
          </cell>
          <cell r="N710">
            <v>529418.66666666663</v>
          </cell>
          <cell r="O710">
            <v>2707418.9312121212</v>
          </cell>
          <cell r="P710">
            <v>0</v>
          </cell>
          <cell r="Q710">
            <v>0</v>
          </cell>
          <cell r="R710">
            <v>529418.66666666663</v>
          </cell>
          <cell r="S710">
            <v>2707418.9312121212</v>
          </cell>
          <cell r="T710">
            <v>444568</v>
          </cell>
          <cell r="U710">
            <v>198532</v>
          </cell>
          <cell r="V710">
            <v>1274010</v>
          </cell>
        </row>
        <row r="711">
          <cell r="D711" t="str">
            <v>Xáng cạp 1.25m3</v>
          </cell>
          <cell r="F711">
            <v>70.2</v>
          </cell>
          <cell r="J711">
            <v>1</v>
          </cell>
          <cell r="K711">
            <v>198532</v>
          </cell>
          <cell r="L711">
            <v>1464687</v>
          </cell>
          <cell r="M711">
            <v>1021902.0381818181</v>
          </cell>
          <cell r="N711">
            <v>529418.66666666663</v>
          </cell>
          <cell r="O711">
            <v>3016007.7048484846</v>
          </cell>
          <cell r="P711">
            <v>0</v>
          </cell>
          <cell r="Q711">
            <v>0</v>
          </cell>
          <cell r="R711">
            <v>529418.66666666663</v>
          </cell>
          <cell r="S711">
            <v>3016007.7048484846</v>
          </cell>
          <cell r="T711">
            <v>502555</v>
          </cell>
          <cell r="U711">
            <v>198532</v>
          </cell>
          <cell r="V711">
            <v>1464687</v>
          </cell>
        </row>
        <row r="712">
          <cell r="K712">
            <v>0</v>
          </cell>
          <cell r="L712">
            <v>0</v>
          </cell>
          <cell r="N712">
            <v>0</v>
          </cell>
          <cell r="O712">
            <v>0</v>
          </cell>
          <cell r="P712">
            <v>0</v>
          </cell>
          <cell r="Q712">
            <v>0</v>
          </cell>
          <cell r="R712">
            <v>0</v>
          </cell>
          <cell r="S712">
            <v>0</v>
          </cell>
        </row>
        <row r="713">
          <cell r="K713">
            <v>0</v>
          </cell>
          <cell r="L713">
            <v>0</v>
          </cell>
          <cell r="N713">
            <v>0</v>
          </cell>
          <cell r="O713">
            <v>0</v>
          </cell>
          <cell r="P713">
            <v>0</v>
          </cell>
          <cell r="Q713">
            <v>0</v>
          </cell>
          <cell r="R713">
            <v>0</v>
          </cell>
          <cell r="S713">
            <v>0</v>
          </cell>
        </row>
        <row r="714">
          <cell r="D714" t="str">
            <v>Máy đào gầu ngoặm 0.4m3</v>
          </cell>
          <cell r="E714" t="str">
            <v>dragline excavator 0.4m3</v>
          </cell>
          <cell r="F714">
            <v>59.4</v>
          </cell>
          <cell r="J714">
            <v>1</v>
          </cell>
          <cell r="K714">
            <v>98673</v>
          </cell>
          <cell r="L714">
            <v>978596</v>
          </cell>
          <cell r="M714">
            <v>864686.34</v>
          </cell>
          <cell r="N714">
            <v>263128</v>
          </cell>
          <cell r="O714">
            <v>2106410.34</v>
          </cell>
          <cell r="P714">
            <v>0</v>
          </cell>
          <cell r="Q714">
            <v>0</v>
          </cell>
          <cell r="R714">
            <v>263128</v>
          </cell>
          <cell r="S714">
            <v>2106410.34</v>
          </cell>
          <cell r="T714">
            <v>425239</v>
          </cell>
          <cell r="U714">
            <v>98673</v>
          </cell>
          <cell r="V714">
            <v>978596</v>
          </cell>
        </row>
        <row r="715">
          <cell r="D715" t="str">
            <v>Máy đào gầu ngoặm 0.65m3</v>
          </cell>
          <cell r="E715" t="str">
            <v>dragline excavator 0.65m3</v>
          </cell>
          <cell r="F715">
            <v>64.8</v>
          </cell>
          <cell r="J715">
            <v>1</v>
          </cell>
          <cell r="K715">
            <v>98673</v>
          </cell>
          <cell r="L715">
            <v>1062521</v>
          </cell>
          <cell r="M715">
            <v>943294.18909090897</v>
          </cell>
          <cell r="N715">
            <v>263128</v>
          </cell>
          <cell r="O715">
            <v>2268943.189090909</v>
          </cell>
          <cell r="P715">
            <v>0</v>
          </cell>
          <cell r="Q715">
            <v>0</v>
          </cell>
          <cell r="R715">
            <v>263128</v>
          </cell>
          <cell r="S715">
            <v>2268943.189090909</v>
          </cell>
          <cell r="T715">
            <v>463897</v>
          </cell>
          <cell r="U715">
            <v>98673</v>
          </cell>
          <cell r="V715">
            <v>1062521</v>
          </cell>
        </row>
        <row r="716">
          <cell r="D716" t="str">
            <v>Máy xúc gầu dây 1m3</v>
          </cell>
          <cell r="E716" t="str">
            <v>dragline excavator 1m3</v>
          </cell>
          <cell r="F716">
            <v>82.6</v>
          </cell>
          <cell r="J716">
            <v>1</v>
          </cell>
          <cell r="K716">
            <v>114786</v>
          </cell>
          <cell r="L716">
            <v>1470729</v>
          </cell>
          <cell r="M716">
            <v>1202408.9509090907</v>
          </cell>
          <cell r="N716">
            <v>306096</v>
          </cell>
          <cell r="O716">
            <v>2979233.9509090907</v>
          </cell>
          <cell r="P716">
            <v>0</v>
          </cell>
          <cell r="Q716">
            <v>0</v>
          </cell>
          <cell r="R716">
            <v>306096</v>
          </cell>
          <cell r="S716">
            <v>2979233.9509090907</v>
          </cell>
          <cell r="T716">
            <v>591325</v>
          </cell>
          <cell r="U716">
            <v>114786</v>
          </cell>
          <cell r="V716">
            <v>1470729</v>
          </cell>
        </row>
        <row r="717">
          <cell r="D717" t="str">
            <v>Máy đào gầu ngoặm 1.2m3</v>
          </cell>
          <cell r="E717" t="str">
            <v>dragline excavator 1.2m3</v>
          </cell>
          <cell r="F717">
            <v>113.2</v>
          </cell>
          <cell r="J717">
            <v>1</v>
          </cell>
          <cell r="K717">
            <v>114786</v>
          </cell>
          <cell r="L717">
            <v>1810837</v>
          </cell>
          <cell r="M717">
            <v>1647853.429090909</v>
          </cell>
          <cell r="N717">
            <v>306096</v>
          </cell>
          <cell r="O717">
            <v>3764786.4290909087</v>
          </cell>
          <cell r="P717">
            <v>0</v>
          </cell>
          <cell r="Q717">
            <v>0</v>
          </cell>
          <cell r="R717">
            <v>306096</v>
          </cell>
          <cell r="S717">
            <v>3764786.4290909087</v>
          </cell>
          <cell r="T717">
            <v>810387</v>
          </cell>
          <cell r="U717">
            <v>114786</v>
          </cell>
          <cell r="V717">
            <v>1810837</v>
          </cell>
        </row>
        <row r="718">
          <cell r="D718" t="str">
            <v>Máy xúc 1.6m3</v>
          </cell>
          <cell r="F718">
            <v>127.5</v>
          </cell>
          <cell r="J718">
            <v>1</v>
          </cell>
          <cell r="K718">
            <v>125981</v>
          </cell>
          <cell r="L718">
            <v>2158185</v>
          </cell>
          <cell r="M718">
            <v>1856018.6590909089</v>
          </cell>
          <cell r="N718">
            <v>335949.33333333331</v>
          </cell>
          <cell r="O718">
            <v>4350152.9924242422</v>
          </cell>
          <cell r="P718">
            <v>0</v>
          </cell>
          <cell r="Q718">
            <v>0</v>
          </cell>
          <cell r="R718">
            <v>335949.33333333331</v>
          </cell>
          <cell r="S718">
            <v>4350152.9924242422</v>
          </cell>
          <cell r="T718">
            <v>912760</v>
          </cell>
          <cell r="U718">
            <v>125981</v>
          </cell>
          <cell r="V718">
            <v>2158185</v>
          </cell>
        </row>
        <row r="719">
          <cell r="D719" t="str">
            <v>Máy xúc 2.3m3</v>
          </cell>
          <cell r="F719">
            <v>163.69999999999999</v>
          </cell>
          <cell r="J719">
            <v>1</v>
          </cell>
          <cell r="K719">
            <v>125981</v>
          </cell>
          <cell r="L719">
            <v>2784367</v>
          </cell>
          <cell r="M719">
            <v>2382982.3881818182</v>
          </cell>
          <cell r="N719">
            <v>335949.33333333331</v>
          </cell>
          <cell r="O719">
            <v>5503298.7215151517</v>
          </cell>
          <cell r="P719">
            <v>0</v>
          </cell>
          <cell r="Q719">
            <v>0</v>
          </cell>
          <cell r="R719">
            <v>335949.33333333331</v>
          </cell>
          <cell r="S719">
            <v>5503298.7215151517</v>
          </cell>
          <cell r="T719">
            <v>1171912</v>
          </cell>
          <cell r="U719">
            <v>125981</v>
          </cell>
          <cell r="V719">
            <v>2784367</v>
          </cell>
        </row>
        <row r="720">
          <cell r="K720">
            <v>0</v>
          </cell>
          <cell r="L720">
            <v>0</v>
          </cell>
          <cell r="N720">
            <v>0</v>
          </cell>
          <cell r="O720">
            <v>0</v>
          </cell>
          <cell r="P720">
            <v>0</v>
          </cell>
          <cell r="Q720">
            <v>0</v>
          </cell>
          <cell r="R720">
            <v>0</v>
          </cell>
          <cell r="S720">
            <v>0</v>
          </cell>
        </row>
        <row r="721">
          <cell r="F721">
            <v>29.1</v>
          </cell>
          <cell r="J721">
            <v>1</v>
          </cell>
          <cell r="K721">
            <v>48658</v>
          </cell>
          <cell r="L721">
            <v>567033</v>
          </cell>
          <cell r="M721">
            <v>423608.96454545454</v>
          </cell>
          <cell r="N721">
            <v>129754.66666666666</v>
          </cell>
          <cell r="O721">
            <v>1120396.6312121213</v>
          </cell>
          <cell r="P721">
            <v>0</v>
          </cell>
          <cell r="Q721">
            <v>0</v>
          </cell>
          <cell r="R721">
            <v>129754.66666666666</v>
          </cell>
          <cell r="S721">
            <v>1120396.6312121213</v>
          </cell>
          <cell r="T721">
            <v>208324</v>
          </cell>
          <cell r="U721">
            <v>48658</v>
          </cell>
          <cell r="V721">
            <v>567033</v>
          </cell>
        </row>
        <row r="722">
          <cell r="D722" t="str">
            <v>Máy xúc 1.25m3</v>
          </cell>
          <cell r="E722" t="str">
            <v>avulsion excavator 1.25m3</v>
          </cell>
          <cell r="F722">
            <v>46.5</v>
          </cell>
          <cell r="J722">
            <v>1</v>
          </cell>
          <cell r="K722">
            <v>98673</v>
          </cell>
          <cell r="L722">
            <v>919051</v>
          </cell>
          <cell r="M722">
            <v>676900.92272727273</v>
          </cell>
          <cell r="N722">
            <v>263128</v>
          </cell>
          <cell r="O722">
            <v>1859079.9227272728</v>
          </cell>
          <cell r="P722">
            <v>186.32781287399999</v>
          </cell>
          <cell r="Q722">
            <v>126125468.4641652</v>
          </cell>
          <cell r="R722">
            <v>263128</v>
          </cell>
          <cell r="S722">
            <v>1859079.9227272728</v>
          </cell>
          <cell r="T722">
            <v>208324</v>
          </cell>
          <cell r="U722">
            <v>98673</v>
          </cell>
          <cell r="V722">
            <v>919051</v>
          </cell>
        </row>
        <row r="723">
          <cell r="E723" t="str">
            <v>avulsion excavator 2.3m3</v>
          </cell>
          <cell r="F723">
            <v>94.65</v>
          </cell>
          <cell r="J723">
            <v>1</v>
          </cell>
          <cell r="K723">
            <v>114786</v>
          </cell>
          <cell r="L723">
            <v>1500762</v>
          </cell>
          <cell r="M723">
            <v>1377820.9104545454</v>
          </cell>
          <cell r="N723">
            <v>306096</v>
          </cell>
          <cell r="O723">
            <v>3184678.9104545452</v>
          </cell>
          <cell r="P723">
            <v>0</v>
          </cell>
          <cell r="Q723">
            <v>0</v>
          </cell>
          <cell r="R723">
            <v>306096</v>
          </cell>
          <cell r="S723">
            <v>3184678.9104545452</v>
          </cell>
          <cell r="T723">
            <v>677590</v>
          </cell>
          <cell r="U723">
            <v>114786</v>
          </cell>
          <cell r="V723">
            <v>1500762</v>
          </cell>
        </row>
        <row r="724">
          <cell r="D724" t="str">
            <v>Gầu đào 125CV</v>
          </cell>
          <cell r="J724">
            <v>1</v>
          </cell>
          <cell r="K724">
            <v>0</v>
          </cell>
          <cell r="L724">
            <v>136620</v>
          </cell>
          <cell r="M724">
            <v>0</v>
          </cell>
          <cell r="N724">
            <v>0</v>
          </cell>
          <cell r="O724">
            <v>136620</v>
          </cell>
          <cell r="P724">
            <v>0</v>
          </cell>
          <cell r="Q724">
            <v>0</v>
          </cell>
          <cell r="R724">
            <v>0</v>
          </cell>
          <cell r="S724">
            <v>136620</v>
          </cell>
          <cell r="V724">
            <v>136620</v>
          </cell>
        </row>
        <row r="725">
          <cell r="K725">
            <v>0</v>
          </cell>
          <cell r="L725">
            <v>0</v>
          </cell>
          <cell r="N725">
            <v>0</v>
          </cell>
          <cell r="O725">
            <v>0</v>
          </cell>
          <cell r="P725">
            <v>0</v>
          </cell>
          <cell r="Q725">
            <v>0</v>
          </cell>
          <cell r="R725">
            <v>0</v>
          </cell>
          <cell r="S725">
            <v>0</v>
          </cell>
        </row>
        <row r="726">
          <cell r="D726" t="str">
            <v>Máy đầm 9T</v>
          </cell>
          <cell r="E726" t="str">
            <v>pneumatic roller 9T</v>
          </cell>
          <cell r="F726">
            <v>34</v>
          </cell>
          <cell r="J726">
            <v>1</v>
          </cell>
          <cell r="K726">
            <v>56800</v>
          </cell>
          <cell r="L726">
            <v>846987</v>
          </cell>
          <cell r="M726">
            <v>494938.30909090902</v>
          </cell>
          <cell r="N726">
            <v>151466.66666666666</v>
          </cell>
          <cell r="O726">
            <v>1493391.9757575758</v>
          </cell>
          <cell r="P726">
            <v>355.63711769193475</v>
          </cell>
          <cell r="Q726">
            <v>176018433.6804108</v>
          </cell>
          <cell r="R726">
            <v>151466.66666666666</v>
          </cell>
          <cell r="S726">
            <v>1493391.9757575756</v>
          </cell>
          <cell r="T726">
            <v>243403</v>
          </cell>
          <cell r="U726">
            <v>56800</v>
          </cell>
          <cell r="V726">
            <v>846987</v>
          </cell>
        </row>
        <row r="727">
          <cell r="K727">
            <v>0</v>
          </cell>
          <cell r="L727">
            <v>0</v>
          </cell>
          <cell r="N727">
            <v>0</v>
          </cell>
          <cell r="O727">
            <v>0</v>
          </cell>
          <cell r="P727">
            <v>0</v>
          </cell>
          <cell r="Q727">
            <v>0</v>
          </cell>
          <cell r="R727">
            <v>0</v>
          </cell>
          <cell r="S727">
            <v>0</v>
          </cell>
        </row>
        <row r="728">
          <cell r="G728">
            <v>39.4</v>
          </cell>
          <cell r="J728">
            <v>1</v>
          </cell>
          <cell r="K728">
            <v>41873</v>
          </cell>
          <cell r="L728">
            <v>181347</v>
          </cell>
          <cell r="M728">
            <v>25878.688299999998</v>
          </cell>
          <cell r="N728">
            <v>111661.33333333333</v>
          </cell>
          <cell r="O728">
            <v>318887.02163333335</v>
          </cell>
          <cell r="P728">
            <v>0</v>
          </cell>
          <cell r="Q728">
            <v>0</v>
          </cell>
          <cell r="R728">
            <v>111661.33333333333</v>
          </cell>
          <cell r="S728">
            <v>318887.02163333329</v>
          </cell>
          <cell r="T728">
            <v>37731</v>
          </cell>
          <cell r="U728">
            <v>41873</v>
          </cell>
          <cell r="V728">
            <v>181347</v>
          </cell>
        </row>
        <row r="729">
          <cell r="K729">
            <v>0</v>
          </cell>
          <cell r="L729">
            <v>0</v>
          </cell>
          <cell r="N729">
            <v>0</v>
          </cell>
          <cell r="O729">
            <v>0</v>
          </cell>
          <cell r="P729">
            <v>0</v>
          </cell>
          <cell r="Q729">
            <v>0</v>
          </cell>
          <cell r="R729">
            <v>0</v>
          </cell>
          <cell r="S729">
            <v>0</v>
          </cell>
        </row>
        <row r="730">
          <cell r="D730" t="str">
            <v>Vận thăng lồng 3T</v>
          </cell>
          <cell r="E730" t="str">
            <v>cage lifting 3T</v>
          </cell>
          <cell r="G730">
            <v>47.3</v>
          </cell>
          <cell r="J730">
            <v>1</v>
          </cell>
          <cell r="K730">
            <v>41873</v>
          </cell>
          <cell r="L730">
            <v>258191</v>
          </cell>
          <cell r="M730">
            <v>31067.562349999993</v>
          </cell>
          <cell r="N730">
            <v>111661.33333333333</v>
          </cell>
          <cell r="O730">
            <v>400919.89568333334</v>
          </cell>
          <cell r="P730">
            <v>0</v>
          </cell>
          <cell r="Q730">
            <v>0</v>
          </cell>
          <cell r="R730">
            <v>111661.33333333333</v>
          </cell>
          <cell r="S730">
            <v>400919.89568333334</v>
          </cell>
          <cell r="T730">
            <v>45297</v>
          </cell>
          <cell r="U730">
            <v>41873</v>
          </cell>
          <cell r="V730">
            <v>258191</v>
          </cell>
        </row>
        <row r="731">
          <cell r="K731">
            <v>0</v>
          </cell>
          <cell r="L731">
            <v>0</v>
          </cell>
          <cell r="N731">
            <v>0</v>
          </cell>
          <cell r="O731">
            <v>0</v>
          </cell>
          <cell r="P731">
            <v>0</v>
          </cell>
          <cell r="Q731">
            <v>0</v>
          </cell>
          <cell r="R731">
            <v>0</v>
          </cell>
          <cell r="S731">
            <v>0</v>
          </cell>
        </row>
        <row r="732">
          <cell r="E732" t="str">
            <v>Winch 3.5Ton</v>
          </cell>
          <cell r="G732">
            <v>11.3</v>
          </cell>
          <cell r="J732">
            <v>1</v>
          </cell>
          <cell r="K732">
            <v>41873</v>
          </cell>
          <cell r="L732">
            <v>79487</v>
          </cell>
          <cell r="M732">
            <v>7422.0603499999997</v>
          </cell>
          <cell r="N732">
            <v>111661.33333333333</v>
          </cell>
          <cell r="O732">
            <v>198570.39368333333</v>
          </cell>
          <cell r="P732">
            <v>0</v>
          </cell>
          <cell r="Q732">
            <v>0</v>
          </cell>
          <cell r="R732">
            <v>111661.33333333333</v>
          </cell>
          <cell r="S732">
            <v>198570.39368333333</v>
          </cell>
          <cell r="T732">
            <v>10821</v>
          </cell>
          <cell r="U732">
            <v>41873</v>
          </cell>
          <cell r="V732">
            <v>79487</v>
          </cell>
        </row>
        <row r="733">
          <cell r="K733">
            <v>0</v>
          </cell>
          <cell r="L733">
            <v>0</v>
          </cell>
          <cell r="N733">
            <v>0</v>
          </cell>
          <cell r="O733">
            <v>0</v>
          </cell>
          <cell r="P733">
            <v>0</v>
          </cell>
          <cell r="Q733">
            <v>0</v>
          </cell>
          <cell r="R733">
            <v>0</v>
          </cell>
          <cell r="S733">
            <v>0</v>
          </cell>
        </row>
        <row r="734">
          <cell r="D734" t="str">
            <v>Palăng xích 3T</v>
          </cell>
          <cell r="E734" t="str">
            <v>chain pulley 3T</v>
          </cell>
          <cell r="J734">
            <v>1</v>
          </cell>
          <cell r="K734">
            <v>41873</v>
          </cell>
          <cell r="L734">
            <v>46134</v>
          </cell>
          <cell r="M734">
            <v>0</v>
          </cell>
          <cell r="N734">
            <v>111661.33333333333</v>
          </cell>
          <cell r="O734">
            <v>157795.33333333331</v>
          </cell>
          <cell r="P734">
            <v>953.89831949999984</v>
          </cell>
          <cell r="Q734">
            <v>0</v>
          </cell>
          <cell r="R734">
            <v>111661.33333333333</v>
          </cell>
          <cell r="S734">
            <v>157795.33333333331</v>
          </cell>
          <cell r="U734">
            <v>41873</v>
          </cell>
          <cell r="V734">
            <v>46134</v>
          </cell>
        </row>
        <row r="735">
          <cell r="D735" t="str">
            <v>Palăng xích 5T</v>
          </cell>
          <cell r="E735" t="str">
            <v>chain pulley 5T</v>
          </cell>
          <cell r="J735">
            <v>1</v>
          </cell>
          <cell r="K735">
            <v>41873</v>
          </cell>
          <cell r="L735">
            <v>47272</v>
          </cell>
          <cell r="M735">
            <v>0</v>
          </cell>
          <cell r="N735">
            <v>111661.33333333333</v>
          </cell>
          <cell r="O735">
            <v>158933.33333333331</v>
          </cell>
          <cell r="P735">
            <v>8.4272400000000012</v>
          </cell>
          <cell r="Q735">
            <v>0</v>
          </cell>
          <cell r="R735">
            <v>111661.33333333333</v>
          </cell>
          <cell r="S735">
            <v>158933.33333333331</v>
          </cell>
          <cell r="U735">
            <v>41873</v>
          </cell>
          <cell r="V735">
            <v>47272</v>
          </cell>
        </row>
        <row r="736">
          <cell r="K736">
            <v>0</v>
          </cell>
          <cell r="L736">
            <v>0</v>
          </cell>
          <cell r="N736">
            <v>0</v>
          </cell>
          <cell r="O736">
            <v>0</v>
          </cell>
          <cell r="P736">
            <v>0</v>
          </cell>
          <cell r="Q736">
            <v>0</v>
          </cell>
          <cell r="R736">
            <v>0</v>
          </cell>
          <cell r="S736">
            <v>0</v>
          </cell>
        </row>
        <row r="737">
          <cell r="G737">
            <v>64.599999999999994</v>
          </cell>
          <cell r="J737">
            <v>1</v>
          </cell>
          <cell r="K737">
            <v>231439</v>
          </cell>
          <cell r="L737">
            <v>663619</v>
          </cell>
          <cell r="M737">
            <v>42430.539699999994</v>
          </cell>
          <cell r="N737">
            <v>617170.66666666663</v>
          </cell>
          <cell r="O737">
            <v>1323220.2063666666</v>
          </cell>
          <cell r="P737">
            <v>0</v>
          </cell>
          <cell r="Q737">
            <v>0</v>
          </cell>
          <cell r="R737">
            <v>617170.66666666663</v>
          </cell>
          <cell r="S737">
            <v>1323220.2063666666</v>
          </cell>
          <cell r="T737">
            <v>61864</v>
          </cell>
          <cell r="U737">
            <v>231439</v>
          </cell>
          <cell r="V737">
            <v>663619</v>
          </cell>
        </row>
        <row r="738">
          <cell r="D738" t="str">
            <v>Bộ kích 50T</v>
          </cell>
          <cell r="E738" t="str">
            <v>jack 50T</v>
          </cell>
          <cell r="G738">
            <v>14.1</v>
          </cell>
          <cell r="J738">
            <v>1</v>
          </cell>
          <cell r="K738">
            <v>97316</v>
          </cell>
          <cell r="L738">
            <v>155738</v>
          </cell>
          <cell r="M738">
            <v>9261.1549499999983</v>
          </cell>
          <cell r="N738">
            <v>259509.33333333331</v>
          </cell>
          <cell r="O738">
            <v>424508.48828333331</v>
          </cell>
          <cell r="P738">
            <v>1102.5</v>
          </cell>
          <cell r="Q738">
            <v>10210423.332374997</v>
          </cell>
          <cell r="R738">
            <v>259509.33333333331</v>
          </cell>
          <cell r="S738">
            <v>424508.48828333331</v>
          </cell>
          <cell r="T738">
            <v>13503</v>
          </cell>
          <cell r="U738">
            <v>97316</v>
          </cell>
          <cell r="V738">
            <v>155738</v>
          </cell>
        </row>
        <row r="739">
          <cell r="D739" t="str">
            <v>Bộ kích 60T</v>
          </cell>
          <cell r="E739" t="str">
            <v>jack 60T</v>
          </cell>
          <cell r="K739">
            <v>0</v>
          </cell>
          <cell r="L739">
            <v>0</v>
          </cell>
          <cell r="N739">
            <v>0</v>
          </cell>
          <cell r="O739">
            <v>0</v>
          </cell>
          <cell r="P739">
            <v>0</v>
          </cell>
          <cell r="Q739">
            <v>0</v>
          </cell>
          <cell r="R739">
            <v>0</v>
          </cell>
          <cell r="S739">
            <v>0</v>
          </cell>
        </row>
        <row r="740">
          <cell r="K740">
            <v>0</v>
          </cell>
          <cell r="L740">
            <v>0</v>
          </cell>
          <cell r="N740">
            <v>0</v>
          </cell>
          <cell r="O740">
            <v>0</v>
          </cell>
          <cell r="P740">
            <v>0</v>
          </cell>
          <cell r="Q740">
            <v>0</v>
          </cell>
          <cell r="R740">
            <v>0</v>
          </cell>
          <cell r="S740">
            <v>0</v>
          </cell>
        </row>
        <row r="741">
          <cell r="D741" t="str">
            <v>Bộ kích 10T</v>
          </cell>
          <cell r="J741">
            <v>1</v>
          </cell>
          <cell r="K741">
            <v>48658</v>
          </cell>
          <cell r="L741">
            <v>51255</v>
          </cell>
          <cell r="M741">
            <v>0</v>
          </cell>
          <cell r="N741">
            <v>129754.66666666666</v>
          </cell>
          <cell r="O741">
            <v>181009.66666666666</v>
          </cell>
          <cell r="P741">
            <v>0</v>
          </cell>
          <cell r="Q741">
            <v>0</v>
          </cell>
          <cell r="R741">
            <v>129754.66666666666</v>
          </cell>
          <cell r="S741">
            <v>181009.66666666666</v>
          </cell>
          <cell r="U741">
            <v>48658</v>
          </cell>
          <cell r="V741">
            <v>51255</v>
          </cell>
        </row>
        <row r="742">
          <cell r="D742" t="str">
            <v>Kích 30T</v>
          </cell>
          <cell r="E742" t="str">
            <v>jack 50T</v>
          </cell>
          <cell r="J742">
            <v>1</v>
          </cell>
          <cell r="K742">
            <v>48658</v>
          </cell>
          <cell r="L742">
            <v>51938</v>
          </cell>
          <cell r="M742">
            <v>0</v>
          </cell>
          <cell r="N742">
            <v>129754.66666666666</v>
          </cell>
          <cell r="O742">
            <v>181692.66666666666</v>
          </cell>
          <cell r="P742">
            <v>0</v>
          </cell>
          <cell r="Q742">
            <v>0</v>
          </cell>
          <cell r="R742">
            <v>129754.66666666666</v>
          </cell>
          <cell r="S742">
            <v>181692.66666666666</v>
          </cell>
          <cell r="U742">
            <v>48658</v>
          </cell>
          <cell r="V742">
            <v>51938</v>
          </cell>
        </row>
        <row r="743">
          <cell r="D743" t="str">
            <v>Kích 50T</v>
          </cell>
          <cell r="J743">
            <v>1</v>
          </cell>
          <cell r="K743">
            <v>48658</v>
          </cell>
          <cell r="L743">
            <v>54261</v>
          </cell>
          <cell r="M743">
            <v>0</v>
          </cell>
          <cell r="N743">
            <v>129754.66666666666</v>
          </cell>
          <cell r="O743">
            <v>184015.66666666666</v>
          </cell>
          <cell r="P743">
            <v>0</v>
          </cell>
          <cell r="Q743">
            <v>0</v>
          </cell>
          <cell r="R743">
            <v>129754.66666666666</v>
          </cell>
          <cell r="S743">
            <v>184015.66666666666</v>
          </cell>
          <cell r="U743">
            <v>48658</v>
          </cell>
          <cell r="V743">
            <v>54261</v>
          </cell>
        </row>
        <row r="744">
          <cell r="J744">
            <v>1</v>
          </cell>
          <cell r="K744">
            <v>48658</v>
          </cell>
          <cell r="L744">
            <v>59455</v>
          </cell>
          <cell r="M744">
            <v>0</v>
          </cell>
          <cell r="N744">
            <v>129754.66666666666</v>
          </cell>
          <cell r="O744">
            <v>189209.66666666666</v>
          </cell>
          <cell r="P744">
            <v>0</v>
          </cell>
          <cell r="Q744">
            <v>0</v>
          </cell>
          <cell r="R744">
            <v>129754.66666666666</v>
          </cell>
          <cell r="S744">
            <v>189209.66666666666</v>
          </cell>
          <cell r="U744">
            <v>48658</v>
          </cell>
          <cell r="V744">
            <v>59455</v>
          </cell>
        </row>
        <row r="745">
          <cell r="J745">
            <v>1</v>
          </cell>
          <cell r="K745">
            <v>48658</v>
          </cell>
          <cell r="L745">
            <v>64238</v>
          </cell>
          <cell r="M745">
            <v>0</v>
          </cell>
          <cell r="N745">
            <v>129754.66666666666</v>
          </cell>
          <cell r="O745">
            <v>193992.66666666666</v>
          </cell>
          <cell r="P745">
            <v>0</v>
          </cell>
          <cell r="Q745">
            <v>0</v>
          </cell>
          <cell r="R745">
            <v>129754.66666666666</v>
          </cell>
          <cell r="S745">
            <v>193992.66666666666</v>
          </cell>
          <cell r="U745">
            <v>48658</v>
          </cell>
          <cell r="V745">
            <v>64238</v>
          </cell>
        </row>
        <row r="746">
          <cell r="D746" t="str">
            <v>Kích 250T</v>
          </cell>
          <cell r="E746" t="str">
            <v>jack 250T</v>
          </cell>
          <cell r="J746">
            <v>1</v>
          </cell>
          <cell r="K746">
            <v>48658</v>
          </cell>
          <cell r="L746">
            <v>73736</v>
          </cell>
          <cell r="M746">
            <v>0</v>
          </cell>
          <cell r="N746">
            <v>129754.66666666666</v>
          </cell>
          <cell r="O746">
            <v>203490.66666666666</v>
          </cell>
          <cell r="P746">
            <v>596.17080600000008</v>
          </cell>
          <cell r="Q746">
            <v>0</v>
          </cell>
          <cell r="R746">
            <v>129754.66666666666</v>
          </cell>
          <cell r="S746">
            <v>203490.66666666666</v>
          </cell>
          <cell r="U746">
            <v>48658</v>
          </cell>
          <cell r="V746">
            <v>73736</v>
          </cell>
        </row>
        <row r="747">
          <cell r="D747" t="str">
            <v>Kích 500T</v>
          </cell>
          <cell r="E747" t="str">
            <v>jack 500T</v>
          </cell>
          <cell r="J747">
            <v>1</v>
          </cell>
          <cell r="K747">
            <v>48658</v>
          </cell>
          <cell r="L747">
            <v>103051</v>
          </cell>
          <cell r="M747">
            <v>0</v>
          </cell>
          <cell r="N747">
            <v>129754.66666666666</v>
          </cell>
          <cell r="O747">
            <v>232805.66666666666</v>
          </cell>
          <cell r="P747">
            <v>596.17080600000008</v>
          </cell>
          <cell r="Q747">
            <v>0</v>
          </cell>
          <cell r="R747">
            <v>129754.66666666666</v>
          </cell>
          <cell r="S747">
            <v>232805.66666666666</v>
          </cell>
          <cell r="U747">
            <v>48658</v>
          </cell>
          <cell r="V747">
            <v>103051</v>
          </cell>
        </row>
        <row r="748">
          <cell r="K748">
            <v>0</v>
          </cell>
          <cell r="L748">
            <v>0</v>
          </cell>
          <cell r="N748">
            <v>0</v>
          </cell>
          <cell r="O748">
            <v>0</v>
          </cell>
          <cell r="P748">
            <v>0</v>
          </cell>
          <cell r="Q748">
            <v>0</v>
          </cell>
          <cell r="R748">
            <v>0</v>
          </cell>
          <cell r="S748">
            <v>0</v>
          </cell>
        </row>
        <row r="749">
          <cell r="D749" t="str">
            <v>Trạm trộn bêtông 16m3/h</v>
          </cell>
          <cell r="E749" t="str">
            <v>Concrete batching plant 16m3/h</v>
          </cell>
          <cell r="G749">
            <v>92.4</v>
          </cell>
          <cell r="J749">
            <v>1</v>
          </cell>
          <cell r="K749">
            <v>98673</v>
          </cell>
          <cell r="L749">
            <v>726094</v>
          </cell>
          <cell r="M749">
            <v>60690.121800000001</v>
          </cell>
          <cell r="N749">
            <v>263128</v>
          </cell>
          <cell r="O749">
            <v>1049912.1217999998</v>
          </cell>
          <cell r="P749">
            <v>0</v>
          </cell>
          <cell r="Q749">
            <v>0</v>
          </cell>
          <cell r="R749">
            <v>263128</v>
          </cell>
          <cell r="S749">
            <v>1049912.1218000001</v>
          </cell>
          <cell r="T749">
            <v>88487</v>
          </cell>
          <cell r="U749">
            <v>98673</v>
          </cell>
          <cell r="V749">
            <v>726094</v>
          </cell>
        </row>
        <row r="750">
          <cell r="D750" t="str">
            <v>Trạm trộn bêtông 160m3/h</v>
          </cell>
          <cell r="E750" t="str">
            <v>Concrete batching plant 160m3/h</v>
          </cell>
          <cell r="G750">
            <v>553.1</v>
          </cell>
          <cell r="J750">
            <v>1</v>
          </cell>
          <cell r="K750">
            <v>240405</v>
          </cell>
          <cell r="L750">
            <v>4733101</v>
          </cell>
          <cell r="M750">
            <v>363286.86544999998</v>
          </cell>
          <cell r="N750">
            <v>641080</v>
          </cell>
          <cell r="O750">
            <v>5737467.8654500004</v>
          </cell>
          <cell r="P750">
            <v>0</v>
          </cell>
          <cell r="Q750">
            <v>0</v>
          </cell>
          <cell r="R750">
            <v>641080</v>
          </cell>
          <cell r="S750">
            <v>5737467.8654500004</v>
          </cell>
          <cell r="T750">
            <v>529676</v>
          </cell>
          <cell r="U750">
            <v>240405</v>
          </cell>
          <cell r="V750">
            <v>4733101</v>
          </cell>
        </row>
        <row r="751">
          <cell r="K751">
            <v>0</v>
          </cell>
          <cell r="L751">
            <v>0</v>
          </cell>
          <cell r="N751">
            <v>0</v>
          </cell>
          <cell r="O751">
            <v>0</v>
          </cell>
          <cell r="P751">
            <v>0</v>
          </cell>
          <cell r="Q751">
            <v>0</v>
          </cell>
          <cell r="R751">
            <v>0</v>
          </cell>
          <cell r="S751">
            <v>0</v>
          </cell>
        </row>
        <row r="752">
          <cell r="D752" t="str">
            <v>Máy rải 130-140CV</v>
          </cell>
          <cell r="E752" t="str">
            <v>asphalt paver 130-140CV</v>
          </cell>
          <cell r="F752">
            <v>63</v>
          </cell>
          <cell r="J752">
            <v>1</v>
          </cell>
          <cell r="K752">
            <v>98673</v>
          </cell>
          <cell r="L752">
            <v>2580738</v>
          </cell>
          <cell r="M752">
            <v>917091.57272727264</v>
          </cell>
          <cell r="N752">
            <v>263128</v>
          </cell>
          <cell r="O752">
            <v>3760957.5727272728</v>
          </cell>
          <cell r="P752">
            <v>71.74326886003287</v>
          </cell>
          <cell r="Q752">
            <v>65795147.271443106</v>
          </cell>
          <cell r="R752">
            <v>263128</v>
          </cell>
          <cell r="S752">
            <v>3760957.5727272728</v>
          </cell>
          <cell r="T752">
            <v>451011</v>
          </cell>
          <cell r="U752">
            <v>98673</v>
          </cell>
          <cell r="V752">
            <v>2580738</v>
          </cell>
        </row>
        <row r="753">
          <cell r="K753">
            <v>0</v>
          </cell>
          <cell r="L753">
            <v>0</v>
          </cell>
          <cell r="N753">
            <v>0</v>
          </cell>
          <cell r="O753">
            <v>0</v>
          </cell>
          <cell r="P753">
            <v>0</v>
          </cell>
          <cell r="Q753">
            <v>0</v>
          </cell>
          <cell r="R753">
            <v>0</v>
          </cell>
          <cell r="S753">
            <v>0</v>
          </cell>
        </row>
        <row r="754">
          <cell r="D754" t="str">
            <v>Máy rải 50-60m3/h</v>
          </cell>
          <cell r="E754" t="str">
            <v>stone spreder 50-60m3/h</v>
          </cell>
          <cell r="F754">
            <v>47.9</v>
          </cell>
          <cell r="J754">
            <v>1</v>
          </cell>
          <cell r="K754">
            <v>98673</v>
          </cell>
          <cell r="L754">
            <v>1769269</v>
          </cell>
          <cell r="M754">
            <v>697280.73545454536</v>
          </cell>
          <cell r="N754">
            <v>263128</v>
          </cell>
          <cell r="O754">
            <v>2729677.7354545454</v>
          </cell>
          <cell r="P754">
            <v>29.987259760316263</v>
          </cell>
          <cell r="Q754">
            <v>20909538.539939817</v>
          </cell>
          <cell r="R754">
            <v>263128</v>
          </cell>
          <cell r="S754">
            <v>2729677.7354545454</v>
          </cell>
          <cell r="T754">
            <v>342911</v>
          </cell>
          <cell r="U754">
            <v>98673</v>
          </cell>
          <cell r="V754">
            <v>1769269</v>
          </cell>
        </row>
        <row r="755">
          <cell r="D755" t="str">
            <v>Thiết bị đun rót</v>
          </cell>
          <cell r="H755">
            <v>3.7</v>
          </cell>
          <cell r="J755">
            <v>1</v>
          </cell>
          <cell r="K755">
            <v>48658</v>
          </cell>
          <cell r="L755">
            <v>111968</v>
          </cell>
          <cell r="M755">
            <v>53525.495000000003</v>
          </cell>
          <cell r="N755">
            <v>129754.66666666666</v>
          </cell>
          <cell r="O755">
            <v>295248.16166666662</v>
          </cell>
          <cell r="P755">
            <v>0</v>
          </cell>
          <cell r="Q755">
            <v>0</v>
          </cell>
          <cell r="R755">
            <v>129754.66666666666</v>
          </cell>
          <cell r="S755">
            <v>295248.16166666662</v>
          </cell>
          <cell r="T755">
            <v>32222</v>
          </cell>
          <cell r="U755">
            <v>48658</v>
          </cell>
          <cell r="V755">
            <v>111968</v>
          </cell>
        </row>
        <row r="756">
          <cell r="K756">
            <v>0</v>
          </cell>
          <cell r="L756">
            <v>0</v>
          </cell>
          <cell r="N756">
            <v>0</v>
          </cell>
          <cell r="O756">
            <v>0</v>
          </cell>
          <cell r="P756">
            <v>0</v>
          </cell>
          <cell r="Q756">
            <v>0</v>
          </cell>
          <cell r="R756">
            <v>0</v>
          </cell>
          <cell r="S756">
            <v>0</v>
          </cell>
        </row>
        <row r="757">
          <cell r="D757" t="str">
            <v>Máy khoan 2.5kW</v>
          </cell>
          <cell r="E757" t="str">
            <v>driller 2.5kW</v>
          </cell>
          <cell r="G757">
            <v>5.3</v>
          </cell>
          <cell r="J757">
            <v>1</v>
          </cell>
          <cell r="K757">
            <v>41873</v>
          </cell>
          <cell r="L757">
            <v>67960</v>
          </cell>
          <cell r="M757">
            <v>3481.1433499999994</v>
          </cell>
          <cell r="N757">
            <v>111661.33333333333</v>
          </cell>
          <cell r="O757">
            <v>183102.47668333334</v>
          </cell>
          <cell r="P757">
            <v>61.02580236</v>
          </cell>
          <cell r="Q757">
            <v>212439.56606392827</v>
          </cell>
          <cell r="R757">
            <v>111661.33333333333</v>
          </cell>
          <cell r="S757">
            <v>183102.47668333334</v>
          </cell>
          <cell r="T757">
            <v>5076</v>
          </cell>
          <cell r="U757">
            <v>41873</v>
          </cell>
          <cell r="V757">
            <v>67960</v>
          </cell>
        </row>
        <row r="758">
          <cell r="K758">
            <v>0</v>
          </cell>
          <cell r="L758">
            <v>0</v>
          </cell>
          <cell r="N758">
            <v>0</v>
          </cell>
          <cell r="O758">
            <v>0</v>
          </cell>
          <cell r="P758">
            <v>0</v>
          </cell>
          <cell r="Q758">
            <v>0</v>
          </cell>
          <cell r="R758">
            <v>0</v>
          </cell>
          <cell r="S758">
            <v>0</v>
          </cell>
        </row>
        <row r="759">
          <cell r="G759">
            <v>3.2</v>
          </cell>
          <cell r="J759">
            <v>1</v>
          </cell>
          <cell r="K759">
            <v>41873</v>
          </cell>
          <cell r="L759">
            <v>54697</v>
          </cell>
          <cell r="M759">
            <v>2101.8224</v>
          </cell>
          <cell r="N759">
            <v>111661.33333333333</v>
          </cell>
          <cell r="O759">
            <v>168460.15573333332</v>
          </cell>
          <cell r="P759">
            <v>0</v>
          </cell>
          <cell r="Q759">
            <v>0</v>
          </cell>
          <cell r="R759">
            <v>111661.33333333333</v>
          </cell>
          <cell r="S759">
            <v>168460.15573333332</v>
          </cell>
          <cell r="T759">
            <v>3064</v>
          </cell>
          <cell r="U759">
            <v>41873</v>
          </cell>
          <cell r="V759">
            <v>54697</v>
          </cell>
        </row>
        <row r="760">
          <cell r="K760">
            <v>0</v>
          </cell>
          <cell r="L760">
            <v>0</v>
          </cell>
          <cell r="N760">
            <v>0</v>
          </cell>
          <cell r="O760">
            <v>0</v>
          </cell>
          <cell r="P760">
            <v>0</v>
          </cell>
          <cell r="Q760">
            <v>0</v>
          </cell>
          <cell r="R760">
            <v>0</v>
          </cell>
          <cell r="S760">
            <v>0</v>
          </cell>
        </row>
        <row r="761">
          <cell r="D761" t="str">
            <v>Máy cắt bêtông 7.5kW</v>
          </cell>
          <cell r="E761" t="str">
            <v>Cutting concrete machine (concrete cutter) 7.5kW</v>
          </cell>
          <cell r="G761">
            <v>10.8</v>
          </cell>
          <cell r="J761">
            <v>1</v>
          </cell>
          <cell r="K761">
            <v>41873</v>
          </cell>
          <cell r="L761">
            <v>76343</v>
          </cell>
          <cell r="M761">
            <v>7093.650599999999</v>
          </cell>
          <cell r="N761">
            <v>111661.33333333333</v>
          </cell>
          <cell r="O761">
            <v>195097.98393333331</v>
          </cell>
          <cell r="P761">
            <v>0</v>
          </cell>
          <cell r="Q761">
            <v>0</v>
          </cell>
          <cell r="R761">
            <v>111661.33333333333</v>
          </cell>
          <cell r="S761">
            <v>195097.98393333331</v>
          </cell>
          <cell r="T761">
            <v>10343</v>
          </cell>
          <cell r="U761">
            <v>41873</v>
          </cell>
          <cell r="V761">
            <v>76343</v>
          </cell>
        </row>
        <row r="762">
          <cell r="K762">
            <v>0</v>
          </cell>
          <cell r="L762">
            <v>0</v>
          </cell>
          <cell r="N762">
            <v>0</v>
          </cell>
          <cell r="O762">
            <v>0</v>
          </cell>
          <cell r="P762">
            <v>0</v>
          </cell>
          <cell r="Q762">
            <v>0</v>
          </cell>
          <cell r="R762">
            <v>0</v>
          </cell>
          <cell r="S762">
            <v>0</v>
          </cell>
        </row>
        <row r="763">
          <cell r="G763">
            <v>9.9</v>
          </cell>
          <cell r="J763">
            <v>1</v>
          </cell>
          <cell r="K763">
            <v>41873</v>
          </cell>
          <cell r="L763">
            <v>60105</v>
          </cell>
          <cell r="M763">
            <v>6502.5130499999996</v>
          </cell>
          <cell r="N763">
            <v>111661.33333333333</v>
          </cell>
          <cell r="O763">
            <v>178268.84638333332</v>
          </cell>
          <cell r="P763">
            <v>0</v>
          </cell>
          <cell r="Q763">
            <v>0</v>
          </cell>
          <cell r="R763">
            <v>111661.33333333333</v>
          </cell>
          <cell r="S763">
            <v>178268.84638333332</v>
          </cell>
          <cell r="T763">
            <v>9481</v>
          </cell>
          <cell r="U763">
            <v>41873</v>
          </cell>
          <cell r="V763">
            <v>60105</v>
          </cell>
        </row>
        <row r="764">
          <cell r="D764" t="str">
            <v>Máy cắt thép</v>
          </cell>
          <cell r="E764" t="str">
            <v xml:space="preserve">plasma cutting machine </v>
          </cell>
          <cell r="G764">
            <v>12.6</v>
          </cell>
          <cell r="J764">
            <v>1</v>
          </cell>
          <cell r="K764">
            <v>41873</v>
          </cell>
          <cell r="L764">
            <v>83382</v>
          </cell>
          <cell r="M764">
            <v>8275.925699999998</v>
          </cell>
          <cell r="N764">
            <v>111661.33333333333</v>
          </cell>
          <cell r="O764">
            <v>203319.25903333334</v>
          </cell>
          <cell r="P764">
            <v>39.637709999999998</v>
          </cell>
          <cell r="Q764">
            <v>328038.74287814694</v>
          </cell>
          <cell r="R764">
            <v>111661.33333333333</v>
          </cell>
          <cell r="S764">
            <v>203319.25903333334</v>
          </cell>
          <cell r="T764">
            <v>12066</v>
          </cell>
          <cell r="U764">
            <v>41873</v>
          </cell>
          <cell r="V764">
            <v>83382</v>
          </cell>
        </row>
        <row r="765">
          <cell r="K765">
            <v>0</v>
          </cell>
          <cell r="L765">
            <v>0</v>
          </cell>
          <cell r="N765">
            <v>0</v>
          </cell>
          <cell r="O765">
            <v>0</v>
          </cell>
          <cell r="P765">
            <v>0</v>
          </cell>
          <cell r="Q765">
            <v>0</v>
          </cell>
          <cell r="R765">
            <v>0</v>
          </cell>
          <cell r="S765">
            <v>0</v>
          </cell>
        </row>
        <row r="766">
          <cell r="E766" t="str">
            <v>5kW</v>
          </cell>
          <cell r="G766">
            <v>9.9</v>
          </cell>
          <cell r="J766">
            <v>1</v>
          </cell>
          <cell r="K766">
            <v>41873</v>
          </cell>
          <cell r="L766">
            <v>74844</v>
          </cell>
          <cell r="M766">
            <v>6502.5130499999996</v>
          </cell>
          <cell r="N766">
            <v>111661.33333333333</v>
          </cell>
          <cell r="O766">
            <v>193007.84638333332</v>
          </cell>
          <cell r="P766">
            <v>0</v>
          </cell>
          <cell r="Q766">
            <v>0</v>
          </cell>
          <cell r="R766">
            <v>111661.33333333333</v>
          </cell>
          <cell r="S766">
            <v>193007.84638333332</v>
          </cell>
          <cell r="T766">
            <v>9481</v>
          </cell>
          <cell r="U766">
            <v>41873</v>
          </cell>
          <cell r="V766">
            <v>74844</v>
          </cell>
        </row>
        <row r="767">
          <cell r="K767">
            <v>0</v>
          </cell>
          <cell r="L767">
            <v>0</v>
          </cell>
          <cell r="N767">
            <v>0</v>
          </cell>
          <cell r="O767">
            <v>0</v>
          </cell>
          <cell r="P767">
            <v>0</v>
          </cell>
          <cell r="Q767">
            <v>0</v>
          </cell>
          <cell r="R767">
            <v>0</v>
          </cell>
          <cell r="S767">
            <v>0</v>
          </cell>
        </row>
        <row r="768">
          <cell r="D768" t="str">
            <v>Máy cưa kim loại 2.7kW</v>
          </cell>
          <cell r="E768" t="str">
            <v>Sawing metal machine 2.7kW</v>
          </cell>
          <cell r="G768">
            <v>5.7</v>
          </cell>
          <cell r="J768">
            <v>1</v>
          </cell>
          <cell r="K768">
            <v>41873</v>
          </cell>
          <cell r="L768">
            <v>59761</v>
          </cell>
          <cell r="M768">
            <v>3743.8711499999999</v>
          </cell>
          <cell r="N768">
            <v>111661.33333333333</v>
          </cell>
          <cell r="O768">
            <v>175166.20448333333</v>
          </cell>
          <cell r="P768">
            <v>1.48716</v>
          </cell>
          <cell r="Q768">
            <v>5567.7354194340005</v>
          </cell>
          <cell r="R768">
            <v>111661.33333333333</v>
          </cell>
          <cell r="S768">
            <v>175166.20448333333</v>
          </cell>
          <cell r="T768">
            <v>5459</v>
          </cell>
          <cell r="U768">
            <v>41873</v>
          </cell>
          <cell r="V768">
            <v>59761</v>
          </cell>
        </row>
        <row r="769">
          <cell r="K769">
            <v>0</v>
          </cell>
          <cell r="L769">
            <v>0</v>
          </cell>
          <cell r="N769">
            <v>0</v>
          </cell>
          <cell r="O769">
            <v>0</v>
          </cell>
          <cell r="P769">
            <v>0</v>
          </cell>
          <cell r="Q769">
            <v>0</v>
          </cell>
          <cell r="R769">
            <v>0</v>
          </cell>
          <cell r="S769">
            <v>0</v>
          </cell>
        </row>
        <row r="770">
          <cell r="G770">
            <v>18.899999999999999</v>
          </cell>
          <cell r="J770">
            <v>1</v>
          </cell>
          <cell r="K770">
            <v>41873</v>
          </cell>
          <cell r="L770">
            <v>110246</v>
          </cell>
          <cell r="M770">
            <v>12413.888549999998</v>
          </cell>
          <cell r="N770">
            <v>111661.33333333333</v>
          </cell>
          <cell r="O770">
            <v>234321.22188333335</v>
          </cell>
          <cell r="P770">
            <v>0</v>
          </cell>
          <cell r="Q770">
            <v>0</v>
          </cell>
          <cell r="R770">
            <v>111661.33333333333</v>
          </cell>
          <cell r="S770">
            <v>234321.22188333335</v>
          </cell>
          <cell r="T770">
            <v>18100</v>
          </cell>
          <cell r="U770">
            <v>41873</v>
          </cell>
          <cell r="V770">
            <v>110246</v>
          </cell>
        </row>
        <row r="771">
          <cell r="K771">
            <v>0</v>
          </cell>
          <cell r="L771">
            <v>0</v>
          </cell>
          <cell r="N771">
            <v>0</v>
          </cell>
          <cell r="O771">
            <v>0</v>
          </cell>
          <cell r="P771">
            <v>0</v>
          </cell>
          <cell r="Q771">
            <v>0</v>
          </cell>
          <cell r="R771">
            <v>0</v>
          </cell>
          <cell r="S771">
            <v>0</v>
          </cell>
        </row>
        <row r="772">
          <cell r="D772" t="str">
            <v>Máy bào</v>
          </cell>
          <cell r="E772" t="str">
            <v>Plane machine</v>
          </cell>
          <cell r="G772">
            <v>15.8</v>
          </cell>
          <cell r="J772">
            <v>1</v>
          </cell>
          <cell r="K772">
            <v>41873</v>
          </cell>
          <cell r="L772">
            <v>90295</v>
          </cell>
          <cell r="M772">
            <v>10377.748099999999</v>
          </cell>
          <cell r="N772">
            <v>111661.33333333333</v>
          </cell>
          <cell r="O772">
            <v>212334.08143333334</v>
          </cell>
          <cell r="P772">
            <v>0.82619999999999993</v>
          </cell>
          <cell r="Q772">
            <v>8574.0954802199976</v>
          </cell>
          <cell r="R772">
            <v>111661.33333333333</v>
          </cell>
          <cell r="S772">
            <v>212334.08143333334</v>
          </cell>
          <cell r="T772">
            <v>15131</v>
          </cell>
          <cell r="U772">
            <v>41873</v>
          </cell>
          <cell r="V772">
            <v>90295</v>
          </cell>
        </row>
        <row r="773">
          <cell r="K773">
            <v>0</v>
          </cell>
          <cell r="L773">
            <v>0</v>
          </cell>
          <cell r="N773">
            <v>0</v>
          </cell>
          <cell r="O773">
            <v>0</v>
          </cell>
          <cell r="P773">
            <v>0</v>
          </cell>
          <cell r="Q773">
            <v>0</v>
          </cell>
          <cell r="R773">
            <v>0</v>
          </cell>
          <cell r="S773">
            <v>0</v>
          </cell>
        </row>
        <row r="774">
          <cell r="D774" t="str">
            <v>Máy phay 7kW</v>
          </cell>
          <cell r="E774" t="str">
            <v>Fraise 7kW</v>
          </cell>
          <cell r="G774">
            <v>14.7</v>
          </cell>
          <cell r="J774">
            <v>1</v>
          </cell>
          <cell r="K774">
            <v>41873</v>
          </cell>
          <cell r="L774">
            <v>96122</v>
          </cell>
          <cell r="M774">
            <v>9655.2466499999973</v>
          </cell>
          <cell r="N774">
            <v>111661.33333333333</v>
          </cell>
          <cell r="O774">
            <v>217438.57998333333</v>
          </cell>
          <cell r="P774">
            <v>0</v>
          </cell>
          <cell r="Q774">
            <v>0</v>
          </cell>
          <cell r="R774">
            <v>111661.33333333333</v>
          </cell>
          <cell r="S774">
            <v>217438.57998333333</v>
          </cell>
          <cell r="T774">
            <v>14077</v>
          </cell>
          <cell r="U774">
            <v>41873</v>
          </cell>
          <cell r="V774">
            <v>96122</v>
          </cell>
        </row>
        <row r="775">
          <cell r="K775">
            <v>0</v>
          </cell>
          <cell r="L775">
            <v>0</v>
          </cell>
          <cell r="N775">
            <v>0</v>
          </cell>
          <cell r="O775">
            <v>0</v>
          </cell>
          <cell r="P775">
            <v>0</v>
          </cell>
          <cell r="Q775">
            <v>0</v>
          </cell>
          <cell r="R775">
            <v>0</v>
          </cell>
          <cell r="S775">
            <v>0</v>
          </cell>
        </row>
        <row r="776">
          <cell r="G776">
            <v>2.2999999999999998</v>
          </cell>
          <cell r="J776">
            <v>1</v>
          </cell>
          <cell r="K776">
            <v>48658</v>
          </cell>
          <cell r="L776">
            <v>54008</v>
          </cell>
          <cell r="M776">
            <v>1510.6848499999999</v>
          </cell>
          <cell r="N776">
            <v>129754.66666666666</v>
          </cell>
          <cell r="O776">
            <v>185273.35151666665</v>
          </cell>
          <cell r="P776">
            <v>0</v>
          </cell>
          <cell r="Q776">
            <v>0</v>
          </cell>
          <cell r="R776">
            <v>129754.66666666666</v>
          </cell>
          <cell r="S776">
            <v>185273.35151666665</v>
          </cell>
          <cell r="T776">
            <v>2203</v>
          </cell>
          <cell r="U776">
            <v>48658</v>
          </cell>
          <cell r="V776">
            <v>54008</v>
          </cell>
        </row>
        <row r="777">
          <cell r="K777">
            <v>0</v>
          </cell>
          <cell r="L777">
            <v>0</v>
          </cell>
          <cell r="N777">
            <v>0</v>
          </cell>
          <cell r="O777">
            <v>0</v>
          </cell>
          <cell r="P777">
            <v>0</v>
          </cell>
          <cell r="Q777">
            <v>0</v>
          </cell>
          <cell r="R777">
            <v>0</v>
          </cell>
          <cell r="S777">
            <v>0</v>
          </cell>
        </row>
        <row r="778">
          <cell r="G778">
            <v>1.8</v>
          </cell>
          <cell r="J778">
            <v>1</v>
          </cell>
          <cell r="K778">
            <v>41873</v>
          </cell>
          <cell r="L778">
            <v>46584</v>
          </cell>
          <cell r="M778">
            <v>1182.2750999999998</v>
          </cell>
          <cell r="N778">
            <v>111661.33333333333</v>
          </cell>
          <cell r="O778">
            <v>159427.60843333334</v>
          </cell>
          <cell r="P778">
            <v>0</v>
          </cell>
          <cell r="Q778">
            <v>0</v>
          </cell>
          <cell r="R778">
            <v>111661.33333333333</v>
          </cell>
          <cell r="S778">
            <v>159427.60843333334</v>
          </cell>
          <cell r="T778">
            <v>1724</v>
          </cell>
          <cell r="U778">
            <v>41873</v>
          </cell>
          <cell r="V778">
            <v>46584</v>
          </cell>
        </row>
        <row r="779">
          <cell r="D779" t="str">
            <v>Máy cắt cáp 10KW</v>
          </cell>
          <cell r="E779" t="str">
            <v>cable-cutting machine 10kW</v>
          </cell>
          <cell r="G779">
            <v>12.6</v>
          </cell>
          <cell r="J779">
            <v>1</v>
          </cell>
          <cell r="K779">
            <v>41873</v>
          </cell>
          <cell r="L779">
            <v>66587</v>
          </cell>
          <cell r="M779">
            <v>8275.925699999998</v>
          </cell>
          <cell r="N779">
            <v>111661.33333333333</v>
          </cell>
          <cell r="O779">
            <v>186524.25903333334</v>
          </cell>
          <cell r="P779">
            <v>593.93668950000006</v>
          </cell>
          <cell r="Q779">
            <v>4915375.9128059698</v>
          </cell>
          <cell r="R779">
            <v>111661.33333333333</v>
          </cell>
          <cell r="S779">
            <v>186524.25903333334</v>
          </cell>
          <cell r="T779">
            <v>12066</v>
          </cell>
          <cell r="U779">
            <v>41873</v>
          </cell>
          <cell r="V779">
            <v>66587</v>
          </cell>
        </row>
        <row r="780">
          <cell r="K780">
            <v>0</v>
          </cell>
          <cell r="L780">
            <v>0</v>
          </cell>
          <cell r="N780">
            <v>0</v>
          </cell>
          <cell r="O780">
            <v>0</v>
          </cell>
          <cell r="P780">
            <v>0</v>
          </cell>
          <cell r="Q780">
            <v>0</v>
          </cell>
          <cell r="R780">
            <v>0</v>
          </cell>
          <cell r="S780">
            <v>0</v>
          </cell>
        </row>
        <row r="781">
          <cell r="F781">
            <v>2.2999999999999998</v>
          </cell>
          <cell r="J781">
            <v>1</v>
          </cell>
          <cell r="K781">
            <v>41873</v>
          </cell>
          <cell r="L781">
            <v>65798</v>
          </cell>
          <cell r="M781">
            <v>33481.120909090903</v>
          </cell>
          <cell r="N781">
            <v>111661.33333333333</v>
          </cell>
          <cell r="O781">
            <v>210940.45424242422</v>
          </cell>
          <cell r="P781">
            <v>0</v>
          </cell>
          <cell r="Q781">
            <v>0</v>
          </cell>
          <cell r="R781">
            <v>111661.33333333333</v>
          </cell>
          <cell r="S781">
            <v>210940.45424242422</v>
          </cell>
          <cell r="T781">
            <v>16465</v>
          </cell>
          <cell r="U781">
            <v>41873</v>
          </cell>
          <cell r="V781">
            <v>65798</v>
          </cell>
        </row>
        <row r="782">
          <cell r="K782">
            <v>0</v>
          </cell>
          <cell r="L782">
            <v>0</v>
          </cell>
          <cell r="N782">
            <v>0</v>
          </cell>
          <cell r="O782">
            <v>0</v>
          </cell>
          <cell r="P782">
            <v>0</v>
          </cell>
          <cell r="Q782">
            <v>0</v>
          </cell>
          <cell r="R782">
            <v>0</v>
          </cell>
          <cell r="S782">
            <v>0</v>
          </cell>
        </row>
        <row r="783">
          <cell r="G783">
            <v>15.8</v>
          </cell>
          <cell r="J783">
            <v>1</v>
          </cell>
          <cell r="K783">
            <v>48658</v>
          </cell>
          <cell r="L783">
            <v>68824</v>
          </cell>
          <cell r="M783">
            <v>10377.748099999999</v>
          </cell>
          <cell r="N783">
            <v>129754.66666666666</v>
          </cell>
          <cell r="O783">
            <v>208956.41476666665</v>
          </cell>
          <cell r="P783">
            <v>0</v>
          </cell>
          <cell r="Q783">
            <v>0</v>
          </cell>
          <cell r="R783">
            <v>129754.66666666666</v>
          </cell>
          <cell r="S783">
            <v>208956.41476666665</v>
          </cell>
          <cell r="T783">
            <v>15131</v>
          </cell>
          <cell r="U783">
            <v>48658</v>
          </cell>
          <cell r="V783">
            <v>68824</v>
          </cell>
        </row>
        <row r="784">
          <cell r="K784">
            <v>0</v>
          </cell>
          <cell r="L784">
            <v>0</v>
          </cell>
          <cell r="N784">
            <v>0</v>
          </cell>
          <cell r="O784">
            <v>0</v>
          </cell>
          <cell r="P784">
            <v>0</v>
          </cell>
          <cell r="Q784">
            <v>0</v>
          </cell>
          <cell r="R784">
            <v>0</v>
          </cell>
          <cell r="S784">
            <v>0</v>
          </cell>
        </row>
        <row r="785">
          <cell r="G785">
            <v>201</v>
          </cell>
          <cell r="J785">
            <v>1</v>
          </cell>
          <cell r="K785">
            <v>125981</v>
          </cell>
          <cell r="L785">
            <v>2239319</v>
          </cell>
          <cell r="M785">
            <v>132020.71949999998</v>
          </cell>
          <cell r="N785">
            <v>335949.33333333331</v>
          </cell>
          <cell r="O785">
            <v>2707289.0528333336</v>
          </cell>
          <cell r="P785">
            <v>0</v>
          </cell>
          <cell r="Q785">
            <v>0</v>
          </cell>
          <cell r="R785">
            <v>335949.33333333331</v>
          </cell>
          <cell r="S785">
            <v>2707289.0528333331</v>
          </cell>
          <cell r="T785">
            <v>192488</v>
          </cell>
          <cell r="U785">
            <v>125981</v>
          </cell>
          <cell r="V785">
            <v>2239319</v>
          </cell>
        </row>
        <row r="786">
          <cell r="D786" t="str">
            <v>Hệ thống STS</v>
          </cell>
          <cell r="E786" t="str">
            <v>STS system</v>
          </cell>
          <cell r="G786">
            <v>1.6</v>
          </cell>
          <cell r="J786">
            <v>1</v>
          </cell>
          <cell r="K786">
            <v>114786</v>
          </cell>
          <cell r="L786">
            <v>1282227</v>
          </cell>
          <cell r="M786">
            <v>1050.9112</v>
          </cell>
          <cell r="N786">
            <v>306096</v>
          </cell>
          <cell r="O786">
            <v>1589373.9112</v>
          </cell>
          <cell r="P786">
            <v>0</v>
          </cell>
          <cell r="Q786">
            <v>0</v>
          </cell>
          <cell r="R786">
            <v>306096</v>
          </cell>
          <cell r="S786">
            <v>1589373.9112</v>
          </cell>
          <cell r="T786">
            <v>1532</v>
          </cell>
          <cell r="U786">
            <v>114786</v>
          </cell>
          <cell r="V786">
            <v>1282227</v>
          </cell>
        </row>
        <row r="787">
          <cell r="K787">
            <v>0</v>
          </cell>
          <cell r="L787">
            <v>0</v>
          </cell>
          <cell r="N787">
            <v>0</v>
          </cell>
          <cell r="O787">
            <v>0</v>
          </cell>
          <cell r="P787">
            <v>0</v>
          </cell>
          <cell r="Q787">
            <v>0</v>
          </cell>
          <cell r="R787">
            <v>0</v>
          </cell>
          <cell r="S787">
            <v>0</v>
          </cell>
        </row>
        <row r="788">
          <cell r="F788">
            <v>107.1</v>
          </cell>
          <cell r="H788">
            <v>19.7</v>
          </cell>
          <cell r="J788">
            <v>1</v>
          </cell>
          <cell r="K788">
            <v>808231</v>
          </cell>
          <cell r="L788">
            <v>4439842</v>
          </cell>
          <cell r="M788">
            <v>1844042.7686363633</v>
          </cell>
          <cell r="N788">
            <v>2155282.6666666665</v>
          </cell>
          <cell r="O788">
            <v>8439167.4353030305</v>
          </cell>
          <cell r="P788">
            <v>0</v>
          </cell>
          <cell r="Q788">
            <v>0</v>
          </cell>
          <cell r="R788">
            <v>2155282.6666666665</v>
          </cell>
          <cell r="S788">
            <v>8439167.4353030287</v>
          </cell>
          <cell r="T788">
            <v>938279</v>
          </cell>
          <cell r="U788">
            <v>808231</v>
          </cell>
          <cell r="V788">
            <v>4439842</v>
          </cell>
        </row>
        <row r="789">
          <cell r="H789">
            <v>32.9</v>
          </cell>
          <cell r="J789">
            <v>1</v>
          </cell>
          <cell r="K789">
            <v>432514</v>
          </cell>
          <cell r="L789">
            <v>1094615</v>
          </cell>
          <cell r="M789">
            <v>475942.91500000004</v>
          </cell>
          <cell r="N789">
            <v>1153370.6666666665</v>
          </cell>
          <cell r="O789">
            <v>2723928.5816666665</v>
          </cell>
          <cell r="P789">
            <v>0</v>
          </cell>
          <cell r="Q789">
            <v>0</v>
          </cell>
          <cell r="R789">
            <v>1153370.6666666665</v>
          </cell>
          <cell r="S789">
            <v>2723928.5816666665</v>
          </cell>
          <cell r="T789">
            <v>286515</v>
          </cell>
          <cell r="U789">
            <v>432514</v>
          </cell>
          <cell r="V789">
            <v>1094615</v>
          </cell>
        </row>
        <row r="790">
          <cell r="K790">
            <v>0</v>
          </cell>
          <cell r="L790">
            <v>0</v>
          </cell>
          <cell r="N790">
            <v>0</v>
          </cell>
          <cell r="O790">
            <v>0</v>
          </cell>
          <cell r="P790">
            <v>0</v>
          </cell>
          <cell r="Q790">
            <v>0</v>
          </cell>
          <cell r="R790">
            <v>0</v>
          </cell>
          <cell r="S790">
            <v>0</v>
          </cell>
        </row>
        <row r="791">
          <cell r="F791">
            <v>28.4</v>
          </cell>
          <cell r="J791">
            <v>1</v>
          </cell>
          <cell r="K791">
            <v>132404</v>
          </cell>
          <cell r="L791">
            <v>697412</v>
          </cell>
          <cell r="M791">
            <v>413419.05818181811</v>
          </cell>
          <cell r="N791">
            <v>353077.33333333331</v>
          </cell>
          <cell r="O791">
            <v>1463908.3915151514</v>
          </cell>
          <cell r="P791">
            <v>0</v>
          </cell>
          <cell r="Q791">
            <v>0</v>
          </cell>
          <cell r="R791">
            <v>353077.33333333331</v>
          </cell>
          <cell r="S791">
            <v>1463908.3915151514</v>
          </cell>
          <cell r="T791">
            <v>203313</v>
          </cell>
          <cell r="U791">
            <v>132404</v>
          </cell>
          <cell r="V791">
            <v>697412</v>
          </cell>
        </row>
        <row r="792">
          <cell r="D792" t="str">
            <v>Máy ép thủy lực 130T</v>
          </cell>
          <cell r="K792">
            <v>0</v>
          </cell>
          <cell r="L792">
            <v>0</v>
          </cell>
          <cell r="N792">
            <v>0</v>
          </cell>
          <cell r="O792">
            <v>0</v>
          </cell>
          <cell r="P792">
            <v>0</v>
          </cell>
          <cell r="Q792">
            <v>0</v>
          </cell>
          <cell r="R792">
            <v>0</v>
          </cell>
          <cell r="S792">
            <v>0</v>
          </cell>
        </row>
        <row r="793">
          <cell r="E793" t="str">
            <v>hydraulic pressing 130T</v>
          </cell>
          <cell r="G793">
            <v>137.69999999999999</v>
          </cell>
          <cell r="J793">
            <v>1</v>
          </cell>
          <cell r="K793">
            <v>90531</v>
          </cell>
          <cell r="L793">
            <v>513964</v>
          </cell>
          <cell r="M793">
            <v>90444.045149999976</v>
          </cell>
          <cell r="N793">
            <v>241416</v>
          </cell>
          <cell r="O793">
            <v>845824.04515000002</v>
          </cell>
          <cell r="P793">
            <v>0</v>
          </cell>
          <cell r="Q793">
            <v>0</v>
          </cell>
          <cell r="R793">
            <v>241416</v>
          </cell>
          <cell r="S793">
            <v>845824.0451499999</v>
          </cell>
          <cell r="T793">
            <v>131868</v>
          </cell>
          <cell r="U793">
            <v>90531</v>
          </cell>
          <cell r="V793">
            <v>513964</v>
          </cell>
        </row>
        <row r="794">
          <cell r="K794">
            <v>0</v>
          </cell>
          <cell r="L794">
            <v>0</v>
          </cell>
          <cell r="N794">
            <v>0</v>
          </cell>
          <cell r="O794">
            <v>0</v>
          </cell>
          <cell r="P794">
            <v>0</v>
          </cell>
          <cell r="Q794">
            <v>0</v>
          </cell>
          <cell r="R794">
            <v>0</v>
          </cell>
          <cell r="S794">
            <v>0</v>
          </cell>
        </row>
        <row r="795">
          <cell r="D795" t="str">
            <v>Tàu đóng cọc &lt;=1.8T</v>
          </cell>
          <cell r="E795" t="str">
            <v>Floating hammer (include barge and auxiliary machine) 1.8T</v>
          </cell>
          <cell r="F795">
            <v>41.5</v>
          </cell>
          <cell r="J795">
            <v>1</v>
          </cell>
          <cell r="K795">
            <v>330959</v>
          </cell>
          <cell r="L795">
            <v>2535222</v>
          </cell>
          <cell r="M795">
            <v>604115.8772727272</v>
          </cell>
          <cell r="N795">
            <v>882557.33333333326</v>
          </cell>
          <cell r="O795">
            <v>4021895.21060606</v>
          </cell>
          <cell r="P795">
            <v>0</v>
          </cell>
          <cell r="Q795">
            <v>0</v>
          </cell>
          <cell r="R795">
            <v>882557.33333333326</v>
          </cell>
          <cell r="S795">
            <v>4021895.2106060605</v>
          </cell>
          <cell r="T795">
            <v>297094</v>
          </cell>
          <cell r="U795">
            <v>330959</v>
          </cell>
          <cell r="V795">
            <v>2535222</v>
          </cell>
        </row>
        <row r="796">
          <cell r="D796" t="str">
            <v>Tàu đóng cọc &lt;=2.5T</v>
          </cell>
          <cell r="E796" t="str">
            <v>Floating hammer (include barge and auxiliary machine) 2.5T</v>
          </cell>
          <cell r="F796">
            <v>46.7</v>
          </cell>
          <cell r="J796">
            <v>1</v>
          </cell>
          <cell r="K796">
            <v>330959</v>
          </cell>
          <cell r="L796">
            <v>2642095</v>
          </cell>
          <cell r="M796">
            <v>679812.32454545458</v>
          </cell>
          <cell r="N796">
            <v>882557.33333333326</v>
          </cell>
          <cell r="O796">
            <v>4204464.6578787882</v>
          </cell>
          <cell r="P796">
            <v>0</v>
          </cell>
          <cell r="Q796">
            <v>0</v>
          </cell>
          <cell r="R796">
            <v>882557.33333333326</v>
          </cell>
          <cell r="S796">
            <v>4204464.6578787882</v>
          </cell>
          <cell r="T796">
            <v>334321</v>
          </cell>
          <cell r="U796">
            <v>330959</v>
          </cell>
          <cell r="V796">
            <v>2642095</v>
          </cell>
        </row>
        <row r="797">
          <cell r="K797">
            <v>0</v>
          </cell>
          <cell r="L797">
            <v>0</v>
          </cell>
          <cell r="N797">
            <v>0</v>
          </cell>
          <cell r="O797">
            <v>0</v>
          </cell>
          <cell r="P797">
            <v>0</v>
          </cell>
          <cell r="Q797">
            <v>0</v>
          </cell>
          <cell r="R797">
            <v>0</v>
          </cell>
          <cell r="S797">
            <v>0</v>
          </cell>
        </row>
        <row r="798">
          <cell r="D798" t="str">
            <v>Máy khoan cọc nhồi ED</v>
          </cell>
          <cell r="E798" t="str">
            <v>Earth drill ED</v>
          </cell>
          <cell r="F798">
            <v>51.6</v>
          </cell>
          <cell r="J798">
            <v>1</v>
          </cell>
          <cell r="K798">
            <v>198532</v>
          </cell>
          <cell r="L798">
            <v>2862259</v>
          </cell>
          <cell r="M798">
            <v>751141.66909090895</v>
          </cell>
          <cell r="N798">
            <v>529418.66666666663</v>
          </cell>
          <cell r="O798">
            <v>4142819.3357575755</v>
          </cell>
          <cell r="P798">
            <v>998.6739839999999</v>
          </cell>
          <cell r="Q798">
            <v>750145643.21942759</v>
          </cell>
          <cell r="R798">
            <v>529418.66666666663</v>
          </cell>
          <cell r="S798">
            <v>4142819.3357575755</v>
          </cell>
          <cell r="T798">
            <v>369399</v>
          </cell>
          <cell r="U798">
            <v>198532</v>
          </cell>
          <cell r="V798">
            <v>2862259</v>
          </cell>
        </row>
        <row r="799">
          <cell r="D799" t="str">
            <v>Máy khoan có mômen xoay &gt; 200KNm</v>
          </cell>
          <cell r="E799" t="str">
            <v>driller with turning moment  &gt;200KNm</v>
          </cell>
          <cell r="F799">
            <v>59.3</v>
          </cell>
          <cell r="J799">
            <v>1</v>
          </cell>
          <cell r="K799">
            <v>198532</v>
          </cell>
          <cell r="L799">
            <v>6301379</v>
          </cell>
          <cell r="M799">
            <v>863230.63909090904</v>
          </cell>
          <cell r="N799">
            <v>529418.66666666663</v>
          </cell>
          <cell r="O799">
            <v>7694028.3057575757</v>
          </cell>
          <cell r="P799">
            <v>0</v>
          </cell>
          <cell r="Q799">
            <v>0</v>
          </cell>
          <cell r="R799">
            <v>529418.66666666663</v>
          </cell>
          <cell r="S799">
            <v>7694028.3057575757</v>
          </cell>
          <cell r="T799">
            <v>424523</v>
          </cell>
          <cell r="U799">
            <v>198532</v>
          </cell>
          <cell r="V799">
            <v>6301379</v>
          </cell>
        </row>
        <row r="800">
          <cell r="K800">
            <v>0</v>
          </cell>
          <cell r="L800">
            <v>0</v>
          </cell>
          <cell r="N800">
            <v>0</v>
          </cell>
          <cell r="O800">
            <v>0</v>
          </cell>
          <cell r="P800">
            <v>0</v>
          </cell>
          <cell r="Q800">
            <v>0</v>
          </cell>
          <cell r="R800">
            <v>0</v>
          </cell>
          <cell r="S800">
            <v>0</v>
          </cell>
        </row>
        <row r="801">
          <cell r="D801" t="str">
            <v>Phao thép 250T</v>
          </cell>
          <cell r="E801" t="str">
            <v>Steel buoy 250T</v>
          </cell>
          <cell r="J801">
            <v>1</v>
          </cell>
          <cell r="K801">
            <v>0</v>
          </cell>
          <cell r="L801">
            <v>115213</v>
          </cell>
          <cell r="M801">
            <v>0</v>
          </cell>
          <cell r="N801">
            <v>0</v>
          </cell>
          <cell r="O801">
            <v>115213</v>
          </cell>
          <cell r="Q801">
            <v>0</v>
          </cell>
          <cell r="R801">
            <v>0</v>
          </cell>
          <cell r="S801">
            <v>115213</v>
          </cell>
          <cell r="V801">
            <v>115213</v>
          </cell>
        </row>
        <row r="802">
          <cell r="K802">
            <v>0</v>
          </cell>
          <cell r="L802">
            <v>0</v>
          </cell>
          <cell r="N802">
            <v>0</v>
          </cell>
          <cell r="O802">
            <v>0</v>
          </cell>
          <cell r="P802">
            <v>0</v>
          </cell>
          <cell r="Q802">
            <v>0</v>
          </cell>
          <cell r="R802">
            <v>0</v>
          </cell>
          <cell r="S802">
            <v>0</v>
          </cell>
        </row>
        <row r="803">
          <cell r="D803" t="str">
            <v>Canô 150CV</v>
          </cell>
          <cell r="E803" t="str">
            <v>canoe 150CV</v>
          </cell>
          <cell r="F803">
            <v>22.5</v>
          </cell>
          <cell r="J803">
            <v>1</v>
          </cell>
          <cell r="K803">
            <v>223489</v>
          </cell>
          <cell r="L803">
            <v>522112</v>
          </cell>
          <cell r="M803">
            <v>327532.70454545453</v>
          </cell>
          <cell r="N803">
            <v>595970.66666666663</v>
          </cell>
          <cell r="O803">
            <v>1445615.3712121211</v>
          </cell>
          <cell r="P803">
            <v>14.434560000000001</v>
          </cell>
          <cell r="Q803">
            <v>4727790.4757236363</v>
          </cell>
          <cell r="R803">
            <v>595970.66666666663</v>
          </cell>
          <cell r="S803">
            <v>1445615.3712121211</v>
          </cell>
          <cell r="T803">
            <v>161075</v>
          </cell>
          <cell r="U803">
            <v>223489</v>
          </cell>
          <cell r="V803">
            <v>522112</v>
          </cell>
        </row>
        <row r="804">
          <cell r="K804">
            <v>0</v>
          </cell>
          <cell r="L804">
            <v>0</v>
          </cell>
          <cell r="N804">
            <v>0</v>
          </cell>
          <cell r="O804">
            <v>0</v>
          </cell>
          <cell r="P804">
            <v>0</v>
          </cell>
          <cell r="Q804">
            <v>0</v>
          </cell>
          <cell r="R804">
            <v>0</v>
          </cell>
          <cell r="S804">
            <v>0</v>
          </cell>
        </row>
        <row r="805">
          <cell r="F805">
            <v>19.2</v>
          </cell>
          <cell r="J805">
            <v>1</v>
          </cell>
          <cell r="K805">
            <v>145657</v>
          </cell>
          <cell r="L805">
            <v>306355</v>
          </cell>
          <cell r="M805">
            <v>279494.57454545447</v>
          </cell>
          <cell r="N805">
            <v>388418.66666666663</v>
          </cell>
          <cell r="O805">
            <v>974268.24121212109</v>
          </cell>
          <cell r="P805">
            <v>0</v>
          </cell>
          <cell r="Q805">
            <v>0</v>
          </cell>
          <cell r="R805">
            <v>388418.66666666663</v>
          </cell>
          <cell r="S805">
            <v>974268.24121212109</v>
          </cell>
          <cell r="T805">
            <v>137451</v>
          </cell>
          <cell r="U805">
            <v>145657</v>
          </cell>
          <cell r="V805">
            <v>306355</v>
          </cell>
        </row>
        <row r="806">
          <cell r="F806">
            <v>39.5</v>
          </cell>
          <cell r="J806">
            <v>1</v>
          </cell>
          <cell r="K806">
            <v>223489</v>
          </cell>
          <cell r="L806">
            <v>731226</v>
          </cell>
          <cell r="M806">
            <v>575001.85909090901</v>
          </cell>
          <cell r="N806">
            <v>595970.66666666663</v>
          </cell>
          <cell r="O806">
            <v>1902198.5257575754</v>
          </cell>
          <cell r="P806">
            <v>0</v>
          </cell>
          <cell r="Q806">
            <v>0</v>
          </cell>
          <cell r="R806">
            <v>595970.66666666663</v>
          </cell>
          <cell r="S806">
            <v>1902198.5257575756</v>
          </cell>
          <cell r="T806">
            <v>282777</v>
          </cell>
          <cell r="U806">
            <v>223489</v>
          </cell>
          <cell r="V806">
            <v>731226</v>
          </cell>
        </row>
        <row r="807">
          <cell r="F807">
            <v>50.6</v>
          </cell>
          <cell r="J807">
            <v>1</v>
          </cell>
          <cell r="K807">
            <v>223489</v>
          </cell>
          <cell r="L807">
            <v>880065</v>
          </cell>
          <cell r="M807">
            <v>736584.66</v>
          </cell>
          <cell r="N807">
            <v>595970.66666666663</v>
          </cell>
          <cell r="O807">
            <v>2212620.3266666667</v>
          </cell>
          <cell r="P807">
            <v>0</v>
          </cell>
          <cell r="Q807">
            <v>0</v>
          </cell>
          <cell r="R807">
            <v>595970.66666666663</v>
          </cell>
          <cell r="S807">
            <v>2212620.3266666667</v>
          </cell>
          <cell r="T807">
            <v>362240</v>
          </cell>
          <cell r="U807">
            <v>223489</v>
          </cell>
          <cell r="V807">
            <v>880065</v>
          </cell>
        </row>
        <row r="808">
          <cell r="F808">
            <v>67.5</v>
          </cell>
          <cell r="J808">
            <v>1</v>
          </cell>
          <cell r="K808">
            <v>223489</v>
          </cell>
          <cell r="L808">
            <v>1030888</v>
          </cell>
          <cell r="M808">
            <v>982598.11363636353</v>
          </cell>
          <cell r="N808">
            <v>595970.66666666663</v>
          </cell>
          <cell r="O808">
            <v>2609456.7803030303</v>
          </cell>
          <cell r="P808">
            <v>0</v>
          </cell>
          <cell r="Q808">
            <v>0</v>
          </cell>
          <cell r="R808">
            <v>595970.66666666663</v>
          </cell>
          <cell r="S808">
            <v>2609456.7803030303</v>
          </cell>
          <cell r="T808">
            <v>483226</v>
          </cell>
          <cell r="U808">
            <v>223489</v>
          </cell>
          <cell r="V808">
            <v>1030888</v>
          </cell>
        </row>
        <row r="809">
          <cell r="F809">
            <v>110</v>
          </cell>
          <cell r="J809">
            <v>1</v>
          </cell>
          <cell r="K809">
            <v>367449</v>
          </cell>
          <cell r="L809">
            <v>1532663</v>
          </cell>
          <cell r="M809">
            <v>1601270.9999999998</v>
          </cell>
          <cell r="N809">
            <v>979864</v>
          </cell>
          <cell r="O809">
            <v>4113798</v>
          </cell>
          <cell r="P809">
            <v>0</v>
          </cell>
          <cell r="Q809">
            <v>0</v>
          </cell>
          <cell r="R809">
            <v>979864</v>
          </cell>
          <cell r="S809">
            <v>4113798</v>
          </cell>
          <cell r="T809">
            <v>787479</v>
          </cell>
          <cell r="U809">
            <v>367449</v>
          </cell>
          <cell r="V809">
            <v>1532663</v>
          </cell>
        </row>
        <row r="810">
          <cell r="F810">
            <v>166.1</v>
          </cell>
          <cell r="J810">
            <v>1</v>
          </cell>
          <cell r="K810">
            <v>458659</v>
          </cell>
          <cell r="L810">
            <v>2253809</v>
          </cell>
          <cell r="M810">
            <v>2417919.21</v>
          </cell>
          <cell r="N810">
            <v>1223090.6666666665</v>
          </cell>
          <cell r="O810">
            <v>5894818.8766666669</v>
          </cell>
          <cell r="P810">
            <v>0</v>
          </cell>
          <cell r="Q810">
            <v>0</v>
          </cell>
          <cell r="R810">
            <v>1223090.6666666665</v>
          </cell>
          <cell r="S810">
            <v>5894818.8766666669</v>
          </cell>
          <cell r="T810">
            <v>1189093</v>
          </cell>
          <cell r="U810">
            <v>458659</v>
          </cell>
          <cell r="V810">
            <v>2253809</v>
          </cell>
        </row>
        <row r="811">
          <cell r="F811">
            <v>216.8</v>
          </cell>
          <cell r="J811">
            <v>1</v>
          </cell>
          <cell r="K811">
            <v>458659</v>
          </cell>
          <cell r="L811">
            <v>3079483</v>
          </cell>
          <cell r="M811">
            <v>3155959.5709090908</v>
          </cell>
          <cell r="N811">
            <v>1223090.6666666665</v>
          </cell>
          <cell r="O811">
            <v>7458533.2375757564</v>
          </cell>
          <cell r="P811">
            <v>0</v>
          </cell>
          <cell r="Q811">
            <v>0</v>
          </cell>
          <cell r="R811">
            <v>1223090.6666666665</v>
          </cell>
          <cell r="S811">
            <v>7458533.2375757573</v>
          </cell>
          <cell r="T811">
            <v>1552050</v>
          </cell>
          <cell r="U811">
            <v>458659</v>
          </cell>
          <cell r="V811">
            <v>3079483</v>
          </cell>
        </row>
        <row r="812">
          <cell r="K812">
            <v>0</v>
          </cell>
          <cell r="L812">
            <v>0</v>
          </cell>
          <cell r="N812">
            <v>0</v>
          </cell>
          <cell r="O812">
            <v>0</v>
          </cell>
          <cell r="P812">
            <v>0</v>
          </cell>
          <cell r="Q812">
            <v>0</v>
          </cell>
          <cell r="R812">
            <v>0</v>
          </cell>
          <cell r="S812">
            <v>0</v>
          </cell>
        </row>
        <row r="813">
          <cell r="H813">
            <v>105</v>
          </cell>
          <cell r="J813">
            <v>1</v>
          </cell>
          <cell r="K813">
            <v>145657</v>
          </cell>
          <cell r="L813">
            <v>1120371</v>
          </cell>
          <cell r="M813">
            <v>1518966.75</v>
          </cell>
          <cell r="N813">
            <v>388418.66666666663</v>
          </cell>
          <cell r="O813">
            <v>3027756.4166666665</v>
          </cell>
          <cell r="P813">
            <v>0</v>
          </cell>
          <cell r="Q813">
            <v>0</v>
          </cell>
          <cell r="R813">
            <v>388418.66666666663</v>
          </cell>
          <cell r="S813">
            <v>3027756.4166666665</v>
          </cell>
          <cell r="T813">
            <v>914408</v>
          </cell>
          <cell r="U813">
            <v>145657</v>
          </cell>
          <cell r="V813">
            <v>1120371</v>
          </cell>
        </row>
        <row r="814">
          <cell r="H814">
            <v>148</v>
          </cell>
          <cell r="J814">
            <v>1</v>
          </cell>
          <cell r="K814">
            <v>145657</v>
          </cell>
          <cell r="L814">
            <v>1507006</v>
          </cell>
          <cell r="M814">
            <v>2141019.8000000003</v>
          </cell>
          <cell r="N814">
            <v>388418.66666666663</v>
          </cell>
          <cell r="O814">
            <v>4036444.4666666668</v>
          </cell>
          <cell r="P814">
            <v>0</v>
          </cell>
          <cell r="Q814">
            <v>0</v>
          </cell>
          <cell r="R814">
            <v>388418.66666666663</v>
          </cell>
          <cell r="S814">
            <v>4036444.4666666668</v>
          </cell>
          <cell r="T814">
            <v>1288880</v>
          </cell>
          <cell r="U814">
            <v>145657</v>
          </cell>
          <cell r="V814">
            <v>1507006</v>
          </cell>
        </row>
        <row r="815">
          <cell r="H815">
            <v>350</v>
          </cell>
          <cell r="J815">
            <v>1</v>
          </cell>
          <cell r="K815">
            <v>145657</v>
          </cell>
          <cell r="L815">
            <v>3349174</v>
          </cell>
          <cell r="M815">
            <v>5063222.5</v>
          </cell>
          <cell r="N815">
            <v>388418.66666666663</v>
          </cell>
          <cell r="O815">
            <v>8800815.166666666</v>
          </cell>
          <cell r="P815">
            <v>0</v>
          </cell>
          <cell r="Q815">
            <v>0</v>
          </cell>
          <cell r="R815">
            <v>388418.66666666663</v>
          </cell>
          <cell r="S815">
            <v>8800815.1666666679</v>
          </cell>
          <cell r="T815">
            <v>3048028</v>
          </cell>
          <cell r="U815">
            <v>145657</v>
          </cell>
          <cell r="V815">
            <v>3349174</v>
          </cell>
        </row>
        <row r="816">
          <cell r="H816">
            <v>630</v>
          </cell>
          <cell r="J816">
            <v>1</v>
          </cell>
          <cell r="K816">
            <v>145657</v>
          </cell>
          <cell r="L816">
            <v>5941857</v>
          </cell>
          <cell r="M816">
            <v>9113800.5</v>
          </cell>
          <cell r="N816">
            <v>388418.66666666663</v>
          </cell>
          <cell r="O816">
            <v>15444076.166666666</v>
          </cell>
          <cell r="P816">
            <v>0</v>
          </cell>
          <cell r="Q816">
            <v>0</v>
          </cell>
          <cell r="R816">
            <v>388418.66666666663</v>
          </cell>
          <cell r="S816">
            <v>15444076.166666666</v>
          </cell>
          <cell r="T816">
            <v>5486450</v>
          </cell>
          <cell r="U816">
            <v>145657</v>
          </cell>
          <cell r="V816">
            <v>5941857</v>
          </cell>
        </row>
        <row r="817">
          <cell r="K817">
            <v>0</v>
          </cell>
          <cell r="L817">
            <v>0</v>
          </cell>
          <cell r="N817">
            <v>0</v>
          </cell>
          <cell r="O817">
            <v>0</v>
          </cell>
          <cell r="P817">
            <v>0</v>
          </cell>
          <cell r="Q817">
            <v>0</v>
          </cell>
          <cell r="R817">
            <v>0</v>
          </cell>
          <cell r="S817">
            <v>0</v>
          </cell>
        </row>
        <row r="818">
          <cell r="H818">
            <v>2.7</v>
          </cell>
          <cell r="J818">
            <v>1</v>
          </cell>
          <cell r="K818">
            <v>90531</v>
          </cell>
          <cell r="L818">
            <v>120249</v>
          </cell>
          <cell r="M818">
            <v>39059.145000000004</v>
          </cell>
          <cell r="N818">
            <v>241416</v>
          </cell>
          <cell r="O818">
            <v>400724.14500000002</v>
          </cell>
          <cell r="P818">
            <v>0</v>
          </cell>
          <cell r="Q818">
            <v>0</v>
          </cell>
          <cell r="R818">
            <v>241416</v>
          </cell>
          <cell r="S818">
            <v>400724.14500000002</v>
          </cell>
          <cell r="T818">
            <v>23513</v>
          </cell>
          <cell r="U818">
            <v>90531</v>
          </cell>
          <cell r="V818">
            <v>120249</v>
          </cell>
        </row>
        <row r="819">
          <cell r="H819">
            <v>11.4</v>
          </cell>
          <cell r="J819">
            <v>1</v>
          </cell>
          <cell r="K819">
            <v>98673</v>
          </cell>
          <cell r="L819">
            <v>240740</v>
          </cell>
          <cell r="M819">
            <v>164916.39000000001</v>
          </cell>
          <cell r="N819">
            <v>263128</v>
          </cell>
          <cell r="O819">
            <v>668784.39</v>
          </cell>
          <cell r="P819">
            <v>0</v>
          </cell>
          <cell r="Q819">
            <v>0</v>
          </cell>
          <cell r="R819">
            <v>263128</v>
          </cell>
          <cell r="S819">
            <v>668784.39</v>
          </cell>
          <cell r="T819">
            <v>99279</v>
          </cell>
          <cell r="U819">
            <v>98673</v>
          </cell>
          <cell r="V819">
            <v>240740</v>
          </cell>
        </row>
        <row r="820">
          <cell r="D820" t="str">
            <v>Trạm lặn</v>
          </cell>
          <cell r="E820" t="str">
            <v>diving equipment</v>
          </cell>
          <cell r="J820">
            <v>1</v>
          </cell>
          <cell r="K820">
            <v>140229</v>
          </cell>
          <cell r="L820">
            <v>316596</v>
          </cell>
          <cell r="M820">
            <v>0</v>
          </cell>
          <cell r="N820">
            <v>373944</v>
          </cell>
          <cell r="O820">
            <v>690540</v>
          </cell>
          <cell r="P820">
            <v>0</v>
          </cell>
          <cell r="Q820">
            <v>0</v>
          </cell>
          <cell r="R820">
            <v>373944</v>
          </cell>
          <cell r="S820">
            <v>690540</v>
          </cell>
          <cell r="U820">
            <v>140229</v>
          </cell>
          <cell r="V820">
            <v>316596</v>
          </cell>
        </row>
        <row r="821">
          <cell r="K821">
            <v>0</v>
          </cell>
          <cell r="L821">
            <v>0</v>
          </cell>
          <cell r="N821">
            <v>0</v>
          </cell>
          <cell r="O821">
            <v>0</v>
          </cell>
          <cell r="P821">
            <v>0</v>
          </cell>
          <cell r="Q821">
            <v>0</v>
          </cell>
          <cell r="R821">
            <v>0</v>
          </cell>
          <cell r="S821">
            <v>0</v>
          </cell>
        </row>
        <row r="822">
          <cell r="G822">
            <v>16</v>
          </cell>
          <cell r="J822">
            <v>1</v>
          </cell>
          <cell r="K822">
            <v>41873</v>
          </cell>
          <cell r="L822">
            <v>62351</v>
          </cell>
          <cell r="M822">
            <v>10509.111999999999</v>
          </cell>
          <cell r="N822">
            <v>111661.33333333333</v>
          </cell>
          <cell r="O822">
            <v>184521.44533333334</v>
          </cell>
          <cell r="P822">
            <v>0</v>
          </cell>
          <cell r="Q822">
            <v>0</v>
          </cell>
          <cell r="R822">
            <v>111661.33333333333</v>
          </cell>
          <cell r="S822">
            <v>184521.44533333334</v>
          </cell>
          <cell r="T822">
            <v>15322</v>
          </cell>
          <cell r="U822">
            <v>41873</v>
          </cell>
          <cell r="V822">
            <v>62351</v>
          </cell>
        </row>
        <row r="823">
          <cell r="G823">
            <v>28.8</v>
          </cell>
          <cell r="J823">
            <v>1</v>
          </cell>
          <cell r="K823">
            <v>41873</v>
          </cell>
          <cell r="L823">
            <v>80005</v>
          </cell>
          <cell r="M823">
            <v>18916.401599999997</v>
          </cell>
          <cell r="N823">
            <v>111661.33333333333</v>
          </cell>
          <cell r="O823">
            <v>210582.73493333333</v>
          </cell>
          <cell r="P823">
            <v>0</v>
          </cell>
          <cell r="Q823">
            <v>0</v>
          </cell>
          <cell r="R823">
            <v>111661.33333333333</v>
          </cell>
          <cell r="S823">
            <v>210582.73493333333</v>
          </cell>
          <cell r="T823">
            <v>27580</v>
          </cell>
          <cell r="U823">
            <v>41873</v>
          </cell>
          <cell r="V823">
            <v>80005</v>
          </cell>
        </row>
        <row r="824">
          <cell r="K824">
            <v>0</v>
          </cell>
          <cell r="L824">
            <v>0</v>
          </cell>
          <cell r="N824">
            <v>0</v>
          </cell>
          <cell r="O824">
            <v>0</v>
          </cell>
          <cell r="P824">
            <v>0</v>
          </cell>
          <cell r="Q824">
            <v>0</v>
          </cell>
          <cell r="R824">
            <v>0</v>
          </cell>
          <cell r="S824">
            <v>0</v>
          </cell>
        </row>
        <row r="825">
          <cell r="F825">
            <v>46.2</v>
          </cell>
          <cell r="J825">
            <v>1</v>
          </cell>
          <cell r="K825">
            <v>61040</v>
          </cell>
          <cell r="L825">
            <v>825976</v>
          </cell>
          <cell r="M825">
            <v>672533.82</v>
          </cell>
          <cell r="N825">
            <v>162773.33333333331</v>
          </cell>
          <cell r="O825">
            <v>1661283.1533333331</v>
          </cell>
          <cell r="P825">
            <v>0</v>
          </cell>
          <cell r="Q825">
            <v>0</v>
          </cell>
          <cell r="R825">
            <v>162773.33333333331</v>
          </cell>
          <cell r="S825">
            <v>1661283.1533333333</v>
          </cell>
          <cell r="T825">
            <v>330741</v>
          </cell>
          <cell r="U825">
            <v>61040</v>
          </cell>
          <cell r="V825">
            <v>825976</v>
          </cell>
        </row>
        <row r="826">
          <cell r="K826">
            <v>0</v>
          </cell>
          <cell r="L826">
            <v>0</v>
          </cell>
          <cell r="N826">
            <v>0</v>
          </cell>
          <cell r="O826">
            <v>0</v>
          </cell>
          <cell r="P826">
            <v>0</v>
          </cell>
          <cell r="Q826">
            <v>0</v>
          </cell>
          <cell r="R826">
            <v>0</v>
          </cell>
          <cell r="S826">
            <v>0</v>
          </cell>
        </row>
        <row r="827">
          <cell r="H827">
            <v>18</v>
          </cell>
          <cell r="J827">
            <v>1</v>
          </cell>
          <cell r="K827">
            <v>46283</v>
          </cell>
          <cell r="L827">
            <v>440840</v>
          </cell>
          <cell r="M827">
            <v>260394.30000000002</v>
          </cell>
          <cell r="N827">
            <v>123421.33333333333</v>
          </cell>
          <cell r="O827">
            <v>824655.63333333342</v>
          </cell>
          <cell r="P827">
            <v>0</v>
          </cell>
          <cell r="Q827">
            <v>0</v>
          </cell>
          <cell r="R827">
            <v>123421.33333333333</v>
          </cell>
          <cell r="S827">
            <v>824655.6333333333</v>
          </cell>
          <cell r="T827">
            <v>156756</v>
          </cell>
          <cell r="U827">
            <v>46283</v>
          </cell>
          <cell r="V827">
            <v>440840</v>
          </cell>
        </row>
        <row r="828">
          <cell r="K828">
            <v>0</v>
          </cell>
          <cell r="L828">
            <v>0</v>
          </cell>
          <cell r="N828">
            <v>0</v>
          </cell>
          <cell r="O828">
            <v>0</v>
          </cell>
          <cell r="P828">
            <v>0</v>
          </cell>
          <cell r="Q828">
            <v>0</v>
          </cell>
          <cell r="R828">
            <v>0</v>
          </cell>
          <cell r="S828">
            <v>0</v>
          </cell>
        </row>
        <row r="829">
          <cell r="F829">
            <v>35.1</v>
          </cell>
          <cell r="J829">
            <v>1</v>
          </cell>
          <cell r="K829">
            <v>61040</v>
          </cell>
          <cell r="L829">
            <v>817374</v>
          </cell>
          <cell r="M829">
            <v>510951.01909090905</v>
          </cell>
          <cell r="N829">
            <v>162773.33333333331</v>
          </cell>
          <cell r="O829">
            <v>1491098.3524242423</v>
          </cell>
          <cell r="P829">
            <v>0</v>
          </cell>
          <cell r="Q829">
            <v>0</v>
          </cell>
          <cell r="R829">
            <v>162773.33333333331</v>
          </cell>
          <cell r="S829">
            <v>1491098.3524242423</v>
          </cell>
          <cell r="T829">
            <v>251277</v>
          </cell>
          <cell r="U829">
            <v>61040</v>
          </cell>
          <cell r="V829">
            <v>817374</v>
          </cell>
        </row>
        <row r="830">
          <cell r="K830">
            <v>0</v>
          </cell>
          <cell r="L830">
            <v>0</v>
          </cell>
          <cell r="N830">
            <v>0</v>
          </cell>
          <cell r="O830">
            <v>0</v>
          </cell>
          <cell r="P830">
            <v>0</v>
          </cell>
          <cell r="Q830">
            <v>0</v>
          </cell>
          <cell r="R830">
            <v>0</v>
          </cell>
          <cell r="S830">
            <v>0</v>
          </cell>
        </row>
        <row r="831">
          <cell r="F831">
            <v>18.899999999999999</v>
          </cell>
          <cell r="J831">
            <v>1</v>
          </cell>
          <cell r="K831">
            <v>49506</v>
          </cell>
          <cell r="L831">
            <v>435689</v>
          </cell>
          <cell r="M831">
            <v>275127.47181818174</v>
          </cell>
          <cell r="N831">
            <v>132016</v>
          </cell>
          <cell r="O831">
            <v>842832.47181818169</v>
          </cell>
          <cell r="P831">
            <v>0</v>
          </cell>
          <cell r="Q831">
            <v>0</v>
          </cell>
          <cell r="R831">
            <v>132016</v>
          </cell>
          <cell r="S831">
            <v>842832.47181818169</v>
          </cell>
          <cell r="T831">
            <v>135303</v>
          </cell>
          <cell r="U831">
            <v>49506</v>
          </cell>
          <cell r="V831">
            <v>435689</v>
          </cell>
        </row>
        <row r="832">
          <cell r="F832">
            <v>27</v>
          </cell>
          <cell r="J832">
            <v>1</v>
          </cell>
          <cell r="K832">
            <v>57817</v>
          </cell>
          <cell r="L832">
            <v>626912</v>
          </cell>
          <cell r="M832">
            <v>393039.24545454542</v>
          </cell>
          <cell r="N832">
            <v>154178.66666666666</v>
          </cell>
          <cell r="O832">
            <v>1174129.9121212121</v>
          </cell>
          <cell r="P832">
            <v>0</v>
          </cell>
          <cell r="Q832">
            <v>0</v>
          </cell>
          <cell r="R832">
            <v>154178.66666666666</v>
          </cell>
          <cell r="S832">
            <v>1174129.9121212121</v>
          </cell>
          <cell r="T832">
            <v>193290</v>
          </cell>
          <cell r="U832">
            <v>57817</v>
          </cell>
          <cell r="V832">
            <v>626912</v>
          </cell>
        </row>
        <row r="833">
          <cell r="K833">
            <v>0</v>
          </cell>
          <cell r="L833">
            <v>0</v>
          </cell>
          <cell r="N833">
            <v>0</v>
          </cell>
          <cell r="O833">
            <v>0</v>
          </cell>
          <cell r="P833">
            <v>0</v>
          </cell>
          <cell r="Q833">
            <v>0</v>
          </cell>
          <cell r="R833">
            <v>0</v>
          </cell>
          <cell r="S833">
            <v>0</v>
          </cell>
        </row>
        <row r="834">
          <cell r="F834">
            <v>16.100000000000001</v>
          </cell>
          <cell r="J834">
            <v>1</v>
          </cell>
          <cell r="K834">
            <v>46283</v>
          </cell>
          <cell r="L834">
            <v>348208</v>
          </cell>
          <cell r="M834">
            <v>234367.84636363637</v>
          </cell>
          <cell r="N834">
            <v>123421.33333333333</v>
          </cell>
          <cell r="O834">
            <v>705997.1796969698</v>
          </cell>
          <cell r="P834">
            <v>0</v>
          </cell>
          <cell r="Q834">
            <v>0</v>
          </cell>
          <cell r="R834">
            <v>123421.33333333333</v>
          </cell>
          <cell r="S834">
            <v>705997.17969696969</v>
          </cell>
          <cell r="T834">
            <v>115258</v>
          </cell>
          <cell r="U834">
            <v>46283</v>
          </cell>
          <cell r="V834">
            <v>348208</v>
          </cell>
        </row>
        <row r="835">
          <cell r="F835">
            <v>18</v>
          </cell>
          <cell r="J835">
            <v>1</v>
          </cell>
          <cell r="K835">
            <v>46283</v>
          </cell>
          <cell r="L835">
            <v>369597</v>
          </cell>
          <cell r="M835">
            <v>262026.16363636361</v>
          </cell>
          <cell r="N835">
            <v>123421.33333333333</v>
          </cell>
          <cell r="O835">
            <v>755044.49696969695</v>
          </cell>
          <cell r="P835">
            <v>0</v>
          </cell>
          <cell r="Q835">
            <v>0</v>
          </cell>
          <cell r="R835">
            <v>123421.33333333333</v>
          </cell>
          <cell r="S835">
            <v>755044.49696969695</v>
          </cell>
          <cell r="T835">
            <v>128860</v>
          </cell>
          <cell r="U835">
            <v>46283</v>
          </cell>
          <cell r="V835">
            <v>369597</v>
          </cell>
        </row>
        <row r="836">
          <cell r="F836">
            <v>20.8</v>
          </cell>
          <cell r="J836">
            <v>1</v>
          </cell>
          <cell r="K836">
            <v>46283</v>
          </cell>
          <cell r="L836">
            <v>464480</v>
          </cell>
          <cell r="M836">
            <v>302785.78909090906</v>
          </cell>
          <cell r="N836">
            <v>123421.33333333333</v>
          </cell>
          <cell r="O836">
            <v>890687.12242424244</v>
          </cell>
          <cell r="P836">
            <v>0</v>
          </cell>
          <cell r="Q836">
            <v>0</v>
          </cell>
          <cell r="R836">
            <v>123421.33333333333</v>
          </cell>
          <cell r="S836">
            <v>890687.12242424232</v>
          </cell>
          <cell r="T836">
            <v>148905</v>
          </cell>
          <cell r="U836">
            <v>46283</v>
          </cell>
          <cell r="V836">
            <v>464480</v>
          </cell>
        </row>
        <row r="837">
          <cell r="F837">
            <v>40.5</v>
          </cell>
          <cell r="J837">
            <v>1</v>
          </cell>
          <cell r="K837">
            <v>49506</v>
          </cell>
          <cell r="L837">
            <v>655302</v>
          </cell>
          <cell r="M837">
            <v>589558.86818181816</v>
          </cell>
          <cell r="N837">
            <v>132016</v>
          </cell>
          <cell r="O837">
            <v>1376876.8681818182</v>
          </cell>
          <cell r="P837">
            <v>0</v>
          </cell>
          <cell r="Q837">
            <v>0</v>
          </cell>
          <cell r="R837">
            <v>132016</v>
          </cell>
          <cell r="S837">
            <v>1376876.8681818182</v>
          </cell>
          <cell r="T837">
            <v>289935</v>
          </cell>
          <cell r="U837">
            <v>49506</v>
          </cell>
          <cell r="V837">
            <v>655302</v>
          </cell>
        </row>
        <row r="838">
          <cell r="F838">
            <v>51.3</v>
          </cell>
          <cell r="J838">
            <v>1</v>
          </cell>
          <cell r="K838">
            <v>49506</v>
          </cell>
          <cell r="L838">
            <v>773447</v>
          </cell>
          <cell r="M838">
            <v>746774.56636363617</v>
          </cell>
          <cell r="N838">
            <v>132016</v>
          </cell>
          <cell r="O838">
            <v>1652237.5663636362</v>
          </cell>
          <cell r="P838">
            <v>0</v>
          </cell>
          <cell r="Q838">
            <v>0</v>
          </cell>
          <cell r="R838">
            <v>132016</v>
          </cell>
          <cell r="S838">
            <v>1652237.5663636362</v>
          </cell>
          <cell r="T838">
            <v>367252</v>
          </cell>
          <cell r="U838">
            <v>49506</v>
          </cell>
          <cell r="V838">
            <v>773447</v>
          </cell>
        </row>
        <row r="839">
          <cell r="F839">
            <v>64.8</v>
          </cell>
          <cell r="J839">
            <v>1</v>
          </cell>
          <cell r="K839">
            <v>61040</v>
          </cell>
          <cell r="L839">
            <v>922544</v>
          </cell>
          <cell r="M839">
            <v>943294.18909090897</v>
          </cell>
          <cell r="N839">
            <v>162773.33333333331</v>
          </cell>
          <cell r="O839">
            <v>2028611.5224242422</v>
          </cell>
          <cell r="P839">
            <v>0</v>
          </cell>
          <cell r="Q839">
            <v>0</v>
          </cell>
          <cell r="R839">
            <v>162773.33333333331</v>
          </cell>
          <cell r="S839">
            <v>2028611.5224242422</v>
          </cell>
          <cell r="T839">
            <v>463897</v>
          </cell>
          <cell r="U839">
            <v>61040</v>
          </cell>
          <cell r="V839">
            <v>922544</v>
          </cell>
        </row>
        <row r="840">
          <cell r="F840">
            <v>64.8</v>
          </cell>
          <cell r="J840">
            <v>1</v>
          </cell>
          <cell r="K840">
            <v>61040</v>
          </cell>
          <cell r="L840">
            <v>988824</v>
          </cell>
          <cell r="M840">
            <v>943294.18909090897</v>
          </cell>
          <cell r="N840">
            <v>162773.33333333331</v>
          </cell>
          <cell r="O840">
            <v>2094891.5224242422</v>
          </cell>
          <cell r="P840">
            <v>0</v>
          </cell>
          <cell r="Q840">
            <v>0</v>
          </cell>
          <cell r="R840">
            <v>162773.33333333331</v>
          </cell>
          <cell r="S840">
            <v>2094891.5224242422</v>
          </cell>
          <cell r="T840">
            <v>463897</v>
          </cell>
          <cell r="U840">
            <v>61040</v>
          </cell>
          <cell r="V840">
            <v>988824</v>
          </cell>
        </row>
        <row r="841">
          <cell r="F841">
            <v>20.8</v>
          </cell>
          <cell r="J841">
            <v>1</v>
          </cell>
          <cell r="K841">
            <v>46283</v>
          </cell>
          <cell r="L841">
            <v>384035</v>
          </cell>
          <cell r="M841">
            <v>302785.78909090906</v>
          </cell>
          <cell r="N841">
            <v>123421.33333333333</v>
          </cell>
          <cell r="O841">
            <v>810242.12242424244</v>
          </cell>
          <cell r="P841">
            <v>0</v>
          </cell>
          <cell r="Q841">
            <v>0</v>
          </cell>
          <cell r="R841">
            <v>123421.33333333333</v>
          </cell>
          <cell r="S841">
            <v>810242.12242424232</v>
          </cell>
          <cell r="T841">
            <v>148905</v>
          </cell>
          <cell r="U841">
            <v>46283</v>
          </cell>
          <cell r="V841">
            <v>384035</v>
          </cell>
        </row>
        <row r="842">
          <cell r="F842">
            <v>15.1</v>
          </cell>
          <cell r="J842">
            <v>1</v>
          </cell>
          <cell r="K842">
            <v>46283</v>
          </cell>
          <cell r="L842">
            <v>682110</v>
          </cell>
          <cell r="M842">
            <v>219810.83727272725</v>
          </cell>
          <cell r="N842">
            <v>123421.33333333333</v>
          </cell>
          <cell r="O842">
            <v>1025342.1706060607</v>
          </cell>
          <cell r="P842">
            <v>0</v>
          </cell>
          <cell r="Q842">
            <v>0</v>
          </cell>
          <cell r="R842">
            <v>123421.33333333333</v>
          </cell>
          <cell r="S842">
            <v>1025342.1706060607</v>
          </cell>
          <cell r="T842">
            <v>108099</v>
          </cell>
          <cell r="U842">
            <v>46283</v>
          </cell>
          <cell r="V842">
            <v>682110</v>
          </cell>
        </row>
        <row r="843">
          <cell r="K843">
            <v>0</v>
          </cell>
          <cell r="L843">
            <v>0</v>
          </cell>
          <cell r="N843">
            <v>0</v>
          </cell>
          <cell r="O843">
            <v>0</v>
          </cell>
          <cell r="P843">
            <v>0</v>
          </cell>
          <cell r="Q843">
            <v>0</v>
          </cell>
          <cell r="R843">
            <v>0</v>
          </cell>
          <cell r="S843">
            <v>0</v>
          </cell>
        </row>
        <row r="844">
          <cell r="D844" t="str">
            <v>Máy hàn nhiệt</v>
          </cell>
          <cell r="E844" t="str">
            <v>pipe conjointion machine</v>
          </cell>
          <cell r="G844">
            <v>5.6</v>
          </cell>
          <cell r="J844">
            <v>1</v>
          </cell>
          <cell r="K844">
            <v>48658</v>
          </cell>
          <cell r="L844">
            <v>166275</v>
          </cell>
          <cell r="M844">
            <v>3678.1891999999998</v>
          </cell>
          <cell r="N844">
            <v>129754.66666666666</v>
          </cell>
          <cell r="O844">
            <v>299707.85586666665</v>
          </cell>
          <cell r="P844">
            <v>0</v>
          </cell>
          <cell r="Q844">
            <v>0</v>
          </cell>
          <cell r="R844">
            <v>129754.66666666666</v>
          </cell>
          <cell r="S844">
            <v>299707.85586666665</v>
          </cell>
          <cell r="T844">
            <v>5363</v>
          </cell>
          <cell r="U844">
            <v>48658</v>
          </cell>
          <cell r="V844">
            <v>166275</v>
          </cell>
        </row>
        <row r="845">
          <cell r="K845">
            <v>0</v>
          </cell>
          <cell r="L845">
            <v>0</v>
          </cell>
          <cell r="N845">
            <v>0</v>
          </cell>
          <cell r="O845">
            <v>0</v>
          </cell>
          <cell r="P845">
            <v>0</v>
          </cell>
          <cell r="Q845">
            <v>0</v>
          </cell>
          <cell r="R845">
            <v>0</v>
          </cell>
          <cell r="S845">
            <v>0</v>
          </cell>
        </row>
        <row r="846">
          <cell r="F846">
            <v>53.1</v>
          </cell>
          <cell r="J846">
            <v>1</v>
          </cell>
          <cell r="K846">
            <v>171586</v>
          </cell>
          <cell r="L846">
            <v>1435598</v>
          </cell>
          <cell r="M846">
            <v>772977.18272727262</v>
          </cell>
          <cell r="N846">
            <v>457562.66666666663</v>
          </cell>
          <cell r="O846">
            <v>2666137.8493939391</v>
          </cell>
          <cell r="P846">
            <v>0</v>
          </cell>
          <cell r="Q846">
            <v>0</v>
          </cell>
          <cell r="R846">
            <v>457562.66666666663</v>
          </cell>
          <cell r="S846">
            <v>2666137.8493939391</v>
          </cell>
          <cell r="T846">
            <v>380138</v>
          </cell>
          <cell r="U846">
            <v>171586</v>
          </cell>
          <cell r="V846">
            <v>1435598</v>
          </cell>
        </row>
        <row r="847">
          <cell r="F847">
            <v>53.1</v>
          </cell>
          <cell r="J847">
            <v>1</v>
          </cell>
          <cell r="K847">
            <v>220244</v>
          </cell>
          <cell r="L847">
            <v>1015582</v>
          </cell>
          <cell r="M847">
            <v>772977.18272727262</v>
          </cell>
          <cell r="N847">
            <v>587317.33333333326</v>
          </cell>
          <cell r="O847">
            <v>2375876.5160606056</v>
          </cell>
          <cell r="P847">
            <v>0</v>
          </cell>
          <cell r="Q847">
            <v>0</v>
          </cell>
          <cell r="R847">
            <v>587317.33333333326</v>
          </cell>
          <cell r="S847">
            <v>2375876.5160606056</v>
          </cell>
          <cell r="T847">
            <v>380138</v>
          </cell>
          <cell r="U847">
            <v>220244</v>
          </cell>
          <cell r="V847">
            <v>1015582</v>
          </cell>
        </row>
        <row r="848">
          <cell r="K848">
            <v>0</v>
          </cell>
          <cell r="L848">
            <v>0</v>
          </cell>
          <cell r="N848">
            <v>0</v>
          </cell>
          <cell r="O848">
            <v>0</v>
          </cell>
          <cell r="P848">
            <v>0</v>
          </cell>
          <cell r="Q848">
            <v>0</v>
          </cell>
          <cell r="R848">
            <v>0</v>
          </cell>
          <cell r="S848">
            <v>0</v>
          </cell>
        </row>
        <row r="849">
          <cell r="F849">
            <v>123.8</v>
          </cell>
          <cell r="J849">
            <v>1</v>
          </cell>
          <cell r="K849">
            <v>154116</v>
          </cell>
          <cell r="L849">
            <v>1393304</v>
          </cell>
          <cell r="M849">
            <v>1802157.7254545453</v>
          </cell>
          <cell r="N849">
            <v>410976</v>
          </cell>
          <cell r="O849">
            <v>3606437.7254545456</v>
          </cell>
          <cell r="P849">
            <v>0</v>
          </cell>
          <cell r="Q849">
            <v>0</v>
          </cell>
          <cell r="R849">
            <v>410976</v>
          </cell>
          <cell r="S849">
            <v>3606437.7254545456</v>
          </cell>
          <cell r="T849">
            <v>886272</v>
          </cell>
          <cell r="U849">
            <v>154116</v>
          </cell>
          <cell r="V849">
            <v>1393304</v>
          </cell>
        </row>
        <row r="850">
          <cell r="F850">
            <v>105.2</v>
          </cell>
          <cell r="J850">
            <v>1</v>
          </cell>
          <cell r="K850">
            <v>154116</v>
          </cell>
          <cell r="L850">
            <v>1207211</v>
          </cell>
          <cell r="M850">
            <v>1531397.3563636362</v>
          </cell>
          <cell r="N850">
            <v>410976</v>
          </cell>
          <cell r="O850">
            <v>3149584.3563636364</v>
          </cell>
          <cell r="P850">
            <v>0</v>
          </cell>
          <cell r="Q850">
            <v>0</v>
          </cell>
          <cell r="R850">
            <v>410976</v>
          </cell>
          <cell r="S850">
            <v>3149584.3563636364</v>
          </cell>
          <cell r="T850">
            <v>753116</v>
          </cell>
          <cell r="U850">
            <v>154116</v>
          </cell>
          <cell r="V850">
            <v>1207211</v>
          </cell>
        </row>
        <row r="851">
          <cell r="H851">
            <v>67.599999999999994</v>
          </cell>
          <cell r="J851">
            <v>1</v>
          </cell>
          <cell r="K851">
            <v>105458</v>
          </cell>
          <cell r="L851">
            <v>912913</v>
          </cell>
          <cell r="M851">
            <v>977925.25999999989</v>
          </cell>
          <cell r="N851">
            <v>281221.33333333331</v>
          </cell>
          <cell r="O851">
            <v>2172059.5933333333</v>
          </cell>
          <cell r="P851">
            <v>0</v>
          </cell>
          <cell r="Q851">
            <v>0</v>
          </cell>
          <cell r="R851">
            <v>281221.33333333331</v>
          </cell>
          <cell r="S851">
            <v>2172059.5933333333</v>
          </cell>
          <cell r="T851">
            <v>588705</v>
          </cell>
          <cell r="U851">
            <v>105458</v>
          </cell>
          <cell r="V851">
            <v>912913</v>
          </cell>
        </row>
        <row r="852">
          <cell r="K852">
            <v>0</v>
          </cell>
          <cell r="L852">
            <v>0</v>
          </cell>
          <cell r="N852">
            <v>0</v>
          </cell>
          <cell r="O852">
            <v>0</v>
          </cell>
          <cell r="P852">
            <v>0</v>
          </cell>
          <cell r="Q852">
            <v>0</v>
          </cell>
          <cell r="R852">
            <v>0</v>
          </cell>
          <cell r="S852">
            <v>0</v>
          </cell>
        </row>
        <row r="853">
          <cell r="H853">
            <v>32.9</v>
          </cell>
          <cell r="J853">
            <v>1</v>
          </cell>
          <cell r="K853">
            <v>154116</v>
          </cell>
          <cell r="L853">
            <v>489864</v>
          </cell>
          <cell r="M853">
            <v>475942.91500000004</v>
          </cell>
          <cell r="N853">
            <v>410976</v>
          </cell>
          <cell r="O853">
            <v>1376782.915</v>
          </cell>
          <cell r="P853">
            <v>0</v>
          </cell>
          <cell r="Q853">
            <v>0</v>
          </cell>
          <cell r="R853">
            <v>410976</v>
          </cell>
          <cell r="S853">
            <v>1376782.915</v>
          </cell>
          <cell r="T853">
            <v>286515</v>
          </cell>
          <cell r="U853">
            <v>154116</v>
          </cell>
          <cell r="V853">
            <v>489864</v>
          </cell>
        </row>
        <row r="854">
          <cell r="G854">
            <v>5</v>
          </cell>
          <cell r="J854">
            <v>1</v>
          </cell>
          <cell r="K854">
            <v>105458</v>
          </cell>
          <cell r="L854">
            <v>397246</v>
          </cell>
          <cell r="M854">
            <v>3284.0974999999999</v>
          </cell>
          <cell r="N854">
            <v>281221.33333333331</v>
          </cell>
          <cell r="O854">
            <v>681751.43083333329</v>
          </cell>
          <cell r="P854">
            <v>0</v>
          </cell>
          <cell r="Q854">
            <v>0</v>
          </cell>
          <cell r="R854">
            <v>281221.33333333331</v>
          </cell>
          <cell r="S854">
            <v>681751.43083333329</v>
          </cell>
          <cell r="T854">
            <v>4788</v>
          </cell>
          <cell r="U854">
            <v>105458</v>
          </cell>
          <cell r="V854">
            <v>397246</v>
          </cell>
        </row>
        <row r="855">
          <cell r="J855">
            <v>1</v>
          </cell>
          <cell r="K855">
            <v>0</v>
          </cell>
          <cell r="L855">
            <v>2045</v>
          </cell>
          <cell r="M855">
            <v>0</v>
          </cell>
          <cell r="N855">
            <v>0</v>
          </cell>
          <cell r="O855">
            <v>2045</v>
          </cell>
          <cell r="P855">
            <v>0</v>
          </cell>
          <cell r="Q855">
            <v>0</v>
          </cell>
          <cell r="R855">
            <v>0</v>
          </cell>
          <cell r="S855">
            <v>2045</v>
          </cell>
          <cell r="V855">
            <v>2045</v>
          </cell>
        </row>
        <row r="856">
          <cell r="K856">
            <v>0</v>
          </cell>
          <cell r="L856">
            <v>0</v>
          </cell>
          <cell r="N856">
            <v>0</v>
          </cell>
          <cell r="O856">
            <v>0</v>
          </cell>
          <cell r="P856">
            <v>0</v>
          </cell>
          <cell r="Q856">
            <v>0</v>
          </cell>
          <cell r="R856">
            <v>0</v>
          </cell>
          <cell r="S856">
            <v>0</v>
          </cell>
        </row>
        <row r="857">
          <cell r="H857">
            <v>49</v>
          </cell>
          <cell r="J857">
            <v>1</v>
          </cell>
          <cell r="K857">
            <v>146822</v>
          </cell>
          <cell r="L857">
            <v>986779</v>
          </cell>
          <cell r="M857">
            <v>708851.15</v>
          </cell>
          <cell r="N857">
            <v>391525.33333333331</v>
          </cell>
          <cell r="O857">
            <v>2087155.4833333332</v>
          </cell>
          <cell r="P857">
            <v>0</v>
          </cell>
          <cell r="Q857">
            <v>0</v>
          </cell>
          <cell r="R857">
            <v>391525.33333333331</v>
          </cell>
          <cell r="S857">
            <v>2087155.4833333334</v>
          </cell>
          <cell r="T857">
            <v>426724</v>
          </cell>
          <cell r="U857">
            <v>146822</v>
          </cell>
          <cell r="V857">
            <v>986779</v>
          </cell>
        </row>
        <row r="858">
          <cell r="H858">
            <v>24.6</v>
          </cell>
          <cell r="J858">
            <v>1</v>
          </cell>
          <cell r="K858">
            <v>140546</v>
          </cell>
          <cell r="L858">
            <v>456139</v>
          </cell>
          <cell r="M858">
            <v>355872.21</v>
          </cell>
          <cell r="N858">
            <v>374789.33333333331</v>
          </cell>
          <cell r="O858">
            <v>1186800.5433333332</v>
          </cell>
          <cell r="P858">
            <v>0</v>
          </cell>
          <cell r="Q858">
            <v>0</v>
          </cell>
          <cell r="R858">
            <v>374789.33333333331</v>
          </cell>
          <cell r="S858">
            <v>1186800.5433333335</v>
          </cell>
          <cell r="T858">
            <v>214233</v>
          </cell>
          <cell r="U858">
            <v>140546</v>
          </cell>
          <cell r="V858">
            <v>456139</v>
          </cell>
        </row>
        <row r="859">
          <cell r="K859">
            <v>0</v>
          </cell>
          <cell r="L859">
            <v>0</v>
          </cell>
          <cell r="N859">
            <v>0</v>
          </cell>
          <cell r="O859">
            <v>0</v>
          </cell>
          <cell r="P859">
            <v>0</v>
          </cell>
          <cell r="Q859">
            <v>0</v>
          </cell>
          <cell r="R859">
            <v>0</v>
          </cell>
          <cell r="S859">
            <v>0</v>
          </cell>
        </row>
        <row r="860">
          <cell r="J860">
            <v>1</v>
          </cell>
          <cell r="K860">
            <v>202774</v>
          </cell>
          <cell r="L860">
            <v>4941434</v>
          </cell>
          <cell r="M860">
            <v>0</v>
          </cell>
          <cell r="N860">
            <v>540730.66666666663</v>
          </cell>
          <cell r="O860">
            <v>5482164.666666667</v>
          </cell>
          <cell r="P860">
            <v>0</v>
          </cell>
          <cell r="Q860">
            <v>0</v>
          </cell>
          <cell r="R860">
            <v>540730.66666666663</v>
          </cell>
          <cell r="S860">
            <v>5482164.666666667</v>
          </cell>
          <cell r="U860">
            <v>202774</v>
          </cell>
          <cell r="V860">
            <v>4941434</v>
          </cell>
        </row>
        <row r="861">
          <cell r="K861">
            <v>0</v>
          </cell>
          <cell r="L861">
            <v>0</v>
          </cell>
          <cell r="N861">
            <v>0</v>
          </cell>
          <cell r="O861">
            <v>0</v>
          </cell>
          <cell r="P861">
            <v>0</v>
          </cell>
          <cell r="Q861">
            <v>0</v>
          </cell>
          <cell r="R861">
            <v>0</v>
          </cell>
          <cell r="S861">
            <v>0</v>
          </cell>
        </row>
        <row r="862">
          <cell r="J862">
            <v>1</v>
          </cell>
          <cell r="K862">
            <v>0</v>
          </cell>
          <cell r="L862">
            <v>35250</v>
          </cell>
          <cell r="M862">
            <v>0</v>
          </cell>
          <cell r="N862">
            <v>0</v>
          </cell>
          <cell r="O862">
            <v>35250</v>
          </cell>
          <cell r="P862">
            <v>0</v>
          </cell>
          <cell r="Q862">
            <v>0</v>
          </cell>
          <cell r="R862">
            <v>0</v>
          </cell>
          <cell r="S862">
            <v>35250</v>
          </cell>
          <cell r="V862">
            <v>35250</v>
          </cell>
        </row>
        <row r="863">
          <cell r="E863" t="str">
            <v>Driller cby-150zub</v>
          </cell>
          <cell r="F863">
            <v>16.399999999999999</v>
          </cell>
          <cell r="J863">
            <v>1</v>
          </cell>
          <cell r="K863">
            <v>0</v>
          </cell>
          <cell r="L863">
            <v>530528</v>
          </cell>
          <cell r="M863">
            <v>238734.94909090904</v>
          </cell>
          <cell r="N863">
            <v>0</v>
          </cell>
          <cell r="O863">
            <v>769262.94909090898</v>
          </cell>
          <cell r="P863">
            <v>0</v>
          </cell>
          <cell r="Q863">
            <v>0</v>
          </cell>
          <cell r="R863">
            <v>0</v>
          </cell>
          <cell r="S863">
            <v>769262.94909090898</v>
          </cell>
          <cell r="T863">
            <v>117406</v>
          </cell>
          <cell r="V863">
            <v>530528</v>
          </cell>
        </row>
        <row r="864">
          <cell r="F864">
            <v>4.5</v>
          </cell>
          <cell r="J864">
            <v>1</v>
          </cell>
          <cell r="K864">
            <v>0</v>
          </cell>
          <cell r="L864">
            <v>338200</v>
          </cell>
          <cell r="M864">
            <v>65506.540909090902</v>
          </cell>
          <cell r="N864">
            <v>0</v>
          </cell>
          <cell r="O864">
            <v>403706.54090909089</v>
          </cell>
          <cell r="P864">
            <v>0</v>
          </cell>
          <cell r="Q864">
            <v>0</v>
          </cell>
          <cell r="R864">
            <v>0</v>
          </cell>
          <cell r="S864">
            <v>403706.54090909089</v>
          </cell>
          <cell r="T864">
            <v>32215</v>
          </cell>
          <cell r="V864">
            <v>338200</v>
          </cell>
        </row>
        <row r="865">
          <cell r="J865">
            <v>1</v>
          </cell>
          <cell r="K865">
            <v>0</v>
          </cell>
          <cell r="L865">
            <v>6683</v>
          </cell>
          <cell r="M865">
            <v>0</v>
          </cell>
          <cell r="N865">
            <v>0</v>
          </cell>
          <cell r="O865">
            <v>6683</v>
          </cell>
          <cell r="P865">
            <v>0</v>
          </cell>
          <cell r="Q865">
            <v>0</v>
          </cell>
          <cell r="R865">
            <v>0</v>
          </cell>
          <cell r="S865">
            <v>6683</v>
          </cell>
          <cell r="V865">
            <v>6683</v>
          </cell>
        </row>
        <row r="866">
          <cell r="G866">
            <v>5.2</v>
          </cell>
          <cell r="J866">
            <v>1</v>
          </cell>
          <cell r="K866">
            <v>0</v>
          </cell>
          <cell r="L866">
            <v>17120</v>
          </cell>
          <cell r="M866">
            <v>3415.4613999999997</v>
          </cell>
          <cell r="N866">
            <v>0</v>
          </cell>
          <cell r="O866">
            <v>20535.4614</v>
          </cell>
          <cell r="P866">
            <v>0</v>
          </cell>
          <cell r="Q866">
            <v>0</v>
          </cell>
          <cell r="R866">
            <v>0</v>
          </cell>
          <cell r="S866">
            <v>20535.4614</v>
          </cell>
          <cell r="T866">
            <v>4980</v>
          </cell>
          <cell r="V866">
            <v>17120</v>
          </cell>
        </row>
        <row r="867">
          <cell r="J867">
            <v>1</v>
          </cell>
          <cell r="K867">
            <v>0</v>
          </cell>
          <cell r="L867">
            <v>4980</v>
          </cell>
          <cell r="M867">
            <v>0</v>
          </cell>
          <cell r="N867">
            <v>0</v>
          </cell>
          <cell r="O867">
            <v>4980</v>
          </cell>
          <cell r="P867">
            <v>0</v>
          </cell>
          <cell r="Q867">
            <v>0</v>
          </cell>
          <cell r="R867">
            <v>0</v>
          </cell>
          <cell r="S867">
            <v>4980</v>
          </cell>
          <cell r="V867">
            <v>4980</v>
          </cell>
        </row>
        <row r="868">
          <cell r="F868">
            <v>27.8</v>
          </cell>
          <cell r="J868">
            <v>1</v>
          </cell>
          <cell r="K868">
            <v>0</v>
          </cell>
          <cell r="L868">
            <v>776002</v>
          </cell>
          <cell r="M868">
            <v>404684.85272727272</v>
          </cell>
          <cell r="N868">
            <v>0</v>
          </cell>
          <cell r="O868">
            <v>1180686.8527272728</v>
          </cell>
          <cell r="P868">
            <v>0</v>
          </cell>
          <cell r="Q868">
            <v>0</v>
          </cell>
          <cell r="R868">
            <v>0</v>
          </cell>
          <cell r="S868">
            <v>1180686.8527272728</v>
          </cell>
          <cell r="T868">
            <v>199017</v>
          </cell>
          <cell r="V868">
            <v>776002</v>
          </cell>
        </row>
        <row r="869">
          <cell r="J869">
            <v>1</v>
          </cell>
          <cell r="K869">
            <v>0</v>
          </cell>
          <cell r="L869">
            <v>46022</v>
          </cell>
          <cell r="M869">
            <v>0</v>
          </cell>
          <cell r="N869">
            <v>0</v>
          </cell>
          <cell r="O869">
            <v>46022</v>
          </cell>
          <cell r="P869">
            <v>0</v>
          </cell>
          <cell r="Q869">
            <v>0</v>
          </cell>
          <cell r="R869">
            <v>0</v>
          </cell>
          <cell r="S869">
            <v>46022</v>
          </cell>
          <cell r="V869">
            <v>46022</v>
          </cell>
        </row>
        <row r="870">
          <cell r="J870">
            <v>1</v>
          </cell>
          <cell r="K870">
            <v>0</v>
          </cell>
          <cell r="L870">
            <v>465139</v>
          </cell>
          <cell r="M870">
            <v>0</v>
          </cell>
          <cell r="N870">
            <v>0</v>
          </cell>
          <cell r="O870">
            <v>465139</v>
          </cell>
          <cell r="P870">
            <v>0</v>
          </cell>
          <cell r="Q870">
            <v>0</v>
          </cell>
          <cell r="R870">
            <v>0</v>
          </cell>
          <cell r="S870">
            <v>465139</v>
          </cell>
          <cell r="V870">
            <v>465139</v>
          </cell>
        </row>
        <row r="871">
          <cell r="F871">
            <v>19.8</v>
          </cell>
          <cell r="J871">
            <v>1</v>
          </cell>
          <cell r="K871">
            <v>0</v>
          </cell>
          <cell r="L871">
            <v>519040</v>
          </cell>
          <cell r="M871">
            <v>288228.77999999997</v>
          </cell>
          <cell r="N871">
            <v>0</v>
          </cell>
          <cell r="O871">
            <v>807268.78</v>
          </cell>
          <cell r="P871">
            <v>0</v>
          </cell>
          <cell r="Q871">
            <v>0</v>
          </cell>
          <cell r="R871">
            <v>0</v>
          </cell>
          <cell r="S871">
            <v>807268.78</v>
          </cell>
          <cell r="T871">
            <v>141746</v>
          </cell>
          <cell r="V871">
            <v>519040</v>
          </cell>
        </row>
        <row r="872">
          <cell r="J872">
            <v>1</v>
          </cell>
          <cell r="K872">
            <v>0</v>
          </cell>
          <cell r="L872">
            <v>182233</v>
          </cell>
          <cell r="M872">
            <v>0</v>
          </cell>
          <cell r="N872">
            <v>0</v>
          </cell>
          <cell r="O872">
            <v>182233</v>
          </cell>
          <cell r="P872">
            <v>0</v>
          </cell>
          <cell r="Q872">
            <v>0</v>
          </cell>
          <cell r="R872">
            <v>0</v>
          </cell>
          <cell r="S872">
            <v>182233</v>
          </cell>
          <cell r="V872">
            <v>182233</v>
          </cell>
        </row>
        <row r="873">
          <cell r="E873" t="str">
            <v>SPT testing-load</v>
          </cell>
          <cell r="J873">
            <v>1</v>
          </cell>
          <cell r="K873">
            <v>0</v>
          </cell>
          <cell r="L873">
            <v>6104</v>
          </cell>
          <cell r="M873">
            <v>0</v>
          </cell>
          <cell r="N873">
            <v>0</v>
          </cell>
          <cell r="O873">
            <v>6104</v>
          </cell>
          <cell r="P873">
            <v>0</v>
          </cell>
          <cell r="Q873">
            <v>0</v>
          </cell>
          <cell r="R873">
            <v>0</v>
          </cell>
          <cell r="S873">
            <v>6104</v>
          </cell>
          <cell r="V873">
            <v>6104</v>
          </cell>
        </row>
        <row r="874">
          <cell r="J874">
            <v>1</v>
          </cell>
          <cell r="K874">
            <v>0</v>
          </cell>
          <cell r="L874">
            <v>3414</v>
          </cell>
          <cell r="M874">
            <v>0</v>
          </cell>
          <cell r="N874">
            <v>0</v>
          </cell>
          <cell r="O874">
            <v>3414</v>
          </cell>
          <cell r="P874">
            <v>0</v>
          </cell>
          <cell r="Q874">
            <v>0</v>
          </cell>
          <cell r="R874">
            <v>0</v>
          </cell>
          <cell r="S874">
            <v>3414</v>
          </cell>
          <cell r="V874">
            <v>3414</v>
          </cell>
        </row>
        <row r="875">
          <cell r="K875">
            <v>0</v>
          </cell>
          <cell r="L875">
            <v>0</v>
          </cell>
          <cell r="N875">
            <v>0</v>
          </cell>
          <cell r="O875">
            <v>0</v>
          </cell>
          <cell r="P875">
            <v>0</v>
          </cell>
          <cell r="Q875">
            <v>0</v>
          </cell>
          <cell r="R875">
            <v>0</v>
          </cell>
          <cell r="S875">
            <v>0</v>
          </cell>
        </row>
        <row r="876">
          <cell r="G876">
            <v>1.3</v>
          </cell>
          <cell r="J876">
            <v>1</v>
          </cell>
          <cell r="K876">
            <v>41873</v>
          </cell>
          <cell r="L876">
            <v>44728</v>
          </cell>
          <cell r="M876">
            <v>853.86534999999992</v>
          </cell>
          <cell r="N876">
            <v>111661.33333333333</v>
          </cell>
          <cell r="O876">
            <v>157243.19868333332</v>
          </cell>
          <cell r="P876">
            <v>0</v>
          </cell>
          <cell r="Q876">
            <v>0</v>
          </cell>
          <cell r="R876">
            <v>111661.33333333333</v>
          </cell>
          <cell r="S876">
            <v>157243.19868333332</v>
          </cell>
          <cell r="T876">
            <v>1245</v>
          </cell>
          <cell r="U876">
            <v>41873</v>
          </cell>
          <cell r="V876">
            <v>44728</v>
          </cell>
        </row>
        <row r="877">
          <cell r="D877" t="str">
            <v>Máy bơm xói 4MC</v>
          </cell>
          <cell r="E877" t="str">
            <v>pump 4MC</v>
          </cell>
          <cell r="G877">
            <v>180</v>
          </cell>
          <cell r="J877">
            <v>1</v>
          </cell>
          <cell r="K877">
            <v>48658</v>
          </cell>
          <cell r="L877">
            <v>317704</v>
          </cell>
          <cell r="M877">
            <v>118227.51</v>
          </cell>
          <cell r="N877">
            <v>129754.66666666666</v>
          </cell>
          <cell r="O877">
            <v>565686.17666666664</v>
          </cell>
          <cell r="P877">
            <v>0</v>
          </cell>
          <cell r="Q877">
            <v>0</v>
          </cell>
          <cell r="R877">
            <v>129754.66666666666</v>
          </cell>
          <cell r="S877">
            <v>565686.17666666664</v>
          </cell>
          <cell r="T877">
            <v>172377</v>
          </cell>
          <cell r="U877">
            <v>48658</v>
          </cell>
          <cell r="V877">
            <v>317704</v>
          </cell>
        </row>
        <row r="878">
          <cell r="E878" t="str">
            <v>pump 250/50</v>
          </cell>
          <cell r="F878">
            <v>11</v>
          </cell>
          <cell r="J878">
            <v>1</v>
          </cell>
          <cell r="K878">
            <v>48658</v>
          </cell>
          <cell r="L878">
            <v>191348</v>
          </cell>
          <cell r="M878">
            <v>160127.09999999998</v>
          </cell>
          <cell r="N878">
            <v>129754.66666666666</v>
          </cell>
          <cell r="O878">
            <v>481229.7666666666</v>
          </cell>
          <cell r="P878">
            <v>0</v>
          </cell>
          <cell r="Q878">
            <v>0</v>
          </cell>
          <cell r="R878">
            <v>129754.66666666666</v>
          </cell>
          <cell r="S878">
            <v>481229.7666666666</v>
          </cell>
          <cell r="T878">
            <v>78748</v>
          </cell>
          <cell r="U878">
            <v>48658</v>
          </cell>
          <cell r="V878">
            <v>191348</v>
          </cell>
        </row>
        <row r="879">
          <cell r="F879">
            <v>110.9</v>
          </cell>
          <cell r="J879">
            <v>1</v>
          </cell>
          <cell r="K879">
            <v>105458</v>
          </cell>
          <cell r="L879">
            <v>1737287</v>
          </cell>
          <cell r="M879">
            <v>1614372.3081818181</v>
          </cell>
          <cell r="N879">
            <v>281221.33333333331</v>
          </cell>
          <cell r="O879">
            <v>3632880.6415151516</v>
          </cell>
          <cell r="P879">
            <v>0</v>
          </cell>
          <cell r="Q879">
            <v>0</v>
          </cell>
          <cell r="R879">
            <v>281221.33333333331</v>
          </cell>
          <cell r="S879">
            <v>3632880.6415151516</v>
          </cell>
          <cell r="T879">
            <v>793922</v>
          </cell>
          <cell r="U879">
            <v>105458</v>
          </cell>
          <cell r="V879">
            <v>1737287</v>
          </cell>
        </row>
        <row r="880">
          <cell r="K880">
            <v>0</v>
          </cell>
          <cell r="L880">
            <v>0</v>
          </cell>
          <cell r="N880">
            <v>0</v>
          </cell>
          <cell r="O880">
            <v>0</v>
          </cell>
          <cell r="P880">
            <v>0</v>
          </cell>
          <cell r="Q880">
            <v>0</v>
          </cell>
          <cell r="R880">
            <v>0</v>
          </cell>
          <cell r="S880">
            <v>0</v>
          </cell>
        </row>
        <row r="881">
          <cell r="F881">
            <v>45.6</v>
          </cell>
          <cell r="J881">
            <v>1</v>
          </cell>
          <cell r="K881">
            <v>48658</v>
          </cell>
          <cell r="L881">
            <v>645700</v>
          </cell>
          <cell r="M881">
            <v>663799.6145454545</v>
          </cell>
          <cell r="N881">
            <v>129754.66666666666</v>
          </cell>
          <cell r="O881">
            <v>1439254.2812121212</v>
          </cell>
          <cell r="P881">
            <v>0</v>
          </cell>
          <cell r="Q881">
            <v>0</v>
          </cell>
          <cell r="R881">
            <v>129754.66666666666</v>
          </cell>
          <cell r="S881">
            <v>1439254.2812121212</v>
          </cell>
          <cell r="T881">
            <v>326446</v>
          </cell>
          <cell r="U881">
            <v>48658</v>
          </cell>
          <cell r="V881">
            <v>645700</v>
          </cell>
        </row>
        <row r="882">
          <cell r="F882">
            <v>48.6</v>
          </cell>
          <cell r="J882">
            <v>1</v>
          </cell>
          <cell r="K882">
            <v>48658</v>
          </cell>
          <cell r="L882">
            <v>710217</v>
          </cell>
          <cell r="M882">
            <v>707470.64181818184</v>
          </cell>
          <cell r="N882">
            <v>129754.66666666666</v>
          </cell>
          <cell r="O882">
            <v>1547442.3084848486</v>
          </cell>
          <cell r="P882">
            <v>0</v>
          </cell>
          <cell r="Q882">
            <v>0</v>
          </cell>
          <cell r="R882">
            <v>129754.66666666666</v>
          </cell>
          <cell r="S882">
            <v>1547442.3084848486</v>
          </cell>
          <cell r="T882">
            <v>347923</v>
          </cell>
          <cell r="U882">
            <v>48658</v>
          </cell>
          <cell r="V882">
            <v>710217</v>
          </cell>
        </row>
        <row r="883">
          <cell r="F883">
            <v>89.3</v>
          </cell>
          <cell r="J883">
            <v>1</v>
          </cell>
          <cell r="K883">
            <v>56800</v>
          </cell>
          <cell r="L883">
            <v>1360892</v>
          </cell>
          <cell r="M883">
            <v>1299940.9118181816</v>
          </cell>
          <cell r="N883">
            <v>151466.66666666666</v>
          </cell>
          <cell r="O883">
            <v>2812299.5784848481</v>
          </cell>
          <cell r="P883">
            <v>0</v>
          </cell>
          <cell r="Q883">
            <v>0</v>
          </cell>
          <cell r="R883">
            <v>151466.66666666666</v>
          </cell>
          <cell r="S883">
            <v>2812299.5784848481</v>
          </cell>
          <cell r="T883">
            <v>639290</v>
          </cell>
          <cell r="U883">
            <v>56800</v>
          </cell>
          <cell r="V883">
            <v>1360892</v>
          </cell>
        </row>
        <row r="884">
          <cell r="K884">
            <v>0</v>
          </cell>
          <cell r="L884">
            <v>0</v>
          </cell>
          <cell r="N884">
            <v>0</v>
          </cell>
          <cell r="O884">
            <v>0</v>
          </cell>
          <cell r="P884">
            <v>0</v>
          </cell>
          <cell r="Q884">
            <v>0</v>
          </cell>
          <cell r="R884">
            <v>0</v>
          </cell>
          <cell r="S884">
            <v>0</v>
          </cell>
        </row>
        <row r="885">
          <cell r="J885">
            <v>1</v>
          </cell>
          <cell r="K885">
            <v>0</v>
          </cell>
          <cell r="L885">
            <v>28700</v>
          </cell>
          <cell r="M885">
            <v>0</v>
          </cell>
          <cell r="N885">
            <v>0</v>
          </cell>
          <cell r="O885">
            <v>28700</v>
          </cell>
          <cell r="P885">
            <v>0</v>
          </cell>
          <cell r="Q885">
            <v>0</v>
          </cell>
          <cell r="R885">
            <v>0</v>
          </cell>
          <cell r="S885">
            <v>28700</v>
          </cell>
          <cell r="V885">
            <v>28700</v>
          </cell>
        </row>
        <row r="886">
          <cell r="J886">
            <v>1</v>
          </cell>
          <cell r="K886">
            <v>0</v>
          </cell>
          <cell r="L886">
            <v>35533</v>
          </cell>
          <cell r="M886">
            <v>0</v>
          </cell>
          <cell r="N886">
            <v>0</v>
          </cell>
          <cell r="O886">
            <v>35533</v>
          </cell>
          <cell r="P886">
            <v>0</v>
          </cell>
          <cell r="Q886">
            <v>0</v>
          </cell>
          <cell r="R886">
            <v>0</v>
          </cell>
          <cell r="S886">
            <v>35533</v>
          </cell>
          <cell r="V886">
            <v>35533</v>
          </cell>
        </row>
        <row r="887">
          <cell r="K887">
            <v>0</v>
          </cell>
          <cell r="L887">
            <v>0</v>
          </cell>
          <cell r="N887">
            <v>0</v>
          </cell>
          <cell r="O887">
            <v>0</v>
          </cell>
          <cell r="P887">
            <v>0</v>
          </cell>
          <cell r="Q887">
            <v>0</v>
          </cell>
          <cell r="R887">
            <v>0</v>
          </cell>
          <cell r="S887">
            <v>0</v>
          </cell>
        </row>
        <row r="888">
          <cell r="J888">
            <v>1</v>
          </cell>
          <cell r="K888">
            <v>0</v>
          </cell>
          <cell r="L888">
            <v>13970</v>
          </cell>
          <cell r="M888">
            <v>0</v>
          </cell>
          <cell r="N888">
            <v>0</v>
          </cell>
          <cell r="O888">
            <v>13970</v>
          </cell>
          <cell r="P888">
            <v>0</v>
          </cell>
          <cell r="Q888">
            <v>0</v>
          </cell>
          <cell r="R888">
            <v>0</v>
          </cell>
          <cell r="S888">
            <v>13970</v>
          </cell>
          <cell r="V888">
            <v>13970</v>
          </cell>
        </row>
        <row r="889">
          <cell r="D889" t="str">
            <v>Máy kinh vĩ theo 010</v>
          </cell>
          <cell r="E889" t="str">
            <v>Theodolite level 010</v>
          </cell>
          <cell r="J889">
            <v>1</v>
          </cell>
          <cell r="K889">
            <v>0</v>
          </cell>
          <cell r="L889">
            <v>32067</v>
          </cell>
          <cell r="M889">
            <v>0</v>
          </cell>
          <cell r="N889">
            <v>0</v>
          </cell>
          <cell r="O889">
            <v>32067</v>
          </cell>
          <cell r="P889">
            <v>0</v>
          </cell>
          <cell r="Q889">
            <v>0</v>
          </cell>
          <cell r="R889">
            <v>0</v>
          </cell>
          <cell r="S889">
            <v>32067</v>
          </cell>
          <cell r="V889">
            <v>32067</v>
          </cell>
        </row>
        <row r="890">
          <cell r="J890">
            <v>1</v>
          </cell>
          <cell r="K890">
            <v>0</v>
          </cell>
          <cell r="L890">
            <v>52432</v>
          </cell>
          <cell r="M890">
            <v>0</v>
          </cell>
          <cell r="N890">
            <v>0</v>
          </cell>
          <cell r="O890">
            <v>52432</v>
          </cell>
          <cell r="P890">
            <v>0</v>
          </cell>
          <cell r="Q890">
            <v>0</v>
          </cell>
          <cell r="R890">
            <v>0</v>
          </cell>
          <cell r="S890">
            <v>52432</v>
          </cell>
          <cell r="V890">
            <v>52432</v>
          </cell>
        </row>
        <row r="891">
          <cell r="J891">
            <v>1</v>
          </cell>
          <cell r="K891">
            <v>0</v>
          </cell>
          <cell r="L891">
            <v>7218</v>
          </cell>
          <cell r="M891">
            <v>0</v>
          </cell>
          <cell r="N891">
            <v>0</v>
          </cell>
          <cell r="O891">
            <v>7218</v>
          </cell>
          <cell r="P891">
            <v>0</v>
          </cell>
          <cell r="Q891">
            <v>0</v>
          </cell>
          <cell r="R891">
            <v>0</v>
          </cell>
          <cell r="S891">
            <v>7218</v>
          </cell>
          <cell r="V891">
            <v>7218</v>
          </cell>
        </row>
        <row r="892">
          <cell r="J892">
            <v>1</v>
          </cell>
          <cell r="K892">
            <v>0</v>
          </cell>
          <cell r="L892">
            <v>10720</v>
          </cell>
          <cell r="M892">
            <v>0</v>
          </cell>
          <cell r="N892">
            <v>0</v>
          </cell>
          <cell r="O892">
            <v>10720</v>
          </cell>
          <cell r="P892">
            <v>0</v>
          </cell>
          <cell r="Q892">
            <v>0</v>
          </cell>
          <cell r="R892">
            <v>0</v>
          </cell>
          <cell r="S892">
            <v>10720</v>
          </cell>
          <cell r="V892">
            <v>10720</v>
          </cell>
        </row>
        <row r="893">
          <cell r="J893">
            <v>1</v>
          </cell>
          <cell r="K893">
            <v>0</v>
          </cell>
          <cell r="L893">
            <v>19500</v>
          </cell>
          <cell r="M893">
            <v>0</v>
          </cell>
          <cell r="N893">
            <v>0</v>
          </cell>
          <cell r="O893">
            <v>19500</v>
          </cell>
          <cell r="P893">
            <v>0</v>
          </cell>
          <cell r="Q893">
            <v>0</v>
          </cell>
          <cell r="R893">
            <v>0</v>
          </cell>
          <cell r="S893">
            <v>19500</v>
          </cell>
          <cell r="V893">
            <v>19500</v>
          </cell>
        </row>
        <row r="894">
          <cell r="J894">
            <v>1</v>
          </cell>
          <cell r="K894">
            <v>0</v>
          </cell>
          <cell r="L894">
            <v>1733</v>
          </cell>
          <cell r="M894">
            <v>0</v>
          </cell>
          <cell r="N894">
            <v>0</v>
          </cell>
          <cell r="O894">
            <v>1733</v>
          </cell>
          <cell r="P894">
            <v>0</v>
          </cell>
          <cell r="Q894">
            <v>0</v>
          </cell>
          <cell r="R894">
            <v>0</v>
          </cell>
          <cell r="S894">
            <v>1733</v>
          </cell>
          <cell r="V894">
            <v>1733</v>
          </cell>
        </row>
        <row r="895">
          <cell r="D895" t="str">
            <v>Máy thủy bình</v>
          </cell>
          <cell r="E895" t="str">
            <v>Gradienter</v>
          </cell>
          <cell r="J895">
            <v>1</v>
          </cell>
          <cell r="K895">
            <v>0</v>
          </cell>
          <cell r="L895">
            <v>11837</v>
          </cell>
          <cell r="M895">
            <v>0</v>
          </cell>
          <cell r="N895">
            <v>0</v>
          </cell>
          <cell r="O895">
            <v>11837</v>
          </cell>
          <cell r="P895">
            <v>0</v>
          </cell>
          <cell r="Q895">
            <v>0</v>
          </cell>
          <cell r="R895">
            <v>0</v>
          </cell>
          <cell r="S895">
            <v>11837</v>
          </cell>
          <cell r="V895">
            <v>11837</v>
          </cell>
        </row>
        <row r="896">
          <cell r="J896">
            <v>1</v>
          </cell>
          <cell r="K896">
            <v>0</v>
          </cell>
          <cell r="L896">
            <v>101867</v>
          </cell>
          <cell r="M896">
            <v>0</v>
          </cell>
          <cell r="N896">
            <v>0</v>
          </cell>
          <cell r="O896">
            <v>101867</v>
          </cell>
          <cell r="P896">
            <v>0</v>
          </cell>
          <cell r="Q896">
            <v>0</v>
          </cell>
          <cell r="R896">
            <v>0</v>
          </cell>
          <cell r="S896">
            <v>101867</v>
          </cell>
          <cell r="V896">
            <v>101867</v>
          </cell>
        </row>
        <row r="897">
          <cell r="J897">
            <v>1</v>
          </cell>
          <cell r="K897">
            <v>0</v>
          </cell>
          <cell r="L897">
            <v>376000</v>
          </cell>
          <cell r="M897">
            <v>0</v>
          </cell>
          <cell r="N897">
            <v>0</v>
          </cell>
          <cell r="O897">
            <v>376000</v>
          </cell>
          <cell r="P897">
            <v>0</v>
          </cell>
          <cell r="Q897">
            <v>0</v>
          </cell>
          <cell r="R897">
            <v>0</v>
          </cell>
          <cell r="S897">
            <v>376000</v>
          </cell>
          <cell r="V897">
            <v>376000</v>
          </cell>
        </row>
        <row r="898">
          <cell r="F898">
            <v>34</v>
          </cell>
          <cell r="J898">
            <v>1</v>
          </cell>
          <cell r="K898">
            <v>61040</v>
          </cell>
          <cell r="L898">
            <v>779425</v>
          </cell>
          <cell r="M898">
            <v>494938.30909090902</v>
          </cell>
          <cell r="N898">
            <v>162773.33333333331</v>
          </cell>
          <cell r="O898">
            <v>1437136.6424242423</v>
          </cell>
          <cell r="P898">
            <v>0</v>
          </cell>
          <cell r="Q898">
            <v>0</v>
          </cell>
          <cell r="R898">
            <v>162773.33333333331</v>
          </cell>
          <cell r="S898">
            <v>1437136.6424242423</v>
          </cell>
          <cell r="T898">
            <v>243403</v>
          </cell>
          <cell r="U898">
            <v>61040</v>
          </cell>
          <cell r="V898">
            <v>779425</v>
          </cell>
        </row>
        <row r="899">
          <cell r="K899">
            <v>0</v>
          </cell>
          <cell r="L899">
            <v>0</v>
          </cell>
          <cell r="N899">
            <v>0</v>
          </cell>
          <cell r="O899">
            <v>0</v>
          </cell>
          <cell r="P899">
            <v>0</v>
          </cell>
          <cell r="Q899">
            <v>0</v>
          </cell>
          <cell r="R899">
            <v>0</v>
          </cell>
          <cell r="S899">
            <v>0</v>
          </cell>
        </row>
        <row r="900">
          <cell r="J900">
            <v>1</v>
          </cell>
          <cell r="K900">
            <v>0</v>
          </cell>
          <cell r="L900">
            <v>858</v>
          </cell>
          <cell r="M900">
            <v>0</v>
          </cell>
          <cell r="N900">
            <v>0</v>
          </cell>
          <cell r="O900">
            <v>858</v>
          </cell>
          <cell r="P900">
            <v>0</v>
          </cell>
          <cell r="Q900">
            <v>0</v>
          </cell>
          <cell r="R900">
            <v>0</v>
          </cell>
          <cell r="S900">
            <v>858</v>
          </cell>
          <cell r="V900">
            <v>858</v>
          </cell>
        </row>
        <row r="901">
          <cell r="J901">
            <v>1</v>
          </cell>
          <cell r="K901">
            <v>0</v>
          </cell>
          <cell r="L901">
            <v>5730</v>
          </cell>
          <cell r="M901">
            <v>0</v>
          </cell>
          <cell r="N901">
            <v>0</v>
          </cell>
          <cell r="O901">
            <v>5730</v>
          </cell>
          <cell r="P901">
            <v>0</v>
          </cell>
          <cell r="Q901">
            <v>0</v>
          </cell>
          <cell r="R901">
            <v>0</v>
          </cell>
          <cell r="S901">
            <v>5730</v>
          </cell>
          <cell r="V901">
            <v>5730</v>
          </cell>
        </row>
        <row r="902">
          <cell r="J902">
            <v>1</v>
          </cell>
          <cell r="K902">
            <v>0</v>
          </cell>
          <cell r="L902">
            <v>2079400</v>
          </cell>
          <cell r="M902">
            <v>0</v>
          </cell>
          <cell r="N902">
            <v>0</v>
          </cell>
          <cell r="O902">
            <v>2079400</v>
          </cell>
          <cell r="P902">
            <v>0</v>
          </cell>
          <cell r="Q902">
            <v>0</v>
          </cell>
          <cell r="R902">
            <v>0</v>
          </cell>
          <cell r="S902">
            <v>2079400</v>
          </cell>
          <cell r="V902">
            <v>2079400</v>
          </cell>
        </row>
        <row r="903">
          <cell r="J903">
            <v>1</v>
          </cell>
          <cell r="K903">
            <v>0</v>
          </cell>
          <cell r="L903">
            <v>5134</v>
          </cell>
          <cell r="M903">
            <v>0</v>
          </cell>
          <cell r="N903">
            <v>0</v>
          </cell>
          <cell r="O903">
            <v>5134</v>
          </cell>
          <cell r="P903">
            <v>0</v>
          </cell>
          <cell r="Q903">
            <v>0</v>
          </cell>
          <cell r="R903">
            <v>0</v>
          </cell>
          <cell r="S903">
            <v>5134</v>
          </cell>
          <cell r="V903">
            <v>5134</v>
          </cell>
        </row>
        <row r="904">
          <cell r="K904">
            <v>0</v>
          </cell>
          <cell r="L904">
            <v>0</v>
          </cell>
          <cell r="N904">
            <v>0</v>
          </cell>
          <cell r="O904">
            <v>0</v>
          </cell>
          <cell r="P904">
            <v>0</v>
          </cell>
          <cell r="Q904">
            <v>0</v>
          </cell>
          <cell r="R904">
            <v>0</v>
          </cell>
          <cell r="S904">
            <v>0</v>
          </cell>
        </row>
        <row r="905">
          <cell r="J905">
            <v>1</v>
          </cell>
          <cell r="K905">
            <v>0</v>
          </cell>
          <cell r="L905">
            <v>15633</v>
          </cell>
          <cell r="M905">
            <v>0</v>
          </cell>
          <cell r="N905">
            <v>0</v>
          </cell>
          <cell r="O905">
            <v>15633</v>
          </cell>
          <cell r="P905">
            <v>0</v>
          </cell>
          <cell r="Q905">
            <v>0</v>
          </cell>
          <cell r="R905">
            <v>0</v>
          </cell>
          <cell r="S905">
            <v>15633</v>
          </cell>
          <cell r="V905">
            <v>15633</v>
          </cell>
        </row>
        <row r="906">
          <cell r="J906">
            <v>1</v>
          </cell>
          <cell r="K906">
            <v>0</v>
          </cell>
          <cell r="L906">
            <v>93210</v>
          </cell>
          <cell r="M906">
            <v>0</v>
          </cell>
          <cell r="N906">
            <v>0</v>
          </cell>
          <cell r="O906">
            <v>93210</v>
          </cell>
          <cell r="P906">
            <v>0</v>
          </cell>
          <cell r="Q906">
            <v>0</v>
          </cell>
          <cell r="R906">
            <v>0</v>
          </cell>
          <cell r="S906">
            <v>93210</v>
          </cell>
          <cell r="V906">
            <v>93210</v>
          </cell>
        </row>
        <row r="907">
          <cell r="J907">
            <v>1</v>
          </cell>
          <cell r="K907">
            <v>0</v>
          </cell>
          <cell r="L907">
            <v>255940</v>
          </cell>
          <cell r="M907">
            <v>0</v>
          </cell>
          <cell r="N907">
            <v>0</v>
          </cell>
          <cell r="O907">
            <v>255940</v>
          </cell>
          <cell r="P907">
            <v>0</v>
          </cell>
          <cell r="Q907">
            <v>0</v>
          </cell>
          <cell r="R907">
            <v>0</v>
          </cell>
          <cell r="S907">
            <v>255940</v>
          </cell>
          <cell r="V907">
            <v>255940</v>
          </cell>
        </row>
        <row r="908">
          <cell r="J908">
            <v>1</v>
          </cell>
          <cell r="K908">
            <v>0</v>
          </cell>
          <cell r="L908">
            <v>1146933</v>
          </cell>
          <cell r="M908">
            <v>0</v>
          </cell>
          <cell r="N908">
            <v>0</v>
          </cell>
          <cell r="O908">
            <v>1146933</v>
          </cell>
          <cell r="P908">
            <v>0</v>
          </cell>
          <cell r="Q908">
            <v>0</v>
          </cell>
          <cell r="R908">
            <v>0</v>
          </cell>
          <cell r="S908">
            <v>1146933</v>
          </cell>
          <cell r="V908">
            <v>1146933</v>
          </cell>
        </row>
        <row r="909">
          <cell r="J909">
            <v>1</v>
          </cell>
          <cell r="K909">
            <v>0</v>
          </cell>
          <cell r="L909">
            <v>55938</v>
          </cell>
          <cell r="M909">
            <v>0</v>
          </cell>
          <cell r="N909">
            <v>0</v>
          </cell>
          <cell r="O909">
            <v>55938</v>
          </cell>
          <cell r="P909">
            <v>0</v>
          </cell>
          <cell r="Q909">
            <v>0</v>
          </cell>
          <cell r="R909">
            <v>0</v>
          </cell>
          <cell r="S909">
            <v>55938</v>
          </cell>
          <cell r="V909">
            <v>55938</v>
          </cell>
        </row>
        <row r="910">
          <cell r="K910">
            <v>0</v>
          </cell>
          <cell r="L910">
            <v>0</v>
          </cell>
          <cell r="N910">
            <v>0</v>
          </cell>
          <cell r="O910">
            <v>0</v>
          </cell>
          <cell r="P910">
            <v>0</v>
          </cell>
          <cell r="Q910">
            <v>0</v>
          </cell>
          <cell r="R910">
            <v>0</v>
          </cell>
          <cell r="S910">
            <v>0</v>
          </cell>
        </row>
        <row r="911">
          <cell r="G911">
            <v>1.1000000000000001</v>
          </cell>
          <cell r="J911">
            <v>1</v>
          </cell>
          <cell r="K911">
            <v>0</v>
          </cell>
          <cell r="L911">
            <v>203977</v>
          </cell>
          <cell r="M911">
            <v>722.50144999999998</v>
          </cell>
          <cell r="N911">
            <v>0</v>
          </cell>
          <cell r="O911">
            <v>204699.50145000001</v>
          </cell>
          <cell r="P911">
            <v>0</v>
          </cell>
          <cell r="Q911">
            <v>0</v>
          </cell>
          <cell r="R911">
            <v>0</v>
          </cell>
          <cell r="S911">
            <v>204699.50145000001</v>
          </cell>
          <cell r="T911">
            <v>1053</v>
          </cell>
          <cell r="V911">
            <v>203977</v>
          </cell>
        </row>
        <row r="912">
          <cell r="D912" t="str">
            <v>Máy PDA và phần mềm Capwap</v>
          </cell>
          <cell r="E912" t="str">
            <v>PDA machine and Capwap software</v>
          </cell>
          <cell r="G912">
            <v>1.6</v>
          </cell>
          <cell r="J912">
            <v>1</v>
          </cell>
          <cell r="K912">
            <v>0</v>
          </cell>
          <cell r="L912">
            <v>766334</v>
          </cell>
          <cell r="M912">
            <v>1050.9112</v>
          </cell>
          <cell r="N912">
            <v>0</v>
          </cell>
          <cell r="O912">
            <v>767384.91119999997</v>
          </cell>
          <cell r="P912">
            <v>0</v>
          </cell>
          <cell r="Q912">
            <v>0</v>
          </cell>
          <cell r="R912">
            <v>0</v>
          </cell>
          <cell r="S912">
            <v>767384.91119999997</v>
          </cell>
          <cell r="T912">
            <v>1532</v>
          </cell>
          <cell r="V912">
            <v>766334</v>
          </cell>
        </row>
        <row r="913">
          <cell r="D913" t="str">
            <v>Thiết bị siêu âm</v>
          </cell>
          <cell r="E913" t="str">
            <v>Ultra sonic</v>
          </cell>
          <cell r="G913">
            <v>1.1000000000000001</v>
          </cell>
          <cell r="J913">
            <v>1</v>
          </cell>
          <cell r="K913">
            <v>0</v>
          </cell>
          <cell r="L913">
            <v>331421</v>
          </cell>
          <cell r="M913">
            <v>722.50144999999998</v>
          </cell>
          <cell r="N913">
            <v>0</v>
          </cell>
          <cell r="O913">
            <v>332143.50144999998</v>
          </cell>
          <cell r="P913">
            <v>0</v>
          </cell>
          <cell r="Q913">
            <v>0</v>
          </cell>
          <cell r="R913">
            <v>0</v>
          </cell>
          <cell r="S913">
            <v>332143.50144999998</v>
          </cell>
          <cell r="T913">
            <v>1053</v>
          </cell>
          <cell r="V913">
            <v>331421</v>
          </cell>
        </row>
        <row r="914">
          <cell r="K914">
            <v>0</v>
          </cell>
          <cell r="L914">
            <v>0</v>
          </cell>
          <cell r="N914">
            <v>0</v>
          </cell>
          <cell r="O914">
            <v>0</v>
          </cell>
          <cell r="P914">
            <v>0</v>
          </cell>
          <cell r="Q914">
            <v>0</v>
          </cell>
          <cell r="R914">
            <v>0</v>
          </cell>
          <cell r="S914">
            <v>0</v>
          </cell>
        </row>
        <row r="915">
          <cell r="J915">
            <v>1</v>
          </cell>
          <cell r="K915">
            <v>0</v>
          </cell>
          <cell r="L915">
            <v>85280</v>
          </cell>
          <cell r="M915">
            <v>0</v>
          </cell>
          <cell r="N915">
            <v>0</v>
          </cell>
          <cell r="O915">
            <v>85280</v>
          </cell>
          <cell r="P915">
            <v>0</v>
          </cell>
          <cell r="Q915">
            <v>0</v>
          </cell>
          <cell r="R915">
            <v>0</v>
          </cell>
          <cell r="S915">
            <v>85280</v>
          </cell>
          <cell r="V915">
            <v>85280</v>
          </cell>
        </row>
        <row r="916">
          <cell r="J916">
            <v>1</v>
          </cell>
          <cell r="K916">
            <v>0</v>
          </cell>
          <cell r="L916">
            <v>252187</v>
          </cell>
          <cell r="M916">
            <v>0</v>
          </cell>
          <cell r="N916">
            <v>0</v>
          </cell>
          <cell r="O916">
            <v>252187</v>
          </cell>
          <cell r="P916">
            <v>0</v>
          </cell>
          <cell r="Q916">
            <v>0</v>
          </cell>
          <cell r="R916">
            <v>0</v>
          </cell>
          <cell r="S916">
            <v>252187</v>
          </cell>
          <cell r="V916">
            <v>252187</v>
          </cell>
        </row>
        <row r="917">
          <cell r="J917">
            <v>1</v>
          </cell>
          <cell r="K917">
            <v>0</v>
          </cell>
          <cell r="L917">
            <v>296448</v>
          </cell>
          <cell r="M917">
            <v>0</v>
          </cell>
          <cell r="N917">
            <v>0</v>
          </cell>
          <cell r="O917">
            <v>296448</v>
          </cell>
          <cell r="P917">
            <v>0</v>
          </cell>
          <cell r="Q917">
            <v>0</v>
          </cell>
          <cell r="R917">
            <v>0</v>
          </cell>
          <cell r="S917">
            <v>296448</v>
          </cell>
          <cell r="V917">
            <v>296448</v>
          </cell>
        </row>
        <row r="918">
          <cell r="K918">
            <v>0</v>
          </cell>
          <cell r="L918">
            <v>0</v>
          </cell>
          <cell r="N918">
            <v>0</v>
          </cell>
          <cell r="O918">
            <v>0</v>
          </cell>
          <cell r="P918">
            <v>0</v>
          </cell>
          <cell r="Q918">
            <v>0</v>
          </cell>
          <cell r="R918">
            <v>0</v>
          </cell>
          <cell r="S918">
            <v>0</v>
          </cell>
        </row>
        <row r="919">
          <cell r="J919">
            <v>1</v>
          </cell>
          <cell r="K919">
            <v>0</v>
          </cell>
          <cell r="L919">
            <v>5253</v>
          </cell>
          <cell r="M919">
            <v>0</v>
          </cell>
          <cell r="N919">
            <v>0</v>
          </cell>
          <cell r="O919">
            <v>5253</v>
          </cell>
          <cell r="P919">
            <v>0</v>
          </cell>
          <cell r="Q919">
            <v>0</v>
          </cell>
          <cell r="R919">
            <v>0</v>
          </cell>
          <cell r="S919">
            <v>5253</v>
          </cell>
          <cell r="V919">
            <v>5253</v>
          </cell>
        </row>
        <row r="920">
          <cell r="D920" t="str">
            <v>Cân phân tích</v>
          </cell>
          <cell r="J920">
            <v>1</v>
          </cell>
          <cell r="K920">
            <v>0</v>
          </cell>
          <cell r="L920">
            <v>8118</v>
          </cell>
          <cell r="M920">
            <v>0</v>
          </cell>
          <cell r="N920">
            <v>0</v>
          </cell>
          <cell r="O920">
            <v>8118</v>
          </cell>
          <cell r="P920">
            <v>0</v>
          </cell>
          <cell r="Q920">
            <v>0</v>
          </cell>
          <cell r="R920">
            <v>0</v>
          </cell>
          <cell r="S920">
            <v>8118</v>
          </cell>
          <cell r="V920">
            <v>8118</v>
          </cell>
        </row>
        <row r="921">
          <cell r="D921" t="str">
            <v>Cân bàn</v>
          </cell>
          <cell r="J921">
            <v>1</v>
          </cell>
          <cell r="K921">
            <v>0</v>
          </cell>
          <cell r="L921">
            <v>3056</v>
          </cell>
          <cell r="M921">
            <v>0</v>
          </cell>
          <cell r="N921">
            <v>0</v>
          </cell>
          <cell r="O921">
            <v>3056</v>
          </cell>
          <cell r="P921">
            <v>0</v>
          </cell>
          <cell r="Q921">
            <v>0</v>
          </cell>
          <cell r="R921">
            <v>0</v>
          </cell>
          <cell r="S921">
            <v>3056</v>
          </cell>
          <cell r="V921">
            <v>3056</v>
          </cell>
        </row>
        <row r="922">
          <cell r="J922">
            <v>1</v>
          </cell>
          <cell r="K922">
            <v>0</v>
          </cell>
          <cell r="L922">
            <v>3629</v>
          </cell>
          <cell r="M922">
            <v>0</v>
          </cell>
          <cell r="N922">
            <v>0</v>
          </cell>
          <cell r="O922">
            <v>3629</v>
          </cell>
          <cell r="P922">
            <v>0</v>
          </cell>
          <cell r="Q922">
            <v>0</v>
          </cell>
          <cell r="R922">
            <v>0</v>
          </cell>
          <cell r="S922">
            <v>3629</v>
          </cell>
          <cell r="V922">
            <v>3629</v>
          </cell>
        </row>
        <row r="923">
          <cell r="G923">
            <v>12.2</v>
          </cell>
          <cell r="J923">
            <v>1</v>
          </cell>
          <cell r="K923">
            <v>0</v>
          </cell>
          <cell r="L923">
            <v>18113</v>
          </cell>
          <cell r="M923">
            <v>8013.1978999999992</v>
          </cell>
          <cell r="N923">
            <v>0</v>
          </cell>
          <cell r="O923">
            <v>26126.197899999999</v>
          </cell>
          <cell r="P923">
            <v>0</v>
          </cell>
          <cell r="Q923">
            <v>0</v>
          </cell>
          <cell r="R923">
            <v>0</v>
          </cell>
          <cell r="S923">
            <v>26126.197899999999</v>
          </cell>
          <cell r="T923">
            <v>11683</v>
          </cell>
          <cell r="V923">
            <v>18113</v>
          </cell>
        </row>
        <row r="924">
          <cell r="D924" t="str">
            <v>Tủ sấy</v>
          </cell>
          <cell r="G924">
            <v>8.1999999999999993</v>
          </cell>
          <cell r="J924">
            <v>1</v>
          </cell>
          <cell r="K924">
            <v>0</v>
          </cell>
          <cell r="L924">
            <v>15924</v>
          </cell>
          <cell r="M924">
            <v>5385.919899999999</v>
          </cell>
          <cell r="N924">
            <v>0</v>
          </cell>
          <cell r="O924">
            <v>21309.919900000001</v>
          </cell>
          <cell r="P924">
            <v>0</v>
          </cell>
          <cell r="Q924">
            <v>0</v>
          </cell>
          <cell r="R924">
            <v>0</v>
          </cell>
          <cell r="S924">
            <v>21309.919900000001</v>
          </cell>
          <cell r="T924">
            <v>7853</v>
          </cell>
          <cell r="V924">
            <v>15924</v>
          </cell>
        </row>
        <row r="925">
          <cell r="G925">
            <v>2.4</v>
          </cell>
          <cell r="J925">
            <v>1</v>
          </cell>
          <cell r="K925">
            <v>0</v>
          </cell>
          <cell r="L925">
            <v>11189</v>
          </cell>
          <cell r="M925">
            <v>1576.3667999999998</v>
          </cell>
          <cell r="N925">
            <v>0</v>
          </cell>
          <cell r="O925">
            <v>12765.3668</v>
          </cell>
          <cell r="P925">
            <v>0</v>
          </cell>
          <cell r="Q925">
            <v>0</v>
          </cell>
          <cell r="R925">
            <v>0</v>
          </cell>
          <cell r="S925">
            <v>12765.3668</v>
          </cell>
          <cell r="T925">
            <v>2298</v>
          </cell>
          <cell r="V925">
            <v>11189</v>
          </cell>
        </row>
        <row r="926">
          <cell r="G926">
            <v>2.4</v>
          </cell>
          <cell r="J926">
            <v>1</v>
          </cell>
          <cell r="K926">
            <v>0</v>
          </cell>
          <cell r="L926">
            <v>5976</v>
          </cell>
          <cell r="M926">
            <v>1576.3667999999998</v>
          </cell>
          <cell r="N926">
            <v>0</v>
          </cell>
          <cell r="O926">
            <v>7552.3667999999998</v>
          </cell>
          <cell r="P926">
            <v>0</v>
          </cell>
          <cell r="Q926">
            <v>0</v>
          </cell>
          <cell r="R926">
            <v>0</v>
          </cell>
          <cell r="S926">
            <v>7552.3667999999998</v>
          </cell>
          <cell r="T926">
            <v>2298</v>
          </cell>
          <cell r="V926">
            <v>5976</v>
          </cell>
        </row>
        <row r="927">
          <cell r="G927">
            <v>0.8</v>
          </cell>
          <cell r="J927">
            <v>1</v>
          </cell>
          <cell r="K927">
            <v>0</v>
          </cell>
          <cell r="L927">
            <v>3581</v>
          </cell>
          <cell r="M927">
            <v>525.4556</v>
          </cell>
          <cell r="N927">
            <v>0</v>
          </cell>
          <cell r="O927">
            <v>4106.4556000000002</v>
          </cell>
          <cell r="P927">
            <v>0</v>
          </cell>
          <cell r="Q927">
            <v>0</v>
          </cell>
          <cell r="R927">
            <v>0</v>
          </cell>
          <cell r="S927">
            <v>4106.4556000000002</v>
          </cell>
          <cell r="T927">
            <v>766</v>
          </cell>
          <cell r="V927">
            <v>3581</v>
          </cell>
        </row>
        <row r="928">
          <cell r="J928">
            <v>1</v>
          </cell>
          <cell r="K928">
            <v>0</v>
          </cell>
          <cell r="L928">
            <v>7349</v>
          </cell>
          <cell r="M928">
            <v>0</v>
          </cell>
          <cell r="N928">
            <v>0</v>
          </cell>
          <cell r="O928">
            <v>7349</v>
          </cell>
          <cell r="P928">
            <v>0</v>
          </cell>
          <cell r="Q928">
            <v>0</v>
          </cell>
          <cell r="R928">
            <v>0</v>
          </cell>
          <cell r="S928">
            <v>7349</v>
          </cell>
          <cell r="V928">
            <v>7349</v>
          </cell>
        </row>
        <row r="929">
          <cell r="D929" t="str">
            <v>Bếp điện (0,6 kW)</v>
          </cell>
          <cell r="G929">
            <v>2.9</v>
          </cell>
          <cell r="J929">
            <v>1</v>
          </cell>
          <cell r="K929">
            <v>0</v>
          </cell>
          <cell r="L929">
            <v>4073</v>
          </cell>
          <cell r="M929">
            <v>1904.7765499999998</v>
          </cell>
          <cell r="N929">
            <v>0</v>
          </cell>
          <cell r="O929">
            <v>5977.7765499999996</v>
          </cell>
          <cell r="P929">
            <v>0</v>
          </cell>
          <cell r="Q929">
            <v>0</v>
          </cell>
          <cell r="R929">
            <v>0</v>
          </cell>
          <cell r="S929">
            <v>5977.7765499999996</v>
          </cell>
          <cell r="T929">
            <v>2777</v>
          </cell>
          <cell r="V929">
            <v>4073</v>
          </cell>
        </row>
        <row r="930">
          <cell r="D930" t="str">
            <v>Bếp cát</v>
          </cell>
          <cell r="G930">
            <v>2.9</v>
          </cell>
          <cell r="J930">
            <v>1</v>
          </cell>
          <cell r="K930">
            <v>0</v>
          </cell>
          <cell r="L930">
            <v>4720</v>
          </cell>
          <cell r="M930">
            <v>1904.7765499999998</v>
          </cell>
          <cell r="N930">
            <v>0</v>
          </cell>
          <cell r="O930">
            <v>6624.7765499999996</v>
          </cell>
          <cell r="P930">
            <v>0</v>
          </cell>
          <cell r="Q930">
            <v>0</v>
          </cell>
          <cell r="R930">
            <v>0</v>
          </cell>
          <cell r="S930">
            <v>6624.7765499999996</v>
          </cell>
          <cell r="T930">
            <v>2777</v>
          </cell>
          <cell r="V930">
            <v>4720</v>
          </cell>
        </row>
        <row r="931">
          <cell r="G931">
            <v>2.9</v>
          </cell>
          <cell r="J931">
            <v>1</v>
          </cell>
          <cell r="K931">
            <v>0</v>
          </cell>
          <cell r="L931">
            <v>8303</v>
          </cell>
          <cell r="M931">
            <v>1904.7765499999998</v>
          </cell>
          <cell r="N931">
            <v>0</v>
          </cell>
          <cell r="O931">
            <v>10207.77655</v>
          </cell>
          <cell r="P931">
            <v>0</v>
          </cell>
          <cell r="Q931">
            <v>0</v>
          </cell>
          <cell r="R931">
            <v>0</v>
          </cell>
          <cell r="S931">
            <v>10207.77655</v>
          </cell>
          <cell r="T931">
            <v>2777</v>
          </cell>
          <cell r="V931">
            <v>8303</v>
          </cell>
        </row>
        <row r="932">
          <cell r="G932">
            <v>4.0999999999999996</v>
          </cell>
          <cell r="J932">
            <v>1</v>
          </cell>
          <cell r="K932">
            <v>0</v>
          </cell>
          <cell r="L932">
            <v>8755</v>
          </cell>
          <cell r="M932">
            <v>2692.9599499999995</v>
          </cell>
          <cell r="N932">
            <v>0</v>
          </cell>
          <cell r="O932">
            <v>11447.95995</v>
          </cell>
          <cell r="P932">
            <v>0</v>
          </cell>
          <cell r="Q932">
            <v>0</v>
          </cell>
          <cell r="R932">
            <v>0</v>
          </cell>
          <cell r="S932">
            <v>11447.95995</v>
          </cell>
          <cell r="T932">
            <v>3926</v>
          </cell>
          <cell r="V932">
            <v>8755</v>
          </cell>
        </row>
        <row r="933">
          <cell r="J933">
            <v>1</v>
          </cell>
          <cell r="K933">
            <v>0</v>
          </cell>
          <cell r="L933">
            <v>11149</v>
          </cell>
          <cell r="M933">
            <v>0</v>
          </cell>
          <cell r="N933">
            <v>0</v>
          </cell>
          <cell r="O933">
            <v>11149</v>
          </cell>
          <cell r="P933">
            <v>0</v>
          </cell>
          <cell r="Q933">
            <v>0</v>
          </cell>
          <cell r="R933">
            <v>0</v>
          </cell>
          <cell r="S933">
            <v>11149</v>
          </cell>
          <cell r="V933">
            <v>11149</v>
          </cell>
        </row>
        <row r="934">
          <cell r="J934">
            <v>1</v>
          </cell>
          <cell r="K934">
            <v>0</v>
          </cell>
          <cell r="L934">
            <v>9485</v>
          </cell>
          <cell r="M934">
            <v>0</v>
          </cell>
          <cell r="N934">
            <v>0</v>
          </cell>
          <cell r="O934">
            <v>9485</v>
          </cell>
          <cell r="P934">
            <v>0</v>
          </cell>
          <cell r="Q934">
            <v>0</v>
          </cell>
          <cell r="R934">
            <v>0</v>
          </cell>
          <cell r="S934">
            <v>9485</v>
          </cell>
          <cell r="V934">
            <v>9485</v>
          </cell>
        </row>
        <row r="935">
          <cell r="G935">
            <v>4.0999999999999996</v>
          </cell>
          <cell r="J935">
            <v>1</v>
          </cell>
          <cell r="K935">
            <v>0</v>
          </cell>
          <cell r="L935">
            <v>8747</v>
          </cell>
          <cell r="M935">
            <v>2692.9599499999995</v>
          </cell>
          <cell r="N935">
            <v>0</v>
          </cell>
          <cell r="O935">
            <v>11439.95995</v>
          </cell>
          <cell r="P935">
            <v>0</v>
          </cell>
          <cell r="Q935">
            <v>0</v>
          </cell>
          <cell r="R935">
            <v>0</v>
          </cell>
          <cell r="S935">
            <v>11439.95995</v>
          </cell>
          <cell r="T935">
            <v>3926</v>
          </cell>
          <cell r="V935">
            <v>8747</v>
          </cell>
        </row>
        <row r="936">
          <cell r="J936">
            <v>1</v>
          </cell>
          <cell r="K936">
            <v>0</v>
          </cell>
          <cell r="L936">
            <v>1827</v>
          </cell>
          <cell r="M936">
            <v>0</v>
          </cell>
          <cell r="N936">
            <v>0</v>
          </cell>
          <cell r="O936">
            <v>1827</v>
          </cell>
          <cell r="P936">
            <v>0</v>
          </cell>
          <cell r="Q936">
            <v>0</v>
          </cell>
          <cell r="R936">
            <v>0</v>
          </cell>
          <cell r="S936">
            <v>1827</v>
          </cell>
          <cell r="V936">
            <v>1827</v>
          </cell>
        </row>
        <row r="937">
          <cell r="G937">
            <v>3.8</v>
          </cell>
          <cell r="J937">
            <v>1</v>
          </cell>
          <cell r="K937">
            <v>0</v>
          </cell>
          <cell r="L937">
            <v>15739</v>
          </cell>
          <cell r="M937">
            <v>2495.9141</v>
          </cell>
          <cell r="N937">
            <v>0</v>
          </cell>
          <cell r="O937">
            <v>18234.914100000002</v>
          </cell>
          <cell r="P937">
            <v>0</v>
          </cell>
          <cell r="Q937">
            <v>0</v>
          </cell>
          <cell r="R937">
            <v>0</v>
          </cell>
          <cell r="S937">
            <v>18234.914100000002</v>
          </cell>
          <cell r="T937">
            <v>3639</v>
          </cell>
          <cell r="V937">
            <v>15739</v>
          </cell>
        </row>
        <row r="938">
          <cell r="J938">
            <v>1</v>
          </cell>
          <cell r="K938">
            <v>0</v>
          </cell>
          <cell r="L938">
            <v>107250</v>
          </cell>
          <cell r="M938">
            <v>0</v>
          </cell>
          <cell r="N938">
            <v>0</v>
          </cell>
          <cell r="O938">
            <v>107250</v>
          </cell>
          <cell r="P938">
            <v>0</v>
          </cell>
          <cell r="Q938">
            <v>0</v>
          </cell>
          <cell r="R938">
            <v>0</v>
          </cell>
          <cell r="S938">
            <v>107250</v>
          </cell>
          <cell r="V938">
            <v>107250</v>
          </cell>
        </row>
        <row r="939">
          <cell r="G939">
            <v>4.5</v>
          </cell>
          <cell r="J939">
            <v>1</v>
          </cell>
          <cell r="K939">
            <v>0</v>
          </cell>
          <cell r="L939">
            <v>449291</v>
          </cell>
          <cell r="M939">
            <v>2955.6877500000001</v>
          </cell>
          <cell r="N939">
            <v>0</v>
          </cell>
          <cell r="O939">
            <v>452246.68774999998</v>
          </cell>
          <cell r="P939">
            <v>0</v>
          </cell>
          <cell r="Q939">
            <v>0</v>
          </cell>
          <cell r="R939">
            <v>0</v>
          </cell>
          <cell r="S939">
            <v>452246.68774999998</v>
          </cell>
          <cell r="T939">
            <v>4309</v>
          </cell>
          <cell r="V939">
            <v>449291</v>
          </cell>
        </row>
        <row r="940">
          <cell r="G940">
            <v>1.9</v>
          </cell>
          <cell r="J940">
            <v>1</v>
          </cell>
          <cell r="K940">
            <v>0</v>
          </cell>
          <cell r="L940">
            <v>14213</v>
          </cell>
          <cell r="M940">
            <v>1247.95705</v>
          </cell>
          <cell r="N940">
            <v>0</v>
          </cell>
          <cell r="O940">
            <v>15460.957050000001</v>
          </cell>
          <cell r="P940">
            <v>0</v>
          </cell>
          <cell r="Q940">
            <v>0</v>
          </cell>
          <cell r="R940">
            <v>0</v>
          </cell>
          <cell r="S940">
            <v>15460.957050000001</v>
          </cell>
          <cell r="T940">
            <v>1820</v>
          </cell>
          <cell r="V940">
            <v>14213</v>
          </cell>
        </row>
        <row r="941">
          <cell r="J941">
            <v>1</v>
          </cell>
          <cell r="K941">
            <v>0</v>
          </cell>
          <cell r="L941">
            <v>4056</v>
          </cell>
          <cell r="M941">
            <v>0</v>
          </cell>
          <cell r="N941">
            <v>0</v>
          </cell>
          <cell r="O941">
            <v>4056</v>
          </cell>
          <cell r="P941">
            <v>0</v>
          </cell>
          <cell r="Q941">
            <v>0</v>
          </cell>
          <cell r="R941">
            <v>0</v>
          </cell>
          <cell r="S941">
            <v>4056</v>
          </cell>
          <cell r="V941">
            <v>4056</v>
          </cell>
        </row>
        <row r="942">
          <cell r="G942">
            <v>7.2</v>
          </cell>
          <cell r="J942">
            <v>1</v>
          </cell>
          <cell r="K942">
            <v>0</v>
          </cell>
          <cell r="L942">
            <v>84144</v>
          </cell>
          <cell r="M942">
            <v>4729.1003999999994</v>
          </cell>
          <cell r="N942">
            <v>0</v>
          </cell>
          <cell r="O942">
            <v>88873.100399999996</v>
          </cell>
          <cell r="P942">
            <v>0</v>
          </cell>
          <cell r="Q942">
            <v>0</v>
          </cell>
          <cell r="R942">
            <v>0</v>
          </cell>
          <cell r="S942">
            <v>88873.100399999996</v>
          </cell>
          <cell r="T942">
            <v>6895</v>
          </cell>
          <cell r="V942">
            <v>84144</v>
          </cell>
        </row>
        <row r="943">
          <cell r="G943">
            <v>6.5</v>
          </cell>
          <cell r="J943">
            <v>1</v>
          </cell>
          <cell r="K943">
            <v>0</v>
          </cell>
          <cell r="L943">
            <v>41678</v>
          </cell>
          <cell r="M943">
            <v>4269.3267500000002</v>
          </cell>
          <cell r="N943">
            <v>0</v>
          </cell>
          <cell r="O943">
            <v>45947.32675</v>
          </cell>
          <cell r="P943">
            <v>0</v>
          </cell>
          <cell r="Q943">
            <v>0</v>
          </cell>
          <cell r="R943">
            <v>0</v>
          </cell>
          <cell r="S943">
            <v>45947.32675</v>
          </cell>
          <cell r="T943">
            <v>6225</v>
          </cell>
          <cell r="V943">
            <v>41678</v>
          </cell>
        </row>
        <row r="944">
          <cell r="G944">
            <v>4.8</v>
          </cell>
          <cell r="J944">
            <v>1</v>
          </cell>
          <cell r="K944">
            <v>0</v>
          </cell>
          <cell r="L944">
            <v>37896</v>
          </cell>
          <cell r="M944">
            <v>3152.7335999999996</v>
          </cell>
          <cell r="N944">
            <v>0</v>
          </cell>
          <cell r="O944">
            <v>41048.7336</v>
          </cell>
          <cell r="P944">
            <v>0</v>
          </cell>
          <cell r="Q944">
            <v>0</v>
          </cell>
          <cell r="R944">
            <v>0</v>
          </cell>
          <cell r="S944">
            <v>41048.7336</v>
          </cell>
          <cell r="T944">
            <v>4597</v>
          </cell>
          <cell r="V944">
            <v>37896</v>
          </cell>
        </row>
        <row r="945">
          <cell r="G945">
            <v>7.2</v>
          </cell>
          <cell r="J945">
            <v>1</v>
          </cell>
          <cell r="K945">
            <v>0</v>
          </cell>
          <cell r="L945">
            <v>12896</v>
          </cell>
          <cell r="M945">
            <v>4729.1003999999994</v>
          </cell>
          <cell r="N945">
            <v>0</v>
          </cell>
          <cell r="O945">
            <v>17625.100399999999</v>
          </cell>
          <cell r="P945">
            <v>0</v>
          </cell>
          <cell r="Q945">
            <v>0</v>
          </cell>
          <cell r="R945">
            <v>0</v>
          </cell>
          <cell r="S945">
            <v>17625.100399999999</v>
          </cell>
          <cell r="T945">
            <v>6895</v>
          </cell>
          <cell r="V945">
            <v>12896</v>
          </cell>
        </row>
        <row r="946">
          <cell r="G946">
            <v>0.8</v>
          </cell>
          <cell r="J946">
            <v>1</v>
          </cell>
          <cell r="K946">
            <v>0</v>
          </cell>
          <cell r="L946">
            <v>9382</v>
          </cell>
          <cell r="M946">
            <v>525.4556</v>
          </cell>
          <cell r="N946">
            <v>0</v>
          </cell>
          <cell r="O946">
            <v>9907.4555999999993</v>
          </cell>
          <cell r="P946">
            <v>0</v>
          </cell>
          <cell r="Q946">
            <v>0</v>
          </cell>
          <cell r="R946">
            <v>0</v>
          </cell>
          <cell r="S946">
            <v>9907.4555999999993</v>
          </cell>
          <cell r="T946">
            <v>766</v>
          </cell>
          <cell r="V946">
            <v>9382</v>
          </cell>
        </row>
        <row r="947">
          <cell r="J947">
            <v>1</v>
          </cell>
          <cell r="K947">
            <v>0</v>
          </cell>
          <cell r="L947">
            <v>138528</v>
          </cell>
          <cell r="M947">
            <v>0</v>
          </cell>
          <cell r="N947">
            <v>0</v>
          </cell>
          <cell r="O947">
            <v>138528</v>
          </cell>
          <cell r="P947">
            <v>0</v>
          </cell>
          <cell r="Q947">
            <v>0</v>
          </cell>
          <cell r="R947">
            <v>0</v>
          </cell>
          <cell r="S947">
            <v>138528</v>
          </cell>
          <cell r="V947">
            <v>138528</v>
          </cell>
        </row>
        <row r="948">
          <cell r="G948">
            <v>4.0999999999999996</v>
          </cell>
          <cell r="J948">
            <v>1</v>
          </cell>
          <cell r="K948">
            <v>0</v>
          </cell>
          <cell r="L948">
            <v>56396</v>
          </cell>
          <cell r="M948">
            <v>2692.9599499999995</v>
          </cell>
          <cell r="N948">
            <v>0</v>
          </cell>
          <cell r="O948">
            <v>59088.959949999997</v>
          </cell>
          <cell r="P948">
            <v>0</v>
          </cell>
          <cell r="Q948">
            <v>0</v>
          </cell>
          <cell r="R948">
            <v>0</v>
          </cell>
          <cell r="S948">
            <v>59088.959949999997</v>
          </cell>
          <cell r="T948">
            <v>3926</v>
          </cell>
          <cell r="V948">
            <v>56396</v>
          </cell>
        </row>
        <row r="949">
          <cell r="J949">
            <v>1</v>
          </cell>
          <cell r="K949">
            <v>0</v>
          </cell>
          <cell r="L949">
            <v>6020</v>
          </cell>
          <cell r="M949">
            <v>0</v>
          </cell>
          <cell r="N949">
            <v>0</v>
          </cell>
          <cell r="O949">
            <v>6020</v>
          </cell>
          <cell r="P949">
            <v>0</v>
          </cell>
          <cell r="Q949">
            <v>0</v>
          </cell>
          <cell r="R949">
            <v>0</v>
          </cell>
          <cell r="S949">
            <v>6020</v>
          </cell>
          <cell r="V949">
            <v>6020</v>
          </cell>
        </row>
        <row r="950">
          <cell r="J950">
            <v>1</v>
          </cell>
          <cell r="K950">
            <v>0</v>
          </cell>
          <cell r="L950">
            <v>5590</v>
          </cell>
          <cell r="M950">
            <v>0</v>
          </cell>
          <cell r="N950">
            <v>0</v>
          </cell>
          <cell r="O950">
            <v>5590</v>
          </cell>
          <cell r="P950">
            <v>0</v>
          </cell>
          <cell r="Q950">
            <v>0</v>
          </cell>
          <cell r="R950">
            <v>0</v>
          </cell>
          <cell r="S950">
            <v>5590</v>
          </cell>
          <cell r="V950">
            <v>5590</v>
          </cell>
        </row>
        <row r="951">
          <cell r="J951">
            <v>1</v>
          </cell>
          <cell r="K951">
            <v>0</v>
          </cell>
          <cell r="L951">
            <v>14560</v>
          </cell>
          <cell r="M951">
            <v>0</v>
          </cell>
          <cell r="N951">
            <v>0</v>
          </cell>
          <cell r="O951">
            <v>14560</v>
          </cell>
          <cell r="P951">
            <v>0</v>
          </cell>
          <cell r="Q951">
            <v>0</v>
          </cell>
          <cell r="R951">
            <v>0</v>
          </cell>
          <cell r="S951">
            <v>14560</v>
          </cell>
          <cell r="V951">
            <v>14560</v>
          </cell>
        </row>
        <row r="952">
          <cell r="J952">
            <v>1</v>
          </cell>
          <cell r="K952">
            <v>0</v>
          </cell>
          <cell r="L952">
            <v>24856</v>
          </cell>
          <cell r="M952">
            <v>0</v>
          </cell>
          <cell r="N952">
            <v>0</v>
          </cell>
          <cell r="O952">
            <v>24856</v>
          </cell>
          <cell r="P952">
            <v>0</v>
          </cell>
          <cell r="Q952">
            <v>0</v>
          </cell>
          <cell r="R952">
            <v>0</v>
          </cell>
          <cell r="S952">
            <v>24856</v>
          </cell>
          <cell r="V952">
            <v>24856</v>
          </cell>
        </row>
        <row r="953">
          <cell r="J953">
            <v>1</v>
          </cell>
          <cell r="K953">
            <v>0</v>
          </cell>
          <cell r="L953">
            <v>33280</v>
          </cell>
          <cell r="M953">
            <v>0</v>
          </cell>
          <cell r="N953">
            <v>0</v>
          </cell>
          <cell r="O953">
            <v>33280</v>
          </cell>
          <cell r="P953">
            <v>0</v>
          </cell>
          <cell r="Q953">
            <v>0</v>
          </cell>
          <cell r="R953">
            <v>0</v>
          </cell>
          <cell r="S953">
            <v>33280</v>
          </cell>
          <cell r="V953">
            <v>33280</v>
          </cell>
        </row>
        <row r="954">
          <cell r="J954">
            <v>1</v>
          </cell>
          <cell r="K954">
            <v>0</v>
          </cell>
          <cell r="L954">
            <v>36400</v>
          </cell>
          <cell r="M954">
            <v>0</v>
          </cell>
          <cell r="N954">
            <v>0</v>
          </cell>
          <cell r="O954">
            <v>36400</v>
          </cell>
          <cell r="P954">
            <v>0</v>
          </cell>
          <cell r="Q954">
            <v>0</v>
          </cell>
          <cell r="R954">
            <v>0</v>
          </cell>
          <cell r="S954">
            <v>36400</v>
          </cell>
          <cell r="V954">
            <v>36400</v>
          </cell>
        </row>
        <row r="955">
          <cell r="J955">
            <v>1</v>
          </cell>
          <cell r="K955">
            <v>0</v>
          </cell>
          <cell r="L955">
            <v>20176</v>
          </cell>
          <cell r="M955">
            <v>0</v>
          </cell>
          <cell r="N955">
            <v>0</v>
          </cell>
          <cell r="O955">
            <v>20176</v>
          </cell>
          <cell r="P955">
            <v>0</v>
          </cell>
          <cell r="Q955">
            <v>0</v>
          </cell>
          <cell r="R955">
            <v>0</v>
          </cell>
          <cell r="S955">
            <v>20176</v>
          </cell>
          <cell r="V955">
            <v>20176</v>
          </cell>
        </row>
        <row r="956">
          <cell r="J956">
            <v>1</v>
          </cell>
          <cell r="K956">
            <v>0</v>
          </cell>
          <cell r="L956">
            <v>126282</v>
          </cell>
          <cell r="M956">
            <v>0</v>
          </cell>
          <cell r="N956">
            <v>0</v>
          </cell>
          <cell r="O956">
            <v>126282</v>
          </cell>
          <cell r="P956">
            <v>0</v>
          </cell>
          <cell r="Q956">
            <v>0</v>
          </cell>
          <cell r="R956">
            <v>0</v>
          </cell>
          <cell r="S956">
            <v>126282</v>
          </cell>
          <cell r="V956">
            <v>126282</v>
          </cell>
        </row>
        <row r="957">
          <cell r="J957">
            <v>1</v>
          </cell>
          <cell r="K957">
            <v>0</v>
          </cell>
          <cell r="L957">
            <v>26000</v>
          </cell>
          <cell r="M957">
            <v>0</v>
          </cell>
          <cell r="N957">
            <v>0</v>
          </cell>
          <cell r="O957">
            <v>26000</v>
          </cell>
          <cell r="P957">
            <v>0</v>
          </cell>
          <cell r="Q957">
            <v>0</v>
          </cell>
          <cell r="R957">
            <v>0</v>
          </cell>
          <cell r="S957">
            <v>26000</v>
          </cell>
          <cell r="V957">
            <v>26000</v>
          </cell>
        </row>
        <row r="958">
          <cell r="J958">
            <v>1</v>
          </cell>
          <cell r="K958">
            <v>0</v>
          </cell>
          <cell r="L958">
            <v>4368</v>
          </cell>
          <cell r="M958">
            <v>0</v>
          </cell>
          <cell r="N958">
            <v>0</v>
          </cell>
          <cell r="O958">
            <v>4368</v>
          </cell>
          <cell r="P958">
            <v>0</v>
          </cell>
          <cell r="Q958">
            <v>0</v>
          </cell>
          <cell r="R958">
            <v>0</v>
          </cell>
          <cell r="S958">
            <v>4368</v>
          </cell>
          <cell r="V958">
            <v>4368</v>
          </cell>
        </row>
        <row r="959">
          <cell r="J959">
            <v>1</v>
          </cell>
          <cell r="K959">
            <v>0</v>
          </cell>
          <cell r="L959">
            <v>57420</v>
          </cell>
          <cell r="M959">
            <v>0</v>
          </cell>
          <cell r="N959">
            <v>0</v>
          </cell>
          <cell r="O959">
            <v>57420</v>
          </cell>
          <cell r="P959">
            <v>0</v>
          </cell>
          <cell r="Q959">
            <v>0</v>
          </cell>
          <cell r="R959">
            <v>0</v>
          </cell>
          <cell r="S959">
            <v>57420</v>
          </cell>
          <cell r="V959">
            <v>57420</v>
          </cell>
        </row>
        <row r="960">
          <cell r="J960">
            <v>1</v>
          </cell>
          <cell r="K960">
            <v>0</v>
          </cell>
          <cell r="L960">
            <v>6448</v>
          </cell>
          <cell r="M960">
            <v>0</v>
          </cell>
          <cell r="N960">
            <v>0</v>
          </cell>
          <cell r="O960">
            <v>6448</v>
          </cell>
          <cell r="P960">
            <v>0</v>
          </cell>
          <cell r="Q960">
            <v>0</v>
          </cell>
          <cell r="R960">
            <v>0</v>
          </cell>
          <cell r="S960">
            <v>6448</v>
          </cell>
          <cell r="V960">
            <v>6448</v>
          </cell>
        </row>
        <row r="961">
          <cell r="J961">
            <v>1</v>
          </cell>
          <cell r="K961">
            <v>0</v>
          </cell>
          <cell r="L961">
            <v>5824</v>
          </cell>
          <cell r="M961">
            <v>0</v>
          </cell>
          <cell r="N961">
            <v>0</v>
          </cell>
          <cell r="O961">
            <v>5824</v>
          </cell>
          <cell r="P961">
            <v>0</v>
          </cell>
          <cell r="Q961">
            <v>0</v>
          </cell>
          <cell r="R961">
            <v>0</v>
          </cell>
          <cell r="S961">
            <v>5824</v>
          </cell>
          <cell r="V961">
            <v>5824</v>
          </cell>
        </row>
        <row r="962">
          <cell r="J962">
            <v>1</v>
          </cell>
          <cell r="K962">
            <v>0</v>
          </cell>
          <cell r="L962">
            <v>57262</v>
          </cell>
          <cell r="M962">
            <v>0</v>
          </cell>
          <cell r="N962">
            <v>0</v>
          </cell>
          <cell r="O962">
            <v>57262</v>
          </cell>
          <cell r="P962">
            <v>0</v>
          </cell>
          <cell r="Q962">
            <v>0</v>
          </cell>
          <cell r="R962">
            <v>0</v>
          </cell>
          <cell r="S962">
            <v>57262</v>
          </cell>
          <cell r="V962">
            <v>57262</v>
          </cell>
        </row>
        <row r="963">
          <cell r="J963">
            <v>1</v>
          </cell>
          <cell r="K963">
            <v>0</v>
          </cell>
          <cell r="L963">
            <v>49104</v>
          </cell>
          <cell r="M963">
            <v>0</v>
          </cell>
          <cell r="N963">
            <v>0</v>
          </cell>
          <cell r="O963">
            <v>49104</v>
          </cell>
          <cell r="P963">
            <v>0</v>
          </cell>
          <cell r="Q963">
            <v>0</v>
          </cell>
          <cell r="R963">
            <v>0</v>
          </cell>
          <cell r="S963">
            <v>49104</v>
          </cell>
          <cell r="V963">
            <v>49104</v>
          </cell>
        </row>
        <row r="964">
          <cell r="J964">
            <v>1</v>
          </cell>
          <cell r="K964">
            <v>0</v>
          </cell>
          <cell r="L964">
            <v>11336</v>
          </cell>
          <cell r="M964">
            <v>0</v>
          </cell>
          <cell r="N964">
            <v>0</v>
          </cell>
          <cell r="O964">
            <v>11336</v>
          </cell>
          <cell r="P964">
            <v>0</v>
          </cell>
          <cell r="Q964">
            <v>0</v>
          </cell>
          <cell r="R964">
            <v>0</v>
          </cell>
          <cell r="S964">
            <v>11336</v>
          </cell>
          <cell r="V964">
            <v>11336</v>
          </cell>
        </row>
        <row r="965">
          <cell r="J965">
            <v>1</v>
          </cell>
          <cell r="K965">
            <v>0</v>
          </cell>
          <cell r="L965">
            <v>70122</v>
          </cell>
          <cell r="M965">
            <v>0</v>
          </cell>
          <cell r="N965">
            <v>0</v>
          </cell>
          <cell r="O965">
            <v>70122</v>
          </cell>
          <cell r="P965">
            <v>0</v>
          </cell>
          <cell r="Q965">
            <v>0</v>
          </cell>
          <cell r="R965">
            <v>0</v>
          </cell>
          <cell r="S965">
            <v>70122</v>
          </cell>
          <cell r="V965">
            <v>70122</v>
          </cell>
        </row>
        <row r="966">
          <cell r="J966">
            <v>1</v>
          </cell>
          <cell r="K966">
            <v>0</v>
          </cell>
          <cell r="L966">
            <v>100437</v>
          </cell>
          <cell r="M966">
            <v>0</v>
          </cell>
          <cell r="N966">
            <v>0</v>
          </cell>
          <cell r="O966">
            <v>100437</v>
          </cell>
          <cell r="P966">
            <v>0</v>
          </cell>
          <cell r="Q966">
            <v>0</v>
          </cell>
          <cell r="R966">
            <v>0</v>
          </cell>
          <cell r="S966">
            <v>100437</v>
          </cell>
          <cell r="V966">
            <v>100437</v>
          </cell>
        </row>
        <row r="967">
          <cell r="J967">
            <v>1</v>
          </cell>
          <cell r="K967">
            <v>0</v>
          </cell>
          <cell r="L967">
            <v>6739</v>
          </cell>
          <cell r="M967">
            <v>0</v>
          </cell>
          <cell r="N967">
            <v>0</v>
          </cell>
          <cell r="O967">
            <v>6739</v>
          </cell>
          <cell r="P967">
            <v>0</v>
          </cell>
          <cell r="Q967">
            <v>0</v>
          </cell>
          <cell r="R967">
            <v>0</v>
          </cell>
          <cell r="S967">
            <v>6739</v>
          </cell>
          <cell r="V967">
            <v>6739</v>
          </cell>
        </row>
        <row r="968">
          <cell r="J968">
            <v>1</v>
          </cell>
          <cell r="K968">
            <v>0</v>
          </cell>
          <cell r="L968">
            <v>52272</v>
          </cell>
          <cell r="M968">
            <v>0</v>
          </cell>
          <cell r="N968">
            <v>0</v>
          </cell>
          <cell r="O968">
            <v>52272</v>
          </cell>
          <cell r="P968">
            <v>0</v>
          </cell>
          <cell r="Q968">
            <v>0</v>
          </cell>
          <cell r="R968">
            <v>0</v>
          </cell>
          <cell r="S968">
            <v>52272</v>
          </cell>
          <cell r="V968">
            <v>52272</v>
          </cell>
        </row>
        <row r="969">
          <cell r="J969">
            <v>1</v>
          </cell>
          <cell r="K969">
            <v>0</v>
          </cell>
          <cell r="L969">
            <v>9402</v>
          </cell>
          <cell r="M969">
            <v>0</v>
          </cell>
          <cell r="N969">
            <v>0</v>
          </cell>
          <cell r="O969">
            <v>9402</v>
          </cell>
          <cell r="P969">
            <v>0</v>
          </cell>
          <cell r="Q969">
            <v>0</v>
          </cell>
          <cell r="R969">
            <v>0</v>
          </cell>
          <cell r="S969">
            <v>9402</v>
          </cell>
          <cell r="V969">
            <v>9402</v>
          </cell>
        </row>
        <row r="970">
          <cell r="J970">
            <v>1</v>
          </cell>
          <cell r="K970">
            <v>0</v>
          </cell>
          <cell r="L970">
            <v>32314</v>
          </cell>
          <cell r="M970">
            <v>0</v>
          </cell>
          <cell r="N970">
            <v>0</v>
          </cell>
          <cell r="O970">
            <v>32314</v>
          </cell>
          <cell r="P970">
            <v>0</v>
          </cell>
          <cell r="Q970">
            <v>0</v>
          </cell>
          <cell r="R970">
            <v>0</v>
          </cell>
          <cell r="S970">
            <v>32314</v>
          </cell>
          <cell r="V970">
            <v>32314</v>
          </cell>
        </row>
        <row r="971">
          <cell r="J971">
            <v>1</v>
          </cell>
          <cell r="K971">
            <v>0</v>
          </cell>
          <cell r="L971">
            <v>17052</v>
          </cell>
          <cell r="M971">
            <v>0</v>
          </cell>
          <cell r="N971">
            <v>0</v>
          </cell>
          <cell r="O971">
            <v>17052</v>
          </cell>
          <cell r="P971">
            <v>0</v>
          </cell>
          <cell r="Q971">
            <v>0</v>
          </cell>
          <cell r="R971">
            <v>0</v>
          </cell>
          <cell r="S971">
            <v>17052</v>
          </cell>
          <cell r="V971">
            <v>17052</v>
          </cell>
        </row>
        <row r="972">
          <cell r="J972">
            <v>1</v>
          </cell>
          <cell r="K972">
            <v>0</v>
          </cell>
          <cell r="L972">
            <v>22736</v>
          </cell>
          <cell r="M972">
            <v>0</v>
          </cell>
          <cell r="N972">
            <v>0</v>
          </cell>
          <cell r="O972">
            <v>22736</v>
          </cell>
          <cell r="P972">
            <v>0</v>
          </cell>
          <cell r="Q972">
            <v>0</v>
          </cell>
          <cell r="R972">
            <v>0</v>
          </cell>
          <cell r="S972">
            <v>22736</v>
          </cell>
          <cell r="V972">
            <v>22736</v>
          </cell>
        </row>
        <row r="973">
          <cell r="J973">
            <v>1</v>
          </cell>
          <cell r="K973">
            <v>0</v>
          </cell>
          <cell r="L973">
            <v>57024</v>
          </cell>
          <cell r="M973">
            <v>0</v>
          </cell>
          <cell r="N973">
            <v>0</v>
          </cell>
          <cell r="O973">
            <v>57024</v>
          </cell>
          <cell r="P973">
            <v>0</v>
          </cell>
          <cell r="Q973">
            <v>0</v>
          </cell>
          <cell r="R973">
            <v>0</v>
          </cell>
          <cell r="S973">
            <v>57024</v>
          </cell>
          <cell r="V973">
            <v>57024</v>
          </cell>
        </row>
        <row r="974">
          <cell r="J974">
            <v>1</v>
          </cell>
          <cell r="K974">
            <v>0</v>
          </cell>
          <cell r="L974">
            <v>33264</v>
          </cell>
          <cell r="M974">
            <v>0</v>
          </cell>
          <cell r="N974">
            <v>0</v>
          </cell>
          <cell r="O974">
            <v>33264</v>
          </cell>
          <cell r="P974">
            <v>0</v>
          </cell>
          <cell r="Q974">
            <v>0</v>
          </cell>
          <cell r="R974">
            <v>0</v>
          </cell>
          <cell r="S974">
            <v>33264</v>
          </cell>
          <cell r="V974">
            <v>33264</v>
          </cell>
        </row>
        <row r="975">
          <cell r="J975">
            <v>1</v>
          </cell>
          <cell r="K975">
            <v>0</v>
          </cell>
          <cell r="L975">
            <v>4909</v>
          </cell>
          <cell r="M975">
            <v>0</v>
          </cell>
          <cell r="N975">
            <v>0</v>
          </cell>
          <cell r="O975">
            <v>4909</v>
          </cell>
          <cell r="P975">
            <v>0</v>
          </cell>
          <cell r="Q975">
            <v>0</v>
          </cell>
          <cell r="R975">
            <v>0</v>
          </cell>
          <cell r="S975">
            <v>4909</v>
          </cell>
          <cell r="V975">
            <v>4909</v>
          </cell>
        </row>
        <row r="976">
          <cell r="J976">
            <v>1</v>
          </cell>
          <cell r="K976">
            <v>0</v>
          </cell>
          <cell r="L976">
            <v>8154</v>
          </cell>
          <cell r="M976">
            <v>0</v>
          </cell>
          <cell r="N976">
            <v>0</v>
          </cell>
          <cell r="O976">
            <v>8154</v>
          </cell>
          <cell r="P976">
            <v>0</v>
          </cell>
          <cell r="Q976">
            <v>0</v>
          </cell>
          <cell r="R976">
            <v>0</v>
          </cell>
          <cell r="S976">
            <v>8154</v>
          </cell>
          <cell r="V976">
            <v>8154</v>
          </cell>
        </row>
        <row r="977">
          <cell r="J977">
            <v>1</v>
          </cell>
          <cell r="K977">
            <v>0</v>
          </cell>
          <cell r="L977">
            <v>8819</v>
          </cell>
          <cell r="M977">
            <v>0</v>
          </cell>
          <cell r="N977">
            <v>0</v>
          </cell>
          <cell r="O977">
            <v>8819</v>
          </cell>
          <cell r="P977">
            <v>0</v>
          </cell>
          <cell r="Q977">
            <v>0</v>
          </cell>
          <cell r="R977">
            <v>0</v>
          </cell>
          <cell r="S977">
            <v>8819</v>
          </cell>
          <cell r="V977">
            <v>8819</v>
          </cell>
        </row>
        <row r="978">
          <cell r="J978">
            <v>1</v>
          </cell>
          <cell r="K978">
            <v>0</v>
          </cell>
          <cell r="L978">
            <v>14976</v>
          </cell>
          <cell r="M978">
            <v>0</v>
          </cell>
          <cell r="N978">
            <v>0</v>
          </cell>
          <cell r="O978">
            <v>14976</v>
          </cell>
          <cell r="P978">
            <v>0</v>
          </cell>
          <cell r="Q978">
            <v>0</v>
          </cell>
          <cell r="R978">
            <v>0</v>
          </cell>
          <cell r="S978">
            <v>14976</v>
          </cell>
          <cell r="V978">
            <v>14976</v>
          </cell>
        </row>
        <row r="979">
          <cell r="J979">
            <v>1</v>
          </cell>
          <cell r="K979">
            <v>0</v>
          </cell>
          <cell r="L979">
            <v>5408</v>
          </cell>
          <cell r="M979">
            <v>0</v>
          </cell>
          <cell r="N979">
            <v>0</v>
          </cell>
          <cell r="O979">
            <v>5408</v>
          </cell>
          <cell r="P979">
            <v>0</v>
          </cell>
          <cell r="Q979">
            <v>0</v>
          </cell>
          <cell r="R979">
            <v>0</v>
          </cell>
          <cell r="S979">
            <v>5408</v>
          </cell>
          <cell r="V979">
            <v>5408</v>
          </cell>
        </row>
        <row r="980">
          <cell r="J980">
            <v>1</v>
          </cell>
          <cell r="K980">
            <v>0</v>
          </cell>
          <cell r="L980">
            <v>8486</v>
          </cell>
          <cell r="M980">
            <v>0</v>
          </cell>
          <cell r="N980">
            <v>0</v>
          </cell>
          <cell r="O980">
            <v>8486</v>
          </cell>
          <cell r="P980">
            <v>0</v>
          </cell>
          <cell r="Q980">
            <v>0</v>
          </cell>
          <cell r="R980">
            <v>0</v>
          </cell>
          <cell r="S980">
            <v>8486</v>
          </cell>
          <cell r="V980">
            <v>8486</v>
          </cell>
        </row>
        <row r="981">
          <cell r="J981">
            <v>1</v>
          </cell>
          <cell r="K981">
            <v>0</v>
          </cell>
          <cell r="L981">
            <v>5075</v>
          </cell>
          <cell r="M981">
            <v>0</v>
          </cell>
          <cell r="N981">
            <v>0</v>
          </cell>
          <cell r="O981">
            <v>5075</v>
          </cell>
          <cell r="P981">
            <v>0</v>
          </cell>
          <cell r="Q981">
            <v>0</v>
          </cell>
          <cell r="R981">
            <v>0</v>
          </cell>
          <cell r="S981">
            <v>5075</v>
          </cell>
          <cell r="V981">
            <v>5075</v>
          </cell>
        </row>
        <row r="982">
          <cell r="J982">
            <v>1</v>
          </cell>
          <cell r="K982">
            <v>0</v>
          </cell>
          <cell r="L982">
            <v>4659</v>
          </cell>
          <cell r="M982">
            <v>0</v>
          </cell>
          <cell r="N982">
            <v>0</v>
          </cell>
          <cell r="O982">
            <v>4659</v>
          </cell>
          <cell r="P982">
            <v>0</v>
          </cell>
          <cell r="Q982">
            <v>0</v>
          </cell>
          <cell r="R982">
            <v>0</v>
          </cell>
          <cell r="S982">
            <v>4659</v>
          </cell>
          <cell r="V982">
            <v>4659</v>
          </cell>
        </row>
        <row r="983">
          <cell r="J983">
            <v>1</v>
          </cell>
          <cell r="K983">
            <v>0</v>
          </cell>
          <cell r="L983">
            <v>43956</v>
          </cell>
          <cell r="M983">
            <v>0</v>
          </cell>
          <cell r="N983">
            <v>0</v>
          </cell>
          <cell r="O983">
            <v>43956</v>
          </cell>
          <cell r="P983">
            <v>0</v>
          </cell>
          <cell r="Q983">
            <v>0</v>
          </cell>
          <cell r="R983">
            <v>0</v>
          </cell>
          <cell r="S983">
            <v>43956</v>
          </cell>
          <cell r="V983">
            <v>43956</v>
          </cell>
        </row>
        <row r="984">
          <cell r="J984">
            <v>1</v>
          </cell>
          <cell r="K984">
            <v>0</v>
          </cell>
          <cell r="L984">
            <v>35640</v>
          </cell>
          <cell r="M984">
            <v>0</v>
          </cell>
          <cell r="N984">
            <v>0</v>
          </cell>
          <cell r="O984">
            <v>35640</v>
          </cell>
          <cell r="P984">
            <v>0</v>
          </cell>
          <cell r="Q984">
            <v>0</v>
          </cell>
          <cell r="R984">
            <v>0</v>
          </cell>
          <cell r="S984">
            <v>35640</v>
          </cell>
          <cell r="V984">
            <v>35640</v>
          </cell>
        </row>
        <row r="985">
          <cell r="J985">
            <v>1</v>
          </cell>
          <cell r="K985">
            <v>0</v>
          </cell>
          <cell r="L985">
            <v>4410</v>
          </cell>
          <cell r="M985">
            <v>0</v>
          </cell>
          <cell r="N985">
            <v>0</v>
          </cell>
          <cell r="O985">
            <v>4410</v>
          </cell>
          <cell r="P985">
            <v>0</v>
          </cell>
          <cell r="Q985">
            <v>0</v>
          </cell>
          <cell r="R985">
            <v>0</v>
          </cell>
          <cell r="S985">
            <v>4410</v>
          </cell>
          <cell r="V985">
            <v>4410</v>
          </cell>
        </row>
        <row r="986">
          <cell r="J986">
            <v>1</v>
          </cell>
          <cell r="K986">
            <v>0</v>
          </cell>
          <cell r="L986">
            <v>44352</v>
          </cell>
          <cell r="M986">
            <v>0</v>
          </cell>
          <cell r="N986">
            <v>0</v>
          </cell>
          <cell r="O986">
            <v>44352</v>
          </cell>
          <cell r="P986">
            <v>0</v>
          </cell>
          <cell r="Q986">
            <v>0</v>
          </cell>
          <cell r="R986">
            <v>0</v>
          </cell>
          <cell r="S986">
            <v>44352</v>
          </cell>
          <cell r="V986">
            <v>44352</v>
          </cell>
        </row>
        <row r="987">
          <cell r="J987">
            <v>1</v>
          </cell>
          <cell r="K987">
            <v>0</v>
          </cell>
          <cell r="L987">
            <v>4160</v>
          </cell>
          <cell r="M987">
            <v>0</v>
          </cell>
          <cell r="N987">
            <v>0</v>
          </cell>
          <cell r="O987">
            <v>4160</v>
          </cell>
          <cell r="P987">
            <v>0</v>
          </cell>
          <cell r="Q987">
            <v>0</v>
          </cell>
          <cell r="R987">
            <v>0</v>
          </cell>
          <cell r="S987">
            <v>4160</v>
          </cell>
          <cell r="V987">
            <v>4160</v>
          </cell>
        </row>
        <row r="988">
          <cell r="J988">
            <v>1</v>
          </cell>
          <cell r="K988">
            <v>0</v>
          </cell>
          <cell r="L988">
            <v>1174158</v>
          </cell>
          <cell r="M988">
            <v>0</v>
          </cell>
          <cell r="N988">
            <v>0</v>
          </cell>
          <cell r="O988">
            <v>1174158</v>
          </cell>
          <cell r="P988">
            <v>0</v>
          </cell>
          <cell r="Q988">
            <v>0</v>
          </cell>
          <cell r="R988">
            <v>0</v>
          </cell>
          <cell r="S988">
            <v>1174158</v>
          </cell>
          <cell r="V988">
            <v>1174158</v>
          </cell>
        </row>
        <row r="989">
          <cell r="J989">
            <v>1</v>
          </cell>
          <cell r="K989">
            <v>0</v>
          </cell>
          <cell r="L989">
            <v>2587</v>
          </cell>
          <cell r="M989">
            <v>0</v>
          </cell>
          <cell r="N989">
            <v>0</v>
          </cell>
          <cell r="O989">
            <v>2587</v>
          </cell>
          <cell r="P989">
            <v>0</v>
          </cell>
          <cell r="Q989">
            <v>0</v>
          </cell>
          <cell r="R989">
            <v>0</v>
          </cell>
          <cell r="S989">
            <v>2587</v>
          </cell>
          <cell r="V989">
            <v>2587</v>
          </cell>
        </row>
        <row r="990">
          <cell r="J990">
            <v>1</v>
          </cell>
          <cell r="K990">
            <v>0</v>
          </cell>
          <cell r="L990">
            <v>1617</v>
          </cell>
          <cell r="M990">
            <v>0</v>
          </cell>
          <cell r="N990">
            <v>0</v>
          </cell>
          <cell r="O990">
            <v>1617</v>
          </cell>
          <cell r="P990">
            <v>0</v>
          </cell>
          <cell r="Q990">
            <v>0</v>
          </cell>
          <cell r="R990">
            <v>0</v>
          </cell>
          <cell r="S990">
            <v>1617</v>
          </cell>
          <cell r="V990">
            <v>1617</v>
          </cell>
        </row>
        <row r="991">
          <cell r="J991">
            <v>1</v>
          </cell>
          <cell r="K991">
            <v>0</v>
          </cell>
          <cell r="L991">
            <v>2587</v>
          </cell>
          <cell r="M991">
            <v>0</v>
          </cell>
          <cell r="N991">
            <v>0</v>
          </cell>
          <cell r="O991">
            <v>2587</v>
          </cell>
          <cell r="P991">
            <v>0</v>
          </cell>
          <cell r="Q991">
            <v>0</v>
          </cell>
          <cell r="R991">
            <v>0</v>
          </cell>
          <cell r="S991">
            <v>2587</v>
          </cell>
          <cell r="V991">
            <v>2587</v>
          </cell>
        </row>
        <row r="992">
          <cell r="J992">
            <v>1</v>
          </cell>
          <cell r="K992">
            <v>0</v>
          </cell>
          <cell r="L992">
            <v>1617</v>
          </cell>
          <cell r="M992">
            <v>0</v>
          </cell>
          <cell r="N992">
            <v>0</v>
          </cell>
          <cell r="O992">
            <v>1617</v>
          </cell>
          <cell r="P992">
            <v>0</v>
          </cell>
          <cell r="Q992">
            <v>0</v>
          </cell>
          <cell r="R992">
            <v>0</v>
          </cell>
          <cell r="S992">
            <v>1617</v>
          </cell>
          <cell r="V992">
            <v>1617</v>
          </cell>
        </row>
        <row r="993">
          <cell r="J993">
            <v>1</v>
          </cell>
          <cell r="K993">
            <v>0</v>
          </cell>
          <cell r="L993">
            <v>12506</v>
          </cell>
          <cell r="M993">
            <v>0</v>
          </cell>
          <cell r="N993">
            <v>0</v>
          </cell>
          <cell r="O993">
            <v>12506</v>
          </cell>
          <cell r="P993">
            <v>0</v>
          </cell>
          <cell r="Q993">
            <v>0</v>
          </cell>
          <cell r="R993">
            <v>0</v>
          </cell>
          <cell r="S993">
            <v>12506</v>
          </cell>
          <cell r="V993">
            <v>12506</v>
          </cell>
        </row>
        <row r="994">
          <cell r="J994">
            <v>1</v>
          </cell>
          <cell r="K994">
            <v>0</v>
          </cell>
          <cell r="L994">
            <v>4660</v>
          </cell>
          <cell r="M994">
            <v>0</v>
          </cell>
          <cell r="N994">
            <v>0</v>
          </cell>
          <cell r="O994">
            <v>4660</v>
          </cell>
          <cell r="P994">
            <v>0</v>
          </cell>
          <cell r="Q994">
            <v>0</v>
          </cell>
          <cell r="R994">
            <v>0</v>
          </cell>
          <cell r="S994">
            <v>4660</v>
          </cell>
          <cell r="V994">
            <v>4660</v>
          </cell>
        </row>
        <row r="995">
          <cell r="J995">
            <v>1</v>
          </cell>
          <cell r="K995">
            <v>0</v>
          </cell>
          <cell r="L995">
            <v>23061</v>
          </cell>
          <cell r="M995">
            <v>0</v>
          </cell>
          <cell r="N995">
            <v>0</v>
          </cell>
          <cell r="O995">
            <v>23061</v>
          </cell>
          <cell r="P995">
            <v>0</v>
          </cell>
          <cell r="Q995">
            <v>0</v>
          </cell>
          <cell r="R995">
            <v>0</v>
          </cell>
          <cell r="S995">
            <v>23061</v>
          </cell>
          <cell r="V995">
            <v>23061</v>
          </cell>
        </row>
        <row r="996">
          <cell r="J996">
            <v>1</v>
          </cell>
          <cell r="K996">
            <v>0</v>
          </cell>
          <cell r="L996">
            <v>35640</v>
          </cell>
          <cell r="M996">
            <v>0</v>
          </cell>
          <cell r="N996">
            <v>0</v>
          </cell>
          <cell r="O996">
            <v>35640</v>
          </cell>
          <cell r="P996">
            <v>0</v>
          </cell>
          <cell r="Q996">
            <v>0</v>
          </cell>
          <cell r="R996">
            <v>0</v>
          </cell>
          <cell r="S996">
            <v>35640</v>
          </cell>
          <cell r="V996">
            <v>35640</v>
          </cell>
        </row>
        <row r="997">
          <cell r="J997">
            <v>1</v>
          </cell>
          <cell r="K997">
            <v>0</v>
          </cell>
          <cell r="L997">
            <v>80340</v>
          </cell>
          <cell r="M997">
            <v>0</v>
          </cell>
          <cell r="N997">
            <v>0</v>
          </cell>
          <cell r="O997">
            <v>80340</v>
          </cell>
          <cell r="P997">
            <v>0</v>
          </cell>
          <cell r="Q997">
            <v>0</v>
          </cell>
          <cell r="R997">
            <v>0</v>
          </cell>
          <cell r="S997">
            <v>80340</v>
          </cell>
          <cell r="V997">
            <v>80340</v>
          </cell>
        </row>
        <row r="998">
          <cell r="J998">
            <v>1</v>
          </cell>
          <cell r="K998">
            <v>0</v>
          </cell>
          <cell r="L998">
            <v>34135</v>
          </cell>
          <cell r="M998">
            <v>0</v>
          </cell>
          <cell r="N998">
            <v>0</v>
          </cell>
          <cell r="O998">
            <v>34135</v>
          </cell>
          <cell r="P998">
            <v>0</v>
          </cell>
          <cell r="Q998">
            <v>0</v>
          </cell>
          <cell r="R998">
            <v>0</v>
          </cell>
          <cell r="S998">
            <v>34135</v>
          </cell>
          <cell r="V998">
            <v>34135</v>
          </cell>
        </row>
        <row r="999">
          <cell r="J999">
            <v>1</v>
          </cell>
          <cell r="K999">
            <v>0</v>
          </cell>
          <cell r="L999">
            <v>4826</v>
          </cell>
          <cell r="M999">
            <v>0</v>
          </cell>
          <cell r="N999">
            <v>0</v>
          </cell>
          <cell r="O999">
            <v>4826</v>
          </cell>
          <cell r="P999">
            <v>0</v>
          </cell>
          <cell r="Q999">
            <v>0</v>
          </cell>
          <cell r="R999">
            <v>0</v>
          </cell>
          <cell r="S999">
            <v>4826</v>
          </cell>
          <cell r="V999">
            <v>4826</v>
          </cell>
        </row>
        <row r="1000">
          <cell r="K1000">
            <v>0</v>
          </cell>
          <cell r="L1000">
            <v>0</v>
          </cell>
          <cell r="N1000">
            <v>0</v>
          </cell>
          <cell r="O1000">
            <v>0</v>
          </cell>
          <cell r="P1000">
            <v>0</v>
          </cell>
          <cell r="Q1000">
            <v>0</v>
          </cell>
          <cell r="R1000">
            <v>0</v>
          </cell>
          <cell r="S1000">
            <v>0</v>
          </cell>
        </row>
        <row r="1001">
          <cell r="E1001" t="str">
            <v>scanner</v>
          </cell>
          <cell r="G1001">
            <v>1.8</v>
          </cell>
          <cell r="J1001">
            <v>1</v>
          </cell>
          <cell r="K1001">
            <v>0</v>
          </cell>
          <cell r="L1001">
            <v>122427</v>
          </cell>
          <cell r="M1001">
            <v>1182.2750999999998</v>
          </cell>
          <cell r="N1001">
            <v>0</v>
          </cell>
          <cell r="O1001">
            <v>123609.2751</v>
          </cell>
          <cell r="P1001">
            <v>0</v>
          </cell>
          <cell r="Q1001">
            <v>0</v>
          </cell>
          <cell r="R1001">
            <v>0</v>
          </cell>
          <cell r="S1001">
            <v>123609.2751</v>
          </cell>
          <cell r="T1001">
            <v>1724</v>
          </cell>
          <cell r="V1001">
            <v>122427</v>
          </cell>
        </row>
        <row r="1002">
          <cell r="G1002">
            <v>1.8</v>
          </cell>
          <cell r="J1002">
            <v>1</v>
          </cell>
          <cell r="K1002">
            <v>0</v>
          </cell>
          <cell r="L1002">
            <v>70661</v>
          </cell>
          <cell r="M1002">
            <v>1182.2750999999998</v>
          </cell>
          <cell r="N1002">
            <v>0</v>
          </cell>
          <cell r="O1002">
            <v>71843.275099999999</v>
          </cell>
          <cell r="P1002">
            <v>0</v>
          </cell>
          <cell r="Q1002">
            <v>0</v>
          </cell>
          <cell r="R1002">
            <v>0</v>
          </cell>
          <cell r="S1002">
            <v>71843.275099999999</v>
          </cell>
          <cell r="T1002">
            <v>1724</v>
          </cell>
          <cell r="V1002">
            <v>70661</v>
          </cell>
        </row>
        <row r="1003">
          <cell r="E1003" t="str">
            <v>PC computer</v>
          </cell>
          <cell r="G1003">
            <v>1.6</v>
          </cell>
          <cell r="J1003">
            <v>1</v>
          </cell>
          <cell r="K1003">
            <v>0</v>
          </cell>
          <cell r="L1003">
            <v>9567</v>
          </cell>
          <cell r="M1003">
            <v>1050.9112</v>
          </cell>
          <cell r="N1003">
            <v>0</v>
          </cell>
          <cell r="O1003">
            <v>10617.9112</v>
          </cell>
          <cell r="P1003">
            <v>0</v>
          </cell>
          <cell r="Q1003">
            <v>0</v>
          </cell>
          <cell r="R1003">
            <v>0</v>
          </cell>
          <cell r="S1003">
            <v>10617.9112</v>
          </cell>
          <cell r="T1003">
            <v>1532</v>
          </cell>
          <cell r="V1003">
            <v>9567</v>
          </cell>
        </row>
        <row r="1004">
          <cell r="E1004" t="str">
            <v>laptop</v>
          </cell>
          <cell r="G1004">
            <v>0.8</v>
          </cell>
          <cell r="J1004">
            <v>1</v>
          </cell>
          <cell r="K1004">
            <v>0</v>
          </cell>
          <cell r="L1004">
            <v>18924</v>
          </cell>
          <cell r="M1004">
            <v>525.4556</v>
          </cell>
          <cell r="N1004">
            <v>0</v>
          </cell>
          <cell r="O1004">
            <v>19449.455600000001</v>
          </cell>
          <cell r="P1004">
            <v>0</v>
          </cell>
          <cell r="Q1004">
            <v>0</v>
          </cell>
          <cell r="R1004">
            <v>0</v>
          </cell>
          <cell r="S1004">
            <v>19449.455600000001</v>
          </cell>
          <cell r="T1004">
            <v>766</v>
          </cell>
          <cell r="V1004">
            <v>18924</v>
          </cell>
        </row>
        <row r="1005">
          <cell r="K1005">
            <v>0</v>
          </cell>
          <cell r="L1005">
            <v>0</v>
          </cell>
          <cell r="N1005">
            <v>0</v>
          </cell>
          <cell r="O1005">
            <v>0</v>
          </cell>
          <cell r="P1005">
            <v>0</v>
          </cell>
          <cell r="Q1005">
            <v>0</v>
          </cell>
          <cell r="R1005">
            <v>0</v>
          </cell>
          <cell r="S1005">
            <v>0</v>
          </cell>
        </row>
        <row r="1006">
          <cell r="K1006">
            <v>0</v>
          </cell>
          <cell r="L1006">
            <v>0</v>
          </cell>
          <cell r="N1006">
            <v>0</v>
          </cell>
          <cell r="O1006">
            <v>0</v>
          </cell>
          <cell r="P1006">
            <v>0</v>
          </cell>
          <cell r="Q1006">
            <v>0</v>
          </cell>
          <cell r="R1006">
            <v>0</v>
          </cell>
          <cell r="S1006">
            <v>0</v>
          </cell>
        </row>
        <row r="1007">
          <cell r="E1007" t="str">
            <v>Jack 10 ton</v>
          </cell>
          <cell r="G1007">
            <v>14.1</v>
          </cell>
          <cell r="J1007">
            <v>1</v>
          </cell>
          <cell r="K1007">
            <v>97316</v>
          </cell>
          <cell r="L1007">
            <v>164405</v>
          </cell>
          <cell r="M1007">
            <v>9261.1549499999983</v>
          </cell>
          <cell r="N1007">
            <v>259509.33333333331</v>
          </cell>
          <cell r="O1007">
            <v>433175.48828333331</v>
          </cell>
          <cell r="P1007">
            <v>0</v>
          </cell>
          <cell r="Q1007">
            <v>0</v>
          </cell>
          <cell r="R1007">
            <v>259509.33333333331</v>
          </cell>
          <cell r="S1007">
            <v>433175.48828333331</v>
          </cell>
          <cell r="T1007">
            <v>13503</v>
          </cell>
          <cell r="U1007">
            <v>97316</v>
          </cell>
          <cell r="V1007">
            <v>164405</v>
          </cell>
        </row>
        <row r="1008">
          <cell r="G1008">
            <v>6.5</v>
          </cell>
          <cell r="J1008">
            <v>1</v>
          </cell>
          <cell r="K1008">
            <v>0</v>
          </cell>
          <cell r="L1008">
            <v>47473</v>
          </cell>
          <cell r="M1008">
            <v>4269.3267500000002</v>
          </cell>
          <cell r="N1008">
            <v>0</v>
          </cell>
          <cell r="O1008">
            <v>51742.32675</v>
          </cell>
          <cell r="P1008">
            <v>0</v>
          </cell>
          <cell r="Q1008">
            <v>0</v>
          </cell>
          <cell r="R1008">
            <v>0</v>
          </cell>
          <cell r="S1008">
            <v>51742.32675</v>
          </cell>
          <cell r="T1008">
            <v>6225</v>
          </cell>
          <cell r="V1008">
            <v>47473</v>
          </cell>
        </row>
        <row r="1009">
          <cell r="G1009">
            <v>1.6</v>
          </cell>
          <cell r="J1009">
            <v>1</v>
          </cell>
          <cell r="K1009">
            <v>0</v>
          </cell>
          <cell r="L1009">
            <v>5569</v>
          </cell>
          <cell r="M1009">
            <v>1050.9112</v>
          </cell>
          <cell r="N1009">
            <v>0</v>
          </cell>
          <cell r="O1009">
            <v>6619.9112000000005</v>
          </cell>
          <cell r="P1009">
            <v>0</v>
          </cell>
          <cell r="Q1009">
            <v>0</v>
          </cell>
          <cell r="R1009">
            <v>0</v>
          </cell>
          <cell r="S1009">
            <v>6619.9112000000005</v>
          </cell>
          <cell r="T1009">
            <v>1532</v>
          </cell>
          <cell r="V1009">
            <v>5569</v>
          </cell>
        </row>
        <row r="1010">
          <cell r="F1010">
            <v>9.1999999999999993</v>
          </cell>
          <cell r="J1010">
            <v>1</v>
          </cell>
          <cell r="K1010">
            <v>0</v>
          </cell>
          <cell r="L1010">
            <v>247130</v>
          </cell>
          <cell r="M1010">
            <v>133924.48363636361</v>
          </cell>
          <cell r="N1010">
            <v>0</v>
          </cell>
          <cell r="O1010">
            <v>381054.48363636364</v>
          </cell>
          <cell r="P1010">
            <v>0</v>
          </cell>
          <cell r="Q1010">
            <v>0</v>
          </cell>
          <cell r="R1010">
            <v>0</v>
          </cell>
          <cell r="S1010">
            <v>381054.48363636364</v>
          </cell>
          <cell r="T1010">
            <v>65862</v>
          </cell>
          <cell r="V1010">
            <v>247130</v>
          </cell>
        </row>
        <row r="1011">
          <cell r="F1011">
            <v>13.8</v>
          </cell>
          <cell r="J1011">
            <v>1</v>
          </cell>
          <cell r="K1011">
            <v>0</v>
          </cell>
          <cell r="L1011">
            <v>211780</v>
          </cell>
          <cell r="M1011">
            <v>200886.72545454543</v>
          </cell>
          <cell r="N1011">
            <v>0</v>
          </cell>
          <cell r="O1011">
            <v>412666.72545454546</v>
          </cell>
          <cell r="P1011">
            <v>0</v>
          </cell>
          <cell r="Q1011">
            <v>0</v>
          </cell>
          <cell r="R1011">
            <v>0</v>
          </cell>
          <cell r="S1011">
            <v>412666.72545454546</v>
          </cell>
          <cell r="T1011">
            <v>98793</v>
          </cell>
          <cell r="V1011">
            <v>211780</v>
          </cell>
        </row>
        <row r="1012">
          <cell r="E1012" t="str">
            <v>Drilling machine</v>
          </cell>
          <cell r="F1012">
            <v>15.8</v>
          </cell>
          <cell r="J1012">
            <v>1</v>
          </cell>
          <cell r="K1012">
            <v>0</v>
          </cell>
          <cell r="L1012">
            <v>392299</v>
          </cell>
          <cell r="M1012">
            <v>230000.74363636365</v>
          </cell>
          <cell r="N1012">
            <v>0</v>
          </cell>
          <cell r="O1012">
            <v>622299.74363636365</v>
          </cell>
          <cell r="P1012">
            <v>0</v>
          </cell>
          <cell r="Q1012">
            <v>0</v>
          </cell>
          <cell r="R1012">
            <v>0</v>
          </cell>
          <cell r="S1012">
            <v>622299.74363636365</v>
          </cell>
          <cell r="T1012">
            <v>113111</v>
          </cell>
          <cell r="V1012">
            <v>392299</v>
          </cell>
        </row>
        <row r="1013">
          <cell r="E1013" t="str">
            <v>tyre crane 6 ton</v>
          </cell>
          <cell r="F1013">
            <v>24</v>
          </cell>
          <cell r="K1013">
            <v>90531</v>
          </cell>
          <cell r="L1013">
            <v>503618</v>
          </cell>
          <cell r="M1013">
            <v>349368.2181818182</v>
          </cell>
          <cell r="N1013">
            <v>241416</v>
          </cell>
          <cell r="O1013">
            <v>1094402.2181818183</v>
          </cell>
          <cell r="P1013">
            <v>0</v>
          </cell>
          <cell r="Q1013">
            <v>0</v>
          </cell>
          <cell r="R1013">
            <v>241416</v>
          </cell>
          <cell r="S1013">
            <v>1094402.2181818183</v>
          </cell>
          <cell r="T1013">
            <v>171814</v>
          </cell>
          <cell r="U1013">
            <v>90531</v>
          </cell>
          <cell r="V1013">
            <v>503618</v>
          </cell>
        </row>
        <row r="1014">
          <cell r="M1014">
            <v>0</v>
          </cell>
          <cell r="N1014">
            <v>0</v>
          </cell>
          <cell r="O1014">
            <v>0</v>
          </cell>
          <cell r="P1014">
            <v>0</v>
          </cell>
        </row>
        <row r="1015">
          <cell r="D1015" t="str">
            <v>Thiết bị nâng hạ dầm 75T</v>
          </cell>
          <cell r="E1015" t="str">
            <v>lifting girder equipment 75 ton</v>
          </cell>
          <cell r="G1015">
            <v>232.56</v>
          </cell>
          <cell r="M1015">
            <v>152749.94291999997</v>
          </cell>
          <cell r="N1015">
            <v>0</v>
          </cell>
          <cell r="O1015">
            <v>152749.94291999997</v>
          </cell>
          <cell r="P1015">
            <v>21.328199999999999</v>
          </cell>
        </row>
        <row r="1016">
          <cell r="D1016" t="str">
            <v>Kích căng cáp DUL 25T</v>
          </cell>
          <cell r="E1016" t="str">
            <v>hydraulic driver barge C96, hammer 4.5 ton</v>
          </cell>
          <cell r="G1016">
            <v>15</v>
          </cell>
          <cell r="K1016">
            <v>56800</v>
          </cell>
          <cell r="L1016">
            <v>274352</v>
          </cell>
          <cell r="M1016">
            <v>9852.2924999999977</v>
          </cell>
          <cell r="N1016">
            <v>151466.66666666666</v>
          </cell>
          <cell r="O1016">
            <v>435670.95916666661</v>
          </cell>
          <cell r="P1016">
            <v>0</v>
          </cell>
        </row>
        <row r="1017">
          <cell r="E1017" t="str">
            <v>caterpillar crane 80 ton</v>
          </cell>
          <cell r="M1017">
            <v>0</v>
          </cell>
          <cell r="N1017">
            <v>0</v>
          </cell>
          <cell r="O1017">
            <v>0</v>
          </cell>
          <cell r="P1017">
            <v>0</v>
          </cell>
          <cell r="T1017">
            <v>0</v>
          </cell>
        </row>
        <row r="1018">
          <cell r="E1018" t="str">
            <v>Pull truck 360CV</v>
          </cell>
          <cell r="M1018">
            <v>0</v>
          </cell>
          <cell r="N1018">
            <v>0</v>
          </cell>
          <cell r="O1018">
            <v>0</v>
          </cell>
          <cell r="P1018">
            <v>0</v>
          </cell>
        </row>
        <row r="1019">
          <cell r="E1019" t="str">
            <v>traler 50 ton</v>
          </cell>
          <cell r="M1019">
            <v>0</v>
          </cell>
          <cell r="N1019">
            <v>0</v>
          </cell>
          <cell r="O1019">
            <v>0</v>
          </cell>
          <cell r="P1019">
            <v>0</v>
          </cell>
        </row>
        <row r="1020">
          <cell r="E1020" t="str">
            <v>lifting girder equipment DEVIT</v>
          </cell>
          <cell r="M1020">
            <v>0</v>
          </cell>
          <cell r="N1020">
            <v>0</v>
          </cell>
          <cell r="O1020">
            <v>0</v>
          </cell>
          <cell r="P1020">
            <v>0</v>
          </cell>
        </row>
        <row r="1021">
          <cell r="E1021" t="str">
            <v>lifting girder equipment 75 ton</v>
          </cell>
          <cell r="M1021">
            <v>0</v>
          </cell>
          <cell r="N1021">
            <v>0</v>
          </cell>
          <cell r="O1021">
            <v>0</v>
          </cell>
          <cell r="P1021">
            <v>0</v>
          </cell>
        </row>
        <row r="1022">
          <cell r="E1022" t="str">
            <v>jack 25T</v>
          </cell>
          <cell r="M1022">
            <v>0</v>
          </cell>
          <cell r="N1022">
            <v>0</v>
          </cell>
          <cell r="O1022">
            <v>0</v>
          </cell>
          <cell r="P1022">
            <v>0</v>
          </cell>
        </row>
        <row r="1023">
          <cell r="M1023">
            <v>0</v>
          </cell>
          <cell r="N1023">
            <v>0</v>
          </cell>
          <cell r="O1023">
            <v>0</v>
          </cell>
          <cell r="P1023">
            <v>0</v>
          </cell>
        </row>
        <row r="1024">
          <cell r="M1024">
            <v>0</v>
          </cell>
          <cell r="N1024">
            <v>0</v>
          </cell>
          <cell r="O1024">
            <v>0</v>
          </cell>
          <cell r="P1024">
            <v>0</v>
          </cell>
        </row>
        <row r="1025">
          <cell r="E1025" t="str">
            <v>glue burning furnace</v>
          </cell>
          <cell r="M1025">
            <v>0</v>
          </cell>
          <cell r="N1025">
            <v>0</v>
          </cell>
          <cell r="O1025">
            <v>0</v>
          </cell>
          <cell r="P1025">
            <v>0</v>
          </cell>
        </row>
        <row r="1026">
          <cell r="E1026" t="str">
            <v>power-driven 1.25m3</v>
          </cell>
          <cell r="M1026">
            <v>0</v>
          </cell>
          <cell r="N1026">
            <v>0</v>
          </cell>
          <cell r="O1026">
            <v>0</v>
          </cell>
          <cell r="P1026">
            <v>0</v>
          </cell>
        </row>
        <row r="1027">
          <cell r="D1027" t="str">
            <v>Cần cẩu bánh xích 80T</v>
          </cell>
          <cell r="E1027" t="str">
            <v>caterpillar crane 80T</v>
          </cell>
          <cell r="F1027">
            <v>57.6</v>
          </cell>
          <cell r="L1027">
            <v>4358782</v>
          </cell>
          <cell r="M1027">
            <v>838483.72363636363</v>
          </cell>
          <cell r="N1027">
            <v>0</v>
          </cell>
          <cell r="O1027">
            <v>5197265.7236363636</v>
          </cell>
          <cell r="P1027">
            <v>0</v>
          </cell>
          <cell r="V1027">
            <v>4358782</v>
          </cell>
        </row>
        <row r="1028">
          <cell r="D1028" t="str">
            <v>(cần trục tháp 80T)</v>
          </cell>
          <cell r="E1028" t="str">
            <v>truck-mounted crane 6.5T</v>
          </cell>
          <cell r="M1028">
            <v>0</v>
          </cell>
          <cell r="N1028">
            <v>0</v>
          </cell>
          <cell r="O1028">
            <v>0</v>
          </cell>
          <cell r="P1028">
            <v>0</v>
          </cell>
        </row>
        <row r="1029">
          <cell r="D1029" t="str">
            <v>Máy đầm cạnh 3Kw</v>
          </cell>
          <cell r="E1029" t="str">
            <v>Compactor 3Kw</v>
          </cell>
          <cell r="G1029">
            <v>4.5</v>
          </cell>
          <cell r="L1029">
            <v>50799</v>
          </cell>
          <cell r="M1029">
            <v>2955.6877500000001</v>
          </cell>
          <cell r="N1029">
            <v>0</v>
          </cell>
          <cell r="O1029">
            <v>53754.687749999997</v>
          </cell>
          <cell r="P1029">
            <v>0</v>
          </cell>
        </row>
        <row r="1030">
          <cell r="D1030" t="str">
            <v>Máy bơm nước công suất 300CV</v>
          </cell>
          <cell r="F1030">
            <v>110</v>
          </cell>
          <cell r="K1030">
            <v>118468</v>
          </cell>
          <cell r="L1030">
            <v>1866601</v>
          </cell>
          <cell r="M1030">
            <v>679349.99999999977</v>
          </cell>
          <cell r="N1030">
            <v>149302.1369863014</v>
          </cell>
          <cell r="O1030">
            <v>2695253.1369863013</v>
          </cell>
          <cell r="P1030">
            <v>0</v>
          </cell>
        </row>
        <row r="1031">
          <cell r="D1031" t="str">
            <v>Máy bơm cát công suất 350CV</v>
          </cell>
          <cell r="F1031">
            <v>128</v>
          </cell>
          <cell r="K1031">
            <v>118468</v>
          </cell>
          <cell r="L1031">
            <v>2174368</v>
          </cell>
          <cell r="M1031">
            <v>790516.36363636341</v>
          </cell>
          <cell r="N1031">
            <v>149302.1369863014</v>
          </cell>
          <cell r="O1031">
            <v>3114186.5006226646</v>
          </cell>
          <cell r="P1031">
            <v>0</v>
          </cell>
          <cell r="Q1031">
            <v>10204100051.795582</v>
          </cell>
        </row>
        <row r="1032">
          <cell r="D1032" t="str">
            <v>Phà (đặt máy bơm) công suất 20T</v>
          </cell>
          <cell r="K1032">
            <v>262407</v>
          </cell>
          <cell r="L1032">
            <v>723907</v>
          </cell>
          <cell r="M1032">
            <v>0</v>
          </cell>
          <cell r="N1032">
            <v>330704.71232876717</v>
          </cell>
          <cell r="O1032">
            <v>1054611.7123287672</v>
          </cell>
          <cell r="P1032">
            <v>0</v>
          </cell>
        </row>
        <row r="1033">
          <cell r="P1033">
            <v>0</v>
          </cell>
        </row>
        <row r="1034">
          <cell r="P1034">
            <v>0</v>
          </cell>
        </row>
        <row r="1035">
          <cell r="P1035">
            <v>0</v>
          </cell>
        </row>
        <row r="1036">
          <cell r="P1036">
            <v>0</v>
          </cell>
        </row>
        <row r="1037">
          <cell r="P1037">
            <v>0</v>
          </cell>
        </row>
        <row r="1038">
          <cell r="P1038">
            <v>0</v>
          </cell>
        </row>
        <row r="1039">
          <cell r="P1039">
            <v>0</v>
          </cell>
        </row>
      </sheetData>
      <sheetData sheetId="19"/>
      <sheetData sheetId="20">
        <row r="8">
          <cell r="B8" t="str">
            <v>Tên vật tư</v>
          </cell>
          <cell r="C8" t="str">
            <v>Material</v>
          </cell>
          <cell r="D8" t="str">
            <v>Đơn vị</v>
          </cell>
          <cell r="E8" t="str">
            <v>Công bố Tỉnh</v>
          </cell>
          <cell r="F8" t="str">
            <v>Tham khảo</v>
          </cell>
          <cell r="G8" t="str">
            <v>ĐGCB</v>
          </cell>
          <cell r="H8" t="str">
            <v>Cước vận chuyển</v>
          </cell>
          <cell r="I8" t="str">
            <v>Giá thành</v>
          </cell>
        </row>
        <row r="9">
          <cell r="B9" t="str">
            <v>Materials</v>
          </cell>
          <cell r="D9" t="str">
            <v>Unit</v>
          </cell>
          <cell r="E9" t="str">
            <v>As declared</v>
          </cell>
          <cell r="F9" t="str">
            <v>Reference</v>
          </cell>
          <cell r="G9" t="str">
            <v>Basic price</v>
          </cell>
          <cell r="H9" t="str">
            <v>Transport cost</v>
          </cell>
          <cell r="I9" t="str">
            <v>Total</v>
          </cell>
        </row>
        <row r="10">
          <cell r="B10" t="str">
            <v>Giá tại trạm trộn bêtông nhựa</v>
          </cell>
        </row>
        <row r="11">
          <cell r="B11" t="str">
            <v>Đá 0x0.5 bê tông nhựa</v>
          </cell>
          <cell r="C11" t="str">
            <v>Stone 0x0.5 asphalt concrete</v>
          </cell>
          <cell r="D11" t="str">
            <v>m3</v>
          </cell>
          <cell r="E11">
            <v>127000</v>
          </cell>
          <cell r="H11">
            <v>151447.33209235637</v>
          </cell>
          <cell r="I11">
            <v>278447.3320923564</v>
          </cell>
        </row>
        <row r="12">
          <cell r="B12" t="str">
            <v>Đá 0.5x1 bê tông nhựa</v>
          </cell>
          <cell r="C12" t="str">
            <v>Stone 0.5x1 asphalt concrete</v>
          </cell>
          <cell r="D12" t="str">
            <v>m3</v>
          </cell>
          <cell r="E12">
            <v>192000</v>
          </cell>
          <cell r="H12">
            <v>151447.33209235637</v>
          </cell>
          <cell r="I12">
            <v>343447.3320923564</v>
          </cell>
        </row>
        <row r="13">
          <cell r="B13" t="str">
            <v>Đá 1x1.6 bê tông nhựa</v>
          </cell>
          <cell r="C13" t="str">
            <v>Stone 1x1.6 asphalt concrete</v>
          </cell>
          <cell r="D13" t="str">
            <v>m3</v>
          </cell>
          <cell r="E13">
            <v>192000</v>
          </cell>
          <cell r="H13">
            <v>151447.33209235637</v>
          </cell>
          <cell r="I13">
            <v>343447.3320923564</v>
          </cell>
        </row>
        <row r="14">
          <cell r="B14" t="str">
            <v>Đá 1x2 bê tông nhựa</v>
          </cell>
          <cell r="C14" t="str">
            <v>Stone 1x2 asphalt concrete</v>
          </cell>
          <cell r="D14" t="str">
            <v>m3</v>
          </cell>
          <cell r="E14">
            <v>192000</v>
          </cell>
          <cell r="H14">
            <v>151447.33209235637</v>
          </cell>
          <cell r="I14">
            <v>343447.3320923564</v>
          </cell>
        </row>
        <row r="15">
          <cell r="B15" t="str">
            <v>Đá 1.6x1.9 bê tông nhựa</v>
          </cell>
          <cell r="C15" t="str">
            <v>Stone 1.6x1.9 asphalt concrete</v>
          </cell>
          <cell r="D15" t="str">
            <v>m3</v>
          </cell>
          <cell r="E15">
            <v>192000</v>
          </cell>
          <cell r="H15">
            <v>151447.33209235637</v>
          </cell>
          <cell r="I15">
            <v>343447.3320923564</v>
          </cell>
        </row>
        <row r="16">
          <cell r="B16" t="str">
            <v>Cát bê tông nhựa</v>
          </cell>
          <cell r="C16" t="str">
            <v>Sand asphalt concrete</v>
          </cell>
          <cell r="D16" t="str">
            <v>m3</v>
          </cell>
          <cell r="I16">
            <v>102197.39542047323</v>
          </cell>
        </row>
        <row r="17">
          <cell r="B17" t="str">
            <v>Giá tại chân công trình</v>
          </cell>
        </row>
        <row r="18">
          <cell r="B18" t="str">
            <v>Đá 0x0.5</v>
          </cell>
          <cell r="C18" t="str">
            <v>Stone 0-0.5</v>
          </cell>
          <cell r="D18" t="str">
            <v>m3</v>
          </cell>
          <cell r="I18">
            <v>343447.3320923564</v>
          </cell>
        </row>
        <row r="19">
          <cell r="B19" t="str">
            <v>Đá 1x2</v>
          </cell>
          <cell r="C19" t="str">
            <v>Stone 1x2</v>
          </cell>
          <cell r="D19" t="str">
            <v>m3</v>
          </cell>
          <cell r="E19">
            <v>192000</v>
          </cell>
          <cell r="H19">
            <v>151447.33209235637</v>
          </cell>
          <cell r="I19">
            <v>343447.3320923564</v>
          </cell>
        </row>
        <row r="20">
          <cell r="B20" t="str">
            <v>Đá 0.5-2</v>
          </cell>
          <cell r="C20" t="str">
            <v>Stone 0.5-2</v>
          </cell>
          <cell r="D20" t="str">
            <v>m3</v>
          </cell>
          <cell r="I20">
            <v>343447.3320923564</v>
          </cell>
        </row>
        <row r="21">
          <cell r="B21" t="str">
            <v>Đá 0.5-1.6</v>
          </cell>
          <cell r="C21" t="str">
            <v>Stone 0.5-1.6</v>
          </cell>
          <cell r="D21" t="str">
            <v>m3</v>
          </cell>
          <cell r="I21">
            <v>343447.3320923564</v>
          </cell>
        </row>
        <row r="22">
          <cell r="B22" t="str">
            <v>Đá 0.5-1.0</v>
          </cell>
          <cell r="C22" t="str">
            <v>Stone 0.5-1.0</v>
          </cell>
          <cell r="D22" t="str">
            <v>m3</v>
          </cell>
          <cell r="I22">
            <v>343447.3320923564</v>
          </cell>
        </row>
        <row r="23">
          <cell r="B23" t="str">
            <v>Đá 4x6</v>
          </cell>
          <cell r="C23" t="str">
            <v>Stone 4x6</v>
          </cell>
          <cell r="D23" t="str">
            <v>m3</v>
          </cell>
          <cell r="E23">
            <v>154000</v>
          </cell>
          <cell r="H23">
            <v>143716.49609235636</v>
          </cell>
          <cell r="I23">
            <v>297716.49609235639</v>
          </cell>
        </row>
        <row r="24">
          <cell r="B24" t="str">
            <v>Cấp phối đá dăm</v>
          </cell>
          <cell r="C24" t="str">
            <v>Stone aggregate 0x4</v>
          </cell>
          <cell r="D24" t="str">
            <v>m3</v>
          </cell>
          <cell r="E24">
            <v>137000</v>
          </cell>
          <cell r="H24">
            <v>151447.33209235637</v>
          </cell>
          <cell r="I24">
            <v>288447.3320923564</v>
          </cell>
        </row>
        <row r="25">
          <cell r="B25" t="str">
            <v>Đá hộc</v>
          </cell>
          <cell r="C25" t="str">
            <v>Masory</v>
          </cell>
          <cell r="D25" t="str">
            <v>m3</v>
          </cell>
          <cell r="E25">
            <v>154000</v>
          </cell>
          <cell r="H25">
            <v>143716.49609235636</v>
          </cell>
          <cell r="I25">
            <v>297716.49609235639</v>
          </cell>
        </row>
        <row r="26">
          <cell r="B26" t="str">
            <v>Cát đen</v>
          </cell>
          <cell r="C26" t="str">
            <v>Find sand</v>
          </cell>
          <cell r="D26" t="str">
            <v>m3</v>
          </cell>
          <cell r="E26">
            <v>21818.181818181816</v>
          </cell>
          <cell r="H26">
            <v>61619.324965927764</v>
          </cell>
          <cell r="I26">
            <v>83437.506784109573</v>
          </cell>
        </row>
        <row r="27">
          <cell r="B27" t="str">
            <v>Cát vàng</v>
          </cell>
          <cell r="C27" t="str">
            <v>Medium sand</v>
          </cell>
          <cell r="D27" t="str">
            <v>m3</v>
          </cell>
          <cell r="E27">
            <v>25454.545454545452</v>
          </cell>
          <cell r="H27">
            <v>76742.849965927773</v>
          </cell>
          <cell r="I27">
            <v>102197.39542047323</v>
          </cell>
        </row>
        <row r="28">
          <cell r="B28" t="str">
            <v>Cát đổ bêtông</v>
          </cell>
          <cell r="C28" t="str">
            <v>Sand to pouring concrete</v>
          </cell>
          <cell r="D28" t="str">
            <v>m3</v>
          </cell>
          <cell r="E28">
            <v>25454.545454545452</v>
          </cell>
          <cell r="H28">
            <v>76742.849965927773</v>
          </cell>
          <cell r="I28">
            <v>102197.39542047323</v>
          </cell>
        </row>
        <row r="29">
          <cell r="B29" t="str">
            <v>Đền bù tài nguyên (đất sét)</v>
          </cell>
          <cell r="C29" t="str">
            <v>Compensation resources</v>
          </cell>
          <cell r="D29" t="str">
            <v>m3</v>
          </cell>
          <cell r="F29">
            <v>2000</v>
          </cell>
          <cell r="I29">
            <v>2000</v>
          </cell>
        </row>
        <row r="30">
          <cell r="B30" t="str">
            <v>Đất sét</v>
          </cell>
          <cell r="C30" t="str">
            <v>Clay</v>
          </cell>
          <cell r="D30" t="str">
            <v>m3</v>
          </cell>
          <cell r="H30">
            <v>59564.466228400604</v>
          </cell>
          <cell r="I30">
            <v>59564.466228400604</v>
          </cell>
        </row>
        <row r="31">
          <cell r="B31" t="str">
            <v>Cấp phối chọn lọc</v>
          </cell>
          <cell r="C31" t="str">
            <v>Selective aggregate</v>
          </cell>
          <cell r="D31" t="str">
            <v>m3</v>
          </cell>
          <cell r="E31">
            <v>46818</v>
          </cell>
          <cell r="H31">
            <v>143106.92304617818</v>
          </cell>
          <cell r="I31">
            <v>189924.92304617818</v>
          </cell>
        </row>
        <row r="32">
          <cell r="B32" t="str">
            <v>Xi măng PC30</v>
          </cell>
          <cell r="C32" t="str">
            <v>cement PC30</v>
          </cell>
          <cell r="D32" t="str">
            <v>kg</v>
          </cell>
          <cell r="E32">
            <v>1290.9090909090908</v>
          </cell>
          <cell r="H32">
            <v>117.24831999999999</v>
          </cell>
          <cell r="I32">
            <v>1408.1574109090907</v>
          </cell>
        </row>
        <row r="33">
          <cell r="B33" t="str">
            <v>Xi măng PC40</v>
          </cell>
          <cell r="C33" t="str">
            <v>cement PC40</v>
          </cell>
          <cell r="D33" t="str">
            <v>kg</v>
          </cell>
          <cell r="E33">
            <v>1345.4545454545453</v>
          </cell>
          <cell r="H33">
            <v>117.24831999999999</v>
          </cell>
          <cell r="I33">
            <v>1462.7028654545452</v>
          </cell>
        </row>
        <row r="34">
          <cell r="B34" t="str">
            <v>Thép tròn D&lt;=10</v>
          </cell>
          <cell r="C34" t="str">
            <v>steel bar D&lt;=10</v>
          </cell>
          <cell r="D34" t="str">
            <v>kg</v>
          </cell>
          <cell r="E34">
            <v>16610</v>
          </cell>
          <cell r="H34">
            <v>115.42223999999999</v>
          </cell>
          <cell r="I34">
            <v>16725.42224</v>
          </cell>
        </row>
        <row r="35">
          <cell r="B35" t="str">
            <v>Thép tròn D&lt;=18</v>
          </cell>
          <cell r="C35" t="str">
            <v>steel bar D&lt;=18</v>
          </cell>
          <cell r="D35" t="str">
            <v>kg</v>
          </cell>
          <cell r="E35">
            <v>16460</v>
          </cell>
          <cell r="H35">
            <v>115.42223999999999</v>
          </cell>
          <cell r="I35">
            <v>16575.42224</v>
          </cell>
        </row>
        <row r="36">
          <cell r="B36" t="str">
            <v>Thép tròn D&gt;18</v>
          </cell>
          <cell r="C36" t="str">
            <v>steel bar D&gt;18</v>
          </cell>
          <cell r="D36" t="str">
            <v>kg</v>
          </cell>
          <cell r="E36">
            <v>16460</v>
          </cell>
          <cell r="H36">
            <v>115.42223999999999</v>
          </cell>
          <cell r="I36">
            <v>16575.42224</v>
          </cell>
        </row>
        <row r="37">
          <cell r="B37" t="str">
            <v>Thép hình</v>
          </cell>
          <cell r="C37" t="str">
            <v>Shaped steel</v>
          </cell>
          <cell r="D37" t="str">
            <v>kg</v>
          </cell>
          <cell r="E37">
            <v>16559.172809172807</v>
          </cell>
          <cell r="H37">
            <v>115.42223999999999</v>
          </cell>
          <cell r="I37">
            <v>16674.595049172807</v>
          </cell>
        </row>
        <row r="38">
          <cell r="B38" t="str">
            <v>Thép hình hệ khung treo đỡ</v>
          </cell>
          <cell r="C38" t="str">
            <v>Shaped steel of supporting frame system</v>
          </cell>
          <cell r="D38" t="str">
            <v>kg</v>
          </cell>
          <cell r="E38">
            <v>16559.172809172807</v>
          </cell>
          <cell r="H38">
            <v>115.42223999999999</v>
          </cell>
          <cell r="I38">
            <v>16674.595049172807</v>
          </cell>
        </row>
        <row r="39">
          <cell r="B39" t="str">
            <v>Thép hình hệ ván khuôn</v>
          </cell>
          <cell r="C39" t="str">
            <v>Shaped steel of formwork system</v>
          </cell>
          <cell r="D39" t="str">
            <v>kg</v>
          </cell>
          <cell r="E39">
            <v>16559.172809172807</v>
          </cell>
          <cell r="H39">
            <v>115.42223999999999</v>
          </cell>
          <cell r="I39">
            <v>16674.595049172807</v>
          </cell>
        </row>
        <row r="40">
          <cell r="B40" t="str">
            <v>Thép ống</v>
          </cell>
          <cell r="C40" t="str">
            <v>pipe steel</v>
          </cell>
          <cell r="D40" t="str">
            <v>kg</v>
          </cell>
          <cell r="I40">
            <v>16674.595049172807</v>
          </cell>
        </row>
        <row r="41">
          <cell r="B41" t="str">
            <v>Thép tấm</v>
          </cell>
          <cell r="C41" t="str">
            <v>Plate steel</v>
          </cell>
          <cell r="D41" t="str">
            <v>kg</v>
          </cell>
          <cell r="E41">
            <v>12727.272727272726</v>
          </cell>
          <cell r="H41">
            <v>115.42223999999999</v>
          </cell>
          <cell r="I41">
            <v>12842.694967272726</v>
          </cell>
        </row>
        <row r="42">
          <cell r="B42" t="str">
            <v>Thép tấm hệ khung treo đỡ</v>
          </cell>
          <cell r="C42" t="str">
            <v>plate steel of supporting frame system</v>
          </cell>
          <cell r="D42" t="str">
            <v>kg</v>
          </cell>
          <cell r="E42">
            <v>12727.272727272726</v>
          </cell>
          <cell r="H42">
            <v>115.42223999999999</v>
          </cell>
          <cell r="I42">
            <v>12842.694967272726</v>
          </cell>
        </row>
        <row r="43">
          <cell r="B43" t="str">
            <v>Thép tấm hệ ván khuôn</v>
          </cell>
          <cell r="C43" t="str">
            <v>plate steel of formwork system</v>
          </cell>
          <cell r="D43" t="str">
            <v>kg</v>
          </cell>
          <cell r="E43">
            <v>12727.272727272726</v>
          </cell>
          <cell r="H43">
            <v>115.42223999999999</v>
          </cell>
          <cell r="I43">
            <v>12842.694967272726</v>
          </cell>
        </row>
        <row r="44">
          <cell r="B44" t="str">
            <v>Cọc ván thép</v>
          </cell>
          <cell r="C44" t="str">
            <v>Steel sheet stake</v>
          </cell>
          <cell r="D44" t="str">
            <v>m</v>
          </cell>
          <cell r="I44">
            <v>1268936.6832420505</v>
          </cell>
        </row>
        <row r="45">
          <cell r="B45" t="str">
            <v>Cọc thép hình H350x350</v>
          </cell>
          <cell r="C45" t="str">
            <v>Shaped steel H350x350</v>
          </cell>
          <cell r="D45" t="str">
            <v>m</v>
          </cell>
          <cell r="I45">
            <v>2284419.5217366745</v>
          </cell>
        </row>
        <row r="46">
          <cell r="B46" t="str">
            <v>Tôn dày 2mm</v>
          </cell>
          <cell r="C46" t="str">
            <v>Tole thicknees 2mm</v>
          </cell>
          <cell r="D46" t="str">
            <v>kg</v>
          </cell>
          <cell r="F46">
            <v>20000</v>
          </cell>
          <cell r="I46">
            <v>20000</v>
          </cell>
        </row>
        <row r="47">
          <cell r="B47" t="str">
            <v>Cáp DƯL, ống ghen, thanh D38, gối cầu, khe co giãn</v>
          </cell>
        </row>
        <row r="48">
          <cell r="B48" t="str">
            <v xml:space="preserve">Thép cường độ cao </v>
          </cell>
          <cell r="C48" t="str">
            <v>high strength cable</v>
          </cell>
          <cell r="D48" t="str">
            <v>kg</v>
          </cell>
          <cell r="F48">
            <v>25454.545454545452</v>
          </cell>
          <cell r="I48">
            <v>25454.545454545452</v>
          </cell>
        </row>
        <row r="49">
          <cell r="B49" t="str">
            <v>Ống thép luồn cáp D80/87</v>
          </cell>
          <cell r="C49" t="str">
            <v>Cable steel pipe D80/87</v>
          </cell>
          <cell r="D49" t="str">
            <v>m</v>
          </cell>
          <cell r="F49">
            <v>29090.909090909088</v>
          </cell>
          <cell r="I49">
            <v>29090.909090909088</v>
          </cell>
        </row>
        <row r="50">
          <cell r="B50" t="str">
            <v>Ống thép luồn cáp D110/117</v>
          </cell>
          <cell r="C50" t="str">
            <v>Cable steel pipe D110/117</v>
          </cell>
          <cell r="D50" t="str">
            <v>m</v>
          </cell>
          <cell r="F50">
            <v>40909.090909090904</v>
          </cell>
          <cell r="I50">
            <v>40909.090909090904</v>
          </cell>
        </row>
        <row r="51">
          <cell r="B51" t="str">
            <v>Ống gen dẹp 20x75</v>
          </cell>
          <cell r="C51" t="str">
            <v>Duct 20x75</v>
          </cell>
          <cell r="D51" t="str">
            <v>m</v>
          </cell>
          <cell r="F51">
            <v>22727.272727272724</v>
          </cell>
          <cell r="I51">
            <v>22727.272727272724</v>
          </cell>
        </row>
        <row r="52">
          <cell r="B52" t="str">
            <v>Ống nối D110/117</v>
          </cell>
          <cell r="C52" t="str">
            <v>joint pipe PVC D110/117</v>
          </cell>
          <cell r="D52" t="str">
            <v>m</v>
          </cell>
          <cell r="F52">
            <v>41818.181818181816</v>
          </cell>
          <cell r="I52">
            <v>40909.090909090904</v>
          </cell>
        </row>
        <row r="53">
          <cell r="B53" t="str">
            <v>Ống nối D80/87</v>
          </cell>
          <cell r="C53" t="str">
            <v>joint pipe PVC D80/87</v>
          </cell>
          <cell r="D53" t="str">
            <v>m</v>
          </cell>
          <cell r="F53">
            <v>29999.999999999996</v>
          </cell>
          <cell r="I53">
            <v>29090.909090909088</v>
          </cell>
        </row>
        <row r="54">
          <cell r="B54" t="str">
            <v>Ống nối 20x75</v>
          </cell>
          <cell r="C54" t="str">
            <v>joint duct 20x75</v>
          </cell>
          <cell r="D54" t="str">
            <v>m</v>
          </cell>
          <cell r="I54">
            <v>22727.272727272724</v>
          </cell>
        </row>
        <row r="55">
          <cell r="B55" t="str">
            <v>Ống nối D69/72</v>
          </cell>
          <cell r="C55" t="str">
            <v>joint pipe PVC D69/72</v>
          </cell>
          <cell r="D55" t="str">
            <v>m</v>
          </cell>
          <cell r="I55">
            <v>64866.666666666664</v>
          </cell>
        </row>
        <row r="56">
          <cell r="B56" t="str">
            <v>Ống nối D84/89</v>
          </cell>
          <cell r="C56" t="str">
            <v>joint pipe PVC D84/89</v>
          </cell>
          <cell r="D56" t="str">
            <v>m</v>
          </cell>
          <cell r="I56">
            <v>95033.333333333328</v>
          </cell>
        </row>
        <row r="57">
          <cell r="B57" t="str">
            <v>Ống nối D75/80</v>
          </cell>
          <cell r="C57" t="str">
            <v>joint pipe PVC D75/80</v>
          </cell>
          <cell r="D57" t="str">
            <v>m</v>
          </cell>
          <cell r="I57">
            <v>80583.333333333328</v>
          </cell>
        </row>
        <row r="58">
          <cell r="B58" t="str">
            <v>Ống thép D84/89</v>
          </cell>
          <cell r="C58" t="str">
            <v>Steel pipe D84/89</v>
          </cell>
          <cell r="D58" t="str">
            <v>m</v>
          </cell>
          <cell r="F58">
            <v>95033.333333333328</v>
          </cell>
          <cell r="I58">
            <v>95033.333333333328</v>
          </cell>
        </row>
        <row r="59">
          <cell r="B59" t="str">
            <v>Ống thép D69/72</v>
          </cell>
          <cell r="C59" t="str">
            <v>Steel pipe D69/72</v>
          </cell>
          <cell r="D59" t="str">
            <v>m</v>
          </cell>
          <cell r="F59">
            <v>64866.666666666664</v>
          </cell>
          <cell r="I59">
            <v>64866.666666666664</v>
          </cell>
        </row>
        <row r="60">
          <cell r="B60" t="str">
            <v>Ống thép D75/80</v>
          </cell>
          <cell r="C60" t="str">
            <v>Steel pipe D75/80</v>
          </cell>
          <cell r="D60" t="str">
            <v>m</v>
          </cell>
          <cell r="F60">
            <v>80583.333333333328</v>
          </cell>
          <cell r="I60">
            <v>80583.333333333328</v>
          </cell>
        </row>
        <row r="61">
          <cell r="B61" t="str">
            <v>Thanh cường độ cao D36 (kg)</v>
          </cell>
          <cell r="C61" t="str">
            <v>High strengthen bar D36 (kg)</v>
          </cell>
          <cell r="D61" t="str">
            <v>kg</v>
          </cell>
          <cell r="F61">
            <v>86980.172563393309</v>
          </cell>
          <cell r="I61">
            <v>86980.172563393309</v>
          </cell>
        </row>
        <row r="62">
          <cell r="B62" t="str">
            <v>Tăng đơ D38mm dài 7m</v>
          </cell>
          <cell r="C62" t="str">
            <v>turn buckle D38mm</v>
          </cell>
          <cell r="D62" t="str">
            <v>cái</v>
          </cell>
          <cell r="G62">
            <v>65000</v>
          </cell>
          <cell r="I62">
            <v>65000</v>
          </cell>
        </row>
        <row r="63">
          <cell r="B63" t="str">
            <v>Bản thép neo 180x180x45</v>
          </cell>
          <cell r="C63" t="str">
            <v>Steel plate 180x180x45</v>
          </cell>
          <cell r="D63" t="str">
            <v>kg</v>
          </cell>
          <cell r="I63">
            <v>16674.595049172807</v>
          </cell>
        </row>
        <row r="64">
          <cell r="B64" t="str">
            <v>Neo chủ động 12 sợi D15.2</v>
          </cell>
          <cell r="C64" t="str">
            <v xml:space="preserve"> Active cable anchorage 12s D15.2</v>
          </cell>
          <cell r="D64" t="str">
            <v>bộ</v>
          </cell>
          <cell r="F64">
            <v>1545454.5454545454</v>
          </cell>
          <cell r="I64">
            <v>1545454.5454545454</v>
          </cell>
        </row>
        <row r="65">
          <cell r="B65" t="str">
            <v>Neo chủ động 27S 15.2mm</v>
          </cell>
          <cell r="C65" t="str">
            <v xml:space="preserve"> Active cable anchorage 27s D15.2</v>
          </cell>
          <cell r="D65" t="str">
            <v>bộ</v>
          </cell>
          <cell r="F65">
            <v>2859090.9090909087</v>
          </cell>
          <cell r="I65">
            <v>2859090.9090909087</v>
          </cell>
        </row>
        <row r="66">
          <cell r="B66" t="str">
            <v>Neo chủ động 5S 12.7mm</v>
          </cell>
          <cell r="C66" t="str">
            <v xml:space="preserve"> Active cable anchorage 5s D15.2</v>
          </cell>
          <cell r="D66" t="str">
            <v>bộ</v>
          </cell>
          <cell r="F66">
            <v>572727.27272727271</v>
          </cell>
          <cell r="I66">
            <v>572727.27272727271</v>
          </cell>
        </row>
        <row r="67">
          <cell r="B67" t="str">
            <v>Neo công tác</v>
          </cell>
          <cell r="C67" t="str">
            <v xml:space="preserve"> Temporary cable anchorage</v>
          </cell>
          <cell r="D67" t="str">
            <v>bộ</v>
          </cell>
          <cell r="F67">
            <v>400000</v>
          </cell>
          <cell r="I67">
            <v>400000</v>
          </cell>
        </row>
        <row r="68">
          <cell r="B68" t="str">
            <v>Coupler D36</v>
          </cell>
          <cell r="C68" t="str">
            <v>Coupler D36</v>
          </cell>
          <cell r="D68" t="str">
            <v>bộ</v>
          </cell>
          <cell r="F68">
            <v>879000</v>
          </cell>
          <cell r="I68">
            <v>879000</v>
          </cell>
        </row>
        <row r="69">
          <cell r="B69" t="str">
            <v>Gối chậu cố định 40GD</v>
          </cell>
          <cell r="C69" t="str">
            <v>Fixed bearing 4000 ton</v>
          </cell>
          <cell r="D69" t="str">
            <v>bộ</v>
          </cell>
          <cell r="F69">
            <v>527014090.90909088</v>
          </cell>
          <cell r="I69">
            <v>527014090.90909088</v>
          </cell>
        </row>
        <row r="70">
          <cell r="B70" t="str">
            <v>Gối chậu di động đơn hướng 40DX (P3)</v>
          </cell>
          <cell r="C70" t="str">
            <v>Movable bearing one direction 4000 ton (P3)</v>
          </cell>
          <cell r="D70" t="str">
            <v>bộ</v>
          </cell>
          <cell r="F70">
            <v>752825545.45454538</v>
          </cell>
          <cell r="I70">
            <v>752825545.45454538</v>
          </cell>
        </row>
        <row r="71">
          <cell r="B71" t="str">
            <v>Gối chậu di động đơn hướng 40DX (P4)</v>
          </cell>
          <cell r="C71" t="str">
            <v>Movable bearing one direction 4000 ton (P4)</v>
          </cell>
          <cell r="D71" t="str">
            <v>bộ</v>
          </cell>
          <cell r="F71">
            <v>798574636.36363626</v>
          </cell>
          <cell r="I71">
            <v>798574636.36363626</v>
          </cell>
        </row>
        <row r="72">
          <cell r="B72" t="str">
            <v>Gối chậu di động song hướng 40SX (P4)</v>
          </cell>
          <cell r="C72" t="str">
            <v>Movable bearing multi direction 4000 ton (P4)</v>
          </cell>
          <cell r="D72" t="str">
            <v>bộ</v>
          </cell>
          <cell r="F72">
            <v>725584363.63636363</v>
          </cell>
          <cell r="I72">
            <v>725584363.63636363</v>
          </cell>
        </row>
        <row r="73">
          <cell r="B73" t="str">
            <v>Gối chậu di động đơn hướng 9DX (P2)</v>
          </cell>
          <cell r="C73" t="str">
            <v>Movable bearing one direction 900 ton (P2)</v>
          </cell>
          <cell r="D73" t="str">
            <v>bộ</v>
          </cell>
          <cell r="F73">
            <v>183356727.27272725</v>
          </cell>
          <cell r="I73">
            <v>183356727.27272725</v>
          </cell>
        </row>
        <row r="74">
          <cell r="B74" t="str">
            <v>Gối chậu di động đơn hướng 9DX (P5)</v>
          </cell>
          <cell r="C74" t="str">
            <v>Movable bearing one direction 900 ton (P5)</v>
          </cell>
          <cell r="F74">
            <v>205841999.99999997</v>
          </cell>
          <cell r="I74">
            <v>205841999.99999997</v>
          </cell>
        </row>
        <row r="75">
          <cell r="B75" t="str">
            <v>Gối chậu di động song hướng 9SX (P2)</v>
          </cell>
          <cell r="C75" t="str">
            <v>Movable bearing multi direction 900 ton (P2)</v>
          </cell>
          <cell r="F75">
            <v>117315545.45454544</v>
          </cell>
          <cell r="I75">
            <v>117315545.45454544</v>
          </cell>
        </row>
        <row r="76">
          <cell r="B76" t="str">
            <v>Gối chậu di động song hướng 9SX (P5)</v>
          </cell>
          <cell r="C76" t="str">
            <v>Movable bearing multi direction 900 ton (P5)</v>
          </cell>
          <cell r="F76">
            <v>150267600</v>
          </cell>
          <cell r="I76">
            <v>150267600</v>
          </cell>
        </row>
        <row r="77">
          <cell r="B77" t="str">
            <v>Gối cao su dầm 350x450x84mm</v>
          </cell>
          <cell r="C77" t="str">
            <v>Elastomeric bearing for girder 350x450x84mm</v>
          </cell>
          <cell r="D77" t="str">
            <v>bộ</v>
          </cell>
          <cell r="F77">
            <v>5000000</v>
          </cell>
          <cell r="I77">
            <v>5000000</v>
          </cell>
        </row>
        <row r="78">
          <cell r="B78" t="str">
            <v>Khe co giãn 10cm</v>
          </cell>
          <cell r="C78" t="str">
            <v>Expansion joint 10cm</v>
          </cell>
          <cell r="D78" t="str">
            <v>m</v>
          </cell>
          <cell r="F78">
            <v>25454545.454545453</v>
          </cell>
          <cell r="I78">
            <v>25454545.454545453</v>
          </cell>
        </row>
        <row r="79">
          <cell r="B79" t="str">
            <v>Khe co giãn 24cm</v>
          </cell>
          <cell r="C79" t="str">
            <v>Expansion joint 24cm</v>
          </cell>
          <cell r="D79" t="str">
            <v>m</v>
          </cell>
          <cell r="F79">
            <v>69090909.090909079</v>
          </cell>
          <cell r="I79">
            <v>69090909.090909079</v>
          </cell>
        </row>
        <row r="80">
          <cell r="B80" t="str">
            <v>Phụ gia</v>
          </cell>
        </row>
        <row r="81">
          <cell r="B81" t="str">
            <v>Sika grout 214-11</v>
          </cell>
          <cell r="C81" t="str">
            <v>Sika grout 214-11</v>
          </cell>
          <cell r="D81" t="str">
            <v>kg</v>
          </cell>
          <cell r="F81">
            <v>10100</v>
          </cell>
          <cell r="H81">
            <v>1080</v>
          </cell>
          <cell r="I81">
            <v>11180</v>
          </cell>
        </row>
        <row r="82">
          <cell r="B82" t="str">
            <v>Sikament 2000AT</v>
          </cell>
          <cell r="C82" t="str">
            <v>Sikament 2000AT</v>
          </cell>
          <cell r="D82" t="str">
            <v>lít</v>
          </cell>
          <cell r="F82">
            <v>15400</v>
          </cell>
          <cell r="H82">
            <v>1080</v>
          </cell>
          <cell r="I82">
            <v>16480</v>
          </cell>
        </row>
        <row r="83">
          <cell r="B83" t="str">
            <v>Sika Viscocrete 3000-10</v>
          </cell>
          <cell r="C83" t="str">
            <v>Sika Viscocrete 3000-10</v>
          </cell>
          <cell r="D83" t="str">
            <v>lít</v>
          </cell>
          <cell r="F83">
            <v>29700</v>
          </cell>
          <cell r="H83">
            <v>1080</v>
          </cell>
          <cell r="I83">
            <v>30780</v>
          </cell>
        </row>
        <row r="84">
          <cell r="B84" t="str">
            <v>Sikament R4</v>
          </cell>
          <cell r="C84" t="str">
            <v>Sikament R4</v>
          </cell>
          <cell r="D84" t="str">
            <v>kg</v>
          </cell>
          <cell r="F84">
            <v>16200</v>
          </cell>
          <cell r="H84">
            <v>1080</v>
          </cell>
          <cell r="I84">
            <v>17280</v>
          </cell>
        </row>
        <row r="85">
          <cell r="B85" t="str">
            <v>Sika IntraplastZ</v>
          </cell>
          <cell r="C85" t="str">
            <v>Sika IntraplastZ</v>
          </cell>
          <cell r="D85" t="str">
            <v>kg</v>
          </cell>
          <cell r="F85">
            <v>77000</v>
          </cell>
          <cell r="H85">
            <v>1080</v>
          </cell>
          <cell r="I85">
            <v>78080</v>
          </cell>
        </row>
        <row r="86">
          <cell r="B86" t="str">
            <v>Ben tô nít</v>
          </cell>
          <cell r="C86" t="str">
            <v>Bentonite</v>
          </cell>
          <cell r="D86" t="str">
            <v>kg</v>
          </cell>
          <cell r="F86">
            <v>2909.090909090909</v>
          </cell>
          <cell r="I86">
            <v>2909.090909090909</v>
          </cell>
        </row>
        <row r="87">
          <cell r="B87" t="str">
            <v>Phụ gia CMC</v>
          </cell>
          <cell r="C87" t="str">
            <v>admixture CMC</v>
          </cell>
          <cell r="D87" t="str">
            <v>kg</v>
          </cell>
          <cell r="F87">
            <v>40909.090909090904</v>
          </cell>
          <cell r="I87">
            <v>40909.090909090904</v>
          </cell>
        </row>
        <row r="88">
          <cell r="B88" t="str">
            <v>Phụ gia hóa dẻo</v>
          </cell>
          <cell r="D88" t="str">
            <v>kg</v>
          </cell>
          <cell r="F88">
            <v>16200</v>
          </cell>
          <cell r="I88">
            <v>16200</v>
          </cell>
        </row>
        <row r="89">
          <cell r="B89" t="str">
            <v>Ống nhựa, ống thép, phụ tùng nối ống các loại</v>
          </cell>
        </row>
        <row r="90">
          <cell r="B90" t="str">
            <v xml:space="preserve">Ống đổ D300 </v>
          </cell>
          <cell r="C90" t="str">
            <v>pouring pipe D300</v>
          </cell>
          <cell r="D90" t="str">
            <v>m</v>
          </cell>
          <cell r="G90">
            <v>138000</v>
          </cell>
          <cell r="I90">
            <v>138000</v>
          </cell>
        </row>
        <row r="91">
          <cell r="B91" t="str">
            <v>Ống nhựa D60</v>
          </cell>
          <cell r="C91" t="str">
            <v>Pipe PVC D60</v>
          </cell>
          <cell r="D91" t="str">
            <v>m</v>
          </cell>
          <cell r="E91">
            <v>22600</v>
          </cell>
          <cell r="I91">
            <v>22600</v>
          </cell>
        </row>
        <row r="92">
          <cell r="B92" t="str">
            <v>Ống nhựa D114</v>
          </cell>
          <cell r="C92" t="str">
            <v>Pipe PVC D114</v>
          </cell>
          <cell r="D92" t="str">
            <v>m</v>
          </cell>
          <cell r="E92">
            <v>81000</v>
          </cell>
          <cell r="I92">
            <v>81000</v>
          </cell>
        </row>
        <row r="93">
          <cell r="B93" t="str">
            <v>Ống nhựa D75</v>
          </cell>
          <cell r="C93" t="str">
            <v>Pipe PVC D75</v>
          </cell>
          <cell r="D93" t="str">
            <v>m</v>
          </cell>
          <cell r="E93">
            <v>34500</v>
          </cell>
          <cell r="I93">
            <v>34500</v>
          </cell>
        </row>
        <row r="94">
          <cell r="B94" t="str">
            <v xml:space="preserve">Ống nhựa D20/24 </v>
          </cell>
          <cell r="C94" t="str">
            <v>Pipe PVC D20/24</v>
          </cell>
          <cell r="D94" t="str">
            <v>m</v>
          </cell>
          <cell r="E94">
            <v>6200</v>
          </cell>
          <cell r="I94">
            <v>6200</v>
          </cell>
        </row>
        <row r="95">
          <cell r="B95" t="str">
            <v xml:space="preserve">Ống nhựa D25/30 </v>
          </cell>
          <cell r="C95" t="str">
            <v>Pipe PVC D25/30</v>
          </cell>
          <cell r="D95" t="str">
            <v>m</v>
          </cell>
          <cell r="E95">
            <v>12300</v>
          </cell>
          <cell r="I95">
            <v>12300</v>
          </cell>
        </row>
        <row r="96">
          <cell r="B96" t="str">
            <v>Ống nhựa D80</v>
          </cell>
          <cell r="C96" t="str">
            <v>Pipe PVC D80</v>
          </cell>
          <cell r="D96" t="str">
            <v>m</v>
          </cell>
          <cell r="E96">
            <v>34500</v>
          </cell>
          <cell r="I96">
            <v>34500</v>
          </cell>
        </row>
        <row r="97">
          <cell r="B97" t="str">
            <v>Ống nhựa D100</v>
          </cell>
          <cell r="C97" t="str">
            <v>Pipe PVC D100</v>
          </cell>
          <cell r="D97" t="str">
            <v>m</v>
          </cell>
          <cell r="E97">
            <v>72100</v>
          </cell>
          <cell r="I97">
            <v>72100</v>
          </cell>
        </row>
        <row r="98">
          <cell r="B98" t="str">
            <v>Ống PVC D200</v>
          </cell>
          <cell r="C98" t="e">
            <v>#N/A</v>
          </cell>
          <cell r="D98" t="str">
            <v>m</v>
          </cell>
          <cell r="E98">
            <v>235300</v>
          </cell>
          <cell r="I98">
            <v>235300</v>
          </cell>
        </row>
        <row r="99">
          <cell r="B99" t="str">
            <v>Ống thép D114</v>
          </cell>
          <cell r="C99" t="str">
            <v>Steel pipe D114</v>
          </cell>
          <cell r="D99" t="str">
            <v>m</v>
          </cell>
          <cell r="F99">
            <v>174466.66666666666</v>
          </cell>
          <cell r="I99">
            <v>174466.66666666666</v>
          </cell>
        </row>
        <row r="100">
          <cell r="B100" t="str">
            <v>Ống thép D60</v>
          </cell>
          <cell r="C100" t="str">
            <v>Steel pipe D60</v>
          </cell>
          <cell r="D100" t="str">
            <v>m</v>
          </cell>
          <cell r="F100">
            <v>63283.333333333336</v>
          </cell>
          <cell r="I100">
            <v>63283.333333333336</v>
          </cell>
        </row>
        <row r="101">
          <cell r="B101" t="str">
            <v>Sắt ống D80</v>
          </cell>
          <cell r="C101" t="str">
            <v>Steel pipe D80</v>
          </cell>
          <cell r="D101" t="str">
            <v>m</v>
          </cell>
          <cell r="F101">
            <v>76466.666666666672</v>
          </cell>
          <cell r="I101">
            <v>76466.666666666672</v>
          </cell>
        </row>
        <row r="102">
          <cell r="B102" t="str">
            <v>Tiểu ngũ kim</v>
          </cell>
        </row>
        <row r="103">
          <cell r="B103" t="str">
            <v>Dây thép buộc</v>
          </cell>
          <cell r="C103" t="str">
            <v>Steel ware</v>
          </cell>
          <cell r="D103" t="str">
            <v>kg</v>
          </cell>
          <cell r="E103">
            <v>17143</v>
          </cell>
          <cell r="I103">
            <v>17143</v>
          </cell>
        </row>
        <row r="104">
          <cell r="B104" t="str">
            <v>Đinh các loại</v>
          </cell>
          <cell r="C104" t="str">
            <v>Nail</v>
          </cell>
          <cell r="D104" t="str">
            <v>kg</v>
          </cell>
          <cell r="E104">
            <v>17143</v>
          </cell>
          <cell r="I104">
            <v>17143</v>
          </cell>
        </row>
        <row r="105">
          <cell r="B105" t="str">
            <v>Đinh mũ</v>
          </cell>
          <cell r="C105" t="str">
            <v>Thumbtack</v>
          </cell>
          <cell r="D105" t="str">
            <v>cái</v>
          </cell>
          <cell r="G105">
            <v>1000</v>
          </cell>
          <cell r="I105">
            <v>1000</v>
          </cell>
        </row>
        <row r="106">
          <cell r="B106" t="str">
            <v>Đinh tán D22</v>
          </cell>
          <cell r="C106" t="str">
            <v>Clinch-nail D22</v>
          </cell>
          <cell r="D106" t="str">
            <v>cái</v>
          </cell>
          <cell r="G106">
            <v>1000</v>
          </cell>
          <cell r="I106">
            <v>1000</v>
          </cell>
        </row>
        <row r="107">
          <cell r="B107" t="str">
            <v>Đinh đỉa</v>
          </cell>
          <cell r="C107" t="str">
            <v>Casing nail</v>
          </cell>
          <cell r="D107" t="str">
            <v>cái</v>
          </cell>
          <cell r="G107">
            <v>1000</v>
          </cell>
          <cell r="I107">
            <v>1000</v>
          </cell>
        </row>
        <row r="108">
          <cell r="B108" t="str">
            <v>Đinh crămpông</v>
          </cell>
          <cell r="C108" t="str">
            <v>Crampong nail</v>
          </cell>
          <cell r="D108" t="str">
            <v>cái</v>
          </cell>
          <cell r="G108">
            <v>1000</v>
          </cell>
          <cell r="I108">
            <v>1000</v>
          </cell>
        </row>
        <row r="109">
          <cell r="B109" t="str">
            <v>Que hàn</v>
          </cell>
          <cell r="C109" t="str">
            <v>welding electrode</v>
          </cell>
          <cell r="D109" t="str">
            <v>kg</v>
          </cell>
          <cell r="E109">
            <v>19090.909090909088</v>
          </cell>
          <cell r="I109">
            <v>19090.909090909088</v>
          </cell>
        </row>
        <row r="110">
          <cell r="B110" t="str">
            <v>Gia công mạ kẽm</v>
          </cell>
          <cell r="C110" t="str">
            <v>Zinc steel</v>
          </cell>
          <cell r="D110" t="str">
            <v>kg</v>
          </cell>
          <cell r="F110">
            <v>5636.363636363636</v>
          </cell>
          <cell r="I110">
            <v>5636.363636363636</v>
          </cell>
        </row>
        <row r="111">
          <cell r="B111" t="str">
            <v>Lưới thép B40</v>
          </cell>
          <cell r="C111" t="str">
            <v>Temporary railling B40</v>
          </cell>
          <cell r="D111" t="str">
            <v>m2</v>
          </cell>
          <cell r="E111">
            <v>37676.299999999996</v>
          </cell>
          <cell r="I111">
            <v>37676.299999999996</v>
          </cell>
        </row>
        <row r="112">
          <cell r="B112" t="str">
            <v xml:space="preserve">Lưỡi cưa cắt </v>
          </cell>
          <cell r="C112" t="str">
            <v>Saw</v>
          </cell>
          <cell r="D112" t="str">
            <v>cái</v>
          </cell>
          <cell r="G112">
            <v>4500</v>
          </cell>
          <cell r="I112">
            <v>4500</v>
          </cell>
        </row>
        <row r="113">
          <cell r="B113" t="str">
            <v>Tăng đơ</v>
          </cell>
          <cell r="C113" t="str">
            <v>turn buckle</v>
          </cell>
          <cell r="D113" t="str">
            <v>cái</v>
          </cell>
          <cell r="G113">
            <v>25000</v>
          </cell>
          <cell r="I113">
            <v>25000</v>
          </cell>
        </row>
        <row r="114">
          <cell r="B114" t="str">
            <v>Bu lông M14</v>
          </cell>
          <cell r="C114" t="str">
            <v>Bbolt M14</v>
          </cell>
          <cell r="D114" t="str">
            <v>bộ</v>
          </cell>
          <cell r="F114">
            <v>3000</v>
          </cell>
          <cell r="I114">
            <v>3000</v>
          </cell>
        </row>
        <row r="115">
          <cell r="B115" t="str">
            <v>Bu lông M16</v>
          </cell>
          <cell r="C115" t="str">
            <v>Bbolt M16</v>
          </cell>
          <cell r="D115" t="str">
            <v>bộ</v>
          </cell>
          <cell r="F115">
            <v>3500</v>
          </cell>
          <cell r="I115">
            <v>3500</v>
          </cell>
        </row>
        <row r="116">
          <cell r="B116" t="str">
            <v>Bu lông M20</v>
          </cell>
          <cell r="C116" t="str">
            <v>Bbolt M20</v>
          </cell>
          <cell r="D116" t="str">
            <v>bộ</v>
          </cell>
          <cell r="F116">
            <v>4000</v>
          </cell>
          <cell r="I116">
            <v>4000</v>
          </cell>
        </row>
        <row r="117">
          <cell r="B117" t="str">
            <v>Bulông D22mm</v>
          </cell>
          <cell r="C117" t="str">
            <v>Bbolt D22</v>
          </cell>
          <cell r="D117" t="str">
            <v>bộ</v>
          </cell>
          <cell r="F117">
            <v>10000</v>
          </cell>
          <cell r="I117">
            <v>10000</v>
          </cell>
        </row>
        <row r="118">
          <cell r="B118" t="str">
            <v>Bu lông D16mm</v>
          </cell>
          <cell r="C118" t="str">
            <v>Bbolt D16mmm</v>
          </cell>
          <cell r="D118" t="str">
            <v>bộ</v>
          </cell>
          <cell r="F118">
            <v>3500</v>
          </cell>
          <cell r="I118">
            <v>3500</v>
          </cell>
        </row>
        <row r="119">
          <cell r="B119" t="str">
            <v>Bu lông M24x290</v>
          </cell>
          <cell r="C119" t="str">
            <v>Bbolt M24x290</v>
          </cell>
          <cell r="D119" t="str">
            <v>bộ</v>
          </cell>
          <cell r="F119">
            <v>10000</v>
          </cell>
          <cell r="I119">
            <v>10000</v>
          </cell>
        </row>
        <row r="120">
          <cell r="B120" t="str">
            <v>Bu lông M8x50</v>
          </cell>
          <cell r="C120" t="str">
            <v>Bbolt M8x50</v>
          </cell>
          <cell r="D120" t="str">
            <v>bộ</v>
          </cell>
          <cell r="F120">
            <v>1200</v>
          </cell>
          <cell r="I120">
            <v>1200</v>
          </cell>
        </row>
        <row r="121">
          <cell r="B121" t="str">
            <v>Bu lông M10</v>
          </cell>
          <cell r="C121" t="str">
            <v>Bbolt M10</v>
          </cell>
          <cell r="D121" t="str">
            <v>bộ</v>
          </cell>
          <cell r="F121">
            <v>1200</v>
          </cell>
          <cell r="I121">
            <v>1200</v>
          </cell>
        </row>
        <row r="122">
          <cell r="B122" t="str">
            <v>Bu lông M6</v>
          </cell>
          <cell r="C122" t="str">
            <v>Bbolt M6</v>
          </cell>
          <cell r="D122" t="str">
            <v>bộ</v>
          </cell>
          <cell r="F122">
            <v>1200</v>
          </cell>
          <cell r="I122">
            <v>1200</v>
          </cell>
        </row>
        <row r="123">
          <cell r="B123" t="str">
            <v>Lâm sản</v>
          </cell>
        </row>
        <row r="124">
          <cell r="B124" t="str">
            <v>Cây chống</v>
          </cell>
          <cell r="C124" t="str">
            <v>Strut</v>
          </cell>
          <cell r="D124" t="str">
            <v>cây</v>
          </cell>
          <cell r="E124">
            <v>17000</v>
          </cell>
          <cell r="I124">
            <v>17000</v>
          </cell>
        </row>
        <row r="125">
          <cell r="B125" t="str">
            <v>Cọc tràm</v>
          </cell>
          <cell r="C125" t="str">
            <v>Wooden pile</v>
          </cell>
          <cell r="D125" t="str">
            <v>m</v>
          </cell>
          <cell r="E125">
            <v>3617.0212765957444</v>
          </cell>
          <cell r="I125">
            <v>3617.0212765957444</v>
          </cell>
        </row>
        <row r="126">
          <cell r="B126" t="str">
            <v>Gỗ</v>
          </cell>
          <cell r="C126" t="str">
            <v>Wooden</v>
          </cell>
          <cell r="D126" t="str">
            <v>m3</v>
          </cell>
          <cell r="E126">
            <v>5000000</v>
          </cell>
          <cell r="I126">
            <v>5000000</v>
          </cell>
        </row>
        <row r="127">
          <cell r="B127" t="str">
            <v>Gỗ tẩm nhựa</v>
          </cell>
          <cell r="C127" t="str">
            <v>Bitumen soaking wood</v>
          </cell>
          <cell r="D127" t="str">
            <v>m3</v>
          </cell>
          <cell r="E127">
            <v>5000000</v>
          </cell>
          <cell r="I127">
            <v>5000000</v>
          </cell>
        </row>
        <row r="128">
          <cell r="B128" t="str">
            <v>Tà vẹt 14x22x180</v>
          </cell>
          <cell r="C128" t="str">
            <v>wooden tie 14x22x180</v>
          </cell>
          <cell r="D128" t="str">
            <v>thanh</v>
          </cell>
          <cell r="G128">
            <v>412474</v>
          </cell>
          <cell r="I128">
            <v>412474</v>
          </cell>
        </row>
        <row r="129">
          <cell r="B129" t="str">
            <v>Gỗ kê</v>
          </cell>
          <cell r="C129" t="str">
            <v>Wooden chock</v>
          </cell>
          <cell r="D129" t="str">
            <v>m3</v>
          </cell>
          <cell r="E129">
            <v>0</v>
          </cell>
          <cell r="I129">
            <v>0</v>
          </cell>
        </row>
        <row r="130">
          <cell r="B130" t="str">
            <v>Củi</v>
          </cell>
          <cell r="C130" t="str">
            <v>Firewood</v>
          </cell>
          <cell r="D130" t="str">
            <v>kg</v>
          </cell>
          <cell r="F130">
            <v>1000</v>
          </cell>
          <cell r="I130">
            <v>1000</v>
          </cell>
        </row>
        <row r="131">
          <cell r="B131" t="str">
            <v>Hóa chất các loại</v>
          </cell>
        </row>
        <row r="132">
          <cell r="B132" t="str">
            <v>Ô xy</v>
          </cell>
          <cell r="C132" t="str">
            <v>oxygen</v>
          </cell>
          <cell r="D132" t="str">
            <v>chai</v>
          </cell>
          <cell r="G132">
            <v>48000</v>
          </cell>
          <cell r="I132">
            <v>48000</v>
          </cell>
        </row>
        <row r="133">
          <cell r="B133" t="str">
            <v>Đất đèn</v>
          </cell>
          <cell r="C133" t="str">
            <v>Calcium carbide</v>
          </cell>
          <cell r="D133" t="str">
            <v>kg</v>
          </cell>
          <cell r="E133">
            <v>14000</v>
          </cell>
          <cell r="I133">
            <v>14000</v>
          </cell>
        </row>
        <row r="134">
          <cell r="B134" t="str">
            <v>Acêtylen</v>
          </cell>
          <cell r="C134" t="str">
            <v>Acetylene</v>
          </cell>
          <cell r="D134" t="str">
            <v>chai</v>
          </cell>
          <cell r="G134">
            <v>48000</v>
          </cell>
          <cell r="I134">
            <v>48000</v>
          </cell>
        </row>
        <row r="135">
          <cell r="B135" t="str">
            <v>Gas</v>
          </cell>
          <cell r="C135" t="str">
            <v>Gas</v>
          </cell>
          <cell r="D135" t="str">
            <v>kg</v>
          </cell>
          <cell r="F135">
            <v>27575.757575757572</v>
          </cell>
          <cell r="I135">
            <v>27575.757575757572</v>
          </cell>
        </row>
        <row r="136">
          <cell r="B136" t="str">
            <v xml:space="preserve">Cồn rửa </v>
          </cell>
          <cell r="D136" t="str">
            <v>kg</v>
          </cell>
          <cell r="F136">
            <v>7000</v>
          </cell>
          <cell r="I136">
            <v>7000</v>
          </cell>
        </row>
        <row r="137">
          <cell r="B137" t="str">
            <v xml:space="preserve">Nhựa dán </v>
          </cell>
          <cell r="C137" t="str">
            <v>glue</v>
          </cell>
          <cell r="D137" t="str">
            <v>kg</v>
          </cell>
          <cell r="E137">
            <v>100900</v>
          </cell>
          <cell r="I137">
            <v>100900</v>
          </cell>
        </row>
        <row r="138">
          <cell r="B138" t="str">
            <v>Các sản phẩm từ dầu mỏ, sơn các loại</v>
          </cell>
        </row>
        <row r="139">
          <cell r="B139" t="str">
            <v>Nhựa đường</v>
          </cell>
          <cell r="C139" t="str">
            <v>bitumen</v>
          </cell>
          <cell r="D139" t="str">
            <v>kg</v>
          </cell>
          <cell r="E139">
            <v>15750</v>
          </cell>
          <cell r="H139">
            <v>87.85611999999999</v>
          </cell>
          <cell r="I139">
            <v>15837.85612</v>
          </cell>
        </row>
        <row r="140">
          <cell r="B140" t="str">
            <v>Nhựa bitum</v>
          </cell>
          <cell r="C140" t="str">
            <v>bitumen</v>
          </cell>
          <cell r="D140" t="str">
            <v>kg</v>
          </cell>
          <cell r="I140">
            <v>15837.85612</v>
          </cell>
        </row>
        <row r="141">
          <cell r="B141" t="str">
            <v>Dầu hỏa</v>
          </cell>
          <cell r="C141" t="str">
            <v>Petroleum</v>
          </cell>
          <cell r="D141" t="str">
            <v>kg</v>
          </cell>
          <cell r="F141">
            <v>23469.174503657261</v>
          </cell>
          <cell r="I141">
            <v>23469.174503657261</v>
          </cell>
        </row>
        <row r="142">
          <cell r="B142" t="str">
            <v>Xăng</v>
          </cell>
          <cell r="C142" t="str">
            <v xml:space="preserve">Petrol -oil </v>
          </cell>
          <cell r="D142" t="str">
            <v>kg</v>
          </cell>
          <cell r="F142">
            <v>30405.405405405407</v>
          </cell>
          <cell r="I142">
            <v>30405.405405405407</v>
          </cell>
        </row>
        <row r="143">
          <cell r="B143" t="str">
            <v>Dầu diesel</v>
          </cell>
          <cell r="C143" t="str">
            <v>Diesel</v>
          </cell>
          <cell r="D143" t="str">
            <v>kg</v>
          </cell>
          <cell r="F143">
            <v>23772.204806687565</v>
          </cell>
          <cell r="I143">
            <v>23772.204806687565</v>
          </cell>
        </row>
        <row r="144">
          <cell r="B144" t="str">
            <v>Dầu mazut</v>
          </cell>
          <cell r="C144" t="str">
            <v>Mazut</v>
          </cell>
          <cell r="D144" t="str">
            <v>kg</v>
          </cell>
          <cell r="F144">
            <v>17436.363636363636</v>
          </cell>
          <cell r="I144">
            <v>17436.363636363636</v>
          </cell>
        </row>
        <row r="145">
          <cell r="B145" t="str">
            <v>Dầu bảo ôn</v>
          </cell>
          <cell r="C145" t="str">
            <v xml:space="preserve">Safe oil </v>
          </cell>
          <cell r="D145" t="str">
            <v>kg</v>
          </cell>
          <cell r="G145">
            <v>17454</v>
          </cell>
          <cell r="I145">
            <v>17454</v>
          </cell>
        </row>
        <row r="146">
          <cell r="B146" t="str">
            <v>Dầu CS46</v>
          </cell>
          <cell r="C146" t="str">
            <v>Oil CS46</v>
          </cell>
          <cell r="D146" t="str">
            <v>kg</v>
          </cell>
          <cell r="G146">
            <v>17454</v>
          </cell>
          <cell r="I146">
            <v>17454</v>
          </cell>
        </row>
        <row r="147">
          <cell r="B147" t="str">
            <v>Mỡ bôi trơn</v>
          </cell>
          <cell r="C147" t="str">
            <v>Lubricant grease</v>
          </cell>
          <cell r="D147" t="str">
            <v>kg</v>
          </cell>
          <cell r="G147">
            <v>14560</v>
          </cell>
          <cell r="I147">
            <v>14560</v>
          </cell>
        </row>
        <row r="148">
          <cell r="B148" t="str">
            <v xml:space="preserve">Sơn </v>
          </cell>
          <cell r="C148" t="str">
            <v>Paint</v>
          </cell>
          <cell r="D148" t="str">
            <v>kg</v>
          </cell>
          <cell r="E148">
            <v>86666.666666666672</v>
          </cell>
          <cell r="I148">
            <v>86666.666666666672</v>
          </cell>
        </row>
        <row r="149">
          <cell r="B149" t="str">
            <v>Sơn chống rỉ</v>
          </cell>
          <cell r="C149" t="str">
            <v>Antirust paint</v>
          </cell>
          <cell r="D149" t="str">
            <v>kg</v>
          </cell>
          <cell r="E149">
            <v>41169.090909090904</v>
          </cell>
          <cell r="I149">
            <v>41169.090909090904</v>
          </cell>
        </row>
        <row r="150">
          <cell r="B150" t="str">
            <v>Sơn lót</v>
          </cell>
          <cell r="C150" t="str">
            <v>Priming paint</v>
          </cell>
          <cell r="D150" t="str">
            <v>kg</v>
          </cell>
          <cell r="F150">
            <v>65000</v>
          </cell>
          <cell r="I150">
            <v>65000</v>
          </cell>
        </row>
        <row r="151">
          <cell r="B151" t="str">
            <v>Sơn dẻo nhiệt</v>
          </cell>
          <cell r="C151" t="str">
            <v xml:space="preserve">Heat viscid paint </v>
          </cell>
          <cell r="D151" t="str">
            <v>kg</v>
          </cell>
          <cell r="F151">
            <v>19800</v>
          </cell>
          <cell r="I151">
            <v>19800</v>
          </cell>
        </row>
        <row r="152">
          <cell r="B152" t="str">
            <v>Bê tông nhựa hạt mịn (thương phẩm)</v>
          </cell>
          <cell r="C152" t="e">
            <v>#N/A</v>
          </cell>
          <cell r="D152" t="str">
            <v>tấn</v>
          </cell>
          <cell r="H152">
            <v>80927.12</v>
          </cell>
          <cell r="I152">
            <v>80927.12</v>
          </cell>
        </row>
        <row r="153">
          <cell r="B153" t="str">
            <v>Bê tông nhựa hạt trung (thương phẩm)</v>
          </cell>
          <cell r="C153" t="e">
            <v>#N/A</v>
          </cell>
          <cell r="D153" t="str">
            <v>tấn</v>
          </cell>
          <cell r="H153">
            <v>80927.12</v>
          </cell>
          <cell r="I153">
            <v>80927.12</v>
          </cell>
        </row>
        <row r="154">
          <cell r="B154" t="str">
            <v>Các vật liệu khác</v>
          </cell>
          <cell r="C154" t="e">
            <v>#N/A</v>
          </cell>
        </row>
        <row r="155">
          <cell r="B155" t="str">
            <v>Nước</v>
          </cell>
          <cell r="C155" t="str">
            <v>water</v>
          </cell>
          <cell r="D155" t="str">
            <v>m3</v>
          </cell>
          <cell r="G155">
            <v>4000</v>
          </cell>
          <cell r="I155">
            <v>4000</v>
          </cell>
        </row>
        <row r="156">
          <cell r="B156" t="str">
            <v>Cỏ</v>
          </cell>
          <cell r="C156" t="str">
            <v>Grass</v>
          </cell>
          <cell r="D156" t="str">
            <v>m2</v>
          </cell>
          <cell r="F156">
            <v>5000</v>
          </cell>
          <cell r="I156">
            <v>5000</v>
          </cell>
        </row>
        <row r="157">
          <cell r="B157" t="str">
            <v>Lớp phòng nước</v>
          </cell>
          <cell r="C157" t="str">
            <v>Water-proof membrane layer</v>
          </cell>
          <cell r="D157" t="str">
            <v>m2</v>
          </cell>
          <cell r="F157">
            <v>90000</v>
          </cell>
          <cell r="I157">
            <v>90000</v>
          </cell>
        </row>
        <row r="158">
          <cell r="B158" t="str">
            <v>Giấy dầu</v>
          </cell>
          <cell r="C158" t="str">
            <v>Oilpaper</v>
          </cell>
          <cell r="D158" t="str">
            <v>m2</v>
          </cell>
          <cell r="G158">
            <v>4000</v>
          </cell>
          <cell r="I158">
            <v>4000</v>
          </cell>
        </row>
        <row r="159">
          <cell r="B159" t="str">
            <v xml:space="preserve">Răng gầu hợp kim </v>
          </cell>
          <cell r="C159" t="str">
            <v xml:space="preserve">alloy bucket teeth </v>
          </cell>
          <cell r="D159" t="str">
            <v>cái</v>
          </cell>
          <cell r="G159">
            <v>85000</v>
          </cell>
          <cell r="I159">
            <v>85000</v>
          </cell>
        </row>
        <row r="160">
          <cell r="B160" t="str">
            <v>Gầu khoan</v>
          </cell>
          <cell r="C160" t="str">
            <v xml:space="preserve">Bucket of drill </v>
          </cell>
          <cell r="D160" t="str">
            <v>cái</v>
          </cell>
          <cell r="G160">
            <v>3000000</v>
          </cell>
          <cell r="I160">
            <v>3000000</v>
          </cell>
        </row>
        <row r="161">
          <cell r="B161" t="str">
            <v>Bột đá</v>
          </cell>
          <cell r="C161" t="str">
            <v>Stone powder</v>
          </cell>
          <cell r="D161" t="str">
            <v>kg</v>
          </cell>
          <cell r="F161">
            <v>1000</v>
          </cell>
          <cell r="I161">
            <v>1000</v>
          </cell>
        </row>
        <row r="162">
          <cell r="B162" t="str">
            <v>Vải địa kỹ thuật R=12KN/m</v>
          </cell>
          <cell r="C162" t="str">
            <v>geotextile 12KN/m</v>
          </cell>
          <cell r="D162" t="str">
            <v>m2</v>
          </cell>
          <cell r="F162">
            <v>12727.272727272726</v>
          </cell>
          <cell r="I162">
            <v>12727.272727272726</v>
          </cell>
        </row>
        <row r="163">
          <cell r="B163" t="str">
            <v>Vải địa kỹ thuật cường độ cao R=200KN/m</v>
          </cell>
          <cell r="C163" t="str">
            <v>geotextile 200KN/m</v>
          </cell>
          <cell r="D163" t="str">
            <v>m2</v>
          </cell>
          <cell r="F163">
            <v>36363.63636363636</v>
          </cell>
          <cell r="I163">
            <v>36363.63636363636</v>
          </cell>
        </row>
        <row r="164">
          <cell r="B164" t="str">
            <v>Băng dính</v>
          </cell>
          <cell r="C164" t="str">
            <v>Adhesive tape</v>
          </cell>
          <cell r="D164" t="str">
            <v>cuộn</v>
          </cell>
          <cell r="G164">
            <v>3000</v>
          </cell>
          <cell r="I164">
            <v>3000</v>
          </cell>
        </row>
        <row r="165">
          <cell r="B165" t="str">
            <v xml:space="preserve">Đá cắt </v>
          </cell>
          <cell r="C165" t="str">
            <v>Split stone</v>
          </cell>
          <cell r="D165" t="str">
            <v>viên</v>
          </cell>
          <cell r="G165">
            <v>35000</v>
          </cell>
          <cell r="I165">
            <v>35000</v>
          </cell>
        </row>
        <row r="166">
          <cell r="B166" t="str">
            <v>Đá mài</v>
          </cell>
          <cell r="C166" t="str">
            <v xml:space="preserve">Grinding stone </v>
          </cell>
          <cell r="D166" t="str">
            <v>viên</v>
          </cell>
          <cell r="G166">
            <v>25000</v>
          </cell>
          <cell r="I166">
            <v>25000</v>
          </cell>
        </row>
        <row r="167">
          <cell r="B167" t="str">
            <v>Keo Epoxy</v>
          </cell>
          <cell r="C167" t="str">
            <v>Glue epoxy cover</v>
          </cell>
          <cell r="D167" t="str">
            <v>kg</v>
          </cell>
          <cell r="F167">
            <v>254000</v>
          </cell>
          <cell r="H167">
            <v>1080</v>
          </cell>
          <cell r="I167">
            <v>255080</v>
          </cell>
        </row>
        <row r="168">
          <cell r="B168" t="str">
            <v>Neo cáp</v>
          </cell>
          <cell r="C168" t="str">
            <v>cable anchorage</v>
          </cell>
          <cell r="D168" t="str">
            <v>cái</v>
          </cell>
          <cell r="F168">
            <v>150000</v>
          </cell>
          <cell r="I168">
            <v>150000</v>
          </cell>
        </row>
        <row r="169">
          <cell r="B169" t="str">
            <v xml:space="preserve">Dầu Separol </v>
          </cell>
          <cell r="C169" t="str">
            <v xml:space="preserve">Separol oil </v>
          </cell>
          <cell r="D169" t="str">
            <v>lít</v>
          </cell>
          <cell r="F169">
            <v>39400</v>
          </cell>
          <cell r="H169">
            <v>1080</v>
          </cell>
          <cell r="I169">
            <v>40480</v>
          </cell>
        </row>
        <row r="170">
          <cell r="B170" t="str">
            <v xml:space="preserve">Phụ gia Antisole </v>
          </cell>
          <cell r="C170" t="str">
            <v>Antisole (additive)</v>
          </cell>
          <cell r="D170" t="str">
            <v>lít</v>
          </cell>
          <cell r="F170">
            <v>23600</v>
          </cell>
          <cell r="H170">
            <v>1080</v>
          </cell>
          <cell r="I170">
            <v>24680</v>
          </cell>
        </row>
        <row r="171">
          <cell r="B171" t="str">
            <v xml:space="preserve">Phụ gia Rugasol C </v>
          </cell>
          <cell r="C171" t="str">
            <v>Rugasol C (additive)</v>
          </cell>
          <cell r="D171" t="str">
            <v>lít</v>
          </cell>
          <cell r="F171">
            <v>21600</v>
          </cell>
          <cell r="H171">
            <v>1080</v>
          </cell>
          <cell r="I171">
            <v>22680</v>
          </cell>
        </row>
        <row r="172">
          <cell r="B172" t="str">
            <v>Lưỡi cắt bêtông loại 356mm</v>
          </cell>
          <cell r="C172" t="str">
            <v>Concrete cutting blades D356mm</v>
          </cell>
          <cell r="D172" t="str">
            <v>cái</v>
          </cell>
          <cell r="G172">
            <v>30000</v>
          </cell>
          <cell r="I172">
            <v>30000</v>
          </cell>
        </row>
        <row r="173">
          <cell r="B173" t="str">
            <v>Ray</v>
          </cell>
          <cell r="C173" t="str">
            <v xml:space="preserve">rail </v>
          </cell>
          <cell r="D173" t="str">
            <v>kg</v>
          </cell>
          <cell r="I173">
            <v>16674.595049172807</v>
          </cell>
        </row>
        <row r="174">
          <cell r="B174" t="str">
            <v>Lập lách</v>
          </cell>
          <cell r="C174" t="str">
            <v>lap lunch</v>
          </cell>
          <cell r="D174" t="str">
            <v>bộ</v>
          </cell>
          <cell r="G174">
            <v>86500</v>
          </cell>
          <cell r="I174">
            <v>86500</v>
          </cell>
        </row>
        <row r="175">
          <cell r="B175" t="str">
            <v>Dầu kích</v>
          </cell>
          <cell r="C175" t="str">
            <v>Oil</v>
          </cell>
          <cell r="D175" t="str">
            <v>kg</v>
          </cell>
          <cell r="G175">
            <v>18500</v>
          </cell>
          <cell r="I175">
            <v>18500</v>
          </cell>
        </row>
        <row r="176">
          <cell r="B176" t="str">
            <v>Đầu đo gia tốc và biến dạng</v>
          </cell>
          <cell r="C176" t="str">
            <v>Test for acceleration and deform</v>
          </cell>
          <cell r="D176" t="str">
            <v>bộ</v>
          </cell>
          <cell r="F176">
            <v>41100000</v>
          </cell>
          <cell r="I176">
            <v>41100000</v>
          </cell>
        </row>
        <row r="177">
          <cell r="B177" t="str">
            <v>Mũi khoan bê tông D10</v>
          </cell>
          <cell r="C177" t="str">
            <v>Drilling concrete D10</v>
          </cell>
          <cell r="D177" t="str">
            <v>cái</v>
          </cell>
          <cell r="G177">
            <v>65000</v>
          </cell>
          <cell r="I177">
            <v>65000</v>
          </cell>
        </row>
        <row r="178">
          <cell r="B178" t="str">
            <v>Quả búa 10T</v>
          </cell>
          <cell r="C178" t="str">
            <v>Drop weight 10T</v>
          </cell>
          <cell r="D178" t="str">
            <v>quả</v>
          </cell>
          <cell r="F178">
            <v>200000000</v>
          </cell>
          <cell r="I178">
            <v>200000000</v>
          </cell>
        </row>
        <row r="179">
          <cell r="I179">
            <v>0</v>
          </cell>
        </row>
        <row r="180">
          <cell r="B180" t="str">
            <v>Mũi khoan D20</v>
          </cell>
          <cell r="C180" t="str">
            <v>Tip for drill D20</v>
          </cell>
          <cell r="D180" t="str">
            <v>cái</v>
          </cell>
          <cell r="G180">
            <v>50000</v>
          </cell>
          <cell r="I180">
            <v>50000</v>
          </cell>
        </row>
        <row r="181">
          <cell r="B181" t="str">
            <v>Cần khoan L=1,5m</v>
          </cell>
          <cell r="C181" t="str">
            <v>Drill rods L=1.5m</v>
          </cell>
          <cell r="D181" t="str">
            <v>cái</v>
          </cell>
          <cell r="G181">
            <v>95000</v>
          </cell>
          <cell r="I181">
            <v>95000</v>
          </cell>
        </row>
        <row r="182">
          <cell r="B182" t="str">
            <v>Cần khoan 1.83m</v>
          </cell>
          <cell r="C182" t="str">
            <v>Drill rods L=1.83m</v>
          </cell>
          <cell r="D182" t="str">
            <v>cái</v>
          </cell>
          <cell r="G182">
            <v>115000</v>
          </cell>
          <cell r="I182">
            <v>115000</v>
          </cell>
        </row>
        <row r="183">
          <cell r="B183" t="str">
            <v>Gạch thẻ 40x80x190</v>
          </cell>
          <cell r="C183" t="str">
            <v>Brick 40x80x190</v>
          </cell>
          <cell r="D183" t="str">
            <v>viên</v>
          </cell>
          <cell r="E183">
            <v>545.45454545454538</v>
          </cell>
          <cell r="I183">
            <v>545.45454545454538</v>
          </cell>
        </row>
        <row r="184">
          <cell r="B184" t="str">
            <v>Gạch xi măng</v>
          </cell>
          <cell r="C184" t="str">
            <v>Cement brick</v>
          </cell>
          <cell r="D184" t="str">
            <v>m2</v>
          </cell>
          <cell r="I184">
            <v>0</v>
          </cell>
        </row>
        <row r="185">
          <cell r="B185" t="str">
            <v>Trụ đỡ biển báo D168</v>
          </cell>
          <cell r="C185" t="str">
            <v>Signal column D168</v>
          </cell>
          <cell r="D185" t="str">
            <v>m</v>
          </cell>
          <cell r="F185">
            <v>533233.33333333337</v>
          </cell>
          <cell r="I185">
            <v>533233.33333333337</v>
          </cell>
        </row>
        <row r="186">
          <cell r="B186" t="str">
            <v>Bê tông gạch trồng cỏ</v>
          </cell>
          <cell r="C186" t="str">
            <v>Concrete of brick</v>
          </cell>
          <cell r="D186" t="str">
            <v>m2</v>
          </cell>
          <cell r="I186">
            <v>0</v>
          </cell>
        </row>
        <row r="187">
          <cell r="B187" t="str">
            <v>Tôn lượn sóng</v>
          </cell>
          <cell r="C187" t="str">
            <v>Corrugated sheet iron</v>
          </cell>
          <cell r="D187" t="str">
            <v>m</v>
          </cell>
          <cell r="F187">
            <v>314655.1724137931</v>
          </cell>
          <cell r="I187">
            <v>314655.1724137931</v>
          </cell>
        </row>
        <row r="188">
          <cell r="B188" t="str">
            <v>Trụ đỡ tôn lượn sóng L=1.3m</v>
          </cell>
          <cell r="C188" t="str">
            <v>Column of corrugated sheet iron, L=1.3m</v>
          </cell>
          <cell r="D188" t="str">
            <v>cái</v>
          </cell>
          <cell r="F188">
            <v>930800</v>
          </cell>
          <cell r="I188">
            <v>930800</v>
          </cell>
        </row>
        <row r="189">
          <cell r="B189" t="str">
            <v>Đầu tôn sóng dài 0.7m</v>
          </cell>
          <cell r="C189" t="str">
            <v>End of corrugated sheet iron 0.7m</v>
          </cell>
          <cell r="D189" t="str">
            <v>cái</v>
          </cell>
          <cell r="F189">
            <v>222000</v>
          </cell>
          <cell r="I189">
            <v>222000</v>
          </cell>
        </row>
        <row r="190">
          <cell r="B190" t="str">
            <v>Trụ đỡ biển báo D90</v>
          </cell>
          <cell r="C190" t="str">
            <v>Signal column D90</v>
          </cell>
          <cell r="D190" t="str">
            <v>m</v>
          </cell>
          <cell r="I190">
            <v>0</v>
          </cell>
        </row>
        <row r="191">
          <cell r="B191" t="str">
            <v>Thép tấm phản quang 40x180x5</v>
          </cell>
          <cell r="C191" t="str">
            <v>reflected light plate steel 40x180x5</v>
          </cell>
          <cell r="D191" t="str">
            <v>tấm</v>
          </cell>
          <cell r="F191">
            <v>30000</v>
          </cell>
          <cell r="I191">
            <v>30000</v>
          </cell>
        </row>
        <row r="192">
          <cell r="B192" t="str">
            <v>Đá sỏi</v>
          </cell>
          <cell r="C192" t="str">
            <v>Gravel</v>
          </cell>
          <cell r="D192" t="str">
            <v>m3</v>
          </cell>
          <cell r="I192">
            <v>343447.3320923564</v>
          </cell>
        </row>
        <row r="193">
          <cell r="B193" t="str">
            <v>Ống gang thoát nước D170/150</v>
          </cell>
          <cell r="C193" t="str">
            <v>Install cast  pipe D170/150</v>
          </cell>
          <cell r="D193" t="str">
            <v>m</v>
          </cell>
          <cell r="F193">
            <v>450000</v>
          </cell>
          <cell r="I193">
            <v>450000</v>
          </cell>
        </row>
        <row r="194">
          <cell r="B194" t="str">
            <v>Gioăng cao su</v>
          </cell>
          <cell r="C194" t="str">
            <v>Rubber joint</v>
          </cell>
          <cell r="D194" t="str">
            <v>cái</v>
          </cell>
          <cell r="F194">
            <v>17000</v>
          </cell>
          <cell r="I194">
            <v>17000</v>
          </cell>
        </row>
        <row r="195">
          <cell r="B195" t="str">
            <v>Ống cống bê tông D1500</v>
          </cell>
          <cell r="C195" t="str">
            <v>Pipe culvert D1500</v>
          </cell>
          <cell r="D195" t="str">
            <v>m</v>
          </cell>
          <cell r="E195">
            <v>3000000</v>
          </cell>
          <cell r="I195">
            <v>3000000</v>
          </cell>
        </row>
        <row r="196">
          <cell r="B196" t="str">
            <v>Joint cao su D1500</v>
          </cell>
          <cell r="C196" t="str">
            <v>Rubber joint D1500</v>
          </cell>
          <cell r="D196" t="str">
            <v>cái</v>
          </cell>
          <cell r="E196">
            <v>94400</v>
          </cell>
          <cell r="I196">
            <v>94400</v>
          </cell>
        </row>
        <row r="197">
          <cell r="B197" t="str">
            <v>Gối cống D1500</v>
          </cell>
          <cell r="C197" t="e">
            <v>#N/A</v>
          </cell>
          <cell r="D197" t="str">
            <v>cái</v>
          </cell>
          <cell r="I197">
            <v>0</v>
          </cell>
        </row>
        <row r="198">
          <cell r="B198" t="str">
            <v>Ống cống bê tông ly tâm D1000</v>
          </cell>
          <cell r="C198" t="e">
            <v>#N/A</v>
          </cell>
          <cell r="D198" t="str">
            <v>m</v>
          </cell>
          <cell r="I198">
            <v>0</v>
          </cell>
        </row>
        <row r="199">
          <cell r="B199" t="str">
            <v>Gioăng cao su D1000</v>
          </cell>
          <cell r="C199" t="e">
            <v>#N/A</v>
          </cell>
          <cell r="D199" t="str">
            <v>cái</v>
          </cell>
          <cell r="I199">
            <v>0</v>
          </cell>
        </row>
        <row r="200">
          <cell r="B200" t="str">
            <v>Bao tải</v>
          </cell>
          <cell r="C200" t="str">
            <v>Bag</v>
          </cell>
          <cell r="D200" t="str">
            <v>cái</v>
          </cell>
          <cell r="F200">
            <v>10000</v>
          </cell>
          <cell r="I200">
            <v>10000</v>
          </cell>
        </row>
        <row r="201">
          <cell r="B201" t="str">
            <v>Thép neo mạ kẽm</v>
          </cell>
          <cell r="C201" t="str">
            <v>Zinc steel</v>
          </cell>
          <cell r="D201" t="str">
            <v>kg</v>
          </cell>
          <cell r="F201">
            <v>25000</v>
          </cell>
          <cell r="I201">
            <v>25000</v>
          </cell>
        </row>
        <row r="202">
          <cell r="B202" t="str">
            <v>Đai ốc cầu D36</v>
          </cell>
          <cell r="C202" t="str">
            <v>Scew nut D36</v>
          </cell>
          <cell r="D202" t="str">
            <v>bộ</v>
          </cell>
          <cell r="F202">
            <v>581000</v>
          </cell>
          <cell r="I202">
            <v>581000</v>
          </cell>
        </row>
        <row r="203">
          <cell r="B203" t="str">
            <v>Đai ốc hãm D36</v>
          </cell>
          <cell r="C203" t="str">
            <v>Check nut D36</v>
          </cell>
          <cell r="D203" t="str">
            <v>bộ</v>
          </cell>
          <cell r="F203">
            <v>581000</v>
          </cell>
          <cell r="I203">
            <v>581000</v>
          </cell>
        </row>
        <row r="204">
          <cell r="B204" t="str">
            <v>Tấm plastic dày 2mm</v>
          </cell>
          <cell r="C204" t="str">
            <v>Plastic plate, thickness 2mm</v>
          </cell>
          <cell r="D204" t="str">
            <v>m2</v>
          </cell>
          <cell r="F204">
            <v>180000</v>
          </cell>
          <cell r="I204">
            <v>180000</v>
          </cell>
        </row>
        <row r="205">
          <cell r="B205" t="str">
            <v>Tấm nhựa ngăn nước</v>
          </cell>
          <cell r="C205" t="str">
            <v>Plastic plate preventing water</v>
          </cell>
          <cell r="D205" t="str">
            <v>m</v>
          </cell>
          <cell r="F205">
            <v>168000</v>
          </cell>
          <cell r="I205">
            <v>168000</v>
          </cell>
        </row>
        <row r="206">
          <cell r="B206" t="str">
            <v>Nắp đậy lỗ công vụ</v>
          </cell>
          <cell r="C206" t="str">
            <v>Cover</v>
          </cell>
          <cell r="D206" t="str">
            <v>bộ</v>
          </cell>
          <cell r="I206">
            <v>0</v>
          </cell>
        </row>
        <row r="207">
          <cell r="B207" t="str">
            <v>Đèn báo hiệu sáng liên tục</v>
          </cell>
          <cell r="C207" t="str">
            <v>Signal light</v>
          </cell>
          <cell r="D207" t="str">
            <v>bộ</v>
          </cell>
          <cell r="F207">
            <v>5600000</v>
          </cell>
          <cell r="I207">
            <v>5600000</v>
          </cell>
        </row>
        <row r="208">
          <cell r="B208" t="str">
            <v>Đèn báo hiệu</v>
          </cell>
          <cell r="C208" t="str">
            <v>Signal light</v>
          </cell>
          <cell r="D208" t="str">
            <v>bộ</v>
          </cell>
          <cell r="F208">
            <v>200000</v>
          </cell>
          <cell r="I208">
            <v>200000</v>
          </cell>
        </row>
        <row r="209">
          <cell r="B209" t="str">
            <v>Êcu cường độ cao M32</v>
          </cell>
          <cell r="C209" t="str">
            <v>High strengthen scew nut M32</v>
          </cell>
          <cell r="D209" t="str">
            <v>bộ</v>
          </cell>
          <cell r="I209">
            <v>0</v>
          </cell>
        </row>
        <row r="210">
          <cell r="B210" t="str">
            <v>Tấm cao su dày 20mm</v>
          </cell>
          <cell r="C210" t="str">
            <v>rubber plate, thickness 20mm</v>
          </cell>
          <cell r="D210" t="str">
            <v>m2</v>
          </cell>
          <cell r="F210">
            <v>1450000</v>
          </cell>
          <cell r="I210">
            <v>1450000</v>
          </cell>
        </row>
        <row r="211">
          <cell r="B211" t="str">
            <v>Cung cấp lưới chắn rác bằng gang</v>
          </cell>
          <cell r="C211" t="str">
            <v>Cast iron grid</v>
          </cell>
          <cell r="D211" t="str">
            <v>kg</v>
          </cell>
          <cell r="F211">
            <v>29900</v>
          </cell>
          <cell r="I211">
            <v>29900</v>
          </cell>
        </row>
        <row r="212">
          <cell r="B212" t="str">
            <v>Co nối ống nhựa PVC D60</v>
          </cell>
          <cell r="C212" t="str">
            <v>pup joint PVC D60</v>
          </cell>
          <cell r="D212" t="str">
            <v>bộ</v>
          </cell>
          <cell r="I212">
            <v>0</v>
          </cell>
        </row>
        <row r="213">
          <cell r="B213" t="str">
            <v>Biển báo chữ nhật 2x1m</v>
          </cell>
          <cell r="C213" t="str">
            <v>Rectangular traffic sign 2x1m</v>
          </cell>
          <cell r="D213" t="str">
            <v>bộ</v>
          </cell>
          <cell r="F213">
            <v>2000000</v>
          </cell>
          <cell r="I213">
            <v>2000000</v>
          </cell>
        </row>
        <row r="214">
          <cell r="B214" t="str">
            <v>Biển báo chữ nhật 1.2x0.25m</v>
          </cell>
          <cell r="C214" t="str">
            <v>Rectangular traffic sign 1.2x0.25m</v>
          </cell>
          <cell r="D214" t="str">
            <v>bộ</v>
          </cell>
          <cell r="F214">
            <v>300000</v>
          </cell>
          <cell r="I214">
            <v>300000</v>
          </cell>
        </row>
        <row r="215">
          <cell r="B215" t="str">
            <v>Biển báo chữ nhật 2.4x1.5m</v>
          </cell>
          <cell r="C215" t="str">
            <v>Rectangular traffic sign 2.4x1.5m</v>
          </cell>
          <cell r="D215" t="str">
            <v>bộ</v>
          </cell>
          <cell r="F215">
            <v>3600000</v>
          </cell>
          <cell r="I215">
            <v>3600000</v>
          </cell>
        </row>
        <row r="216">
          <cell r="B216" t="str">
            <v>Biển báo chữ nhật 1.6x1.0m</v>
          </cell>
          <cell r="C216" t="str">
            <v>Rectangular traffic sign 1.6x1.0m</v>
          </cell>
          <cell r="D216" t="str">
            <v>bộ</v>
          </cell>
          <cell r="F216">
            <v>1600000</v>
          </cell>
          <cell r="I216">
            <v>1600000</v>
          </cell>
        </row>
        <row r="217">
          <cell r="B217" t="str">
            <v>Biển báo chữ nhật 0.9x0.45m</v>
          </cell>
          <cell r="C217" t="str">
            <v>Rectangular traffic sign 0.9x0.45m</v>
          </cell>
          <cell r="D217" t="str">
            <v>bộ</v>
          </cell>
          <cell r="F217">
            <v>405000</v>
          </cell>
          <cell r="I217">
            <v>405000</v>
          </cell>
        </row>
        <row r="218">
          <cell r="B218" t="str">
            <v>Biển báo hình vuông 0.6x0.6m</v>
          </cell>
          <cell r="C218" t="str">
            <v>Square traffic sign 0.6x0.6m</v>
          </cell>
          <cell r="D218" t="str">
            <v>bộ</v>
          </cell>
          <cell r="F218">
            <v>360000</v>
          </cell>
          <cell r="I218">
            <v>360000</v>
          </cell>
        </row>
        <row r="219">
          <cell r="B219" t="str">
            <v>Biển báo chữ nhật 0.7x0.3m</v>
          </cell>
          <cell r="C219" t="str">
            <v>Rectangular traffic sign 0.7x0.3m</v>
          </cell>
          <cell r="D219" t="str">
            <v>bộ</v>
          </cell>
          <cell r="F219">
            <v>210000</v>
          </cell>
          <cell r="I219">
            <v>210000</v>
          </cell>
        </row>
        <row r="220">
          <cell r="B220" t="str">
            <v>Biển báo tam giác cạnh 0.87m</v>
          </cell>
          <cell r="C220" t="str">
            <v>Triangle traffic sign 0.87m</v>
          </cell>
          <cell r="D220" t="str">
            <v>bộ</v>
          </cell>
          <cell r="F220">
            <v>380000</v>
          </cell>
          <cell r="I220">
            <v>380000</v>
          </cell>
        </row>
        <row r="221">
          <cell r="B221" t="str">
            <v>Biển báo tam giác cạnh 0.7m</v>
          </cell>
          <cell r="C221" t="str">
            <v>Triangle traffic sign 0.7m</v>
          </cell>
          <cell r="D221" t="str">
            <v>bộ</v>
          </cell>
          <cell r="F221">
            <v>253000</v>
          </cell>
          <cell r="I221">
            <v>253000</v>
          </cell>
        </row>
        <row r="222">
          <cell r="B222" t="str">
            <v>Biển báo tròn đường kính 0.87m</v>
          </cell>
          <cell r="C222" t="str">
            <v>Circlar traffic sign 0.87m</v>
          </cell>
          <cell r="D222" t="str">
            <v>bộ</v>
          </cell>
          <cell r="F222">
            <v>590000</v>
          </cell>
          <cell r="I222">
            <v>590000</v>
          </cell>
        </row>
        <row r="223">
          <cell r="B223" t="str">
            <v>Biển báo tròn đường kính 0.7m</v>
          </cell>
          <cell r="C223" t="str">
            <v>Circlar traffic sign 0.7m</v>
          </cell>
          <cell r="D223" t="str">
            <v>bộ</v>
          </cell>
          <cell r="F223">
            <v>396000</v>
          </cell>
          <cell r="I223">
            <v>396000</v>
          </cell>
        </row>
        <row r="224">
          <cell r="B224" t="str">
            <v>Rây dụng cụ đầm nện</v>
          </cell>
          <cell r="C224">
            <v>0</v>
          </cell>
          <cell r="D224" t="str">
            <v>bộ</v>
          </cell>
          <cell r="G224">
            <v>300000</v>
          </cell>
          <cell r="I224">
            <v>300000</v>
          </cell>
        </row>
        <row r="225">
          <cell r="B225" t="str">
            <v>Rây địa chất công trình</v>
          </cell>
          <cell r="C225">
            <v>0</v>
          </cell>
          <cell r="D225" t="str">
            <v>bộ</v>
          </cell>
          <cell r="G225">
            <v>1350000</v>
          </cell>
          <cell r="I225">
            <v>1350000</v>
          </cell>
        </row>
        <row r="226">
          <cell r="B226" t="str">
            <v>Bình hút ẩm</v>
          </cell>
          <cell r="C226" t="str">
            <v>Exsiccator</v>
          </cell>
          <cell r="D226" t="str">
            <v>cái</v>
          </cell>
          <cell r="G226">
            <v>160000</v>
          </cell>
          <cell r="I226">
            <v>160000</v>
          </cell>
        </row>
        <row r="227">
          <cell r="B227" t="str">
            <v>Bình thủy tinh tam giác</v>
          </cell>
          <cell r="C227" t="str">
            <v xml:space="preserve"> Triangle glass jar</v>
          </cell>
          <cell r="D227" t="str">
            <v>cái</v>
          </cell>
          <cell r="G227">
            <v>40000</v>
          </cell>
          <cell r="I227">
            <v>40000</v>
          </cell>
        </row>
        <row r="228">
          <cell r="B228" t="str">
            <v>Chậu thủy tinh</v>
          </cell>
          <cell r="C228" t="str">
            <v>Glass bowl</v>
          </cell>
          <cell r="D228" t="str">
            <v>cái</v>
          </cell>
          <cell r="G228">
            <v>25000</v>
          </cell>
          <cell r="I228">
            <v>25000</v>
          </cell>
        </row>
        <row r="229">
          <cell r="B229" t="str">
            <v>Bình tỷ trọng</v>
          </cell>
          <cell r="C229" t="str">
            <v>Density vase</v>
          </cell>
          <cell r="D229" t="str">
            <v>cái</v>
          </cell>
          <cell r="G229">
            <v>30000</v>
          </cell>
          <cell r="I229">
            <v>30000</v>
          </cell>
        </row>
        <row r="230">
          <cell r="B230" t="str">
            <v>Khay men</v>
          </cell>
          <cell r="C230">
            <v>0</v>
          </cell>
          <cell r="D230" t="str">
            <v>cái</v>
          </cell>
          <cell r="G230">
            <v>15000</v>
          </cell>
          <cell r="I230">
            <v>15000</v>
          </cell>
        </row>
        <row r="231">
          <cell r="B231" t="str">
            <v>Cốc thủy tinh</v>
          </cell>
          <cell r="C231" t="str">
            <v>Glass</v>
          </cell>
          <cell r="D231" t="str">
            <v>cái</v>
          </cell>
          <cell r="G231">
            <v>15000</v>
          </cell>
          <cell r="I231">
            <v>15000</v>
          </cell>
        </row>
        <row r="232">
          <cell r="B232" t="str">
            <v>Hộp nhôm</v>
          </cell>
          <cell r="C232" t="str">
            <v>Aluminium box</v>
          </cell>
          <cell r="D232" t="str">
            <v>cái</v>
          </cell>
          <cell r="G232">
            <v>8000</v>
          </cell>
          <cell r="I232">
            <v>8000</v>
          </cell>
        </row>
        <row r="233">
          <cell r="B233" t="str">
            <v>Cối chày đồng</v>
          </cell>
          <cell r="C233">
            <v>0</v>
          </cell>
          <cell r="D233" t="str">
            <v>bộ</v>
          </cell>
          <cell r="G233">
            <v>220000</v>
          </cell>
          <cell r="I233">
            <v>220000</v>
          </cell>
        </row>
        <row r="234">
          <cell r="B234" t="str">
            <v>Dụng cụ xác định góc nghỉ của cát</v>
          </cell>
          <cell r="C234">
            <v>0</v>
          </cell>
          <cell r="D234" t="str">
            <v>bộ</v>
          </cell>
          <cell r="G234">
            <v>250000</v>
          </cell>
          <cell r="I234">
            <v>250000</v>
          </cell>
        </row>
        <row r="235">
          <cell r="B235" t="str">
            <v>Ống đong thủy tinh 100ml</v>
          </cell>
          <cell r="C235">
            <v>0</v>
          </cell>
          <cell r="D235" t="str">
            <v>cái</v>
          </cell>
          <cell r="G235">
            <v>11000</v>
          </cell>
          <cell r="I235">
            <v>11000</v>
          </cell>
        </row>
        <row r="236">
          <cell r="B236" t="str">
            <v>Thước thép 5m</v>
          </cell>
          <cell r="C236" t="str">
            <v>steel ruler 5m</v>
          </cell>
          <cell r="D236" t="str">
            <v>cái</v>
          </cell>
          <cell r="G236">
            <v>15000</v>
          </cell>
          <cell r="I236">
            <v>15000</v>
          </cell>
        </row>
        <row r="237">
          <cell r="B237" t="str">
            <v>Thước thép 42m</v>
          </cell>
          <cell r="C237" t="str">
            <v>steel ruler 42m</v>
          </cell>
          <cell r="D237" t="str">
            <v>cái</v>
          </cell>
          <cell r="G237">
            <v>70000</v>
          </cell>
          <cell r="I237">
            <v>70000</v>
          </cell>
        </row>
        <row r="238">
          <cell r="B238" t="str">
            <v>Mũi xuyên cắt</v>
          </cell>
          <cell r="C238" t="e">
            <v>#N/A</v>
          </cell>
          <cell r="D238" t="str">
            <v>cái</v>
          </cell>
          <cell r="G238">
            <v>250000</v>
          </cell>
          <cell r="I238">
            <v>250000</v>
          </cell>
        </row>
        <row r="239">
          <cell r="B239" t="str">
            <v>Ống mẫu</v>
          </cell>
          <cell r="C239" t="e">
            <v>#N/A</v>
          </cell>
          <cell r="D239" t="str">
            <v>ống</v>
          </cell>
          <cell r="G239">
            <v>7000</v>
          </cell>
          <cell r="I239">
            <v>7000</v>
          </cell>
        </row>
        <row r="240">
          <cell r="B240" t="str">
            <v>Cần khoan</v>
          </cell>
          <cell r="C240" t="e">
            <v>#N/A</v>
          </cell>
          <cell r="D240" t="str">
            <v>m</v>
          </cell>
          <cell r="G240">
            <v>150000</v>
          </cell>
          <cell r="I240">
            <v>150000</v>
          </cell>
        </row>
        <row r="241">
          <cell r="B241" t="str">
            <v>Mũi khoan</v>
          </cell>
          <cell r="C241" t="str">
            <v>Tip for drill</v>
          </cell>
          <cell r="D241" t="str">
            <v>cái</v>
          </cell>
          <cell r="G241">
            <v>50000</v>
          </cell>
          <cell r="I241">
            <v>50000</v>
          </cell>
        </row>
        <row r="242">
          <cell r="B242" t="str">
            <v>Côn nhựa</v>
          </cell>
          <cell r="C242" t="str">
            <v xml:space="preserve"> plastic cudgel </v>
          </cell>
          <cell r="D242" t="str">
            <v>cái</v>
          </cell>
          <cell r="G242">
            <v>500</v>
          </cell>
          <cell r="I242">
            <v>500</v>
          </cell>
        </row>
        <row r="243">
          <cell r="B243" t="str">
            <v>Cốc nhựa</v>
          </cell>
          <cell r="C243" t="str">
            <v>Plastic cup</v>
          </cell>
          <cell r="D243" t="str">
            <v>cái</v>
          </cell>
          <cell r="G243">
            <v>1000</v>
          </cell>
          <cell r="I243">
            <v>1000</v>
          </cell>
        </row>
        <row r="244">
          <cell r="B244" t="str">
            <v>Măng sông D60</v>
          </cell>
          <cell r="C244" t="str">
            <v>Stell pipe nipple D60</v>
          </cell>
          <cell r="D244" t="str">
            <v>cái</v>
          </cell>
          <cell r="G244">
            <v>7000</v>
          </cell>
          <cell r="I244">
            <v>7000</v>
          </cell>
        </row>
        <row r="245">
          <cell r="B245" t="str">
            <v>Măng sông D114</v>
          </cell>
          <cell r="C245" t="str">
            <v>Stell pipe nipple D114</v>
          </cell>
          <cell r="D245" t="str">
            <v>cái</v>
          </cell>
          <cell r="G245">
            <v>16000</v>
          </cell>
          <cell r="I245">
            <v>16000</v>
          </cell>
        </row>
        <row r="246">
          <cell r="B246" t="str">
            <v>Đai ốc M10</v>
          </cell>
          <cell r="C246" t="str">
            <v>Scew nut M10</v>
          </cell>
          <cell r="D246" t="str">
            <v>bộ</v>
          </cell>
          <cell r="F246">
            <v>3000</v>
          </cell>
          <cell r="I246">
            <v>3000</v>
          </cell>
        </row>
        <row r="247">
          <cell r="B247" t="str">
            <v>Vít nở thép M12</v>
          </cell>
          <cell r="C247" t="str">
            <v>Steel tacke M12</v>
          </cell>
          <cell r="D247" t="str">
            <v>bộ</v>
          </cell>
          <cell r="F247">
            <v>2000</v>
          </cell>
          <cell r="I247">
            <v>2000</v>
          </cell>
        </row>
        <row r="248">
          <cell r="B248" t="str">
            <v>Nắp chụp nhựa D80</v>
          </cell>
          <cell r="C248" t="str">
            <v>Plastic cover D80</v>
          </cell>
          <cell r="D248" t="str">
            <v>cái</v>
          </cell>
          <cell r="F248">
            <v>5000</v>
          </cell>
          <cell r="I248">
            <v>5000</v>
          </cell>
        </row>
        <row r="249">
          <cell r="B249" t="str">
            <v>Cồn rửa</v>
          </cell>
          <cell r="C249" t="str">
            <v>Alcohol for washing</v>
          </cell>
          <cell r="D249" t="str">
            <v>kg</v>
          </cell>
          <cell r="F249">
            <v>7000</v>
          </cell>
          <cell r="I249">
            <v>7000</v>
          </cell>
        </row>
        <row r="250">
          <cell r="B250" t="str">
            <v>Chổi cáp</v>
          </cell>
          <cell r="C250" t="str">
            <v>broom</v>
          </cell>
          <cell r="D250" t="str">
            <v>cái</v>
          </cell>
          <cell r="F250">
            <v>15000</v>
          </cell>
          <cell r="I250">
            <v>15000</v>
          </cell>
        </row>
        <row r="251">
          <cell r="B251" t="str">
            <v>Lưỡi cắt bêtông</v>
          </cell>
          <cell r="C251" t="str">
            <v>Concrete cutting blades</v>
          </cell>
          <cell r="D251" t="str">
            <v>cái</v>
          </cell>
          <cell r="G251">
            <v>30000</v>
          </cell>
          <cell r="I251">
            <v>30000</v>
          </cell>
        </row>
        <row r="252">
          <cell r="B252" t="str">
            <v>Dầu bôi trơn</v>
          </cell>
          <cell r="C252" t="str">
            <v>Lubricant grease</v>
          </cell>
          <cell r="D252" t="str">
            <v>kg</v>
          </cell>
          <cell r="F252">
            <v>15000</v>
          </cell>
          <cell r="I252">
            <v>15000</v>
          </cell>
        </row>
        <row r="253">
          <cell r="B253" t="str">
            <v>Dầm supper T</v>
          </cell>
          <cell r="C253" t="str">
            <v>Supper - T girder</v>
          </cell>
          <cell r="D253" t="str">
            <v>dầm</v>
          </cell>
          <cell r="F253">
            <v>295000000</v>
          </cell>
          <cell r="H253">
            <v>40000000</v>
          </cell>
          <cell r="I253">
            <v>335000000</v>
          </cell>
        </row>
        <row r="254">
          <cell r="B254" t="str">
            <v>Thử tĩnh cọc khoan nhồi</v>
          </cell>
          <cell r="C254" t="str">
            <v>Static loading test</v>
          </cell>
          <cell r="D254" t="str">
            <v>tấn</v>
          </cell>
          <cell r="F254">
            <v>454545.45454545453</v>
          </cell>
          <cell r="I254">
            <v>454545.45454545453</v>
          </cell>
        </row>
        <row r="255">
          <cell r="B255" t="str">
            <v>Thử tải cọc bằng phương pháp PDA trên cạn</v>
          </cell>
          <cell r="C255" t="str">
            <v>PDA test on land</v>
          </cell>
          <cell r="D255" t="str">
            <v>cọc</v>
          </cell>
          <cell r="F255">
            <v>30000000</v>
          </cell>
          <cell r="I255">
            <v>30000000</v>
          </cell>
        </row>
        <row r="256">
          <cell r="B256" t="str">
            <v>Phụ lục vữa</v>
          </cell>
        </row>
        <row r="257">
          <cell r="B257" t="str">
            <v>Vữa Bê tông C10 đá 1x2 SN 2-4</v>
          </cell>
          <cell r="C257" t="str">
            <v>Concrete motar C10 stone 1x2 slump 2-4</v>
          </cell>
          <cell r="D257" t="str">
            <v>m3</v>
          </cell>
          <cell r="I257">
            <v>703803.38019474829</v>
          </cell>
        </row>
        <row r="258">
          <cell r="B258" t="str">
            <v>Vữa bê tông đá 1x2 C15 SN 2-4</v>
          </cell>
          <cell r="C258" t="str">
            <v>Concrete motar C15 stone 1x2 slump 2-4</v>
          </cell>
          <cell r="D258" t="str">
            <v>m3</v>
          </cell>
          <cell r="I258">
            <v>768154.39402931009</v>
          </cell>
        </row>
        <row r="259">
          <cell r="B259" t="str">
            <v>Vữa bê tông đá 1x2 C15 SN 6-8</v>
          </cell>
          <cell r="C259" t="str">
            <v>Concrete motar C15 stone 1x2 slump 6-8</v>
          </cell>
          <cell r="I259">
            <v>784860.91057263617</v>
          </cell>
        </row>
        <row r="260">
          <cell r="B260" t="str">
            <v>Vữa bê tông đá 1x2 C20 SN 2-4</v>
          </cell>
          <cell r="C260" t="str">
            <v>Concrete motar C20 stone 1x2 slump 2-4</v>
          </cell>
          <cell r="D260" t="str">
            <v>m3</v>
          </cell>
          <cell r="I260">
            <v>830164.69940172706</v>
          </cell>
        </row>
        <row r="261">
          <cell r="B261" t="str">
            <v>Vữa bê tông đá 1x2 C25 SN 2-4</v>
          </cell>
          <cell r="C261" t="str">
            <v>Concrete motar C25 stone 1x2 slump 2-4</v>
          </cell>
          <cell r="D261" t="str">
            <v>m3</v>
          </cell>
          <cell r="I261">
            <v>893981.15497169096</v>
          </cell>
        </row>
        <row r="262">
          <cell r="B262" t="str">
            <v>Vữa bê tông đá 1x2 C30 SN 2-4</v>
          </cell>
          <cell r="C262" t="str">
            <v>Concrete motar C30 stone 1x2 slump 2-4</v>
          </cell>
          <cell r="D262" t="str">
            <v>m3</v>
          </cell>
          <cell r="I262">
            <v>961910.69823925267</v>
          </cell>
        </row>
        <row r="263">
          <cell r="B263" t="str">
            <v>Vữa bê tông đá 1x2 C30 SN 6-8</v>
          </cell>
          <cell r="C263" t="str">
            <v>Concrete motar C30 stone 1x2 slump 6-8</v>
          </cell>
          <cell r="D263" t="str">
            <v>m3</v>
          </cell>
          <cell r="I263">
            <v>999482.44156060251</v>
          </cell>
        </row>
        <row r="264">
          <cell r="B264" t="str">
            <v>Vữa bê tông đá 1x2 C30 SN 14-17</v>
          </cell>
          <cell r="C264" t="str">
            <v>Concrete motar C30 stone 1x2 slump 14-17</v>
          </cell>
          <cell r="D264" t="str">
            <v>m3</v>
          </cell>
          <cell r="I264">
            <v>1062299.339264537</v>
          </cell>
        </row>
        <row r="265">
          <cell r="B265" t="str">
            <v>Vữa bê tông đá 1x2 C35 SN 6-8</v>
          </cell>
          <cell r="C265" t="str">
            <v>Concrete motar C35 stone 1x2 slump 6-8</v>
          </cell>
          <cell r="D265" t="str">
            <v>m3</v>
          </cell>
          <cell r="I265">
            <v>1083877.7609679811</v>
          </cell>
        </row>
        <row r="266">
          <cell r="B266" t="str">
            <v>Vữa bê tông đá 1x2 C40 (M450, độ sụt 12-16cm)</v>
          </cell>
          <cell r="C266" t="str">
            <v>Concrete motar C40 stone 1x2 slump 12-16</v>
          </cell>
          <cell r="D266" t="str">
            <v>m3</v>
          </cell>
          <cell r="I266">
            <v>1162957.909839028</v>
          </cell>
        </row>
        <row r="267">
          <cell r="B267" t="str">
            <v>Vữa bê tông đá 1x2 C42 (độ sụt 8-12cm)</v>
          </cell>
          <cell r="C267" t="str">
            <v>Concrete motar C42 stone 1x2 slump 8-12</v>
          </cell>
          <cell r="D267" t="str">
            <v>m3</v>
          </cell>
          <cell r="I267">
            <v>1152822.6604183062</v>
          </cell>
        </row>
        <row r="268">
          <cell r="B268" t="str">
            <v>Vữa bê tông đá 1x2 C50 (độ sụt 16-18cm)</v>
          </cell>
          <cell r="C268" t="str">
            <v>Concrete motar C50 stone 1x2 slump 16-18</v>
          </cell>
          <cell r="D268" t="str">
            <v>m3</v>
          </cell>
          <cell r="I268">
            <v>1206451.8320370032</v>
          </cell>
        </row>
        <row r="269">
          <cell r="B269" t="str">
            <v>Vữa bê tông đá 4x6 C10 SN 2-4</v>
          </cell>
          <cell r="C269" t="str">
            <v>Concrete motar C10 stone 4x6 slump 2-4</v>
          </cell>
          <cell r="D269" t="str">
            <v>m3</v>
          </cell>
          <cell r="I269">
            <v>598608.84611218888</v>
          </cell>
        </row>
        <row r="270">
          <cell r="B270" t="str">
            <v>Vữa bê tông đá 4x6 C20 SN 6-8</v>
          </cell>
          <cell r="C270" t="str">
            <v>Concrete motar C20 stone 4x6 slump 6-8</v>
          </cell>
          <cell r="D270" t="str">
            <v>m3</v>
          </cell>
          <cell r="I270">
            <v>760307.87017544254</v>
          </cell>
        </row>
        <row r="271">
          <cell r="B271" t="str">
            <v>Vữa không co ngót</v>
          </cell>
          <cell r="C271" t="str">
            <v>Non-shringkage mortar</v>
          </cell>
          <cell r="D271" t="str">
            <v>m3</v>
          </cell>
          <cell r="I271">
            <v>21243140</v>
          </cell>
        </row>
        <row r="272">
          <cell r="B272" t="str">
            <v>Vữa không co ngót (kg)</v>
          </cell>
          <cell r="C272" t="str">
            <v>Non-shringkage mortar (kg)</v>
          </cell>
          <cell r="D272" t="str">
            <v>kg</v>
          </cell>
          <cell r="I272">
            <v>9039.6340425531907</v>
          </cell>
        </row>
        <row r="273">
          <cell r="B273" t="str">
            <v>Vữa xi măng C10</v>
          </cell>
          <cell r="C273" t="str">
            <v>Cement motar C10</v>
          </cell>
          <cell r="D273" t="str">
            <v>m3</v>
          </cell>
          <cell r="I273">
            <v>548931.11401403428</v>
          </cell>
        </row>
        <row r="274">
          <cell r="B274" t="str">
            <v>Vữa bê tông đá 1x2 C25 SN 6-8</v>
          </cell>
          <cell r="C274" t="str">
            <v>Concrete motar C25 stone 1x2 slump 6-8</v>
          </cell>
          <cell r="D274" t="str">
            <v>m3</v>
          </cell>
          <cell r="I274">
            <v>917694.59365602839</v>
          </cell>
        </row>
        <row r="275">
          <cell r="B275" t="str">
            <v>Vữa bê tông đá 1x2 C25 (độ sụt 14-17cm)</v>
          </cell>
          <cell r="C275" t="str">
            <v>Concrete motar C25 stone 1x2 slump 14-17</v>
          </cell>
          <cell r="D275" t="str">
            <v>m3</v>
          </cell>
          <cell r="I275">
            <v>973163.51532292843</v>
          </cell>
        </row>
        <row r="276">
          <cell r="B276" t="str">
            <v>Vữa bê tông đá 1x2 C20 (độ sụt 14-17cm)</v>
          </cell>
          <cell r="C276" t="str">
            <v>Concrete motar C20 stone 1x2 slump 14-17</v>
          </cell>
          <cell r="D276" t="str">
            <v>m3</v>
          </cell>
          <cell r="I276">
            <v>896441.79353284673</v>
          </cell>
        </row>
        <row r="277">
          <cell r="B277" t="str">
            <v>Vữa bê tông đá 1x2 C35 (độ sụt 14-17cm)</v>
          </cell>
          <cell r="C277" t="str">
            <v>Concrete motar C35 stone 1x2 slump 14-17</v>
          </cell>
          <cell r="D277" t="str">
            <v>m3</v>
          </cell>
          <cell r="I277">
            <v>1104220.9109009006</v>
          </cell>
        </row>
        <row r="278">
          <cell r="B278" t="str">
            <v>Vữa Bê tông C20 đá 4x6 (độ sụt 14-17cm)</v>
          </cell>
          <cell r="C278" t="str">
            <v>Concrete motar C20 stone 4x6 slump 14-17</v>
          </cell>
          <cell r="D278" t="str">
            <v>m3</v>
          </cell>
          <cell r="I278">
            <v>848872.97840464802</v>
          </cell>
        </row>
        <row r="279">
          <cell r="B279" t="str">
            <v>Vữa bê tông đá 1x2, C10 SN 2-4</v>
          </cell>
          <cell r="C279" t="str">
            <v>Concrete motar C20 stone 1x2 slump 2-4</v>
          </cell>
          <cell r="D279" t="str">
            <v>m3</v>
          </cell>
          <cell r="I279">
            <v>671272.00715872855</v>
          </cell>
        </row>
        <row r="280">
          <cell r="B280" t="str">
            <v>Vữa Bê tông C10 đá 1x2 SN 6-8</v>
          </cell>
          <cell r="C280" t="str">
            <v>Concrete motar C10 stone 1x2 slump 6-8</v>
          </cell>
          <cell r="D280" t="str">
            <v>m3</v>
          </cell>
          <cell r="I280">
            <v>717204.18852924195</v>
          </cell>
        </row>
        <row r="281">
          <cell r="B281" t="str">
            <v>Ghi chú: Các báo giá trên chỉ mang tính chất tham khảo.</v>
          </cell>
        </row>
      </sheetData>
      <sheetData sheetId="21"/>
      <sheetData sheetId="22"/>
      <sheetData sheetId="23"/>
      <sheetData sheetId="24"/>
      <sheetData sheetId="25"/>
      <sheetData sheetId="26"/>
      <sheetData sheetId="27"/>
      <sheetData sheetId="28">
        <row r="10">
          <cell r="C10" t="str">
            <v xml:space="preserve">  B - Nhân công 2.5/7</v>
          </cell>
          <cell r="D10" t="str">
            <v>công/labour</v>
          </cell>
          <cell r="E10">
            <v>36531</v>
          </cell>
          <cell r="F10">
            <v>168369</v>
          </cell>
        </row>
        <row r="11">
          <cell r="C11" t="str">
            <v xml:space="preserve">  B - Nhân công 2.7/7</v>
          </cell>
          <cell r="D11" t="str">
            <v>công/labour</v>
          </cell>
          <cell r="E11">
            <v>37650</v>
          </cell>
          <cell r="F11">
            <v>173647</v>
          </cell>
        </row>
        <row r="12">
          <cell r="C12" t="str">
            <v xml:space="preserve">  B - Nhân công 3.0/7</v>
          </cell>
          <cell r="D12" t="str">
            <v>công/labour</v>
          </cell>
          <cell r="E12">
            <v>39329</v>
          </cell>
          <cell r="F12">
            <v>181563</v>
          </cell>
        </row>
        <row r="13">
          <cell r="C13" t="str">
            <v xml:space="preserve">  B - Nhân công 3.2/7</v>
          </cell>
          <cell r="D13" t="str">
            <v>công/labour</v>
          </cell>
          <cell r="E13">
            <v>40652</v>
          </cell>
          <cell r="F13">
            <v>187800</v>
          </cell>
        </row>
        <row r="14">
          <cell r="C14" t="str">
            <v xml:space="preserve">  B - Nhân công 3.3/7</v>
          </cell>
          <cell r="D14" t="str">
            <v>công/labour</v>
          </cell>
          <cell r="E14">
            <v>41314</v>
          </cell>
          <cell r="F14">
            <v>190919</v>
          </cell>
        </row>
        <row r="15">
          <cell r="C15" t="str">
            <v xml:space="preserve">  B - Nhân công 3.5/7</v>
          </cell>
          <cell r="D15" t="str">
            <v>công/labour</v>
          </cell>
          <cell r="E15">
            <v>42637</v>
          </cell>
          <cell r="F15">
            <v>197156</v>
          </cell>
        </row>
        <row r="16">
          <cell r="C16" t="str">
            <v xml:space="preserve">  B - Nhân công 3.7/7</v>
          </cell>
          <cell r="D16" t="str">
            <v>công/labour</v>
          </cell>
          <cell r="E16">
            <v>43960</v>
          </cell>
          <cell r="F16">
            <v>203393</v>
          </cell>
        </row>
        <row r="17">
          <cell r="C17" t="str">
            <v xml:space="preserve">  B - Nhân công 4.0/7</v>
          </cell>
          <cell r="D17" t="str">
            <v>công/labour</v>
          </cell>
          <cell r="E17">
            <v>45944</v>
          </cell>
          <cell r="F17">
            <v>212748</v>
          </cell>
        </row>
        <row r="18">
          <cell r="C18" t="str">
            <v xml:space="preserve">  B - Nhân công 4.3/7</v>
          </cell>
          <cell r="D18" t="str">
            <v>công/labour</v>
          </cell>
          <cell r="E18">
            <v>48285</v>
          </cell>
          <cell r="F18">
            <v>223783</v>
          </cell>
        </row>
        <row r="19">
          <cell r="C19" t="str">
            <v xml:space="preserve">  B - Nhân công 4.5/7</v>
          </cell>
          <cell r="D19" t="str">
            <v>công/labour</v>
          </cell>
          <cell r="E19">
            <v>49845</v>
          </cell>
          <cell r="F19">
            <v>231139</v>
          </cell>
        </row>
        <row r="20">
          <cell r="C20" t="str">
            <v xml:space="preserve">  B - Nhân công 5.0/7</v>
          </cell>
          <cell r="D20" t="str">
            <v>công/labour</v>
          </cell>
          <cell r="E20">
            <v>53747</v>
          </cell>
          <cell r="F20">
            <v>249530</v>
          </cell>
        </row>
        <row r="21">
          <cell r="C21">
            <v>5</v>
          </cell>
          <cell r="D21" t="str">
            <v>công/labour</v>
          </cell>
          <cell r="E21">
            <v>63415</v>
          </cell>
          <cell r="F21">
            <v>295108</v>
          </cell>
        </row>
      </sheetData>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2:C751"/>
  <sheetViews>
    <sheetView topLeftCell="A501" workbookViewId="0">
      <selection activeCell="B530" sqref="B530"/>
    </sheetView>
  </sheetViews>
  <sheetFormatPr defaultRowHeight="12.75"/>
  <cols>
    <col min="2" max="2" width="90.28515625" customWidth="1"/>
    <col min="3" max="3" width="33.42578125" customWidth="1"/>
  </cols>
  <sheetData>
    <row r="2" spans="2:3">
      <c r="B2" t="s">
        <v>2032</v>
      </c>
      <c r="C2" t="s">
        <v>4069</v>
      </c>
    </row>
    <row r="3" spans="2:3">
      <c r="B3" t="s">
        <v>2046</v>
      </c>
      <c r="C3" t="s">
        <v>4070</v>
      </c>
    </row>
    <row r="4" spans="2:3">
      <c r="B4" t="s">
        <v>2042</v>
      </c>
      <c r="C4" t="s">
        <v>4071</v>
      </c>
    </row>
    <row r="5" spans="2:3">
      <c r="B5" t="s">
        <v>2038</v>
      </c>
      <c r="C5" t="s">
        <v>4072</v>
      </c>
    </row>
    <row r="6" spans="2:3">
      <c r="B6" t="s">
        <v>2045</v>
      </c>
      <c r="C6" t="s">
        <v>4073</v>
      </c>
    </row>
    <row r="7" spans="2:3">
      <c r="B7" t="s">
        <v>2037</v>
      </c>
      <c r="C7" t="s">
        <v>4074</v>
      </c>
    </row>
    <row r="8" spans="2:3">
      <c r="B8" t="s">
        <v>2041</v>
      </c>
      <c r="C8" t="s">
        <v>4075</v>
      </c>
    </row>
    <row r="9" spans="2:3">
      <c r="B9" t="s">
        <v>2039</v>
      </c>
      <c r="C9" t="s">
        <v>4076</v>
      </c>
    </row>
    <row r="10" spans="2:3">
      <c r="B10" t="s">
        <v>2044</v>
      </c>
      <c r="C10" t="s">
        <v>4077</v>
      </c>
    </row>
    <row r="11" spans="2:3">
      <c r="B11" t="s">
        <v>2040</v>
      </c>
      <c r="C11" t="s">
        <v>4078</v>
      </c>
    </row>
    <row r="12" spans="2:3">
      <c r="B12" t="s">
        <v>2043</v>
      </c>
      <c r="C12" t="s">
        <v>4079</v>
      </c>
    </row>
    <row r="13" spans="2:3">
      <c r="B13" t="s">
        <v>2033</v>
      </c>
      <c r="C13" t="s">
        <v>4080</v>
      </c>
    </row>
    <row r="14" spans="2:3">
      <c r="B14" t="s">
        <v>38</v>
      </c>
      <c r="C14" t="s">
        <v>4081</v>
      </c>
    </row>
    <row r="15" spans="2:3">
      <c r="B15" t="s">
        <v>427</v>
      </c>
      <c r="C15" t="s">
        <v>4082</v>
      </c>
    </row>
    <row r="16" spans="2:3">
      <c r="B16" t="s">
        <v>3488</v>
      </c>
      <c r="C16" t="s">
        <v>4083</v>
      </c>
    </row>
    <row r="17" spans="2:3">
      <c r="B17" t="s">
        <v>3929</v>
      </c>
      <c r="C17" t="s">
        <v>4084</v>
      </c>
    </row>
    <row r="18" spans="2:3">
      <c r="B18" t="s">
        <v>3544</v>
      </c>
      <c r="C18" t="s">
        <v>4085</v>
      </c>
    </row>
    <row r="19" spans="2:3">
      <c r="B19" t="s">
        <v>425</v>
      </c>
      <c r="C19" t="s">
        <v>4086</v>
      </c>
    </row>
    <row r="20" spans="2:3">
      <c r="B20" t="s">
        <v>3545</v>
      </c>
      <c r="C20" t="s">
        <v>4087</v>
      </c>
    </row>
    <row r="21" spans="2:3">
      <c r="B21" t="s">
        <v>36</v>
      </c>
      <c r="C21" t="s">
        <v>4088</v>
      </c>
    </row>
    <row r="22" spans="2:3">
      <c r="B22" t="s">
        <v>130</v>
      </c>
      <c r="C22" t="s">
        <v>4089</v>
      </c>
    </row>
    <row r="23" spans="2:3">
      <c r="B23" t="s">
        <v>2176</v>
      </c>
      <c r="C23" t="s">
        <v>2176</v>
      </c>
    </row>
    <row r="24" spans="2:3">
      <c r="B24" t="s">
        <v>2177</v>
      </c>
      <c r="C24" t="s">
        <v>2177</v>
      </c>
    </row>
    <row r="25" spans="2:3">
      <c r="B25" t="s">
        <v>2212</v>
      </c>
      <c r="C25" t="s">
        <v>2212</v>
      </c>
    </row>
    <row r="26" spans="2:3">
      <c r="B26" t="s">
        <v>2217</v>
      </c>
      <c r="C26" t="s">
        <v>2217</v>
      </c>
    </row>
    <row r="27" spans="2:3">
      <c r="B27" t="s">
        <v>2215</v>
      </c>
      <c r="C27" t="s">
        <v>2215</v>
      </c>
    </row>
    <row r="28" spans="2:3">
      <c r="B28" t="s">
        <v>2215</v>
      </c>
      <c r="C28" t="s">
        <v>2215</v>
      </c>
    </row>
    <row r="29" spans="2:3">
      <c r="B29" t="s">
        <v>2216</v>
      </c>
      <c r="C29" t="s">
        <v>2216</v>
      </c>
    </row>
    <row r="30" spans="2:3">
      <c r="B30" t="s">
        <v>2216</v>
      </c>
      <c r="C30" t="s">
        <v>2216</v>
      </c>
    </row>
    <row r="31" spans="2:3">
      <c r="B31" t="s">
        <v>2175</v>
      </c>
      <c r="C31" t="s">
        <v>2175</v>
      </c>
    </row>
    <row r="32" spans="2:3">
      <c r="B32" t="s">
        <v>2214</v>
      </c>
      <c r="C32" t="s">
        <v>2214</v>
      </c>
    </row>
    <row r="33" spans="2:3">
      <c r="B33" t="s">
        <v>2213</v>
      </c>
      <c r="C33" t="s">
        <v>2213</v>
      </c>
    </row>
    <row r="34" spans="2:3">
      <c r="B34" t="s">
        <v>403</v>
      </c>
      <c r="C34" t="s">
        <v>4090</v>
      </c>
    </row>
    <row r="35" spans="2:3">
      <c r="B35" t="s">
        <v>513</v>
      </c>
      <c r="C35" t="s">
        <v>4091</v>
      </c>
    </row>
    <row r="36" spans="2:3">
      <c r="B36" t="s">
        <v>2218</v>
      </c>
      <c r="C36" t="s">
        <v>4092</v>
      </c>
    </row>
    <row r="37" spans="2:3">
      <c r="B37" t="s">
        <v>3459</v>
      </c>
      <c r="C37" t="s">
        <v>4527</v>
      </c>
    </row>
    <row r="38" spans="2:3">
      <c r="B38" t="s">
        <v>3460</v>
      </c>
      <c r="C38" t="s">
        <v>4528</v>
      </c>
    </row>
    <row r="39" spans="2:3">
      <c r="B39" t="s">
        <v>626</v>
      </c>
      <c r="C39" t="s">
        <v>4093</v>
      </c>
    </row>
    <row r="40" spans="2:3">
      <c r="B40" t="s">
        <v>682</v>
      </c>
      <c r="C40" t="s">
        <v>4094</v>
      </c>
    </row>
    <row r="41" spans="2:3">
      <c r="B41" t="s">
        <v>4017</v>
      </c>
      <c r="C41" t="s">
        <v>4095</v>
      </c>
    </row>
    <row r="42" spans="2:3">
      <c r="B42" t="s">
        <v>4027</v>
      </c>
      <c r="C42" t="s">
        <v>4096</v>
      </c>
    </row>
    <row r="43" spans="2:3">
      <c r="B43" t="s">
        <v>4026</v>
      </c>
      <c r="C43" s="972" t="s">
        <v>4097</v>
      </c>
    </row>
    <row r="44" spans="2:3">
      <c r="B44" t="s">
        <v>4028</v>
      </c>
      <c r="C44" s="972" t="s">
        <v>4098</v>
      </c>
    </row>
    <row r="45" spans="2:3">
      <c r="B45" t="s">
        <v>3840</v>
      </c>
      <c r="C45" s="972" t="s">
        <v>4099</v>
      </c>
    </row>
    <row r="46" spans="2:3">
      <c r="B46" t="s">
        <v>4031</v>
      </c>
      <c r="C46" s="972" t="s">
        <v>4100</v>
      </c>
    </row>
    <row r="47" spans="2:3">
      <c r="B47" t="s">
        <v>4036</v>
      </c>
      <c r="C47" s="972" t="s">
        <v>4100</v>
      </c>
    </row>
    <row r="48" spans="2:3">
      <c r="B48" t="s">
        <v>4012</v>
      </c>
      <c r="C48" s="972" t="s">
        <v>4101</v>
      </c>
    </row>
    <row r="49" spans="2:3">
      <c r="B49" t="s">
        <v>4020</v>
      </c>
      <c r="C49" s="972" t="s">
        <v>4102</v>
      </c>
    </row>
    <row r="50" spans="2:3">
      <c r="B50" t="s">
        <v>4016</v>
      </c>
      <c r="C50" s="972" t="s">
        <v>4103</v>
      </c>
    </row>
    <row r="51" spans="2:3">
      <c r="B51" t="s">
        <v>4021</v>
      </c>
      <c r="C51" s="972" t="s">
        <v>4104</v>
      </c>
    </row>
    <row r="52" spans="2:3">
      <c r="B52" t="s">
        <v>4032</v>
      </c>
      <c r="C52" s="972" t="s">
        <v>4105</v>
      </c>
    </row>
    <row r="53" spans="2:3">
      <c r="B53" t="s">
        <v>4037</v>
      </c>
      <c r="C53" s="972" t="s">
        <v>4105</v>
      </c>
    </row>
    <row r="54" spans="2:3">
      <c r="B54" t="s">
        <v>4038</v>
      </c>
      <c r="C54" s="972" t="s">
        <v>4106</v>
      </c>
    </row>
    <row r="55" spans="2:3">
      <c r="B55" t="s">
        <v>4009</v>
      </c>
      <c r="C55" s="972" t="s">
        <v>4910</v>
      </c>
    </row>
    <row r="56" spans="2:3">
      <c r="B56" t="s">
        <v>4010</v>
      </c>
      <c r="C56" s="972" t="s">
        <v>4911</v>
      </c>
    </row>
    <row r="57" spans="2:3">
      <c r="B57" t="s">
        <v>101</v>
      </c>
      <c r="C57" s="972" t="s">
        <v>4107</v>
      </c>
    </row>
    <row r="58" spans="2:3">
      <c r="B58" t="s">
        <v>4013</v>
      </c>
      <c r="C58" t="s">
        <v>4912</v>
      </c>
    </row>
    <row r="59" spans="2:3">
      <c r="B59" t="s">
        <v>4014</v>
      </c>
      <c r="C59" t="s">
        <v>4913</v>
      </c>
    </row>
    <row r="60" spans="2:3">
      <c r="B60" t="s">
        <v>4015</v>
      </c>
      <c r="C60" t="s">
        <v>4108</v>
      </c>
    </row>
    <row r="61" spans="2:3">
      <c r="B61" t="s">
        <v>4024</v>
      </c>
      <c r="C61" s="972" t="s">
        <v>4109</v>
      </c>
    </row>
    <row r="62" spans="2:3">
      <c r="B62" t="s">
        <v>4025</v>
      </c>
      <c r="C62" s="972" t="s">
        <v>4110</v>
      </c>
    </row>
    <row r="63" spans="2:3">
      <c r="B63" t="s">
        <v>4039</v>
      </c>
      <c r="C63" s="972" t="s">
        <v>4914</v>
      </c>
    </row>
    <row r="64" spans="2:3">
      <c r="B64" t="s">
        <v>175</v>
      </c>
      <c r="C64" s="972" t="s">
        <v>4111</v>
      </c>
    </row>
    <row r="65" spans="2:3">
      <c r="B65" t="s">
        <v>4011</v>
      </c>
      <c r="C65" s="972" t="s">
        <v>4113</v>
      </c>
    </row>
    <row r="66" spans="2:3">
      <c r="B66" t="s">
        <v>4030</v>
      </c>
      <c r="C66" s="972" t="s">
        <v>4114</v>
      </c>
    </row>
    <row r="67" spans="2:3">
      <c r="B67" t="s">
        <v>4033</v>
      </c>
      <c r="C67" s="972" t="s">
        <v>4114</v>
      </c>
    </row>
    <row r="68" spans="2:3">
      <c r="B68" t="s">
        <v>4029</v>
      </c>
      <c r="C68" s="972" t="s">
        <v>4115</v>
      </c>
    </row>
    <row r="69" spans="2:3">
      <c r="B69" t="s">
        <v>4034</v>
      </c>
      <c r="C69" s="972" t="s">
        <v>4116</v>
      </c>
    </row>
    <row r="70" spans="2:3">
      <c r="B70" t="s">
        <v>2074</v>
      </c>
      <c r="C70" s="972" t="s">
        <v>4117</v>
      </c>
    </row>
    <row r="71" spans="2:3">
      <c r="B71" t="s">
        <v>170</v>
      </c>
      <c r="C71" s="972" t="s">
        <v>4119</v>
      </c>
    </row>
    <row r="72" spans="2:3">
      <c r="B72" t="s">
        <v>710</v>
      </c>
      <c r="C72" s="972" t="s">
        <v>4120</v>
      </c>
    </row>
    <row r="73" spans="2:3">
      <c r="B73" s="972" t="s">
        <v>5549</v>
      </c>
      <c r="C73" s="972" t="s">
        <v>5552</v>
      </c>
    </row>
    <row r="74" spans="2:3">
      <c r="B74" t="s">
        <v>3538</v>
      </c>
      <c r="C74" s="972" t="s">
        <v>4118</v>
      </c>
    </row>
    <row r="75" spans="2:3">
      <c r="B75" t="s">
        <v>4035</v>
      </c>
      <c r="C75" s="972" t="s">
        <v>4121</v>
      </c>
    </row>
    <row r="76" spans="2:3">
      <c r="B76" t="s">
        <v>351</v>
      </c>
      <c r="C76" s="972" t="s">
        <v>4122</v>
      </c>
    </row>
    <row r="77" spans="2:3">
      <c r="B77" t="s">
        <v>604</v>
      </c>
      <c r="C77" s="972" t="s">
        <v>4123</v>
      </c>
    </row>
    <row r="78" spans="2:3">
      <c r="B78" t="s">
        <v>1895</v>
      </c>
    </row>
    <row r="79" spans="2:3">
      <c r="B79" t="s">
        <v>1894</v>
      </c>
      <c r="C79" s="972" t="s">
        <v>4124</v>
      </c>
    </row>
    <row r="80" spans="2:3">
      <c r="B80" t="s">
        <v>4043</v>
      </c>
      <c r="C80" s="972" t="s">
        <v>4125</v>
      </c>
    </row>
    <row r="81" spans="2:3">
      <c r="B81" t="s">
        <v>4040</v>
      </c>
      <c r="C81" s="972" t="s">
        <v>4126</v>
      </c>
    </row>
    <row r="82" spans="2:3">
      <c r="B82" t="s">
        <v>4044</v>
      </c>
      <c r="C82" s="972" t="s">
        <v>4127</v>
      </c>
    </row>
    <row r="83" spans="2:3">
      <c r="B83" t="s">
        <v>4045</v>
      </c>
      <c r="C83" s="972" t="s">
        <v>4112</v>
      </c>
    </row>
    <row r="84" spans="2:3">
      <c r="B84" t="s">
        <v>4041</v>
      </c>
      <c r="C84" s="972" t="s">
        <v>4128</v>
      </c>
    </row>
    <row r="85" spans="2:3">
      <c r="B85" t="s">
        <v>4042</v>
      </c>
      <c r="C85" s="972" t="s">
        <v>4128</v>
      </c>
    </row>
    <row r="86" spans="2:3">
      <c r="B86" t="s">
        <v>4046</v>
      </c>
      <c r="C86" s="972" t="s">
        <v>4107</v>
      </c>
    </row>
    <row r="87" spans="2:3">
      <c r="B87" t="s">
        <v>3955</v>
      </c>
      <c r="C87" s="972" t="s">
        <v>4129</v>
      </c>
    </row>
    <row r="88" spans="2:3">
      <c r="B88" t="s">
        <v>3953</v>
      </c>
      <c r="C88" s="972" t="s">
        <v>4130</v>
      </c>
    </row>
    <row r="89" spans="2:3">
      <c r="B89" t="s">
        <v>3567</v>
      </c>
      <c r="C89" s="972" t="s">
        <v>4131</v>
      </c>
    </row>
    <row r="90" spans="2:3">
      <c r="B90" t="s">
        <v>3649</v>
      </c>
      <c r="C90" s="972" t="s">
        <v>4529</v>
      </c>
    </row>
    <row r="91" spans="2:3">
      <c r="B91" t="s">
        <v>3952</v>
      </c>
      <c r="C91" s="972" t="s">
        <v>4132</v>
      </c>
    </row>
    <row r="92" spans="2:3">
      <c r="B92" t="s">
        <v>2126</v>
      </c>
      <c r="C92" s="972" t="s">
        <v>4133</v>
      </c>
    </row>
    <row r="93" spans="2:3">
      <c r="B93" t="s">
        <v>2050</v>
      </c>
      <c r="C93" s="972" t="s">
        <v>4134</v>
      </c>
    </row>
    <row r="94" spans="2:3">
      <c r="B94" t="s">
        <v>3566</v>
      </c>
      <c r="C94" s="972" t="s">
        <v>4135</v>
      </c>
    </row>
    <row r="95" spans="2:3">
      <c r="B95" t="s">
        <v>3648</v>
      </c>
      <c r="C95" s="972" t="s">
        <v>4530</v>
      </c>
    </row>
    <row r="96" spans="2:3">
      <c r="B96" t="s">
        <v>354</v>
      </c>
      <c r="C96" s="972" t="s">
        <v>4136</v>
      </c>
    </row>
    <row r="97" spans="2:3">
      <c r="B97" t="s">
        <v>3954</v>
      </c>
      <c r="C97" s="972" t="s">
        <v>4137</v>
      </c>
    </row>
    <row r="98" spans="2:3">
      <c r="B98" t="s">
        <v>3956</v>
      </c>
      <c r="C98" t="s">
        <v>4138</v>
      </c>
    </row>
    <row r="99" spans="2:3">
      <c r="B99" t="s">
        <v>2027</v>
      </c>
      <c r="C99" s="972" t="s">
        <v>4139</v>
      </c>
    </row>
    <row r="100" spans="2:3">
      <c r="B100" t="s">
        <v>3957</v>
      </c>
      <c r="C100" s="972" t="s">
        <v>4140</v>
      </c>
    </row>
    <row r="101" spans="2:3">
      <c r="B101" t="s">
        <v>2103</v>
      </c>
      <c r="C101" s="972" t="s">
        <v>4141</v>
      </c>
    </row>
    <row r="102" spans="2:3">
      <c r="B102" t="s">
        <v>3601</v>
      </c>
      <c r="C102" s="972" t="s">
        <v>4142</v>
      </c>
    </row>
    <row r="103" spans="2:3">
      <c r="B103" t="s">
        <v>3602</v>
      </c>
      <c r="C103" s="972" t="s">
        <v>4143</v>
      </c>
    </row>
    <row r="104" spans="2:3">
      <c r="B104" t="s">
        <v>3604</v>
      </c>
      <c r="C104" s="972" t="s">
        <v>4144</v>
      </c>
    </row>
    <row r="105" spans="2:3">
      <c r="B105" t="s">
        <v>674</v>
      </c>
      <c r="C105" t="s">
        <v>4145</v>
      </c>
    </row>
    <row r="106" spans="2:3">
      <c r="B106" t="s">
        <v>612</v>
      </c>
      <c r="C106" t="s">
        <v>4146</v>
      </c>
    </row>
    <row r="107" spans="2:3">
      <c r="B107" t="s">
        <v>603</v>
      </c>
      <c r="C107" s="972" t="s">
        <v>4147</v>
      </c>
    </row>
    <row r="108" spans="2:3">
      <c r="B108" t="s">
        <v>2196</v>
      </c>
      <c r="C108" t="s">
        <v>4148</v>
      </c>
    </row>
    <row r="109" spans="2:3">
      <c r="B109" t="s">
        <v>592</v>
      </c>
      <c r="C109" s="972" t="s">
        <v>4149</v>
      </c>
    </row>
    <row r="110" spans="2:3">
      <c r="B110" t="s">
        <v>2069</v>
      </c>
      <c r="C110" s="972" t="s">
        <v>4150</v>
      </c>
    </row>
    <row r="111" spans="2:3">
      <c r="B111" t="s">
        <v>2077</v>
      </c>
      <c r="C111" s="972" t="s">
        <v>4151</v>
      </c>
    </row>
    <row r="112" spans="2:3">
      <c r="B112" t="s">
        <v>597</v>
      </c>
      <c r="C112" s="972" t="s">
        <v>4152</v>
      </c>
    </row>
    <row r="113" spans="2:3">
      <c r="B113" t="s">
        <v>608</v>
      </c>
      <c r="C113" s="972" t="s">
        <v>4153</v>
      </c>
    </row>
    <row r="114" spans="2:3">
      <c r="B114" t="s">
        <v>623</v>
      </c>
      <c r="C114" s="972" t="s">
        <v>4154</v>
      </c>
    </row>
    <row r="115" spans="2:3">
      <c r="B115" t="s">
        <v>3420</v>
      </c>
      <c r="C115" s="972" t="s">
        <v>4155</v>
      </c>
    </row>
    <row r="116" spans="2:3">
      <c r="B116" t="s">
        <v>729</v>
      </c>
      <c r="C116" s="972" t="s">
        <v>4156</v>
      </c>
    </row>
    <row r="117" spans="2:3">
      <c r="B117" t="s">
        <v>2080</v>
      </c>
      <c r="C117" s="972" t="s">
        <v>4157</v>
      </c>
    </row>
    <row r="118" spans="2:3">
      <c r="B118" t="s">
        <v>3421</v>
      </c>
      <c r="C118" s="972" t="s">
        <v>4158</v>
      </c>
    </row>
    <row r="119" spans="2:3">
      <c r="B119" t="s">
        <v>1408</v>
      </c>
      <c r="C119" t="s">
        <v>4159</v>
      </c>
    </row>
    <row r="120" spans="2:3">
      <c r="B120" t="s">
        <v>1522</v>
      </c>
      <c r="C120" s="972" t="s">
        <v>4160</v>
      </c>
    </row>
    <row r="121" spans="2:3">
      <c r="B121" t="s">
        <v>1516</v>
      </c>
      <c r="C121" s="972" t="s">
        <v>4161</v>
      </c>
    </row>
    <row r="122" spans="2:3">
      <c r="B122" t="s">
        <v>372</v>
      </c>
      <c r="C122" s="972" t="s">
        <v>4162</v>
      </c>
    </row>
    <row r="123" spans="2:3">
      <c r="B123" t="s">
        <v>225</v>
      </c>
      <c r="C123" s="972" t="s">
        <v>4163</v>
      </c>
    </row>
    <row r="124" spans="2:3">
      <c r="B124" t="s">
        <v>1886</v>
      </c>
      <c r="C124" s="972" t="s">
        <v>4164</v>
      </c>
    </row>
    <row r="125" spans="2:3">
      <c r="B125" t="s">
        <v>286</v>
      </c>
      <c r="C125" s="972" t="s">
        <v>4165</v>
      </c>
    </row>
    <row r="126" spans="2:3">
      <c r="B126" t="s">
        <v>630</v>
      </c>
      <c r="C126" s="972" t="s">
        <v>4166</v>
      </c>
    </row>
    <row r="127" spans="2:3">
      <c r="B127" t="s">
        <v>1038</v>
      </c>
      <c r="C127" s="972" t="s">
        <v>4168</v>
      </c>
    </row>
    <row r="128" spans="2:3">
      <c r="B128" t="s">
        <v>287</v>
      </c>
      <c r="C128" s="972" t="s">
        <v>4167</v>
      </c>
    </row>
    <row r="129" spans="2:3">
      <c r="B129" t="s">
        <v>288</v>
      </c>
      <c r="C129" s="972" t="s">
        <v>4169</v>
      </c>
    </row>
    <row r="130" spans="2:3">
      <c r="B130" t="s">
        <v>1043</v>
      </c>
      <c r="C130" s="972" t="s">
        <v>4170</v>
      </c>
    </row>
    <row r="131" spans="2:3">
      <c r="B131" t="s">
        <v>289</v>
      </c>
      <c r="C131" s="972" t="s">
        <v>4171</v>
      </c>
    </row>
    <row r="132" spans="2:3">
      <c r="B132" t="s">
        <v>357</v>
      </c>
      <c r="C132" s="972" t="s">
        <v>4172</v>
      </c>
    </row>
    <row r="133" spans="2:3">
      <c r="B133" t="s">
        <v>1068</v>
      </c>
      <c r="C133" s="972" t="s">
        <v>4173</v>
      </c>
    </row>
    <row r="134" spans="2:3">
      <c r="B134" t="s">
        <v>3620</v>
      </c>
      <c r="C134" s="972" t="s">
        <v>4174</v>
      </c>
    </row>
    <row r="135" spans="2:3">
      <c r="B135" t="s">
        <v>67</v>
      </c>
      <c r="C135" s="972" t="s">
        <v>4921</v>
      </c>
    </row>
    <row r="136" spans="2:3">
      <c r="B136" t="s">
        <v>1885</v>
      </c>
      <c r="C136" s="972" t="s">
        <v>4175</v>
      </c>
    </row>
    <row r="137" spans="2:3">
      <c r="B137" t="s">
        <v>1011</v>
      </c>
      <c r="C137" s="972" t="s">
        <v>4176</v>
      </c>
    </row>
    <row r="138" spans="2:3">
      <c r="B138" t="s">
        <v>1018</v>
      </c>
      <c r="C138" s="972" t="s">
        <v>4177</v>
      </c>
    </row>
    <row r="139" spans="2:3">
      <c r="B139" t="s">
        <v>1986</v>
      </c>
      <c r="C139" s="972" t="s">
        <v>4178</v>
      </c>
    </row>
    <row r="140" spans="2:3">
      <c r="B140" t="s">
        <v>1776</v>
      </c>
      <c r="C140" s="972" t="s">
        <v>4179</v>
      </c>
    </row>
    <row r="141" spans="2:3">
      <c r="B141" t="s">
        <v>570</v>
      </c>
      <c r="C141" s="972" t="s">
        <v>4180</v>
      </c>
    </row>
    <row r="142" spans="2:3">
      <c r="B142" t="s">
        <v>574</v>
      </c>
      <c r="C142" s="972" t="s">
        <v>4181</v>
      </c>
    </row>
    <row r="143" spans="2:3">
      <c r="B143" t="s">
        <v>191</v>
      </c>
      <c r="C143" s="972" t="s">
        <v>4182</v>
      </c>
    </row>
    <row r="144" spans="2:3">
      <c r="B144" t="s">
        <v>3909</v>
      </c>
      <c r="C144" s="972" t="s">
        <v>4183</v>
      </c>
    </row>
    <row r="145" spans="2:3">
      <c r="B145" s="972" t="s">
        <v>5612</v>
      </c>
      <c r="C145" s="972" t="s">
        <v>5615</v>
      </c>
    </row>
    <row r="146" spans="2:3">
      <c r="B146" s="972" t="s">
        <v>3571</v>
      </c>
      <c r="C146" s="972" t="s">
        <v>5616</v>
      </c>
    </row>
    <row r="147" spans="2:3">
      <c r="B147" t="s">
        <v>113</v>
      </c>
      <c r="C147" s="972" t="s">
        <v>4185</v>
      </c>
    </row>
    <row r="148" spans="2:3">
      <c r="B148" t="s">
        <v>112</v>
      </c>
      <c r="C148" s="972" t="s">
        <v>4184</v>
      </c>
    </row>
    <row r="149" spans="2:3">
      <c r="B149" t="s">
        <v>80</v>
      </c>
      <c r="C149" s="972" t="s">
        <v>4918</v>
      </c>
    </row>
    <row r="150" spans="2:3">
      <c r="B150" t="s">
        <v>602</v>
      </c>
      <c r="C150" s="972" t="s">
        <v>4186</v>
      </c>
    </row>
    <row r="151" spans="2:3">
      <c r="B151" t="s">
        <v>214</v>
      </c>
      <c r="C151" s="972" t="s">
        <v>4920</v>
      </c>
    </row>
    <row r="152" spans="2:3">
      <c r="B152" t="s">
        <v>74</v>
      </c>
      <c r="C152" t="s">
        <v>4187</v>
      </c>
    </row>
    <row r="153" spans="2:3">
      <c r="B153" t="s">
        <v>588</v>
      </c>
      <c r="C153" s="972" t="s">
        <v>4188</v>
      </c>
    </row>
    <row r="154" spans="2:3">
      <c r="B154" t="s">
        <v>2115</v>
      </c>
      <c r="C154" s="972" t="s">
        <v>4189</v>
      </c>
    </row>
    <row r="155" spans="2:3">
      <c r="B155" t="s">
        <v>336</v>
      </c>
      <c r="C155" s="972"/>
    </row>
    <row r="156" spans="2:3">
      <c r="B156" t="s">
        <v>3625</v>
      </c>
      <c r="C156" s="972" t="s">
        <v>4190</v>
      </c>
    </row>
    <row r="157" spans="2:3">
      <c r="B157" t="s">
        <v>3907</v>
      </c>
      <c r="C157" s="972" t="s">
        <v>4191</v>
      </c>
    </row>
    <row r="158" spans="2:3">
      <c r="B158" t="s">
        <v>1074</v>
      </c>
      <c r="C158" s="972" t="s">
        <v>4192</v>
      </c>
    </row>
    <row r="159" spans="2:3">
      <c r="B159" t="s">
        <v>3936</v>
      </c>
      <c r="C159" s="972" t="s">
        <v>5211</v>
      </c>
    </row>
    <row r="160" spans="2:3">
      <c r="B160" t="s">
        <v>273</v>
      </c>
      <c r="C160" s="972" t="s">
        <v>4193</v>
      </c>
    </row>
    <row r="161" spans="2:3">
      <c r="B161" s="972" t="s">
        <v>7</v>
      </c>
      <c r="C161" s="972" t="s">
        <v>4194</v>
      </c>
    </row>
    <row r="162" spans="2:3">
      <c r="B162" t="s">
        <v>2073</v>
      </c>
      <c r="C162" s="972" t="s">
        <v>4195</v>
      </c>
    </row>
    <row r="163" spans="2:3">
      <c r="B163" t="s">
        <v>424</v>
      </c>
      <c r="C163" s="972" t="s">
        <v>4196</v>
      </c>
    </row>
    <row r="164" spans="2:3">
      <c r="B164" t="s">
        <v>3543</v>
      </c>
      <c r="C164" s="972" t="s">
        <v>4197</v>
      </c>
    </row>
    <row r="165" spans="2:3">
      <c r="B165" t="s">
        <v>3603</v>
      </c>
      <c r="C165" s="972" t="s">
        <v>4198</v>
      </c>
    </row>
    <row r="166" spans="2:3">
      <c r="B166" t="s">
        <v>37</v>
      </c>
      <c r="C166" s="972" t="s">
        <v>4199</v>
      </c>
    </row>
    <row r="167" spans="2:3">
      <c r="B167" t="s">
        <v>3834</v>
      </c>
      <c r="C167" s="972" t="s">
        <v>4200</v>
      </c>
    </row>
    <row r="168" spans="2:3">
      <c r="B168" t="s">
        <v>2094</v>
      </c>
      <c r="C168" s="972" t="s">
        <v>4201</v>
      </c>
    </row>
    <row r="169" spans="2:3">
      <c r="B169" t="s">
        <v>514</v>
      </c>
      <c r="C169" s="972" t="s">
        <v>4202</v>
      </c>
    </row>
    <row r="170" spans="2:3">
      <c r="B170" t="s">
        <v>146</v>
      </c>
      <c r="C170" s="972" t="s">
        <v>4203</v>
      </c>
    </row>
    <row r="171" spans="2:3">
      <c r="B171" t="s">
        <v>5600</v>
      </c>
      <c r="C171" s="972" t="s">
        <v>5604</v>
      </c>
    </row>
    <row r="172" spans="2:3">
      <c r="B172" t="s">
        <v>3606</v>
      </c>
      <c r="C172" s="972" t="s">
        <v>4204</v>
      </c>
    </row>
    <row r="173" spans="2:3">
      <c r="B173" t="s">
        <v>463</v>
      </c>
      <c r="C173" s="972" t="s">
        <v>4205</v>
      </c>
    </row>
    <row r="174" spans="2:3">
      <c r="B174" t="s">
        <v>638</v>
      </c>
      <c r="C174" s="972" t="s">
        <v>4206</v>
      </c>
    </row>
    <row r="175" spans="2:3">
      <c r="B175" t="s">
        <v>3608</v>
      </c>
    </row>
    <row r="176" spans="2:3">
      <c r="B176" t="s">
        <v>145</v>
      </c>
      <c r="C176" s="972" t="s">
        <v>4207</v>
      </c>
    </row>
    <row r="177" spans="2:3">
      <c r="B177" t="s">
        <v>476</v>
      </c>
      <c r="C177" s="972" t="s">
        <v>4208</v>
      </c>
    </row>
    <row r="178" spans="2:3">
      <c r="B178" t="s">
        <v>31</v>
      </c>
      <c r="C178" s="972" t="s">
        <v>4210</v>
      </c>
    </row>
    <row r="179" spans="2:3">
      <c r="B179" t="s">
        <v>3838</v>
      </c>
      <c r="C179" s="972" t="s">
        <v>4209</v>
      </c>
    </row>
    <row r="180" spans="2:3">
      <c r="B180" t="s">
        <v>3550</v>
      </c>
      <c r="C180" s="972" t="s">
        <v>4211</v>
      </c>
    </row>
    <row r="181" spans="2:3">
      <c r="B181" t="s">
        <v>4047</v>
      </c>
      <c r="C181" s="972" t="s">
        <v>4212</v>
      </c>
    </row>
    <row r="182" spans="2:3">
      <c r="B182" t="s">
        <v>4060</v>
      </c>
      <c r="C182" s="972" t="s">
        <v>4213</v>
      </c>
    </row>
    <row r="183" spans="2:3">
      <c r="B183" t="s">
        <v>4063</v>
      </c>
      <c r="C183" s="972" t="s">
        <v>4224</v>
      </c>
    </row>
    <row r="184" spans="2:3">
      <c r="B184" t="s">
        <v>3551</v>
      </c>
      <c r="C184" s="972" t="s">
        <v>4214</v>
      </c>
    </row>
    <row r="185" spans="2:3">
      <c r="B185" t="s">
        <v>4048</v>
      </c>
      <c r="C185" s="972" t="s">
        <v>4215</v>
      </c>
    </row>
    <row r="186" spans="2:3">
      <c r="B186" t="s">
        <v>4050</v>
      </c>
      <c r="C186" s="972" t="s">
        <v>4216</v>
      </c>
    </row>
    <row r="187" spans="2:3">
      <c r="B187" t="s">
        <v>4053</v>
      </c>
      <c r="C187" s="972" t="s">
        <v>4217</v>
      </c>
    </row>
    <row r="188" spans="2:3">
      <c r="B188" t="s">
        <v>4054</v>
      </c>
      <c r="C188" s="972" t="s">
        <v>4218</v>
      </c>
    </row>
    <row r="189" spans="2:3">
      <c r="B189" t="s">
        <v>4056</v>
      </c>
      <c r="C189" s="972" t="s">
        <v>4219</v>
      </c>
    </row>
    <row r="190" spans="2:3">
      <c r="B190" t="s">
        <v>4058</v>
      </c>
      <c r="C190" s="972" t="s">
        <v>4220</v>
      </c>
    </row>
    <row r="191" spans="2:3">
      <c r="B191" t="s">
        <v>4061</v>
      </c>
      <c r="C191" s="972" t="s">
        <v>4221</v>
      </c>
    </row>
    <row r="192" spans="2:3">
      <c r="B192" t="s">
        <v>4065</v>
      </c>
      <c r="C192" s="972" t="s">
        <v>4222</v>
      </c>
    </row>
    <row r="193" spans="2:3">
      <c r="B193" t="s">
        <v>4066</v>
      </c>
      <c r="C193" s="972" t="s">
        <v>4223</v>
      </c>
    </row>
    <row r="194" spans="2:3">
      <c r="B194" t="s">
        <v>4064</v>
      </c>
      <c r="C194" s="972" t="s">
        <v>4225</v>
      </c>
    </row>
    <row r="195" spans="2:3">
      <c r="B195" t="s">
        <v>3549</v>
      </c>
      <c r="C195" s="972" t="s">
        <v>4226</v>
      </c>
    </row>
    <row r="196" spans="2:3">
      <c r="B196" t="s">
        <v>4049</v>
      </c>
      <c r="C196" s="972" t="s">
        <v>4227</v>
      </c>
    </row>
    <row r="197" spans="2:3">
      <c r="B197" t="s">
        <v>4051</v>
      </c>
      <c r="C197" s="972" t="s">
        <v>4228</v>
      </c>
    </row>
    <row r="198" spans="2:3">
      <c r="B198" t="s">
        <v>4055</v>
      </c>
      <c r="C198" s="972" t="s">
        <v>4229</v>
      </c>
    </row>
    <row r="199" spans="2:3">
      <c r="B199" t="s">
        <v>4057</v>
      </c>
      <c r="C199" s="972" t="s">
        <v>4230</v>
      </c>
    </row>
    <row r="200" spans="2:3">
      <c r="B200" t="s">
        <v>4059</v>
      </c>
      <c r="C200" s="972" t="s">
        <v>4231</v>
      </c>
    </row>
    <row r="201" spans="2:3">
      <c r="B201" t="s">
        <v>4062</v>
      </c>
      <c r="C201" s="972" t="s">
        <v>4232</v>
      </c>
    </row>
    <row r="202" spans="2:3">
      <c r="B202" t="s">
        <v>4067</v>
      </c>
      <c r="C202" s="972" t="s">
        <v>4233</v>
      </c>
    </row>
    <row r="203" spans="2:3">
      <c r="B203" t="s">
        <v>4052</v>
      </c>
      <c r="C203" s="972" t="s">
        <v>4234</v>
      </c>
    </row>
    <row r="204" spans="2:3">
      <c r="B204" t="s">
        <v>684</v>
      </c>
      <c r="C204" s="972" t="s">
        <v>4235</v>
      </c>
    </row>
    <row r="205" spans="2:3">
      <c r="B205" t="s">
        <v>2076</v>
      </c>
      <c r="C205" s="972" t="s">
        <v>4236</v>
      </c>
    </row>
    <row r="206" spans="2:3">
      <c r="B206" t="s">
        <v>64</v>
      </c>
      <c r="C206" t="s">
        <v>64</v>
      </c>
    </row>
    <row r="207" spans="2:3">
      <c r="B207" t="s">
        <v>593</v>
      </c>
      <c r="C207" s="972" t="s">
        <v>4237</v>
      </c>
    </row>
    <row r="208" spans="2:3">
      <c r="B208" t="s">
        <v>2120</v>
      </c>
      <c r="C208" s="972" t="s">
        <v>4238</v>
      </c>
    </row>
    <row r="209" spans="2:3">
      <c r="B209" t="s">
        <v>3474</v>
      </c>
      <c r="C209" s="972" t="s">
        <v>4239</v>
      </c>
    </row>
    <row r="210" spans="2:3">
      <c r="B210" t="s">
        <v>2125</v>
      </c>
      <c r="C210" s="972" t="s">
        <v>4240</v>
      </c>
    </row>
    <row r="211" spans="2:3">
      <c r="B211" t="s">
        <v>498</v>
      </c>
      <c r="C211" s="972" t="s">
        <v>4241</v>
      </c>
    </row>
    <row r="212" spans="2:3">
      <c r="B212" t="s">
        <v>3541</v>
      </c>
      <c r="C212" s="972" t="s">
        <v>4531</v>
      </c>
    </row>
    <row r="213" spans="2:3">
      <c r="B213" t="s">
        <v>3958</v>
      </c>
      <c r="C213" s="972" t="s">
        <v>4242</v>
      </c>
    </row>
    <row r="214" spans="2:3">
      <c r="B214" t="s">
        <v>3985</v>
      </c>
      <c r="C214" s="972" t="s">
        <v>4243</v>
      </c>
    </row>
    <row r="215" spans="2:3">
      <c r="B215" t="s">
        <v>3986</v>
      </c>
      <c r="C215" s="972" t="s">
        <v>4532</v>
      </c>
    </row>
    <row r="216" spans="2:3">
      <c r="B216" t="s">
        <v>3475</v>
      </c>
      <c r="C216" s="972" t="s">
        <v>4244</v>
      </c>
    </row>
    <row r="217" spans="2:3">
      <c r="B217" t="s">
        <v>89</v>
      </c>
      <c r="C217" s="972" t="s">
        <v>4919</v>
      </c>
    </row>
    <row r="218" spans="2:3">
      <c r="B218" t="s">
        <v>26</v>
      </c>
      <c r="C218" s="972" t="s">
        <v>4245</v>
      </c>
    </row>
    <row r="219" spans="2:3">
      <c r="B219" t="s">
        <v>25</v>
      </c>
      <c r="C219" s="972" t="s">
        <v>4246</v>
      </c>
    </row>
    <row r="220" spans="2:3">
      <c r="B220" t="s">
        <v>24</v>
      </c>
      <c r="C220" s="972" t="s">
        <v>4247</v>
      </c>
    </row>
    <row r="221" spans="2:3">
      <c r="B221" t="s">
        <v>86</v>
      </c>
      <c r="C221" s="972" t="s">
        <v>4248</v>
      </c>
    </row>
    <row r="222" spans="2:3">
      <c r="B222" t="s">
        <v>2209</v>
      </c>
      <c r="C222" s="972" t="s">
        <v>4249</v>
      </c>
    </row>
    <row r="223" spans="2:3">
      <c r="B223" t="s">
        <v>2209</v>
      </c>
      <c r="C223" s="972" t="s">
        <v>4249</v>
      </c>
    </row>
    <row r="224" spans="2:3">
      <c r="B224" t="s">
        <v>2210</v>
      </c>
      <c r="C224" s="972" t="s">
        <v>4250</v>
      </c>
    </row>
    <row r="225" spans="2:3">
      <c r="B225" t="s">
        <v>750</v>
      </c>
      <c r="C225" s="972" t="s">
        <v>4251</v>
      </c>
    </row>
    <row r="226" spans="2:3">
      <c r="B226" t="s">
        <v>85</v>
      </c>
      <c r="C226" s="972" t="s">
        <v>4917</v>
      </c>
    </row>
    <row r="227" spans="2:3">
      <c r="B227" s="972" t="s">
        <v>5180</v>
      </c>
      <c r="C227" s="972" t="s">
        <v>5187</v>
      </c>
    </row>
    <row r="228" spans="2:3">
      <c r="B228" t="s">
        <v>4</v>
      </c>
      <c r="C228" s="972" t="s">
        <v>4252</v>
      </c>
    </row>
    <row r="229" spans="2:3">
      <c r="B229" t="s">
        <v>572</v>
      </c>
      <c r="C229" s="972" t="s">
        <v>4257</v>
      </c>
    </row>
    <row r="230" spans="2:3">
      <c r="B230" t="s">
        <v>2029</v>
      </c>
      <c r="C230" t="s">
        <v>4253</v>
      </c>
    </row>
    <row r="231" spans="2:3">
      <c r="B231" t="s">
        <v>11</v>
      </c>
      <c r="C231" t="s">
        <v>4254</v>
      </c>
    </row>
    <row r="232" spans="2:3">
      <c r="B232" t="s">
        <v>3493</v>
      </c>
      <c r="C232" s="972" t="s">
        <v>4533</v>
      </c>
    </row>
    <row r="233" spans="2:3">
      <c r="B233" t="s">
        <v>3491</v>
      </c>
      <c r="C233" s="972" t="s">
        <v>4534</v>
      </c>
    </row>
    <row r="234" spans="2:3">
      <c r="B234" t="s">
        <v>3495</v>
      </c>
      <c r="C234" s="972" t="s">
        <v>4535</v>
      </c>
    </row>
    <row r="235" spans="2:3">
      <c r="B235" t="s">
        <v>599</v>
      </c>
      <c r="C235" s="972" t="s">
        <v>4255</v>
      </c>
    </row>
    <row r="236" spans="2:3">
      <c r="B236" t="s">
        <v>644</v>
      </c>
      <c r="C236" s="972" t="s">
        <v>4256</v>
      </c>
    </row>
    <row r="237" spans="2:3">
      <c r="B237" t="s">
        <v>406</v>
      </c>
      <c r="C237" s="972" t="s">
        <v>4259</v>
      </c>
    </row>
    <row r="238" spans="2:3">
      <c r="B238" t="s">
        <v>12</v>
      </c>
      <c r="C238" s="972" t="s">
        <v>4258</v>
      </c>
    </row>
    <row r="239" spans="2:3">
      <c r="B239" t="s">
        <v>334</v>
      </c>
      <c r="C239" s="972" t="s">
        <v>4260</v>
      </c>
    </row>
    <row r="240" spans="2:3">
      <c r="B240" t="s">
        <v>635</v>
      </c>
      <c r="C240" s="972" t="s">
        <v>4261</v>
      </c>
    </row>
    <row r="241" spans="2:3">
      <c r="B241" t="s">
        <v>3496</v>
      </c>
      <c r="C241" s="972" t="s">
        <v>4536</v>
      </c>
    </row>
    <row r="242" spans="2:3">
      <c r="B242" t="s">
        <v>2197</v>
      </c>
      <c r="C242" s="972" t="s">
        <v>4537</v>
      </c>
    </row>
    <row r="243" spans="2:3">
      <c r="B243" t="s">
        <v>335</v>
      </c>
      <c r="C243" s="972" t="s">
        <v>4262</v>
      </c>
    </row>
    <row r="244" spans="2:3">
      <c r="B244" t="s">
        <v>317</v>
      </c>
      <c r="C244" t="s">
        <v>4263</v>
      </c>
    </row>
    <row r="245" spans="2:3">
      <c r="B245" t="s">
        <v>332</v>
      </c>
      <c r="C245" s="972" t="s">
        <v>4264</v>
      </c>
    </row>
    <row r="246" spans="2:3">
      <c r="B246" t="s">
        <v>3525</v>
      </c>
      <c r="C246" s="972" t="s">
        <v>4265</v>
      </c>
    </row>
    <row r="247" spans="2:3">
      <c r="B247" t="s">
        <v>3526</v>
      </c>
      <c r="C247" s="972" t="s">
        <v>4266</v>
      </c>
    </row>
    <row r="248" spans="2:3">
      <c r="B248" t="s">
        <v>76</v>
      </c>
      <c r="C248" s="972" t="s">
        <v>4268</v>
      </c>
    </row>
    <row r="249" spans="2:3">
      <c r="B249" t="s">
        <v>3932</v>
      </c>
      <c r="C249" s="972" t="s">
        <v>4267</v>
      </c>
    </row>
    <row r="250" spans="2:3">
      <c r="B250" t="s">
        <v>2026</v>
      </c>
      <c r="C250" s="972" t="s">
        <v>4269</v>
      </c>
    </row>
    <row r="251" spans="2:3">
      <c r="B251" t="s">
        <v>0</v>
      </c>
      <c r="C251" s="972" t="s">
        <v>4270</v>
      </c>
    </row>
    <row r="252" spans="2:3">
      <c r="B252" t="s">
        <v>600</v>
      </c>
      <c r="C252" s="972" t="s">
        <v>4271</v>
      </c>
    </row>
    <row r="253" spans="2:3">
      <c r="B253" t="s">
        <v>3934</v>
      </c>
      <c r="C253" t="s">
        <v>4272</v>
      </c>
    </row>
    <row r="254" spans="2:3">
      <c r="B254" t="s">
        <v>2086</v>
      </c>
      <c r="C254" s="972" t="s">
        <v>4273</v>
      </c>
    </row>
    <row r="255" spans="2:3">
      <c r="B255" t="s">
        <v>2031</v>
      </c>
      <c r="C255" s="972" t="s">
        <v>4274</v>
      </c>
    </row>
    <row r="256" spans="2:3">
      <c r="B256" t="s">
        <v>2252</v>
      </c>
      <c r="C256" s="972" t="s">
        <v>4275</v>
      </c>
    </row>
    <row r="257" spans="2:3">
      <c r="B257" t="s">
        <v>379</v>
      </c>
      <c r="C257" s="972" t="s">
        <v>4276</v>
      </c>
    </row>
    <row r="258" spans="2:3">
      <c r="B258" t="s">
        <v>3478</v>
      </c>
      <c r="C258" s="972" t="s">
        <v>4278</v>
      </c>
    </row>
    <row r="259" spans="2:3">
      <c r="B259" t="s">
        <v>2096</v>
      </c>
      <c r="C259" s="972" t="s">
        <v>4280</v>
      </c>
    </row>
    <row r="260" spans="2:3">
      <c r="B260" t="s">
        <v>2030</v>
      </c>
      <c r="C260" s="972" t="s">
        <v>4279</v>
      </c>
    </row>
    <row r="261" spans="2:3">
      <c r="B261" t="s">
        <v>5</v>
      </c>
      <c r="C261" s="972" t="s">
        <v>4281</v>
      </c>
    </row>
    <row r="262" spans="2:3">
      <c r="B262" t="s">
        <v>3473</v>
      </c>
      <c r="C262" t="s">
        <v>4282</v>
      </c>
    </row>
    <row r="263" spans="2:3">
      <c r="B263" t="s">
        <v>5395</v>
      </c>
      <c r="C263" t="s">
        <v>4284</v>
      </c>
    </row>
    <row r="264" spans="2:3">
      <c r="B264" t="s">
        <v>118</v>
      </c>
      <c r="C264" t="s">
        <v>4283</v>
      </c>
    </row>
    <row r="265" spans="2:3">
      <c r="B265" t="s">
        <v>5393</v>
      </c>
      <c r="C265" t="s">
        <v>5394</v>
      </c>
    </row>
    <row r="266" spans="2:3">
      <c r="B266" t="s">
        <v>117</v>
      </c>
      <c r="C266" t="s">
        <v>4284</v>
      </c>
    </row>
    <row r="267" spans="2:3">
      <c r="B267" t="s">
        <v>3542</v>
      </c>
      <c r="C267" t="s">
        <v>4277</v>
      </c>
    </row>
    <row r="268" spans="2:3">
      <c r="B268" t="s">
        <v>4008</v>
      </c>
      <c r="C268" s="972" t="s">
        <v>4287</v>
      </c>
    </row>
    <row r="269" spans="2:3">
      <c r="B269" t="s">
        <v>4007</v>
      </c>
      <c r="C269" s="972" t="s">
        <v>4286</v>
      </c>
    </row>
    <row r="270" spans="2:3">
      <c r="B270" t="s">
        <v>1</v>
      </c>
      <c r="C270" s="972" t="s">
        <v>4288</v>
      </c>
    </row>
    <row r="271" spans="2:3">
      <c r="B271" t="s">
        <v>110</v>
      </c>
      <c r="C271" s="972" t="s">
        <v>4289</v>
      </c>
    </row>
    <row r="272" spans="2:3">
      <c r="B272" t="s">
        <v>3960</v>
      </c>
      <c r="C272" s="972" t="s">
        <v>4290</v>
      </c>
    </row>
    <row r="273" spans="2:3">
      <c r="B273" t="s">
        <v>2093</v>
      </c>
      <c r="C273" s="972" t="s">
        <v>4285</v>
      </c>
    </row>
    <row r="274" spans="2:3">
      <c r="B274" t="s">
        <v>2170</v>
      </c>
      <c r="C274" s="972" t="s">
        <v>4291</v>
      </c>
    </row>
    <row r="275" spans="2:3">
      <c r="B275" t="s">
        <v>41</v>
      </c>
      <c r="C275" t="s">
        <v>4292</v>
      </c>
    </row>
    <row r="276" spans="2:3">
      <c r="B276" t="s">
        <v>2201</v>
      </c>
      <c r="C276" s="972" t="s">
        <v>4293</v>
      </c>
    </row>
    <row r="277" spans="2:3">
      <c r="B277" t="s">
        <v>566</v>
      </c>
      <c r="C277" s="972" t="s">
        <v>4294</v>
      </c>
    </row>
    <row r="278" spans="2:3">
      <c r="B278" t="s">
        <v>383</v>
      </c>
      <c r="C278" s="972" t="s">
        <v>4643</v>
      </c>
    </row>
    <row r="279" spans="2:3">
      <c r="B279" t="s">
        <v>408</v>
      </c>
      <c r="C279" t="s">
        <v>4295</v>
      </c>
    </row>
    <row r="280" spans="2:3">
      <c r="B280" t="s">
        <v>224</v>
      </c>
      <c r="C280" s="972" t="s">
        <v>4296</v>
      </c>
    </row>
    <row r="281" spans="2:3">
      <c r="B281" t="s">
        <v>615</v>
      </c>
      <c r="C281" s="972" t="s">
        <v>4297</v>
      </c>
    </row>
    <row r="282" spans="2:3">
      <c r="B282" t="s">
        <v>653</v>
      </c>
      <c r="C282" s="972" t="s">
        <v>4298</v>
      </c>
    </row>
    <row r="283" spans="2:3">
      <c r="B283" t="s">
        <v>661</v>
      </c>
      <c r="C283" s="972" t="s">
        <v>4299</v>
      </c>
    </row>
    <row r="284" spans="2:3">
      <c r="B284" t="s">
        <v>474</v>
      </c>
      <c r="C284" s="972" t="s">
        <v>4300</v>
      </c>
    </row>
    <row r="285" spans="2:3">
      <c r="B285" t="s">
        <v>362</v>
      </c>
      <c r="C285" s="972" t="s">
        <v>4301</v>
      </c>
    </row>
    <row r="286" spans="2:3">
      <c r="B286" t="s">
        <v>3455</v>
      </c>
      <c r="C286" s="972" t="s">
        <v>4302</v>
      </c>
    </row>
    <row r="287" spans="2:3">
      <c r="B287" t="s">
        <v>459</v>
      </c>
      <c r="C287" s="972" t="s">
        <v>4303</v>
      </c>
    </row>
    <row r="288" spans="2:3">
      <c r="B288" t="s">
        <v>319</v>
      </c>
      <c r="C288" t="s">
        <v>4304</v>
      </c>
    </row>
    <row r="289" spans="2:3">
      <c r="B289" t="s">
        <v>3569</v>
      </c>
      <c r="C289" s="972" t="s">
        <v>4305</v>
      </c>
    </row>
    <row r="290" spans="2:3">
      <c r="B290" t="s">
        <v>3570</v>
      </c>
      <c r="C290" s="972" t="s">
        <v>4306</v>
      </c>
    </row>
    <row r="291" spans="2:3">
      <c r="B291" t="s">
        <v>730</v>
      </c>
      <c r="C291" s="972" t="s">
        <v>4305</v>
      </c>
    </row>
    <row r="292" spans="2:3">
      <c r="B292" t="s">
        <v>3994</v>
      </c>
      <c r="C292" s="972" t="s">
        <v>4307</v>
      </c>
    </row>
    <row r="293" spans="2:3">
      <c r="B293" t="s">
        <v>340</v>
      </c>
      <c r="C293" s="972" t="s">
        <v>4308</v>
      </c>
    </row>
    <row r="294" spans="2:3">
      <c r="B294" t="s">
        <v>460</v>
      </c>
      <c r="C294" s="972" t="s">
        <v>4309</v>
      </c>
    </row>
    <row r="295" spans="2:3">
      <c r="B295" t="s">
        <v>742</v>
      </c>
      <c r="C295" s="972" t="s">
        <v>4310</v>
      </c>
    </row>
    <row r="296" spans="2:3">
      <c r="B296" t="s">
        <v>465</v>
      </c>
      <c r="C296" s="972" t="s">
        <v>4311</v>
      </c>
    </row>
    <row r="297" spans="2:3">
      <c r="B297" t="s">
        <v>652</v>
      </c>
      <c r="C297" s="972" t="s">
        <v>4312</v>
      </c>
    </row>
    <row r="298" spans="2:3">
      <c r="B298" t="s">
        <v>133</v>
      </c>
      <c r="C298" s="972" t="s">
        <v>4313</v>
      </c>
    </row>
    <row r="299" spans="2:3">
      <c r="B299" t="s">
        <v>55</v>
      </c>
      <c r="C299" s="972" t="s">
        <v>4314</v>
      </c>
    </row>
    <row r="300" spans="2:3">
      <c r="B300" t="s">
        <v>40</v>
      </c>
      <c r="C300" t="s">
        <v>4315</v>
      </c>
    </row>
    <row r="301" spans="2:3">
      <c r="B301" t="s">
        <v>2149</v>
      </c>
      <c r="C301" s="972" t="s">
        <v>4316</v>
      </c>
    </row>
    <row r="302" spans="2:3">
      <c r="B302" t="s">
        <v>2148</v>
      </c>
      <c r="C302" s="972" t="s">
        <v>4317</v>
      </c>
    </row>
    <row r="303" spans="2:3">
      <c r="B303" t="s">
        <v>641</v>
      </c>
      <c r="C303" s="972" t="s">
        <v>4318</v>
      </c>
    </row>
    <row r="304" spans="2:3">
      <c r="B304" t="s">
        <v>39</v>
      </c>
      <c r="C304" s="972" t="s">
        <v>4319</v>
      </c>
    </row>
    <row r="305" spans="2:3">
      <c r="B305" t="s">
        <v>2135</v>
      </c>
      <c r="C305" s="972" t="s">
        <v>4320</v>
      </c>
    </row>
    <row r="306" spans="2:3">
      <c r="B306" t="s">
        <v>2</v>
      </c>
      <c r="C306" s="972" t="s">
        <v>4321</v>
      </c>
    </row>
    <row r="307" spans="2:3">
      <c r="B307" t="s">
        <v>629</v>
      </c>
      <c r="C307" t="s">
        <v>4322</v>
      </c>
    </row>
    <row r="308" spans="2:3">
      <c r="B308" t="s">
        <v>2147</v>
      </c>
      <c r="C308" s="972" t="s">
        <v>4324</v>
      </c>
    </row>
    <row r="309" spans="2:3">
      <c r="B309" t="s">
        <v>2146</v>
      </c>
      <c r="C309" s="972" t="s">
        <v>4323</v>
      </c>
    </row>
    <row r="310" spans="2:3">
      <c r="B310" t="s">
        <v>4068</v>
      </c>
      <c r="C310" s="972" t="s">
        <v>4325</v>
      </c>
    </row>
    <row r="311" spans="2:3">
      <c r="B311" t="s">
        <v>2165</v>
      </c>
      <c r="C311" s="972" t="s">
        <v>4326</v>
      </c>
    </row>
    <row r="312" spans="2:3">
      <c r="B312" t="s">
        <v>292</v>
      </c>
      <c r="C312" s="972" t="s">
        <v>4327</v>
      </c>
    </row>
    <row r="313" spans="2:3">
      <c r="B313" t="s">
        <v>3609</v>
      </c>
    </row>
    <row r="314" spans="2:3">
      <c r="B314" t="s">
        <v>715</v>
      </c>
      <c r="C314" s="972" t="s">
        <v>4328</v>
      </c>
    </row>
    <row r="315" spans="2:3">
      <c r="B315" t="s">
        <v>151</v>
      </c>
      <c r="C315" s="972" t="s">
        <v>4329</v>
      </c>
    </row>
    <row r="316" spans="2:3">
      <c r="B316" t="s">
        <v>161</v>
      </c>
      <c r="C316" s="972" t="s">
        <v>4922</v>
      </c>
    </row>
    <row r="317" spans="2:3">
      <c r="B317" t="s">
        <v>419</v>
      </c>
      <c r="C317" s="972" t="s">
        <v>419</v>
      </c>
    </row>
    <row r="318" spans="2:3">
      <c r="B318" t="s">
        <v>433</v>
      </c>
      <c r="C318" s="972" t="s">
        <v>4330</v>
      </c>
    </row>
    <row r="319" spans="2:3">
      <c r="B319" t="s">
        <v>57</v>
      </c>
      <c r="C319" s="972" t="s">
        <v>4331</v>
      </c>
    </row>
    <row r="320" spans="2:3">
      <c r="B320" t="s">
        <v>33</v>
      </c>
      <c r="C320" s="972" t="s">
        <v>4332</v>
      </c>
    </row>
    <row r="321" spans="2:3">
      <c r="B321" t="s">
        <v>586</v>
      </c>
      <c r="C321" t="s">
        <v>4333</v>
      </c>
    </row>
    <row r="322" spans="2:3">
      <c r="B322" t="s">
        <v>746</v>
      </c>
      <c r="C322" s="972" t="s">
        <v>4334</v>
      </c>
    </row>
    <row r="323" spans="2:3">
      <c r="B323" t="s">
        <v>591</v>
      </c>
      <c r="C323" t="s">
        <v>4335</v>
      </c>
    </row>
    <row r="324" spans="2:3">
      <c r="B324" t="s">
        <v>70</v>
      </c>
      <c r="C324" s="972" t="s">
        <v>4336</v>
      </c>
    </row>
    <row r="325" spans="2:3">
      <c r="B325" t="s">
        <v>345</v>
      </c>
      <c r="C325" s="972" t="s">
        <v>4337</v>
      </c>
    </row>
    <row r="326" spans="2:3">
      <c r="B326" t="s">
        <v>134</v>
      </c>
      <c r="C326" s="972" t="s">
        <v>4338</v>
      </c>
    </row>
    <row r="327" spans="2:3">
      <c r="B327" t="s">
        <v>2245</v>
      </c>
      <c r="C327" s="972" t="s">
        <v>4339</v>
      </c>
    </row>
    <row r="328" spans="2:3">
      <c r="B328" t="s">
        <v>2083</v>
      </c>
      <c r="C328" s="972" t="s">
        <v>4340</v>
      </c>
    </row>
    <row r="329" spans="2:3">
      <c r="B329" t="s">
        <v>3471</v>
      </c>
      <c r="C329" s="972" t="s">
        <v>4341</v>
      </c>
    </row>
    <row r="330" spans="2:3">
      <c r="B330" t="s">
        <v>3510</v>
      </c>
      <c r="C330" s="972" t="s">
        <v>4342</v>
      </c>
    </row>
    <row r="331" spans="2:3">
      <c r="B331" t="s">
        <v>5216</v>
      </c>
      <c r="C331" s="972" t="s">
        <v>5217</v>
      </c>
    </row>
    <row r="332" spans="2:3">
      <c r="B332" t="s">
        <v>5218</v>
      </c>
      <c r="C332" s="972" t="s">
        <v>5219</v>
      </c>
    </row>
    <row r="333" spans="2:3">
      <c r="B333" t="s">
        <v>5222</v>
      </c>
      <c r="C333" s="972" t="s">
        <v>5223</v>
      </c>
    </row>
    <row r="334" spans="2:3">
      <c r="B334" t="s">
        <v>5224</v>
      </c>
      <c r="C334" s="972" t="s">
        <v>5225</v>
      </c>
    </row>
    <row r="335" spans="2:3">
      <c r="B335" t="s">
        <v>5220</v>
      </c>
      <c r="C335" s="972" t="s">
        <v>5221</v>
      </c>
    </row>
    <row r="336" spans="2:3">
      <c r="B336" t="s">
        <v>5226</v>
      </c>
      <c r="C336" s="972" t="s">
        <v>5228</v>
      </c>
    </row>
    <row r="337" spans="2:3">
      <c r="B337" t="s">
        <v>5229</v>
      </c>
      <c r="C337" s="972" t="s">
        <v>5227</v>
      </c>
    </row>
    <row r="338" spans="2:3">
      <c r="B338" t="s">
        <v>3499</v>
      </c>
      <c r="C338" s="972" t="s">
        <v>4538</v>
      </c>
    </row>
    <row r="339" spans="2:3">
      <c r="B339" t="s">
        <v>3607</v>
      </c>
      <c r="C339" s="972" t="s">
        <v>4343</v>
      </c>
    </row>
    <row r="340" spans="2:3">
      <c r="B340" t="s">
        <v>2109</v>
      </c>
      <c r="C340" s="972" t="s">
        <v>4337</v>
      </c>
    </row>
    <row r="341" spans="2:3">
      <c r="B341" t="s">
        <v>2110</v>
      </c>
      <c r="C341" s="972" t="s">
        <v>4337</v>
      </c>
    </row>
    <row r="342" spans="2:3">
      <c r="B342" t="s">
        <v>107</v>
      </c>
      <c r="C342" t="s">
        <v>4344</v>
      </c>
    </row>
    <row r="343" spans="2:3">
      <c r="B343" t="s">
        <v>3995</v>
      </c>
      <c r="C343" s="972" t="s">
        <v>4345</v>
      </c>
    </row>
    <row r="344" spans="2:3">
      <c r="B344" t="s">
        <v>3605</v>
      </c>
    </row>
    <row r="345" spans="2:3">
      <c r="B345" t="s">
        <v>594</v>
      </c>
      <c r="C345" s="972" t="s">
        <v>4346</v>
      </c>
    </row>
    <row r="346" spans="2:3">
      <c r="B346" t="s">
        <v>2025</v>
      </c>
      <c r="C346" s="972" t="s">
        <v>4347</v>
      </c>
    </row>
    <row r="347" spans="2:3">
      <c r="B347" t="s">
        <v>3619</v>
      </c>
      <c r="C347" s="972" t="s">
        <v>4348</v>
      </c>
    </row>
    <row r="348" spans="2:3">
      <c r="B348" t="s">
        <v>3548</v>
      </c>
      <c r="C348" s="972" t="s">
        <v>4349</v>
      </c>
    </row>
    <row r="349" spans="2:3">
      <c r="B349" t="s">
        <v>3917</v>
      </c>
      <c r="C349" t="s">
        <v>4350</v>
      </c>
    </row>
    <row r="350" spans="2:3">
      <c r="B350" t="s">
        <v>3920</v>
      </c>
      <c r="C350" t="s">
        <v>4351</v>
      </c>
    </row>
    <row r="351" spans="2:3">
      <c r="B351" t="s">
        <v>3825</v>
      </c>
      <c r="C351" t="s">
        <v>4352</v>
      </c>
    </row>
    <row r="352" spans="2:3">
      <c r="B352" t="s">
        <v>3826</v>
      </c>
      <c r="C352" t="s">
        <v>4353</v>
      </c>
    </row>
    <row r="353" spans="2:3">
      <c r="B353" t="s">
        <v>736</v>
      </c>
    </row>
    <row r="354" spans="2:3">
      <c r="B354" t="s">
        <v>320</v>
      </c>
    </row>
    <row r="355" spans="2:3">
      <c r="B355" t="s">
        <v>619</v>
      </c>
      <c r="C355" t="s">
        <v>4354</v>
      </c>
    </row>
    <row r="356" spans="2:3">
      <c r="B356" t="s">
        <v>325</v>
      </c>
      <c r="C356" t="s">
        <v>4355</v>
      </c>
    </row>
    <row r="357" spans="2:3">
      <c r="B357" t="s">
        <v>663</v>
      </c>
      <c r="C357" t="s">
        <v>4356</v>
      </c>
    </row>
    <row r="358" spans="2:3">
      <c r="B358" t="s">
        <v>20</v>
      </c>
      <c r="C358" t="s">
        <v>4357</v>
      </c>
    </row>
    <row r="359" spans="2:3">
      <c r="B359" t="s">
        <v>353</v>
      </c>
      <c r="C359" t="s">
        <v>4358</v>
      </c>
    </row>
    <row r="360" spans="2:3">
      <c r="B360" t="s">
        <v>143</v>
      </c>
      <c r="C360" t="s">
        <v>4359</v>
      </c>
    </row>
    <row r="361" spans="2:3">
      <c r="B361" t="s">
        <v>23</v>
      </c>
      <c r="C361" t="s">
        <v>4360</v>
      </c>
    </row>
    <row r="362" spans="2:3">
      <c r="B362" t="s">
        <v>2052</v>
      </c>
      <c r="C362" t="s">
        <v>4388</v>
      </c>
    </row>
    <row r="363" spans="2:3">
      <c r="B363" t="s">
        <v>719</v>
      </c>
    </row>
    <row r="364" spans="2:3">
      <c r="B364" t="s">
        <v>607</v>
      </c>
      <c r="C364" t="s">
        <v>4361</v>
      </c>
    </row>
    <row r="365" spans="2:3">
      <c r="B365" t="s">
        <v>63</v>
      </c>
      <c r="C365" t="s">
        <v>4362</v>
      </c>
    </row>
    <row r="366" spans="2:3">
      <c r="B366" t="s">
        <v>2159</v>
      </c>
      <c r="C366" s="972" t="s">
        <v>4908</v>
      </c>
    </row>
    <row r="367" spans="2:3">
      <c r="B367" t="s">
        <v>2203</v>
      </c>
      <c r="C367" t="s">
        <v>4363</v>
      </c>
    </row>
    <row r="368" spans="2:3">
      <c r="B368" t="s">
        <v>2068</v>
      </c>
      <c r="C368" t="s">
        <v>4364</v>
      </c>
    </row>
    <row r="369" spans="2:3">
      <c r="B369" s="972" t="s">
        <v>5235</v>
      </c>
      <c r="C369" s="972" t="s">
        <v>5236</v>
      </c>
    </row>
    <row r="370" spans="2:3">
      <c r="B370" s="972" t="s">
        <v>5237</v>
      </c>
      <c r="C370" s="972" t="s">
        <v>5238</v>
      </c>
    </row>
    <row r="371" spans="2:3">
      <c r="B371" s="972" t="s">
        <v>5239</v>
      </c>
      <c r="C371" s="972" t="s">
        <v>5240</v>
      </c>
    </row>
    <row r="372" spans="2:3">
      <c r="B372" s="972" t="s">
        <v>5241</v>
      </c>
      <c r="C372" s="972" t="s">
        <v>5242</v>
      </c>
    </row>
    <row r="373" spans="2:3">
      <c r="B373" s="972" t="s">
        <v>5243</v>
      </c>
      <c r="C373" s="972" t="s">
        <v>5244</v>
      </c>
    </row>
    <row r="374" spans="2:3">
      <c r="B374" s="972" t="s">
        <v>5245</v>
      </c>
      <c r="C374" s="972" t="s">
        <v>5246</v>
      </c>
    </row>
    <row r="375" spans="2:3">
      <c r="B375" s="972" t="s">
        <v>5248</v>
      </c>
      <c r="C375" s="972" t="s">
        <v>5247</v>
      </c>
    </row>
    <row r="376" spans="2:3">
      <c r="B376" t="s">
        <v>2168</v>
      </c>
      <c r="C376" t="s">
        <v>4365</v>
      </c>
    </row>
    <row r="377" spans="2:3">
      <c r="B377" t="s">
        <v>3626</v>
      </c>
      <c r="C377" t="s">
        <v>4366</v>
      </c>
    </row>
    <row r="378" spans="2:3">
      <c r="B378" t="s">
        <v>108</v>
      </c>
      <c r="C378" s="972" t="s">
        <v>4905</v>
      </c>
    </row>
    <row r="379" spans="2:3">
      <c r="B379" t="s">
        <v>3833</v>
      </c>
      <c r="C379" t="s">
        <v>4367</v>
      </c>
    </row>
    <row r="380" spans="2:3">
      <c r="B380" t="s">
        <v>342</v>
      </c>
      <c r="C380" t="s">
        <v>4368</v>
      </c>
    </row>
    <row r="381" spans="2:3">
      <c r="B381" t="s">
        <v>2199</v>
      </c>
      <c r="C381" t="s">
        <v>4369</v>
      </c>
    </row>
    <row r="382" spans="2:3">
      <c r="B382" t="s">
        <v>2064</v>
      </c>
      <c r="C382" t="s">
        <v>4370</v>
      </c>
    </row>
    <row r="383" spans="2:3">
      <c r="B383" t="s">
        <v>2063</v>
      </c>
      <c r="C383" t="s">
        <v>4371</v>
      </c>
    </row>
    <row r="384" spans="2:3">
      <c r="B384" t="s">
        <v>3524</v>
      </c>
      <c r="C384" t="s">
        <v>4372</v>
      </c>
    </row>
    <row r="385" spans="2:3">
      <c r="B385" t="s">
        <v>3464</v>
      </c>
      <c r="C385" t="s">
        <v>4373</v>
      </c>
    </row>
    <row r="386" spans="2:3">
      <c r="B386" t="s">
        <v>326</v>
      </c>
      <c r="C386" t="s">
        <v>4374</v>
      </c>
    </row>
    <row r="387" spans="2:3">
      <c r="B387" t="s">
        <v>327</v>
      </c>
      <c r="C387" t="s">
        <v>4375</v>
      </c>
    </row>
    <row r="388" spans="2:3">
      <c r="B388" t="s">
        <v>2060</v>
      </c>
      <c r="C388" t="s">
        <v>4376</v>
      </c>
    </row>
    <row r="389" spans="2:3">
      <c r="B389" t="s">
        <v>374</v>
      </c>
      <c r="C389" t="s">
        <v>4377</v>
      </c>
    </row>
    <row r="390" spans="2:3">
      <c r="B390" t="s">
        <v>3829</v>
      </c>
      <c r="C390" t="s">
        <v>4378</v>
      </c>
    </row>
    <row r="391" spans="2:3">
      <c r="B391" t="s">
        <v>3828</v>
      </c>
      <c r="C391" t="s">
        <v>4379</v>
      </c>
    </row>
    <row r="392" spans="2:3">
      <c r="B392" t="s">
        <v>185</v>
      </c>
      <c r="C392" t="s">
        <v>4380</v>
      </c>
    </row>
    <row r="393" spans="2:3">
      <c r="B393" t="s">
        <v>184</v>
      </c>
      <c r="C393" t="s">
        <v>4381</v>
      </c>
    </row>
    <row r="394" spans="2:3">
      <c r="B394" t="s">
        <v>2130</v>
      </c>
      <c r="C394" t="s">
        <v>4383</v>
      </c>
    </row>
    <row r="395" spans="2:3">
      <c r="B395" t="s">
        <v>8</v>
      </c>
      <c r="C395" t="s">
        <v>4382</v>
      </c>
    </row>
    <row r="396" spans="2:3">
      <c r="B396" t="s">
        <v>131</v>
      </c>
      <c r="C396" t="s">
        <v>4384</v>
      </c>
    </row>
    <row r="397" spans="2:3">
      <c r="B397" t="s">
        <v>3836</v>
      </c>
      <c r="C397" t="s">
        <v>4385</v>
      </c>
    </row>
    <row r="398" spans="2:3">
      <c r="B398" t="s">
        <v>227</v>
      </c>
      <c r="C398" t="s">
        <v>4525</v>
      </c>
    </row>
    <row r="399" spans="2:3">
      <c r="B399" t="s">
        <v>17</v>
      </c>
      <c r="C399" t="s">
        <v>4386</v>
      </c>
    </row>
    <row r="400" spans="2:3">
      <c r="B400" t="s">
        <v>132</v>
      </c>
      <c r="C400" t="s">
        <v>4387</v>
      </c>
    </row>
    <row r="401" spans="2:3">
      <c r="B401" t="s">
        <v>2247</v>
      </c>
      <c r="C401" t="s">
        <v>4389</v>
      </c>
    </row>
    <row r="402" spans="2:3">
      <c r="B402" t="s">
        <v>348</v>
      </c>
      <c r="C402" t="s">
        <v>4390</v>
      </c>
    </row>
    <row r="403" spans="2:3">
      <c r="B403" t="s">
        <v>3622</v>
      </c>
      <c r="C403" t="s">
        <v>4391</v>
      </c>
    </row>
    <row r="404" spans="2:3">
      <c r="B404" t="s">
        <v>666</v>
      </c>
      <c r="C404" t="s">
        <v>4392</v>
      </c>
    </row>
    <row r="405" spans="2:3">
      <c r="B405" t="s">
        <v>749</v>
      </c>
      <c r="C405" t="s">
        <v>4393</v>
      </c>
    </row>
    <row r="406" spans="2:3">
      <c r="B406" t="s">
        <v>712</v>
      </c>
      <c r="C406" t="s">
        <v>4394</v>
      </c>
    </row>
    <row r="407" spans="2:3">
      <c r="B407" t="s">
        <v>2065</v>
      </c>
      <c r="C407" t="s">
        <v>4395</v>
      </c>
    </row>
    <row r="408" spans="2:3">
      <c r="B408" t="s">
        <v>333</v>
      </c>
      <c r="C408" t="s">
        <v>4396</v>
      </c>
    </row>
    <row r="409" spans="2:3">
      <c r="B409" t="s">
        <v>3921</v>
      </c>
      <c r="C409" t="s">
        <v>4397</v>
      </c>
    </row>
    <row r="410" spans="2:3">
      <c r="B410" t="s">
        <v>2049</v>
      </c>
      <c r="C410" t="s">
        <v>4398</v>
      </c>
    </row>
    <row r="411" spans="2:3">
      <c r="B411" t="s">
        <v>164</v>
      </c>
      <c r="C411" t="s">
        <v>4399</v>
      </c>
    </row>
    <row r="412" spans="2:3">
      <c r="B412" t="s">
        <v>114</v>
      </c>
      <c r="C412" t="s">
        <v>4400</v>
      </c>
    </row>
    <row r="413" spans="2:3">
      <c r="B413" t="s">
        <v>162</v>
      </c>
      <c r="C413" t="s">
        <v>4401</v>
      </c>
    </row>
    <row r="414" spans="2:3">
      <c r="B414" t="s">
        <v>741</v>
      </c>
      <c r="C414" t="s">
        <v>4402</v>
      </c>
    </row>
    <row r="415" spans="2:3">
      <c r="B415" t="s">
        <v>3976</v>
      </c>
      <c r="C415" t="s">
        <v>4403</v>
      </c>
    </row>
    <row r="416" spans="2:3">
      <c r="B416" t="s">
        <v>728</v>
      </c>
      <c r="C416" t="s">
        <v>4405</v>
      </c>
    </row>
    <row r="417" spans="2:3">
      <c r="B417" t="s">
        <v>3</v>
      </c>
      <c r="C417" t="s">
        <v>4404</v>
      </c>
    </row>
    <row r="418" spans="2:3">
      <c r="B418" t="s">
        <v>5583</v>
      </c>
      <c r="C418" t="s">
        <v>5584</v>
      </c>
    </row>
    <row r="419" spans="2:3">
      <c r="B419" t="s">
        <v>370</v>
      </c>
      <c r="C419" t="s">
        <v>4406</v>
      </c>
    </row>
    <row r="420" spans="2:3">
      <c r="B420" t="s">
        <v>315</v>
      </c>
      <c r="C420" t="s">
        <v>4407</v>
      </c>
    </row>
    <row r="421" spans="2:3">
      <c r="B421" t="s">
        <v>875</v>
      </c>
      <c r="C421" t="s">
        <v>4408</v>
      </c>
    </row>
    <row r="422" spans="2:3">
      <c r="B422" t="s">
        <v>3835</v>
      </c>
      <c r="C422" t="s">
        <v>4409</v>
      </c>
    </row>
    <row r="423" spans="2:3">
      <c r="B423" t="s">
        <v>2198</v>
      </c>
      <c r="C423" t="s">
        <v>4410</v>
      </c>
    </row>
    <row r="424" spans="2:3">
      <c r="B424" t="s">
        <v>575</v>
      </c>
      <c r="C424" t="s">
        <v>4411</v>
      </c>
    </row>
    <row r="425" spans="2:3">
      <c r="B425" t="s">
        <v>658</v>
      </c>
      <c r="C425" t="s">
        <v>4412</v>
      </c>
    </row>
    <row r="426" spans="2:3">
      <c r="B426" t="s">
        <v>632</v>
      </c>
      <c r="C426" t="s">
        <v>4414</v>
      </c>
    </row>
    <row r="427" spans="2:3">
      <c r="B427" t="s">
        <v>631</v>
      </c>
      <c r="C427" t="s">
        <v>4413</v>
      </c>
    </row>
    <row r="428" spans="2:3">
      <c r="B428" t="s">
        <v>1733</v>
      </c>
      <c r="C428" t="s">
        <v>4415</v>
      </c>
    </row>
    <row r="429" spans="2:3">
      <c r="B429" t="s">
        <v>1182</v>
      </c>
      <c r="C429" t="s">
        <v>4416</v>
      </c>
    </row>
    <row r="430" spans="2:3">
      <c r="B430" t="s">
        <v>1248</v>
      </c>
      <c r="C430" t="s">
        <v>4417</v>
      </c>
    </row>
    <row r="431" spans="2:3">
      <c r="B431" t="s">
        <v>393</v>
      </c>
      <c r="C431" t="s">
        <v>4418</v>
      </c>
    </row>
    <row r="432" spans="2:3">
      <c r="B432" t="s">
        <v>1286</v>
      </c>
      <c r="C432" t="s">
        <v>4419</v>
      </c>
    </row>
    <row r="433" spans="2:3">
      <c r="B433" t="s">
        <v>1983</v>
      </c>
      <c r="C433" t="s">
        <v>4420</v>
      </c>
    </row>
    <row r="434" spans="2:3">
      <c r="B434" t="s">
        <v>1172</v>
      </c>
      <c r="C434" t="s">
        <v>4421</v>
      </c>
    </row>
    <row r="435" spans="2:3">
      <c r="B435" t="s">
        <v>618</v>
      </c>
      <c r="C435" t="s">
        <v>4422</v>
      </c>
    </row>
    <row r="436" spans="2:3">
      <c r="B436" t="s">
        <v>1992</v>
      </c>
      <c r="C436" t="s">
        <v>4423</v>
      </c>
    </row>
    <row r="437" spans="2:3">
      <c r="B437" t="s">
        <v>1404</v>
      </c>
      <c r="C437" t="s">
        <v>4424</v>
      </c>
    </row>
    <row r="438" spans="2:3">
      <c r="B438" t="s">
        <v>748</v>
      </c>
      <c r="C438" t="s">
        <v>4425</v>
      </c>
    </row>
    <row r="439" spans="2:3">
      <c r="B439" t="s">
        <v>1417</v>
      </c>
      <c r="C439" t="s">
        <v>4426</v>
      </c>
    </row>
    <row r="440" spans="2:3">
      <c r="B440" t="s">
        <v>1424</v>
      </c>
      <c r="C440" t="s">
        <v>4427</v>
      </c>
    </row>
    <row r="441" spans="2:3">
      <c r="B441" t="s">
        <v>1428</v>
      </c>
      <c r="C441" s="972" t="s">
        <v>4428</v>
      </c>
    </row>
    <row r="442" spans="2:3">
      <c r="B442" t="s">
        <v>1727</v>
      </c>
    </row>
    <row r="443" spans="2:3">
      <c r="B443" t="s">
        <v>1412</v>
      </c>
    </row>
    <row r="444" spans="2:3">
      <c r="B444" t="s">
        <v>449</v>
      </c>
    </row>
    <row r="445" spans="2:3">
      <c r="B445" t="s">
        <v>449</v>
      </c>
    </row>
    <row r="446" spans="2:3">
      <c r="B446" t="s">
        <v>449</v>
      </c>
    </row>
    <row r="447" spans="2:3">
      <c r="B447" t="s">
        <v>747</v>
      </c>
    </row>
    <row r="448" spans="2:3">
      <c r="B448" t="s">
        <v>2193</v>
      </c>
    </row>
    <row r="449" spans="2:3">
      <c r="B449" t="s">
        <v>620</v>
      </c>
    </row>
    <row r="450" spans="2:3">
      <c r="B450" t="s">
        <v>1980</v>
      </c>
    </row>
    <row r="451" spans="2:3">
      <c r="B451" t="s">
        <v>773</v>
      </c>
    </row>
    <row r="452" spans="2:3">
      <c r="B452" t="s">
        <v>780</v>
      </c>
    </row>
    <row r="453" spans="2:3">
      <c r="B453" t="s">
        <v>784</v>
      </c>
    </row>
    <row r="454" spans="2:3">
      <c r="B454" t="s">
        <v>294</v>
      </c>
    </row>
    <row r="455" spans="2:3">
      <c r="B455" t="s">
        <v>270</v>
      </c>
    </row>
    <row r="456" spans="2:3">
      <c r="B456" t="s">
        <v>272</v>
      </c>
    </row>
    <row r="457" spans="2:3">
      <c r="B457" t="s">
        <v>1501</v>
      </c>
    </row>
    <row r="458" spans="2:3">
      <c r="B458" t="s">
        <v>560</v>
      </c>
    </row>
    <row r="459" spans="2:3">
      <c r="B459" t="s">
        <v>553</v>
      </c>
      <c r="C459" t="s">
        <v>4641</v>
      </c>
    </row>
    <row r="460" spans="2:3">
      <c r="B460" t="s">
        <v>301</v>
      </c>
    </row>
    <row r="461" spans="2:3">
      <c r="B461" t="s">
        <v>269</v>
      </c>
    </row>
    <row r="462" spans="2:3">
      <c r="B462" t="s">
        <v>3468</v>
      </c>
    </row>
    <row r="463" spans="2:3">
      <c r="B463" t="s">
        <v>1396</v>
      </c>
    </row>
    <row r="464" spans="2:3">
      <c r="B464" t="s">
        <v>299</v>
      </c>
    </row>
    <row r="465" spans="2:2">
      <c r="B465" t="s">
        <v>1546</v>
      </c>
    </row>
    <row r="466" spans="2:2">
      <c r="B466" t="s">
        <v>1447</v>
      </c>
    </row>
    <row r="467" spans="2:2">
      <c r="B467" t="s">
        <v>1453</v>
      </c>
    </row>
    <row r="468" spans="2:2">
      <c r="B468" t="s">
        <v>890</v>
      </c>
    </row>
    <row r="469" spans="2:2">
      <c r="B469" t="s">
        <v>893</v>
      </c>
    </row>
    <row r="470" spans="2:2">
      <c r="B470" t="s">
        <v>365</v>
      </c>
    </row>
    <row r="471" spans="2:2">
      <c r="B471" t="s">
        <v>303</v>
      </c>
    </row>
    <row r="472" spans="2:2">
      <c r="B472" t="s">
        <v>1985</v>
      </c>
    </row>
    <row r="473" spans="2:2">
      <c r="B473" t="s">
        <v>422</v>
      </c>
    </row>
    <row r="474" spans="2:2">
      <c r="B474" t="s">
        <v>404</v>
      </c>
    </row>
    <row r="475" spans="2:2">
      <c r="B475" t="s">
        <v>1979</v>
      </c>
    </row>
    <row r="476" spans="2:2">
      <c r="B476" t="s">
        <v>439</v>
      </c>
    </row>
    <row r="477" spans="2:2">
      <c r="B477" t="s">
        <v>610</v>
      </c>
    </row>
    <row r="478" spans="2:2">
      <c r="B478" t="s">
        <v>1352</v>
      </c>
    </row>
    <row r="479" spans="2:2">
      <c r="B479" t="s">
        <v>1302</v>
      </c>
    </row>
    <row r="480" spans="2:2">
      <c r="B480" t="s">
        <v>1232</v>
      </c>
    </row>
    <row r="481" spans="2:3">
      <c r="B481" t="s">
        <v>295</v>
      </c>
    </row>
    <row r="482" spans="2:3">
      <c r="B482" t="s">
        <v>366</v>
      </c>
    </row>
    <row r="483" spans="2:3">
      <c r="B483" t="s">
        <v>296</v>
      </c>
    </row>
    <row r="484" spans="2:3">
      <c r="B484" t="s">
        <v>1559</v>
      </c>
    </row>
    <row r="485" spans="2:3">
      <c r="B485" t="s">
        <v>582</v>
      </c>
    </row>
    <row r="486" spans="2:3">
      <c r="B486" t="s">
        <v>1554</v>
      </c>
    </row>
    <row r="487" spans="2:3">
      <c r="B487" t="s">
        <v>576</v>
      </c>
    </row>
    <row r="488" spans="2:3">
      <c r="B488" t="s">
        <v>624</v>
      </c>
    </row>
    <row r="489" spans="2:3">
      <c r="B489" t="s">
        <v>368</v>
      </c>
    </row>
    <row r="490" spans="2:3">
      <c r="B490" t="s">
        <v>616</v>
      </c>
      <c r="C490" s="972" t="s">
        <v>4296</v>
      </c>
    </row>
    <row r="491" spans="2:3">
      <c r="B491" t="s">
        <v>3621</v>
      </c>
      <c r="C491" s="972" t="s">
        <v>4429</v>
      </c>
    </row>
    <row r="492" spans="2:3">
      <c r="B492" t="s">
        <v>3469</v>
      </c>
      <c r="C492" s="972" t="s">
        <v>4430</v>
      </c>
    </row>
    <row r="493" spans="2:3">
      <c r="B493" t="s">
        <v>339</v>
      </c>
      <c r="C493" s="972" t="s">
        <v>4431</v>
      </c>
    </row>
    <row r="494" spans="2:3">
      <c r="B494" t="s">
        <v>181</v>
      </c>
      <c r="C494" s="972" t="s">
        <v>4432</v>
      </c>
    </row>
    <row r="495" spans="2:3">
      <c r="B495" t="s">
        <v>308</v>
      </c>
      <c r="C495" s="972" t="s">
        <v>4433</v>
      </c>
    </row>
    <row r="496" spans="2:3">
      <c r="B496" t="s">
        <v>649</v>
      </c>
      <c r="C496" s="972" t="s">
        <v>4434</v>
      </c>
    </row>
    <row r="497" spans="2:3">
      <c r="B497" t="s">
        <v>665</v>
      </c>
      <c r="C497" s="972" t="s">
        <v>4435</v>
      </c>
    </row>
    <row r="498" spans="2:3">
      <c r="B498" t="s">
        <v>2024</v>
      </c>
      <c r="C498" s="972" t="s">
        <v>4436</v>
      </c>
    </row>
    <row r="499" spans="2:3">
      <c r="B499" t="s">
        <v>3457</v>
      </c>
      <c r="C499" s="972" t="s">
        <v>4437</v>
      </c>
    </row>
    <row r="500" spans="2:3">
      <c r="B500" t="s">
        <v>3458</v>
      </c>
      <c r="C500" s="972" t="s">
        <v>4438</v>
      </c>
    </row>
    <row r="501" spans="2:3">
      <c r="B501" t="s">
        <v>520</v>
      </c>
      <c r="C501" t="s">
        <v>4439</v>
      </c>
    </row>
    <row r="502" spans="2:3">
      <c r="B502" t="s">
        <v>581</v>
      </c>
      <c r="C502" t="s">
        <v>4074</v>
      </c>
    </row>
    <row r="503" spans="2:3">
      <c r="B503" t="s">
        <v>35</v>
      </c>
      <c r="C503" s="972" t="s">
        <v>4440</v>
      </c>
    </row>
    <row r="504" spans="2:3">
      <c r="B504" t="s">
        <v>3487</v>
      </c>
      <c r="C504" t="s">
        <v>4441</v>
      </c>
    </row>
    <row r="505" spans="2:3">
      <c r="B505" t="s">
        <v>642</v>
      </c>
      <c r="C505" t="s">
        <v>4442</v>
      </c>
    </row>
    <row r="506" spans="2:3">
      <c r="B506" t="s">
        <v>639</v>
      </c>
      <c r="C506" t="s">
        <v>4443</v>
      </c>
    </row>
    <row r="507" spans="2:3">
      <c r="B507" t="s">
        <v>640</v>
      </c>
      <c r="C507" t="s">
        <v>4444</v>
      </c>
    </row>
    <row r="508" spans="2:3">
      <c r="B508" t="s">
        <v>660</v>
      </c>
      <c r="C508" t="s">
        <v>4445</v>
      </c>
    </row>
    <row r="509" spans="2:3">
      <c r="B509" t="s">
        <v>360</v>
      </c>
      <c r="C509" t="s">
        <v>4446</v>
      </c>
    </row>
    <row r="510" spans="2:3">
      <c r="B510" t="s">
        <v>590</v>
      </c>
      <c r="C510" t="s">
        <v>4445</v>
      </c>
    </row>
    <row r="511" spans="2:3">
      <c r="B511" t="s">
        <v>589</v>
      </c>
      <c r="C511" t="s">
        <v>4447</v>
      </c>
    </row>
    <row r="512" spans="2:3">
      <c r="B512" t="s">
        <v>564</v>
      </c>
      <c r="C512" t="s">
        <v>4448</v>
      </c>
    </row>
    <row r="513" spans="2:3">
      <c r="B513" t="s">
        <v>2142</v>
      </c>
      <c r="C513" s="972" t="s">
        <v>4449</v>
      </c>
    </row>
    <row r="514" spans="2:3">
      <c r="B514" t="s">
        <v>667</v>
      </c>
      <c r="C514" s="972" t="s">
        <v>4450</v>
      </c>
    </row>
    <row r="515" spans="2:3">
      <c r="B515" t="s">
        <v>669</v>
      </c>
      <c r="C515" t="s">
        <v>4451</v>
      </c>
    </row>
    <row r="516" spans="2:3">
      <c r="B516" t="s">
        <v>3610</v>
      </c>
    </row>
    <row r="517" spans="2:3">
      <c r="B517" t="s">
        <v>2070</v>
      </c>
      <c r="C517" s="972" t="s">
        <v>4452</v>
      </c>
    </row>
    <row r="518" spans="2:3">
      <c r="B518" t="s">
        <v>2067</v>
      </c>
      <c r="C518" s="972" t="s">
        <v>4453</v>
      </c>
    </row>
    <row r="519" spans="2:3">
      <c r="B519" t="s">
        <v>2061</v>
      </c>
      <c r="C519" s="972" t="s">
        <v>4454</v>
      </c>
    </row>
    <row r="520" spans="2:3">
      <c r="B520" s="1494" t="s">
        <v>5587</v>
      </c>
      <c r="C520" s="1494" t="s">
        <v>5685</v>
      </c>
    </row>
    <row r="521" spans="2:3">
      <c r="B521" t="s">
        <v>2021</v>
      </c>
      <c r="C521" s="972" t="s">
        <v>4455</v>
      </c>
    </row>
    <row r="522" spans="2:3">
      <c r="B522" t="s">
        <v>358</v>
      </c>
      <c r="C522" s="972" t="s">
        <v>4456</v>
      </c>
    </row>
    <row r="523" spans="2:3">
      <c r="B523" t="s">
        <v>361</v>
      </c>
      <c r="C523" s="972" t="s">
        <v>4457</v>
      </c>
    </row>
    <row r="524" spans="2:3">
      <c r="B524" t="s">
        <v>668</v>
      </c>
      <c r="C524" s="972" t="s">
        <v>4458</v>
      </c>
    </row>
    <row r="525" spans="2:3">
      <c r="B525" t="s">
        <v>2229</v>
      </c>
      <c r="C525" s="972" t="s">
        <v>4459</v>
      </c>
    </row>
    <row r="526" spans="2:3">
      <c r="B526" t="s">
        <v>51</v>
      </c>
      <c r="C526" s="972" t="s">
        <v>4460</v>
      </c>
    </row>
    <row r="527" spans="2:3">
      <c r="B527" t="s">
        <v>2154</v>
      </c>
      <c r="C527" s="972" t="s">
        <v>4461</v>
      </c>
    </row>
    <row r="528" spans="2:3">
      <c r="B528" t="s">
        <v>2152</v>
      </c>
      <c r="C528" s="972" t="s">
        <v>4462</v>
      </c>
    </row>
    <row r="529" spans="2:3">
      <c r="B529" t="s">
        <v>2155</v>
      </c>
      <c r="C529" s="972" t="s">
        <v>4463</v>
      </c>
    </row>
    <row r="530" spans="2:3">
      <c r="B530" t="s">
        <v>2157</v>
      </c>
      <c r="C530" s="972" t="s">
        <v>4464</v>
      </c>
    </row>
    <row r="531" spans="2:3">
      <c r="B531" t="s">
        <v>2153</v>
      </c>
      <c r="C531" s="972" t="s">
        <v>4465</v>
      </c>
    </row>
    <row r="532" spans="2:3">
      <c r="B532" t="s">
        <v>2156</v>
      </c>
      <c r="C532" s="972" t="s">
        <v>4466</v>
      </c>
    </row>
    <row r="533" spans="2:3">
      <c r="B533" t="s">
        <v>676</v>
      </c>
      <c r="C533" s="972" t="s">
        <v>4467</v>
      </c>
    </row>
    <row r="534" spans="2:3">
      <c r="B534" t="s">
        <v>675</v>
      </c>
      <c r="C534" s="972" t="s">
        <v>4468</v>
      </c>
    </row>
    <row r="535" spans="2:3">
      <c r="B535" t="s">
        <v>511</v>
      </c>
      <c r="C535" s="972" t="s">
        <v>4471</v>
      </c>
    </row>
    <row r="536" spans="2:3">
      <c r="B536" t="s">
        <v>512</v>
      </c>
      <c r="C536" s="972" t="s">
        <v>4469</v>
      </c>
    </row>
    <row r="537" spans="2:3">
      <c r="B537" t="s">
        <v>510</v>
      </c>
      <c r="C537" s="972" t="s">
        <v>4470</v>
      </c>
    </row>
    <row r="538" spans="2:3">
      <c r="B538" t="s">
        <v>2066</v>
      </c>
      <c r="C538" s="972" t="s">
        <v>4472</v>
      </c>
    </row>
    <row r="539" spans="2:3">
      <c r="B539" t="s">
        <v>509</v>
      </c>
      <c r="C539" s="972" t="s">
        <v>4473</v>
      </c>
    </row>
    <row r="540" spans="2:3">
      <c r="B540" t="s">
        <v>949</v>
      </c>
    </row>
    <row r="541" spans="2:3">
      <c r="B541" t="s">
        <v>923</v>
      </c>
    </row>
    <row r="542" spans="2:3">
      <c r="B542" t="s">
        <v>916</v>
      </c>
    </row>
    <row r="543" spans="2:3">
      <c r="B543" t="s">
        <v>921</v>
      </c>
    </row>
    <row r="544" spans="2:3">
      <c r="B544" t="s">
        <v>962</v>
      </c>
    </row>
    <row r="545" spans="2:3">
      <c r="B545" t="s">
        <v>1981</v>
      </c>
    </row>
    <row r="546" spans="2:3">
      <c r="B546" t="s">
        <v>911</v>
      </c>
    </row>
    <row r="547" spans="2:3">
      <c r="B547" t="s">
        <v>1678</v>
      </c>
    </row>
    <row r="548" spans="2:3">
      <c r="B548" t="s">
        <v>1680</v>
      </c>
    </row>
    <row r="549" spans="2:3">
      <c r="B549" t="s">
        <v>3480</v>
      </c>
      <c r="C549" s="972" t="s">
        <v>4474</v>
      </c>
    </row>
    <row r="550" spans="2:3">
      <c r="B550" t="s">
        <v>349</v>
      </c>
    </row>
    <row r="551" spans="2:3">
      <c r="B551" t="s">
        <v>426</v>
      </c>
    </row>
    <row r="552" spans="2:3">
      <c r="B552" t="s">
        <v>363</v>
      </c>
      <c r="C552" t="s">
        <v>4475</v>
      </c>
    </row>
    <row r="553" spans="2:3">
      <c r="B553" t="s">
        <v>605</v>
      </c>
      <c r="C553" t="s">
        <v>4476</v>
      </c>
    </row>
    <row r="554" spans="2:3">
      <c r="B554" t="s">
        <v>364</v>
      </c>
      <c r="C554" t="s">
        <v>4477</v>
      </c>
    </row>
    <row r="555" spans="2:3">
      <c r="B555" t="s">
        <v>559</v>
      </c>
      <c r="C555" t="s">
        <v>4478</v>
      </c>
    </row>
    <row r="556" spans="2:3">
      <c r="B556" t="s">
        <v>3547</v>
      </c>
      <c r="C556" t="s">
        <v>4479</v>
      </c>
    </row>
    <row r="557" spans="2:3">
      <c r="B557" t="s">
        <v>683</v>
      </c>
      <c r="C557" s="972" t="s">
        <v>4480</v>
      </c>
    </row>
    <row r="558" spans="2:3">
      <c r="B558" t="s">
        <v>122</v>
      </c>
      <c r="C558" s="972" t="s">
        <v>4481</v>
      </c>
    </row>
    <row r="559" spans="2:3">
      <c r="B559" t="s">
        <v>434</v>
      </c>
      <c r="C559" t="s">
        <v>4482</v>
      </c>
    </row>
    <row r="560" spans="2:3">
      <c r="B560" t="s">
        <v>739</v>
      </c>
      <c r="C560" t="s">
        <v>4483</v>
      </c>
    </row>
    <row r="561" spans="2:3">
      <c r="B561" t="s">
        <v>3600</v>
      </c>
    </row>
    <row r="562" spans="2:3">
      <c r="B562" t="s">
        <v>3599</v>
      </c>
    </row>
    <row r="563" spans="2:3">
      <c r="B563" t="s">
        <v>3924</v>
      </c>
      <c r="C563" s="972" t="s">
        <v>4484</v>
      </c>
    </row>
    <row r="564" spans="2:3">
      <c r="B564" t="s">
        <v>2227</v>
      </c>
      <c r="C564" s="972" t="s">
        <v>4903</v>
      </c>
    </row>
    <row r="565" spans="2:3">
      <c r="B565" t="s">
        <v>561</v>
      </c>
    </row>
    <row r="566" spans="2:3">
      <c r="B566" t="s">
        <v>556</v>
      </c>
    </row>
    <row r="567" spans="2:3">
      <c r="B567" t="s">
        <v>718</v>
      </c>
      <c r="C567" s="972" t="s">
        <v>4485</v>
      </c>
    </row>
    <row r="568" spans="2:3">
      <c r="B568" s="972" t="s">
        <v>5165</v>
      </c>
      <c r="C568" s="972" t="s">
        <v>5166</v>
      </c>
    </row>
    <row r="569" spans="2:3">
      <c r="B569" s="972" t="s">
        <v>5176</v>
      </c>
      <c r="C569" s="972" t="s">
        <v>5177</v>
      </c>
    </row>
    <row r="570" spans="2:3">
      <c r="B570" t="s">
        <v>595</v>
      </c>
      <c r="C570" t="s">
        <v>4486</v>
      </c>
    </row>
    <row r="571" spans="2:3">
      <c r="B571" t="s">
        <v>3490</v>
      </c>
      <c r="C571" s="972" t="s">
        <v>4539</v>
      </c>
    </row>
    <row r="572" spans="2:3">
      <c r="B572" t="s">
        <v>2071</v>
      </c>
      <c r="C572" s="972" t="s">
        <v>4540</v>
      </c>
    </row>
    <row r="573" spans="2:3">
      <c r="B573" t="s">
        <v>3482</v>
      </c>
      <c r="C573" s="972" t="s">
        <v>4487</v>
      </c>
    </row>
    <row r="574" spans="2:3">
      <c r="B574" t="s">
        <v>3483</v>
      </c>
      <c r="C574" s="972" t="s">
        <v>4541</v>
      </c>
    </row>
    <row r="575" spans="2:3">
      <c r="B575" t="s">
        <v>585</v>
      </c>
      <c r="C575" s="972" t="s">
        <v>4488</v>
      </c>
    </row>
    <row r="576" spans="2:3">
      <c r="B576" t="s">
        <v>677</v>
      </c>
      <c r="C576" t="s">
        <v>4489</v>
      </c>
    </row>
    <row r="577" spans="2:3">
      <c r="B577" t="s">
        <v>2104</v>
      </c>
      <c r="C577" s="972" t="s">
        <v>4490</v>
      </c>
    </row>
    <row r="578" spans="2:3">
      <c r="B578" t="s">
        <v>2105</v>
      </c>
      <c r="C578" s="972" t="s">
        <v>4491</v>
      </c>
    </row>
    <row r="579" spans="2:3">
      <c r="B579" t="s">
        <v>165</v>
      </c>
      <c r="C579" s="972" t="s">
        <v>4492</v>
      </c>
    </row>
    <row r="580" spans="2:3">
      <c r="B580" t="s">
        <v>673</v>
      </c>
      <c r="C580" s="972" t="s">
        <v>4493</v>
      </c>
    </row>
    <row r="581" spans="2:3">
      <c r="B581" t="s">
        <v>3968</v>
      </c>
      <c r="C581" s="972" t="s">
        <v>4494</v>
      </c>
    </row>
    <row r="582" spans="2:3">
      <c r="B582" t="s">
        <v>3546</v>
      </c>
      <c r="C582" s="972" t="s">
        <v>4542</v>
      </c>
    </row>
    <row r="583" spans="2:3">
      <c r="B583" t="s">
        <v>3965</v>
      </c>
      <c r="C583" s="972" t="s">
        <v>4543</v>
      </c>
    </row>
    <row r="584" spans="2:3">
      <c r="B584" t="s">
        <v>3966</v>
      </c>
      <c r="C584" s="972" t="s">
        <v>4544</v>
      </c>
    </row>
    <row r="585" spans="2:3">
      <c r="B585" t="s">
        <v>3967</v>
      </c>
      <c r="C585" s="972" t="s">
        <v>4545</v>
      </c>
    </row>
    <row r="586" spans="2:3">
      <c r="B586" t="s">
        <v>3476</v>
      </c>
      <c r="C586" s="972" t="s">
        <v>4546</v>
      </c>
    </row>
    <row r="587" spans="2:3">
      <c r="B587" t="s">
        <v>226</v>
      </c>
      <c r="C587" s="972" t="s">
        <v>4547</v>
      </c>
    </row>
    <row r="588" spans="2:3">
      <c r="B588" t="s">
        <v>3463</v>
      </c>
      <c r="C588" s="972" t="s">
        <v>4548</v>
      </c>
    </row>
    <row r="589" spans="2:3">
      <c r="B589" t="s">
        <v>2150</v>
      </c>
      <c r="C589" s="972" t="s">
        <v>4495</v>
      </c>
    </row>
    <row r="590" spans="2:3">
      <c r="B590" t="s">
        <v>2062</v>
      </c>
      <c r="C590" s="972" t="s">
        <v>4496</v>
      </c>
    </row>
    <row r="591" spans="2:3">
      <c r="B591" t="s">
        <v>3498</v>
      </c>
      <c r="C591" s="972" t="s">
        <v>4549</v>
      </c>
    </row>
    <row r="592" spans="2:3">
      <c r="B592" t="s">
        <v>2179</v>
      </c>
      <c r="C592" s="972" t="s">
        <v>4497</v>
      </c>
    </row>
    <row r="593" spans="2:3">
      <c r="B593" t="s">
        <v>2220</v>
      </c>
      <c r="C593" s="972" t="s">
        <v>4498</v>
      </c>
    </row>
    <row r="594" spans="2:3">
      <c r="B594" t="s">
        <v>5086</v>
      </c>
      <c r="C594" s="972" t="s">
        <v>5088</v>
      </c>
    </row>
    <row r="595" spans="2:3">
      <c r="B595" t="s">
        <v>389</v>
      </c>
      <c r="C595" s="972" t="s">
        <v>4499</v>
      </c>
    </row>
    <row r="596" spans="2:3">
      <c r="B596" t="s">
        <v>3926</v>
      </c>
      <c r="C596" s="972" t="s">
        <v>4500</v>
      </c>
    </row>
    <row r="597" spans="2:3">
      <c r="B597" t="s">
        <v>182</v>
      </c>
      <c r="C597" s="972" t="s">
        <v>4501</v>
      </c>
    </row>
    <row r="598" spans="2:3">
      <c r="B598" t="s">
        <v>3616</v>
      </c>
      <c r="C598" s="972" t="s">
        <v>4502</v>
      </c>
    </row>
    <row r="599" spans="2:3">
      <c r="B599" t="s">
        <v>91</v>
      </c>
      <c r="C599" t="s">
        <v>91</v>
      </c>
    </row>
    <row r="600" spans="2:3">
      <c r="B600" t="s">
        <v>90</v>
      </c>
      <c r="C600" t="s">
        <v>90</v>
      </c>
    </row>
    <row r="601" spans="2:3">
      <c r="B601" t="s">
        <v>126</v>
      </c>
      <c r="C601" s="972" t="s">
        <v>4504</v>
      </c>
    </row>
    <row r="602" spans="2:3">
      <c r="B602" t="s">
        <v>596</v>
      </c>
      <c r="C602" s="972" t="s">
        <v>4503</v>
      </c>
    </row>
    <row r="603" spans="2:3">
      <c r="B603" t="s">
        <v>2123</v>
      </c>
      <c r="C603" s="972" t="s">
        <v>4505</v>
      </c>
    </row>
    <row r="604" spans="2:3">
      <c r="B604" t="s">
        <v>106</v>
      </c>
      <c r="C604" t="s">
        <v>4506</v>
      </c>
    </row>
    <row r="605" spans="2:3">
      <c r="B605" t="s">
        <v>2098</v>
      </c>
      <c r="C605" s="972" t="s">
        <v>4508</v>
      </c>
    </row>
    <row r="606" spans="2:3">
      <c r="B606" t="s">
        <v>141</v>
      </c>
      <c r="C606" t="s">
        <v>4507</v>
      </c>
    </row>
    <row r="607" spans="2:3">
      <c r="B607" t="s">
        <v>124</v>
      </c>
      <c r="C607" s="972" t="s">
        <v>4510</v>
      </c>
    </row>
    <row r="608" spans="2:3">
      <c r="B608" t="s">
        <v>322</v>
      </c>
      <c r="C608" s="972" t="s">
        <v>4511</v>
      </c>
    </row>
    <row r="609" spans="2:3">
      <c r="B609" t="s">
        <v>13</v>
      </c>
      <c r="C609" t="s">
        <v>4512</v>
      </c>
    </row>
    <row r="610" spans="2:3">
      <c r="B610" t="s">
        <v>3930</v>
      </c>
      <c r="C610" t="s">
        <v>4509</v>
      </c>
    </row>
    <row r="611" spans="2:3">
      <c r="B611" t="s">
        <v>3668</v>
      </c>
      <c r="C611" s="972" t="s">
        <v>4513</v>
      </c>
    </row>
    <row r="612" spans="2:3">
      <c r="B612" s="972" t="s">
        <v>5159</v>
      </c>
      <c r="C612" s="972" t="s">
        <v>5160</v>
      </c>
    </row>
    <row r="613" spans="2:3">
      <c r="B613" t="s">
        <v>2081</v>
      </c>
      <c r="C613" s="972" t="s">
        <v>4514</v>
      </c>
    </row>
    <row r="614" spans="2:3">
      <c r="B614" t="s">
        <v>5212</v>
      </c>
      <c r="C614" s="972" t="s">
        <v>4515</v>
      </c>
    </row>
    <row r="615" spans="2:3">
      <c r="B615" t="s">
        <v>5213</v>
      </c>
      <c r="C615" s="972" t="s">
        <v>5214</v>
      </c>
    </row>
    <row r="616" spans="2:3">
      <c r="B616" t="s">
        <v>3667</v>
      </c>
      <c r="C616" s="972" t="s">
        <v>4516</v>
      </c>
    </row>
    <row r="617" spans="2:3">
      <c r="B617" t="s">
        <v>2244</v>
      </c>
      <c r="C617" s="972" t="s">
        <v>4526</v>
      </c>
    </row>
    <row r="618" spans="2:3">
      <c r="B618" s="972" t="s">
        <v>5557</v>
      </c>
      <c r="C618" s="972" t="s">
        <v>5559</v>
      </c>
    </row>
    <row r="619" spans="2:3">
      <c r="B619" s="972" t="s">
        <v>5558</v>
      </c>
      <c r="C619" s="972" t="s">
        <v>5560</v>
      </c>
    </row>
    <row r="620" spans="2:3">
      <c r="B620" t="s">
        <v>2248</v>
      </c>
      <c r="C620" t="s">
        <v>4517</v>
      </c>
    </row>
    <row r="621" spans="2:3">
      <c r="B621" t="s">
        <v>722</v>
      </c>
      <c r="C621" s="972" t="s">
        <v>4518</v>
      </c>
    </row>
    <row r="622" spans="2:3">
      <c r="B622" t="s">
        <v>48</v>
      </c>
      <c r="C622" s="972" t="s">
        <v>4519</v>
      </c>
    </row>
    <row r="623" spans="2:3">
      <c r="B623" t="s">
        <v>432</v>
      </c>
      <c r="C623" s="972" t="s">
        <v>4520</v>
      </c>
    </row>
    <row r="624" spans="2:3">
      <c r="B624" t="s">
        <v>473</v>
      </c>
      <c r="C624" t="s">
        <v>4521</v>
      </c>
    </row>
    <row r="625" spans="2:3">
      <c r="B625" t="s">
        <v>617</v>
      </c>
      <c r="C625" s="972" t="s">
        <v>4522</v>
      </c>
    </row>
    <row r="626" spans="2:3">
      <c r="B626" t="s">
        <v>611</v>
      </c>
    </row>
    <row r="627" spans="2:3">
      <c r="B627" t="s">
        <v>634</v>
      </c>
      <c r="C627" s="972" t="s">
        <v>4523</v>
      </c>
    </row>
    <row r="628" spans="2:3">
      <c r="B628" t="s">
        <v>84</v>
      </c>
      <c r="C628" s="972" t="s">
        <v>4524</v>
      </c>
    </row>
    <row r="629" spans="2:3">
      <c r="B629" t="s">
        <v>3462</v>
      </c>
      <c r="C629" s="972" t="s">
        <v>4551</v>
      </c>
    </row>
    <row r="630" spans="2:3">
      <c r="B630" t="s">
        <v>3461</v>
      </c>
      <c r="C630" s="972" t="s">
        <v>4550</v>
      </c>
    </row>
    <row r="631" spans="2:3">
      <c r="B631" t="s">
        <v>646</v>
      </c>
      <c r="C631" s="972" t="s">
        <v>4552</v>
      </c>
    </row>
    <row r="632" spans="2:3">
      <c r="B632" t="s">
        <v>428</v>
      </c>
      <c r="C632" s="972" t="s">
        <v>4553</v>
      </c>
    </row>
    <row r="633" spans="2:3">
      <c r="B633" t="s">
        <v>174</v>
      </c>
      <c r="C633" s="972" t="s">
        <v>4554</v>
      </c>
    </row>
    <row r="634" spans="2:3">
      <c r="B634" t="s">
        <v>571</v>
      </c>
      <c r="C634" t="s">
        <v>4555</v>
      </c>
    </row>
    <row r="635" spans="2:3">
      <c r="B635" t="s">
        <v>2240</v>
      </c>
      <c r="C635" t="s">
        <v>4557</v>
      </c>
    </row>
    <row r="636" spans="2:3">
      <c r="B636" t="s">
        <v>2236</v>
      </c>
      <c r="C636" t="s">
        <v>4556</v>
      </c>
    </row>
    <row r="637" spans="2:3">
      <c r="B637" t="s">
        <v>563</v>
      </c>
      <c r="C637" t="s">
        <v>4558</v>
      </c>
    </row>
    <row r="638" spans="2:3">
      <c r="B638" t="s">
        <v>3978</v>
      </c>
      <c r="C638" t="s">
        <v>4559</v>
      </c>
    </row>
    <row r="639" spans="2:3">
      <c r="B639" t="s">
        <v>3979</v>
      </c>
      <c r="C639" t="s">
        <v>4560</v>
      </c>
    </row>
    <row r="640" spans="2:3">
      <c r="B640" t="s">
        <v>3494</v>
      </c>
      <c r="C640" t="s">
        <v>4561</v>
      </c>
    </row>
    <row r="641" spans="2:3">
      <c r="B641" t="s">
        <v>221</v>
      </c>
      <c r="C641" t="s">
        <v>4333</v>
      </c>
    </row>
    <row r="642" spans="2:3">
      <c r="B642" t="s">
        <v>2079</v>
      </c>
    </row>
    <row r="643" spans="2:3">
      <c r="B643" t="s">
        <v>431</v>
      </c>
      <c r="C643" t="s">
        <v>4562</v>
      </c>
    </row>
    <row r="644" spans="2:3">
      <c r="B644" t="s">
        <v>518</v>
      </c>
      <c r="C644" t="s">
        <v>4563</v>
      </c>
    </row>
    <row r="645" spans="2:3">
      <c r="B645" t="s">
        <v>562</v>
      </c>
      <c r="C645" t="s">
        <v>4564</v>
      </c>
    </row>
    <row r="646" spans="2:3">
      <c r="B646" t="s">
        <v>3980</v>
      </c>
      <c r="C646" t="s">
        <v>4565</v>
      </c>
    </row>
    <row r="647" spans="2:3">
      <c r="B647" t="s">
        <v>3981</v>
      </c>
      <c r="C647" t="s">
        <v>4566</v>
      </c>
    </row>
    <row r="648" spans="2:3">
      <c r="B648" t="s">
        <v>2173</v>
      </c>
      <c r="C648" t="s">
        <v>4567</v>
      </c>
    </row>
    <row r="649" spans="2:3">
      <c r="B649" t="s">
        <v>517</v>
      </c>
      <c r="C649" s="1044" t="s">
        <v>4570</v>
      </c>
    </row>
    <row r="650" spans="2:3">
      <c r="B650" t="s">
        <v>371</v>
      </c>
      <c r="C650" s="1044" t="s">
        <v>4571</v>
      </c>
    </row>
    <row r="651" spans="2:3">
      <c r="B651" t="s">
        <v>671</v>
      </c>
      <c r="C651" s="1044" t="s">
        <v>4568</v>
      </c>
    </row>
    <row r="652" spans="2:3">
      <c r="B652" t="s">
        <v>664</v>
      </c>
      <c r="C652" s="1044" t="s">
        <v>4569</v>
      </c>
    </row>
    <row r="653" spans="2:3">
      <c r="B653" t="s">
        <v>3598</v>
      </c>
    </row>
    <row r="654" spans="2:3">
      <c r="B654" t="s">
        <v>2250</v>
      </c>
    </row>
    <row r="655" spans="2:3">
      <c r="B655" t="s">
        <v>451</v>
      </c>
    </row>
    <row r="656" spans="2:3">
      <c r="B656" t="s">
        <v>3618</v>
      </c>
    </row>
    <row r="657" spans="2:3">
      <c r="B657" t="s">
        <v>369</v>
      </c>
    </row>
    <row r="658" spans="2:3">
      <c r="B658" t="s">
        <v>3990</v>
      </c>
      <c r="C658" t="s">
        <v>4572</v>
      </c>
    </row>
    <row r="659" spans="2:3">
      <c r="B659" t="s">
        <v>3988</v>
      </c>
      <c r="C659" t="s">
        <v>4573</v>
      </c>
    </row>
    <row r="660" spans="2:3">
      <c r="B660" t="s">
        <v>3612</v>
      </c>
      <c r="C660" t="s">
        <v>4574</v>
      </c>
    </row>
    <row r="661" spans="2:3">
      <c r="B661" t="s">
        <v>3611</v>
      </c>
      <c r="C661" t="s">
        <v>4575</v>
      </c>
    </row>
    <row r="662" spans="2:3">
      <c r="B662" t="s">
        <v>523</v>
      </c>
      <c r="C662" t="s">
        <v>4576</v>
      </c>
    </row>
    <row r="663" spans="2:3">
      <c r="B663" t="s">
        <v>516</v>
      </c>
      <c r="C663" t="s">
        <v>4577</v>
      </c>
    </row>
    <row r="664" spans="2:3">
      <c r="B664" t="s">
        <v>305</v>
      </c>
      <c r="C664" s="972" t="s">
        <v>4578</v>
      </c>
    </row>
    <row r="665" spans="2:3">
      <c r="B665" t="s">
        <v>171</v>
      </c>
      <c r="C665" s="972" t="s">
        <v>4579</v>
      </c>
    </row>
    <row r="666" spans="2:3">
      <c r="B666" t="s">
        <v>614</v>
      </c>
    </row>
    <row r="667" spans="2:3">
      <c r="B667" t="s">
        <v>1109</v>
      </c>
    </row>
    <row r="668" spans="2:3">
      <c r="B668" t="s">
        <v>83</v>
      </c>
      <c r="C668" t="s">
        <v>4580</v>
      </c>
    </row>
    <row r="669" spans="2:3">
      <c r="B669" t="s">
        <v>9</v>
      </c>
      <c r="C669" t="s">
        <v>4581</v>
      </c>
    </row>
    <row r="670" spans="2:3">
      <c r="B670" t="s">
        <v>2140</v>
      </c>
      <c r="C670" t="s">
        <v>4582</v>
      </c>
    </row>
    <row r="671" spans="2:3">
      <c r="B671" t="s">
        <v>6</v>
      </c>
      <c r="C671" t="s">
        <v>4583</v>
      </c>
    </row>
    <row r="672" spans="2:3">
      <c r="B672" t="s">
        <v>2172</v>
      </c>
      <c r="C672" t="s">
        <v>4584</v>
      </c>
    </row>
    <row r="673" spans="2:3">
      <c r="B673" t="s">
        <v>95</v>
      </c>
      <c r="C673" t="s">
        <v>4585</v>
      </c>
    </row>
    <row r="674" spans="2:3">
      <c r="B674" t="s">
        <v>96</v>
      </c>
      <c r="C674" t="s">
        <v>4586</v>
      </c>
    </row>
    <row r="675" spans="2:3">
      <c r="B675" t="s">
        <v>1160</v>
      </c>
    </row>
    <row r="676" spans="2:3">
      <c r="B676" t="s">
        <v>1226</v>
      </c>
    </row>
    <row r="677" spans="2:3">
      <c r="B677" t="s">
        <v>708</v>
      </c>
      <c r="C677" t="s">
        <v>4204</v>
      </c>
    </row>
    <row r="678" spans="2:3">
      <c r="B678" t="s">
        <v>3927</v>
      </c>
      <c r="C678" t="s">
        <v>4587</v>
      </c>
    </row>
    <row r="679" spans="2:3">
      <c r="B679" t="s">
        <v>636</v>
      </c>
      <c r="C679" t="s">
        <v>4588</v>
      </c>
    </row>
    <row r="680" spans="2:3">
      <c r="B680" t="s">
        <v>10</v>
      </c>
      <c r="C680" t="s">
        <v>4589</v>
      </c>
    </row>
    <row r="681" spans="2:3">
      <c r="B681" t="s">
        <v>3959</v>
      </c>
      <c r="C681" t="s">
        <v>4590</v>
      </c>
    </row>
    <row r="682" spans="2:3">
      <c r="B682" t="s">
        <v>1889</v>
      </c>
    </row>
    <row r="683" spans="2:3">
      <c r="B683" t="s">
        <v>139</v>
      </c>
      <c r="C683" t="s">
        <v>4591</v>
      </c>
    </row>
    <row r="684" spans="2:3">
      <c r="B684" t="s">
        <v>138</v>
      </c>
      <c r="C684" t="s">
        <v>4592</v>
      </c>
    </row>
    <row r="685" spans="2:3">
      <c r="B685" t="s">
        <v>98</v>
      </c>
      <c r="C685" t="s">
        <v>4593</v>
      </c>
    </row>
    <row r="686" spans="2:3">
      <c r="B686" t="s">
        <v>97</v>
      </c>
      <c r="C686" t="s">
        <v>4594</v>
      </c>
    </row>
    <row r="687" spans="2:3">
      <c r="B687" s="972" t="s">
        <v>5482</v>
      </c>
      <c r="C687" s="972" t="s">
        <v>5483</v>
      </c>
    </row>
    <row r="688" spans="2:3">
      <c r="B688" s="972" t="s">
        <v>5478</v>
      </c>
      <c r="C688" s="972" t="s">
        <v>5479</v>
      </c>
    </row>
    <row r="689" spans="2:3">
      <c r="B689" s="972" t="s">
        <v>5476</v>
      </c>
      <c r="C689" s="972" t="s">
        <v>5477</v>
      </c>
    </row>
    <row r="690" spans="2:3">
      <c r="B690" s="972" t="s">
        <v>5481</v>
      </c>
      <c r="C690" s="972" t="s">
        <v>5480</v>
      </c>
    </row>
    <row r="691" spans="2:3">
      <c r="B691" t="s">
        <v>429</v>
      </c>
      <c r="C691" t="s">
        <v>4595</v>
      </c>
    </row>
    <row r="692" spans="2:3">
      <c r="B692" t="s">
        <v>2221</v>
      </c>
      <c r="C692" t="s">
        <v>4596</v>
      </c>
    </row>
    <row r="693" spans="2:3">
      <c r="B693" t="s">
        <v>5087</v>
      </c>
      <c r="C693" s="972" t="s">
        <v>5089</v>
      </c>
    </row>
    <row r="694" spans="2:3">
      <c r="B694" t="s">
        <v>3837</v>
      </c>
      <c r="C694" t="s">
        <v>4597</v>
      </c>
    </row>
    <row r="695" spans="2:3">
      <c r="B695" t="s">
        <v>218</v>
      </c>
      <c r="C695" t="s">
        <v>4598</v>
      </c>
    </row>
    <row r="696" spans="2:3">
      <c r="B696" t="s">
        <v>217</v>
      </c>
      <c r="C696" t="s">
        <v>4599</v>
      </c>
    </row>
    <row r="697" spans="2:3">
      <c r="B697" t="s">
        <v>410</v>
      </c>
      <c r="C697" t="s">
        <v>4600</v>
      </c>
    </row>
    <row r="698" spans="2:3">
      <c r="B698" t="s">
        <v>2089</v>
      </c>
      <c r="C698" t="s">
        <v>4601</v>
      </c>
    </row>
    <row r="699" spans="2:3">
      <c r="B699" t="s">
        <v>625</v>
      </c>
      <c r="C699" t="s">
        <v>4602</v>
      </c>
    </row>
    <row r="700" spans="2:3">
      <c r="B700" t="s">
        <v>180</v>
      </c>
      <c r="C700" t="s">
        <v>4604</v>
      </c>
    </row>
    <row r="701" spans="2:3">
      <c r="B701" t="s">
        <v>228</v>
      </c>
      <c r="C701" t="s">
        <v>4605</v>
      </c>
    </row>
    <row r="702" spans="2:3">
      <c r="B702" t="s">
        <v>2231</v>
      </c>
      <c r="C702" t="s">
        <v>4606</v>
      </c>
    </row>
    <row r="703" spans="2:3">
      <c r="B703" t="s">
        <v>187</v>
      </c>
      <c r="C703" t="s">
        <v>4607</v>
      </c>
    </row>
    <row r="704" spans="2:3">
      <c r="B704" s="972" t="s">
        <v>5550</v>
      </c>
      <c r="C704" s="972" t="s">
        <v>5551</v>
      </c>
    </row>
    <row r="705" spans="2:3">
      <c r="B705" t="s">
        <v>109</v>
      </c>
      <c r="C705" t="s">
        <v>4603</v>
      </c>
    </row>
    <row r="706" spans="2:3">
      <c r="B706" t="s">
        <v>709</v>
      </c>
    </row>
    <row r="707" spans="2:3">
      <c r="B707" t="s">
        <v>119</v>
      </c>
      <c r="C707" t="s">
        <v>4608</v>
      </c>
    </row>
    <row r="708" spans="2:3">
      <c r="B708" t="s">
        <v>1098</v>
      </c>
    </row>
    <row r="709" spans="2:3">
      <c r="B709" t="s">
        <v>3497</v>
      </c>
      <c r="C709" t="s">
        <v>4609</v>
      </c>
    </row>
    <row r="710" spans="2:3">
      <c r="B710" t="s">
        <v>3492</v>
      </c>
      <c r="C710" t="s">
        <v>4610</v>
      </c>
    </row>
    <row r="711" spans="2:3">
      <c r="B711" s="972" t="s">
        <v>5155</v>
      </c>
      <c r="C711" s="972" t="s">
        <v>5156</v>
      </c>
    </row>
    <row r="712" spans="2:3">
      <c r="B712" s="972" t="s">
        <v>5157</v>
      </c>
      <c r="C712" s="972" t="s">
        <v>5158</v>
      </c>
    </row>
    <row r="713" spans="2:3">
      <c r="B713" t="s">
        <v>555</v>
      </c>
      <c r="C713" t="s">
        <v>4611</v>
      </c>
    </row>
    <row r="714" spans="2:3">
      <c r="B714" t="s">
        <v>2035</v>
      </c>
      <c r="C714" t="s">
        <v>4642</v>
      </c>
    </row>
    <row r="715" spans="2:3">
      <c r="B715" t="s">
        <v>15</v>
      </c>
    </row>
    <row r="716" spans="2:3">
      <c r="B716" t="s">
        <v>318</v>
      </c>
      <c r="C716" t="s">
        <v>4612</v>
      </c>
    </row>
    <row r="717" spans="2:3">
      <c r="B717" t="s">
        <v>4018</v>
      </c>
      <c r="C717" t="s">
        <v>4613</v>
      </c>
    </row>
    <row r="718" spans="2:3">
      <c r="B718" t="s">
        <v>4019</v>
      </c>
      <c r="C718" t="s">
        <v>4614</v>
      </c>
    </row>
    <row r="719" spans="2:3">
      <c r="B719" t="s">
        <v>4022</v>
      </c>
      <c r="C719" t="s">
        <v>4615</v>
      </c>
    </row>
    <row r="720" spans="2:3">
      <c r="B720" t="s">
        <v>4023</v>
      </c>
      <c r="C720" t="s">
        <v>4616</v>
      </c>
    </row>
    <row r="721" spans="2:3">
      <c r="B721" t="s">
        <v>153</v>
      </c>
      <c r="C721" t="s">
        <v>4617</v>
      </c>
    </row>
    <row r="722" spans="2:3">
      <c r="B722" t="s">
        <v>154</v>
      </c>
      <c r="C722" t="s">
        <v>4618</v>
      </c>
    </row>
    <row r="723" spans="2:3">
      <c r="B723" t="s">
        <v>155</v>
      </c>
      <c r="C723" t="s">
        <v>4619</v>
      </c>
    </row>
    <row r="724" spans="2:3">
      <c r="B724" t="s">
        <v>3946</v>
      </c>
      <c r="C724" t="s">
        <v>4620</v>
      </c>
    </row>
    <row r="725" spans="2:3">
      <c r="B725" t="s">
        <v>156</v>
      </c>
      <c r="C725" t="s">
        <v>4621</v>
      </c>
    </row>
    <row r="726" spans="2:3">
      <c r="B726" t="s">
        <v>159</v>
      </c>
      <c r="C726" t="s">
        <v>4622</v>
      </c>
    </row>
    <row r="727" spans="2:3">
      <c r="B727" t="s">
        <v>160</v>
      </c>
      <c r="C727" s="972" t="s">
        <v>4924</v>
      </c>
    </row>
    <row r="728" spans="2:3">
      <c r="B728" t="s">
        <v>157</v>
      </c>
      <c r="C728" t="s">
        <v>4623</v>
      </c>
    </row>
    <row r="729" spans="2:3">
      <c r="B729" t="s">
        <v>158</v>
      </c>
      <c r="C729" s="972" t="s">
        <v>4923</v>
      </c>
    </row>
    <row r="730" spans="2:3">
      <c r="B730" t="s">
        <v>3947</v>
      </c>
      <c r="C730" t="s">
        <v>4624</v>
      </c>
    </row>
    <row r="731" spans="2:3">
      <c r="B731" t="s">
        <v>3410</v>
      </c>
      <c r="C731" t="s">
        <v>4625</v>
      </c>
    </row>
    <row r="732" spans="2:3">
      <c r="B732" t="s">
        <v>3409</v>
      </c>
      <c r="C732" t="s">
        <v>4626</v>
      </c>
    </row>
    <row r="733" spans="2:3">
      <c r="B733" t="s">
        <v>3950</v>
      </c>
      <c r="C733" t="s">
        <v>4627</v>
      </c>
    </row>
    <row r="734" spans="2:3">
      <c r="B734" t="s">
        <v>136</v>
      </c>
      <c r="C734" t="s">
        <v>4628</v>
      </c>
    </row>
    <row r="735" spans="2:3">
      <c r="B735" t="s">
        <v>163</v>
      </c>
      <c r="C735" s="972" t="s">
        <v>4616</v>
      </c>
    </row>
    <row r="736" spans="2:3">
      <c r="B736" t="s">
        <v>2075</v>
      </c>
      <c r="C736" s="972" t="s">
        <v>4925</v>
      </c>
    </row>
    <row r="737" spans="2:3">
      <c r="B737" s="667" t="str">
        <f>+'10.PLV'!$D$88</f>
        <v>Vữa bê tông đá 1x2 C20 (độ sụt 14-17cm)</v>
      </c>
      <c r="C737" s="972" t="s">
        <v>4926</v>
      </c>
    </row>
    <row r="738" spans="2:3">
      <c r="B738" t="s">
        <v>2137</v>
      </c>
      <c r="C738" s="972" t="s">
        <v>4619</v>
      </c>
    </row>
    <row r="739" spans="2:3">
      <c r="B739" t="s">
        <v>189</v>
      </c>
      <c r="C739" t="s">
        <v>4633</v>
      </c>
    </row>
    <row r="740" spans="2:3">
      <c r="B740" t="s">
        <v>568</v>
      </c>
      <c r="C740" t="s">
        <v>4629</v>
      </c>
    </row>
    <row r="741" spans="2:3">
      <c r="B741" t="s">
        <v>2151</v>
      </c>
      <c r="C741" t="s">
        <v>4630</v>
      </c>
    </row>
    <row r="742" spans="2:3">
      <c r="B742" t="s">
        <v>230</v>
      </c>
      <c r="C742" t="s">
        <v>4631</v>
      </c>
    </row>
    <row r="743" spans="2:3">
      <c r="B743" t="s">
        <v>92</v>
      </c>
      <c r="C743" t="s">
        <v>4632</v>
      </c>
    </row>
    <row r="744" spans="2:3">
      <c r="B744" t="s">
        <v>2082</v>
      </c>
      <c r="C744" t="s">
        <v>4634</v>
      </c>
    </row>
    <row r="745" spans="2:3">
      <c r="B745" t="s">
        <v>127</v>
      </c>
      <c r="C745" t="s">
        <v>4635</v>
      </c>
    </row>
    <row r="746" spans="2:3">
      <c r="B746" t="s">
        <v>727</v>
      </c>
      <c r="C746" s="972" t="s">
        <v>4909</v>
      </c>
    </row>
    <row r="747" spans="2:3">
      <c r="B747" t="s">
        <v>19</v>
      </c>
      <c r="C747" t="s">
        <v>4637</v>
      </c>
    </row>
    <row r="748" spans="2:3">
      <c r="B748" t="s">
        <v>2058</v>
      </c>
      <c r="C748" t="s">
        <v>4636</v>
      </c>
    </row>
    <row r="749" spans="2:3">
      <c r="B749" t="s">
        <v>587</v>
      </c>
      <c r="C749" t="s">
        <v>4638</v>
      </c>
    </row>
    <row r="750" spans="2:3">
      <c r="B750" t="s">
        <v>458</v>
      </c>
      <c r="C750" t="s">
        <v>4639</v>
      </c>
    </row>
    <row r="751" spans="2:3">
      <c r="B751" t="s">
        <v>706</v>
      </c>
      <c r="C751" t="s">
        <v>4640</v>
      </c>
    </row>
  </sheetData>
  <autoFilter ref="B1:C1">
    <sortState ref="B2:C719">
      <sortCondition ref="B1"/>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L156"/>
  <sheetViews>
    <sheetView view="pageBreakPreview" zoomScale="110" zoomScaleNormal="100" zoomScaleSheetLayoutView="100" workbookViewId="0">
      <selection activeCell="B10" sqref="B10:C10"/>
    </sheetView>
  </sheetViews>
  <sheetFormatPr defaultRowHeight="15"/>
  <cols>
    <col min="1" max="1" width="5.85546875" style="1704" customWidth="1"/>
    <col min="2" max="2" width="39.85546875" style="1686" customWidth="1"/>
    <col min="3" max="3" width="19.140625" style="1686" customWidth="1"/>
    <col min="4" max="4" width="25.7109375" style="1686" customWidth="1"/>
    <col min="5" max="5" width="21.85546875" style="1686" bestFit="1" customWidth="1"/>
    <col min="6" max="6" width="16.42578125" style="1686" customWidth="1"/>
    <col min="7" max="8" width="21.85546875" style="1686" bestFit="1" customWidth="1"/>
    <col min="9" max="10" width="9.140625" style="1686" customWidth="1"/>
    <col min="11" max="13" width="9.140625" style="1686"/>
    <col min="14" max="16" width="0" style="1686" hidden="1" customWidth="1"/>
    <col min="17" max="16384" width="9.140625" style="1686"/>
  </cols>
  <sheetData>
    <row r="1" spans="1:11" ht="30" customHeight="1">
      <c r="A1" s="2155" t="s">
        <v>5852</v>
      </c>
      <c r="B1" s="2155"/>
      <c r="C1" s="2155"/>
      <c r="D1" s="2155"/>
    </row>
    <row r="2" spans="1:11" s="1701" customFormat="1" ht="30" customHeight="1">
      <c r="A2" s="2156" t="str">
        <f>GiaDuThau!A2</f>
        <v>DỰ ÁN ĐẦU TƯ XÂY DỰNG CẦU LONG BÌNH – CHREY THOM</v>
      </c>
      <c r="B2" s="2156"/>
      <c r="C2" s="2156"/>
      <c r="D2" s="2156"/>
      <c r="E2" s="1683"/>
    </row>
    <row r="3" spans="1:11" s="1701" customFormat="1" ht="30" customHeight="1">
      <c r="A3" s="2156" t="str">
        <f>GiaDuThau!A3</f>
        <v>HẠNG MỤC: PHẦN CẦU, PHẦN TUYẾN, CHIẾU SÁNG (PHÍA BỜ VIỆT NAM)</v>
      </c>
      <c r="B3" s="2156"/>
      <c r="C3" s="2156"/>
      <c r="D3" s="2156"/>
      <c r="E3" s="1683"/>
    </row>
    <row r="4" spans="1:11" ht="15" customHeight="1" thickBot="1">
      <c r="A4" s="1702"/>
      <c r="B4" s="1703"/>
      <c r="C4" s="1703"/>
      <c r="E4" s="1684"/>
    </row>
    <row r="5" spans="1:11" ht="33.950000000000003" customHeight="1" thickTop="1" thickBot="1">
      <c r="A5" s="1699" t="s">
        <v>529</v>
      </c>
      <c r="B5" s="2157" t="s">
        <v>5864</v>
      </c>
      <c r="C5" s="2157"/>
      <c r="D5" s="1700" t="s">
        <v>5851</v>
      </c>
    </row>
    <row r="6" spans="1:11" ht="33.950000000000003" customHeight="1" thickTop="1">
      <c r="A6" s="1685" t="s">
        <v>504</v>
      </c>
      <c r="B6" s="2151" t="s">
        <v>100</v>
      </c>
      <c r="C6" s="2151"/>
      <c r="D6" s="1950">
        <f>GiaDuThau!$F$6</f>
        <v>129642235863.82001</v>
      </c>
      <c r="E6" s="1707"/>
      <c r="F6" s="1708"/>
      <c r="G6" s="1709"/>
      <c r="H6" s="1709"/>
    </row>
    <row r="7" spans="1:11" ht="33.950000000000003" customHeight="1">
      <c r="A7" s="1685" t="s">
        <v>507</v>
      </c>
      <c r="B7" s="2151" t="s">
        <v>5782</v>
      </c>
      <c r="C7" s="2151"/>
      <c r="D7" s="1951" t="e">
        <f>GiaDuThau!#REF!</f>
        <v>#REF!</v>
      </c>
      <c r="E7" s="1707"/>
      <c r="F7" s="1708"/>
      <c r="G7" s="1709"/>
      <c r="H7" s="1709"/>
    </row>
    <row r="8" spans="1:11" ht="33.950000000000003" customHeight="1">
      <c r="A8" s="1685" t="s">
        <v>5808</v>
      </c>
      <c r="B8" s="2151" t="s">
        <v>5809</v>
      </c>
      <c r="C8" s="2151"/>
      <c r="D8" s="1950">
        <f>GiaDuThau!$F$243</f>
        <v>696585300</v>
      </c>
      <c r="E8" s="1710"/>
      <c r="F8" s="1711"/>
      <c r="G8" s="1712"/>
      <c r="H8" s="1712"/>
    </row>
    <row r="9" spans="1:11" ht="33.950000000000003" customHeight="1">
      <c r="A9" s="1698"/>
      <c r="B9" s="2152" t="s">
        <v>5944</v>
      </c>
      <c r="C9" s="2152"/>
      <c r="D9" s="1952" t="e">
        <f>SUM(D6:D8)</f>
        <v>#REF!</v>
      </c>
      <c r="E9" s="1707">
        <v>197780876888</v>
      </c>
      <c r="F9" s="1714" t="e">
        <f>E9-D9</f>
        <v>#REF!</v>
      </c>
      <c r="G9" s="1713"/>
      <c r="H9" s="1713"/>
    </row>
    <row r="10" spans="1:11" ht="33.950000000000003" customHeight="1" thickBot="1">
      <c r="A10" s="1687"/>
      <c r="B10" s="2153" t="s">
        <v>5853</v>
      </c>
      <c r="C10" s="2153"/>
      <c r="D10" s="1953" t="e">
        <f>ROUNDDOWN(D9,-2)</f>
        <v>#REF!</v>
      </c>
      <c r="E10" s="1715">
        <v>197805722783</v>
      </c>
      <c r="F10" s="1716" t="e">
        <f>E10-D10</f>
        <v>#REF!</v>
      </c>
      <c r="G10" s="1716"/>
      <c r="H10" s="1716"/>
      <c r="I10" s="1688"/>
      <c r="J10" s="1688"/>
      <c r="K10" s="1688"/>
    </row>
    <row r="11" spans="1:11" ht="15" customHeight="1" thickTop="1">
      <c r="E11" s="1688"/>
      <c r="F11" s="1688"/>
      <c r="G11" s="1688"/>
      <c r="H11" s="1688"/>
      <c r="I11" s="1688"/>
      <c r="J11" s="1688"/>
      <c r="K11" s="1688"/>
    </row>
    <row r="12" spans="1:11" ht="35.25" customHeight="1">
      <c r="A12" s="2154" t="s">
        <v>5968</v>
      </c>
      <c r="B12" s="2154"/>
      <c r="C12" s="2154"/>
      <c r="D12" s="2154"/>
      <c r="E12" s="1689"/>
      <c r="F12" s="1688"/>
      <c r="G12" s="1688"/>
      <c r="H12" s="1688"/>
      <c r="I12" s="1688"/>
      <c r="J12" s="1688"/>
      <c r="K12" s="1688"/>
    </row>
    <row r="13" spans="1:11" s="1706" customFormat="1" ht="13.5" customHeight="1">
      <c r="A13" s="1705"/>
      <c r="D13" s="1690"/>
      <c r="F13" s="1688"/>
      <c r="G13" s="1688"/>
      <c r="H13" s="1688"/>
      <c r="I13" s="1688"/>
      <c r="J13" s="1688"/>
      <c r="K13" s="1688"/>
    </row>
    <row r="14" spans="1:11" s="1706" customFormat="1" ht="21.75" customHeight="1">
      <c r="A14" s="2148"/>
      <c r="B14" s="2148"/>
      <c r="C14" s="2149" t="s">
        <v>5854</v>
      </c>
      <c r="D14" s="2149"/>
      <c r="F14" s="1688"/>
      <c r="G14" s="1688"/>
      <c r="H14" s="1688"/>
      <c r="I14" s="1688"/>
      <c r="J14" s="1688"/>
      <c r="K14" s="1688"/>
    </row>
    <row r="15" spans="1:11" ht="18.75" customHeight="1">
      <c r="F15" s="1688"/>
      <c r="G15" s="1688"/>
      <c r="H15" s="1688"/>
      <c r="I15" s="1688"/>
      <c r="J15" s="1688"/>
      <c r="K15" s="1688"/>
    </row>
    <row r="16" spans="1:11">
      <c r="F16" s="1688"/>
      <c r="G16" s="1688"/>
      <c r="H16" s="1688"/>
      <c r="I16" s="1688"/>
      <c r="J16" s="1688"/>
      <c r="K16" s="1688"/>
    </row>
    <row r="17" spans="6:11">
      <c r="F17" s="1688"/>
      <c r="G17" s="1688"/>
      <c r="H17" s="1688"/>
      <c r="I17" s="1688"/>
      <c r="J17" s="1688"/>
      <c r="K17" s="1688"/>
    </row>
    <row r="18" spans="6:11">
      <c r="F18" s="1688"/>
      <c r="G18" s="1688"/>
      <c r="H18" s="1688"/>
      <c r="I18" s="1688"/>
      <c r="J18" s="1688"/>
      <c r="K18" s="1688"/>
    </row>
    <row r="19" spans="6:11">
      <c r="F19" s="1688"/>
      <c r="G19" s="1688"/>
      <c r="H19" s="1688"/>
      <c r="I19" s="1688"/>
      <c r="J19" s="1688"/>
      <c r="K19" s="1688"/>
    </row>
    <row r="20" spans="6:11">
      <c r="F20" s="1688"/>
      <c r="G20" s="1688"/>
      <c r="H20" s="1688"/>
      <c r="I20" s="1688"/>
      <c r="J20" s="1688"/>
      <c r="K20" s="1688"/>
    </row>
    <row r="21" spans="6:11">
      <c r="F21" s="1688"/>
      <c r="G21" s="1688"/>
      <c r="H21" s="1688"/>
      <c r="I21" s="1688"/>
      <c r="J21" s="1688"/>
      <c r="K21" s="1688"/>
    </row>
    <row r="22" spans="6:11">
      <c r="F22" s="1688"/>
      <c r="G22" s="1688"/>
      <c r="H22" s="1688"/>
      <c r="I22" s="1688"/>
      <c r="J22" s="1688"/>
      <c r="K22" s="1688"/>
    </row>
    <row r="23" spans="6:11">
      <c r="F23" s="1688"/>
      <c r="G23" s="1688"/>
      <c r="H23" s="1688"/>
      <c r="I23" s="1688"/>
      <c r="J23" s="1688"/>
      <c r="K23" s="1688"/>
    </row>
    <row r="24" spans="6:11">
      <c r="F24" s="1688"/>
      <c r="G24" s="1688"/>
      <c r="H24" s="1688"/>
      <c r="I24" s="1688"/>
      <c r="J24" s="1688"/>
      <c r="K24" s="1688"/>
    </row>
    <row r="25" spans="6:11">
      <c r="F25" s="1688"/>
      <c r="G25" s="1688"/>
      <c r="H25" s="1688"/>
      <c r="I25" s="1688"/>
      <c r="J25" s="1688"/>
      <c r="K25" s="1688"/>
    </row>
    <row r="26" spans="6:11">
      <c r="F26" s="1688"/>
      <c r="G26" s="1688"/>
      <c r="H26" s="1688"/>
      <c r="I26" s="1688"/>
      <c r="J26" s="1688"/>
      <c r="K26" s="1688"/>
    </row>
    <row r="27" spans="6:11">
      <c r="F27" s="1688"/>
      <c r="G27" s="1688"/>
      <c r="H27" s="1688"/>
      <c r="I27" s="1688"/>
      <c r="J27" s="1688"/>
      <c r="K27" s="1688"/>
    </row>
    <row r="156" spans="1:12">
      <c r="A156" s="2150"/>
      <c r="B156" s="2150"/>
      <c r="C156" s="2150"/>
      <c r="D156" s="2150"/>
      <c r="E156" s="2150"/>
      <c r="F156" s="2150"/>
      <c r="G156" s="2150"/>
      <c r="H156" s="2150"/>
      <c r="I156" s="2150"/>
      <c r="J156" s="2150"/>
      <c r="K156" s="2150"/>
      <c r="L156" s="2150"/>
    </row>
  </sheetData>
  <mergeCells count="13">
    <mergeCell ref="B7:C7"/>
    <mergeCell ref="A1:D1"/>
    <mergeCell ref="A2:D2"/>
    <mergeCell ref="A3:D3"/>
    <mergeCell ref="B5:C5"/>
    <mergeCell ref="B6:C6"/>
    <mergeCell ref="A14:B14"/>
    <mergeCell ref="C14:D14"/>
    <mergeCell ref="A156:L156"/>
    <mergeCell ref="B8:C8"/>
    <mergeCell ref="B9:C9"/>
    <mergeCell ref="B10:C10"/>
    <mergeCell ref="A12:D12"/>
  </mergeCells>
  <printOptions horizontalCentered="1"/>
  <pageMargins left="1.05" right="0.49" top="0.8" bottom="0.47244094488188998" header="0.15748031496063" footer="0.196850393700787"/>
  <pageSetup paperSize="9" scale="90" orientation="portrait" blackAndWhite="1" r:id="rId1"/>
  <headerFooter alignWithMargins="0">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N277"/>
  <sheetViews>
    <sheetView showZeros="0" view="pageBreakPreview" zoomScale="115" zoomScaleNormal="120" zoomScaleSheetLayoutView="115" workbookViewId="0">
      <pane ySplit="5" topLeftCell="A39" activePane="bottomLeft" state="frozen"/>
      <selection pane="bottomLeft" activeCell="B46" sqref="B46"/>
    </sheetView>
  </sheetViews>
  <sheetFormatPr defaultRowHeight="21.75" customHeight="1"/>
  <cols>
    <col min="1" max="1" width="6.7109375" style="1590" customWidth="1"/>
    <col min="2" max="2" width="49.5703125" style="1582" customWidth="1"/>
    <col min="3" max="3" width="7.7109375" style="1583" customWidth="1"/>
    <col min="4" max="4" width="11" style="1584" customWidth="1"/>
    <col min="5" max="5" width="14.85546875" style="1584" customWidth="1"/>
    <col min="6" max="6" width="17.140625" style="1584" customWidth="1"/>
    <col min="7" max="7" width="19.5703125" style="1584" bestFit="1" customWidth="1"/>
    <col min="8" max="9" width="11.28515625" style="1573" hidden="1" customWidth="1"/>
    <col min="10" max="10" width="10.140625" style="1573" hidden="1" customWidth="1"/>
    <col min="11" max="11" width="11.28515625" style="1573" hidden="1" customWidth="1"/>
    <col min="12" max="12" width="10.140625" style="1573" hidden="1" customWidth="1"/>
    <col min="13" max="13" width="7.28515625" style="1573" hidden="1" customWidth="1"/>
    <col min="14" max="14" width="15" style="1573" bestFit="1" customWidth="1"/>
    <col min="15" max="16384" width="9.140625" style="1573"/>
  </cols>
  <sheetData>
    <row r="1" spans="1:14" ht="25.5" customHeight="1">
      <c r="A1" s="987" t="s">
        <v>5803</v>
      </c>
      <c r="B1" s="1657"/>
      <c r="C1" s="987"/>
      <c r="D1" s="1658"/>
      <c r="E1" s="1658"/>
      <c r="F1" s="1658"/>
    </row>
    <row r="2" spans="1:14" ht="20.100000000000001" customHeight="1">
      <c r="A2" s="1569" t="s">
        <v>1999</v>
      </c>
      <c r="B2" s="1570"/>
      <c r="C2" s="1569"/>
      <c r="D2" s="1571"/>
      <c r="E2" s="1571"/>
      <c r="F2" s="1571"/>
      <c r="G2" s="1572" t="e">
        <f>'BieuGia ĐX'!D9='BieuGia ĐX'!E9</f>
        <v>#REF!</v>
      </c>
      <c r="N2" s="2073" t="e">
        <f>'BieuGia ĐX'!E9-'BieuGia ĐX'!D9</f>
        <v>#REF!</v>
      </c>
    </row>
    <row r="3" spans="1:14" ht="20.100000000000001" customHeight="1">
      <c r="A3" s="1569" t="s">
        <v>5781</v>
      </c>
      <c r="B3" s="1570"/>
      <c r="C3" s="1569"/>
      <c r="D3" s="1571"/>
      <c r="E3" s="1571"/>
      <c r="F3" s="1571"/>
      <c r="G3" s="1572"/>
    </row>
    <row r="4" spans="1:14" ht="6.75" customHeight="1" thickBot="1">
      <c r="A4" s="1575"/>
      <c r="B4" s="1576"/>
      <c r="C4" s="1577"/>
      <c r="D4" s="1574"/>
      <c r="E4" s="1574"/>
      <c r="F4" s="1574"/>
      <c r="G4" s="1574"/>
    </row>
    <row r="5" spans="1:14" s="1578" customFormat="1" ht="32.25" thickTop="1">
      <c r="A5" s="2089" t="s">
        <v>524</v>
      </c>
      <c r="B5" s="2090" t="s">
        <v>5707</v>
      </c>
      <c r="C5" s="2091" t="s">
        <v>282</v>
      </c>
      <c r="D5" s="2092" t="s">
        <v>5857</v>
      </c>
      <c r="E5" s="2092" t="s">
        <v>5866</v>
      </c>
      <c r="F5" s="2093" t="s">
        <v>569</v>
      </c>
      <c r="G5" s="1919">
        <f>'DGCT Cau'!$J$6</f>
        <v>1.2672799260000003</v>
      </c>
    </row>
    <row r="6" spans="1:14" s="1578" customFormat="1" ht="18" customHeight="1">
      <c r="A6" s="1920" t="s">
        <v>504</v>
      </c>
      <c r="B6" s="1526" t="s">
        <v>100</v>
      </c>
      <c r="C6" s="1503"/>
      <c r="D6" s="1520"/>
      <c r="E6" s="1521"/>
      <c r="F6" s="1921">
        <f>F7+F124+F211</f>
        <v>129642235863.82001</v>
      </c>
      <c r="G6" s="1585"/>
      <c r="H6" s="1697"/>
    </row>
    <row r="7" spans="1:14" s="1578" customFormat="1" ht="18" customHeight="1">
      <c r="A7" s="1922" t="s">
        <v>525</v>
      </c>
      <c r="B7" s="1591" t="s">
        <v>542</v>
      </c>
      <c r="C7" s="1504"/>
      <c r="D7" s="1522"/>
      <c r="E7" s="1523"/>
      <c r="F7" s="1923">
        <f>F8+F26++F32+F42+F61+F88+F118</f>
        <v>66504881258.249992</v>
      </c>
      <c r="G7" s="1667"/>
    </row>
    <row r="8" spans="1:14" s="1578" customFormat="1" ht="18" customHeight="1">
      <c r="A8" s="1924" t="s">
        <v>58</v>
      </c>
      <c r="B8" s="1591" t="s">
        <v>5697</v>
      </c>
      <c r="C8" s="1504"/>
      <c r="D8" s="1522"/>
      <c r="E8" s="1523"/>
      <c r="F8" s="1923">
        <f>SUM(F9:F25)</f>
        <v>7237965911.2700005</v>
      </c>
      <c r="G8" s="1667"/>
    </row>
    <row r="9" spans="1:14" ht="18" customHeight="1">
      <c r="A9" s="1925">
        <v>1</v>
      </c>
      <c r="B9" s="1512" t="s">
        <v>5698</v>
      </c>
      <c r="C9" s="1505" t="s">
        <v>545</v>
      </c>
      <c r="D9" s="1524">
        <v>364.65</v>
      </c>
      <c r="E9" s="1987">
        <f>DGTH!$K$7</f>
        <v>4506706</v>
      </c>
      <c r="F9" s="1926">
        <f>D9*E9</f>
        <v>1643370342.8999999</v>
      </c>
      <c r="G9" s="1668"/>
    </row>
    <row r="10" spans="1:14" ht="18" customHeight="1">
      <c r="A10" s="1925">
        <v>2</v>
      </c>
      <c r="B10" s="1512" t="s">
        <v>4066</v>
      </c>
      <c r="C10" s="1505" t="s">
        <v>557</v>
      </c>
      <c r="D10" s="1524">
        <v>18.38</v>
      </c>
      <c r="E10" s="1987">
        <f>'DGCT Cau'!$I$80</f>
        <v>26387125</v>
      </c>
      <c r="F10" s="1926">
        <f t="shared" ref="F10:F47" si="0">D10*E10</f>
        <v>484995357.5</v>
      </c>
      <c r="G10" s="1668"/>
    </row>
    <row r="11" spans="1:14" ht="18" customHeight="1">
      <c r="A11" s="1925">
        <v>3</v>
      </c>
      <c r="B11" s="1512" t="s">
        <v>4067</v>
      </c>
      <c r="C11" s="1505" t="s">
        <v>557</v>
      </c>
      <c r="D11" s="1524">
        <v>14.49</v>
      </c>
      <c r="E11" s="1987">
        <f>'DGCT Cau'!$I$99</f>
        <v>25741363</v>
      </c>
      <c r="F11" s="1926">
        <f t="shared" si="0"/>
        <v>372992349.87</v>
      </c>
      <c r="G11" s="1668"/>
    </row>
    <row r="12" spans="1:14" ht="18" customHeight="1">
      <c r="A12" s="1925">
        <v>4</v>
      </c>
      <c r="B12" s="1512" t="s">
        <v>4026</v>
      </c>
      <c r="C12" s="1505" t="s">
        <v>545</v>
      </c>
      <c r="D12" s="1524">
        <v>9.75</v>
      </c>
      <c r="E12" s="1987">
        <f>DGTH!$K$39</f>
        <v>1416900</v>
      </c>
      <c r="F12" s="1926">
        <f t="shared" si="0"/>
        <v>13814775</v>
      </c>
      <c r="G12" s="1668"/>
    </row>
    <row r="13" spans="1:14" ht="18" customHeight="1">
      <c r="A13" s="1925">
        <v>5</v>
      </c>
      <c r="B13" s="1512" t="s">
        <v>5610</v>
      </c>
      <c r="C13" s="1505" t="s">
        <v>545</v>
      </c>
      <c r="D13" s="1524">
        <v>321</v>
      </c>
      <c r="E13" s="1987">
        <f>DGTH!$K$42</f>
        <v>382600</v>
      </c>
      <c r="F13" s="1926">
        <f t="shared" si="0"/>
        <v>122814600</v>
      </c>
      <c r="G13" s="1668"/>
    </row>
    <row r="14" spans="1:14" ht="18" customHeight="1">
      <c r="A14" s="1925">
        <v>6</v>
      </c>
      <c r="B14" s="1512" t="s">
        <v>110</v>
      </c>
      <c r="C14" s="1505" t="s">
        <v>545</v>
      </c>
      <c r="D14" s="1524">
        <v>119</v>
      </c>
      <c r="E14" s="1987">
        <f>'DGCT Cau'!$I$179</f>
        <v>19025</v>
      </c>
      <c r="F14" s="1926">
        <f t="shared" si="0"/>
        <v>2263975</v>
      </c>
      <c r="G14" s="1668"/>
    </row>
    <row r="15" spans="1:14" ht="18" customHeight="1">
      <c r="A15" s="1925">
        <v>7</v>
      </c>
      <c r="B15" s="1512" t="s">
        <v>5703</v>
      </c>
      <c r="C15" s="1505" t="s">
        <v>5704</v>
      </c>
      <c r="D15" s="1524">
        <v>2</v>
      </c>
      <c r="E15" s="1987">
        <f>DGTH!$K$45</f>
        <v>2055000</v>
      </c>
      <c r="F15" s="1926">
        <f t="shared" si="0"/>
        <v>4110000</v>
      </c>
      <c r="G15" s="1668"/>
    </row>
    <row r="16" spans="1:14" s="1578" customFormat="1" ht="32.1" customHeight="1">
      <c r="A16" s="1925"/>
      <c r="B16" s="1513" t="s">
        <v>5855</v>
      </c>
      <c r="C16" s="1505" t="s">
        <v>543</v>
      </c>
      <c r="D16" s="1522">
        <v>404.55</v>
      </c>
      <c r="E16" s="1523"/>
      <c r="F16" s="1926">
        <f t="shared" si="0"/>
        <v>0</v>
      </c>
      <c r="G16" s="1668">
        <f>SUM(F17:F25)</f>
        <v>4593604511</v>
      </c>
      <c r="N16" s="1578">
        <f>66*6</f>
        <v>396</v>
      </c>
    </row>
    <row r="17" spans="1:7" ht="32.1" customHeight="1">
      <c r="A17" s="1925">
        <v>1</v>
      </c>
      <c r="B17" s="1512" t="s">
        <v>5904</v>
      </c>
      <c r="C17" s="1505" t="s">
        <v>543</v>
      </c>
      <c r="D17" s="1524">
        <v>180</v>
      </c>
      <c r="E17" s="1987">
        <f>DGTH!$K$53</f>
        <v>2940300</v>
      </c>
      <c r="F17" s="1926">
        <f t="shared" si="0"/>
        <v>529254000</v>
      </c>
      <c r="G17" s="1667">
        <f>G16/N16</f>
        <v>11600011.391414141</v>
      </c>
    </row>
    <row r="18" spans="1:7" ht="32.1" customHeight="1">
      <c r="A18" s="1925">
        <v>2</v>
      </c>
      <c r="B18" s="1512" t="s">
        <v>5705</v>
      </c>
      <c r="C18" s="1505" t="s">
        <v>543</v>
      </c>
      <c r="D18" s="1524">
        <v>231</v>
      </c>
      <c r="E18" s="1987">
        <f>DGTH!$K$56</f>
        <v>2966000</v>
      </c>
      <c r="F18" s="1926">
        <f t="shared" si="0"/>
        <v>685146000</v>
      </c>
      <c r="G18" s="1668"/>
    </row>
    <row r="19" spans="1:7" ht="18" customHeight="1">
      <c r="A19" s="1925">
        <v>3</v>
      </c>
      <c r="B19" s="1512" t="s">
        <v>4014</v>
      </c>
      <c r="C19" s="1505" t="s">
        <v>545</v>
      </c>
      <c r="D19" s="1524">
        <v>457.88</v>
      </c>
      <c r="E19" s="1987">
        <f>DGTH!$K$64</f>
        <v>2421900</v>
      </c>
      <c r="F19" s="1926">
        <f t="shared" si="0"/>
        <v>1108939572</v>
      </c>
      <c r="G19" s="1668"/>
    </row>
    <row r="20" spans="1:7" ht="18" customHeight="1">
      <c r="A20" s="1925">
        <v>4</v>
      </c>
      <c r="B20" s="1512" t="s">
        <v>5708</v>
      </c>
      <c r="C20" s="1505" t="s">
        <v>557</v>
      </c>
      <c r="D20" s="1524">
        <v>6.01</v>
      </c>
      <c r="E20" s="1987">
        <f>DGTH!$K$67</f>
        <v>28760600</v>
      </c>
      <c r="F20" s="1926">
        <f t="shared" si="0"/>
        <v>172851206</v>
      </c>
      <c r="G20" s="1668"/>
    </row>
    <row r="21" spans="1:7" s="1579" customFormat="1" ht="18" customHeight="1">
      <c r="A21" s="1925">
        <v>5</v>
      </c>
      <c r="B21" s="1512" t="s">
        <v>5709</v>
      </c>
      <c r="C21" s="1505" t="s">
        <v>557</v>
      </c>
      <c r="D21" s="1524">
        <v>55.51</v>
      </c>
      <c r="E21" s="1987">
        <f>DGTH!$K$70</f>
        <v>27886300</v>
      </c>
      <c r="F21" s="1926">
        <f t="shared" si="0"/>
        <v>1547968513</v>
      </c>
      <c r="G21" s="1668"/>
    </row>
    <row r="22" spans="1:7" ht="18" customHeight="1">
      <c r="A22" s="1925">
        <v>6</v>
      </c>
      <c r="B22" s="1512" t="s">
        <v>3828</v>
      </c>
      <c r="C22" s="1505" t="s">
        <v>543</v>
      </c>
      <c r="D22" s="1524">
        <v>1235</v>
      </c>
      <c r="E22" s="1987">
        <f>'DGCT Cau'!$I$508</f>
        <v>178095</v>
      </c>
      <c r="F22" s="1926">
        <f t="shared" si="0"/>
        <v>219947325</v>
      </c>
      <c r="G22" s="1668"/>
    </row>
    <row r="23" spans="1:7" ht="18" customHeight="1">
      <c r="A23" s="1925">
        <v>7</v>
      </c>
      <c r="B23" s="1512" t="s">
        <v>3829</v>
      </c>
      <c r="C23" s="1505" t="s">
        <v>543</v>
      </c>
      <c r="D23" s="1524">
        <v>407</v>
      </c>
      <c r="E23" s="1987">
        <f>'DGCT Cau'!$I$524</f>
        <v>644403</v>
      </c>
      <c r="F23" s="1926">
        <f t="shared" si="0"/>
        <v>262272021</v>
      </c>
      <c r="G23" s="1669"/>
    </row>
    <row r="24" spans="1:7" ht="18" customHeight="1">
      <c r="A24" s="1925">
        <v>8</v>
      </c>
      <c r="B24" s="1512" t="s">
        <v>230</v>
      </c>
      <c r="C24" s="1505" t="s">
        <v>545</v>
      </c>
      <c r="D24" s="1524">
        <v>4.04</v>
      </c>
      <c r="E24" s="1987">
        <f>'DGCT Cau'!$I$2955</f>
        <v>14312100</v>
      </c>
      <c r="F24" s="1926">
        <f t="shared" si="0"/>
        <v>57820884</v>
      </c>
      <c r="G24" s="2074"/>
    </row>
    <row r="25" spans="1:7" ht="18" customHeight="1">
      <c r="A25" s="1925">
        <v>9</v>
      </c>
      <c r="B25" s="1512" t="s">
        <v>41</v>
      </c>
      <c r="C25" s="1505" t="s">
        <v>545</v>
      </c>
      <c r="D25" s="1524">
        <v>10.15</v>
      </c>
      <c r="E25" s="1987">
        <f>DGTH!$K$77</f>
        <v>926600</v>
      </c>
      <c r="F25" s="1926">
        <f t="shared" si="0"/>
        <v>9404990</v>
      </c>
      <c r="G25" s="1668"/>
    </row>
    <row r="26" spans="1:7" s="1578" customFormat="1" ht="18" customHeight="1">
      <c r="A26" s="1922" t="s">
        <v>5710</v>
      </c>
      <c r="B26" s="1513" t="s">
        <v>2219</v>
      </c>
      <c r="C26" s="1504"/>
      <c r="D26" s="1522"/>
      <c r="E26" s="1523"/>
      <c r="F26" s="1923">
        <f>SUM(F27:F31)</f>
        <v>212764102.13999999</v>
      </c>
      <c r="G26" s="1667"/>
    </row>
    <row r="27" spans="1:7" ht="18" customHeight="1">
      <c r="A27" s="1925">
        <v>1</v>
      </c>
      <c r="B27" s="1512" t="s">
        <v>3664</v>
      </c>
      <c r="C27" s="1505" t="s">
        <v>545</v>
      </c>
      <c r="D27" s="1524">
        <v>27.07</v>
      </c>
      <c r="E27" s="1987">
        <f>DGTH!$K$80</f>
        <v>1989300</v>
      </c>
      <c r="F27" s="1926">
        <f t="shared" si="0"/>
        <v>53850351</v>
      </c>
      <c r="G27" s="1668"/>
    </row>
    <row r="28" spans="1:7" ht="18" customHeight="1">
      <c r="A28" s="1925">
        <v>2</v>
      </c>
      <c r="B28" s="1512" t="s">
        <v>5711</v>
      </c>
      <c r="C28" s="1505" t="s">
        <v>557</v>
      </c>
      <c r="D28" s="1524">
        <v>2.27</v>
      </c>
      <c r="E28" s="1987">
        <f>DGTH!$K$83</f>
        <v>24734300</v>
      </c>
      <c r="F28" s="1926">
        <f t="shared" si="0"/>
        <v>56146861</v>
      </c>
      <c r="G28" s="1669"/>
    </row>
    <row r="29" spans="1:7" ht="18" customHeight="1">
      <c r="A29" s="1925">
        <v>3</v>
      </c>
      <c r="B29" s="1512" t="s">
        <v>5714</v>
      </c>
      <c r="C29" s="1505" t="s">
        <v>557</v>
      </c>
      <c r="D29" s="1524">
        <v>3.69</v>
      </c>
      <c r="E29" s="1987">
        <f>'DGCT Cau'!$I$613</f>
        <v>24110282</v>
      </c>
      <c r="F29" s="1926">
        <f t="shared" si="0"/>
        <v>88966940.579999998</v>
      </c>
      <c r="G29" s="1669"/>
    </row>
    <row r="30" spans="1:7" ht="18" customHeight="1">
      <c r="A30" s="1925">
        <v>4</v>
      </c>
      <c r="B30" s="1512" t="s">
        <v>4017</v>
      </c>
      <c r="C30" s="1505" t="s">
        <v>545</v>
      </c>
      <c r="D30" s="1524">
        <v>7.37</v>
      </c>
      <c r="E30" s="1987">
        <f>'DGCT Cau'!$I$644</f>
        <v>1474228</v>
      </c>
      <c r="F30" s="1926">
        <f t="shared" si="0"/>
        <v>10865060.359999999</v>
      </c>
      <c r="G30" s="1668"/>
    </row>
    <row r="31" spans="1:7" ht="18" customHeight="1">
      <c r="A31" s="1925">
        <v>5</v>
      </c>
      <c r="B31" s="1512" t="s">
        <v>3662</v>
      </c>
      <c r="C31" s="1505" t="s">
        <v>548</v>
      </c>
      <c r="D31" s="1524">
        <v>8.1</v>
      </c>
      <c r="E31" s="1987">
        <f>'DGCT Cau'!$I$660</f>
        <v>362332</v>
      </c>
      <c r="F31" s="1926">
        <f t="shared" si="0"/>
        <v>2934889.1999999997</v>
      </c>
      <c r="G31" s="1668"/>
    </row>
    <row r="32" spans="1:7" s="1578" customFormat="1" ht="18" customHeight="1">
      <c r="A32" s="1922" t="s">
        <v>5715</v>
      </c>
      <c r="B32" s="1513" t="s">
        <v>2022</v>
      </c>
      <c r="C32" s="1504"/>
      <c r="D32" s="1522"/>
      <c r="E32" s="1523"/>
      <c r="F32" s="1923">
        <f>SUM(F33:F41)</f>
        <v>1558017799</v>
      </c>
      <c r="G32" s="1667"/>
    </row>
    <row r="33" spans="1:7" ht="18" customHeight="1">
      <c r="A33" s="1925">
        <v>1</v>
      </c>
      <c r="B33" s="1512" t="s">
        <v>19</v>
      </c>
      <c r="C33" s="1505" t="s">
        <v>545</v>
      </c>
      <c r="D33" s="1524">
        <v>606.20000000000005</v>
      </c>
      <c r="E33" s="1987">
        <f>'DGCT Cau'!$I$2653</f>
        <v>1493400</v>
      </c>
      <c r="F33" s="1926">
        <f t="shared" si="0"/>
        <v>905299080.00000012</v>
      </c>
      <c r="G33" s="1668"/>
    </row>
    <row r="34" spans="1:7" ht="18" customHeight="1">
      <c r="A34" s="1925">
        <v>2</v>
      </c>
      <c r="B34" s="1512" t="s">
        <v>2058</v>
      </c>
      <c r="C34" s="1505" t="s">
        <v>545</v>
      </c>
      <c r="D34" s="1524">
        <v>79.400000000000006</v>
      </c>
      <c r="E34" s="1987">
        <f>'DGCT Cau'!$I$2997</f>
        <v>1460600</v>
      </c>
      <c r="F34" s="1926">
        <f t="shared" si="0"/>
        <v>115971640.00000001</v>
      </c>
      <c r="G34" s="1668"/>
    </row>
    <row r="35" spans="1:7" ht="18" customHeight="1">
      <c r="A35" s="1925">
        <v>3</v>
      </c>
      <c r="B35" s="1512" t="s">
        <v>2029</v>
      </c>
      <c r="C35" s="1505" t="s">
        <v>545</v>
      </c>
      <c r="D35" s="1524">
        <v>208.6</v>
      </c>
      <c r="E35" s="1987">
        <f>'DGCT Cau'!$I$2969</f>
        <v>1071000</v>
      </c>
      <c r="F35" s="1926">
        <f t="shared" si="0"/>
        <v>223410600</v>
      </c>
      <c r="G35" s="1668"/>
    </row>
    <row r="36" spans="1:7" ht="18" customHeight="1">
      <c r="A36" s="1925">
        <v>4</v>
      </c>
      <c r="B36" s="1512" t="s">
        <v>3473</v>
      </c>
      <c r="C36" s="1505" t="s">
        <v>545</v>
      </c>
      <c r="D36" s="1524">
        <v>1551</v>
      </c>
      <c r="E36" s="1987">
        <f>'DGCT Cau'!$I$2589</f>
        <v>156700</v>
      </c>
      <c r="F36" s="1926">
        <f t="shared" si="0"/>
        <v>243041700</v>
      </c>
      <c r="G36" s="1668"/>
    </row>
    <row r="37" spans="1:7" ht="18" customHeight="1">
      <c r="A37" s="1925">
        <v>5</v>
      </c>
      <c r="B37" s="1512" t="s">
        <v>0</v>
      </c>
      <c r="C37" s="1505" t="s">
        <v>545</v>
      </c>
      <c r="D37" s="1524">
        <v>417</v>
      </c>
      <c r="E37" s="1987">
        <f>DGTH!$K$86</f>
        <v>27700</v>
      </c>
      <c r="F37" s="1926">
        <f t="shared" si="0"/>
        <v>11550900</v>
      </c>
      <c r="G37" s="1668"/>
    </row>
    <row r="38" spans="1:7" ht="18" customHeight="1">
      <c r="A38" s="1925">
        <v>6</v>
      </c>
      <c r="B38" s="1512" t="s">
        <v>3960</v>
      </c>
      <c r="C38" s="1505" t="s">
        <v>545</v>
      </c>
      <c r="D38" s="1524">
        <v>327</v>
      </c>
      <c r="E38" s="1987">
        <f>'DGCT Cau'!$I$164</f>
        <v>40307</v>
      </c>
      <c r="F38" s="1926">
        <f t="shared" si="0"/>
        <v>13180389</v>
      </c>
      <c r="G38" s="1668"/>
    </row>
    <row r="39" spans="1:7" ht="18" customHeight="1">
      <c r="A39" s="1925">
        <v>7</v>
      </c>
      <c r="B39" s="1512" t="s">
        <v>5716</v>
      </c>
      <c r="C39" s="1505" t="s">
        <v>543</v>
      </c>
      <c r="D39" s="1524">
        <v>48</v>
      </c>
      <c r="E39" s="1987">
        <f>'DGCT Cau'!$I$3011</f>
        <v>132700</v>
      </c>
      <c r="F39" s="1926">
        <f t="shared" si="0"/>
        <v>6369600</v>
      </c>
      <c r="G39" s="1668"/>
    </row>
    <row r="40" spans="1:7" ht="18" customHeight="1">
      <c r="A40" s="1925">
        <v>8</v>
      </c>
      <c r="B40" s="1512" t="s">
        <v>750</v>
      </c>
      <c r="C40" s="1505" t="s">
        <v>545</v>
      </c>
      <c r="D40" s="1524">
        <v>32.380000000000003</v>
      </c>
      <c r="E40" s="1987">
        <f>'DGCT Cau'!$I$2982</f>
        <v>1035500</v>
      </c>
      <c r="F40" s="1926">
        <f t="shared" si="0"/>
        <v>33529490.000000004</v>
      </c>
      <c r="G40" s="1668"/>
    </row>
    <row r="41" spans="1:7" ht="18" customHeight="1">
      <c r="A41" s="1925">
        <v>9</v>
      </c>
      <c r="B41" s="1512" t="s">
        <v>96</v>
      </c>
      <c r="C41" s="1505" t="s">
        <v>548</v>
      </c>
      <c r="D41" s="1524">
        <v>238</v>
      </c>
      <c r="E41" s="1987">
        <f>'DGCT Cau'!$I$2603</f>
        <v>23800</v>
      </c>
      <c r="F41" s="1926">
        <f t="shared" si="0"/>
        <v>5664400</v>
      </c>
      <c r="G41" s="1668"/>
    </row>
    <row r="42" spans="1:7" s="1578" customFormat="1" ht="18" customHeight="1">
      <c r="A42" s="1922" t="s">
        <v>5717</v>
      </c>
      <c r="B42" s="1513" t="s">
        <v>5731</v>
      </c>
      <c r="C42" s="1504"/>
      <c r="D42" s="1522"/>
      <c r="E42" s="1523"/>
      <c r="F42" s="1923">
        <f>SUM(F43:F60)</f>
        <v>6044218225.8500004</v>
      </c>
      <c r="G42" s="1667"/>
    </row>
    <row r="43" spans="1:7" s="1578" customFormat="1" ht="18" customHeight="1">
      <c r="A43" s="1922"/>
      <c r="B43" s="1513" t="s">
        <v>5718</v>
      </c>
      <c r="C43" s="1504"/>
      <c r="D43" s="1522"/>
      <c r="E43" s="1523"/>
      <c r="F43" s="1923">
        <f t="shared" si="0"/>
        <v>0</v>
      </c>
      <c r="G43" s="1667"/>
    </row>
    <row r="44" spans="1:7" ht="18" customHeight="1">
      <c r="A44" s="1925">
        <v>1</v>
      </c>
      <c r="B44" s="1512" t="s">
        <v>5719</v>
      </c>
      <c r="C44" s="1505" t="s">
        <v>545</v>
      </c>
      <c r="D44" s="1524">
        <v>234.08</v>
      </c>
      <c r="E44" s="1987">
        <f>DGTH!$K$89</f>
        <v>5054600</v>
      </c>
      <c r="F44" s="1926">
        <f t="shared" si="0"/>
        <v>1183180768</v>
      </c>
      <c r="G44" s="1668"/>
    </row>
    <row r="45" spans="1:7" ht="18" customHeight="1">
      <c r="A45" s="1925">
        <v>2</v>
      </c>
      <c r="B45" s="1512" t="s">
        <v>5725</v>
      </c>
      <c r="C45" s="1505" t="s">
        <v>545</v>
      </c>
      <c r="D45" s="1524">
        <v>5.04</v>
      </c>
      <c r="E45" s="1987">
        <f>DGTH!$K$39</f>
        <v>1416900</v>
      </c>
      <c r="F45" s="1926">
        <f t="shared" si="0"/>
        <v>7141176</v>
      </c>
      <c r="G45" s="1668"/>
    </row>
    <row r="46" spans="1:7" ht="18" customHeight="1">
      <c r="A46" s="1925">
        <v>3</v>
      </c>
      <c r="B46" s="1512" t="s">
        <v>5713</v>
      </c>
      <c r="C46" s="1505" t="s">
        <v>557</v>
      </c>
      <c r="D46" s="1524">
        <v>6.02</v>
      </c>
      <c r="E46" s="1987">
        <f>'DGCT Cau'!$I$80</f>
        <v>26387125</v>
      </c>
      <c r="F46" s="1926">
        <f t="shared" si="0"/>
        <v>158850492.5</v>
      </c>
      <c r="G46" s="1668"/>
    </row>
    <row r="47" spans="1:7" ht="18" customHeight="1">
      <c r="A47" s="1925">
        <v>4</v>
      </c>
      <c r="B47" s="1512" t="s">
        <v>5721</v>
      </c>
      <c r="C47" s="1505" t="s">
        <v>557</v>
      </c>
      <c r="D47" s="1524">
        <v>27.45</v>
      </c>
      <c r="E47" s="1987">
        <f>'DGCT Cau'!$I$99</f>
        <v>25741363</v>
      </c>
      <c r="F47" s="1926">
        <f t="shared" si="0"/>
        <v>706600414.35000002</v>
      </c>
      <c r="G47" s="1668"/>
    </row>
    <row r="48" spans="1:7" ht="18" customHeight="1">
      <c r="A48" s="1925">
        <v>5</v>
      </c>
      <c r="B48" s="1512" t="s">
        <v>5610</v>
      </c>
      <c r="C48" s="1505" t="s">
        <v>545</v>
      </c>
      <c r="D48" s="1524">
        <v>334</v>
      </c>
      <c r="E48" s="1987">
        <f>DGTH!$K$42</f>
        <v>382600</v>
      </c>
      <c r="F48" s="1926">
        <f>D48*E48</f>
        <v>127788400</v>
      </c>
      <c r="G48" s="1669"/>
    </row>
    <row r="49" spans="1:14" ht="18" customHeight="1">
      <c r="A49" s="1925">
        <v>6</v>
      </c>
      <c r="B49" s="1512" t="s">
        <v>110</v>
      </c>
      <c r="C49" s="1505" t="s">
        <v>545</v>
      </c>
      <c r="D49" s="1524">
        <v>213</v>
      </c>
      <c r="E49" s="1987">
        <f>'DGCT Cau'!$I$179</f>
        <v>19025</v>
      </c>
      <c r="F49" s="1926">
        <f>D49*E49</f>
        <v>4052325</v>
      </c>
      <c r="G49" s="1668"/>
    </row>
    <row r="50" spans="1:14" ht="18" customHeight="1">
      <c r="A50" s="1925">
        <v>7</v>
      </c>
      <c r="B50" s="1519" t="s">
        <v>5722</v>
      </c>
      <c r="C50" s="1505" t="s">
        <v>5704</v>
      </c>
      <c r="D50" s="1524">
        <v>4</v>
      </c>
      <c r="E50" s="1987">
        <f>DGTH!$K$45</f>
        <v>2055000</v>
      </c>
      <c r="F50" s="1926">
        <f t="shared" ref="F50:F75" si="1">D50*E50</f>
        <v>8220000</v>
      </c>
      <c r="G50" s="1668"/>
    </row>
    <row r="51" spans="1:14" s="1578" customFormat="1" ht="32.1" customHeight="1">
      <c r="A51" s="1925"/>
      <c r="B51" s="1513" t="s">
        <v>5723</v>
      </c>
      <c r="C51" s="1505" t="s">
        <v>543</v>
      </c>
      <c r="D51" s="1522">
        <v>338.4</v>
      </c>
      <c r="E51" s="1523"/>
      <c r="F51" s="1926">
        <f t="shared" si="1"/>
        <v>0</v>
      </c>
      <c r="G51" s="1668">
        <f>SUM(F52:F60)</f>
        <v>3848384650</v>
      </c>
      <c r="N51" s="1578">
        <f>5*66</f>
        <v>330</v>
      </c>
    </row>
    <row r="52" spans="1:14" ht="18" customHeight="1">
      <c r="A52" s="1925">
        <v>1</v>
      </c>
      <c r="B52" s="1512" t="s">
        <v>5858</v>
      </c>
      <c r="C52" s="1505" t="s">
        <v>543</v>
      </c>
      <c r="D52" s="1524">
        <v>150</v>
      </c>
      <c r="E52" s="1987">
        <f>DGTH!$K$53</f>
        <v>2940300</v>
      </c>
      <c r="F52" s="1926">
        <f t="shared" si="1"/>
        <v>441045000</v>
      </c>
      <c r="G52" s="1667">
        <f>G51/N51</f>
        <v>11661771.666666666</v>
      </c>
    </row>
    <row r="53" spans="1:14" ht="18" customHeight="1">
      <c r="A53" s="1925">
        <v>2</v>
      </c>
      <c r="B53" s="1512" t="s">
        <v>5859</v>
      </c>
      <c r="C53" s="1505" t="s">
        <v>543</v>
      </c>
      <c r="D53" s="1524">
        <v>197.5</v>
      </c>
      <c r="E53" s="1987">
        <f>DGTH!$K$56</f>
        <v>2966000</v>
      </c>
      <c r="F53" s="1926">
        <f t="shared" si="1"/>
        <v>585785000</v>
      </c>
      <c r="G53" s="1668"/>
    </row>
    <row r="54" spans="1:14" ht="18" customHeight="1">
      <c r="A54" s="1925">
        <v>3</v>
      </c>
      <c r="B54" s="1512" t="s">
        <v>4014</v>
      </c>
      <c r="C54" s="1505" t="s">
        <v>545</v>
      </c>
      <c r="D54" s="1524">
        <v>382.28</v>
      </c>
      <c r="E54" s="1987">
        <f>DGTH!$K$64</f>
        <v>2421900</v>
      </c>
      <c r="F54" s="1926">
        <f t="shared" si="1"/>
        <v>925843931.99999988</v>
      </c>
      <c r="G54" s="1668"/>
    </row>
    <row r="55" spans="1:14" ht="18" customHeight="1">
      <c r="A55" s="1925">
        <v>4</v>
      </c>
      <c r="B55" s="1512" t="s">
        <v>5713</v>
      </c>
      <c r="C55" s="1505" t="s">
        <v>557</v>
      </c>
      <c r="D55" s="1524">
        <v>4.99</v>
      </c>
      <c r="E55" s="1987">
        <f>DGTH!$K$67</f>
        <v>28760600</v>
      </c>
      <c r="F55" s="1926">
        <f t="shared" si="1"/>
        <v>143515394</v>
      </c>
      <c r="G55" s="1668"/>
    </row>
    <row r="56" spans="1:14" ht="18" customHeight="1">
      <c r="A56" s="1925">
        <v>5</v>
      </c>
      <c r="B56" s="1512" t="s">
        <v>5721</v>
      </c>
      <c r="C56" s="1505" t="s">
        <v>557</v>
      </c>
      <c r="D56" s="1524">
        <v>46.15</v>
      </c>
      <c r="E56" s="1987">
        <f>DGTH!$K$70</f>
        <v>27886300</v>
      </c>
      <c r="F56" s="1926">
        <f t="shared" si="1"/>
        <v>1286952745</v>
      </c>
      <c r="G56" s="1668"/>
    </row>
    <row r="57" spans="1:14" ht="18" customHeight="1">
      <c r="A57" s="1925">
        <v>6</v>
      </c>
      <c r="B57" s="1512" t="s">
        <v>3828</v>
      </c>
      <c r="C57" s="1505" t="s">
        <v>543</v>
      </c>
      <c r="D57" s="1524">
        <v>1044</v>
      </c>
      <c r="E57" s="1987">
        <f>'DGCT Cau'!$I$508</f>
        <v>178095</v>
      </c>
      <c r="F57" s="1926">
        <f t="shared" si="1"/>
        <v>185931180</v>
      </c>
      <c r="G57" s="1669"/>
    </row>
    <row r="58" spans="1:14" ht="18" customHeight="1">
      <c r="A58" s="1925">
        <v>7</v>
      </c>
      <c r="B58" s="1512" t="s">
        <v>3829</v>
      </c>
      <c r="C58" s="1505" t="s">
        <v>543</v>
      </c>
      <c r="D58" s="1524">
        <v>344</v>
      </c>
      <c r="E58" s="1987">
        <f>'DGCT Cau'!$I$524</f>
        <v>644403</v>
      </c>
      <c r="F58" s="1926">
        <f t="shared" si="1"/>
        <v>221674632</v>
      </c>
      <c r="G58" s="1668"/>
    </row>
    <row r="59" spans="1:14" ht="18" customHeight="1">
      <c r="A59" s="1925">
        <v>8</v>
      </c>
      <c r="B59" s="1512" t="s">
        <v>230</v>
      </c>
      <c r="C59" s="1505" t="s">
        <v>545</v>
      </c>
      <c r="D59" s="1524">
        <v>3.37</v>
      </c>
      <c r="E59" s="1987">
        <f>'DGCT Cau'!$I$2955</f>
        <v>14312100</v>
      </c>
      <c r="F59" s="1926">
        <f t="shared" si="1"/>
        <v>48231777</v>
      </c>
      <c r="G59" s="2074"/>
    </row>
    <row r="60" spans="1:14" ht="18" customHeight="1">
      <c r="A60" s="1925">
        <v>9</v>
      </c>
      <c r="B60" s="1512" t="s">
        <v>41</v>
      </c>
      <c r="C60" s="1505" t="s">
        <v>545</v>
      </c>
      <c r="D60" s="1524">
        <v>10.15</v>
      </c>
      <c r="E60" s="1987">
        <f>DGTH!$K$77</f>
        <v>926600</v>
      </c>
      <c r="F60" s="1926">
        <f t="shared" si="1"/>
        <v>9404990</v>
      </c>
      <c r="G60" s="1668"/>
    </row>
    <row r="61" spans="1:14" s="1578" customFormat="1" ht="18" customHeight="1">
      <c r="A61" s="1922" t="s">
        <v>5724</v>
      </c>
      <c r="B61" s="1513" t="s">
        <v>5659</v>
      </c>
      <c r="C61" s="1504"/>
      <c r="D61" s="1522"/>
      <c r="E61" s="1523"/>
      <c r="F61" s="1923">
        <f>SUM(F62:F87)</f>
        <v>11762024480.16</v>
      </c>
      <c r="G61" s="1667"/>
    </row>
    <row r="62" spans="1:14" s="1578" customFormat="1" ht="18" customHeight="1">
      <c r="A62" s="1922"/>
      <c r="B62" s="1513" t="s">
        <v>5718</v>
      </c>
      <c r="C62" s="1504"/>
      <c r="D62" s="1522"/>
      <c r="E62" s="1523"/>
      <c r="F62" s="1923">
        <f t="shared" si="1"/>
        <v>0</v>
      </c>
      <c r="G62" s="1667"/>
    </row>
    <row r="63" spans="1:14" ht="18" customHeight="1">
      <c r="A63" s="1925">
        <v>1</v>
      </c>
      <c r="B63" s="1512" t="s">
        <v>5719</v>
      </c>
      <c r="C63" s="1505" t="s">
        <v>545</v>
      </c>
      <c r="D63" s="1524">
        <v>430.76</v>
      </c>
      <c r="E63" s="1987">
        <f>DGTH!$K$106</f>
        <v>4814500</v>
      </c>
      <c r="F63" s="1926">
        <f t="shared" si="1"/>
        <v>2073894020</v>
      </c>
      <c r="G63" s="1668"/>
    </row>
    <row r="64" spans="1:14" ht="18" customHeight="1">
      <c r="A64" s="1925">
        <v>2</v>
      </c>
      <c r="B64" s="1512" t="s">
        <v>5725</v>
      </c>
      <c r="C64" s="1505" t="s">
        <v>545</v>
      </c>
      <c r="D64" s="1524">
        <v>11.25</v>
      </c>
      <c r="E64" s="1987">
        <f>DGTH!$K$39</f>
        <v>1416900</v>
      </c>
      <c r="F64" s="1926">
        <f t="shared" si="1"/>
        <v>15940125</v>
      </c>
      <c r="G64" s="1668"/>
    </row>
    <row r="65" spans="1:14" ht="18" customHeight="1">
      <c r="A65" s="1925">
        <v>3</v>
      </c>
      <c r="B65" s="1512" t="s">
        <v>5713</v>
      </c>
      <c r="C65" s="1505" t="s">
        <v>557</v>
      </c>
      <c r="D65" s="1524">
        <v>6.73</v>
      </c>
      <c r="E65" s="1987">
        <f>'DGCT Cau'!$I$80</f>
        <v>26387125</v>
      </c>
      <c r="F65" s="1926">
        <f t="shared" si="1"/>
        <v>177585351.25</v>
      </c>
      <c r="G65" s="1668"/>
    </row>
    <row r="66" spans="1:14" ht="18" customHeight="1">
      <c r="A66" s="1925">
        <v>4</v>
      </c>
      <c r="B66" s="1512" t="s">
        <v>5721</v>
      </c>
      <c r="C66" s="1505" t="s">
        <v>557</v>
      </c>
      <c r="D66" s="1524">
        <v>41.59</v>
      </c>
      <c r="E66" s="1987">
        <f>'DGCT Cau'!$I$99</f>
        <v>25741363</v>
      </c>
      <c r="F66" s="1926">
        <f t="shared" si="1"/>
        <v>1070583287.1700001</v>
      </c>
      <c r="G66" s="1668"/>
    </row>
    <row r="67" spans="1:14" ht="18" customHeight="1">
      <c r="A67" s="1925">
        <v>5</v>
      </c>
      <c r="B67" s="1512" t="s">
        <v>5610</v>
      </c>
      <c r="C67" s="1505" t="s">
        <v>545</v>
      </c>
      <c r="D67" s="1524">
        <v>668</v>
      </c>
      <c r="E67" s="1987">
        <f>DGTH!$K$42</f>
        <v>382600</v>
      </c>
      <c r="F67" s="1926">
        <f t="shared" si="1"/>
        <v>255576800</v>
      </c>
      <c r="G67" s="1669"/>
    </row>
    <row r="68" spans="1:14" ht="18" customHeight="1">
      <c r="A68" s="1925">
        <v>6</v>
      </c>
      <c r="B68" s="1512" t="s">
        <v>110</v>
      </c>
      <c r="C68" s="1505" t="s">
        <v>545</v>
      </c>
      <c r="D68" s="1524">
        <v>346</v>
      </c>
      <c r="E68" s="1987">
        <f>'DGCT Cau'!$I$179</f>
        <v>19025</v>
      </c>
      <c r="F68" s="1926">
        <f t="shared" si="1"/>
        <v>6582650</v>
      </c>
      <c r="G68" s="1668"/>
    </row>
    <row r="69" spans="1:14" s="1578" customFormat="1" ht="18" customHeight="1">
      <c r="A69" s="1922"/>
      <c r="B69" s="1513" t="s">
        <v>3657</v>
      </c>
      <c r="C69" s="1504"/>
      <c r="D69" s="1522"/>
      <c r="E69" s="1523"/>
      <c r="F69" s="1923">
        <f t="shared" si="1"/>
        <v>0</v>
      </c>
      <c r="G69" s="1667"/>
    </row>
    <row r="70" spans="1:14" ht="18" customHeight="1">
      <c r="A70" s="1925">
        <v>1</v>
      </c>
      <c r="B70" s="1512" t="s">
        <v>568</v>
      </c>
      <c r="C70" s="1505" t="s">
        <v>545</v>
      </c>
      <c r="D70" s="1524">
        <v>0.17</v>
      </c>
      <c r="E70" s="1987">
        <f>'DGCT Cau'!$I$194</f>
        <v>32506922</v>
      </c>
      <c r="F70" s="1926">
        <f t="shared" si="1"/>
        <v>5526176.7400000002</v>
      </c>
      <c r="G70" s="1668"/>
    </row>
    <row r="71" spans="1:14" ht="18" customHeight="1">
      <c r="A71" s="1925">
        <v>2</v>
      </c>
      <c r="B71" s="1512" t="s">
        <v>3658</v>
      </c>
      <c r="C71" s="1505" t="s">
        <v>545</v>
      </c>
      <c r="D71" s="1524">
        <v>0.3</v>
      </c>
      <c r="E71" s="1987">
        <f>'DGCT Cau'!$I$2696</f>
        <v>80658000</v>
      </c>
      <c r="F71" s="1926">
        <f t="shared" si="1"/>
        <v>24197400</v>
      </c>
      <c r="G71" s="1668"/>
    </row>
    <row r="72" spans="1:14" ht="18" customHeight="1">
      <c r="A72" s="1925">
        <v>3</v>
      </c>
      <c r="B72" s="1512" t="s">
        <v>5726</v>
      </c>
      <c r="C72" s="1505" t="s">
        <v>545</v>
      </c>
      <c r="D72" s="1524">
        <v>0.21</v>
      </c>
      <c r="E72" s="1987">
        <f>DGTH!$K$128</f>
        <v>4006800</v>
      </c>
      <c r="F72" s="1926">
        <f t="shared" si="1"/>
        <v>841428</v>
      </c>
      <c r="G72" s="1668"/>
    </row>
    <row r="73" spans="1:14" ht="18" customHeight="1">
      <c r="A73" s="1925">
        <v>4</v>
      </c>
      <c r="B73" s="1512" t="s">
        <v>3659</v>
      </c>
      <c r="C73" s="1505" t="s">
        <v>557</v>
      </c>
      <c r="D73" s="1524">
        <v>0.94</v>
      </c>
      <c r="E73" s="1987">
        <f>'DGCT Cau'!$I$2683</f>
        <v>55486900</v>
      </c>
      <c r="F73" s="1926">
        <f t="shared" si="1"/>
        <v>52157686</v>
      </c>
      <c r="G73" s="1668"/>
    </row>
    <row r="74" spans="1:14" ht="18" customHeight="1">
      <c r="A74" s="1925">
        <v>5</v>
      </c>
      <c r="B74" s="1512" t="s">
        <v>5713</v>
      </c>
      <c r="C74" s="1505" t="s">
        <v>557</v>
      </c>
      <c r="D74" s="1524">
        <v>0.32</v>
      </c>
      <c r="E74" s="1987">
        <f>'DGCT Cau'!$I$80</f>
        <v>26387125</v>
      </c>
      <c r="F74" s="1926">
        <f t="shared" si="1"/>
        <v>8443880</v>
      </c>
      <c r="G74" s="1668"/>
    </row>
    <row r="75" spans="1:14" ht="18" customHeight="1">
      <c r="A75" s="1925">
        <v>6</v>
      </c>
      <c r="B75" s="1512" t="s">
        <v>5727</v>
      </c>
      <c r="C75" s="1505" t="s">
        <v>557</v>
      </c>
      <c r="D75" s="1524">
        <v>0.17</v>
      </c>
      <c r="E75" s="1987">
        <f>DGTH!$K$132</f>
        <v>39106400</v>
      </c>
      <c r="F75" s="1926">
        <f t="shared" si="1"/>
        <v>6648088.0000000009</v>
      </c>
      <c r="G75" s="1668"/>
    </row>
    <row r="76" spans="1:14" ht="18" customHeight="1">
      <c r="A76" s="1925">
        <v>7</v>
      </c>
      <c r="B76" s="1512" t="s">
        <v>122</v>
      </c>
      <c r="C76" s="1505" t="s">
        <v>548</v>
      </c>
      <c r="D76" s="1524">
        <v>1</v>
      </c>
      <c r="E76" s="1987">
        <f>'DGCT Cau'!$I$272</f>
        <v>201065</v>
      </c>
      <c r="F76" s="1926">
        <f t="shared" ref="F76:F111" si="2">D76*E76</f>
        <v>201065</v>
      </c>
      <c r="G76" s="1668"/>
    </row>
    <row r="77" spans="1:14" ht="18" customHeight="1">
      <c r="A77" s="1925">
        <v>8</v>
      </c>
      <c r="B77" s="1519" t="s">
        <v>5728</v>
      </c>
      <c r="C77" s="1505" t="s">
        <v>5704</v>
      </c>
      <c r="D77" s="1524">
        <v>2</v>
      </c>
      <c r="E77" s="1987">
        <f>DGTH!$K$45</f>
        <v>2055000</v>
      </c>
      <c r="F77" s="1926">
        <f t="shared" si="2"/>
        <v>4110000</v>
      </c>
      <c r="G77" s="1668"/>
    </row>
    <row r="78" spans="1:14" s="1578" customFormat="1" ht="32.1" customHeight="1">
      <c r="A78" s="1922"/>
      <c r="B78" s="1513" t="s">
        <v>5729</v>
      </c>
      <c r="C78" s="1504" t="s">
        <v>543</v>
      </c>
      <c r="D78" s="1522">
        <v>521.20000000000005</v>
      </c>
      <c r="E78" s="1523"/>
      <c r="F78" s="1923">
        <f t="shared" si="2"/>
        <v>0</v>
      </c>
      <c r="G78" s="1667">
        <f>SUM(F79:F87)</f>
        <v>8059736523</v>
      </c>
      <c r="N78" s="1578">
        <f>8*64</f>
        <v>512</v>
      </c>
    </row>
    <row r="79" spans="1:14" ht="18" customHeight="1">
      <c r="A79" s="1925">
        <v>1</v>
      </c>
      <c r="B79" s="1512" t="s">
        <v>5860</v>
      </c>
      <c r="C79" s="1505" t="s">
        <v>543</v>
      </c>
      <c r="D79" s="1524">
        <v>240</v>
      </c>
      <c r="E79" s="1987">
        <f>DGTH!$K$135</f>
        <v>3877900</v>
      </c>
      <c r="F79" s="1926">
        <f t="shared" si="2"/>
        <v>930696000</v>
      </c>
      <c r="G79" s="1667">
        <f>G78/N78</f>
        <v>15741672.896484375</v>
      </c>
    </row>
    <row r="80" spans="1:14" ht="18" customHeight="1">
      <c r="A80" s="1925">
        <v>2</v>
      </c>
      <c r="B80" s="1512" t="s">
        <v>5861</v>
      </c>
      <c r="C80" s="1505" t="s">
        <v>543</v>
      </c>
      <c r="D80" s="1524">
        <v>300</v>
      </c>
      <c r="E80" s="1987">
        <f>DGTH!$K$138</f>
        <v>3911000</v>
      </c>
      <c r="F80" s="1926">
        <f t="shared" si="2"/>
        <v>1173300000</v>
      </c>
      <c r="G80" s="1668"/>
    </row>
    <row r="81" spans="1:8" ht="18" customHeight="1">
      <c r="A81" s="1925">
        <v>3</v>
      </c>
      <c r="B81" s="1512" t="s">
        <v>4014</v>
      </c>
      <c r="C81" s="1505" t="s">
        <v>545</v>
      </c>
      <c r="D81" s="1524">
        <v>920.34</v>
      </c>
      <c r="E81" s="1987">
        <f>DGTH!$K$64</f>
        <v>2421900</v>
      </c>
      <c r="F81" s="1926">
        <f t="shared" si="2"/>
        <v>2228971446</v>
      </c>
      <c r="G81" s="1668"/>
    </row>
    <row r="82" spans="1:8" ht="18" customHeight="1">
      <c r="A82" s="1925">
        <v>4</v>
      </c>
      <c r="B82" s="1512" t="s">
        <v>5713</v>
      </c>
      <c r="C82" s="1505" t="s">
        <v>557</v>
      </c>
      <c r="D82" s="1524">
        <v>10.02</v>
      </c>
      <c r="E82" s="1987">
        <f>DGTH!$K$67</f>
        <v>28760600</v>
      </c>
      <c r="F82" s="1926">
        <f t="shared" si="2"/>
        <v>288181212</v>
      </c>
      <c r="G82" s="1668"/>
    </row>
    <row r="83" spans="1:8" ht="18" customHeight="1">
      <c r="A83" s="1925">
        <v>5</v>
      </c>
      <c r="B83" s="1512" t="s">
        <v>5721</v>
      </c>
      <c r="C83" s="1505" t="s">
        <v>557</v>
      </c>
      <c r="D83" s="1524">
        <v>93.94</v>
      </c>
      <c r="E83" s="1987">
        <f>DGTH!$K$70</f>
        <v>27886300</v>
      </c>
      <c r="F83" s="1926">
        <f t="shared" si="2"/>
        <v>2619639022</v>
      </c>
      <c r="G83" s="1668"/>
    </row>
    <row r="84" spans="1:8" ht="18" customHeight="1">
      <c r="A84" s="1925">
        <v>6</v>
      </c>
      <c r="B84" s="1512" t="s">
        <v>3828</v>
      </c>
      <c r="C84" s="1505" t="s">
        <v>543</v>
      </c>
      <c r="D84" s="1524">
        <v>2163</v>
      </c>
      <c r="E84" s="1987">
        <f>'DGCT Cau'!$I$508</f>
        <v>178095</v>
      </c>
      <c r="F84" s="1926">
        <f t="shared" si="2"/>
        <v>385219485</v>
      </c>
      <c r="G84" s="1669"/>
    </row>
    <row r="85" spans="1:8" ht="18" customHeight="1">
      <c r="A85" s="1925">
        <v>7</v>
      </c>
      <c r="B85" s="1512" t="s">
        <v>3829</v>
      </c>
      <c r="C85" s="1505" t="s">
        <v>543</v>
      </c>
      <c r="D85" s="1524">
        <v>534</v>
      </c>
      <c r="E85" s="1987">
        <f>'DGCT Cau'!$I$524</f>
        <v>644403</v>
      </c>
      <c r="F85" s="1926">
        <f t="shared" si="2"/>
        <v>344111202</v>
      </c>
      <c r="G85" s="1668"/>
    </row>
    <row r="86" spans="1:8" ht="18" customHeight="1">
      <c r="A86" s="1925">
        <v>8</v>
      </c>
      <c r="B86" s="1512" t="s">
        <v>230</v>
      </c>
      <c r="C86" s="1505" t="s">
        <v>545</v>
      </c>
      <c r="D86" s="1524">
        <v>5.22</v>
      </c>
      <c r="E86" s="1987">
        <f>'DGCT Cau'!$I$2955</f>
        <v>14312100</v>
      </c>
      <c r="F86" s="1926">
        <f t="shared" si="2"/>
        <v>74709162</v>
      </c>
      <c r="G86" s="1668"/>
    </row>
    <row r="87" spans="1:8" ht="18" customHeight="1">
      <c r="A87" s="1925">
        <v>9</v>
      </c>
      <c r="B87" s="1512" t="s">
        <v>5867</v>
      </c>
      <c r="C87" s="1505" t="s">
        <v>545</v>
      </c>
      <c r="D87" s="1524">
        <v>16.09</v>
      </c>
      <c r="E87" s="1987">
        <f>DGTH!$K$77</f>
        <v>926600</v>
      </c>
      <c r="F87" s="1926">
        <f t="shared" si="2"/>
        <v>14908994</v>
      </c>
      <c r="G87" s="1668"/>
    </row>
    <row r="88" spans="1:8" s="1578" customFormat="1" ht="18" customHeight="1">
      <c r="A88" s="1922" t="s">
        <v>5738</v>
      </c>
      <c r="B88" s="1513" t="s">
        <v>5732</v>
      </c>
      <c r="C88" s="1504"/>
      <c r="D88" s="1522"/>
      <c r="E88" s="1523"/>
      <c r="F88" s="1923">
        <f>SUM(F89:F117)</f>
        <v>37909995339.829994</v>
      </c>
      <c r="G88" s="1667"/>
    </row>
    <row r="89" spans="1:8" s="1578" customFormat="1" ht="18" customHeight="1">
      <c r="A89" s="1922"/>
      <c r="B89" s="1513" t="s">
        <v>231</v>
      </c>
      <c r="C89" s="1504"/>
      <c r="D89" s="1522"/>
      <c r="E89" s="1523"/>
      <c r="F89" s="1923">
        <f t="shared" si="2"/>
        <v>0</v>
      </c>
      <c r="G89" s="1667"/>
    </row>
    <row r="90" spans="1:8" ht="18" customHeight="1">
      <c r="A90" s="1925">
        <v>1</v>
      </c>
      <c r="B90" s="1512" t="s">
        <v>5733</v>
      </c>
      <c r="C90" s="1505" t="s">
        <v>545</v>
      </c>
      <c r="D90" s="1524">
        <v>1280.97</v>
      </c>
      <c r="E90" s="1987">
        <f>DGTH!$K$146</f>
        <v>4733400</v>
      </c>
      <c r="F90" s="1926">
        <f t="shared" si="2"/>
        <v>6063343398</v>
      </c>
      <c r="G90" s="1668"/>
    </row>
    <row r="91" spans="1:8" ht="18" customHeight="1">
      <c r="A91" s="1925">
        <v>2</v>
      </c>
      <c r="B91" s="1512" t="s">
        <v>5725</v>
      </c>
      <c r="C91" s="1505" t="s">
        <v>545</v>
      </c>
      <c r="D91" s="1524">
        <v>31.38</v>
      </c>
      <c r="E91" s="1987">
        <f>DGTH!$K$39</f>
        <v>1416900</v>
      </c>
      <c r="F91" s="1926">
        <f t="shared" si="2"/>
        <v>44462322</v>
      </c>
      <c r="G91" s="1668"/>
    </row>
    <row r="92" spans="1:8" ht="18" customHeight="1">
      <c r="A92" s="1925">
        <v>3</v>
      </c>
      <c r="B92" s="1512" t="s">
        <v>5734</v>
      </c>
      <c r="C92" s="1505" t="s">
        <v>557</v>
      </c>
      <c r="D92" s="1524">
        <v>162.16</v>
      </c>
      <c r="E92" s="1987">
        <f>'DGCT Cau'!$I$99</f>
        <v>25741363</v>
      </c>
      <c r="F92" s="1926">
        <f t="shared" si="2"/>
        <v>4174219424.0799999</v>
      </c>
      <c r="G92" s="1668"/>
    </row>
    <row r="93" spans="1:8" ht="18" customHeight="1">
      <c r="A93" s="1925">
        <v>4</v>
      </c>
      <c r="B93" s="1512" t="s">
        <v>5610</v>
      </c>
      <c r="C93" s="1505" t="s">
        <v>545</v>
      </c>
      <c r="D93" s="1524">
        <v>2461</v>
      </c>
      <c r="E93" s="1987">
        <f>DGTH!$K$42</f>
        <v>382600</v>
      </c>
      <c r="F93" s="1926">
        <f t="shared" si="2"/>
        <v>941578600</v>
      </c>
      <c r="G93" s="1668"/>
    </row>
    <row r="94" spans="1:8" ht="18" customHeight="1">
      <c r="A94" s="1925">
        <v>5</v>
      </c>
      <c r="B94" s="1512" t="s">
        <v>110</v>
      </c>
      <c r="C94" s="1505" t="s">
        <v>545</v>
      </c>
      <c r="D94" s="1524">
        <v>1182</v>
      </c>
      <c r="E94" s="1987">
        <f>'DGCT Cau'!$I$179</f>
        <v>19025</v>
      </c>
      <c r="F94" s="1926">
        <f t="shared" si="2"/>
        <v>22487550</v>
      </c>
      <c r="G94" s="1668"/>
    </row>
    <row r="95" spans="1:8" s="87" customFormat="1" ht="18" customHeight="1">
      <c r="A95" s="1931">
        <v>6</v>
      </c>
      <c r="B95" s="1512" t="s">
        <v>4012</v>
      </c>
      <c r="C95" s="1505" t="s">
        <v>545</v>
      </c>
      <c r="D95" s="1524">
        <v>830.84</v>
      </c>
      <c r="E95" s="1987">
        <f>'DGCT Cau'!$I$2504</f>
        <v>1989300</v>
      </c>
      <c r="F95" s="2094">
        <f>D95*E95</f>
        <v>1652790012</v>
      </c>
      <c r="H95" s="1490"/>
    </row>
    <row r="96" spans="1:8" s="1578" customFormat="1" ht="18" customHeight="1">
      <c r="A96" s="1922"/>
      <c r="B96" s="1513" t="s">
        <v>232</v>
      </c>
      <c r="C96" s="1504"/>
      <c r="D96" s="1522"/>
      <c r="E96" s="1523"/>
      <c r="F96" s="1923">
        <f t="shared" si="2"/>
        <v>0</v>
      </c>
      <c r="G96" s="1667"/>
    </row>
    <row r="97" spans="1:14" ht="18" customHeight="1">
      <c r="A97" s="1925">
        <v>1</v>
      </c>
      <c r="B97" s="1512" t="s">
        <v>5735</v>
      </c>
      <c r="C97" s="1505" t="s">
        <v>545</v>
      </c>
      <c r="D97" s="1524">
        <v>174.32</v>
      </c>
      <c r="E97" s="1987">
        <f>DGTH!$K$161</f>
        <v>5011300</v>
      </c>
      <c r="F97" s="1926">
        <f t="shared" si="2"/>
        <v>873569816</v>
      </c>
      <c r="G97" s="1668"/>
    </row>
    <row r="98" spans="1:14" ht="18" customHeight="1">
      <c r="A98" s="1925">
        <v>2</v>
      </c>
      <c r="B98" s="1512" t="s">
        <v>5736</v>
      </c>
      <c r="C98" s="1505" t="s">
        <v>557</v>
      </c>
      <c r="D98" s="1524">
        <v>4.04</v>
      </c>
      <c r="E98" s="1987">
        <f>'DGCT Cau'!$I$80</f>
        <v>26387125</v>
      </c>
      <c r="F98" s="1926">
        <f t="shared" si="2"/>
        <v>106603985</v>
      </c>
      <c r="G98" s="1668"/>
    </row>
    <row r="99" spans="1:14" ht="18" customHeight="1">
      <c r="A99" s="1925">
        <v>3</v>
      </c>
      <c r="B99" s="1512" t="s">
        <v>4067</v>
      </c>
      <c r="C99" s="1505" t="s">
        <v>557</v>
      </c>
      <c r="D99" s="1524">
        <v>30.83</v>
      </c>
      <c r="E99" s="1987">
        <f>'DGCT Cau'!$I$99</f>
        <v>25741363</v>
      </c>
      <c r="F99" s="1926">
        <f t="shared" si="2"/>
        <v>793606221.28999996</v>
      </c>
      <c r="G99" s="1668"/>
    </row>
    <row r="100" spans="1:14" s="1578" customFormat="1" ht="18" customHeight="1">
      <c r="A100" s="1922"/>
      <c r="B100" s="1513" t="s">
        <v>316</v>
      </c>
      <c r="C100" s="1504"/>
      <c r="D100" s="1522"/>
      <c r="E100" s="1523"/>
      <c r="F100" s="1923">
        <f t="shared" si="2"/>
        <v>0</v>
      </c>
      <c r="G100" s="1667"/>
    </row>
    <row r="101" spans="1:14" ht="18" customHeight="1">
      <c r="A101" s="1925">
        <v>1</v>
      </c>
      <c r="B101" s="1512" t="s">
        <v>568</v>
      </c>
      <c r="C101" s="1505" t="s">
        <v>545</v>
      </c>
      <c r="D101" s="1524">
        <v>0.43</v>
      </c>
      <c r="E101" s="1987">
        <f>'DGCT Cau'!$I$194</f>
        <v>32506922</v>
      </c>
      <c r="F101" s="1926">
        <f t="shared" si="2"/>
        <v>13977976.459999999</v>
      </c>
      <c r="G101" s="1668"/>
    </row>
    <row r="102" spans="1:14" ht="18" customHeight="1">
      <c r="A102" s="1925">
        <v>2</v>
      </c>
      <c r="B102" s="1512" t="s">
        <v>3658</v>
      </c>
      <c r="C102" s="1505" t="s">
        <v>545</v>
      </c>
      <c r="D102" s="1524">
        <v>0.05</v>
      </c>
      <c r="E102" s="1987">
        <f>'DGCT Cau'!$I$2696</f>
        <v>80658000</v>
      </c>
      <c r="F102" s="1926">
        <f t="shared" si="2"/>
        <v>4032900</v>
      </c>
      <c r="G102" s="1669"/>
    </row>
    <row r="103" spans="1:14" ht="18" customHeight="1">
      <c r="A103" s="1925">
        <v>3</v>
      </c>
      <c r="B103" s="1512" t="s">
        <v>4035</v>
      </c>
      <c r="C103" s="1505" t="s">
        <v>545</v>
      </c>
      <c r="D103" s="1524">
        <v>0.44</v>
      </c>
      <c r="E103" s="1987">
        <f>DGTH!$K$128</f>
        <v>4006800</v>
      </c>
      <c r="F103" s="1926">
        <f t="shared" si="2"/>
        <v>1762992</v>
      </c>
      <c r="G103" s="1668"/>
    </row>
    <row r="104" spans="1:14" ht="18" customHeight="1">
      <c r="A104" s="1925">
        <v>4</v>
      </c>
      <c r="B104" s="1512" t="s">
        <v>3659</v>
      </c>
      <c r="C104" s="1505" t="s">
        <v>557</v>
      </c>
      <c r="D104" s="1524">
        <v>1.19</v>
      </c>
      <c r="E104" s="1987">
        <f>'DGCT Cau'!$I$2683</f>
        <v>55486900</v>
      </c>
      <c r="F104" s="1926">
        <f t="shared" si="2"/>
        <v>66029411</v>
      </c>
      <c r="G104" s="1668"/>
    </row>
    <row r="105" spans="1:14" ht="18" customHeight="1">
      <c r="A105" s="1925">
        <v>5</v>
      </c>
      <c r="B105" s="1512" t="s">
        <v>5713</v>
      </c>
      <c r="C105" s="1505" t="s">
        <v>557</v>
      </c>
      <c r="D105" s="1524">
        <v>0.46</v>
      </c>
      <c r="E105" s="1987">
        <f>'DGCT Cau'!$I$80</f>
        <v>26387125</v>
      </c>
      <c r="F105" s="1926">
        <f t="shared" si="2"/>
        <v>12138077.5</v>
      </c>
      <c r="G105" s="1668"/>
    </row>
    <row r="106" spans="1:14" ht="18" customHeight="1">
      <c r="A106" s="1925">
        <v>6</v>
      </c>
      <c r="B106" s="1512" t="s">
        <v>5727</v>
      </c>
      <c r="C106" s="1505" t="s">
        <v>557</v>
      </c>
      <c r="D106" s="1524">
        <v>0.05</v>
      </c>
      <c r="E106" s="1987">
        <f>DGTH!$K$132</f>
        <v>39106400</v>
      </c>
      <c r="F106" s="1926">
        <f t="shared" si="2"/>
        <v>1955320</v>
      </c>
      <c r="G106" s="1669"/>
    </row>
    <row r="107" spans="1:14" ht="18" customHeight="1">
      <c r="A107" s="1925">
        <v>7</v>
      </c>
      <c r="B107" s="1512" t="s">
        <v>122</v>
      </c>
      <c r="C107" s="1505" t="s">
        <v>548</v>
      </c>
      <c r="D107" s="1524">
        <v>1.3</v>
      </c>
      <c r="E107" s="1987">
        <f>'DGCT Cau'!$I$272</f>
        <v>201065</v>
      </c>
      <c r="F107" s="1926">
        <f t="shared" si="2"/>
        <v>261384.5</v>
      </c>
      <c r="G107" s="1668"/>
    </row>
    <row r="108" spans="1:14" s="1578" customFormat="1" ht="32.1" customHeight="1">
      <c r="A108" s="1922"/>
      <c r="B108" s="1513" t="s">
        <v>5737</v>
      </c>
      <c r="C108" s="1504" t="s">
        <v>543</v>
      </c>
      <c r="D108" s="1522">
        <v>1488.65</v>
      </c>
      <c r="E108" s="1523"/>
      <c r="F108" s="1923">
        <f t="shared" si="2"/>
        <v>0</v>
      </c>
      <c r="G108" s="1667">
        <f>SUM(F109:F117)</f>
        <v>23137175950</v>
      </c>
      <c r="N108" s="1578">
        <f>20*73</f>
        <v>1460</v>
      </c>
    </row>
    <row r="109" spans="1:14" ht="18" customHeight="1">
      <c r="A109" s="1925">
        <v>1</v>
      </c>
      <c r="B109" s="1512" t="s">
        <v>5860</v>
      </c>
      <c r="C109" s="1505" t="s">
        <v>543</v>
      </c>
      <c r="D109" s="1524">
        <v>600</v>
      </c>
      <c r="E109" s="1987">
        <f>DGTH!$K$135</f>
        <v>3877900</v>
      </c>
      <c r="F109" s="1926">
        <f t="shared" si="2"/>
        <v>2326740000</v>
      </c>
      <c r="G109" s="1667">
        <f>G108/N108</f>
        <v>15847380.787671233</v>
      </c>
    </row>
    <row r="110" spans="1:14" ht="18" customHeight="1">
      <c r="A110" s="1925">
        <v>2</v>
      </c>
      <c r="B110" s="1512" t="s">
        <v>5861</v>
      </c>
      <c r="C110" s="1505" t="s">
        <v>543</v>
      </c>
      <c r="D110" s="1524">
        <v>990</v>
      </c>
      <c r="E110" s="1987">
        <f>DGTH!$K$138</f>
        <v>3911000</v>
      </c>
      <c r="F110" s="1926">
        <f t="shared" si="2"/>
        <v>3871890000</v>
      </c>
      <c r="G110" s="1668"/>
    </row>
    <row r="111" spans="1:14" ht="18" customHeight="1">
      <c r="A111" s="1925">
        <v>3</v>
      </c>
      <c r="B111" s="1512" t="s">
        <v>4014</v>
      </c>
      <c r="C111" s="1505" t="s">
        <v>545</v>
      </c>
      <c r="D111" s="1916">
        <v>2611.6999999999998</v>
      </c>
      <c r="E111" s="1987">
        <f>DGTH!$K$64</f>
        <v>2421900</v>
      </c>
      <c r="F111" s="1926">
        <f t="shared" si="2"/>
        <v>6325276230</v>
      </c>
      <c r="G111" s="1668"/>
    </row>
    <row r="112" spans="1:14" ht="18" customHeight="1">
      <c r="A112" s="1925">
        <v>4</v>
      </c>
      <c r="B112" s="1512" t="s">
        <v>4050</v>
      </c>
      <c r="C112" s="1505" t="s">
        <v>557</v>
      </c>
      <c r="D112" s="1524">
        <v>27.5</v>
      </c>
      <c r="E112" s="1987">
        <f>DGTH!$K$67</f>
        <v>28760600</v>
      </c>
      <c r="F112" s="1926">
        <f t="shared" ref="F112:F160" si="3">D112*E112</f>
        <v>790916500</v>
      </c>
      <c r="G112" s="1668"/>
    </row>
    <row r="113" spans="1:7" ht="18" customHeight="1">
      <c r="A113" s="1925">
        <v>5</v>
      </c>
      <c r="B113" s="1512" t="s">
        <v>4051</v>
      </c>
      <c r="C113" s="1505" t="s">
        <v>557</v>
      </c>
      <c r="D113" s="1524">
        <v>265.77999999999997</v>
      </c>
      <c r="E113" s="1987">
        <f>DGTH!$K$70</f>
        <v>27886300</v>
      </c>
      <c r="F113" s="1926">
        <f t="shared" si="3"/>
        <v>7411620813.999999</v>
      </c>
      <c r="G113" s="1668"/>
    </row>
    <row r="114" spans="1:7" ht="18" customHeight="1">
      <c r="A114" s="1925">
        <v>6</v>
      </c>
      <c r="B114" s="1512" t="s">
        <v>3828</v>
      </c>
      <c r="C114" s="1505" t="s">
        <v>543</v>
      </c>
      <c r="D114" s="1916">
        <v>6368</v>
      </c>
      <c r="E114" s="1987">
        <f>'DGCT Cau'!$I$508</f>
        <v>178095</v>
      </c>
      <c r="F114" s="1926">
        <f t="shared" si="3"/>
        <v>1134108960</v>
      </c>
      <c r="G114" s="1668"/>
    </row>
    <row r="115" spans="1:7" ht="18" customHeight="1">
      <c r="A115" s="1925">
        <v>7</v>
      </c>
      <c r="B115" s="1512" t="s">
        <v>3829</v>
      </c>
      <c r="C115" s="1505" t="s">
        <v>543</v>
      </c>
      <c r="D115" s="1916">
        <v>1576</v>
      </c>
      <c r="E115" s="1987">
        <f>'DGCT Cau'!$I$524</f>
        <v>644403</v>
      </c>
      <c r="F115" s="1926">
        <f t="shared" si="3"/>
        <v>1015579128</v>
      </c>
      <c r="G115" s="1668"/>
    </row>
    <row r="116" spans="1:7" ht="18" customHeight="1">
      <c r="A116" s="1925">
        <v>8</v>
      </c>
      <c r="B116" s="1512" t="s">
        <v>230</v>
      </c>
      <c r="C116" s="1505" t="s">
        <v>545</v>
      </c>
      <c r="D116" s="1524">
        <v>14.9</v>
      </c>
      <c r="E116" s="1987">
        <f>'DGCT Cau'!$I$2955</f>
        <v>14312100</v>
      </c>
      <c r="F116" s="1926">
        <f t="shared" si="3"/>
        <v>213250290</v>
      </c>
      <c r="G116" s="1670"/>
    </row>
    <row r="117" spans="1:7" ht="18" customHeight="1">
      <c r="A117" s="1925">
        <v>9</v>
      </c>
      <c r="B117" s="1512" t="s">
        <v>41</v>
      </c>
      <c r="C117" s="1505" t="s">
        <v>545</v>
      </c>
      <c r="D117" s="1524">
        <v>51.58</v>
      </c>
      <c r="E117" s="1987">
        <f>DGTH!$K$77</f>
        <v>926600</v>
      </c>
      <c r="F117" s="1926">
        <f t="shared" si="3"/>
        <v>47794028</v>
      </c>
      <c r="G117" s="1668"/>
    </row>
    <row r="118" spans="1:7" s="1578" customFormat="1" ht="18" customHeight="1">
      <c r="A118" s="1922" t="s">
        <v>5739</v>
      </c>
      <c r="B118" s="1513" t="s">
        <v>105</v>
      </c>
      <c r="C118" s="1504"/>
      <c r="D118" s="1522"/>
      <c r="E118" s="1523"/>
      <c r="F118" s="1923">
        <f>SUM(F119:F123)</f>
        <v>1779895400</v>
      </c>
      <c r="G118" s="1667"/>
    </row>
    <row r="119" spans="1:7" ht="18" customHeight="1">
      <c r="A119" s="1925">
        <v>1</v>
      </c>
      <c r="B119" s="1512" t="s">
        <v>3988</v>
      </c>
      <c r="C119" s="1505" t="s">
        <v>557</v>
      </c>
      <c r="D119" s="1916">
        <v>1450</v>
      </c>
      <c r="E119" s="1987">
        <f>ROUND(800000*$G$5,-2)</f>
        <v>1013800</v>
      </c>
      <c r="F119" s="1926">
        <f t="shared" ref="F119:F123" si="4">D119*E119</f>
        <v>1470010000</v>
      </c>
      <c r="G119" s="1668"/>
    </row>
    <row r="120" spans="1:7" ht="18" customHeight="1">
      <c r="A120" s="1925">
        <v>2</v>
      </c>
      <c r="B120" s="1512" t="s">
        <v>5740</v>
      </c>
      <c r="C120" s="1505" t="s">
        <v>275</v>
      </c>
      <c r="D120" s="1524">
        <v>2</v>
      </c>
      <c r="E120" s="1987">
        <f>ROUND(40000000/1.1*$G$5,-2)</f>
        <v>46082900</v>
      </c>
      <c r="F120" s="1926">
        <f t="shared" si="4"/>
        <v>92165800</v>
      </c>
      <c r="G120" s="1668"/>
    </row>
    <row r="121" spans="1:7" ht="18" customHeight="1">
      <c r="A121" s="1925">
        <v>3</v>
      </c>
      <c r="B121" s="1512" t="s">
        <v>5741</v>
      </c>
      <c r="C121" s="1505" t="s">
        <v>276</v>
      </c>
      <c r="D121" s="1524">
        <v>4</v>
      </c>
      <c r="E121" s="1987">
        <f>ROUND(110000*$G$5,-2)</f>
        <v>139400</v>
      </c>
      <c r="F121" s="1926">
        <f t="shared" si="4"/>
        <v>557600</v>
      </c>
      <c r="G121" s="1668"/>
    </row>
    <row r="122" spans="1:7" ht="18" customHeight="1">
      <c r="A122" s="1925">
        <v>4</v>
      </c>
      <c r="B122" s="1512" t="s">
        <v>3910</v>
      </c>
      <c r="C122" s="1505" t="s">
        <v>686</v>
      </c>
      <c r="D122" s="1916">
        <v>346</v>
      </c>
      <c r="E122" s="1987">
        <f>ROUND(3000000/6/1.1*$G$5,-2)</f>
        <v>576000</v>
      </c>
      <c r="F122" s="1926">
        <f t="shared" si="4"/>
        <v>199296000</v>
      </c>
      <c r="G122" s="1668"/>
    </row>
    <row r="123" spans="1:7" ht="18" customHeight="1">
      <c r="A123" s="1925">
        <v>5</v>
      </c>
      <c r="B123" s="1512" t="s">
        <v>5742</v>
      </c>
      <c r="C123" s="1505" t="s">
        <v>275</v>
      </c>
      <c r="D123" s="1524">
        <v>4</v>
      </c>
      <c r="E123" s="1987">
        <f>'DGCT Cau'!$I$3319</f>
        <v>4466500</v>
      </c>
      <c r="F123" s="1926">
        <f t="shared" si="4"/>
        <v>17866000</v>
      </c>
      <c r="G123" s="1668"/>
    </row>
    <row r="124" spans="1:7" s="2075" customFormat="1" ht="18" customHeight="1">
      <c r="A124" s="1922" t="s">
        <v>531</v>
      </c>
      <c r="B124" s="1591" t="s">
        <v>279</v>
      </c>
      <c r="C124" s="1504"/>
      <c r="D124" s="1522"/>
      <c r="E124" s="1523"/>
      <c r="F124" s="1923">
        <f>F125+F156+F161+F188+F204+F208</f>
        <v>57190157361.570007</v>
      </c>
      <c r="G124" s="1667"/>
    </row>
    <row r="125" spans="1:7" s="2075" customFormat="1" ht="47.25">
      <c r="A125" s="1922" t="s">
        <v>5743</v>
      </c>
      <c r="B125" s="1513" t="s">
        <v>5960</v>
      </c>
      <c r="C125" s="1504"/>
      <c r="D125" s="1917"/>
      <c r="E125" s="1523"/>
      <c r="F125" s="1923">
        <f>SUM(F126:F155)</f>
        <v>39316428659.12001</v>
      </c>
      <c r="G125" s="1667"/>
    </row>
    <row r="126" spans="1:7" ht="32.1" customHeight="1">
      <c r="A126" s="1925">
        <v>1</v>
      </c>
      <c r="B126" s="1512" t="s">
        <v>5856</v>
      </c>
      <c r="C126" s="1505" t="s">
        <v>545</v>
      </c>
      <c r="D126" s="1524">
        <v>352.02</v>
      </c>
      <c r="E126" s="1987">
        <f>DGTH!$K$167</f>
        <v>6901900</v>
      </c>
      <c r="F126" s="1926">
        <f t="shared" si="3"/>
        <v>2429606838</v>
      </c>
      <c r="G126" s="1668"/>
    </row>
    <row r="127" spans="1:7" ht="18" customHeight="1">
      <c r="A127" s="1925">
        <v>2</v>
      </c>
      <c r="B127" s="1512" t="s">
        <v>3538</v>
      </c>
      <c r="C127" s="1505" t="s">
        <v>545</v>
      </c>
      <c r="D127" s="1524">
        <v>174.93</v>
      </c>
      <c r="E127" s="1987">
        <f>DGTH!$K$171</f>
        <v>7270500</v>
      </c>
      <c r="F127" s="1926">
        <f t="shared" si="3"/>
        <v>1271828565</v>
      </c>
      <c r="G127" s="1668"/>
    </row>
    <row r="128" spans="1:7" ht="18" customHeight="1">
      <c r="A128" s="1925">
        <v>3</v>
      </c>
      <c r="B128" s="1512" t="s">
        <v>170</v>
      </c>
      <c r="C128" s="1505" t="s">
        <v>545</v>
      </c>
      <c r="D128" s="1524">
        <v>635.97</v>
      </c>
      <c r="E128" s="1987">
        <f>DGTH!$K$175</f>
        <v>12471200</v>
      </c>
      <c r="F128" s="1926">
        <f t="shared" si="3"/>
        <v>7931309064</v>
      </c>
      <c r="G128" s="1668"/>
    </row>
    <row r="129" spans="1:7" ht="18" customHeight="1">
      <c r="A129" s="1925">
        <v>4</v>
      </c>
      <c r="B129" s="1512" t="s">
        <v>710</v>
      </c>
      <c r="C129" s="1505" t="s">
        <v>545</v>
      </c>
      <c r="D129" s="1524">
        <v>635.97</v>
      </c>
      <c r="E129" s="1987">
        <f>DGTH!$K$182</f>
        <v>14459800</v>
      </c>
      <c r="F129" s="1926">
        <f t="shared" si="3"/>
        <v>9195999006</v>
      </c>
      <c r="G129" s="1668"/>
    </row>
    <row r="130" spans="1:7" s="1578" customFormat="1" ht="18" customHeight="1">
      <c r="A130" s="1922"/>
      <c r="B130" s="1586" t="s">
        <v>104</v>
      </c>
      <c r="C130" s="1504"/>
      <c r="D130" s="1522"/>
      <c r="E130" s="1523"/>
      <c r="F130" s="1923">
        <f t="shared" si="3"/>
        <v>0</v>
      </c>
      <c r="G130" s="1667"/>
    </row>
    <row r="131" spans="1:7" ht="32.1" customHeight="1">
      <c r="A131" s="1925">
        <v>1</v>
      </c>
      <c r="B131" s="1512" t="s">
        <v>5553</v>
      </c>
      <c r="C131" s="1505" t="s">
        <v>557</v>
      </c>
      <c r="D131" s="1524">
        <v>23.06</v>
      </c>
      <c r="E131" s="1987">
        <f>'DGCT Cau'!$I$780</f>
        <v>27197306</v>
      </c>
      <c r="F131" s="1926">
        <f t="shared" si="3"/>
        <v>627169876.36000001</v>
      </c>
      <c r="G131" s="1668"/>
    </row>
    <row r="132" spans="1:7" ht="32.1" customHeight="1">
      <c r="A132" s="1925">
        <v>2</v>
      </c>
      <c r="B132" s="1512" t="s">
        <v>5862</v>
      </c>
      <c r="C132" s="1505" t="s">
        <v>557</v>
      </c>
      <c r="D132" s="1524">
        <v>36.08</v>
      </c>
      <c r="E132" s="1987">
        <f>'DGCT Cau'!$I$799</f>
        <v>26419212</v>
      </c>
      <c r="F132" s="1926">
        <f t="shared" si="3"/>
        <v>953205168.95999992</v>
      </c>
      <c r="G132" s="1668"/>
    </row>
    <row r="133" spans="1:7" ht="32.1" customHeight="1">
      <c r="A133" s="1925">
        <v>3</v>
      </c>
      <c r="B133" s="1512" t="s">
        <v>5554</v>
      </c>
      <c r="C133" s="1505" t="s">
        <v>557</v>
      </c>
      <c r="D133" s="1524">
        <v>17.059999999999999</v>
      </c>
      <c r="E133" s="1987">
        <f>'DGCT Cau'!$I$780</f>
        <v>27197306</v>
      </c>
      <c r="F133" s="1926">
        <f t="shared" si="3"/>
        <v>463986040.35999995</v>
      </c>
      <c r="G133" s="1668"/>
    </row>
    <row r="134" spans="1:7" ht="18" customHeight="1">
      <c r="A134" s="1925">
        <v>4</v>
      </c>
      <c r="B134" s="1512" t="s">
        <v>5555</v>
      </c>
      <c r="C134" s="1505" t="s">
        <v>557</v>
      </c>
      <c r="D134" s="1524">
        <v>26.68</v>
      </c>
      <c r="E134" s="1987">
        <f>'DGCT Cau'!$I$799</f>
        <v>26419212</v>
      </c>
      <c r="F134" s="1926">
        <f t="shared" si="3"/>
        <v>704864576.15999997</v>
      </c>
      <c r="G134" s="1668"/>
    </row>
    <row r="135" spans="1:7" ht="32.1" customHeight="1">
      <c r="A135" s="1925">
        <v>5</v>
      </c>
      <c r="B135" s="1512" t="s">
        <v>5689</v>
      </c>
      <c r="C135" s="1505" t="s">
        <v>557</v>
      </c>
      <c r="D135" s="1524">
        <v>63.68</v>
      </c>
      <c r="E135" s="1987">
        <f>'DGCT Cau'!$I$780</f>
        <v>27197306</v>
      </c>
      <c r="F135" s="1926">
        <f t="shared" si="3"/>
        <v>1731924446.0799999</v>
      </c>
      <c r="G135" s="1668"/>
    </row>
    <row r="136" spans="1:7" ht="18" customHeight="1">
      <c r="A136" s="1925">
        <v>6</v>
      </c>
      <c r="B136" s="1512" t="s">
        <v>5690</v>
      </c>
      <c r="C136" s="1505" t="s">
        <v>557</v>
      </c>
      <c r="D136" s="1524">
        <v>99.61</v>
      </c>
      <c r="E136" s="1987">
        <f>'DGCT Cau'!$I$799</f>
        <v>26419212</v>
      </c>
      <c r="F136" s="1926">
        <f t="shared" si="3"/>
        <v>2631617707.3200002</v>
      </c>
      <c r="G136" s="1668"/>
    </row>
    <row r="137" spans="1:7" ht="32.1" customHeight="1">
      <c r="A137" s="1925">
        <v>7</v>
      </c>
      <c r="B137" s="1512" t="s">
        <v>5691</v>
      </c>
      <c r="C137" s="1505" t="s">
        <v>557</v>
      </c>
      <c r="D137" s="1524">
        <v>63.68</v>
      </c>
      <c r="E137" s="1987">
        <f>'DGCT Cau'!$I$821</f>
        <v>28291763</v>
      </c>
      <c r="F137" s="1926">
        <f t="shared" si="3"/>
        <v>1801619467.8399999</v>
      </c>
      <c r="G137" s="1668"/>
    </row>
    <row r="138" spans="1:7" ht="32.1" customHeight="1">
      <c r="A138" s="1925">
        <v>8</v>
      </c>
      <c r="B138" s="1512" t="s">
        <v>5692</v>
      </c>
      <c r="C138" s="1505" t="s">
        <v>557</v>
      </c>
      <c r="D138" s="1524">
        <v>99.61</v>
      </c>
      <c r="E138" s="1987">
        <f>'DGCT Cau'!$I$843</f>
        <v>27247208</v>
      </c>
      <c r="F138" s="1926">
        <f t="shared" si="3"/>
        <v>2714094388.8800001</v>
      </c>
      <c r="G138" s="1668"/>
    </row>
    <row r="139" spans="1:7" s="1578" customFormat="1" ht="18" customHeight="1">
      <c r="A139" s="1922"/>
      <c r="B139" s="1513" t="s">
        <v>711</v>
      </c>
      <c r="C139" s="1504"/>
      <c r="D139" s="1522"/>
      <c r="E139" s="1523"/>
      <c r="F139" s="1923">
        <f t="shared" si="3"/>
        <v>0</v>
      </c>
      <c r="G139" s="1667"/>
    </row>
    <row r="140" spans="1:7" ht="18" customHeight="1">
      <c r="A140" s="1925">
        <v>1</v>
      </c>
      <c r="B140" s="1512" t="s">
        <v>570</v>
      </c>
      <c r="C140" s="1505" t="s">
        <v>557</v>
      </c>
      <c r="D140" s="1524">
        <v>42.83</v>
      </c>
      <c r="E140" s="1987">
        <f>'DGCT Cau'!$I$1011</f>
        <v>52922429</v>
      </c>
      <c r="F140" s="1926">
        <f t="shared" si="3"/>
        <v>2266667634.0699997</v>
      </c>
      <c r="G140" s="1668"/>
    </row>
    <row r="141" spans="1:7" ht="18" customHeight="1">
      <c r="A141" s="1925"/>
      <c r="B141" s="1512" t="s">
        <v>5744</v>
      </c>
      <c r="C141" s="1505"/>
      <c r="D141" s="1524">
        <v>39.549999999999997</v>
      </c>
      <c r="E141" s="1525"/>
      <c r="F141" s="1926">
        <f t="shared" si="3"/>
        <v>0</v>
      </c>
      <c r="G141" s="1668"/>
    </row>
    <row r="142" spans="1:7" ht="18" customHeight="1">
      <c r="A142" s="1925"/>
      <c r="B142" s="1512" t="s">
        <v>5745</v>
      </c>
      <c r="C142" s="1505"/>
      <c r="D142" s="1524">
        <v>3.28</v>
      </c>
      <c r="E142" s="1525"/>
      <c r="F142" s="1926">
        <f t="shared" si="3"/>
        <v>0</v>
      </c>
      <c r="G142" s="1668"/>
    </row>
    <row r="143" spans="1:7" ht="18" customHeight="1">
      <c r="A143" s="1925">
        <v>2</v>
      </c>
      <c r="B143" s="1512" t="s">
        <v>574</v>
      </c>
      <c r="C143" s="1505" t="s">
        <v>557</v>
      </c>
      <c r="D143" s="1524">
        <v>42.83</v>
      </c>
      <c r="E143" s="1987">
        <f>'DGCT Cau'!$I$1039</f>
        <v>57108977</v>
      </c>
      <c r="F143" s="1926">
        <f t="shared" si="3"/>
        <v>2445977484.9099998</v>
      </c>
      <c r="G143" s="1671"/>
    </row>
    <row r="144" spans="1:7" ht="18" customHeight="1">
      <c r="A144" s="1925"/>
      <c r="B144" s="1512" t="s">
        <v>5746</v>
      </c>
      <c r="C144" s="1505"/>
      <c r="D144" s="1524">
        <v>39.549999999999997</v>
      </c>
      <c r="E144" s="1525"/>
      <c r="F144" s="1926">
        <f t="shared" si="3"/>
        <v>0</v>
      </c>
      <c r="G144" s="1668"/>
    </row>
    <row r="145" spans="1:7" ht="18" customHeight="1">
      <c r="A145" s="1925"/>
      <c r="B145" s="1512" t="s">
        <v>5747</v>
      </c>
      <c r="C145" s="1505"/>
      <c r="D145" s="1524">
        <v>3.28</v>
      </c>
      <c r="E145" s="1525"/>
      <c r="F145" s="1926">
        <f t="shared" si="3"/>
        <v>0</v>
      </c>
      <c r="G145" s="1668"/>
    </row>
    <row r="146" spans="1:7" ht="18" customHeight="1">
      <c r="A146" s="1925">
        <v>3</v>
      </c>
      <c r="B146" s="1512" t="s">
        <v>2236</v>
      </c>
      <c r="C146" s="1505" t="s">
        <v>557</v>
      </c>
      <c r="D146" s="1524">
        <v>3.34</v>
      </c>
      <c r="E146" s="1987">
        <f>'DGCT Cau'!$I$1065</f>
        <v>51104458</v>
      </c>
      <c r="F146" s="1926">
        <f t="shared" si="3"/>
        <v>170688889.72</v>
      </c>
      <c r="G146" s="1671"/>
    </row>
    <row r="147" spans="1:7" ht="18" customHeight="1">
      <c r="A147" s="1925"/>
      <c r="B147" s="1512" t="s">
        <v>5748</v>
      </c>
      <c r="C147" s="1505"/>
      <c r="D147" s="1524">
        <v>1.84</v>
      </c>
      <c r="E147" s="1525"/>
      <c r="F147" s="1926">
        <f t="shared" si="3"/>
        <v>0</v>
      </c>
      <c r="G147" s="1668"/>
    </row>
    <row r="148" spans="1:7" ht="18" customHeight="1">
      <c r="A148" s="1925"/>
      <c r="B148" s="1512" t="s">
        <v>5749</v>
      </c>
      <c r="C148" s="1505"/>
      <c r="D148" s="1524">
        <v>1.49</v>
      </c>
      <c r="E148" s="1525"/>
      <c r="F148" s="1926">
        <f t="shared" si="3"/>
        <v>0</v>
      </c>
      <c r="G148" s="1668"/>
    </row>
    <row r="149" spans="1:7" ht="18" customHeight="1">
      <c r="A149" s="1925">
        <v>4</v>
      </c>
      <c r="B149" s="1512" t="s">
        <v>2063</v>
      </c>
      <c r="C149" s="1505" t="s">
        <v>307</v>
      </c>
      <c r="D149" s="1524">
        <v>68</v>
      </c>
      <c r="E149" s="1987">
        <f>'DGCT Cau'!$I$1083</f>
        <v>4149713</v>
      </c>
      <c r="F149" s="1926">
        <f t="shared" si="3"/>
        <v>282180484</v>
      </c>
      <c r="G149" s="1668"/>
    </row>
    <row r="150" spans="1:7" ht="18" customHeight="1">
      <c r="A150" s="1925">
        <v>5</v>
      </c>
      <c r="B150" s="1512" t="s">
        <v>2064</v>
      </c>
      <c r="C150" s="1505" t="s">
        <v>307</v>
      </c>
      <c r="D150" s="1524">
        <v>54</v>
      </c>
      <c r="E150" s="1987">
        <f>'DGCT Cau'!$I$1101</f>
        <v>2407267</v>
      </c>
      <c r="F150" s="1926">
        <f t="shared" si="3"/>
        <v>129992418</v>
      </c>
      <c r="G150" s="1668"/>
    </row>
    <row r="151" spans="1:7" ht="18" customHeight="1">
      <c r="A151" s="1925">
        <v>6</v>
      </c>
      <c r="B151" s="1512" t="s">
        <v>3524</v>
      </c>
      <c r="C151" s="1505" t="s">
        <v>307</v>
      </c>
      <c r="D151" s="1524">
        <v>281</v>
      </c>
      <c r="E151" s="1987">
        <f>'DGCT Cau'!$I$1119</f>
        <v>833789</v>
      </c>
      <c r="F151" s="1926">
        <f t="shared" si="3"/>
        <v>234294709</v>
      </c>
      <c r="G151" s="1668"/>
    </row>
    <row r="152" spans="1:7" ht="18" customHeight="1">
      <c r="A152" s="1925">
        <v>7</v>
      </c>
      <c r="B152" s="1512" t="s">
        <v>2065</v>
      </c>
      <c r="C152" s="1505" t="s">
        <v>543</v>
      </c>
      <c r="D152" s="1524">
        <v>1992.08</v>
      </c>
      <c r="E152" s="1987">
        <f>'DGCT Cau'!$I$1140</f>
        <v>139705</v>
      </c>
      <c r="F152" s="1926">
        <f t="shared" si="3"/>
        <v>278303536.39999998</v>
      </c>
      <c r="G152" s="1668"/>
    </row>
    <row r="153" spans="1:7" ht="18" customHeight="1">
      <c r="A153" s="1925">
        <v>8</v>
      </c>
      <c r="B153" s="1512" t="s">
        <v>333</v>
      </c>
      <c r="C153" s="1505" t="s">
        <v>543</v>
      </c>
      <c r="D153" s="1524">
        <v>1359.6</v>
      </c>
      <c r="E153" s="1987">
        <f>'DGCT Cau'!$I$1161</f>
        <v>125374</v>
      </c>
      <c r="F153" s="1926">
        <f t="shared" si="3"/>
        <v>170458490.39999998</v>
      </c>
      <c r="G153" s="1668"/>
    </row>
    <row r="154" spans="1:7" ht="18" customHeight="1">
      <c r="A154" s="1925">
        <v>9</v>
      </c>
      <c r="B154" s="1512" t="s">
        <v>3622</v>
      </c>
      <c r="C154" s="1505" t="s">
        <v>543</v>
      </c>
      <c r="D154" s="1524">
        <v>1854.6</v>
      </c>
      <c r="E154" s="1987">
        <f>'DGCT Cau'!$I$3032</f>
        <v>110900</v>
      </c>
      <c r="F154" s="1926">
        <f t="shared" si="3"/>
        <v>205675140</v>
      </c>
      <c r="G154" s="1668"/>
    </row>
    <row r="155" spans="1:7" ht="18" customHeight="1">
      <c r="A155" s="1925">
        <v>10</v>
      </c>
      <c r="B155" s="1512" t="s">
        <v>2196</v>
      </c>
      <c r="C155" s="1505" t="s">
        <v>545</v>
      </c>
      <c r="D155" s="1524">
        <v>28.51</v>
      </c>
      <c r="E155" s="1987">
        <f>'DGCT Cau'!$I$1182</f>
        <v>23674666</v>
      </c>
      <c r="F155" s="1926">
        <f t="shared" si="3"/>
        <v>674964727.66000009</v>
      </c>
      <c r="G155" s="1668"/>
    </row>
    <row r="156" spans="1:7" s="2075" customFormat="1" ht="18" customHeight="1">
      <c r="A156" s="1922" t="s">
        <v>5750</v>
      </c>
      <c r="B156" s="1513" t="s">
        <v>309</v>
      </c>
      <c r="C156" s="1504"/>
      <c r="D156" s="1522"/>
      <c r="E156" s="1523"/>
      <c r="F156" s="1923">
        <f>SUM(F157:F160)</f>
        <v>2391885821</v>
      </c>
      <c r="G156" s="1667"/>
    </row>
    <row r="157" spans="1:7" ht="18" customHeight="1">
      <c r="A157" s="1925">
        <v>1</v>
      </c>
      <c r="B157" s="1512" t="s">
        <v>5911</v>
      </c>
      <c r="C157" s="1505" t="s">
        <v>307</v>
      </c>
      <c r="D157" s="1524">
        <v>1</v>
      </c>
      <c r="E157" s="1987">
        <f>'DGCT Cau'!$I$1196+'DGCT Cau'!$I$1668</f>
        <v>805643785</v>
      </c>
      <c r="F157" s="1926">
        <f t="shared" si="3"/>
        <v>805643785</v>
      </c>
      <c r="G157" s="1668"/>
    </row>
    <row r="158" spans="1:7" ht="18" customHeight="1">
      <c r="A158" s="1925">
        <v>2</v>
      </c>
      <c r="B158" s="1512" t="s">
        <v>5914</v>
      </c>
      <c r="C158" s="1505" t="s">
        <v>307</v>
      </c>
      <c r="D158" s="1524">
        <v>1</v>
      </c>
      <c r="E158" s="1987">
        <f>'DGCT Cau'!$I$1210+'DGCT Cau'!$I$1668</f>
        <v>1089793290</v>
      </c>
      <c r="F158" s="1926">
        <f t="shared" si="3"/>
        <v>1089793290</v>
      </c>
      <c r="G158" s="1668"/>
    </row>
    <row r="159" spans="1:7" ht="32.1" customHeight="1">
      <c r="A159" s="1925">
        <v>3</v>
      </c>
      <c r="B159" s="1512" t="s">
        <v>5913</v>
      </c>
      <c r="C159" s="1505" t="s">
        <v>307</v>
      </c>
      <c r="D159" s="1524">
        <v>1</v>
      </c>
      <c r="E159" s="1987">
        <f>'DGCT Cau'!$I$1238+'DGCT Cau'!$I$1668</f>
        <v>264223782</v>
      </c>
      <c r="F159" s="1926">
        <f t="shared" si="3"/>
        <v>264223782</v>
      </c>
      <c r="G159" s="1668"/>
    </row>
    <row r="160" spans="1:7" ht="18" customHeight="1">
      <c r="A160" s="1925">
        <v>4</v>
      </c>
      <c r="B160" s="1512" t="s">
        <v>5912</v>
      </c>
      <c r="C160" s="1505" t="s">
        <v>307</v>
      </c>
      <c r="D160" s="1524">
        <v>1</v>
      </c>
      <c r="E160" s="1987">
        <f>'DGCT Cau'!$I$1252+'DGCT Cau'!$I$1668</f>
        <v>232224964</v>
      </c>
      <c r="F160" s="1926">
        <f t="shared" si="3"/>
        <v>232224964</v>
      </c>
      <c r="G160" s="1668"/>
    </row>
    <row r="161" spans="1:7" s="2075" customFormat="1" ht="18" customHeight="1">
      <c r="A161" s="1922" t="s">
        <v>5945</v>
      </c>
      <c r="B161" s="1513" t="s">
        <v>713</v>
      </c>
      <c r="C161" s="1504"/>
      <c r="D161" s="1522">
        <v>0</v>
      </c>
      <c r="E161" s="1523"/>
      <c r="F161" s="1923">
        <f>SUM(F162:F187)</f>
        <v>10646794786.450001</v>
      </c>
      <c r="G161" s="1667"/>
    </row>
    <row r="162" spans="1:7" s="1578" customFormat="1" ht="18" customHeight="1">
      <c r="A162" s="1922"/>
      <c r="B162" s="1513" t="s">
        <v>5754</v>
      </c>
      <c r="C162" s="1504"/>
      <c r="D162" s="1522"/>
      <c r="E162" s="1523"/>
      <c r="F162" s="1923">
        <f t="shared" ref="F162:F184" si="5">D162*E162</f>
        <v>0</v>
      </c>
      <c r="G162" s="1667"/>
    </row>
    <row r="163" spans="1:7" ht="18" customHeight="1">
      <c r="A163" s="1925">
        <v>1</v>
      </c>
      <c r="B163" s="1512" t="s">
        <v>5755</v>
      </c>
      <c r="C163" s="1505" t="s">
        <v>740</v>
      </c>
      <c r="D163" s="1916">
        <v>12</v>
      </c>
      <c r="E163" s="1987">
        <f>'DGCT Cau'!$I$3301</f>
        <v>506912000</v>
      </c>
      <c r="F163" s="1926">
        <f>D163*E163</f>
        <v>6082944000</v>
      </c>
      <c r="G163" s="1668"/>
    </row>
    <row r="164" spans="1:7" ht="18" customHeight="1">
      <c r="A164" s="1925">
        <v>2</v>
      </c>
      <c r="B164" s="1512" t="s">
        <v>5756</v>
      </c>
      <c r="C164" s="1505" t="s">
        <v>740</v>
      </c>
      <c r="D164" s="1916">
        <v>12</v>
      </c>
      <c r="E164" s="1987">
        <f>DGTH!$K$210</f>
        <v>20499900</v>
      </c>
      <c r="F164" s="1926">
        <f t="shared" si="5"/>
        <v>245998800</v>
      </c>
      <c r="G164" s="1668"/>
    </row>
    <row r="165" spans="1:7" s="1578" customFormat="1" ht="18" customHeight="1">
      <c r="A165" s="1922"/>
      <c r="B165" s="1513" t="s">
        <v>309</v>
      </c>
      <c r="C165" s="1504"/>
      <c r="D165" s="1522">
        <v>0</v>
      </c>
      <c r="E165" s="1523"/>
      <c r="F165" s="1923">
        <f t="shared" si="5"/>
        <v>0</v>
      </c>
      <c r="G165" s="1667"/>
    </row>
    <row r="166" spans="1:7" ht="18" customHeight="1">
      <c r="A166" s="1925">
        <v>2</v>
      </c>
      <c r="B166" s="1512" t="s">
        <v>5916</v>
      </c>
      <c r="C166" s="1505" t="s">
        <v>307</v>
      </c>
      <c r="D166" s="1916">
        <v>24</v>
      </c>
      <c r="E166" s="1987">
        <f>'DGCT Cau'!$I$1411</f>
        <v>10738783</v>
      </c>
      <c r="F166" s="1926">
        <f t="shared" si="5"/>
        <v>257730792</v>
      </c>
      <c r="G166" s="1668" t="s">
        <v>5915</v>
      </c>
    </row>
    <row r="167" spans="1:7" s="1578" customFormat="1" ht="18" customHeight="1">
      <c r="A167" s="1922"/>
      <c r="B167" s="1513" t="s">
        <v>61</v>
      </c>
      <c r="C167" s="1504"/>
      <c r="D167" s="1522">
        <v>0</v>
      </c>
      <c r="E167" s="1523"/>
      <c r="F167" s="1923">
        <f t="shared" si="5"/>
        <v>0</v>
      </c>
      <c r="G167" s="1667"/>
    </row>
    <row r="168" spans="1:7" ht="18" customHeight="1">
      <c r="A168" s="1925">
        <v>1</v>
      </c>
      <c r="B168" s="1512" t="s">
        <v>568</v>
      </c>
      <c r="C168" s="1505" t="s">
        <v>545</v>
      </c>
      <c r="D168" s="1524">
        <v>0.44</v>
      </c>
      <c r="E168" s="1987">
        <f>DGTH!$K$213</f>
        <v>33602700</v>
      </c>
      <c r="F168" s="1926">
        <f t="shared" si="5"/>
        <v>14785188</v>
      </c>
      <c r="G168" s="1668"/>
    </row>
    <row r="169" spans="1:7" ht="18" customHeight="1">
      <c r="A169" s="1925">
        <v>2</v>
      </c>
      <c r="B169" s="1512" t="s">
        <v>5727</v>
      </c>
      <c r="C169" s="1505" t="s">
        <v>557</v>
      </c>
      <c r="D169" s="1524">
        <v>2.2599999999999998</v>
      </c>
      <c r="E169" s="1987">
        <f>DGTH!$K$132</f>
        <v>39106400</v>
      </c>
      <c r="F169" s="1926">
        <f t="shared" si="5"/>
        <v>88380463.999999985</v>
      </c>
      <c r="G169" s="1668"/>
    </row>
    <row r="170" spans="1:7" ht="18" customHeight="1">
      <c r="A170" s="1925">
        <v>3</v>
      </c>
      <c r="B170" s="1512" t="s">
        <v>608</v>
      </c>
      <c r="C170" s="1505" t="s">
        <v>307</v>
      </c>
      <c r="D170" s="1524">
        <v>48</v>
      </c>
      <c r="E170" s="1987">
        <f>'DGCT Cau'!$I$2665</f>
        <v>4400</v>
      </c>
      <c r="F170" s="1926">
        <f t="shared" si="5"/>
        <v>211200</v>
      </c>
      <c r="G170" s="1668"/>
    </row>
    <row r="171" spans="1:7" s="1580" customFormat="1" ht="18" customHeight="1">
      <c r="A171" s="1927"/>
      <c r="B171" s="1586" t="s">
        <v>720</v>
      </c>
      <c r="C171" s="1586"/>
      <c r="D171" s="1586">
        <v>0</v>
      </c>
      <c r="E171" s="1586"/>
      <c r="F171" s="1928">
        <f t="shared" si="5"/>
        <v>0</v>
      </c>
      <c r="G171" s="1672"/>
    </row>
    <row r="172" spans="1:7" ht="18" customHeight="1">
      <c r="A172" s="1925">
        <v>1</v>
      </c>
      <c r="B172" s="1512" t="s">
        <v>5757</v>
      </c>
      <c r="C172" s="1505" t="s">
        <v>545</v>
      </c>
      <c r="D172" s="1524">
        <v>24.9</v>
      </c>
      <c r="E172" s="1987">
        <f>DGTH!$K$216</f>
        <v>3227700</v>
      </c>
      <c r="F172" s="1926">
        <f t="shared" si="5"/>
        <v>80369730</v>
      </c>
      <c r="G172" s="1668"/>
    </row>
    <row r="173" spans="1:7" ht="18" customHeight="1">
      <c r="A173" s="1925">
        <v>2</v>
      </c>
      <c r="B173" s="1512" t="s">
        <v>4061</v>
      </c>
      <c r="C173" s="1505" t="s">
        <v>557</v>
      </c>
      <c r="D173" s="1524">
        <v>2.2799999999999998</v>
      </c>
      <c r="E173" s="1987">
        <f>'DGCT Cau'!$I$1447</f>
        <v>25184983</v>
      </c>
      <c r="F173" s="1926">
        <f t="shared" si="5"/>
        <v>57421761.239999995</v>
      </c>
      <c r="G173" s="1668"/>
    </row>
    <row r="174" spans="1:7" ht="18" customHeight="1">
      <c r="A174" s="1925">
        <v>3</v>
      </c>
      <c r="B174" s="1512" t="s">
        <v>4062</v>
      </c>
      <c r="C174" s="1505" t="s">
        <v>557</v>
      </c>
      <c r="D174" s="1524">
        <v>1.46</v>
      </c>
      <c r="E174" s="1987">
        <f>DGTH!$K$220</f>
        <v>40501700</v>
      </c>
      <c r="F174" s="1926">
        <f t="shared" si="5"/>
        <v>59132482</v>
      </c>
      <c r="G174" s="1668"/>
    </row>
    <row r="175" spans="1:7" s="1578" customFormat="1" ht="18" customHeight="1">
      <c r="A175" s="1922"/>
      <c r="B175" s="1513" t="s">
        <v>721</v>
      </c>
      <c r="C175" s="1504"/>
      <c r="D175" s="1522">
        <v>0</v>
      </c>
      <c r="E175" s="1523"/>
      <c r="F175" s="1923">
        <f t="shared" si="5"/>
        <v>0</v>
      </c>
      <c r="G175" s="1667"/>
    </row>
    <row r="176" spans="1:7" ht="18" customHeight="1">
      <c r="A176" s="1925">
        <v>1</v>
      </c>
      <c r="B176" s="1512" t="s">
        <v>5757</v>
      </c>
      <c r="C176" s="1505" t="s">
        <v>545</v>
      </c>
      <c r="D176" s="1524">
        <v>204.6</v>
      </c>
      <c r="E176" s="1987">
        <f>DGTH!$K$223</f>
        <v>2645500</v>
      </c>
      <c r="F176" s="1926">
        <f t="shared" si="5"/>
        <v>541269300</v>
      </c>
      <c r="G176" s="1668"/>
    </row>
    <row r="177" spans="1:7" ht="18" customHeight="1">
      <c r="A177" s="1925">
        <v>2</v>
      </c>
      <c r="B177" s="1512" t="s">
        <v>5713</v>
      </c>
      <c r="C177" s="1505" t="s">
        <v>557</v>
      </c>
      <c r="D177" s="1524">
        <v>6.38</v>
      </c>
      <c r="E177" s="1987">
        <f>DGTH!$K$227</f>
        <v>25849100</v>
      </c>
      <c r="F177" s="1926">
        <f t="shared" si="5"/>
        <v>164917258</v>
      </c>
      <c r="G177" s="1668"/>
    </row>
    <row r="178" spans="1:7" ht="18" customHeight="1">
      <c r="A178" s="1925">
        <v>3</v>
      </c>
      <c r="B178" s="1512" t="s">
        <v>5721</v>
      </c>
      <c r="C178" s="1505" t="s">
        <v>557</v>
      </c>
      <c r="D178" s="1524">
        <v>33.51</v>
      </c>
      <c r="E178" s="1987">
        <f>'DGCT Cau'!$I$1559</f>
        <v>25452783</v>
      </c>
      <c r="F178" s="1926">
        <f t="shared" si="5"/>
        <v>852922758.32999992</v>
      </c>
      <c r="G178" s="1668"/>
    </row>
    <row r="179" spans="1:7" ht="18" customHeight="1">
      <c r="A179" s="1925">
        <v>4</v>
      </c>
      <c r="B179" s="1512" t="s">
        <v>722</v>
      </c>
      <c r="C179" s="1505" t="s">
        <v>548</v>
      </c>
      <c r="D179" s="1524">
        <v>23.76</v>
      </c>
      <c r="E179" s="1987">
        <f>'DGCT Cau'!$I$2768</f>
        <v>2129000</v>
      </c>
      <c r="F179" s="1926">
        <f t="shared" si="5"/>
        <v>50585040</v>
      </c>
      <c r="G179" s="1668"/>
    </row>
    <row r="180" spans="1:7" ht="18" customHeight="1">
      <c r="A180" s="1925">
        <v>5</v>
      </c>
      <c r="B180" s="1512" t="s">
        <v>591</v>
      </c>
      <c r="C180" s="1505" t="s">
        <v>548</v>
      </c>
      <c r="D180" s="1524">
        <v>9.24</v>
      </c>
      <c r="E180" s="1987">
        <f>'DGCT Cau'!$I$286</f>
        <v>89365</v>
      </c>
      <c r="F180" s="1926">
        <f t="shared" si="5"/>
        <v>825732.6</v>
      </c>
      <c r="G180" s="1668"/>
    </row>
    <row r="181" spans="1:7" s="1578" customFormat="1" ht="18" customHeight="1">
      <c r="A181" s="1922"/>
      <c r="B181" s="1513" t="s">
        <v>723</v>
      </c>
      <c r="C181" s="1504"/>
      <c r="D181" s="1522">
        <v>0</v>
      </c>
      <c r="E181" s="1523"/>
      <c r="F181" s="1923">
        <f t="shared" si="5"/>
        <v>0</v>
      </c>
      <c r="G181" s="1667"/>
    </row>
    <row r="182" spans="1:7" ht="18" customHeight="1">
      <c r="A182" s="1925">
        <v>1</v>
      </c>
      <c r="B182" s="1512" t="s">
        <v>5760</v>
      </c>
      <c r="C182" s="1505" t="s">
        <v>583</v>
      </c>
      <c r="D182" s="1524">
        <v>384</v>
      </c>
      <c r="E182" s="1987">
        <f>'DGCT Cau'!$I$1642</f>
        <v>81367</v>
      </c>
      <c r="F182" s="1926">
        <f t="shared" si="5"/>
        <v>31244928</v>
      </c>
      <c r="G182" s="1668"/>
    </row>
    <row r="183" spans="1:7" ht="18" customHeight="1">
      <c r="A183" s="1925">
        <v>2</v>
      </c>
      <c r="B183" s="1512" t="s">
        <v>4040</v>
      </c>
      <c r="C183" s="1505" t="s">
        <v>545</v>
      </c>
      <c r="D183" s="1524">
        <v>9.6</v>
      </c>
      <c r="E183" s="1987">
        <f>DGTH!$K$230</f>
        <v>2457400</v>
      </c>
      <c r="F183" s="1926">
        <f t="shared" si="5"/>
        <v>23591040</v>
      </c>
      <c r="G183" s="1668"/>
    </row>
    <row r="184" spans="1:7" ht="18" customHeight="1">
      <c r="A184" s="1925">
        <v>3</v>
      </c>
      <c r="B184" s="1512" t="s">
        <v>4063</v>
      </c>
      <c r="C184" s="1505" t="s">
        <v>557</v>
      </c>
      <c r="D184" s="1524">
        <v>1.48</v>
      </c>
      <c r="E184" s="1987">
        <f>'DGCT Cau'!$I$1612</f>
        <v>26982711</v>
      </c>
      <c r="F184" s="1926">
        <f t="shared" si="5"/>
        <v>39934412.280000001</v>
      </c>
      <c r="G184" s="1668"/>
    </row>
    <row r="185" spans="1:7" s="1578" customFormat="1" ht="18" customHeight="1">
      <c r="A185" s="1922"/>
      <c r="B185" s="1513" t="s">
        <v>72</v>
      </c>
      <c r="C185" s="1504"/>
      <c r="D185" s="1522">
        <v>0</v>
      </c>
      <c r="E185" s="1523"/>
      <c r="F185" s="1923">
        <f t="shared" ref="F185:F210" si="6">D185*E185</f>
        <v>0</v>
      </c>
      <c r="G185" s="1667"/>
    </row>
    <row r="186" spans="1:7" ht="18" customHeight="1">
      <c r="A186" s="1925">
        <v>1</v>
      </c>
      <c r="B186" s="1512" t="s">
        <v>5761</v>
      </c>
      <c r="C186" s="1505" t="s">
        <v>543</v>
      </c>
      <c r="D186" s="1524">
        <v>13.5</v>
      </c>
      <c r="E186" s="1987">
        <f>'DGCT Cau'!$I$1682</f>
        <v>35022700</v>
      </c>
      <c r="F186" s="1926">
        <f t="shared" si="6"/>
        <v>472806450</v>
      </c>
      <c r="G186" s="1668"/>
    </row>
    <row r="187" spans="1:7" ht="18" customHeight="1">
      <c r="A187" s="1925">
        <v>2</v>
      </c>
      <c r="B187" s="1512" t="s">
        <v>5762</v>
      </c>
      <c r="C187" s="1505" t="s">
        <v>543</v>
      </c>
      <c r="D187" s="1524">
        <v>13.5</v>
      </c>
      <c r="E187" s="1987">
        <f>DGTH!$K$233</f>
        <v>117164700</v>
      </c>
      <c r="F187" s="1926">
        <f t="shared" si="6"/>
        <v>1581723450</v>
      </c>
      <c r="G187" s="1668"/>
    </row>
    <row r="188" spans="1:7" s="2075" customFormat="1" ht="18" customHeight="1">
      <c r="A188" s="1922" t="s">
        <v>5752</v>
      </c>
      <c r="B188" s="1513" t="s">
        <v>5764</v>
      </c>
      <c r="C188" s="1504"/>
      <c r="D188" s="1522">
        <v>0</v>
      </c>
      <c r="E188" s="1523"/>
      <c r="F188" s="1923">
        <f>SUM(F189:F203)</f>
        <v>3906492814</v>
      </c>
      <c r="G188" s="1667"/>
    </row>
    <row r="189" spans="1:7" s="1578" customFormat="1" ht="18" customHeight="1">
      <c r="A189" s="1922"/>
      <c r="B189" s="1513" t="s">
        <v>66</v>
      </c>
      <c r="C189" s="1504"/>
      <c r="D189" s="1522">
        <v>0</v>
      </c>
      <c r="E189" s="1523"/>
      <c r="F189" s="1923">
        <f t="shared" si="6"/>
        <v>0</v>
      </c>
      <c r="G189" s="1667"/>
    </row>
    <row r="190" spans="1:7" ht="18" customHeight="1">
      <c r="A190" s="1925">
        <v>1</v>
      </c>
      <c r="B190" s="1512" t="s">
        <v>4024</v>
      </c>
      <c r="C190" s="1505" t="s">
        <v>545</v>
      </c>
      <c r="D190" s="1524">
        <v>72.75</v>
      </c>
      <c r="E190" s="1987">
        <f>DGTH!$K$241</f>
        <v>3866500</v>
      </c>
      <c r="F190" s="1926">
        <f t="shared" si="6"/>
        <v>281287875</v>
      </c>
      <c r="G190" s="1668"/>
    </row>
    <row r="191" spans="1:7" ht="18" customHeight="1">
      <c r="A191" s="1925">
        <v>2</v>
      </c>
      <c r="B191" s="1512" t="s">
        <v>5766</v>
      </c>
      <c r="C191" s="1505" t="s">
        <v>557</v>
      </c>
      <c r="D191" s="1524">
        <v>22.65</v>
      </c>
      <c r="E191" s="1987">
        <f>DGTH!$K$244</f>
        <v>26888800</v>
      </c>
      <c r="F191" s="1926">
        <f t="shared" si="6"/>
        <v>609031320</v>
      </c>
      <c r="G191" s="1668"/>
    </row>
    <row r="192" spans="1:7" ht="18" customHeight="1">
      <c r="A192" s="1925">
        <v>3</v>
      </c>
      <c r="B192" s="1512" t="s">
        <v>5727</v>
      </c>
      <c r="C192" s="1505" t="s">
        <v>557</v>
      </c>
      <c r="D192" s="1524">
        <v>0.55000000000000004</v>
      </c>
      <c r="E192" s="1987">
        <f>DGTH!$K$132</f>
        <v>39106400</v>
      </c>
      <c r="F192" s="1926">
        <f t="shared" si="6"/>
        <v>21508520</v>
      </c>
      <c r="G192" s="1668"/>
    </row>
    <row r="193" spans="1:7" ht="29.25" customHeight="1">
      <c r="A193" s="1925">
        <v>4</v>
      </c>
      <c r="B193" s="1512" t="s">
        <v>5767</v>
      </c>
      <c r="C193" s="1505" t="s">
        <v>2174</v>
      </c>
      <c r="D193" s="1524">
        <v>215</v>
      </c>
      <c r="E193" s="1987">
        <f>'DGCT Cau'!$I$1656</f>
        <v>90100</v>
      </c>
      <c r="F193" s="1926">
        <f t="shared" si="6"/>
        <v>19371500</v>
      </c>
      <c r="G193" s="1668"/>
    </row>
    <row r="194" spans="1:7" s="1578" customFormat="1" ht="18" customHeight="1">
      <c r="A194" s="1922"/>
      <c r="B194" s="1513" t="s">
        <v>725</v>
      </c>
      <c r="C194" s="1504"/>
      <c r="D194" s="1522">
        <v>0</v>
      </c>
      <c r="E194" s="1523"/>
      <c r="F194" s="1923">
        <f t="shared" si="6"/>
        <v>0</v>
      </c>
      <c r="G194" s="1667"/>
    </row>
    <row r="195" spans="1:7" ht="32.1" customHeight="1">
      <c r="A195" s="1925">
        <v>1</v>
      </c>
      <c r="B195" s="1512" t="s">
        <v>5917</v>
      </c>
      <c r="C195" s="1505" t="s">
        <v>5768</v>
      </c>
      <c r="D195" s="1524">
        <v>438.93</v>
      </c>
      <c r="E195" s="1987">
        <f>DGTH!$K$247</f>
        <v>2308800</v>
      </c>
      <c r="F195" s="1926">
        <f t="shared" si="6"/>
        <v>1013401584</v>
      </c>
      <c r="G195" s="1668"/>
    </row>
    <row r="196" spans="1:7" s="1578" customFormat="1" ht="18" customHeight="1">
      <c r="A196" s="1922"/>
      <c r="B196" s="1513" t="s">
        <v>313</v>
      </c>
      <c r="C196" s="1504"/>
      <c r="D196" s="1522">
        <v>0</v>
      </c>
      <c r="E196" s="1523"/>
      <c r="F196" s="1923">
        <f t="shared" si="6"/>
        <v>0</v>
      </c>
      <c r="G196" s="1667"/>
    </row>
    <row r="197" spans="1:7" ht="18" customHeight="1">
      <c r="A197" s="1925">
        <v>1</v>
      </c>
      <c r="B197" s="1512" t="s">
        <v>2070</v>
      </c>
      <c r="C197" s="1505" t="s">
        <v>543</v>
      </c>
      <c r="D197" s="1524">
        <v>37</v>
      </c>
      <c r="E197" s="1987">
        <f>'DGCT Cau'!$I$1900</f>
        <v>820800</v>
      </c>
      <c r="F197" s="1926">
        <f t="shared" si="6"/>
        <v>30369600</v>
      </c>
      <c r="G197" s="1668"/>
    </row>
    <row r="198" spans="1:7" ht="18" customHeight="1">
      <c r="A198" s="1925">
        <v>2</v>
      </c>
      <c r="B198" s="1512" t="s">
        <v>5769</v>
      </c>
      <c r="C198" s="1505" t="s">
        <v>567</v>
      </c>
      <c r="D198" s="1524">
        <v>44</v>
      </c>
      <c r="E198" s="1987">
        <f>DGTH!$K$253</f>
        <v>284400</v>
      </c>
      <c r="F198" s="1926">
        <f t="shared" si="6"/>
        <v>12513600</v>
      </c>
      <c r="G198" s="1668"/>
    </row>
    <row r="199" spans="1:7" ht="18" customHeight="1">
      <c r="A199" s="1925">
        <v>3</v>
      </c>
      <c r="B199" s="1512" t="s">
        <v>727</v>
      </c>
      <c r="C199" s="1505" t="s">
        <v>545</v>
      </c>
      <c r="D199" s="1524">
        <v>3.7</v>
      </c>
      <c r="E199" s="1987">
        <f>'DGCT Cau'!$I$1926</f>
        <v>2219700</v>
      </c>
      <c r="F199" s="1926">
        <f t="shared" si="6"/>
        <v>8212890</v>
      </c>
      <c r="G199" s="1668"/>
    </row>
    <row r="200" spans="1:7" s="1578" customFormat="1" ht="18" customHeight="1">
      <c r="A200" s="1925">
        <v>4</v>
      </c>
      <c r="B200" s="1519" t="s">
        <v>5770</v>
      </c>
      <c r="C200" s="1505" t="s">
        <v>4915</v>
      </c>
      <c r="D200" s="1524">
        <v>12</v>
      </c>
      <c r="E200" s="1987">
        <f>DGTH!$K$256</f>
        <v>11950000</v>
      </c>
      <c r="F200" s="1926">
        <f>D200*E200</f>
        <v>143400000</v>
      </c>
      <c r="G200" s="1667"/>
    </row>
    <row r="201" spans="1:7" s="1578" customFormat="1" ht="18" customHeight="1">
      <c r="A201" s="1922"/>
      <c r="B201" s="1513" t="s">
        <v>77</v>
      </c>
      <c r="C201" s="1504"/>
      <c r="D201" s="1522">
        <v>0</v>
      </c>
      <c r="E201" s="1523"/>
      <c r="F201" s="1923">
        <f t="shared" si="6"/>
        <v>0</v>
      </c>
      <c r="G201" s="1667"/>
    </row>
    <row r="202" spans="1:7" ht="18" customHeight="1">
      <c r="A202" s="1925">
        <v>1</v>
      </c>
      <c r="B202" s="1512" t="s">
        <v>4025</v>
      </c>
      <c r="C202" s="1505" t="s">
        <v>545</v>
      </c>
      <c r="D202" s="1524">
        <v>150</v>
      </c>
      <c r="E202" s="1987">
        <f>DGTH!$K$265</f>
        <v>4050100</v>
      </c>
      <c r="F202" s="1926">
        <f t="shared" si="6"/>
        <v>607515000</v>
      </c>
      <c r="G202" s="1668"/>
    </row>
    <row r="203" spans="1:7" ht="18" customHeight="1">
      <c r="A203" s="1925">
        <v>2</v>
      </c>
      <c r="B203" s="1512" t="s">
        <v>4061</v>
      </c>
      <c r="C203" s="1505" t="s">
        <v>557</v>
      </c>
      <c r="D203" s="1524">
        <v>45.15</v>
      </c>
      <c r="E203" s="1987">
        <f>DGTH!$K$269</f>
        <v>25689500</v>
      </c>
      <c r="F203" s="1926">
        <f t="shared" si="6"/>
        <v>1159880925</v>
      </c>
      <c r="G203" s="1668"/>
    </row>
    <row r="204" spans="1:7" s="2075" customFormat="1" ht="18" customHeight="1">
      <c r="A204" s="1922" t="s">
        <v>5763</v>
      </c>
      <c r="B204" s="1513" t="s">
        <v>314</v>
      </c>
      <c r="C204" s="1504"/>
      <c r="D204" s="1522">
        <v>0</v>
      </c>
      <c r="E204" s="1523"/>
      <c r="F204" s="1923">
        <f>SUM(F205:F207)</f>
        <v>856215081</v>
      </c>
      <c r="G204" s="1667"/>
    </row>
    <row r="205" spans="1:7" ht="18" customHeight="1">
      <c r="A205" s="1925">
        <v>1</v>
      </c>
      <c r="B205" s="1512" t="s">
        <v>315</v>
      </c>
      <c r="C205" s="1505" t="s">
        <v>548</v>
      </c>
      <c r="D205" s="1524">
        <v>2588.23</v>
      </c>
      <c r="E205" s="1987">
        <f>'DGCT Cau'!$I$2708</f>
        <v>164700</v>
      </c>
      <c r="F205" s="1926">
        <f t="shared" si="6"/>
        <v>426281481</v>
      </c>
      <c r="G205" s="1668"/>
    </row>
    <row r="206" spans="1:7" ht="18" customHeight="1">
      <c r="A206" s="1925">
        <v>2</v>
      </c>
      <c r="B206" s="1512" t="s">
        <v>2140</v>
      </c>
      <c r="C206" s="1505" t="s">
        <v>548</v>
      </c>
      <c r="D206" s="1916">
        <v>1698</v>
      </c>
      <c r="E206" s="1987">
        <f>DGTH!$K$272</f>
        <v>237300</v>
      </c>
      <c r="F206" s="1926">
        <f t="shared" si="6"/>
        <v>402935400</v>
      </c>
      <c r="G206" s="1668"/>
    </row>
    <row r="207" spans="1:7" ht="18" customHeight="1">
      <c r="A207" s="1925">
        <v>3</v>
      </c>
      <c r="B207" s="1512" t="s">
        <v>139</v>
      </c>
      <c r="C207" s="1505" t="s">
        <v>548</v>
      </c>
      <c r="D207" s="1916">
        <v>1698</v>
      </c>
      <c r="E207" s="1987">
        <f>'DGCT Cau'!$I$2032</f>
        <v>15900</v>
      </c>
      <c r="F207" s="1926">
        <f t="shared" si="6"/>
        <v>26998200</v>
      </c>
      <c r="G207" s="1668"/>
    </row>
    <row r="208" spans="1:7" s="2075" customFormat="1" ht="32.1" customHeight="1">
      <c r="A208" s="1922" t="s">
        <v>5804</v>
      </c>
      <c r="B208" s="1513" t="s">
        <v>5772</v>
      </c>
      <c r="C208" s="1504"/>
      <c r="D208" s="1522">
        <v>0</v>
      </c>
      <c r="E208" s="1523"/>
      <c r="F208" s="1923">
        <f>SUM(F209:F210)</f>
        <v>72340200</v>
      </c>
      <c r="G208" s="1667"/>
    </row>
    <row r="209" spans="1:7" ht="18" customHeight="1">
      <c r="A209" s="1925">
        <v>1</v>
      </c>
      <c r="B209" s="1512" t="s">
        <v>5773</v>
      </c>
      <c r="C209" s="1505" t="s">
        <v>567</v>
      </c>
      <c r="D209" s="1916">
        <v>11</v>
      </c>
      <c r="E209" s="1987">
        <f>DGTH!$K$276</f>
        <v>5847000</v>
      </c>
      <c r="F209" s="1926">
        <f t="shared" si="6"/>
        <v>64317000</v>
      </c>
      <c r="G209" s="1668"/>
    </row>
    <row r="210" spans="1:7" ht="18" customHeight="1">
      <c r="A210" s="1925">
        <v>2</v>
      </c>
      <c r="B210" s="1512" t="s">
        <v>730</v>
      </c>
      <c r="C210" s="1505" t="s">
        <v>307</v>
      </c>
      <c r="D210" s="1916">
        <v>6</v>
      </c>
      <c r="E210" s="1987">
        <f>DGTH!$K$289</f>
        <v>1337200</v>
      </c>
      <c r="F210" s="1926">
        <f t="shared" si="6"/>
        <v>8023200</v>
      </c>
      <c r="G210" s="1668"/>
    </row>
    <row r="211" spans="1:7" s="2075" customFormat="1" ht="18" customHeight="1">
      <c r="A211" s="1922" t="s">
        <v>532</v>
      </c>
      <c r="B211" s="1591" t="s">
        <v>265</v>
      </c>
      <c r="C211" s="1504"/>
      <c r="D211" s="1522">
        <v>0</v>
      </c>
      <c r="E211" s="1523"/>
      <c r="F211" s="1923">
        <f>F212+F216+F219+F227</f>
        <v>5947197244</v>
      </c>
      <c r="G211" s="1667"/>
    </row>
    <row r="212" spans="1:7" s="2075" customFormat="1" ht="32.1" customHeight="1">
      <c r="A212" s="1922" t="s">
        <v>28</v>
      </c>
      <c r="B212" s="1591" t="s">
        <v>5941</v>
      </c>
      <c r="C212" s="1504"/>
      <c r="D212" s="1522">
        <v>0</v>
      </c>
      <c r="E212" s="1523"/>
      <c r="F212" s="1923">
        <f>SUM(F213:F215)</f>
        <v>1031878300</v>
      </c>
      <c r="G212" s="1667"/>
    </row>
    <row r="213" spans="1:7" ht="18" customHeight="1">
      <c r="A213" s="1925">
        <v>1</v>
      </c>
      <c r="B213" s="1512" t="s">
        <v>3542</v>
      </c>
      <c r="C213" s="1505" t="s">
        <v>545</v>
      </c>
      <c r="D213" s="1916">
        <v>3131</v>
      </c>
      <c r="E213" s="1987">
        <f>DGTH!$K$296</f>
        <v>221500</v>
      </c>
      <c r="F213" s="1926">
        <f t="shared" ref="F213:F226" si="7">D213*E213</f>
        <v>693516500</v>
      </c>
      <c r="G213" s="1668"/>
    </row>
    <row r="214" spans="1:7" ht="18" customHeight="1">
      <c r="A214" s="1925">
        <v>2</v>
      </c>
      <c r="B214" s="1512" t="s">
        <v>112</v>
      </c>
      <c r="C214" s="1505" t="s">
        <v>545</v>
      </c>
      <c r="D214" s="1916">
        <v>59</v>
      </c>
      <c r="E214" s="1987">
        <f>DGTH!$K$299</f>
        <v>650200</v>
      </c>
      <c r="F214" s="1926">
        <f t="shared" si="7"/>
        <v>38361800</v>
      </c>
      <c r="G214" s="1668"/>
    </row>
    <row r="215" spans="1:7" ht="18" customHeight="1">
      <c r="A215" s="1925">
        <v>3</v>
      </c>
      <c r="B215" s="1512" t="s">
        <v>16</v>
      </c>
      <c r="C215" s="1505" t="s">
        <v>5774</v>
      </c>
      <c r="D215" s="1916">
        <v>1</v>
      </c>
      <c r="E215" s="1987">
        <f>300000000</f>
        <v>300000000</v>
      </c>
      <c r="F215" s="1926">
        <f t="shared" si="7"/>
        <v>300000000</v>
      </c>
      <c r="G215" s="1668"/>
    </row>
    <row r="216" spans="1:7" s="2075" customFormat="1" ht="18" customHeight="1">
      <c r="A216" s="1922" t="s">
        <v>42</v>
      </c>
      <c r="B216" s="1591" t="s">
        <v>732</v>
      </c>
      <c r="C216" s="1504"/>
      <c r="D216" s="1522">
        <v>0</v>
      </c>
      <c r="E216" s="1523"/>
      <c r="F216" s="1923">
        <f>SUM(F217:F218)</f>
        <v>149424600</v>
      </c>
      <c r="G216" s="1667"/>
    </row>
    <row r="217" spans="1:7" ht="18" customHeight="1">
      <c r="A217" s="1925">
        <v>1</v>
      </c>
      <c r="B217" s="1512" t="s">
        <v>113</v>
      </c>
      <c r="C217" s="1505" t="s">
        <v>545</v>
      </c>
      <c r="D217" s="1916">
        <v>190</v>
      </c>
      <c r="E217" s="1987">
        <f>'DGCT Cau'!$I$2638</f>
        <v>557900</v>
      </c>
      <c r="F217" s="1926">
        <f t="shared" si="7"/>
        <v>106001000</v>
      </c>
      <c r="G217" s="1668"/>
    </row>
    <row r="218" spans="1:7" ht="18" customHeight="1">
      <c r="A218" s="1925">
        <v>2</v>
      </c>
      <c r="B218" s="1512" t="s">
        <v>3542</v>
      </c>
      <c r="C218" s="1505" t="s">
        <v>545</v>
      </c>
      <c r="D218" s="1916">
        <v>284</v>
      </c>
      <c r="E218" s="1987">
        <f>'DGCT Cau'!$I$2123</f>
        <v>152900</v>
      </c>
      <c r="F218" s="1926">
        <f t="shared" si="7"/>
        <v>43423600</v>
      </c>
      <c r="G218" s="1668"/>
    </row>
    <row r="219" spans="1:7" s="2075" customFormat="1" ht="18" customHeight="1">
      <c r="A219" s="1922" t="s">
        <v>2085</v>
      </c>
      <c r="B219" s="1591" t="s">
        <v>549</v>
      </c>
      <c r="C219" s="1504"/>
      <c r="D219" s="1522">
        <v>0</v>
      </c>
      <c r="E219" s="1523"/>
      <c r="F219" s="1923">
        <f>SUM(F220:F226)</f>
        <v>478090441</v>
      </c>
      <c r="G219" s="1667"/>
    </row>
    <row r="220" spans="1:7" ht="18" customHeight="1">
      <c r="A220" s="1925">
        <v>1</v>
      </c>
      <c r="B220" s="1512" t="s">
        <v>5918</v>
      </c>
      <c r="C220" s="1505" t="s">
        <v>543</v>
      </c>
      <c r="D220" s="1916">
        <v>495</v>
      </c>
      <c r="E220" s="1987">
        <f>'DGCT Cau'!$I$2204</f>
        <v>435100</v>
      </c>
      <c r="F220" s="1926">
        <f t="shared" si="7"/>
        <v>215374500</v>
      </c>
      <c r="G220" s="1668"/>
    </row>
    <row r="221" spans="1:7" ht="18" customHeight="1">
      <c r="A221" s="1925">
        <v>2</v>
      </c>
      <c r="B221" s="1512" t="s">
        <v>2165</v>
      </c>
      <c r="C221" s="1505" t="s">
        <v>543</v>
      </c>
      <c r="D221" s="1916">
        <v>496</v>
      </c>
      <c r="E221" s="1987">
        <f>'DGCT Cau'!$I$2364</f>
        <v>142900</v>
      </c>
      <c r="F221" s="1926">
        <f t="shared" si="7"/>
        <v>70878400</v>
      </c>
      <c r="G221" s="1668"/>
    </row>
    <row r="222" spans="1:7" ht="18" customHeight="1">
      <c r="A222" s="1925">
        <v>3</v>
      </c>
      <c r="B222" s="1512" t="s">
        <v>640</v>
      </c>
      <c r="C222" s="1505" t="s">
        <v>543</v>
      </c>
      <c r="D222" s="1524">
        <v>468</v>
      </c>
      <c r="E222" s="1987">
        <f>'DGCT Cau'!$I$2379</f>
        <v>148600</v>
      </c>
      <c r="F222" s="1926">
        <f t="shared" si="7"/>
        <v>69544800</v>
      </c>
      <c r="G222" s="1668"/>
    </row>
    <row r="223" spans="1:7" ht="18" customHeight="1">
      <c r="A223" s="1925">
        <v>4</v>
      </c>
      <c r="B223" s="1512" t="s">
        <v>5919</v>
      </c>
      <c r="C223" s="1505" t="s">
        <v>557</v>
      </c>
      <c r="D223" s="1524">
        <v>1.93</v>
      </c>
      <c r="E223" s="1987">
        <f>'DGCT Cau'!$I$2252</f>
        <v>20074900</v>
      </c>
      <c r="F223" s="1926">
        <f t="shared" si="7"/>
        <v>38744557</v>
      </c>
      <c r="G223" s="1668"/>
    </row>
    <row r="224" spans="1:7" ht="18" customHeight="1">
      <c r="A224" s="1925">
        <v>5</v>
      </c>
      <c r="B224" s="1512" t="s">
        <v>5920</v>
      </c>
      <c r="C224" s="1505" t="s">
        <v>557</v>
      </c>
      <c r="D224" s="1524">
        <v>1.93</v>
      </c>
      <c r="E224" s="1987">
        <f>'DGCT Cau'!$I$2459</f>
        <v>7338800</v>
      </c>
      <c r="F224" s="1926">
        <f t="shared" si="7"/>
        <v>14163884</v>
      </c>
      <c r="G224" s="1668"/>
    </row>
    <row r="225" spans="1:14" ht="18" customHeight="1">
      <c r="A225" s="1925">
        <v>6</v>
      </c>
      <c r="B225" s="1512" t="s">
        <v>3542</v>
      </c>
      <c r="C225" s="1505" t="s">
        <v>545</v>
      </c>
      <c r="D225" s="1524">
        <v>165</v>
      </c>
      <c r="E225" s="1987">
        <f>'DGCT Cau'!$I$2123</f>
        <v>152900</v>
      </c>
      <c r="F225" s="1926">
        <f t="shared" si="7"/>
        <v>25228500</v>
      </c>
      <c r="G225" s="1668"/>
    </row>
    <row r="226" spans="1:14" ht="18" customHeight="1">
      <c r="A226" s="1925">
        <v>7</v>
      </c>
      <c r="B226" s="1512" t="s">
        <v>4037</v>
      </c>
      <c r="C226" s="1505" t="s">
        <v>545</v>
      </c>
      <c r="D226" s="1524">
        <v>27</v>
      </c>
      <c r="E226" s="1987">
        <f>'DGCT Cau'!$I$2292</f>
        <v>1635400</v>
      </c>
      <c r="F226" s="1926">
        <f t="shared" si="7"/>
        <v>44155800</v>
      </c>
      <c r="G226" s="1668"/>
    </row>
    <row r="227" spans="1:14" s="2075" customFormat="1" ht="18" customHeight="1">
      <c r="A227" s="1922" t="s">
        <v>2092</v>
      </c>
      <c r="B227" s="1591" t="s">
        <v>734</v>
      </c>
      <c r="C227" s="1504"/>
      <c r="D227" s="1522">
        <v>0</v>
      </c>
      <c r="E227" s="1523"/>
      <c r="F227" s="1923">
        <f>SUM(F228:F242)</f>
        <v>4287803903</v>
      </c>
      <c r="G227" s="1667"/>
    </row>
    <row r="228" spans="1:14" s="1581" customFormat="1" ht="18" customHeight="1">
      <c r="A228" s="1929"/>
      <c r="B228" s="1516" t="s">
        <v>5891</v>
      </c>
      <c r="C228" s="1566"/>
      <c r="D228" s="1568">
        <v>0</v>
      </c>
      <c r="E228" s="1567"/>
      <c r="F228" s="1930">
        <f t="shared" ref="F228:F242" si="8">D228*E228</f>
        <v>0</v>
      </c>
      <c r="G228" s="1673"/>
    </row>
    <row r="229" spans="1:14" ht="18" customHeight="1">
      <c r="A229" s="1925">
        <v>1</v>
      </c>
      <c r="B229" s="1512" t="s">
        <v>5925</v>
      </c>
      <c r="C229" s="1505" t="s">
        <v>557</v>
      </c>
      <c r="D229" s="1524">
        <v>75.180000000000007</v>
      </c>
      <c r="E229" s="1987">
        <f>'DGCT Cau'!$I$2526</f>
        <v>12475300</v>
      </c>
      <c r="F229" s="1926">
        <f t="shared" si="8"/>
        <v>937893054.00000012</v>
      </c>
      <c r="G229" s="1668"/>
    </row>
    <row r="230" spans="1:14" ht="18" customHeight="1">
      <c r="A230" s="1925">
        <v>2</v>
      </c>
      <c r="B230" s="1512" t="s">
        <v>5926</v>
      </c>
      <c r="C230" s="1505" t="s">
        <v>557</v>
      </c>
      <c r="D230" s="1524">
        <v>75.180000000000007</v>
      </c>
      <c r="E230" s="1987">
        <f>'DGCT Cau'!$I$2275</f>
        <v>9905800</v>
      </c>
      <c r="F230" s="1926">
        <f t="shared" si="8"/>
        <v>744718044.00000012</v>
      </c>
      <c r="G230" s="1668"/>
    </row>
    <row r="231" spans="1:14" ht="18" customHeight="1">
      <c r="A231" s="1925">
        <v>3</v>
      </c>
      <c r="B231" s="1512" t="s">
        <v>5579</v>
      </c>
      <c r="C231" s="1505" t="s">
        <v>643</v>
      </c>
      <c r="D231" s="1524">
        <v>1</v>
      </c>
      <c r="E231" s="1987">
        <f>'DGCT Cau'!$I$3411*900</f>
        <v>147240000</v>
      </c>
      <c r="F231" s="1926">
        <f t="shared" si="8"/>
        <v>147240000</v>
      </c>
      <c r="G231" s="1668"/>
    </row>
    <row r="232" spans="1:14" s="1581" customFormat="1" ht="18" customHeight="1">
      <c r="A232" s="1929"/>
      <c r="B232" s="1516" t="s">
        <v>5965</v>
      </c>
      <c r="C232" s="1566"/>
      <c r="D232" s="1568">
        <v>0</v>
      </c>
      <c r="E232" s="1567"/>
      <c r="F232" s="1930">
        <f t="shared" si="8"/>
        <v>0</v>
      </c>
      <c r="G232" s="1673"/>
    </row>
    <row r="233" spans="1:14" ht="18" customHeight="1">
      <c r="A233" s="1925">
        <v>1</v>
      </c>
      <c r="B233" s="1512" t="s">
        <v>5927</v>
      </c>
      <c r="C233" s="1505" t="s">
        <v>557</v>
      </c>
      <c r="D233" s="1524">
        <v>88.53</v>
      </c>
      <c r="E233" s="1987">
        <f>'DGCT Cau'!$I$2548</f>
        <v>12549100</v>
      </c>
      <c r="F233" s="1926">
        <f t="shared" si="8"/>
        <v>1110971823</v>
      </c>
      <c r="G233" s="1668"/>
    </row>
    <row r="234" spans="1:14" ht="18" customHeight="1">
      <c r="A234" s="1925">
        <v>2</v>
      </c>
      <c r="B234" s="1512" t="s">
        <v>5920</v>
      </c>
      <c r="C234" s="1505" t="s">
        <v>557</v>
      </c>
      <c r="D234" s="1524">
        <v>88.53</v>
      </c>
      <c r="E234" s="1987">
        <f>'DGCT Cau'!$I$2459</f>
        <v>7338800</v>
      </c>
      <c r="F234" s="1926">
        <f t="shared" si="8"/>
        <v>649703964</v>
      </c>
      <c r="G234" s="1668"/>
    </row>
    <row r="235" spans="1:14" ht="18" customHeight="1">
      <c r="A235" s="1925">
        <v>3</v>
      </c>
      <c r="B235" s="1512" t="s">
        <v>5695</v>
      </c>
      <c r="C235" s="1505" t="s">
        <v>643</v>
      </c>
      <c r="D235" s="1524">
        <v>1</v>
      </c>
      <c r="E235" s="1987">
        <f>'DGCT Cau'!$I$3411*1000</f>
        <v>163600000</v>
      </c>
      <c r="F235" s="1926">
        <f t="shared" si="8"/>
        <v>163600000</v>
      </c>
      <c r="G235" s="1668"/>
    </row>
    <row r="236" spans="1:14" ht="18" customHeight="1">
      <c r="A236" s="1925">
        <v>4</v>
      </c>
      <c r="B236" s="1512" t="s">
        <v>5696</v>
      </c>
      <c r="C236" s="1505" t="s">
        <v>643</v>
      </c>
      <c r="D236" s="1524">
        <v>1</v>
      </c>
      <c r="E236" s="1987">
        <f>'DGCT Cau'!$I$3411*500</f>
        <v>81800000</v>
      </c>
      <c r="F236" s="1926">
        <f t="shared" si="8"/>
        <v>81800000</v>
      </c>
      <c r="G236" s="1668"/>
    </row>
    <row r="237" spans="1:14" s="1581" customFormat="1" ht="18" customHeight="1">
      <c r="A237" s="1929"/>
      <c r="B237" s="1516" t="s">
        <v>5582</v>
      </c>
      <c r="C237" s="1566"/>
      <c r="D237" s="1568">
        <v>2</v>
      </c>
      <c r="E237" s="1567"/>
      <c r="F237" s="1930">
        <f t="shared" si="8"/>
        <v>0</v>
      </c>
      <c r="G237" s="1673">
        <f>SUM(F238:F242)</f>
        <v>451877018</v>
      </c>
      <c r="N237" s="1581">
        <f>2*35</f>
        <v>70</v>
      </c>
    </row>
    <row r="238" spans="1:14" ht="18" customHeight="1">
      <c r="A238" s="1925">
        <v>1</v>
      </c>
      <c r="B238" s="1512" t="s">
        <v>5858</v>
      </c>
      <c r="C238" s="1505" t="s">
        <v>543</v>
      </c>
      <c r="D238" s="1524">
        <v>60</v>
      </c>
      <c r="E238" s="1987">
        <f>DGTH!$K$53</f>
        <v>2940300</v>
      </c>
      <c r="F238" s="1926">
        <f t="shared" si="8"/>
        <v>176418000</v>
      </c>
      <c r="G238" s="1668">
        <f>G237/N237</f>
        <v>6455385.9714285713</v>
      </c>
    </row>
    <row r="239" spans="1:14" ht="18" customHeight="1">
      <c r="A239" s="1925">
        <v>2</v>
      </c>
      <c r="B239" s="1512" t="s">
        <v>5859</v>
      </c>
      <c r="C239" s="1505" t="s">
        <v>543</v>
      </c>
      <c r="D239" s="1524">
        <v>10</v>
      </c>
      <c r="E239" s="1987">
        <f>DGTH!$K$56</f>
        <v>2966000</v>
      </c>
      <c r="F239" s="1926">
        <f t="shared" si="8"/>
        <v>29660000</v>
      </c>
      <c r="G239" s="1668"/>
    </row>
    <row r="240" spans="1:14" ht="18" customHeight="1">
      <c r="A240" s="1925">
        <v>5</v>
      </c>
      <c r="B240" s="1512" t="s">
        <v>4014</v>
      </c>
      <c r="C240" s="1505" t="s">
        <v>545</v>
      </c>
      <c r="D240" s="1524">
        <v>80.3</v>
      </c>
      <c r="E240" s="1987">
        <f>DGTH!$K$64</f>
        <v>2421900</v>
      </c>
      <c r="F240" s="1926">
        <f t="shared" si="8"/>
        <v>194478570</v>
      </c>
      <c r="G240" s="1668"/>
    </row>
    <row r="241" spans="1:13" ht="18" customHeight="1">
      <c r="A241" s="1925">
        <v>6</v>
      </c>
      <c r="B241" s="1512" t="s">
        <v>4050</v>
      </c>
      <c r="C241" s="1505" t="s">
        <v>557</v>
      </c>
      <c r="D241" s="1524">
        <v>0.33</v>
      </c>
      <c r="E241" s="1987">
        <f>DGTH!$K$67</f>
        <v>28760600</v>
      </c>
      <c r="F241" s="1926">
        <f t="shared" si="8"/>
        <v>9490998</v>
      </c>
      <c r="G241" s="1668"/>
    </row>
    <row r="242" spans="1:13" ht="18" customHeight="1">
      <c r="A242" s="1925">
        <v>7</v>
      </c>
      <c r="B242" s="1512" t="s">
        <v>4051</v>
      </c>
      <c r="C242" s="1505" t="s">
        <v>557</v>
      </c>
      <c r="D242" s="1524">
        <v>1.5</v>
      </c>
      <c r="E242" s="1987">
        <f>DGTH!$K$70</f>
        <v>27886300</v>
      </c>
      <c r="F242" s="1926">
        <f t="shared" si="8"/>
        <v>41829450</v>
      </c>
      <c r="G242" s="1668"/>
    </row>
    <row r="243" spans="1:13" s="1578" customFormat="1" ht="18" customHeight="1">
      <c r="A243" s="1932" t="s">
        <v>507</v>
      </c>
      <c r="B243" s="1659" t="s">
        <v>5809</v>
      </c>
      <c r="C243" s="1660"/>
      <c r="D243" s="1661"/>
      <c r="E243" s="1681"/>
      <c r="F243" s="1933">
        <f>F244+F257</f>
        <v>696585300</v>
      </c>
      <c r="G243" s="1674"/>
    </row>
    <row r="244" spans="1:13" s="1578" customFormat="1" ht="18" customHeight="1">
      <c r="A244" s="1932" t="s">
        <v>525</v>
      </c>
      <c r="B244" s="1662" t="s">
        <v>5810</v>
      </c>
      <c r="C244" s="1660"/>
      <c r="D244" s="1661"/>
      <c r="E244" s="1681"/>
      <c r="F244" s="1933">
        <f>SUM(F245:F256)</f>
        <v>540017100</v>
      </c>
      <c r="G244" s="1674"/>
    </row>
    <row r="245" spans="1:13" ht="18" customHeight="1">
      <c r="A245" s="1934">
        <v>1</v>
      </c>
      <c r="B245" s="1599" t="s">
        <v>5806</v>
      </c>
      <c r="C245" s="1601" t="s">
        <v>567</v>
      </c>
      <c r="D245" s="1600">
        <v>18</v>
      </c>
      <c r="E245" s="1682">
        <f>'DGCT CS'!$H$21</f>
        <v>9029900</v>
      </c>
      <c r="F245" s="1926">
        <f>D245*E245</f>
        <v>162538200</v>
      </c>
      <c r="G245" s="1674"/>
    </row>
    <row r="246" spans="1:13" ht="18" customHeight="1">
      <c r="A246" s="1934">
        <v>2</v>
      </c>
      <c r="B246" s="1599" t="s">
        <v>5811</v>
      </c>
      <c r="C246" s="1601" t="s">
        <v>567</v>
      </c>
      <c r="D246" s="1600">
        <v>2</v>
      </c>
      <c r="E246" s="1682">
        <f>'DGCT CS'!$H$36</f>
        <v>8470900</v>
      </c>
      <c r="F246" s="1926">
        <f>D246*E246</f>
        <v>16941800</v>
      </c>
      <c r="G246" s="1674"/>
    </row>
    <row r="247" spans="1:13" ht="18" customHeight="1">
      <c r="A247" s="1934">
        <v>3</v>
      </c>
      <c r="B247" s="1599" t="s">
        <v>5812</v>
      </c>
      <c r="C247" s="1601" t="s">
        <v>567</v>
      </c>
      <c r="D247" s="1600">
        <v>1</v>
      </c>
      <c r="E247" s="1682">
        <f>'DGCT CS'!$H$51</f>
        <v>8928300</v>
      </c>
      <c r="F247" s="1926">
        <f t="shared" ref="F247:F262" si="9">D247*E247</f>
        <v>8928300</v>
      </c>
      <c r="G247" s="1674"/>
    </row>
    <row r="248" spans="1:13" ht="18" customHeight="1">
      <c r="A248" s="1934">
        <v>4</v>
      </c>
      <c r="B248" s="1599" t="s">
        <v>5816</v>
      </c>
      <c r="C248" s="1601" t="s">
        <v>307</v>
      </c>
      <c r="D248" s="1600">
        <v>1</v>
      </c>
      <c r="E248" s="1682">
        <f>'DGCT CS'!$H$66</f>
        <v>32370300</v>
      </c>
      <c r="F248" s="1926">
        <f t="shared" si="9"/>
        <v>32370300</v>
      </c>
      <c r="G248" s="1674"/>
    </row>
    <row r="249" spans="1:13" ht="32.1" customHeight="1">
      <c r="A249" s="1934">
        <v>5</v>
      </c>
      <c r="B249" s="1599" t="s">
        <v>5817</v>
      </c>
      <c r="C249" s="1601" t="s">
        <v>5818</v>
      </c>
      <c r="D249" s="1600">
        <v>18</v>
      </c>
      <c r="E249" s="1682">
        <f>DGTH!$K$399</f>
        <v>7777200</v>
      </c>
      <c r="F249" s="1926">
        <f t="shared" si="9"/>
        <v>139989600</v>
      </c>
      <c r="G249" s="1674"/>
    </row>
    <row r="250" spans="1:13" ht="18" customHeight="1">
      <c r="A250" s="1934">
        <v>6</v>
      </c>
      <c r="B250" s="1599" t="s">
        <v>5834</v>
      </c>
      <c r="C250" s="1601" t="s">
        <v>307</v>
      </c>
      <c r="D250" s="1600">
        <v>4</v>
      </c>
      <c r="E250" s="1682">
        <f>'DGCT CS'!$H$150</f>
        <v>18121300</v>
      </c>
      <c r="F250" s="1926">
        <f t="shared" si="9"/>
        <v>72485200</v>
      </c>
      <c r="G250" s="1674"/>
    </row>
    <row r="251" spans="1:13" ht="18" customHeight="1">
      <c r="A251" s="1934">
        <v>7</v>
      </c>
      <c r="B251" s="1599" t="s">
        <v>5837</v>
      </c>
      <c r="C251" s="1601" t="s">
        <v>307</v>
      </c>
      <c r="D251" s="1600">
        <v>3</v>
      </c>
      <c r="E251" s="1682">
        <f>'DGCT CS'!$H$167</f>
        <v>710800</v>
      </c>
      <c r="F251" s="1926">
        <f t="shared" si="9"/>
        <v>2132400</v>
      </c>
      <c r="G251" s="1674"/>
    </row>
    <row r="252" spans="1:13" ht="18" customHeight="1">
      <c r="A252" s="1934">
        <v>8</v>
      </c>
      <c r="B252" s="1599" t="s">
        <v>5839</v>
      </c>
      <c r="C252" s="1601" t="s">
        <v>5840</v>
      </c>
      <c r="D252" s="1600">
        <v>6</v>
      </c>
      <c r="E252" s="1682">
        <f t="shared" ref="E252:E262" si="10">ROUND(L252*$G$5,-2)</f>
        <v>4390100</v>
      </c>
      <c r="F252" s="1926">
        <f t="shared" si="9"/>
        <v>26340600</v>
      </c>
      <c r="H252" s="1663">
        <f>436762+4133797+22865+1699607+51503+27000+355200+1438253+4230000</f>
        <v>12394987</v>
      </c>
      <c r="I252" s="1663">
        <f>132396+1284425+326028+1225991+334098+512828+2972610+1311183</f>
        <v>8099559</v>
      </c>
      <c r="J252" s="1663">
        <f>13955+120102+967+155361</f>
        <v>290385</v>
      </c>
      <c r="K252" s="1663">
        <f>SUM(H252:J252)</f>
        <v>20784931</v>
      </c>
      <c r="L252" s="1663">
        <f>K252/M252</f>
        <v>3464155.1666666665</v>
      </c>
      <c r="M252" s="1664">
        <f>D252</f>
        <v>6</v>
      </c>
    </row>
    <row r="253" spans="1:13" ht="18" customHeight="1">
      <c r="A253" s="1934">
        <v>9</v>
      </c>
      <c r="B253" s="1599" t="s">
        <v>5841</v>
      </c>
      <c r="C253" s="1601" t="s">
        <v>5840</v>
      </c>
      <c r="D253" s="1600">
        <v>1</v>
      </c>
      <c r="E253" s="1682">
        <f t="shared" si="10"/>
        <v>1005300</v>
      </c>
      <c r="F253" s="1926">
        <f t="shared" si="9"/>
        <v>1005300</v>
      </c>
      <c r="H253" s="1663">
        <f>59874+6415+93728+84000+239709</f>
        <v>483726</v>
      </c>
      <c r="I253" s="1663">
        <f>18604+91469+67610+85471+15244+3263</f>
        <v>281661</v>
      </c>
      <c r="J253" s="1663">
        <f>1740+271+25894</f>
        <v>27905</v>
      </c>
      <c r="K253" s="1663">
        <f t="shared" ref="K253:K262" si="11">SUM(H253:J253)</f>
        <v>793292</v>
      </c>
      <c r="L253" s="1663">
        <f t="shared" ref="L253:L262" si="12">K253/M253</f>
        <v>793292</v>
      </c>
      <c r="M253" s="1664">
        <f>D253</f>
        <v>1</v>
      </c>
    </row>
    <row r="254" spans="1:13" ht="18" customHeight="1">
      <c r="A254" s="1934">
        <v>10</v>
      </c>
      <c r="B254" s="1599" t="s">
        <v>5842</v>
      </c>
      <c r="C254" s="1601" t="s">
        <v>5840</v>
      </c>
      <c r="D254" s="1600">
        <v>4</v>
      </c>
      <c r="E254" s="1682">
        <f t="shared" si="10"/>
        <v>1343200</v>
      </c>
      <c r="F254" s="1926">
        <f t="shared" si="9"/>
        <v>5372800</v>
      </c>
      <c r="H254" s="1663">
        <f>46588+334641+6605+338811+2820000</f>
        <v>3546645</v>
      </c>
      <c r="I254" s="1663">
        <f>14122+103977+94186+244397+170734+53953</f>
        <v>681369</v>
      </c>
      <c r="J254" s="1663">
        <f>1489+9723+279</f>
        <v>11491</v>
      </c>
      <c r="K254" s="1663">
        <f t="shared" si="11"/>
        <v>4239505</v>
      </c>
      <c r="L254" s="1663">
        <f t="shared" si="12"/>
        <v>1059876.25</v>
      </c>
      <c r="M254" s="1664">
        <f>D254</f>
        <v>4</v>
      </c>
    </row>
    <row r="255" spans="1:13" ht="18" customHeight="1">
      <c r="A255" s="1934">
        <v>11</v>
      </c>
      <c r="B255" s="1599" t="s">
        <v>5843</v>
      </c>
      <c r="C255" s="1601" t="s">
        <v>543</v>
      </c>
      <c r="D255" s="1600">
        <v>358</v>
      </c>
      <c r="E255" s="1682">
        <f t="shared" si="10"/>
        <v>120600</v>
      </c>
      <c r="F255" s="1926">
        <f t="shared" si="9"/>
        <v>43174800</v>
      </c>
      <c r="H255" s="1663">
        <f>2146210+3401724+1396824</f>
        <v>6944758</v>
      </c>
      <c r="I255" s="1663">
        <f>2678079+9061146+13818096+1553930</f>
        <v>27111251</v>
      </c>
      <c r="J255" s="1663"/>
      <c r="K255" s="1663">
        <f t="shared" si="11"/>
        <v>34056009</v>
      </c>
      <c r="L255" s="1663">
        <f t="shared" si="12"/>
        <v>95128.516759776539</v>
      </c>
      <c r="M255" s="1664">
        <f>D255</f>
        <v>358</v>
      </c>
    </row>
    <row r="256" spans="1:13" ht="18" customHeight="1">
      <c r="A256" s="1934">
        <v>12</v>
      </c>
      <c r="B256" s="1599" t="s">
        <v>5844</v>
      </c>
      <c r="C256" s="1601" t="s">
        <v>543</v>
      </c>
      <c r="D256" s="1600">
        <v>91</v>
      </c>
      <c r="E256" s="1682">
        <f t="shared" si="10"/>
        <v>315800</v>
      </c>
      <c r="F256" s="1926">
        <f t="shared" si="9"/>
        <v>28737800</v>
      </c>
      <c r="H256" s="1663">
        <f>545545+1145967+355059+7907803</f>
        <v>9954374</v>
      </c>
      <c r="I256" s="1663">
        <f>902186+2303252+5999811+3517024</f>
        <v>12722273</v>
      </c>
      <c r="J256" s="1663"/>
      <c r="K256" s="1663">
        <f t="shared" si="11"/>
        <v>22676647</v>
      </c>
      <c r="L256" s="1663">
        <f t="shared" si="12"/>
        <v>249193.92307692306</v>
      </c>
      <c r="M256" s="1664">
        <f>D256</f>
        <v>91</v>
      </c>
    </row>
    <row r="257" spans="1:13" s="1578" customFormat="1" ht="18" customHeight="1">
      <c r="A257" s="1932" t="s">
        <v>531</v>
      </c>
      <c r="B257" s="1662" t="s">
        <v>5845</v>
      </c>
      <c r="C257" s="1660" t="s">
        <v>5850</v>
      </c>
      <c r="D257" s="1661" t="s">
        <v>5850</v>
      </c>
      <c r="E257" s="1681">
        <f t="shared" si="10"/>
        <v>0</v>
      </c>
      <c r="F257" s="1923">
        <f>SUM(F258:F262)</f>
        <v>156568200</v>
      </c>
      <c r="H257" s="1665"/>
      <c r="I257" s="1665"/>
      <c r="J257" s="1665"/>
      <c r="K257" s="1665"/>
      <c r="L257" s="1665"/>
      <c r="M257" s="1666"/>
    </row>
    <row r="258" spans="1:13" ht="18" customHeight="1">
      <c r="A258" s="1934">
        <v>1</v>
      </c>
      <c r="B258" s="1599" t="s">
        <v>5846</v>
      </c>
      <c r="C258" s="1601" t="s">
        <v>543</v>
      </c>
      <c r="D258" s="1600">
        <v>703</v>
      </c>
      <c r="E258" s="1682">
        <f t="shared" si="10"/>
        <v>98100</v>
      </c>
      <c r="F258" s="1926">
        <f t="shared" si="9"/>
        <v>68964300</v>
      </c>
      <c r="H258" s="1663">
        <v>52659621</v>
      </c>
      <c r="I258" s="1663">
        <v>1778140</v>
      </c>
      <c r="J258" s="1663"/>
      <c r="K258" s="1663">
        <f t="shared" si="11"/>
        <v>54437761</v>
      </c>
      <c r="L258" s="1663">
        <f t="shared" si="12"/>
        <v>77436.359886201986</v>
      </c>
      <c r="M258" s="1664">
        <f>D258</f>
        <v>703</v>
      </c>
    </row>
    <row r="259" spans="1:13" ht="18" customHeight="1">
      <c r="A259" s="1934">
        <v>2</v>
      </c>
      <c r="B259" s="1599" t="s">
        <v>5846</v>
      </c>
      <c r="C259" s="1601" t="s">
        <v>543</v>
      </c>
      <c r="D259" s="1600">
        <v>203</v>
      </c>
      <c r="E259" s="1682">
        <f t="shared" si="10"/>
        <v>154700</v>
      </c>
      <c r="F259" s="1926">
        <f t="shared" si="9"/>
        <v>31404100</v>
      </c>
      <c r="H259" s="1663">
        <v>24272101</v>
      </c>
      <c r="I259" s="1663">
        <v>513460</v>
      </c>
      <c r="J259" s="1663"/>
      <c r="K259" s="1663">
        <f t="shared" si="11"/>
        <v>24785561</v>
      </c>
      <c r="L259" s="1663">
        <f t="shared" si="12"/>
        <v>122096.35960591133</v>
      </c>
      <c r="M259" s="1664">
        <f>D259</f>
        <v>203</v>
      </c>
    </row>
    <row r="260" spans="1:13" ht="18" customHeight="1">
      <c r="A260" s="1934">
        <v>3</v>
      </c>
      <c r="B260" s="1599" t="s">
        <v>5847</v>
      </c>
      <c r="C260" s="1601" t="s">
        <v>543</v>
      </c>
      <c r="D260" s="1600">
        <v>703</v>
      </c>
      <c r="E260" s="1682">
        <f t="shared" si="10"/>
        <v>26000</v>
      </c>
      <c r="F260" s="1926">
        <f t="shared" si="9"/>
        <v>18278000</v>
      </c>
      <c r="H260" s="1663">
        <v>12636882</v>
      </c>
      <c r="I260" s="1663">
        <v>1778140</v>
      </c>
      <c r="J260" s="1663"/>
      <c r="K260" s="1663">
        <f t="shared" si="11"/>
        <v>14415022</v>
      </c>
      <c r="L260" s="1663">
        <f t="shared" si="12"/>
        <v>20505.009957325747</v>
      </c>
      <c r="M260" s="1664">
        <f>D260</f>
        <v>703</v>
      </c>
    </row>
    <row r="261" spans="1:13" ht="18" customHeight="1">
      <c r="A261" s="1934">
        <v>4</v>
      </c>
      <c r="B261" s="1599" t="s">
        <v>5848</v>
      </c>
      <c r="C261" s="1601" t="s">
        <v>543</v>
      </c>
      <c r="D261" s="1600">
        <v>703</v>
      </c>
      <c r="E261" s="1682">
        <f t="shared" si="10"/>
        <v>31800</v>
      </c>
      <c r="F261" s="1926">
        <f t="shared" si="9"/>
        <v>22355400</v>
      </c>
      <c r="H261" s="1663">
        <v>15836132</v>
      </c>
      <c r="I261" s="1663">
        <v>1778140</v>
      </c>
      <c r="J261" s="1663"/>
      <c r="K261" s="1663">
        <f t="shared" si="11"/>
        <v>17614272</v>
      </c>
      <c r="L261" s="1663">
        <f t="shared" si="12"/>
        <v>25055.863442389757</v>
      </c>
      <c r="M261" s="1664">
        <f>D261</f>
        <v>703</v>
      </c>
    </row>
    <row r="262" spans="1:13" ht="18" customHeight="1">
      <c r="A262" s="1931">
        <v>5</v>
      </c>
      <c r="B262" s="1512" t="s">
        <v>5849</v>
      </c>
      <c r="C262" s="1589" t="s">
        <v>543</v>
      </c>
      <c r="D262" s="1506">
        <v>282</v>
      </c>
      <c r="E262" s="1507">
        <f t="shared" si="10"/>
        <v>55200</v>
      </c>
      <c r="F262" s="1926">
        <f t="shared" si="9"/>
        <v>15566400</v>
      </c>
      <c r="H262" s="1663">
        <v>6182568</v>
      </c>
      <c r="I262" s="1663">
        <v>1188799</v>
      </c>
      <c r="J262" s="1663">
        <v>4922039</v>
      </c>
      <c r="K262" s="1663">
        <f t="shared" si="11"/>
        <v>12293406</v>
      </c>
      <c r="L262" s="1663">
        <f t="shared" si="12"/>
        <v>43593.638297872341</v>
      </c>
      <c r="M262" s="1664">
        <f>D262</f>
        <v>282</v>
      </c>
    </row>
    <row r="263" spans="1:13" ht="24" customHeight="1" thickBot="1">
      <c r="A263" s="1935"/>
      <c r="B263" s="1936" t="s">
        <v>5987</v>
      </c>
      <c r="C263" s="1937"/>
      <c r="D263" s="1938">
        <v>0</v>
      </c>
      <c r="E263" s="1939"/>
      <c r="F263" s="1940">
        <f>ROUNDDOWN(F6+F243,-2)</f>
        <v>130338821100</v>
      </c>
      <c r="G263" s="1680">
        <v>197805722783.578</v>
      </c>
    </row>
    <row r="264" spans="1:13" ht="13.5" customHeight="1" thickTop="1">
      <c r="G264" s="1680">
        <f>F263-G263</f>
        <v>-67466901683.578003</v>
      </c>
    </row>
    <row r="265" spans="1:13" ht="21.75" customHeight="1">
      <c r="B265" s="1943"/>
    </row>
    <row r="266" spans="1:13" s="1947" customFormat="1" ht="33" customHeight="1">
      <c r="A266" s="1941"/>
      <c r="B266" s="1942"/>
      <c r="D266" s="1944"/>
      <c r="E266" s="1949"/>
      <c r="F266" s="1946"/>
      <c r="G266" s="1946"/>
    </row>
    <row r="267" spans="1:13" s="1947" customFormat="1" ht="15.75" customHeight="1">
      <c r="A267" s="1941"/>
      <c r="B267" s="1942"/>
      <c r="C267" s="1948"/>
      <c r="D267" s="1944"/>
      <c r="E267" s="1945"/>
      <c r="F267" s="1946"/>
      <c r="G267" s="1946"/>
    </row>
    <row r="268" spans="1:13" s="1947" customFormat="1" ht="19.5" customHeight="1">
      <c r="A268" s="1941"/>
      <c r="B268" s="1942"/>
      <c r="C268" s="1948"/>
      <c r="D268" s="1944"/>
      <c r="E268" s="1945"/>
      <c r="G268" s="1946"/>
    </row>
    <row r="269" spans="1:13" ht="21.75" customHeight="1">
      <c r="F269" s="1680"/>
    </row>
    <row r="270" spans="1:13" ht="21.75" customHeight="1">
      <c r="F270" s="1680"/>
    </row>
    <row r="271" spans="1:13" ht="21.75" customHeight="1">
      <c r="F271" s="1680"/>
    </row>
    <row r="272" spans="1:13" ht="21.75" customHeight="1">
      <c r="F272" s="1680"/>
    </row>
    <row r="273" spans="6:6" ht="21.75" customHeight="1">
      <c r="F273" s="1680"/>
    </row>
    <row r="274" spans="6:6" ht="21.75" customHeight="1">
      <c r="F274" s="1680"/>
    </row>
    <row r="275" spans="6:6" ht="21.75" customHeight="1">
      <c r="F275" s="1680"/>
    </row>
    <row r="276" spans="6:6" ht="21.75" customHeight="1">
      <c r="F276" s="1680"/>
    </row>
    <row r="277" spans="6:6" ht="21.75" customHeight="1">
      <c r="F277" s="1680"/>
    </row>
  </sheetData>
  <autoFilter ref="A5:F266"/>
  <printOptions horizontalCentered="1"/>
  <pageMargins left="0.87" right="0.37" top="0.42" bottom="0.52" header="0" footer="0.32"/>
  <pageSetup paperSize="9" scale="85" firstPageNumber="7" orientation="portrait" blackAndWhite="1" r:id="rId1"/>
  <headerFooter>
    <oddFooter>&amp;CPage &amp;P of Giá đề xuất long bình</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U404"/>
  <sheetViews>
    <sheetView showZeros="0" tabSelected="1" view="pageBreakPreview" topLeftCell="B22" zoomScaleNormal="85" zoomScaleSheetLayoutView="100" workbookViewId="0">
      <selection activeCell="F29" sqref="F29"/>
    </sheetView>
  </sheetViews>
  <sheetFormatPr defaultRowHeight="21.75" customHeight="1"/>
  <cols>
    <col min="1" max="1" width="2.140625" style="87" hidden="1" customWidth="1"/>
    <col min="2" max="2" width="7.7109375" style="87" customWidth="1"/>
    <col min="3" max="3" width="45.7109375" style="1511" customWidth="1"/>
    <col min="4" max="7" width="9.28515625" style="657" customWidth="1"/>
    <col min="8" max="9" width="12.7109375" style="657" customWidth="1"/>
    <col min="10" max="10" width="10.7109375" style="1491" customWidth="1"/>
    <col min="11" max="11" width="12.42578125" style="1491" customWidth="1"/>
    <col min="12" max="12" width="15.28515625" style="1491" customWidth="1"/>
    <col min="13" max="13" width="5.5703125" style="1491" bestFit="1" customWidth="1"/>
    <col min="14" max="14" width="9.28515625" style="87" bestFit="1" customWidth="1"/>
    <col min="15" max="15" width="7" style="87" bestFit="1" customWidth="1"/>
    <col min="16" max="18" width="9.28515625" style="87" bestFit="1" customWidth="1"/>
    <col min="19" max="16384" width="9.140625" style="87"/>
  </cols>
  <sheetData>
    <row r="1" spans="1:13" ht="21.75" hidden="1" customHeight="1">
      <c r="B1" s="987" t="s">
        <v>5699</v>
      </c>
      <c r="C1" s="1509"/>
      <c r="D1" s="725"/>
      <c r="E1" s="725"/>
      <c r="F1" s="725"/>
      <c r="G1" s="725"/>
      <c r="H1" s="725"/>
      <c r="I1" s="725"/>
      <c r="J1" s="1510"/>
      <c r="K1" s="1510"/>
      <c r="L1" s="1510"/>
    </row>
    <row r="2" spans="1:13" ht="20.100000000000001" hidden="1" customHeight="1">
      <c r="B2" s="1569" t="s">
        <v>1999</v>
      </c>
      <c r="C2" s="822"/>
      <c r="D2" s="1487"/>
      <c r="E2" s="1487"/>
      <c r="F2" s="1487"/>
      <c r="G2" s="1487"/>
      <c r="H2" s="1487"/>
      <c r="I2" s="1487"/>
      <c r="J2" s="827"/>
      <c r="K2" s="827"/>
      <c r="L2" s="827"/>
      <c r="M2" s="1492"/>
    </row>
    <row r="3" spans="1:13" ht="20.100000000000001" hidden="1" customHeight="1">
      <c r="B3" s="1569" t="s">
        <v>5781</v>
      </c>
      <c r="C3" s="822"/>
      <c r="D3" s="1487"/>
      <c r="E3" s="1487"/>
      <c r="F3" s="1487"/>
      <c r="G3" s="1487"/>
      <c r="H3" s="1487"/>
      <c r="I3" s="1487"/>
      <c r="J3" s="827"/>
      <c r="K3" s="827"/>
      <c r="L3" s="827"/>
      <c r="M3" s="1492"/>
    </row>
    <row r="4" spans="1:13" ht="6.75" customHeight="1">
      <c r="B4" s="220"/>
      <c r="C4" s="352"/>
      <c r="D4" s="1487"/>
      <c r="E4" s="1487"/>
      <c r="F4" s="1487"/>
      <c r="G4" s="1487"/>
      <c r="H4" s="1487"/>
      <c r="I4" s="1487"/>
      <c r="J4" s="350"/>
      <c r="K4" s="350"/>
      <c r="L4" s="350"/>
      <c r="M4" s="350"/>
    </row>
    <row r="5" spans="1:13" s="231" customFormat="1" ht="33.950000000000003" customHeight="1">
      <c r="B5" s="2133" t="s">
        <v>524</v>
      </c>
      <c r="C5" s="2133" t="s">
        <v>5707</v>
      </c>
      <c r="D5" s="2133" t="s">
        <v>282</v>
      </c>
      <c r="E5" s="2133" t="s">
        <v>281</v>
      </c>
      <c r="F5" s="2133" t="s">
        <v>284</v>
      </c>
      <c r="G5" s="2133" t="s">
        <v>5985</v>
      </c>
      <c r="H5" s="2133" t="s">
        <v>5986</v>
      </c>
      <c r="I5" s="2133" t="s">
        <v>569</v>
      </c>
      <c r="J5" s="2133" t="s">
        <v>323</v>
      </c>
      <c r="K5" s="2133" t="s">
        <v>5868</v>
      </c>
      <c r="L5" s="2133" t="s">
        <v>569</v>
      </c>
      <c r="M5" s="1489">
        <f>'DGCT Cau'!$J$6</f>
        <v>1.2672799260000003</v>
      </c>
    </row>
    <row r="6" spans="1:13" s="231" customFormat="1" ht="18" customHeight="1">
      <c r="B6" s="2134">
        <v>1</v>
      </c>
      <c r="C6" s="2134">
        <v>2</v>
      </c>
      <c r="D6" s="2134">
        <v>3</v>
      </c>
      <c r="E6" s="2134">
        <v>4</v>
      </c>
      <c r="F6" s="2134">
        <v>5</v>
      </c>
      <c r="G6" s="2134">
        <v>6</v>
      </c>
      <c r="H6" s="2134">
        <v>7</v>
      </c>
      <c r="I6" s="2134"/>
      <c r="J6" s="2134">
        <v>8</v>
      </c>
      <c r="K6" s="2134">
        <v>9</v>
      </c>
      <c r="L6" s="2134">
        <v>10</v>
      </c>
      <c r="M6" s="1489"/>
    </row>
    <row r="7" spans="1:13" ht="18" customHeight="1">
      <c r="A7" s="87">
        <v>1</v>
      </c>
      <c r="B7" s="1955" t="str">
        <f>IF(A7&lt;&gt;0,"TH "&amp;COUNTA($A$7:A7),"")</f>
        <v>TH 1</v>
      </c>
      <c r="C7" s="1956" t="s">
        <v>5932</v>
      </c>
      <c r="D7" s="1957" t="s">
        <v>545</v>
      </c>
      <c r="E7" s="1957"/>
      <c r="F7" s="1957"/>
      <c r="G7" s="1957"/>
      <c r="H7" s="1957"/>
      <c r="I7" s="1957"/>
      <c r="J7" s="1958">
        <f>GiaDuThau!$D$9</f>
        <v>364.65</v>
      </c>
      <c r="K7" s="2078">
        <f>ROUND(SUM(L8:L38)/$J7,0)</f>
        <v>4506706</v>
      </c>
      <c r="L7" s="1959">
        <f>J7*K7</f>
        <v>1643370342.8999999</v>
      </c>
      <c r="M7" s="1490"/>
    </row>
    <row r="8" spans="1:13" ht="18" customHeight="1">
      <c r="B8" s="2026">
        <v>1</v>
      </c>
      <c r="C8" s="2027" t="s">
        <v>5698</v>
      </c>
      <c r="D8" s="2028" t="s">
        <v>545</v>
      </c>
      <c r="E8" s="2028"/>
      <c r="F8" s="2028"/>
      <c r="G8" s="2028"/>
      <c r="H8" s="2028"/>
      <c r="I8" s="2028"/>
      <c r="J8" s="2029">
        <f>J7</f>
        <v>364.65</v>
      </c>
      <c r="K8" s="2030">
        <f>'DGCT Cau'!$I$25</f>
        <v>2405142</v>
      </c>
      <c r="L8" s="2031">
        <f>$J8*K8</f>
        <v>877035030.29999995</v>
      </c>
      <c r="M8" s="1490"/>
    </row>
    <row r="9" spans="1:13" ht="18" customHeight="1">
      <c r="B9" s="2071"/>
      <c r="C9" s="2135" t="str">
        <f>'DGCT Cau'!E8</f>
        <v xml:space="preserve">  A - Vật liệu</v>
      </c>
      <c r="D9" s="2135">
        <f>'DGCT Cau'!F8</f>
        <v>0</v>
      </c>
      <c r="E9" s="2135">
        <f>'DGCT Cau'!G8</f>
        <v>0</v>
      </c>
      <c r="F9" s="2135">
        <f>'DGCT Cau'!H8</f>
        <v>0</v>
      </c>
      <c r="G9" s="2086"/>
      <c r="H9" s="2086"/>
      <c r="I9" s="2086"/>
      <c r="J9" s="2087"/>
      <c r="K9" s="2136"/>
      <c r="L9" s="2072"/>
      <c r="M9" s="1490"/>
    </row>
    <row r="10" spans="1:13" ht="18" customHeight="1">
      <c r="B10" s="2071"/>
      <c r="C10" s="2135" t="str">
        <f>'DGCT Cau'!E9</f>
        <v>Vữa bê tông đá 1x2 C35 (độ sụt 14-17cm)</v>
      </c>
      <c r="D10" s="2135" t="str">
        <f>'DGCT Cau'!F9</f>
        <v>m3</v>
      </c>
      <c r="E10" s="2135">
        <f>'DGCT Cau'!G9</f>
        <v>1.0149999999999999</v>
      </c>
      <c r="F10" s="2135">
        <f>'DGCT Cau'!H9</f>
        <v>1167220.6239684112</v>
      </c>
      <c r="G10" s="2086"/>
      <c r="H10" s="2086">
        <f>PRODUCT(E10,G10,J$8)</f>
        <v>370.11974999999995</v>
      </c>
      <c r="I10" s="2086"/>
      <c r="J10" s="2087"/>
      <c r="K10" s="2136"/>
      <c r="L10" s="2072"/>
      <c r="M10" s="1490"/>
    </row>
    <row r="11" spans="1:13" ht="18" customHeight="1">
      <c r="B11" s="2071"/>
      <c r="C11" s="2135" t="str">
        <f>'DGCT Cau'!E10</f>
        <v>Vật liệu khác</v>
      </c>
      <c r="D11" s="2135" t="str">
        <f>'DGCT Cau'!F10</f>
        <v>%</v>
      </c>
      <c r="E11" s="2135">
        <f>'DGCT Cau'!G10</f>
        <v>1.2</v>
      </c>
      <c r="F11" s="2135">
        <f>'DGCT Cau'!H10</f>
        <v>1184728.9333279373</v>
      </c>
      <c r="G11" s="2086"/>
      <c r="H11" s="2086">
        <f t="shared" ref="H11:H17" si="0">PRODUCT(E11,G11,J$8)</f>
        <v>437.58</v>
      </c>
      <c r="I11" s="2086"/>
      <c r="J11" s="2087"/>
      <c r="K11" s="2136"/>
      <c r="L11" s="2072"/>
      <c r="M11" s="1490"/>
    </row>
    <row r="12" spans="1:13" ht="18" customHeight="1">
      <c r="B12" s="2071"/>
      <c r="C12" s="2135" t="str">
        <f>'DGCT Cau'!E11</f>
        <v xml:space="preserve">  B - Nhân công 3.5/7</v>
      </c>
      <c r="D12" s="2135" t="str">
        <f>'DGCT Cau'!F11</f>
        <v>công</v>
      </c>
      <c r="E12" s="2135">
        <f>'DGCT Cau'!G11</f>
        <v>2.06</v>
      </c>
      <c r="F12" s="2135">
        <f>'DGCT Cau'!H11</f>
        <v>235816</v>
      </c>
      <c r="G12" s="2086"/>
      <c r="H12" s="2086">
        <f t="shared" si="0"/>
        <v>751.17899999999997</v>
      </c>
      <c r="I12" s="2086"/>
      <c r="J12" s="2087"/>
      <c r="K12" s="2136"/>
      <c r="L12" s="2072"/>
      <c r="M12" s="1490"/>
    </row>
    <row r="13" spans="1:13" ht="18" customHeight="1">
      <c r="B13" s="2071"/>
      <c r="C13" s="2135" t="str">
        <f>'DGCT Cau'!E12</f>
        <v xml:space="preserve">  C - Máy thi công</v>
      </c>
      <c r="D13" s="2135">
        <f>'DGCT Cau'!F12</f>
        <v>0</v>
      </c>
      <c r="E13" s="2135">
        <f>'DGCT Cau'!G12</f>
        <v>0</v>
      </c>
      <c r="F13" s="2135">
        <f>'DGCT Cau'!H12</f>
        <v>0</v>
      </c>
      <c r="G13" s="2086"/>
      <c r="H13" s="2086">
        <f t="shared" si="0"/>
        <v>0</v>
      </c>
      <c r="I13" s="2086"/>
      <c r="J13" s="2087"/>
      <c r="K13" s="2136"/>
      <c r="L13" s="2072"/>
      <c r="M13" s="1490"/>
    </row>
    <row r="14" spans="1:13" ht="18" customHeight="1">
      <c r="B14" s="2071"/>
      <c r="C14" s="2135" t="str">
        <f>'DGCT Cau'!E13</f>
        <v>Cần cẩu bánh xích 25T</v>
      </c>
      <c r="D14" s="2135" t="str">
        <f>'DGCT Cau'!F13</f>
        <v>ca</v>
      </c>
      <c r="E14" s="2135">
        <f>'DGCT Cau'!G13</f>
        <v>3.3000000000000002E-2</v>
      </c>
      <c r="F14" s="2135">
        <f>'DGCT Cau'!H13</f>
        <v>2787996.6736363638</v>
      </c>
      <c r="G14" s="2086"/>
      <c r="H14" s="2086">
        <f t="shared" si="0"/>
        <v>12.03345</v>
      </c>
      <c r="I14" s="2086"/>
      <c r="J14" s="2087"/>
      <c r="K14" s="2136"/>
      <c r="L14" s="2072"/>
      <c r="M14" s="1490"/>
    </row>
    <row r="15" spans="1:13" ht="18" customHeight="1">
      <c r="B15" s="2071"/>
      <c r="C15" s="2135" t="str">
        <f>'DGCT Cau'!E14</f>
        <v>Máy bơm BT 50m3/h</v>
      </c>
      <c r="D15" s="2135" t="str">
        <f>'DGCT Cau'!F14</f>
        <v>ca</v>
      </c>
      <c r="E15" s="2135">
        <f>'DGCT Cau'!G14</f>
        <v>3.3000000000000002E-2</v>
      </c>
      <c r="F15" s="2135">
        <f>'DGCT Cau'!H14</f>
        <v>3446390.13</v>
      </c>
      <c r="G15" s="2086"/>
      <c r="H15" s="2086">
        <f t="shared" si="0"/>
        <v>12.03345</v>
      </c>
      <c r="I15" s="2086"/>
      <c r="J15" s="2087"/>
      <c r="K15" s="2136"/>
      <c r="L15" s="2072"/>
      <c r="M15" s="1490"/>
    </row>
    <row r="16" spans="1:13" ht="18" customHeight="1">
      <c r="B16" s="2071"/>
      <c r="C16" s="2135" t="str">
        <f>'DGCT Cau'!E15</f>
        <v>Máy đầm dùi 1.5kw</v>
      </c>
      <c r="D16" s="2135" t="str">
        <f>'DGCT Cau'!F15</f>
        <v>ca</v>
      </c>
      <c r="E16" s="2135">
        <f>'DGCT Cau'!G15</f>
        <v>8.5000000000000006E-2</v>
      </c>
      <c r="F16" s="2135">
        <f>'DGCT Cau'!H15</f>
        <v>74768.797500000001</v>
      </c>
      <c r="G16" s="2086"/>
      <c r="H16" s="2086">
        <f t="shared" si="0"/>
        <v>30.995249999999999</v>
      </c>
      <c r="I16" s="2086"/>
      <c r="J16" s="2087"/>
      <c r="K16" s="2136"/>
      <c r="L16" s="2072"/>
      <c r="M16" s="1490"/>
    </row>
    <row r="17" spans="2:13" ht="18" customHeight="1">
      <c r="B17" s="2071"/>
      <c r="C17" s="2135" t="str">
        <f>'DGCT Cau'!E16</f>
        <v>Máy khác</v>
      </c>
      <c r="D17" s="2135" t="str">
        <f>'DGCT Cau'!F16</f>
        <v>%</v>
      </c>
      <c r="E17" s="2135">
        <f>'DGCT Cau'!G16</f>
        <v>0.5</v>
      </c>
      <c r="F17" s="2135">
        <f>'DGCT Cau'!H16</f>
        <v>212090.11230750004</v>
      </c>
      <c r="G17" s="2086"/>
      <c r="H17" s="2086">
        <f t="shared" si="0"/>
        <v>182.32499999999999</v>
      </c>
      <c r="I17" s="2086"/>
      <c r="J17" s="2087"/>
      <c r="K17" s="2136"/>
      <c r="L17" s="2072"/>
      <c r="M17" s="1490"/>
    </row>
    <row r="18" spans="2:13" ht="31.5">
      <c r="B18" s="1589">
        <f>B8+1</f>
        <v>2</v>
      </c>
      <c r="C18" s="1512" t="s">
        <v>5686</v>
      </c>
      <c r="D18" s="1505" t="s">
        <v>545</v>
      </c>
      <c r="E18" s="1505"/>
      <c r="F18" s="1505"/>
      <c r="G18" s="1505"/>
      <c r="H18" s="1505"/>
      <c r="I18" s="1505"/>
      <c r="J18" s="1506">
        <f>J8*1.015</f>
        <v>370.11974999999995</v>
      </c>
      <c r="K18" s="2025">
        <f>'DGCT Cau'!$I$61</f>
        <v>165882</v>
      </c>
      <c r="L18" s="1507">
        <f>$J18*K18</f>
        <v>61396204.369499989</v>
      </c>
      <c r="M18" s="1490"/>
    </row>
    <row r="19" spans="2:13" ht="15.75">
      <c r="B19" s="1589"/>
      <c r="C19" s="1512" t="str">
        <f>'DGCT Cau'!E46</f>
        <v xml:space="preserve">  B - Nhân công 3.0/7</v>
      </c>
      <c r="D19" s="1512" t="str">
        <f>'DGCT Cau'!F46</f>
        <v>công</v>
      </c>
      <c r="E19" s="1512">
        <f>'DGCT Cau'!G46</f>
        <v>7.0000000000000007E-2</v>
      </c>
      <c r="F19" s="1512">
        <f>'DGCT Cau'!H46</f>
        <v>219751</v>
      </c>
      <c r="G19" s="1505"/>
      <c r="H19" s="2086">
        <f t="shared" ref="H19:H25" si="1">PRODUCT(E19,G19,J$18)</f>
        <v>25.908382499999998</v>
      </c>
      <c r="I19" s="1505"/>
      <c r="J19" s="1506"/>
      <c r="K19" s="2025"/>
      <c r="L19" s="1507"/>
      <c r="M19" s="1490"/>
    </row>
    <row r="20" spans="2:13" ht="15.75">
      <c r="B20" s="1589"/>
      <c r="C20" s="1512" t="str">
        <f>'DGCT Cau'!E47</f>
        <v xml:space="preserve">  C - Máy thi công</v>
      </c>
      <c r="D20" s="1512">
        <f>'DGCT Cau'!F47</f>
        <v>0</v>
      </c>
      <c r="E20" s="1512">
        <f>'DGCT Cau'!G47</f>
        <v>0</v>
      </c>
      <c r="F20" s="1512">
        <f>'DGCT Cau'!H47</f>
        <v>0</v>
      </c>
      <c r="G20" s="1505"/>
      <c r="H20" s="2086">
        <f t="shared" si="1"/>
        <v>0</v>
      </c>
      <c r="I20" s="1505"/>
      <c r="J20" s="1506"/>
      <c r="K20" s="2025"/>
      <c r="L20" s="1507"/>
      <c r="M20" s="1490"/>
    </row>
    <row r="21" spans="2:13" ht="15.75">
      <c r="B21" s="1589"/>
      <c r="C21" s="1512" t="str">
        <f>'DGCT Cau'!E48</f>
        <v>Trạm trộn bêtông 50m3/h</v>
      </c>
      <c r="D21" s="1512" t="str">
        <f>'DGCT Cau'!F48</f>
        <v>ca</v>
      </c>
      <c r="E21" s="1512">
        <f>'DGCT Cau'!G48</f>
        <v>7.0000000000000001E-3</v>
      </c>
      <c r="F21" s="1512">
        <f>'DGCT Cau'!H48</f>
        <v>2766761.5200000005</v>
      </c>
      <c r="G21" s="1505"/>
      <c r="H21" s="2086">
        <f t="shared" si="1"/>
        <v>2.5908382499999996</v>
      </c>
      <c r="I21" s="1505"/>
      <c r="J21" s="1506"/>
      <c r="K21" s="2025"/>
      <c r="L21" s="1507"/>
      <c r="M21" s="1490"/>
    </row>
    <row r="22" spans="2:13" ht="15.75">
      <c r="B22" s="1589"/>
      <c r="C22" s="1512" t="str">
        <f>'DGCT Cau'!E49</f>
        <v>Máy xúc 1.25m3</v>
      </c>
      <c r="D22" s="1512" t="str">
        <f>'DGCT Cau'!F49</f>
        <v>ca</v>
      </c>
      <c r="E22" s="1512">
        <f>'DGCT Cau'!G49</f>
        <v>7.0000000000000001E-3</v>
      </c>
      <c r="F22" s="1512">
        <f>'DGCT Cau'!H49</f>
        <v>1941040.5763636362</v>
      </c>
      <c r="G22" s="1505"/>
      <c r="H22" s="2086">
        <f t="shared" si="1"/>
        <v>2.5908382499999996</v>
      </c>
      <c r="I22" s="1505"/>
      <c r="J22" s="1506"/>
      <c r="K22" s="2025"/>
      <c r="L22" s="1507"/>
      <c r="M22" s="1490"/>
    </row>
    <row r="23" spans="2:13" ht="15.75">
      <c r="B23" s="1589"/>
      <c r="C23" s="1512" t="str">
        <f>'DGCT Cau'!E50</f>
        <v>Máy ủi 110cv</v>
      </c>
      <c r="D23" s="1512" t="str">
        <f>'DGCT Cau'!F50</f>
        <v>ca</v>
      </c>
      <c r="E23" s="1512">
        <f>'DGCT Cau'!G50</f>
        <v>3.5000000000000001E-3</v>
      </c>
      <c r="F23" s="1512">
        <f>'DGCT Cau'!H50</f>
        <v>1959433.0499999998</v>
      </c>
      <c r="G23" s="1505"/>
      <c r="H23" s="2086">
        <f t="shared" si="1"/>
        <v>1.2954191249999998</v>
      </c>
      <c r="I23" s="1505"/>
      <c r="J23" s="1506"/>
      <c r="K23" s="2025"/>
      <c r="L23" s="1507"/>
      <c r="M23" s="1490"/>
    </row>
    <row r="24" spans="2:13" ht="15.75">
      <c r="B24" s="1589"/>
      <c r="C24" s="1512" t="str">
        <f>'DGCT Cau'!E51</f>
        <v>Máy khác</v>
      </c>
      <c r="D24" s="1512" t="str">
        <f>'DGCT Cau'!F51</f>
        <v>%</v>
      </c>
      <c r="E24" s="1512">
        <f>'DGCT Cau'!G51</f>
        <v>5</v>
      </c>
      <c r="F24" s="1512">
        <f>'DGCT Cau'!H51</f>
        <v>39812.630349545463</v>
      </c>
      <c r="G24" s="1505"/>
      <c r="H24" s="2086">
        <f t="shared" si="1"/>
        <v>1850.5987499999997</v>
      </c>
      <c r="I24" s="1505"/>
      <c r="J24" s="1506"/>
      <c r="K24" s="2025"/>
      <c r="L24" s="1507"/>
      <c r="M24" s="1490"/>
    </row>
    <row r="25" spans="2:13" ht="15.75">
      <c r="B25" s="1589"/>
      <c r="C25" s="1512" t="str">
        <f>'DGCT Cau'!E52</f>
        <v>Ôtô chuyển trộn 10.7m3</v>
      </c>
      <c r="D25" s="1512" t="str">
        <f>'DGCT Cau'!F52</f>
        <v>ca</v>
      </c>
      <c r="E25" s="1512">
        <f>'DGCT Cau'!G52</f>
        <v>2.4500000000000001E-2</v>
      </c>
      <c r="F25" s="1512">
        <f>'DGCT Cau'!H52</f>
        <v>3008576.2009090907</v>
      </c>
      <c r="G25" s="1505"/>
      <c r="H25" s="2086">
        <f t="shared" si="1"/>
        <v>9.0679338749999996</v>
      </c>
      <c r="I25" s="1505"/>
      <c r="J25" s="1506"/>
      <c r="K25" s="2025"/>
      <c r="L25" s="1507"/>
      <c r="M25" s="1490"/>
    </row>
    <row r="26" spans="2:13" ht="18" customHeight="1">
      <c r="B26" s="1589">
        <f>B18+1</f>
        <v>3</v>
      </c>
      <c r="C26" s="1512" t="s">
        <v>5700</v>
      </c>
      <c r="D26" s="1505" t="s">
        <v>547</v>
      </c>
      <c r="E26" s="1505"/>
      <c r="F26" s="1505"/>
      <c r="G26" s="1505"/>
      <c r="H26" s="1505"/>
      <c r="I26" s="1505"/>
      <c r="J26" s="1506">
        <v>4.26</v>
      </c>
      <c r="K26" s="2025">
        <f>'DGCT Cau'!$I$138</f>
        <v>16071733</v>
      </c>
      <c r="L26" s="1507">
        <f t="shared" ref="L26:L39" si="2">J26*K26</f>
        <v>68465582.579999998</v>
      </c>
      <c r="M26" s="1490"/>
    </row>
    <row r="27" spans="2:13" ht="31.5">
      <c r="B27" s="1589"/>
      <c r="C27" s="1515" t="s">
        <v>5780</v>
      </c>
      <c r="D27" s="1566"/>
      <c r="E27" s="1566"/>
      <c r="F27" s="1566"/>
      <c r="G27" s="1566"/>
      <c r="H27" s="1566"/>
      <c r="I27" s="1566"/>
      <c r="J27" s="1568">
        <v>0</v>
      </c>
      <c r="K27" s="2024"/>
      <c r="L27" s="1507">
        <f t="shared" si="2"/>
        <v>0</v>
      </c>
      <c r="M27" s="1490"/>
    </row>
    <row r="28" spans="2:13" ht="31.5">
      <c r="B28" s="1589">
        <v>1</v>
      </c>
      <c r="C28" s="1512" t="s">
        <v>5947</v>
      </c>
      <c r="D28" s="1505" t="s">
        <v>543</v>
      </c>
      <c r="E28" s="1505"/>
      <c r="F28" s="1505"/>
      <c r="G28" s="1505"/>
      <c r="H28" s="1505"/>
      <c r="I28" s="1505"/>
      <c r="J28" s="1524">
        <v>792</v>
      </c>
      <c r="K28" s="1987">
        <f>'DGCT Cau'!$I$2230</f>
        <v>75500</v>
      </c>
      <c r="L28" s="1507">
        <f t="shared" si="2"/>
        <v>59796000</v>
      </c>
      <c r="M28" s="1490"/>
    </row>
    <row r="29" spans="2:13" ht="31.5">
      <c r="B29" s="1589">
        <f t="shared" ref="B29:B37" si="3">B28+1</f>
        <v>2</v>
      </c>
      <c r="C29" s="1512" t="s">
        <v>2165</v>
      </c>
      <c r="D29" s="1505" t="s">
        <v>543</v>
      </c>
      <c r="E29" s="1505"/>
      <c r="F29" s="1505"/>
      <c r="G29" s="1505"/>
      <c r="H29" s="1505"/>
      <c r="I29" s="1505"/>
      <c r="J29" s="1524">
        <v>726</v>
      </c>
      <c r="K29" s="1987">
        <f>'DGCT Cau'!$I$2364</f>
        <v>142900</v>
      </c>
      <c r="L29" s="1507">
        <f t="shared" si="2"/>
        <v>103745400</v>
      </c>
      <c r="M29" s="1490"/>
    </row>
    <row r="30" spans="2:13" ht="31.5">
      <c r="B30" s="1589">
        <f t="shared" si="3"/>
        <v>3</v>
      </c>
      <c r="C30" s="1512" t="s">
        <v>5775</v>
      </c>
      <c r="D30" s="1505" t="s">
        <v>543</v>
      </c>
      <c r="E30" s="1505"/>
      <c r="F30" s="1505"/>
      <c r="G30" s="1505"/>
      <c r="H30" s="1505"/>
      <c r="I30" s="1505"/>
      <c r="J30" s="1524">
        <v>66</v>
      </c>
      <c r="K30" s="1987">
        <f>'DGCT Cau'!$I$2350</f>
        <v>107100</v>
      </c>
      <c r="L30" s="1507">
        <f t="shared" si="2"/>
        <v>7068600</v>
      </c>
      <c r="M30" s="1490"/>
    </row>
    <row r="31" spans="2:13" ht="18" customHeight="1">
      <c r="B31" s="1589">
        <f t="shared" si="3"/>
        <v>4</v>
      </c>
      <c r="C31" s="1512" t="s">
        <v>640</v>
      </c>
      <c r="D31" s="1505" t="s">
        <v>543</v>
      </c>
      <c r="E31" s="1505"/>
      <c r="F31" s="1505"/>
      <c r="G31" s="1505"/>
      <c r="H31" s="1505"/>
      <c r="I31" s="1505"/>
      <c r="J31" s="1524">
        <v>726</v>
      </c>
      <c r="K31" s="1987">
        <f>'DGCT Cau'!$I$2379</f>
        <v>148600</v>
      </c>
      <c r="L31" s="1507">
        <f t="shared" si="2"/>
        <v>107883600</v>
      </c>
      <c r="M31" s="1490"/>
    </row>
    <row r="32" spans="2:13" ht="31.5">
      <c r="B32" s="1589">
        <f t="shared" si="3"/>
        <v>5</v>
      </c>
      <c r="C32" s="1512" t="s">
        <v>5948</v>
      </c>
      <c r="D32" s="1505" t="s">
        <v>557</v>
      </c>
      <c r="E32" s="1505"/>
      <c r="F32" s="1505"/>
      <c r="G32" s="1505"/>
      <c r="H32" s="1505"/>
      <c r="I32" s="1505"/>
      <c r="J32" s="1524">
        <v>11.9</v>
      </c>
      <c r="K32" s="1987">
        <f>'DGCT Cau'!$I$2440</f>
        <v>2507000</v>
      </c>
      <c r="L32" s="1507">
        <f t="shared" si="2"/>
        <v>29833300</v>
      </c>
      <c r="M32" s="1490"/>
    </row>
    <row r="33" spans="1:17" ht="18" customHeight="1">
      <c r="B33" s="1589">
        <f t="shared" si="3"/>
        <v>6</v>
      </c>
      <c r="C33" s="1512" t="s">
        <v>5920</v>
      </c>
      <c r="D33" s="1505" t="s">
        <v>557</v>
      </c>
      <c r="E33" s="1505"/>
      <c r="F33" s="1505"/>
      <c r="G33" s="1505"/>
      <c r="H33" s="1505"/>
      <c r="I33" s="1505"/>
      <c r="J33" s="1524">
        <v>11.9</v>
      </c>
      <c r="K33" s="1987">
        <f>'DGCT Cau'!$I$2459</f>
        <v>7338800</v>
      </c>
      <c r="L33" s="1507">
        <f t="shared" si="2"/>
        <v>87331720</v>
      </c>
      <c r="M33" s="1490"/>
    </row>
    <row r="34" spans="1:17" ht="31.5" hidden="1">
      <c r="B34" s="1589">
        <f t="shared" si="3"/>
        <v>7</v>
      </c>
      <c r="C34" s="1512" t="s">
        <v>5949</v>
      </c>
      <c r="D34" s="1505" t="s">
        <v>543</v>
      </c>
      <c r="E34" s="1505"/>
      <c r="F34" s="1505"/>
      <c r="G34" s="1505"/>
      <c r="H34" s="1505"/>
      <c r="I34" s="1505"/>
      <c r="J34" s="1524">
        <v>60</v>
      </c>
      <c r="K34" s="1987">
        <f>'DGCT Cau'!$I$2485</f>
        <v>74100</v>
      </c>
      <c r="L34" s="1507"/>
      <c r="M34" s="1490"/>
    </row>
    <row r="35" spans="1:17" ht="31.5" hidden="1">
      <c r="B35" s="1589">
        <f t="shared" si="3"/>
        <v>8</v>
      </c>
      <c r="C35" s="1512" t="s">
        <v>5161</v>
      </c>
      <c r="D35" s="1505" t="s">
        <v>543</v>
      </c>
      <c r="E35" s="1505"/>
      <c r="F35" s="1505"/>
      <c r="G35" s="1505"/>
      <c r="H35" s="1505"/>
      <c r="I35" s="1505"/>
      <c r="J35" s="1524">
        <v>55</v>
      </c>
      <c r="K35" s="1987">
        <f>'DGCT Cau'!$I$2922</f>
        <v>56100</v>
      </c>
      <c r="L35" s="1507"/>
      <c r="M35" s="1490"/>
    </row>
    <row r="36" spans="1:17" ht="31.5" hidden="1">
      <c r="B36" s="1589">
        <f t="shared" si="3"/>
        <v>9</v>
      </c>
      <c r="C36" s="1512" t="s">
        <v>5924</v>
      </c>
      <c r="D36" s="1505" t="s">
        <v>543</v>
      </c>
      <c r="E36" s="1505"/>
      <c r="F36" s="1505"/>
      <c r="G36" s="1505"/>
      <c r="H36" s="1505"/>
      <c r="I36" s="1505"/>
      <c r="J36" s="1524">
        <v>5</v>
      </c>
      <c r="K36" s="1987">
        <f>'DGCT Cau'!$I$3257</f>
        <v>42100</v>
      </c>
      <c r="L36" s="1507"/>
      <c r="M36" s="1490"/>
    </row>
    <row r="37" spans="1:17" ht="18" hidden="1" customHeight="1">
      <c r="B37" s="1589">
        <f t="shared" si="3"/>
        <v>10</v>
      </c>
      <c r="C37" s="1512" t="s">
        <v>3487</v>
      </c>
      <c r="D37" s="1505" t="s">
        <v>543</v>
      </c>
      <c r="E37" s="1505"/>
      <c r="F37" s="1505"/>
      <c r="G37" s="1505"/>
      <c r="H37" s="1505"/>
      <c r="I37" s="1505"/>
      <c r="J37" s="1524">
        <v>55</v>
      </c>
      <c r="K37" s="1987">
        <f>'DGCT Cau'!$I$2936</f>
        <v>56600</v>
      </c>
      <c r="L37" s="1507"/>
      <c r="M37" s="1490"/>
    </row>
    <row r="38" spans="1:17" ht="18" customHeight="1">
      <c r="B38" s="1592"/>
      <c r="C38" s="2032" t="s">
        <v>5931</v>
      </c>
      <c r="D38" s="1587" t="s">
        <v>545</v>
      </c>
      <c r="E38" s="1587"/>
      <c r="F38" s="1587"/>
      <c r="G38" s="1587"/>
      <c r="H38" s="1587"/>
      <c r="I38" s="1587"/>
      <c r="J38" s="1598">
        <f>J7</f>
        <v>364.65</v>
      </c>
      <c r="K38" s="2033">
        <f>$K$123</f>
        <v>660400</v>
      </c>
      <c r="L38" s="1593">
        <f t="shared" si="2"/>
        <v>240814859.99999997</v>
      </c>
      <c r="M38" s="1490"/>
    </row>
    <row r="39" spans="1:17" ht="18" customHeight="1">
      <c r="A39" s="87">
        <v>1</v>
      </c>
      <c r="B39" s="1955" t="str">
        <f>IF(A39&lt;&gt;0,"TH "&amp;COUNTA($A$7:A39),"")</f>
        <v>TH 2</v>
      </c>
      <c r="C39" s="1956" t="s">
        <v>4026</v>
      </c>
      <c r="D39" s="1957" t="s">
        <v>545</v>
      </c>
      <c r="E39" s="1957"/>
      <c r="F39" s="1957"/>
      <c r="G39" s="1957"/>
      <c r="H39" s="1957"/>
      <c r="I39" s="1957"/>
      <c r="J39" s="1958">
        <f>GiaDuThau!$D$12</f>
        <v>9.75</v>
      </c>
      <c r="K39" s="2078">
        <f>ROUND(SUM(L40:L41)/$J39,-2)</f>
        <v>1416900</v>
      </c>
      <c r="L39" s="1959">
        <f t="shared" si="2"/>
        <v>13814775</v>
      </c>
      <c r="M39" s="1490"/>
    </row>
    <row r="40" spans="1:17" ht="18" customHeight="1">
      <c r="B40" s="1589">
        <v>1</v>
      </c>
      <c r="C40" s="1512" t="s">
        <v>4026</v>
      </c>
      <c r="D40" s="1505" t="s">
        <v>545</v>
      </c>
      <c r="E40" s="1505"/>
      <c r="F40" s="1505"/>
      <c r="G40" s="1505"/>
      <c r="H40" s="1505"/>
      <c r="I40" s="1505"/>
      <c r="J40" s="1506">
        <f>J39</f>
        <v>9.75</v>
      </c>
      <c r="K40" s="2025">
        <f>'DGCT Cau'!$I$115</f>
        <v>1246000</v>
      </c>
      <c r="L40" s="1507">
        <f>$J40*K40</f>
        <v>12148500</v>
      </c>
      <c r="M40" s="1490"/>
    </row>
    <row r="41" spans="1:17" ht="33.75" customHeight="1">
      <c r="B41" s="1589">
        <f>B40+1</f>
        <v>2</v>
      </c>
      <c r="C41" s="1512" t="s">
        <v>5687</v>
      </c>
      <c r="D41" s="1505" t="s">
        <v>545</v>
      </c>
      <c r="E41" s="1505"/>
      <c r="F41" s="1505"/>
      <c r="G41" s="1505"/>
      <c r="H41" s="1505"/>
      <c r="I41" s="1505"/>
      <c r="J41" s="1506">
        <f>J40*1.03</f>
        <v>10.0425</v>
      </c>
      <c r="K41" s="2025">
        <f>'DGCT Cau'!$I$61</f>
        <v>165882</v>
      </c>
      <c r="L41" s="1507">
        <f>$J41*K41</f>
        <v>1665869.9850000001</v>
      </c>
      <c r="M41" s="1490"/>
    </row>
    <row r="42" spans="1:17" ht="18" customHeight="1">
      <c r="A42" s="87">
        <v>1</v>
      </c>
      <c r="B42" s="1955" t="str">
        <f>IF(A42&lt;&gt;0,"TH "&amp;COUNTA($A$7:A42),"")</f>
        <v>TH 3</v>
      </c>
      <c r="C42" s="1956" t="s">
        <v>5610</v>
      </c>
      <c r="D42" s="1957" t="s">
        <v>545</v>
      </c>
      <c r="E42" s="1957"/>
      <c r="F42" s="1957"/>
      <c r="G42" s="1957"/>
      <c r="H42" s="1957"/>
      <c r="I42" s="1957"/>
      <c r="J42" s="1958">
        <f>SUM(N42:Q42)</f>
        <v>3784</v>
      </c>
      <c r="K42" s="2078">
        <f>ROUND(SUM(L43:L44)/$J42,-2)</f>
        <v>382600</v>
      </c>
      <c r="L42" s="1959">
        <f t="shared" ref="L42:L73" si="4">J42*K42</f>
        <v>1447758400</v>
      </c>
      <c r="M42" s="1490"/>
      <c r="N42" s="2021">
        <v>321</v>
      </c>
      <c r="O42" s="2021">
        <v>334</v>
      </c>
      <c r="P42" s="2021">
        <v>668</v>
      </c>
      <c r="Q42" s="2021">
        <v>2461</v>
      </c>
    </row>
    <row r="43" spans="1:17" ht="18" customHeight="1">
      <c r="B43" s="1589">
        <v>1</v>
      </c>
      <c r="C43" s="1512" t="s">
        <v>5610</v>
      </c>
      <c r="D43" s="1505" t="s">
        <v>545</v>
      </c>
      <c r="E43" s="1505"/>
      <c r="F43" s="1505"/>
      <c r="G43" s="1505"/>
      <c r="H43" s="1505"/>
      <c r="I43" s="1505"/>
      <c r="J43" s="1506">
        <f>J42</f>
        <v>3784</v>
      </c>
      <c r="K43" s="2025">
        <f>'DGCT Cau'!$I$151</f>
        <v>366073</v>
      </c>
      <c r="L43" s="1507">
        <f t="shared" si="4"/>
        <v>1385220232</v>
      </c>
      <c r="M43" s="1490"/>
    </row>
    <row r="44" spans="1:17" ht="18" customHeight="1">
      <c r="B44" s="1589">
        <f>B43+1</f>
        <v>2</v>
      </c>
      <c r="C44" s="1512" t="s">
        <v>5478</v>
      </c>
      <c r="D44" s="1505" t="s">
        <v>545</v>
      </c>
      <c r="E44" s="1505"/>
      <c r="F44" s="1505"/>
      <c r="G44" s="1505"/>
      <c r="H44" s="1505"/>
      <c r="I44" s="1505"/>
      <c r="J44" s="1506">
        <f>ROUND(J43-SUM(N44:Q44),2)</f>
        <v>1924</v>
      </c>
      <c r="K44" s="2025">
        <f>'DGCT Cau'!$I$3289</f>
        <v>32600</v>
      </c>
      <c r="L44" s="1507">
        <f t="shared" si="4"/>
        <v>62722400</v>
      </c>
      <c r="M44" s="1490"/>
      <c r="N44" s="2021">
        <v>119</v>
      </c>
      <c r="O44" s="2021">
        <v>213</v>
      </c>
      <c r="P44" s="2021">
        <v>346</v>
      </c>
      <c r="Q44" s="2021">
        <v>1182</v>
      </c>
    </row>
    <row r="45" spans="1:17" ht="18" customHeight="1">
      <c r="A45" s="87">
        <v>1</v>
      </c>
      <c r="B45" s="1955" t="str">
        <f>IF(A45&lt;&gt;0,"TH "&amp;COUNTA($A$7:A45),"")</f>
        <v>TH 4</v>
      </c>
      <c r="C45" s="1956" t="s">
        <v>5928</v>
      </c>
      <c r="D45" s="1957" t="s">
        <v>5704</v>
      </c>
      <c r="E45" s="1957"/>
      <c r="F45" s="1957"/>
      <c r="G45" s="1957"/>
      <c r="H45" s="1957"/>
      <c r="I45" s="1957"/>
      <c r="J45" s="1958">
        <f>GiaDuThau!$D$15</f>
        <v>2</v>
      </c>
      <c r="K45" s="2078">
        <f>ROUND(SUM(L46:L52)/$J45,-2)</f>
        <v>2055000</v>
      </c>
      <c r="L45" s="1959">
        <f t="shared" si="4"/>
        <v>4110000</v>
      </c>
      <c r="M45" s="1490"/>
    </row>
    <row r="46" spans="1:17" ht="18" customHeight="1">
      <c r="B46" s="1589">
        <v>1</v>
      </c>
      <c r="C46" s="1512" t="s">
        <v>3659</v>
      </c>
      <c r="D46" s="1505" t="s">
        <v>557</v>
      </c>
      <c r="E46" s="1505"/>
      <c r="F46" s="1505"/>
      <c r="G46" s="1505"/>
      <c r="H46" s="1505"/>
      <c r="I46" s="1505"/>
      <c r="J46" s="1506">
        <v>0.03</v>
      </c>
      <c r="K46" s="2025">
        <f>'DGCT Cau'!$I$2683</f>
        <v>55486900</v>
      </c>
      <c r="L46" s="1507">
        <f t="shared" si="4"/>
        <v>1664607</v>
      </c>
      <c r="M46" s="1490"/>
    </row>
    <row r="47" spans="1:17" ht="18" customHeight="1">
      <c r="B47" s="1589">
        <f t="shared" ref="B47:B52" si="5">B46+1</f>
        <v>2</v>
      </c>
      <c r="C47" s="1512" t="s">
        <v>3660</v>
      </c>
      <c r="D47" s="1505" t="s">
        <v>557</v>
      </c>
      <c r="E47" s="1505"/>
      <c r="F47" s="1505"/>
      <c r="G47" s="1505"/>
      <c r="H47" s="1505"/>
      <c r="I47" s="1505"/>
      <c r="J47" s="1506">
        <v>0.01</v>
      </c>
      <c r="K47" s="2025">
        <f>'DGCT Cau'!$I$256</f>
        <v>51882981</v>
      </c>
      <c r="L47" s="1507">
        <f t="shared" si="4"/>
        <v>518829.81</v>
      </c>
      <c r="M47" s="1490"/>
    </row>
    <row r="48" spans="1:17" ht="18" customHeight="1">
      <c r="B48" s="1589">
        <f t="shared" si="5"/>
        <v>3</v>
      </c>
      <c r="C48" s="1512" t="s">
        <v>108</v>
      </c>
      <c r="D48" s="1505" t="s">
        <v>557</v>
      </c>
      <c r="E48" s="1505"/>
      <c r="F48" s="1505"/>
      <c r="G48" s="1505"/>
      <c r="H48" s="1505"/>
      <c r="I48" s="1505"/>
      <c r="J48" s="1506">
        <f>J47</f>
        <v>0.01</v>
      </c>
      <c r="K48" s="2025">
        <f>'DGCT Cau'!$I$233</f>
        <v>6008849</v>
      </c>
      <c r="L48" s="1507">
        <f t="shared" si="4"/>
        <v>60088.49</v>
      </c>
      <c r="M48" s="1490"/>
    </row>
    <row r="49" spans="1:18" ht="18" customHeight="1">
      <c r="B49" s="1589">
        <f t="shared" si="5"/>
        <v>4</v>
      </c>
      <c r="C49" s="1512" t="s">
        <v>568</v>
      </c>
      <c r="D49" s="1505" t="s">
        <v>545</v>
      </c>
      <c r="E49" s="1505"/>
      <c r="F49" s="1505"/>
      <c r="G49" s="1505"/>
      <c r="H49" s="1505"/>
      <c r="I49" s="1505"/>
      <c r="J49" s="1508">
        <v>4.0000000000000001E-3</v>
      </c>
      <c r="K49" s="2025">
        <f>'DGCT Cau'!$I$194</f>
        <v>32506922</v>
      </c>
      <c r="L49" s="1507">
        <f t="shared" si="4"/>
        <v>130027.68800000001</v>
      </c>
      <c r="M49" s="1490"/>
    </row>
    <row r="50" spans="1:18" ht="18" customHeight="1">
      <c r="B50" s="1589">
        <f t="shared" si="5"/>
        <v>5</v>
      </c>
      <c r="C50" s="1512" t="s">
        <v>3658</v>
      </c>
      <c r="D50" s="1505" t="s">
        <v>545</v>
      </c>
      <c r="E50" s="1505"/>
      <c r="F50" s="1505"/>
      <c r="G50" s="1505"/>
      <c r="H50" s="1505"/>
      <c r="I50" s="1505"/>
      <c r="J50" s="1506">
        <v>0.01</v>
      </c>
      <c r="K50" s="2025">
        <f>'DGCT Cau'!$I$2696</f>
        <v>80658000</v>
      </c>
      <c r="L50" s="1507">
        <f t="shared" si="4"/>
        <v>806580</v>
      </c>
      <c r="M50" s="1490"/>
    </row>
    <row r="51" spans="1:18" ht="18" customHeight="1">
      <c r="B51" s="1589">
        <f t="shared" si="5"/>
        <v>6</v>
      </c>
      <c r="C51" s="1512" t="s">
        <v>120</v>
      </c>
      <c r="D51" s="1505" t="s">
        <v>557</v>
      </c>
      <c r="E51" s="1505"/>
      <c r="F51" s="1505"/>
      <c r="G51" s="1505"/>
      <c r="H51" s="1505"/>
      <c r="I51" s="1505"/>
      <c r="J51" s="1506">
        <v>0.02</v>
      </c>
      <c r="K51" s="2025">
        <f>'DGCT Cau'!$I$80</f>
        <v>26387125</v>
      </c>
      <c r="L51" s="1507">
        <f t="shared" si="4"/>
        <v>527742.5</v>
      </c>
      <c r="M51" s="1490"/>
    </row>
    <row r="52" spans="1:18" ht="18" customHeight="1">
      <c r="B52" s="1589">
        <f t="shared" si="5"/>
        <v>7</v>
      </c>
      <c r="C52" s="1512" t="s">
        <v>122</v>
      </c>
      <c r="D52" s="1505" t="s">
        <v>548</v>
      </c>
      <c r="E52" s="1505"/>
      <c r="F52" s="1505"/>
      <c r="G52" s="1505"/>
      <c r="H52" s="1505"/>
      <c r="I52" s="1505"/>
      <c r="J52" s="1506">
        <v>2</v>
      </c>
      <c r="K52" s="2025">
        <f>'DGCT Cau'!$I$272</f>
        <v>201065</v>
      </c>
      <c r="L52" s="1507">
        <f t="shared" si="4"/>
        <v>402130</v>
      </c>
      <c r="M52" s="1490"/>
      <c r="N52" s="87">
        <v>1.2</v>
      </c>
      <c r="O52" s="87">
        <v>1.2</v>
      </c>
      <c r="P52" s="87">
        <v>1.5</v>
      </c>
      <c r="Q52" s="87">
        <v>1.5</v>
      </c>
      <c r="R52" s="87">
        <v>1.2</v>
      </c>
    </row>
    <row r="53" spans="1:18" ht="31.5">
      <c r="A53" s="87">
        <v>1</v>
      </c>
      <c r="B53" s="1955" t="str">
        <f>IF(A53&lt;&gt;0,"TH "&amp;COUNTA($A$7:A53),"")</f>
        <v>TH 5</v>
      </c>
      <c r="C53" s="1956" t="s">
        <v>5904</v>
      </c>
      <c r="D53" s="1957" t="s">
        <v>543</v>
      </c>
      <c r="E53" s="1957"/>
      <c r="F53" s="1957"/>
      <c r="G53" s="1957"/>
      <c r="H53" s="1957"/>
      <c r="I53" s="1957"/>
      <c r="J53" s="1958">
        <f>SUM(N53:R53)</f>
        <v>390</v>
      </c>
      <c r="K53" s="1959">
        <f>ROUND(SUM(L54:L55)/$J53,-2)</f>
        <v>2940300</v>
      </c>
      <c r="L53" s="1959">
        <f t="shared" si="4"/>
        <v>1146717000</v>
      </c>
      <c r="M53" s="1490"/>
      <c r="N53" s="2021">
        <v>180</v>
      </c>
      <c r="O53" s="2021">
        <v>150</v>
      </c>
      <c r="P53" s="2021"/>
      <c r="Q53" s="2021"/>
      <c r="R53" s="2021">
        <v>60</v>
      </c>
    </row>
    <row r="54" spans="1:18" ht="31.5">
      <c r="B54" s="1589">
        <v>1</v>
      </c>
      <c r="C54" s="1512" t="s">
        <v>5904</v>
      </c>
      <c r="D54" s="1505" t="s">
        <v>543</v>
      </c>
      <c r="E54" s="1505"/>
      <c r="F54" s="1505"/>
      <c r="G54" s="1505"/>
      <c r="H54" s="1505"/>
      <c r="I54" s="1505"/>
      <c r="J54" s="1506">
        <f>J53</f>
        <v>390</v>
      </c>
      <c r="K54" s="1987">
        <f>'DGCT Cau'!$I$324</f>
        <v>1965310</v>
      </c>
      <c r="L54" s="1507">
        <f t="shared" si="4"/>
        <v>766470900</v>
      </c>
      <c r="M54" s="1490"/>
    </row>
    <row r="55" spans="1:18" ht="18" customHeight="1">
      <c r="B55" s="1589">
        <v>2</v>
      </c>
      <c r="C55" s="1515" t="s">
        <v>5936</v>
      </c>
      <c r="D55" s="1505" t="s">
        <v>543</v>
      </c>
      <c r="E55" s="1505"/>
      <c r="F55" s="1505"/>
      <c r="G55" s="1505"/>
      <c r="H55" s="1505"/>
      <c r="I55" s="1505"/>
      <c r="J55" s="1506">
        <f>J53</f>
        <v>390</v>
      </c>
      <c r="K55" s="2025">
        <f>$K$59</f>
        <v>975000</v>
      </c>
      <c r="L55" s="1507">
        <f t="shared" si="4"/>
        <v>380250000</v>
      </c>
      <c r="M55" s="1490"/>
      <c r="N55" s="87">
        <v>1.2</v>
      </c>
      <c r="O55" s="87">
        <v>1.2</v>
      </c>
      <c r="P55" s="87">
        <v>1.5</v>
      </c>
      <c r="Q55" s="87">
        <v>1.5</v>
      </c>
      <c r="R55" s="87">
        <v>1.2</v>
      </c>
    </row>
    <row r="56" spans="1:18" ht="31.5">
      <c r="A56" s="87">
        <v>1</v>
      </c>
      <c r="B56" s="1955" t="str">
        <f>IF(A56&lt;&gt;0,"TH "&amp;COUNTA($A$7:A56),"")</f>
        <v>TH 6</v>
      </c>
      <c r="C56" s="1956" t="s">
        <v>5705</v>
      </c>
      <c r="D56" s="1957" t="s">
        <v>543</v>
      </c>
      <c r="E56" s="1957"/>
      <c r="F56" s="1957"/>
      <c r="G56" s="1957"/>
      <c r="H56" s="1957"/>
      <c r="I56" s="1957"/>
      <c r="J56" s="1958">
        <f>SUM(N56:R56)</f>
        <v>438.5</v>
      </c>
      <c r="K56" s="1959">
        <f>ROUND(SUM(L57:L58)/$J56,-2)</f>
        <v>2966000</v>
      </c>
      <c r="L56" s="1959">
        <f t="shared" si="4"/>
        <v>1300591000</v>
      </c>
      <c r="M56" s="1490"/>
      <c r="N56" s="2021">
        <v>231</v>
      </c>
      <c r="O56" s="2021">
        <v>197.5</v>
      </c>
      <c r="P56" s="2021"/>
      <c r="Q56" s="2021"/>
      <c r="R56" s="2021">
        <v>10</v>
      </c>
    </row>
    <row r="57" spans="1:18" ht="31.5">
      <c r="B57" s="1589">
        <v>1</v>
      </c>
      <c r="C57" s="1512" t="s">
        <v>5705</v>
      </c>
      <c r="D57" s="1505" t="s">
        <v>543</v>
      </c>
      <c r="E57" s="1505"/>
      <c r="F57" s="1505"/>
      <c r="G57" s="1505"/>
      <c r="H57" s="1505"/>
      <c r="I57" s="1505"/>
      <c r="J57" s="1506">
        <f>J56</f>
        <v>438.5</v>
      </c>
      <c r="K57" s="2025">
        <f>'DGCT Cau'!$I$362</f>
        <v>1990990</v>
      </c>
      <c r="L57" s="1507">
        <f t="shared" si="4"/>
        <v>873049115</v>
      </c>
      <c r="M57" s="1490"/>
    </row>
    <row r="58" spans="1:18" ht="18" customHeight="1">
      <c r="B58" s="1589">
        <v>2</v>
      </c>
      <c r="C58" s="1515" t="s">
        <v>5936</v>
      </c>
      <c r="D58" s="1505" t="s">
        <v>543</v>
      </c>
      <c r="E58" s="1505"/>
      <c r="F58" s="1505"/>
      <c r="G58" s="1505"/>
      <c r="H58" s="1505"/>
      <c r="I58" s="1505"/>
      <c r="J58" s="1506">
        <f>J56</f>
        <v>438.5</v>
      </c>
      <c r="K58" s="2025">
        <f>$K$59</f>
        <v>975000</v>
      </c>
      <c r="L58" s="1507">
        <f t="shared" si="4"/>
        <v>427537500</v>
      </c>
      <c r="M58" s="1490"/>
    </row>
    <row r="59" spans="1:18" ht="18" customHeight="1">
      <c r="A59" s="87">
        <v>1</v>
      </c>
      <c r="B59" s="1955" t="str">
        <f>IF(A59&lt;&gt;0,"TH "&amp;COUNTA($A$7:A59),"")</f>
        <v>TH 7</v>
      </c>
      <c r="C59" s="1956" t="s">
        <v>5905</v>
      </c>
      <c r="D59" s="1957" t="s">
        <v>543</v>
      </c>
      <c r="E59" s="1957"/>
      <c r="F59" s="1957"/>
      <c r="G59" s="1957"/>
      <c r="H59" s="1957"/>
      <c r="I59" s="1957"/>
      <c r="J59" s="1958">
        <f>J53+J56</f>
        <v>828.5</v>
      </c>
      <c r="K59" s="1959">
        <f>ROUND(SUM(L60:L63)/$J59,-2)</f>
        <v>975000</v>
      </c>
      <c r="L59" s="1959">
        <f t="shared" si="4"/>
        <v>807787500</v>
      </c>
      <c r="M59" s="1490"/>
      <c r="N59" s="87">
        <v>1.2</v>
      </c>
      <c r="O59" s="87">
        <v>1.2</v>
      </c>
      <c r="P59" s="87">
        <v>1.5</v>
      </c>
      <c r="Q59" s="87">
        <v>1.5</v>
      </c>
      <c r="R59" s="87">
        <v>1.2</v>
      </c>
    </row>
    <row r="60" spans="1:18" ht="18" customHeight="1">
      <c r="B60" s="1589">
        <v>1</v>
      </c>
      <c r="C60" s="1512" t="s">
        <v>603</v>
      </c>
      <c r="D60" s="1505" t="s">
        <v>545</v>
      </c>
      <c r="E60" s="1505"/>
      <c r="F60" s="1505"/>
      <c r="G60" s="1505"/>
      <c r="H60" s="1505"/>
      <c r="I60" s="1505"/>
      <c r="J60" s="1506">
        <f>SUM(N60:R60)</f>
        <v>958.09</v>
      </c>
      <c r="K60" s="1987">
        <f>'DGCT Cau'!$I$381</f>
        <v>601134</v>
      </c>
      <c r="L60" s="1507">
        <f t="shared" si="4"/>
        <v>575940474.06000006</v>
      </c>
      <c r="M60" s="1490"/>
      <c r="N60" s="2021">
        <v>468.83</v>
      </c>
      <c r="O60" s="2021">
        <v>396.35</v>
      </c>
      <c r="P60" s="2021"/>
      <c r="Q60" s="2021"/>
      <c r="R60" s="2021">
        <v>92.91</v>
      </c>
    </row>
    <row r="61" spans="1:18" ht="18" customHeight="1">
      <c r="B61" s="1589">
        <f>B60+1</f>
        <v>2</v>
      </c>
      <c r="C61" s="1512" t="s">
        <v>5935</v>
      </c>
      <c r="D61" s="1505" t="s">
        <v>557</v>
      </c>
      <c r="E61" s="1505"/>
      <c r="F61" s="1505"/>
      <c r="G61" s="1505"/>
      <c r="H61" s="1505"/>
      <c r="I61" s="1505"/>
      <c r="J61" s="1506">
        <v>2.58</v>
      </c>
      <c r="K61" s="1987">
        <f>'DGCT Cau'!$I$2336</f>
        <v>593600</v>
      </c>
      <c r="L61" s="1507">
        <f t="shared" si="4"/>
        <v>1531488</v>
      </c>
      <c r="M61" s="1490"/>
      <c r="N61" s="2021"/>
      <c r="O61" s="2021"/>
      <c r="P61" s="2021"/>
      <c r="Q61" s="2021"/>
      <c r="R61" s="2021"/>
    </row>
    <row r="62" spans="1:18" ht="18" customHeight="1">
      <c r="B62" s="1589">
        <f t="shared" ref="B62:B63" si="6">B61+1</f>
        <v>3</v>
      </c>
      <c r="C62" s="1512" t="s">
        <v>5706</v>
      </c>
      <c r="D62" s="1505" t="s">
        <v>543</v>
      </c>
      <c r="E62" s="1505"/>
      <c r="F62" s="1505"/>
      <c r="G62" s="1505"/>
      <c r="H62" s="1505"/>
      <c r="I62" s="1505"/>
      <c r="J62" s="1506">
        <f>SUM(N62:R62)</f>
        <v>104</v>
      </c>
      <c r="K62" s="1987">
        <f>'DGCT Cau'!$I$415</f>
        <v>1921004</v>
      </c>
      <c r="L62" s="1507">
        <f t="shared" si="4"/>
        <v>199784416</v>
      </c>
      <c r="M62" s="1490"/>
      <c r="N62" s="2021">
        <v>48</v>
      </c>
      <c r="O62" s="2021">
        <v>40</v>
      </c>
      <c r="P62" s="2021"/>
      <c r="Q62" s="2021"/>
      <c r="R62" s="2021">
        <v>16</v>
      </c>
    </row>
    <row r="63" spans="1:18" ht="18" customHeight="1">
      <c r="B63" s="1589">
        <f t="shared" si="6"/>
        <v>4</v>
      </c>
      <c r="C63" s="1512" t="s">
        <v>5478</v>
      </c>
      <c r="D63" s="1505" t="s">
        <v>545</v>
      </c>
      <c r="E63" s="1505"/>
      <c r="F63" s="1505"/>
      <c r="G63" s="1505"/>
      <c r="H63" s="1505"/>
      <c r="I63" s="1505"/>
      <c r="J63" s="1506">
        <f>ROUND(PI()*1.2^2/4*J59,2)</f>
        <v>937.01</v>
      </c>
      <c r="K63" s="2025">
        <f>'DGCT Cau'!$I$3289</f>
        <v>32600</v>
      </c>
      <c r="L63" s="1507">
        <f t="shared" si="4"/>
        <v>30546526</v>
      </c>
      <c r="M63" s="1490"/>
    </row>
    <row r="64" spans="1:18" ht="18" customHeight="1">
      <c r="A64" s="87">
        <v>1</v>
      </c>
      <c r="B64" s="1955" t="str">
        <f>IF(A64&lt;&gt;0,"TH "&amp;COUNTA($A$7:A64),"")</f>
        <v>TH 8</v>
      </c>
      <c r="C64" s="1956" t="s">
        <v>4014</v>
      </c>
      <c r="D64" s="1957" t="s">
        <v>545</v>
      </c>
      <c r="E64" s="1957"/>
      <c r="F64" s="1957"/>
      <c r="G64" s="1957"/>
      <c r="H64" s="1957"/>
      <c r="I64" s="1957"/>
      <c r="J64" s="1958">
        <f>GiaDuThau!$D$19</f>
        <v>457.88</v>
      </c>
      <c r="K64" s="2078">
        <f>ROUND(SUM(L65:L66)/$J64,-2)</f>
        <v>2421900</v>
      </c>
      <c r="L64" s="1959">
        <f t="shared" si="4"/>
        <v>1108939572</v>
      </c>
      <c r="M64" s="1490"/>
    </row>
    <row r="65" spans="1:21" ht="18" customHeight="1">
      <c r="B65" s="1589">
        <v>1</v>
      </c>
      <c r="C65" s="1512" t="s">
        <v>4014</v>
      </c>
      <c r="D65" s="1505" t="s">
        <v>545</v>
      </c>
      <c r="E65" s="1505"/>
      <c r="F65" s="1505"/>
      <c r="G65" s="1505"/>
      <c r="H65" s="1505"/>
      <c r="I65" s="1505"/>
      <c r="J65" s="1506">
        <f>J64</f>
        <v>457.88</v>
      </c>
      <c r="K65" s="2025">
        <f>'DGCT Cau'!$I$434</f>
        <v>2231123</v>
      </c>
      <c r="L65" s="1507">
        <f t="shared" si="4"/>
        <v>1021586599.24</v>
      </c>
      <c r="M65" s="1490"/>
    </row>
    <row r="66" spans="1:21" ht="32.1" customHeight="1">
      <c r="B66" s="1589">
        <f>B65+1</f>
        <v>2</v>
      </c>
      <c r="C66" s="1512" t="s">
        <v>5688</v>
      </c>
      <c r="D66" s="1505" t="s">
        <v>545</v>
      </c>
      <c r="E66" s="1505"/>
      <c r="F66" s="1505"/>
      <c r="G66" s="1505"/>
      <c r="H66" s="1505"/>
      <c r="I66" s="1505"/>
      <c r="J66" s="1506">
        <f>J65*1.15</f>
        <v>526.5619999999999</v>
      </c>
      <c r="K66" s="2025">
        <f>'DGCT Cau'!$I$61</f>
        <v>165882</v>
      </c>
      <c r="L66" s="1507">
        <f t="shared" si="4"/>
        <v>87347157.683999985</v>
      </c>
      <c r="M66" s="1490"/>
      <c r="N66" s="87">
        <v>1.2</v>
      </c>
      <c r="O66" s="87">
        <v>1.2</v>
      </c>
      <c r="P66" s="87">
        <v>1.5</v>
      </c>
      <c r="Q66" s="87">
        <v>1.5</v>
      </c>
      <c r="R66" s="87">
        <v>1.2</v>
      </c>
    </row>
    <row r="67" spans="1:21" ht="18" customHeight="1">
      <c r="A67" s="87">
        <v>1</v>
      </c>
      <c r="B67" s="1955" t="str">
        <f>IF(A67&lt;&gt;0,"TH "&amp;COUNTA($A$7:A67),"")</f>
        <v>TH 9</v>
      </c>
      <c r="C67" s="1956" t="s">
        <v>5708</v>
      </c>
      <c r="D67" s="1957" t="s">
        <v>557</v>
      </c>
      <c r="E67" s="1957"/>
      <c r="F67" s="1957"/>
      <c r="G67" s="1957"/>
      <c r="H67" s="1957"/>
      <c r="I67" s="1957"/>
      <c r="J67" s="1958">
        <f>SUM(N67:R67)</f>
        <v>48.849999999999994</v>
      </c>
      <c r="K67" s="2078">
        <f>ROUND(SUM(L68:L69)/$J67,-2)</f>
        <v>28760600</v>
      </c>
      <c r="L67" s="1959">
        <f t="shared" si="4"/>
        <v>1404955309.9999998</v>
      </c>
      <c r="M67" s="1490"/>
      <c r="N67" s="2021">
        <v>6.01</v>
      </c>
      <c r="O67" s="2021">
        <v>4.99</v>
      </c>
      <c r="P67" s="2021">
        <v>10.02</v>
      </c>
      <c r="Q67" s="2021">
        <v>27.5</v>
      </c>
      <c r="R67" s="2021">
        <v>0.33</v>
      </c>
      <c r="S67" s="2021"/>
      <c r="T67" s="2021"/>
      <c r="U67" s="2021"/>
    </row>
    <row r="68" spans="1:21" ht="18" customHeight="1">
      <c r="B68" s="1589">
        <v>1</v>
      </c>
      <c r="C68" s="1512" t="s">
        <v>5708</v>
      </c>
      <c r="D68" s="1505" t="s">
        <v>557</v>
      </c>
      <c r="E68" s="1505"/>
      <c r="F68" s="1505"/>
      <c r="G68" s="1505"/>
      <c r="H68" s="1505"/>
      <c r="I68" s="1505"/>
      <c r="J68" s="1506">
        <f>J67</f>
        <v>48.849999999999994</v>
      </c>
      <c r="K68" s="1987">
        <f>'DGCT Cau'!$I$454</f>
        <v>27252575</v>
      </c>
      <c r="L68" s="1507">
        <f t="shared" si="4"/>
        <v>1331288288.7499998</v>
      </c>
      <c r="M68" s="1490"/>
      <c r="N68" s="2021"/>
    </row>
    <row r="69" spans="1:21" ht="18" customHeight="1">
      <c r="B69" s="1589">
        <f>B68+1</f>
        <v>2</v>
      </c>
      <c r="C69" s="1512" t="s">
        <v>5906</v>
      </c>
      <c r="D69" s="1505" t="s">
        <v>557</v>
      </c>
      <c r="E69" s="1505"/>
      <c r="F69" s="1505"/>
      <c r="G69" s="1505"/>
      <c r="H69" s="1505"/>
      <c r="I69" s="1505"/>
      <c r="J69" s="1506">
        <f>J68</f>
        <v>48.849999999999994</v>
      </c>
      <c r="K69" s="2025">
        <f>$K$73</f>
        <v>1508000</v>
      </c>
      <c r="L69" s="1507">
        <f t="shared" si="4"/>
        <v>73665799.999999985</v>
      </c>
      <c r="M69" s="1490"/>
      <c r="N69" s="87">
        <v>1.2</v>
      </c>
      <c r="O69" s="87">
        <v>1.2</v>
      </c>
      <c r="P69" s="87">
        <v>1.5</v>
      </c>
      <c r="Q69" s="87">
        <v>1.5</v>
      </c>
      <c r="R69" s="87">
        <v>1.2</v>
      </c>
    </row>
    <row r="70" spans="1:21" ht="18" customHeight="1">
      <c r="A70" s="87">
        <v>1</v>
      </c>
      <c r="B70" s="1955" t="str">
        <f>IF(A70&lt;&gt;0,"TH "&amp;COUNTA($A$7:A70),"")</f>
        <v>TH 10</v>
      </c>
      <c r="C70" s="1956" t="s">
        <v>5709</v>
      </c>
      <c r="D70" s="1957" t="s">
        <v>557</v>
      </c>
      <c r="E70" s="1957"/>
      <c r="F70" s="1957"/>
      <c r="G70" s="1957"/>
      <c r="H70" s="1957"/>
      <c r="I70" s="1957"/>
      <c r="J70" s="1958">
        <f>SUM(N70:R70)</f>
        <v>462.88</v>
      </c>
      <c r="K70" s="2078">
        <f>ROUND(SUM(L71:L72)/$J70,-2)</f>
        <v>27886300</v>
      </c>
      <c r="L70" s="1959">
        <f t="shared" si="4"/>
        <v>12908010544</v>
      </c>
      <c r="M70" s="1490"/>
      <c r="N70" s="2021">
        <v>55.51</v>
      </c>
      <c r="O70" s="2021">
        <v>46.15</v>
      </c>
      <c r="P70" s="2021">
        <v>93.94</v>
      </c>
      <c r="Q70" s="2021">
        <v>265.77999999999997</v>
      </c>
      <c r="R70" s="2021">
        <v>1.5</v>
      </c>
      <c r="S70" s="2021"/>
      <c r="T70" s="2021"/>
      <c r="U70" s="2021"/>
    </row>
    <row r="71" spans="1:21" ht="18" customHeight="1">
      <c r="B71" s="1589">
        <v>1</v>
      </c>
      <c r="C71" s="1512" t="s">
        <v>5709</v>
      </c>
      <c r="D71" s="1505" t="s">
        <v>557</v>
      </c>
      <c r="E71" s="1505"/>
      <c r="F71" s="1505"/>
      <c r="G71" s="1505"/>
      <c r="H71" s="1505"/>
      <c r="I71" s="1505"/>
      <c r="J71" s="1506">
        <f>J70</f>
        <v>462.88</v>
      </c>
      <c r="K71" s="1987">
        <f>'DGCT Cau'!$I$474</f>
        <v>26378331</v>
      </c>
      <c r="L71" s="1507">
        <f t="shared" si="4"/>
        <v>12210001853.280001</v>
      </c>
      <c r="M71" s="1490"/>
      <c r="N71" s="2021"/>
    </row>
    <row r="72" spans="1:21" ht="18" customHeight="1">
      <c r="B72" s="1589">
        <f>B71+1</f>
        <v>2</v>
      </c>
      <c r="C72" s="1512" t="s">
        <v>5906</v>
      </c>
      <c r="D72" s="1505" t="s">
        <v>557</v>
      </c>
      <c r="E72" s="1505"/>
      <c r="F72" s="1505"/>
      <c r="G72" s="1505"/>
      <c r="H72" s="1505"/>
      <c r="I72" s="1505"/>
      <c r="J72" s="1506">
        <f>J71</f>
        <v>462.88</v>
      </c>
      <c r="K72" s="2025">
        <f>$K$73</f>
        <v>1508000</v>
      </c>
      <c r="L72" s="1507">
        <f t="shared" si="4"/>
        <v>698023040</v>
      </c>
      <c r="M72" s="1490"/>
    </row>
    <row r="73" spans="1:21" ht="18" customHeight="1">
      <c r="A73" s="87">
        <v>1</v>
      </c>
      <c r="B73" s="1955" t="str">
        <f>IF(A73&lt;&gt;0,"TH "&amp;COUNTA($A$7:A73),"")</f>
        <v>TH 11</v>
      </c>
      <c r="C73" s="1956" t="s">
        <v>5906</v>
      </c>
      <c r="D73" s="1957" t="s">
        <v>557</v>
      </c>
      <c r="E73" s="1957"/>
      <c r="F73" s="1957"/>
      <c r="G73" s="1957"/>
      <c r="H73" s="1957"/>
      <c r="I73" s="1957"/>
      <c r="J73" s="1958">
        <f>J67+J70</f>
        <v>511.73</v>
      </c>
      <c r="K73" s="2078">
        <f>ROUND(SUM(L74:L76)/$J73,-2)</f>
        <v>1508000</v>
      </c>
      <c r="L73" s="1959">
        <f t="shared" si="4"/>
        <v>771688840</v>
      </c>
      <c r="M73" s="1490"/>
      <c r="N73" s="87">
        <v>1.2</v>
      </c>
      <c r="O73" s="87">
        <v>1.2</v>
      </c>
      <c r="P73" s="87">
        <v>1.5</v>
      </c>
      <c r="Q73" s="87">
        <v>1.5</v>
      </c>
      <c r="R73" s="87">
        <v>1.2</v>
      </c>
    </row>
    <row r="74" spans="1:21" ht="18" customHeight="1">
      <c r="B74" s="1589">
        <v>1</v>
      </c>
      <c r="C74" s="1512" t="s">
        <v>2062</v>
      </c>
      <c r="D74" s="1505" t="s">
        <v>557</v>
      </c>
      <c r="E74" s="1505"/>
      <c r="F74" s="1505"/>
      <c r="G74" s="1505"/>
      <c r="H74" s="1505"/>
      <c r="I74" s="1505"/>
      <c r="J74" s="1506">
        <f>SUM(N74:R74)</f>
        <v>7.8900000000000006</v>
      </c>
      <c r="K74" s="2025">
        <f>'DGCT Cau'!$I$216</f>
        <v>33097556</v>
      </c>
      <c r="L74" s="1507">
        <f t="shared" ref="L74:L100" si="7">J74*K74</f>
        <v>261139716.84000003</v>
      </c>
      <c r="M74" s="1490"/>
      <c r="N74" s="2021">
        <v>0.92</v>
      </c>
      <c r="O74" s="2021">
        <v>0.77</v>
      </c>
      <c r="P74" s="2021">
        <v>1.51</v>
      </c>
      <c r="Q74" s="2021">
        <v>4.62</v>
      </c>
      <c r="R74" s="2021">
        <v>7.0000000000000007E-2</v>
      </c>
    </row>
    <row r="75" spans="1:21" ht="18" customHeight="1">
      <c r="B75" s="1589">
        <f>B74+1</f>
        <v>2</v>
      </c>
      <c r="C75" s="1512" t="s">
        <v>108</v>
      </c>
      <c r="D75" s="1505" t="s">
        <v>557</v>
      </c>
      <c r="E75" s="1505"/>
      <c r="F75" s="1505"/>
      <c r="G75" s="1505"/>
      <c r="H75" s="1505"/>
      <c r="I75" s="1505"/>
      <c r="J75" s="1506">
        <f>J74</f>
        <v>7.8900000000000006</v>
      </c>
      <c r="K75" s="2025">
        <f>'DGCT Cau'!$I$233</f>
        <v>6008849</v>
      </c>
      <c r="L75" s="1507">
        <f t="shared" si="7"/>
        <v>47409818.610000007</v>
      </c>
      <c r="M75" s="1490"/>
    </row>
    <row r="76" spans="1:21" ht="18" customHeight="1">
      <c r="B76" s="1589">
        <f>B75+1</f>
        <v>3</v>
      </c>
      <c r="C76" s="1512" t="s">
        <v>3661</v>
      </c>
      <c r="D76" s="1505" t="s">
        <v>307</v>
      </c>
      <c r="E76" s="1505"/>
      <c r="F76" s="1505"/>
      <c r="G76" s="1505"/>
      <c r="H76" s="1505"/>
      <c r="I76" s="1505"/>
      <c r="J76" s="1506">
        <f>SUM(N76:R76)</f>
        <v>9816</v>
      </c>
      <c r="K76" s="1987">
        <f>'DGCT Cau'!$I$492</f>
        <v>47180</v>
      </c>
      <c r="L76" s="1507">
        <f t="shared" si="7"/>
        <v>463118880</v>
      </c>
      <c r="M76" s="1490"/>
      <c r="N76" s="2021">
        <v>1200</v>
      </c>
      <c r="O76" s="2021">
        <v>1000</v>
      </c>
      <c r="P76" s="2021">
        <v>2016</v>
      </c>
      <c r="Q76" s="2021">
        <v>5600</v>
      </c>
      <c r="R76" s="2021"/>
    </row>
    <row r="77" spans="1:21" ht="18" customHeight="1">
      <c r="A77" s="87">
        <v>1</v>
      </c>
      <c r="B77" s="1955" t="str">
        <f>IF(A77&lt;&gt;0,"TH "&amp;COUNTA($A$7:A77),"")</f>
        <v>TH 12</v>
      </c>
      <c r="C77" s="1956" t="s">
        <v>41</v>
      </c>
      <c r="D77" s="1957" t="s">
        <v>545</v>
      </c>
      <c r="E77" s="1957"/>
      <c r="F77" s="1957"/>
      <c r="G77" s="1957"/>
      <c r="H77" s="1957"/>
      <c r="I77" s="1957"/>
      <c r="J77" s="1958">
        <f>GiaDuThau!$D$25</f>
        <v>10.15</v>
      </c>
      <c r="K77" s="2078">
        <f>ROUND(SUM(L78:L79)/$J77,-2)</f>
        <v>926600</v>
      </c>
      <c r="L77" s="1959">
        <f t="shared" si="7"/>
        <v>9404990</v>
      </c>
      <c r="M77" s="1490"/>
    </row>
    <row r="78" spans="1:21" ht="18" customHeight="1">
      <c r="B78" s="1589">
        <v>1</v>
      </c>
      <c r="C78" s="1512" t="s">
        <v>41</v>
      </c>
      <c r="D78" s="1505" t="s">
        <v>545</v>
      </c>
      <c r="E78" s="1505"/>
      <c r="F78" s="1505"/>
      <c r="G78" s="1505"/>
      <c r="H78" s="1505"/>
      <c r="I78" s="1505"/>
      <c r="J78" s="1506">
        <f>J77</f>
        <v>10.15</v>
      </c>
      <c r="K78" s="2025">
        <f>'DGCT Cau'!$I$542</f>
        <v>885421</v>
      </c>
      <c r="L78" s="1507">
        <f t="shared" si="7"/>
        <v>8987023.1500000004</v>
      </c>
      <c r="M78" s="1490"/>
    </row>
    <row r="79" spans="1:21" ht="18" customHeight="1">
      <c r="B79" s="1589">
        <f>B78+1</f>
        <v>2</v>
      </c>
      <c r="C79" s="1512" t="s">
        <v>5476</v>
      </c>
      <c r="D79" s="1505" t="s">
        <v>545</v>
      </c>
      <c r="E79" s="1505"/>
      <c r="F79" s="1505"/>
      <c r="G79" s="1505"/>
      <c r="H79" s="1505"/>
      <c r="I79" s="1505"/>
      <c r="J79" s="1506">
        <f>J78</f>
        <v>10.15</v>
      </c>
      <c r="K79" s="2025">
        <f>'DGCT Cau'!$I$3139</f>
        <v>41200</v>
      </c>
      <c r="L79" s="1507">
        <f t="shared" si="7"/>
        <v>418180</v>
      </c>
      <c r="M79" s="1490"/>
    </row>
    <row r="80" spans="1:21" ht="18" customHeight="1">
      <c r="A80" s="87">
        <v>1</v>
      </c>
      <c r="B80" s="1955" t="str">
        <f>IF(A80&lt;&gt;0,"TH "&amp;COUNTA($A$7:A80),"")</f>
        <v>TH 13</v>
      </c>
      <c r="C80" s="1956" t="s">
        <v>3664</v>
      </c>
      <c r="D80" s="1957" t="s">
        <v>545</v>
      </c>
      <c r="E80" s="1957"/>
      <c r="F80" s="1957"/>
      <c r="G80" s="1957"/>
      <c r="H80" s="1957"/>
      <c r="I80" s="1957"/>
      <c r="J80" s="1958">
        <f>GiaDuThau!$D$27</f>
        <v>27.07</v>
      </c>
      <c r="K80" s="2078">
        <f>ROUND(SUM(L81:L82)/$J80,-2)</f>
        <v>1989300</v>
      </c>
      <c r="L80" s="1959">
        <f t="shared" si="7"/>
        <v>53850351</v>
      </c>
      <c r="M80" s="1490"/>
    </row>
    <row r="81" spans="1:13" ht="18" customHeight="1">
      <c r="B81" s="1589">
        <v>1</v>
      </c>
      <c r="C81" s="1512" t="s">
        <v>3664</v>
      </c>
      <c r="D81" s="1505" t="s">
        <v>545</v>
      </c>
      <c r="E81" s="1505"/>
      <c r="F81" s="1505"/>
      <c r="G81" s="1505"/>
      <c r="H81" s="1505"/>
      <c r="I81" s="1505"/>
      <c r="J81" s="1506">
        <f>J80</f>
        <v>27.07</v>
      </c>
      <c r="K81" s="2025">
        <f>'DGCT Cau'!$I$559</f>
        <v>1948896</v>
      </c>
      <c r="L81" s="1507">
        <f t="shared" si="7"/>
        <v>52756614.719999999</v>
      </c>
      <c r="M81" s="1490"/>
    </row>
    <row r="82" spans="1:13" ht="18" customHeight="1">
      <c r="B82" s="1589">
        <f>B81+1</f>
        <v>2</v>
      </c>
      <c r="C82" s="1512" t="s">
        <v>625</v>
      </c>
      <c r="D82" s="1505" t="s">
        <v>547</v>
      </c>
      <c r="E82" s="1505"/>
      <c r="F82" s="1505"/>
      <c r="G82" s="1505"/>
      <c r="H82" s="1505"/>
      <c r="I82" s="1505"/>
      <c r="J82" s="1506">
        <v>0.24</v>
      </c>
      <c r="K82" s="2025">
        <f>'DGCT Cau'!$I$627</f>
        <v>4558530</v>
      </c>
      <c r="L82" s="1507">
        <f t="shared" si="7"/>
        <v>1094047.2</v>
      </c>
      <c r="M82" s="1490"/>
    </row>
    <row r="83" spans="1:13" ht="18" customHeight="1">
      <c r="A83" s="87">
        <v>1</v>
      </c>
      <c r="B83" s="1955" t="str">
        <f>IF(A83&lt;&gt;0,"TH "&amp;COUNTA($A$7:A83),"")</f>
        <v>TH 14</v>
      </c>
      <c r="C83" s="1956" t="s">
        <v>5713</v>
      </c>
      <c r="D83" s="1957" t="s">
        <v>557</v>
      </c>
      <c r="E83" s="1957"/>
      <c r="F83" s="1957"/>
      <c r="G83" s="1957"/>
      <c r="H83" s="1957"/>
      <c r="I83" s="1957"/>
      <c r="J83" s="1958">
        <f>GiaDuThau!$D$28</f>
        <v>2.27</v>
      </c>
      <c r="K83" s="2078">
        <f>ROUND(SUM(L84:L85)/$J83,-2)</f>
        <v>24734300</v>
      </c>
      <c r="L83" s="1959">
        <f t="shared" si="7"/>
        <v>56146861</v>
      </c>
      <c r="M83" s="1490"/>
    </row>
    <row r="84" spans="1:13" ht="18" customHeight="1">
      <c r="B84" s="1589">
        <v>1</v>
      </c>
      <c r="C84" s="1512" t="s">
        <v>5712</v>
      </c>
      <c r="D84" s="1505" t="s">
        <v>557</v>
      </c>
      <c r="E84" s="1505"/>
      <c r="F84" s="1505"/>
      <c r="G84" s="1505"/>
      <c r="H84" s="1505"/>
      <c r="I84" s="1505"/>
      <c r="J84" s="1506">
        <v>0.24</v>
      </c>
      <c r="K84" s="2025">
        <f>'DGCT Cau'!$I$595</f>
        <v>25255388</v>
      </c>
      <c r="L84" s="1507">
        <f t="shared" si="7"/>
        <v>6061293.1200000001</v>
      </c>
      <c r="M84" s="1490"/>
    </row>
    <row r="85" spans="1:13" ht="18" customHeight="1">
      <c r="B85" s="1589">
        <f>B84+1</f>
        <v>2</v>
      </c>
      <c r="C85" s="1512" t="s">
        <v>5713</v>
      </c>
      <c r="D85" s="1505" t="s">
        <v>557</v>
      </c>
      <c r="E85" s="1505"/>
      <c r="F85" s="1505"/>
      <c r="G85" s="1505"/>
      <c r="H85" s="1505"/>
      <c r="I85" s="1505"/>
      <c r="J85" s="1506">
        <v>2.0299999999999998</v>
      </c>
      <c r="K85" s="2025">
        <f>'DGCT Cau'!$I$577</f>
        <v>24672700</v>
      </c>
      <c r="L85" s="1507">
        <f t="shared" si="7"/>
        <v>50085580.999999993</v>
      </c>
      <c r="M85" s="1490"/>
    </row>
    <row r="86" spans="1:13" ht="18" customHeight="1">
      <c r="A86" s="87">
        <v>1</v>
      </c>
      <c r="B86" s="1955" t="str">
        <f>IF(A86&lt;&gt;0,"TH "&amp;COUNTA($A$7:A86),"")</f>
        <v>TH 15</v>
      </c>
      <c r="C86" s="1956" t="s">
        <v>0</v>
      </c>
      <c r="D86" s="1957" t="s">
        <v>545</v>
      </c>
      <c r="E86" s="1957"/>
      <c r="F86" s="1957"/>
      <c r="G86" s="1957"/>
      <c r="H86" s="1957"/>
      <c r="I86" s="1957"/>
      <c r="J86" s="1958">
        <f>GiaDuThau!$D$37</f>
        <v>417</v>
      </c>
      <c r="K86" s="2078">
        <f>ROUND(SUM(L87:L88)/$J86,-2)</f>
        <v>27700</v>
      </c>
      <c r="L86" s="1959">
        <f t="shared" si="7"/>
        <v>11550900</v>
      </c>
      <c r="M86" s="1490"/>
    </row>
    <row r="87" spans="1:13" ht="18" customHeight="1">
      <c r="B87" s="1589">
        <v>1</v>
      </c>
      <c r="C87" s="1512" t="s">
        <v>0</v>
      </c>
      <c r="D87" s="1505" t="s">
        <v>545</v>
      </c>
      <c r="E87" s="1505"/>
      <c r="F87" s="1505"/>
      <c r="G87" s="1505"/>
      <c r="H87" s="1505"/>
      <c r="I87" s="1505"/>
      <c r="J87" s="1506">
        <f>J86</f>
        <v>417</v>
      </c>
      <c r="K87" s="2025">
        <f>'DGCT Cau'!$I$2561</f>
        <v>24000</v>
      </c>
      <c r="L87" s="1507">
        <f t="shared" si="7"/>
        <v>10008000</v>
      </c>
      <c r="M87" s="1490"/>
    </row>
    <row r="88" spans="1:13" ht="18" customHeight="1">
      <c r="B88" s="1589">
        <f>B87+1</f>
        <v>2</v>
      </c>
      <c r="C88" s="1512" t="s">
        <v>5478</v>
      </c>
      <c r="D88" s="1505" t="s">
        <v>545</v>
      </c>
      <c r="E88" s="1505"/>
      <c r="F88" s="1505"/>
      <c r="G88" s="1505"/>
      <c r="H88" s="1505"/>
      <c r="I88" s="1505"/>
      <c r="J88" s="1506">
        <f>GiaDuThau!$D$37-GiaDuThau!$D$38*1.13</f>
        <v>47.490000000000009</v>
      </c>
      <c r="K88" s="2025">
        <f>'DGCT Cau'!$I$3289</f>
        <v>32600</v>
      </c>
      <c r="L88" s="1507">
        <f t="shared" si="7"/>
        <v>1548174.0000000002</v>
      </c>
      <c r="M88" s="1490"/>
    </row>
    <row r="89" spans="1:13" ht="18" customHeight="1">
      <c r="A89" s="87">
        <v>1</v>
      </c>
      <c r="B89" s="1955" t="str">
        <f>IF(A89&lt;&gt;0,"TH "&amp;COUNTA($A$7:A89),"")</f>
        <v>TH 16</v>
      </c>
      <c r="C89" s="1956" t="s">
        <v>5933</v>
      </c>
      <c r="D89" s="1957" t="s">
        <v>545</v>
      </c>
      <c r="E89" s="1957"/>
      <c r="F89" s="1957"/>
      <c r="G89" s="1957"/>
      <c r="H89" s="1957"/>
      <c r="I89" s="1957"/>
      <c r="J89" s="1958">
        <f>GiaDuThau!$D$44</f>
        <v>234.08</v>
      </c>
      <c r="K89" s="1959">
        <f>ROUND(SUM(L90:L105)/$J89,-2)</f>
        <v>5054600</v>
      </c>
      <c r="L89" s="1959">
        <f t="shared" si="7"/>
        <v>1183180768</v>
      </c>
      <c r="M89" s="1490"/>
    </row>
    <row r="90" spans="1:13" ht="18" customHeight="1">
      <c r="B90" s="2026">
        <v>1</v>
      </c>
      <c r="C90" s="2027" t="s">
        <v>5719</v>
      </c>
      <c r="D90" s="2028" t="s">
        <v>545</v>
      </c>
      <c r="E90" s="2028"/>
      <c r="F90" s="2028"/>
      <c r="G90" s="2028"/>
      <c r="H90" s="2028"/>
      <c r="I90" s="2028"/>
      <c r="J90" s="2079">
        <v>156.71</v>
      </c>
      <c r="K90" s="2030">
        <f>'DGCT Cau'!$I$25</f>
        <v>2405142</v>
      </c>
      <c r="L90" s="2031">
        <f t="shared" si="7"/>
        <v>376909802.81999999</v>
      </c>
      <c r="M90" s="1490"/>
    </row>
    <row r="91" spans="1:13" ht="18" customHeight="1">
      <c r="B91" s="1589">
        <f>B90+1</f>
        <v>2</v>
      </c>
      <c r="C91" s="1512" t="s">
        <v>5720</v>
      </c>
      <c r="D91" s="1505" t="s">
        <v>545</v>
      </c>
      <c r="E91" s="1505"/>
      <c r="F91" s="1505"/>
      <c r="G91" s="1505"/>
      <c r="H91" s="1505"/>
      <c r="I91" s="1505"/>
      <c r="J91" s="2080">
        <v>77.37</v>
      </c>
      <c r="K91" s="2025">
        <f>'DGCT Cau'!$I$3276</f>
        <v>3002100</v>
      </c>
      <c r="L91" s="1507">
        <f t="shared" si="7"/>
        <v>232272477</v>
      </c>
      <c r="M91" s="1490"/>
    </row>
    <row r="92" spans="1:13" ht="31.5">
      <c r="B92" s="1589">
        <f>B91+1</f>
        <v>3</v>
      </c>
      <c r="C92" s="1512" t="s">
        <v>5686</v>
      </c>
      <c r="D92" s="1505" t="s">
        <v>545</v>
      </c>
      <c r="E92" s="1505"/>
      <c r="F92" s="1505"/>
      <c r="G92" s="1505"/>
      <c r="H92" s="1505"/>
      <c r="I92" s="1505"/>
      <c r="J92" s="1506">
        <f>SUM(J90:J91)*1.015</f>
        <v>237.59119999999999</v>
      </c>
      <c r="K92" s="2025">
        <f>'DGCT Cau'!$I$61</f>
        <v>165882</v>
      </c>
      <c r="L92" s="1507">
        <f t="shared" si="7"/>
        <v>39412103.4384</v>
      </c>
      <c r="M92" s="1490"/>
    </row>
    <row r="93" spans="1:13" ht="18" customHeight="1">
      <c r="B93" s="1589">
        <f>B92+1</f>
        <v>4</v>
      </c>
      <c r="C93" s="1512" t="s">
        <v>109</v>
      </c>
      <c r="D93" s="1505" t="s">
        <v>547</v>
      </c>
      <c r="E93" s="1505"/>
      <c r="F93" s="1505"/>
      <c r="G93" s="1505"/>
      <c r="H93" s="1505"/>
      <c r="I93" s="1505"/>
      <c r="J93" s="1506">
        <v>2.96</v>
      </c>
      <c r="K93" s="2025">
        <f>'DGCT Cau'!$I$138</f>
        <v>16071733</v>
      </c>
      <c r="L93" s="1507">
        <f t="shared" si="7"/>
        <v>47572329.68</v>
      </c>
      <c r="M93" s="1490"/>
    </row>
    <row r="94" spans="1:13" ht="31.5">
      <c r="B94" s="1589"/>
      <c r="C94" s="1515" t="s">
        <v>5779</v>
      </c>
      <c r="D94" s="1566"/>
      <c r="E94" s="1566"/>
      <c r="F94" s="1566"/>
      <c r="G94" s="1566"/>
      <c r="H94" s="1566"/>
      <c r="I94" s="1566"/>
      <c r="J94" s="1568">
        <v>0</v>
      </c>
      <c r="K94" s="1567"/>
      <c r="L94" s="1507">
        <f t="shared" si="7"/>
        <v>0</v>
      </c>
      <c r="M94" s="1490"/>
    </row>
    <row r="95" spans="1:13" ht="31.5">
      <c r="B95" s="2026">
        <v>1</v>
      </c>
      <c r="C95" s="1512" t="s">
        <v>5953</v>
      </c>
      <c r="D95" s="1505" t="s">
        <v>543</v>
      </c>
      <c r="E95" s="1505"/>
      <c r="F95" s="1505"/>
      <c r="G95" s="1505"/>
      <c r="H95" s="1505"/>
      <c r="I95" s="1505"/>
      <c r="J95" s="1916">
        <v>594</v>
      </c>
      <c r="K95" s="1987">
        <f>'DGCT Cau'!$I$2230</f>
        <v>75500</v>
      </c>
      <c r="L95" s="1507">
        <f t="shared" si="7"/>
        <v>44847000</v>
      </c>
      <c r="M95" s="1490"/>
    </row>
    <row r="96" spans="1:13" ht="31.5">
      <c r="B96" s="1589">
        <f t="shared" ref="B96:B104" si="8">B95+1</f>
        <v>2</v>
      </c>
      <c r="C96" s="1512" t="s">
        <v>2165</v>
      </c>
      <c r="D96" s="1505" t="s">
        <v>543</v>
      </c>
      <c r="E96" s="1505"/>
      <c r="F96" s="1505"/>
      <c r="G96" s="1505"/>
      <c r="H96" s="1505"/>
      <c r="I96" s="1505"/>
      <c r="J96" s="1916">
        <v>548</v>
      </c>
      <c r="K96" s="1987">
        <f>'DGCT Cau'!$I$2364</f>
        <v>142900</v>
      </c>
      <c r="L96" s="1507">
        <f t="shared" si="7"/>
        <v>78309200</v>
      </c>
      <c r="M96" s="1490"/>
    </row>
    <row r="97" spans="1:13" ht="31.5">
      <c r="B97" s="1589">
        <f t="shared" si="8"/>
        <v>3</v>
      </c>
      <c r="C97" s="1512" t="s">
        <v>5863</v>
      </c>
      <c r="D97" s="1505" t="s">
        <v>543</v>
      </c>
      <c r="E97" s="1505"/>
      <c r="F97" s="1505"/>
      <c r="G97" s="1505"/>
      <c r="H97" s="1505"/>
      <c r="I97" s="1505"/>
      <c r="J97" s="1916">
        <v>46</v>
      </c>
      <c r="K97" s="1987">
        <f>'DGCT Cau'!$I$2350</f>
        <v>107100</v>
      </c>
      <c r="L97" s="1507">
        <f t="shared" si="7"/>
        <v>4926600</v>
      </c>
      <c r="M97" s="1490"/>
    </row>
    <row r="98" spans="1:13" ht="18" customHeight="1">
      <c r="B98" s="1589">
        <f t="shared" si="8"/>
        <v>4</v>
      </c>
      <c r="C98" s="1512" t="s">
        <v>640</v>
      </c>
      <c r="D98" s="1505" t="s">
        <v>543</v>
      </c>
      <c r="E98" s="1505"/>
      <c r="F98" s="1505"/>
      <c r="G98" s="1505"/>
      <c r="H98" s="1505"/>
      <c r="I98" s="1505"/>
      <c r="J98" s="1916">
        <v>594</v>
      </c>
      <c r="K98" s="1987">
        <f>'DGCT Cau'!$I$2379</f>
        <v>148600</v>
      </c>
      <c r="L98" s="1507">
        <f t="shared" si="7"/>
        <v>88268400</v>
      </c>
      <c r="M98" s="1490"/>
    </row>
    <row r="99" spans="1:13" ht="31.5">
      <c r="B99" s="1589">
        <f t="shared" si="8"/>
        <v>5</v>
      </c>
      <c r="C99" s="1512" t="s">
        <v>5946</v>
      </c>
      <c r="D99" s="1505" t="s">
        <v>557</v>
      </c>
      <c r="E99" s="1505"/>
      <c r="F99" s="1505"/>
      <c r="G99" s="1505"/>
      <c r="H99" s="1505"/>
      <c r="I99" s="1505"/>
      <c r="J99" s="1524">
        <v>11.79</v>
      </c>
      <c r="K99" s="1987">
        <f>'DGCT Cau'!$I$2440</f>
        <v>2507000</v>
      </c>
      <c r="L99" s="1507">
        <f t="shared" si="7"/>
        <v>29557529.999999996</v>
      </c>
      <c r="M99" s="1490"/>
    </row>
    <row r="100" spans="1:13" ht="18" customHeight="1">
      <c r="B100" s="1589">
        <f t="shared" si="8"/>
        <v>6</v>
      </c>
      <c r="C100" s="1512" t="s">
        <v>5920</v>
      </c>
      <c r="D100" s="1505" t="s">
        <v>557</v>
      </c>
      <c r="E100" s="1505"/>
      <c r="F100" s="1505"/>
      <c r="G100" s="1505"/>
      <c r="H100" s="1505"/>
      <c r="I100" s="1505"/>
      <c r="J100" s="1524">
        <v>11.79</v>
      </c>
      <c r="K100" s="1987">
        <f>'DGCT Cau'!$I$2459</f>
        <v>7338800</v>
      </c>
      <c r="L100" s="1507">
        <f t="shared" si="7"/>
        <v>86524452</v>
      </c>
      <c r="M100" s="1490"/>
    </row>
    <row r="101" spans="1:13" ht="31.5" hidden="1">
      <c r="B101" s="1589">
        <f t="shared" si="8"/>
        <v>7</v>
      </c>
      <c r="C101" s="1512" t="s">
        <v>5949</v>
      </c>
      <c r="D101" s="1505" t="s">
        <v>543</v>
      </c>
      <c r="E101" s="1505"/>
      <c r="F101" s="1505"/>
      <c r="G101" s="1505"/>
      <c r="H101" s="1505"/>
      <c r="I101" s="1505"/>
      <c r="J101" s="1916">
        <v>48</v>
      </c>
      <c r="K101" s="1987">
        <f>'DGCT Cau'!$I$2485</f>
        <v>74100</v>
      </c>
      <c r="L101" s="1507"/>
      <c r="M101" s="1490"/>
    </row>
    <row r="102" spans="1:13" ht="18" hidden="1" customHeight="1">
      <c r="B102" s="1589">
        <f t="shared" si="8"/>
        <v>8</v>
      </c>
      <c r="C102" s="1512" t="s">
        <v>5922</v>
      </c>
      <c r="D102" s="1505" t="s">
        <v>543</v>
      </c>
      <c r="E102" s="1505"/>
      <c r="F102" s="1505"/>
      <c r="G102" s="1505"/>
      <c r="H102" s="1505"/>
      <c r="I102" s="1505"/>
      <c r="J102" s="1916">
        <v>44</v>
      </c>
      <c r="K102" s="1987">
        <f>'DGCT Cau'!$I$2922</f>
        <v>56100</v>
      </c>
      <c r="L102" s="1507"/>
      <c r="M102" s="1490"/>
    </row>
    <row r="103" spans="1:13" ht="31.5" hidden="1">
      <c r="B103" s="1589">
        <f t="shared" si="8"/>
        <v>9</v>
      </c>
      <c r="C103" s="1512" t="s">
        <v>5923</v>
      </c>
      <c r="D103" s="1505" t="s">
        <v>543</v>
      </c>
      <c r="E103" s="1505"/>
      <c r="F103" s="1505"/>
      <c r="G103" s="1505"/>
      <c r="H103" s="1505"/>
      <c r="I103" s="1505"/>
      <c r="J103" s="1916">
        <v>4</v>
      </c>
      <c r="K103" s="1987">
        <f>'DGCT Cau'!$I$3257</f>
        <v>42100</v>
      </c>
      <c r="L103" s="1507"/>
      <c r="M103" s="1490"/>
    </row>
    <row r="104" spans="1:13" ht="18" hidden="1" customHeight="1">
      <c r="B104" s="1589">
        <f t="shared" si="8"/>
        <v>10</v>
      </c>
      <c r="C104" s="1512" t="s">
        <v>3487</v>
      </c>
      <c r="D104" s="1505" t="s">
        <v>543</v>
      </c>
      <c r="E104" s="1505"/>
      <c r="F104" s="1505"/>
      <c r="G104" s="1505"/>
      <c r="H104" s="1505"/>
      <c r="I104" s="1505"/>
      <c r="J104" s="1916">
        <v>44</v>
      </c>
      <c r="K104" s="1987">
        <f>'DGCT Cau'!$I$2936</f>
        <v>56600</v>
      </c>
      <c r="L104" s="1507"/>
      <c r="M104" s="1490"/>
    </row>
    <row r="105" spans="1:13" ht="18" customHeight="1">
      <c r="B105" s="1592"/>
      <c r="C105" s="2032" t="s">
        <v>5937</v>
      </c>
      <c r="D105" s="1587" t="s">
        <v>545</v>
      </c>
      <c r="E105" s="1587"/>
      <c r="F105" s="1587"/>
      <c r="G105" s="1587"/>
      <c r="H105" s="1587"/>
      <c r="I105" s="1587"/>
      <c r="J105" s="1598">
        <f>J89</f>
        <v>234.08</v>
      </c>
      <c r="K105" s="2033">
        <f>$K$123</f>
        <v>660400</v>
      </c>
      <c r="L105" s="1593">
        <f t="shared" ref="L105:L117" si="9">J105*K105</f>
        <v>154586432</v>
      </c>
      <c r="M105" s="1490"/>
    </row>
    <row r="106" spans="1:13" ht="18" customHeight="1">
      <c r="A106" s="87">
        <v>1</v>
      </c>
      <c r="B106" s="1955" t="str">
        <f>IF(A106&lt;&gt;0,"TH "&amp;COUNTA($A$7:A106),"")</f>
        <v>TH 17</v>
      </c>
      <c r="C106" s="1956" t="s">
        <v>5934</v>
      </c>
      <c r="D106" s="1957" t="s">
        <v>545</v>
      </c>
      <c r="E106" s="1957"/>
      <c r="F106" s="1957"/>
      <c r="G106" s="1957"/>
      <c r="H106" s="1957"/>
      <c r="I106" s="1957"/>
      <c r="J106" s="1958">
        <f>GiaDuThau!$D$63</f>
        <v>430.76</v>
      </c>
      <c r="K106" s="1959">
        <f>ROUND(SUM(L107:L122)/$J106,-2)</f>
        <v>4814500</v>
      </c>
      <c r="L106" s="1959">
        <f t="shared" si="9"/>
        <v>2073894020</v>
      </c>
      <c r="M106" s="1490"/>
    </row>
    <row r="107" spans="1:13" ht="18" customHeight="1">
      <c r="B107" s="1589">
        <v>1</v>
      </c>
      <c r="C107" s="1512" t="s">
        <v>5719</v>
      </c>
      <c r="D107" s="1505" t="s">
        <v>545</v>
      </c>
      <c r="E107" s="1505"/>
      <c r="F107" s="1505"/>
      <c r="G107" s="1505"/>
      <c r="H107" s="1505"/>
      <c r="I107" s="1505"/>
      <c r="J107" s="1506">
        <v>380.8</v>
      </c>
      <c r="K107" s="2025">
        <f>'DGCT Cau'!$I$25</f>
        <v>2405142</v>
      </c>
      <c r="L107" s="1507">
        <f t="shared" si="9"/>
        <v>915878073.60000002</v>
      </c>
      <c r="M107" s="1490"/>
    </row>
    <row r="108" spans="1:13" ht="18" customHeight="1">
      <c r="B108" s="1589">
        <f>B107+1</f>
        <v>2</v>
      </c>
      <c r="C108" s="1512" t="s">
        <v>5720</v>
      </c>
      <c r="D108" s="1505" t="s">
        <v>545</v>
      </c>
      <c r="E108" s="1505"/>
      <c r="F108" s="1505"/>
      <c r="G108" s="1505"/>
      <c r="H108" s="1505"/>
      <c r="I108" s="1505"/>
      <c r="J108" s="1506">
        <v>49.96</v>
      </c>
      <c r="K108" s="2025">
        <f>'DGCT Cau'!$I$3276</f>
        <v>3002100</v>
      </c>
      <c r="L108" s="1507">
        <f t="shared" si="9"/>
        <v>149984916</v>
      </c>
      <c r="M108" s="1490"/>
    </row>
    <row r="109" spans="1:13" ht="31.5">
      <c r="B109" s="1589">
        <f>B108+1</f>
        <v>3</v>
      </c>
      <c r="C109" s="1512" t="s">
        <v>5686</v>
      </c>
      <c r="D109" s="1505" t="s">
        <v>545</v>
      </c>
      <c r="E109" s="1505"/>
      <c r="F109" s="1505"/>
      <c r="G109" s="1505"/>
      <c r="H109" s="1505"/>
      <c r="I109" s="1505"/>
      <c r="J109" s="1506">
        <f>SUM(J107:J108)*1.015</f>
        <v>437.22139999999996</v>
      </c>
      <c r="K109" s="2025">
        <f>'DGCT Cau'!$I$61</f>
        <v>165882</v>
      </c>
      <c r="L109" s="1507">
        <f t="shared" si="9"/>
        <v>72527160.274799988</v>
      </c>
      <c r="M109" s="1490"/>
    </row>
    <row r="110" spans="1:13" ht="18" customHeight="1">
      <c r="B110" s="1589">
        <f>B109+1</f>
        <v>4</v>
      </c>
      <c r="C110" s="1512" t="s">
        <v>109</v>
      </c>
      <c r="D110" s="1505" t="s">
        <v>547</v>
      </c>
      <c r="E110" s="1505"/>
      <c r="F110" s="1505"/>
      <c r="G110" s="1505"/>
      <c r="H110" s="1505"/>
      <c r="I110" s="1505"/>
      <c r="J110" s="1506">
        <f>2.23+1.16</f>
        <v>3.3899999999999997</v>
      </c>
      <c r="K110" s="2025">
        <f>'DGCT Cau'!$I$138</f>
        <v>16071733</v>
      </c>
      <c r="L110" s="1507">
        <f t="shared" si="9"/>
        <v>54483174.869999997</v>
      </c>
      <c r="M110" s="1490"/>
    </row>
    <row r="111" spans="1:13" ht="31.5">
      <c r="B111" s="1589"/>
      <c r="C111" s="1515" t="s">
        <v>5778</v>
      </c>
      <c r="D111" s="1566"/>
      <c r="E111" s="1566"/>
      <c r="F111" s="1566"/>
      <c r="G111" s="1566"/>
      <c r="H111" s="1566"/>
      <c r="I111" s="1566"/>
      <c r="J111" s="1568">
        <v>0</v>
      </c>
      <c r="K111" s="1567"/>
      <c r="L111" s="1507">
        <f t="shared" si="9"/>
        <v>0</v>
      </c>
      <c r="M111" s="1490"/>
    </row>
    <row r="112" spans="1:13" ht="31.5">
      <c r="B112" s="1589">
        <v>1</v>
      </c>
      <c r="C112" s="1512" t="s">
        <v>5953</v>
      </c>
      <c r="D112" s="1505" t="s">
        <v>543</v>
      </c>
      <c r="E112" s="1505"/>
      <c r="F112" s="1505"/>
      <c r="G112" s="1505"/>
      <c r="H112" s="1505"/>
      <c r="I112" s="1505"/>
      <c r="J112" s="1916">
        <v>880</v>
      </c>
      <c r="K112" s="1987">
        <f>'DGCT Cau'!$I$2230</f>
        <v>75500</v>
      </c>
      <c r="L112" s="1507">
        <f t="shared" si="9"/>
        <v>66440000</v>
      </c>
      <c r="M112" s="1490"/>
    </row>
    <row r="113" spans="1:13" ht="31.5">
      <c r="B113" s="1589">
        <f t="shared" ref="B113:B121" si="10">B112+1</f>
        <v>2</v>
      </c>
      <c r="C113" s="1512" t="s">
        <v>2165</v>
      </c>
      <c r="D113" s="1505" t="s">
        <v>543</v>
      </c>
      <c r="E113" s="1505"/>
      <c r="F113" s="1505"/>
      <c r="G113" s="1505"/>
      <c r="H113" s="1505"/>
      <c r="I113" s="1505"/>
      <c r="J113" s="1916">
        <v>814</v>
      </c>
      <c r="K113" s="1987">
        <f>'DGCT Cau'!$I$2364</f>
        <v>142900</v>
      </c>
      <c r="L113" s="1507">
        <f t="shared" si="9"/>
        <v>116320600</v>
      </c>
      <c r="M113" s="1490"/>
    </row>
    <row r="114" spans="1:13" ht="18" customHeight="1">
      <c r="B114" s="1589">
        <f t="shared" si="10"/>
        <v>3</v>
      </c>
      <c r="C114" s="1512" t="s">
        <v>5921</v>
      </c>
      <c r="D114" s="1505" t="s">
        <v>543</v>
      </c>
      <c r="E114" s="1505"/>
      <c r="F114" s="1505"/>
      <c r="G114" s="1505"/>
      <c r="H114" s="1505"/>
      <c r="I114" s="1505"/>
      <c r="J114" s="1916">
        <v>74</v>
      </c>
      <c r="K114" s="1987">
        <f>'DGCT Cau'!$I$2350</f>
        <v>107100</v>
      </c>
      <c r="L114" s="1507">
        <f t="shared" si="9"/>
        <v>7925400</v>
      </c>
      <c r="M114" s="1490"/>
    </row>
    <row r="115" spans="1:13" ht="18" customHeight="1">
      <c r="B115" s="1589">
        <f t="shared" si="10"/>
        <v>4</v>
      </c>
      <c r="C115" s="1512" t="s">
        <v>640</v>
      </c>
      <c r="D115" s="1505" t="s">
        <v>543</v>
      </c>
      <c r="E115" s="1505"/>
      <c r="F115" s="1505"/>
      <c r="G115" s="1505"/>
      <c r="H115" s="1505"/>
      <c r="I115" s="1505"/>
      <c r="J115" s="1916">
        <v>814</v>
      </c>
      <c r="K115" s="1987">
        <f>'DGCT Cau'!$I$2379</f>
        <v>148600</v>
      </c>
      <c r="L115" s="1507">
        <f t="shared" si="9"/>
        <v>120960400</v>
      </c>
      <c r="M115" s="1490"/>
    </row>
    <row r="116" spans="1:13" ht="31.5">
      <c r="B116" s="1589">
        <f t="shared" si="10"/>
        <v>5</v>
      </c>
      <c r="C116" s="1512" t="s">
        <v>5954</v>
      </c>
      <c r="D116" s="1505" t="s">
        <v>557</v>
      </c>
      <c r="E116" s="1505"/>
      <c r="F116" s="1505"/>
      <c r="G116" s="1505"/>
      <c r="H116" s="1505"/>
      <c r="I116" s="1505"/>
      <c r="J116" s="1524">
        <v>14.07</v>
      </c>
      <c r="K116" s="1987">
        <f>'DGCT Cau'!$I$2423</f>
        <v>12911100</v>
      </c>
      <c r="L116" s="1507">
        <f t="shared" si="9"/>
        <v>181659177</v>
      </c>
      <c r="M116" s="1490"/>
    </row>
    <row r="117" spans="1:13" ht="18" customHeight="1">
      <c r="B117" s="1589">
        <f t="shared" si="10"/>
        <v>6</v>
      </c>
      <c r="C117" s="1512" t="s">
        <v>5920</v>
      </c>
      <c r="D117" s="1505" t="s">
        <v>557</v>
      </c>
      <c r="E117" s="1505"/>
      <c r="F117" s="1505"/>
      <c r="G117" s="1505"/>
      <c r="H117" s="1505"/>
      <c r="I117" s="1505"/>
      <c r="J117" s="1524">
        <v>14.07</v>
      </c>
      <c r="K117" s="1987">
        <f>'DGCT Cau'!$I$2459</f>
        <v>7338800</v>
      </c>
      <c r="L117" s="1507">
        <f t="shared" si="9"/>
        <v>103256916</v>
      </c>
      <c r="M117" s="1490"/>
    </row>
    <row r="118" spans="1:13" ht="31.5" hidden="1">
      <c r="B118" s="1589">
        <f t="shared" si="10"/>
        <v>7</v>
      </c>
      <c r="C118" s="1512" t="s">
        <v>5949</v>
      </c>
      <c r="D118" s="1505" t="s">
        <v>543</v>
      </c>
      <c r="E118" s="1505"/>
      <c r="F118" s="1505"/>
      <c r="G118" s="1505"/>
      <c r="H118" s="1505"/>
      <c r="I118" s="1505"/>
      <c r="J118" s="1916">
        <v>60</v>
      </c>
      <c r="K118" s="1987">
        <f>'DGCT Cau'!$I$2485</f>
        <v>74100</v>
      </c>
      <c r="L118" s="1507"/>
      <c r="M118" s="1490"/>
    </row>
    <row r="119" spans="1:13" ht="18" hidden="1" customHeight="1">
      <c r="B119" s="1589">
        <f t="shared" si="10"/>
        <v>8</v>
      </c>
      <c r="C119" s="1512" t="s">
        <v>5922</v>
      </c>
      <c r="D119" s="1505" t="s">
        <v>543</v>
      </c>
      <c r="E119" s="1505"/>
      <c r="F119" s="1505"/>
      <c r="G119" s="1505"/>
      <c r="H119" s="1505"/>
      <c r="I119" s="1505"/>
      <c r="J119" s="1916">
        <v>55</v>
      </c>
      <c r="K119" s="1987">
        <f>'DGCT Cau'!$I$2922</f>
        <v>56100</v>
      </c>
      <c r="L119" s="1507"/>
      <c r="M119" s="1490"/>
    </row>
    <row r="120" spans="1:13" ht="31.5" hidden="1">
      <c r="B120" s="1589">
        <f t="shared" si="10"/>
        <v>9</v>
      </c>
      <c r="C120" s="1512" t="s">
        <v>5929</v>
      </c>
      <c r="D120" s="1505" t="s">
        <v>543</v>
      </c>
      <c r="E120" s="1505"/>
      <c r="F120" s="1505"/>
      <c r="G120" s="1505"/>
      <c r="H120" s="1505"/>
      <c r="I120" s="1505"/>
      <c r="J120" s="1916">
        <v>5</v>
      </c>
      <c r="K120" s="2081">
        <f>'DGCT Cau'!$I$3257</f>
        <v>42100</v>
      </c>
      <c r="L120" s="1507"/>
      <c r="M120" s="1490"/>
    </row>
    <row r="121" spans="1:13" ht="18" hidden="1" customHeight="1">
      <c r="B121" s="1589">
        <f t="shared" si="10"/>
        <v>10</v>
      </c>
      <c r="C121" s="1512" t="s">
        <v>3487</v>
      </c>
      <c r="D121" s="1505" t="s">
        <v>543</v>
      </c>
      <c r="E121" s="1505"/>
      <c r="F121" s="1505"/>
      <c r="G121" s="1505"/>
      <c r="H121" s="1505"/>
      <c r="I121" s="1505"/>
      <c r="J121" s="1916">
        <v>55</v>
      </c>
      <c r="K121" s="1987">
        <f>'DGCT Cau'!$I$2936</f>
        <v>56600</v>
      </c>
      <c r="L121" s="1507"/>
      <c r="M121" s="1490"/>
    </row>
    <row r="122" spans="1:13" ht="18" customHeight="1">
      <c r="B122" s="1592"/>
      <c r="C122" s="2032" t="s">
        <v>5938</v>
      </c>
      <c r="D122" s="1587" t="s">
        <v>545</v>
      </c>
      <c r="E122" s="1587"/>
      <c r="F122" s="1587"/>
      <c r="G122" s="1587"/>
      <c r="H122" s="1587"/>
      <c r="I122" s="1587"/>
      <c r="J122" s="1598">
        <f>J106</f>
        <v>430.76</v>
      </c>
      <c r="K122" s="2033">
        <f>DGTH!$K$123</f>
        <v>660400</v>
      </c>
      <c r="L122" s="1593">
        <f>J122*K122</f>
        <v>284473904</v>
      </c>
      <c r="M122" s="1490"/>
    </row>
    <row r="123" spans="1:13" ht="18" customHeight="1">
      <c r="A123" s="87">
        <v>1</v>
      </c>
      <c r="B123" s="1955" t="str">
        <f>IF(A123&lt;&gt;0,"TH "&amp;COUNTA($A$7:A123),"")</f>
        <v>TH 18</v>
      </c>
      <c r="C123" s="1956" t="s">
        <v>5930</v>
      </c>
      <c r="D123" s="1957" t="s">
        <v>545</v>
      </c>
      <c r="E123" s="1957"/>
      <c r="F123" s="1957"/>
      <c r="G123" s="1957"/>
      <c r="H123" s="1957"/>
      <c r="I123" s="1957"/>
      <c r="J123" s="1958">
        <f>J7+J89+J106</f>
        <v>1029.49</v>
      </c>
      <c r="K123" s="2078">
        <f>ROUND(SUM(L124:L127)/$J123,-2)</f>
        <v>660400</v>
      </c>
      <c r="L123" s="1959">
        <f>J123*K123</f>
        <v>679875196</v>
      </c>
      <c r="M123" s="1490"/>
    </row>
    <row r="124" spans="1:13" ht="31.5">
      <c r="B124" s="2071">
        <v>1</v>
      </c>
      <c r="C124" s="1512" t="s">
        <v>5951</v>
      </c>
      <c r="D124" s="1505" t="s">
        <v>557</v>
      </c>
      <c r="E124" s="1505"/>
      <c r="F124" s="1505"/>
      <c r="G124" s="1505"/>
      <c r="H124" s="1505"/>
      <c r="I124" s="1505"/>
      <c r="J124" s="1524">
        <v>18.89</v>
      </c>
      <c r="K124" s="1987">
        <f>'DGCT Cau'!$I$3100</f>
        <v>12037800</v>
      </c>
      <c r="L124" s="2072">
        <f>$J124*K124</f>
        <v>227394042</v>
      </c>
      <c r="M124" s="1490"/>
    </row>
    <row r="125" spans="1:13" ht="31.5">
      <c r="B125" s="1589">
        <f>B124+1</f>
        <v>2</v>
      </c>
      <c r="C125" s="1512" t="s">
        <v>5950</v>
      </c>
      <c r="D125" s="1505" t="s">
        <v>557</v>
      </c>
      <c r="E125" s="1505"/>
      <c r="F125" s="1505"/>
      <c r="G125" s="1505"/>
      <c r="H125" s="1505"/>
      <c r="I125" s="1505"/>
      <c r="J125" s="1524">
        <v>16.3</v>
      </c>
      <c r="K125" s="1987">
        <f>'DGCT Cau'!$I$3113</f>
        <v>2067900</v>
      </c>
      <c r="L125" s="1507">
        <f>$J125*K125</f>
        <v>33706770</v>
      </c>
      <c r="M125" s="1490"/>
    </row>
    <row r="126" spans="1:13" ht="31.5">
      <c r="B126" s="1589">
        <v>3</v>
      </c>
      <c r="C126" s="1512" t="s">
        <v>5952</v>
      </c>
      <c r="D126" s="1505" t="s">
        <v>557</v>
      </c>
      <c r="E126" s="1505"/>
      <c r="F126" s="1505"/>
      <c r="G126" s="1505"/>
      <c r="H126" s="1505"/>
      <c r="I126" s="1505"/>
      <c r="J126" s="1524">
        <v>17.07</v>
      </c>
      <c r="K126" s="1987">
        <f>'DGCT Cau'!$I$3126</f>
        <v>2067900</v>
      </c>
      <c r="L126" s="1507">
        <f t="shared" ref="L126:L157" si="11">J126*K126</f>
        <v>35299053</v>
      </c>
      <c r="M126" s="1490"/>
    </row>
    <row r="127" spans="1:13" ht="18" customHeight="1">
      <c r="B127" s="1589">
        <v>4</v>
      </c>
      <c r="C127" s="1512" t="s">
        <v>5920</v>
      </c>
      <c r="D127" s="1505" t="s">
        <v>557</v>
      </c>
      <c r="E127" s="1505"/>
      <c r="F127" s="1505"/>
      <c r="G127" s="1505"/>
      <c r="H127" s="1505"/>
      <c r="I127" s="1505"/>
      <c r="J127" s="1524">
        <f>J126+J125+J124</f>
        <v>52.260000000000005</v>
      </c>
      <c r="K127" s="1987">
        <f>'DGCT Cau'!$I$2459</f>
        <v>7338800</v>
      </c>
      <c r="L127" s="1507">
        <f t="shared" si="11"/>
        <v>383525688.00000006</v>
      </c>
      <c r="M127" s="1490"/>
    </row>
    <row r="128" spans="1:13" ht="18" customHeight="1">
      <c r="A128" s="87">
        <v>1</v>
      </c>
      <c r="B128" s="1955" t="str">
        <f>IF(A128&lt;&gt;0,"TH "&amp;COUNTA($A$7:A128),"")</f>
        <v>TH 19</v>
      </c>
      <c r="C128" s="1956" t="s">
        <v>4035</v>
      </c>
      <c r="D128" s="1957" t="s">
        <v>545</v>
      </c>
      <c r="E128" s="1957"/>
      <c r="F128" s="1957"/>
      <c r="G128" s="1957"/>
      <c r="H128" s="1957"/>
      <c r="I128" s="1957"/>
      <c r="J128" s="1958">
        <f>GiaDuThau!$D$72</f>
        <v>0.21</v>
      </c>
      <c r="K128" s="1959">
        <f>ROUND(SUM(L129:L131)/$J128,-2)</f>
        <v>4006800</v>
      </c>
      <c r="L128" s="1959">
        <f t="shared" si="11"/>
        <v>841428</v>
      </c>
      <c r="M128" s="1490"/>
    </row>
    <row r="129" spans="1:18" ht="18" customHeight="1">
      <c r="B129" s="1589">
        <v>1</v>
      </c>
      <c r="C129" s="1512" t="s">
        <v>4035</v>
      </c>
      <c r="D129" s="1505" t="s">
        <v>545</v>
      </c>
      <c r="E129" s="1505"/>
      <c r="F129" s="1505"/>
      <c r="G129" s="1505"/>
      <c r="H129" s="1505"/>
      <c r="I129" s="1505"/>
      <c r="J129" s="1506">
        <f>J128</f>
        <v>0.21</v>
      </c>
      <c r="K129" s="2025">
        <f>'DGCT Cau'!$I$679</f>
        <v>3073088</v>
      </c>
      <c r="L129" s="1507">
        <f t="shared" si="11"/>
        <v>645348.48</v>
      </c>
      <c r="M129" s="1490"/>
    </row>
    <row r="130" spans="1:18" ht="32.1" customHeight="1">
      <c r="B130" s="1589">
        <f>B129+1</f>
        <v>2</v>
      </c>
      <c r="C130" s="1512" t="s">
        <v>5686</v>
      </c>
      <c r="D130" s="1505" t="s">
        <v>545</v>
      </c>
      <c r="E130" s="1505"/>
      <c r="F130" s="1505"/>
      <c r="G130" s="1505"/>
      <c r="H130" s="1505"/>
      <c r="I130" s="1505"/>
      <c r="J130" s="1506">
        <f>J129*1.015</f>
        <v>0.21314999999999998</v>
      </c>
      <c r="K130" s="2025">
        <f>'DGCT Cau'!$I$61</f>
        <v>165882</v>
      </c>
      <c r="L130" s="1507">
        <f t="shared" si="11"/>
        <v>35357.748299999999</v>
      </c>
      <c r="M130" s="1490"/>
    </row>
    <row r="131" spans="1:18" ht="18" customHeight="1">
      <c r="B131" s="1589">
        <f>B130+1</f>
        <v>3</v>
      </c>
      <c r="C131" s="1512" t="s">
        <v>109</v>
      </c>
      <c r="D131" s="1505" t="s">
        <v>547</v>
      </c>
      <c r="E131" s="1505"/>
      <c r="F131" s="1505"/>
      <c r="G131" s="1505"/>
      <c r="H131" s="1505"/>
      <c r="I131" s="1505"/>
      <c r="J131" s="1506">
        <v>0.01</v>
      </c>
      <c r="K131" s="2025">
        <f>'DGCT Cau'!$I$138</f>
        <v>16071733</v>
      </c>
      <c r="L131" s="1507">
        <f t="shared" si="11"/>
        <v>160717.33000000002</v>
      </c>
      <c r="M131" s="1490"/>
    </row>
    <row r="132" spans="1:18" ht="18" customHeight="1">
      <c r="A132" s="87">
        <v>1</v>
      </c>
      <c r="B132" s="1955" t="str">
        <f>IF(A132&lt;&gt;0,"TH "&amp;COUNTA($A$7:A132),"")</f>
        <v>TH 20</v>
      </c>
      <c r="C132" s="1956" t="s">
        <v>5907</v>
      </c>
      <c r="D132" s="1957" t="s">
        <v>557</v>
      </c>
      <c r="E132" s="1957"/>
      <c r="F132" s="1957"/>
      <c r="G132" s="1957"/>
      <c r="H132" s="1957"/>
      <c r="I132" s="1957"/>
      <c r="J132" s="1958">
        <f>GiaDuThau!$D$75</f>
        <v>0.17</v>
      </c>
      <c r="K132" s="2078">
        <f>ROUND(SUM(L133:L134)/$J132,-2)</f>
        <v>39106400</v>
      </c>
      <c r="L132" s="1959">
        <f t="shared" si="11"/>
        <v>6648088.0000000009</v>
      </c>
      <c r="M132" s="1490"/>
      <c r="N132" s="2021"/>
      <c r="O132" s="2021"/>
      <c r="P132" s="2021"/>
      <c r="Q132" s="2021"/>
      <c r="R132" s="2021"/>
    </row>
    <row r="133" spans="1:18" ht="18" customHeight="1">
      <c r="B133" s="1589">
        <v>1</v>
      </c>
      <c r="C133" s="1512" t="s">
        <v>2062</v>
      </c>
      <c r="D133" s="1505" t="s">
        <v>557</v>
      </c>
      <c r="E133" s="1505"/>
      <c r="F133" s="1505"/>
      <c r="G133" s="1505"/>
      <c r="H133" s="1505"/>
      <c r="I133" s="1505"/>
      <c r="J133" s="1506">
        <f>J132</f>
        <v>0.17</v>
      </c>
      <c r="K133" s="2025">
        <f>'DGCT Cau'!$I$216</f>
        <v>33097556</v>
      </c>
      <c r="L133" s="1507">
        <f t="shared" si="11"/>
        <v>5626584.5200000005</v>
      </c>
      <c r="M133" s="1490"/>
    </row>
    <row r="134" spans="1:18" ht="18" customHeight="1">
      <c r="B134" s="1589">
        <f>B133+1</f>
        <v>2</v>
      </c>
      <c r="C134" s="1512" t="s">
        <v>108</v>
      </c>
      <c r="D134" s="1505" t="s">
        <v>557</v>
      </c>
      <c r="E134" s="1505"/>
      <c r="F134" s="1505"/>
      <c r="G134" s="1505"/>
      <c r="H134" s="1505"/>
      <c r="I134" s="1505"/>
      <c r="J134" s="1506">
        <f>J133</f>
        <v>0.17</v>
      </c>
      <c r="K134" s="2025">
        <f>'DGCT Cau'!$I$233</f>
        <v>6008849</v>
      </c>
      <c r="L134" s="1507">
        <f t="shared" si="11"/>
        <v>1021504.3300000001</v>
      </c>
      <c r="M134" s="1490"/>
      <c r="P134" s="87">
        <v>1.5</v>
      </c>
      <c r="Q134" s="87">
        <v>1.5</v>
      </c>
    </row>
    <row r="135" spans="1:18" ht="31.5">
      <c r="A135" s="87">
        <v>1</v>
      </c>
      <c r="B135" s="1955" t="str">
        <f>IF(A135&lt;&gt;0,"TH "&amp;COUNTA($A$7:A135),"")</f>
        <v>TH 21</v>
      </c>
      <c r="C135" s="1956" t="s">
        <v>5908</v>
      </c>
      <c r="D135" s="1957" t="s">
        <v>543</v>
      </c>
      <c r="E135" s="1957"/>
      <c r="F135" s="1957"/>
      <c r="G135" s="1957"/>
      <c r="H135" s="1957"/>
      <c r="I135" s="1957"/>
      <c r="J135" s="1958">
        <f>SUM(N135:R135)</f>
        <v>840</v>
      </c>
      <c r="K135" s="1959">
        <f>ROUND(SUM(L136:L137)/$J135,-2)</f>
        <v>3877900</v>
      </c>
      <c r="L135" s="1959">
        <f t="shared" si="11"/>
        <v>3257436000</v>
      </c>
      <c r="M135" s="1490"/>
      <c r="N135" s="2021"/>
      <c r="O135" s="2021"/>
      <c r="P135" s="2021">
        <v>240</v>
      </c>
      <c r="Q135" s="2021">
        <v>600</v>
      </c>
      <c r="R135" s="2021"/>
    </row>
    <row r="136" spans="1:18" ht="31.5">
      <c r="B136" s="1589">
        <v>1</v>
      </c>
      <c r="C136" s="1512" t="s">
        <v>5908</v>
      </c>
      <c r="D136" s="1505" t="s">
        <v>543</v>
      </c>
      <c r="E136" s="1505"/>
      <c r="F136" s="1505"/>
      <c r="G136" s="1505"/>
      <c r="H136" s="1505"/>
      <c r="I136" s="1505"/>
      <c r="J136" s="1506">
        <f>J135</f>
        <v>840</v>
      </c>
      <c r="K136" s="1987">
        <f>'DGCT Cau'!$I$305</f>
        <v>2503010</v>
      </c>
      <c r="L136" s="1507">
        <f t="shared" si="11"/>
        <v>2102528400</v>
      </c>
      <c r="M136" s="1490"/>
    </row>
    <row r="137" spans="1:18" ht="18" customHeight="1">
      <c r="B137" s="1589">
        <f>B136+1</f>
        <v>2</v>
      </c>
      <c r="C137" s="1512" t="s">
        <v>5909</v>
      </c>
      <c r="D137" s="1505" t="s">
        <v>543</v>
      </c>
      <c r="E137" s="1505"/>
      <c r="F137" s="1505"/>
      <c r="G137" s="1505"/>
      <c r="H137" s="1505"/>
      <c r="I137" s="1505"/>
      <c r="J137" s="1506">
        <f>J135</f>
        <v>840</v>
      </c>
      <c r="K137" s="2025">
        <f>$K$141</f>
        <v>1374900</v>
      </c>
      <c r="L137" s="1507">
        <f t="shared" si="11"/>
        <v>1154916000</v>
      </c>
      <c r="M137" s="1490"/>
      <c r="P137" s="87">
        <v>1.5</v>
      </c>
      <c r="Q137" s="87">
        <v>1.5</v>
      </c>
    </row>
    <row r="138" spans="1:18" ht="31.5">
      <c r="A138" s="87">
        <v>1</v>
      </c>
      <c r="B138" s="1955" t="str">
        <f>IF(A138&lt;&gt;0,"TH "&amp;COUNTA($A$7:A138),"")</f>
        <v>TH 22</v>
      </c>
      <c r="C138" s="1956" t="s">
        <v>5730</v>
      </c>
      <c r="D138" s="1957" t="s">
        <v>543</v>
      </c>
      <c r="E138" s="1957"/>
      <c r="F138" s="1957"/>
      <c r="G138" s="1957"/>
      <c r="H138" s="1957"/>
      <c r="I138" s="1957"/>
      <c r="J138" s="1958">
        <f>SUM(N138:R138)</f>
        <v>1290</v>
      </c>
      <c r="K138" s="1959">
        <f>ROUND(SUM(L139:L140)/$J138,-2)</f>
        <v>3911000</v>
      </c>
      <c r="L138" s="1959">
        <f t="shared" si="11"/>
        <v>5045190000</v>
      </c>
      <c r="M138" s="1490"/>
      <c r="N138" s="2021"/>
      <c r="O138" s="2021"/>
      <c r="P138" s="2021">
        <v>300</v>
      </c>
      <c r="Q138" s="2021">
        <v>990</v>
      </c>
      <c r="R138" s="2021"/>
    </row>
    <row r="139" spans="1:18" ht="31.5">
      <c r="B139" s="1589">
        <v>1</v>
      </c>
      <c r="C139" s="1512" t="s">
        <v>5730</v>
      </c>
      <c r="D139" s="1505" t="s">
        <v>543</v>
      </c>
      <c r="E139" s="1505"/>
      <c r="F139" s="1505"/>
      <c r="G139" s="1505"/>
      <c r="H139" s="1505"/>
      <c r="I139" s="1505"/>
      <c r="J139" s="1506">
        <f>J138</f>
        <v>1290</v>
      </c>
      <c r="K139" s="2025">
        <f>'DGCT Cau'!$I$343</f>
        <v>2536141</v>
      </c>
      <c r="L139" s="1507">
        <f t="shared" si="11"/>
        <v>3271621890</v>
      </c>
      <c r="M139" s="1490"/>
    </row>
    <row r="140" spans="1:18" ht="18" customHeight="1">
      <c r="B140" s="1589">
        <f>B139+1</f>
        <v>2</v>
      </c>
      <c r="C140" s="1512" t="s">
        <v>5909</v>
      </c>
      <c r="D140" s="1505" t="s">
        <v>543</v>
      </c>
      <c r="E140" s="1505"/>
      <c r="F140" s="1505"/>
      <c r="G140" s="1505"/>
      <c r="H140" s="1505"/>
      <c r="I140" s="1505"/>
      <c r="J140" s="1506">
        <f>J139</f>
        <v>1290</v>
      </c>
      <c r="K140" s="2025">
        <f>$K$141</f>
        <v>1374900</v>
      </c>
      <c r="L140" s="1507">
        <f t="shared" si="11"/>
        <v>1773621000</v>
      </c>
      <c r="M140" s="1490"/>
    </row>
    <row r="141" spans="1:18" ht="18" customHeight="1">
      <c r="A141" s="87">
        <v>1</v>
      </c>
      <c r="B141" s="1955" t="str">
        <f>IF(A141&lt;&gt;0,"TH "&amp;COUNTA($A$7:A141),"")</f>
        <v>TH 23</v>
      </c>
      <c r="C141" s="1956" t="s">
        <v>5910</v>
      </c>
      <c r="D141" s="1957" t="s">
        <v>543</v>
      </c>
      <c r="E141" s="1957"/>
      <c r="F141" s="1957"/>
      <c r="G141" s="1957"/>
      <c r="H141" s="1957"/>
      <c r="I141" s="1957"/>
      <c r="J141" s="1958">
        <f>J135+J138</f>
        <v>2130</v>
      </c>
      <c r="K141" s="1959">
        <f>ROUND(SUM(L142:L145)/$J141,-2)</f>
        <v>1374900</v>
      </c>
      <c r="L141" s="1959">
        <f t="shared" si="11"/>
        <v>2928537000</v>
      </c>
      <c r="M141" s="1490"/>
      <c r="P141" s="87">
        <v>1.5</v>
      </c>
      <c r="Q141" s="87">
        <v>1.5</v>
      </c>
    </row>
    <row r="142" spans="1:18" ht="18" customHeight="1">
      <c r="B142" s="1589">
        <v>1</v>
      </c>
      <c r="C142" s="1512" t="s">
        <v>603</v>
      </c>
      <c r="D142" s="1505" t="s">
        <v>545</v>
      </c>
      <c r="E142" s="1505"/>
      <c r="F142" s="1505"/>
      <c r="G142" s="1505"/>
      <c r="H142" s="1505"/>
      <c r="I142" s="1505"/>
      <c r="J142" s="1506">
        <f>SUM(N142:R142)</f>
        <v>3787.7299999999996</v>
      </c>
      <c r="K142" s="1987">
        <f>'DGCT Cau'!$I$381</f>
        <v>601134</v>
      </c>
      <c r="L142" s="1507">
        <f t="shared" si="11"/>
        <v>2276933285.8199997</v>
      </c>
      <c r="M142" s="1490"/>
      <c r="N142" s="2021"/>
      <c r="O142" s="2021"/>
      <c r="P142" s="2021">
        <v>962.51</v>
      </c>
      <c r="Q142" s="2021">
        <v>2825.22</v>
      </c>
      <c r="R142" s="2021"/>
    </row>
    <row r="143" spans="1:18" ht="18" customHeight="1">
      <c r="B143" s="1589">
        <f>B142+1</f>
        <v>2</v>
      </c>
      <c r="C143" s="1512" t="s">
        <v>5935</v>
      </c>
      <c r="D143" s="1505" t="s">
        <v>557</v>
      </c>
      <c r="E143" s="1505"/>
      <c r="F143" s="1505"/>
      <c r="G143" s="1505"/>
      <c r="H143" s="1505"/>
      <c r="I143" s="1505"/>
      <c r="J143" s="1506">
        <v>6.35</v>
      </c>
      <c r="K143" s="1987">
        <f>'DGCT Cau'!$I$2314</f>
        <v>890400</v>
      </c>
      <c r="L143" s="1507">
        <f t="shared" si="11"/>
        <v>5654040</v>
      </c>
      <c r="M143" s="1490"/>
      <c r="N143" s="2021"/>
      <c r="O143" s="2021"/>
      <c r="P143" s="2021"/>
      <c r="Q143" s="2021"/>
      <c r="R143" s="2021"/>
    </row>
    <row r="144" spans="1:18" ht="18" customHeight="1">
      <c r="B144" s="1589">
        <f>B143+1</f>
        <v>3</v>
      </c>
      <c r="C144" s="1512" t="s">
        <v>5706</v>
      </c>
      <c r="D144" s="1505" t="s">
        <v>543</v>
      </c>
      <c r="E144" s="1505"/>
      <c r="F144" s="1505"/>
      <c r="G144" s="1505"/>
      <c r="H144" s="1505"/>
      <c r="I144" s="1505"/>
      <c r="J144" s="1506">
        <f>SUM(N144:R144)</f>
        <v>224</v>
      </c>
      <c r="K144" s="1987">
        <f>'DGCT Cau'!$I$398</f>
        <v>2335808</v>
      </c>
      <c r="L144" s="1507">
        <f t="shared" si="11"/>
        <v>523220992</v>
      </c>
      <c r="M144" s="1490"/>
      <c r="N144" s="2021"/>
      <c r="O144" s="2021"/>
      <c r="P144" s="2021">
        <v>64</v>
      </c>
      <c r="Q144" s="2021">
        <v>160</v>
      </c>
      <c r="R144" s="2021"/>
    </row>
    <row r="145" spans="1:13" ht="18" customHeight="1">
      <c r="B145" s="1589">
        <f>B144+1</f>
        <v>4</v>
      </c>
      <c r="C145" s="1512" t="s">
        <v>5478</v>
      </c>
      <c r="D145" s="1505" t="s">
        <v>545</v>
      </c>
      <c r="E145" s="1505"/>
      <c r="F145" s="1505"/>
      <c r="G145" s="1505"/>
      <c r="H145" s="1505"/>
      <c r="I145" s="1505"/>
      <c r="J145" s="1506">
        <f>ROUND(PI()*1.5^2/4*J141,2)</f>
        <v>3764.02</v>
      </c>
      <c r="K145" s="2025">
        <f>'DGCT Cau'!$I$3289</f>
        <v>32600</v>
      </c>
      <c r="L145" s="1507">
        <f t="shared" si="11"/>
        <v>122707052</v>
      </c>
      <c r="M145" s="1490"/>
    </row>
    <row r="146" spans="1:13" ht="18" customHeight="1">
      <c r="A146" s="87">
        <v>1</v>
      </c>
      <c r="B146" s="2035" t="str">
        <f>IF(A146&lt;&gt;0,"TH "&amp;COUNTA($A$7:A146),"")</f>
        <v>TH 24</v>
      </c>
      <c r="C146" s="2036" t="s">
        <v>5955</v>
      </c>
      <c r="D146" s="2037" t="s">
        <v>545</v>
      </c>
      <c r="E146" s="2037"/>
      <c r="F146" s="2037"/>
      <c r="G146" s="2037"/>
      <c r="H146" s="2037"/>
      <c r="I146" s="2037"/>
      <c r="J146" s="2038">
        <f>GiaDuThau!$D$90</f>
        <v>1280.97</v>
      </c>
      <c r="K146" s="2039">
        <f>ROUND(SUM(L147:L160)/$J146,-2)</f>
        <v>4733400</v>
      </c>
      <c r="L146" s="2039">
        <f t="shared" si="11"/>
        <v>6063343398</v>
      </c>
      <c r="M146" s="1490"/>
    </row>
    <row r="147" spans="1:13" ht="18" customHeight="1">
      <c r="B147" s="1589">
        <v>1</v>
      </c>
      <c r="C147" s="1512" t="s">
        <v>5733</v>
      </c>
      <c r="D147" s="1505" t="s">
        <v>545</v>
      </c>
      <c r="E147" s="1505"/>
      <c r="F147" s="1505"/>
      <c r="G147" s="1505"/>
      <c r="H147" s="1505"/>
      <c r="I147" s="1505"/>
      <c r="J147" s="1506">
        <f>J146</f>
        <v>1280.97</v>
      </c>
      <c r="K147" s="2025">
        <f>'DGCT Cau'!$I$44</f>
        <v>2490915</v>
      </c>
      <c r="L147" s="1507">
        <f t="shared" si="11"/>
        <v>3190787387.5500002</v>
      </c>
      <c r="M147" s="1490"/>
    </row>
    <row r="148" spans="1:13" ht="18" customHeight="1">
      <c r="B148" s="1589">
        <v>2</v>
      </c>
      <c r="C148" s="1512" t="s">
        <v>2179</v>
      </c>
      <c r="D148" s="1505" t="s">
        <v>545</v>
      </c>
      <c r="E148" s="1505"/>
      <c r="F148" s="1505"/>
      <c r="G148" s="1505"/>
      <c r="H148" s="1505"/>
      <c r="I148" s="1505"/>
      <c r="J148" s="1506">
        <f>J147*1.015+GiaDuThau!D95*1.03</f>
        <v>2155.9497499999998</v>
      </c>
      <c r="K148" s="2025">
        <f>'DGCT Cau'!$I$61</f>
        <v>165882</v>
      </c>
      <c r="L148" s="1507">
        <f t="shared" si="11"/>
        <v>357633256.42949998</v>
      </c>
      <c r="M148" s="1490"/>
    </row>
    <row r="149" spans="1:13" ht="18" customHeight="1">
      <c r="B149" s="1589">
        <v>3</v>
      </c>
      <c r="C149" s="1512" t="s">
        <v>109</v>
      </c>
      <c r="D149" s="1505" t="s">
        <v>547</v>
      </c>
      <c r="E149" s="1505"/>
      <c r="F149" s="1505"/>
      <c r="G149" s="1505"/>
      <c r="H149" s="1505"/>
      <c r="I149" s="1505"/>
      <c r="J149" s="1506">
        <v>2.5499999999999998</v>
      </c>
      <c r="K149" s="2025">
        <f>'DGCT Cau'!$I$138</f>
        <v>16071733</v>
      </c>
      <c r="L149" s="1507">
        <f t="shared" si="11"/>
        <v>40982919.149999999</v>
      </c>
      <c r="M149" s="1490"/>
    </row>
    <row r="150" spans="1:13" ht="18" customHeight="1">
      <c r="B150" s="1589"/>
      <c r="C150" s="1566" t="s">
        <v>355</v>
      </c>
      <c r="D150" s="1505"/>
      <c r="E150" s="1505"/>
      <c r="F150" s="1505"/>
      <c r="G150" s="1505"/>
      <c r="H150" s="1505"/>
      <c r="I150" s="1505"/>
      <c r="J150" s="1506"/>
      <c r="K150" s="1507"/>
      <c r="L150" s="1507">
        <f t="shared" si="11"/>
        <v>0</v>
      </c>
      <c r="M150" s="1490"/>
    </row>
    <row r="151" spans="1:13" ht="31.5">
      <c r="B151" s="1589">
        <v>1</v>
      </c>
      <c r="C151" s="1512" t="s">
        <v>5957</v>
      </c>
      <c r="D151" s="1505" t="s">
        <v>543</v>
      </c>
      <c r="E151" s="1505"/>
      <c r="F151" s="1505"/>
      <c r="G151" s="1505"/>
      <c r="H151" s="1505"/>
      <c r="I151" s="1505"/>
      <c r="J151" s="1524">
        <v>2592</v>
      </c>
      <c r="K151" s="1987">
        <f>'DGCT Cau'!$I$2217</f>
        <v>170200</v>
      </c>
      <c r="L151" s="1507">
        <f t="shared" si="11"/>
        <v>441158400</v>
      </c>
      <c r="M151" s="1490"/>
    </row>
    <row r="152" spans="1:13" ht="18" customHeight="1">
      <c r="B152" s="1589">
        <f>B151+1</f>
        <v>2</v>
      </c>
      <c r="C152" s="1512" t="s">
        <v>2146</v>
      </c>
      <c r="D152" s="1505" t="s">
        <v>543</v>
      </c>
      <c r="E152" s="1505"/>
      <c r="F152" s="1505"/>
      <c r="G152" s="1505"/>
      <c r="H152" s="1505"/>
      <c r="I152" s="1505"/>
      <c r="J152" s="1524">
        <v>2484</v>
      </c>
      <c r="K152" s="1987">
        <f>'DGCT Cau'!$I$2894</f>
        <v>130300</v>
      </c>
      <c r="L152" s="1507">
        <f t="shared" si="11"/>
        <v>323665200</v>
      </c>
      <c r="M152" s="1490"/>
    </row>
    <row r="153" spans="1:13" ht="31.5">
      <c r="B153" s="1589">
        <f t="shared" ref="B153:B160" si="12">B152+1</f>
        <v>3</v>
      </c>
      <c r="C153" s="1512" t="s">
        <v>5777</v>
      </c>
      <c r="D153" s="1505" t="s">
        <v>543</v>
      </c>
      <c r="E153" s="1505"/>
      <c r="F153" s="1505"/>
      <c r="G153" s="1505"/>
      <c r="H153" s="1505"/>
      <c r="I153" s="1505"/>
      <c r="J153" s="1524">
        <v>108</v>
      </c>
      <c r="K153" s="1987">
        <f>'DGCT Cau'!$I$3229</f>
        <v>97700</v>
      </c>
      <c r="L153" s="1507">
        <f t="shared" si="11"/>
        <v>10551600</v>
      </c>
      <c r="M153" s="1490"/>
    </row>
    <row r="154" spans="1:13" ht="18" customHeight="1">
      <c r="B154" s="1589">
        <f t="shared" si="12"/>
        <v>4</v>
      </c>
      <c r="C154" s="1512" t="s">
        <v>640</v>
      </c>
      <c r="D154" s="1505" t="s">
        <v>543</v>
      </c>
      <c r="E154" s="1505"/>
      <c r="F154" s="1505"/>
      <c r="G154" s="1505"/>
      <c r="H154" s="1505"/>
      <c r="I154" s="1505"/>
      <c r="J154" s="1524">
        <v>2484</v>
      </c>
      <c r="K154" s="1987">
        <f>'DGCT Cau'!$I$2379</f>
        <v>148600</v>
      </c>
      <c r="L154" s="1507">
        <f t="shared" si="11"/>
        <v>369122400</v>
      </c>
      <c r="M154" s="1490"/>
    </row>
    <row r="155" spans="1:13" ht="31.5">
      <c r="B155" s="1589">
        <f t="shared" si="12"/>
        <v>5</v>
      </c>
      <c r="C155" s="1512" t="s">
        <v>5958</v>
      </c>
      <c r="D155" s="1505" t="s">
        <v>543</v>
      </c>
      <c r="E155" s="1505"/>
      <c r="F155" s="1505"/>
      <c r="G155" s="1505"/>
      <c r="H155" s="1505"/>
      <c r="I155" s="1505"/>
      <c r="J155" s="1524">
        <v>144</v>
      </c>
      <c r="K155" s="1987">
        <f>'DGCT Cau'!$I$2472</f>
        <v>166900</v>
      </c>
      <c r="L155" s="1507">
        <f t="shared" si="11"/>
        <v>24033600</v>
      </c>
      <c r="M155" s="1490"/>
    </row>
    <row r="156" spans="1:13" ht="31.5">
      <c r="B156" s="1589">
        <f t="shared" si="12"/>
        <v>6</v>
      </c>
      <c r="C156" s="1512" t="s">
        <v>2148</v>
      </c>
      <c r="D156" s="1505" t="s">
        <v>543</v>
      </c>
      <c r="E156" s="1505"/>
      <c r="F156" s="1505"/>
      <c r="G156" s="1505"/>
      <c r="H156" s="1505"/>
      <c r="I156" s="1505"/>
      <c r="J156" s="1524">
        <v>138</v>
      </c>
      <c r="K156" s="1987">
        <f>'DGCT Cau'!$I$2908</f>
        <v>79100</v>
      </c>
      <c r="L156" s="1507">
        <f t="shared" si="11"/>
        <v>10915800</v>
      </c>
      <c r="M156" s="1490"/>
    </row>
    <row r="157" spans="1:13" ht="31.5">
      <c r="B157" s="1589">
        <f t="shared" si="12"/>
        <v>7</v>
      </c>
      <c r="C157" s="1512" t="s">
        <v>5776</v>
      </c>
      <c r="D157" s="1505" t="s">
        <v>543</v>
      </c>
      <c r="E157" s="1505"/>
      <c r="F157" s="1505"/>
      <c r="G157" s="1505"/>
      <c r="H157" s="1505"/>
      <c r="I157" s="1505"/>
      <c r="J157" s="1524">
        <v>6</v>
      </c>
      <c r="K157" s="1987">
        <f>'DGCT Cau'!$I$3243</f>
        <v>59300</v>
      </c>
      <c r="L157" s="1507">
        <f t="shared" si="11"/>
        <v>355800</v>
      </c>
      <c r="M157" s="1490"/>
    </row>
    <row r="158" spans="1:13" ht="18" customHeight="1">
      <c r="B158" s="1589">
        <f t="shared" si="12"/>
        <v>8</v>
      </c>
      <c r="C158" s="1512" t="s">
        <v>3487</v>
      </c>
      <c r="D158" s="1505" t="s">
        <v>543</v>
      </c>
      <c r="E158" s="1505"/>
      <c r="F158" s="1505"/>
      <c r="G158" s="1505"/>
      <c r="H158" s="1505"/>
      <c r="I158" s="1505"/>
      <c r="J158" s="1524">
        <v>138</v>
      </c>
      <c r="K158" s="1987">
        <f>'DGCT Cau'!$I$2936</f>
        <v>56600</v>
      </c>
      <c r="L158" s="1507">
        <f t="shared" ref="L158:L180" si="13">J158*K158</f>
        <v>7810800</v>
      </c>
      <c r="M158" s="1490"/>
    </row>
    <row r="159" spans="1:13" ht="31.5">
      <c r="B159" s="1589">
        <f t="shared" si="12"/>
        <v>9</v>
      </c>
      <c r="C159" s="1512" t="s">
        <v>5959</v>
      </c>
      <c r="D159" s="1505" t="s">
        <v>557</v>
      </c>
      <c r="E159" s="1505"/>
      <c r="F159" s="1505"/>
      <c r="G159" s="1505"/>
      <c r="H159" s="1505"/>
      <c r="I159" s="1505"/>
      <c r="J159" s="1524">
        <v>57.89</v>
      </c>
      <c r="K159" s="1987">
        <f>'DGCT Cau'!$I$2401</f>
        <v>14880700</v>
      </c>
      <c r="L159" s="1507">
        <f t="shared" si="13"/>
        <v>861443723</v>
      </c>
      <c r="M159" s="1490"/>
    </row>
    <row r="160" spans="1:13" ht="18" customHeight="1">
      <c r="B160" s="1589">
        <f t="shared" si="12"/>
        <v>10</v>
      </c>
      <c r="C160" s="1512" t="s">
        <v>5920</v>
      </c>
      <c r="D160" s="1505" t="s">
        <v>557</v>
      </c>
      <c r="E160" s="1505"/>
      <c r="F160" s="1505"/>
      <c r="G160" s="1505"/>
      <c r="H160" s="1505"/>
      <c r="I160" s="1505"/>
      <c r="J160" s="1524">
        <f>J159</f>
        <v>57.89</v>
      </c>
      <c r="K160" s="1987">
        <f>'DGCT Cau'!$I$2459</f>
        <v>7338800</v>
      </c>
      <c r="L160" s="1507">
        <f t="shared" si="13"/>
        <v>424843132</v>
      </c>
      <c r="M160" s="1490"/>
    </row>
    <row r="161" spans="1:13" ht="18" customHeight="1">
      <c r="A161" s="87">
        <v>1</v>
      </c>
      <c r="B161" s="1955" t="str">
        <f>IF(A161&lt;&gt;0,"TH "&amp;COUNTA($A$7:A161),"")</f>
        <v>TH 25</v>
      </c>
      <c r="C161" s="1956" t="s">
        <v>5956</v>
      </c>
      <c r="D161" s="1957" t="s">
        <v>545</v>
      </c>
      <c r="E161" s="1957"/>
      <c r="F161" s="1957"/>
      <c r="G161" s="1957"/>
      <c r="H161" s="1957"/>
      <c r="I161" s="1957"/>
      <c r="J161" s="1958">
        <f>GiaDuThau!$D$97</f>
        <v>174.32</v>
      </c>
      <c r="K161" s="1959">
        <f>ROUND(SUM(L162:L166)/$J161,-2)</f>
        <v>5011300</v>
      </c>
      <c r="L161" s="1959">
        <f t="shared" si="13"/>
        <v>873569816</v>
      </c>
      <c r="M161" s="1490"/>
    </row>
    <row r="162" spans="1:13" ht="18" customHeight="1">
      <c r="B162" s="1589">
        <v>1</v>
      </c>
      <c r="C162" s="1512" t="s">
        <v>5735</v>
      </c>
      <c r="D162" s="1505" t="s">
        <v>545</v>
      </c>
      <c r="E162" s="1505"/>
      <c r="F162" s="1505"/>
      <c r="G162" s="1505"/>
      <c r="H162" s="1505"/>
      <c r="I162" s="1505"/>
      <c r="J162" s="1506">
        <f>J161</f>
        <v>174.32</v>
      </c>
      <c r="K162" s="2025">
        <f>'DGCT Cau'!$I$44</f>
        <v>2490915</v>
      </c>
      <c r="L162" s="1507">
        <f t="shared" si="13"/>
        <v>434216302.80000001</v>
      </c>
      <c r="M162" s="1490"/>
    </row>
    <row r="163" spans="1:13" ht="32.1" customHeight="1">
      <c r="B163" s="1589">
        <f>B162+1</f>
        <v>2</v>
      </c>
      <c r="C163" s="1512" t="s">
        <v>5686</v>
      </c>
      <c r="D163" s="1505" t="s">
        <v>545</v>
      </c>
      <c r="E163" s="1505"/>
      <c r="F163" s="1505"/>
      <c r="G163" s="1505"/>
      <c r="H163" s="1505"/>
      <c r="I163" s="1505"/>
      <c r="J163" s="1506">
        <f>J162*1.015</f>
        <v>176.93479999999997</v>
      </c>
      <c r="K163" s="2025">
        <f>'DGCT Cau'!$I$61</f>
        <v>165882</v>
      </c>
      <c r="L163" s="1507">
        <f t="shared" si="13"/>
        <v>29350298.493599996</v>
      </c>
      <c r="M163" s="1490"/>
    </row>
    <row r="164" spans="1:13" ht="18" customHeight="1">
      <c r="B164" s="1589">
        <f>B163+1</f>
        <v>3</v>
      </c>
      <c r="C164" s="1512" t="s">
        <v>109</v>
      </c>
      <c r="D164" s="1505" t="s">
        <v>547</v>
      </c>
      <c r="E164" s="1505"/>
      <c r="F164" s="1505"/>
      <c r="G164" s="1505"/>
      <c r="H164" s="1505"/>
      <c r="I164" s="1505"/>
      <c r="J164" s="1506">
        <v>1.49</v>
      </c>
      <c r="K164" s="2025">
        <f>'DGCT Cau'!$I$138</f>
        <v>16071733</v>
      </c>
      <c r="L164" s="1507">
        <f t="shared" si="13"/>
        <v>23946882.169999998</v>
      </c>
      <c r="M164" s="1490"/>
    </row>
    <row r="165" spans="1:13" ht="31.5">
      <c r="B165" s="1589">
        <f t="shared" ref="B165:B166" si="14">B164+1</f>
        <v>4</v>
      </c>
      <c r="C165" s="1512" t="s">
        <v>5573</v>
      </c>
      <c r="D165" s="1505" t="s">
        <v>557</v>
      </c>
      <c r="E165" s="1505"/>
      <c r="F165" s="1505"/>
      <c r="G165" s="1505"/>
      <c r="H165" s="1505"/>
      <c r="I165" s="1505"/>
      <c r="J165" s="1524">
        <v>19.7</v>
      </c>
      <c r="K165" s="1987">
        <f>'DGCT Cau'!$I$3078</f>
        <v>12258100</v>
      </c>
      <c r="L165" s="1507">
        <f t="shared" si="13"/>
        <v>241484570</v>
      </c>
      <c r="M165" s="1490"/>
    </row>
    <row r="166" spans="1:13" ht="18" customHeight="1">
      <c r="B166" s="1589">
        <f t="shared" si="14"/>
        <v>5</v>
      </c>
      <c r="C166" s="1512" t="s">
        <v>5920</v>
      </c>
      <c r="D166" s="1505" t="s">
        <v>557</v>
      </c>
      <c r="E166" s="1505"/>
      <c r="F166" s="1505"/>
      <c r="G166" s="1505"/>
      <c r="H166" s="1505"/>
      <c r="I166" s="1505"/>
      <c r="J166" s="1524">
        <f>J165</f>
        <v>19.7</v>
      </c>
      <c r="K166" s="1987">
        <f>'DGCT Cau'!$I$2459</f>
        <v>7338800</v>
      </c>
      <c r="L166" s="1507">
        <f t="shared" si="13"/>
        <v>144574360</v>
      </c>
      <c r="M166" s="1490"/>
    </row>
    <row r="167" spans="1:13" ht="31.5">
      <c r="A167" s="87">
        <v>1</v>
      </c>
      <c r="B167" s="1955" t="str">
        <f>IF(A167&lt;&gt;0,"TH "&amp;COUNTA($A$7:A167),"")</f>
        <v>TH 26</v>
      </c>
      <c r="C167" s="1956" t="s">
        <v>5549</v>
      </c>
      <c r="D167" s="1957" t="s">
        <v>545</v>
      </c>
      <c r="E167" s="1957"/>
      <c r="F167" s="1957"/>
      <c r="G167" s="1957"/>
      <c r="H167" s="1957"/>
      <c r="I167" s="1957"/>
      <c r="J167" s="1958">
        <f>GiaDuThau!$D$126</f>
        <v>352.02</v>
      </c>
      <c r="K167" s="2078">
        <f>ROUND(SUM(L168:L170)/$J167,-2)</f>
        <v>6901900</v>
      </c>
      <c r="L167" s="1959">
        <f t="shared" si="13"/>
        <v>2429606838</v>
      </c>
      <c r="M167" s="1490"/>
    </row>
    <row r="168" spans="1:13" ht="31.5">
      <c r="B168" s="1589">
        <v>1</v>
      </c>
      <c r="C168" s="1512" t="s">
        <v>5549</v>
      </c>
      <c r="D168" s="1505" t="s">
        <v>545</v>
      </c>
      <c r="E168" s="1505"/>
      <c r="F168" s="1505"/>
      <c r="G168" s="1505"/>
      <c r="H168" s="1505"/>
      <c r="I168" s="1505"/>
      <c r="J168" s="1506">
        <f>J167</f>
        <v>352.02</v>
      </c>
      <c r="K168" s="2025">
        <f>'DGCT Cau'!$I$741</f>
        <v>5771744</v>
      </c>
      <c r="L168" s="1507">
        <f t="shared" si="13"/>
        <v>2031769322.8799999</v>
      </c>
      <c r="M168" s="1490"/>
    </row>
    <row r="169" spans="1:13" ht="32.1" customHeight="1">
      <c r="B169" s="1589">
        <f>B168+1</f>
        <v>2</v>
      </c>
      <c r="C169" s="1512" t="s">
        <v>5686</v>
      </c>
      <c r="D169" s="1505" t="s">
        <v>545</v>
      </c>
      <c r="E169" s="1505"/>
      <c r="F169" s="1505"/>
      <c r="G169" s="1505"/>
      <c r="H169" s="1505"/>
      <c r="I169" s="1505"/>
      <c r="J169" s="1506">
        <f>J168*1.015</f>
        <v>357.30029999999994</v>
      </c>
      <c r="K169" s="2025">
        <f>'DGCT Cau'!$I$61</f>
        <v>165882</v>
      </c>
      <c r="L169" s="1507">
        <f t="shared" si="13"/>
        <v>59269688.364599988</v>
      </c>
      <c r="M169" s="1490"/>
    </row>
    <row r="170" spans="1:13" ht="18" customHeight="1">
      <c r="B170" s="1589">
        <f>B169+1</f>
        <v>3</v>
      </c>
      <c r="C170" s="1512" t="s">
        <v>5556</v>
      </c>
      <c r="D170" s="1505" t="s">
        <v>548</v>
      </c>
      <c r="E170" s="1505"/>
      <c r="F170" s="1505"/>
      <c r="G170" s="1505"/>
      <c r="H170" s="1505"/>
      <c r="I170" s="1505"/>
      <c r="J170" s="1506">
        <v>658</v>
      </c>
      <c r="K170" s="2025">
        <f>'DGCT Cau'!$I$864</f>
        <v>514531</v>
      </c>
      <c r="L170" s="1507">
        <f t="shared" si="13"/>
        <v>338561398</v>
      </c>
      <c r="M170" s="1490"/>
    </row>
    <row r="171" spans="1:13" ht="31.5">
      <c r="A171" s="87">
        <v>1</v>
      </c>
      <c r="B171" s="1955" t="str">
        <f>IF(A171&lt;&gt;0,"TH "&amp;COUNTA($A$7:A171),"")</f>
        <v>TH 27</v>
      </c>
      <c r="C171" s="1956" t="s">
        <v>3538</v>
      </c>
      <c r="D171" s="1957" t="s">
        <v>545</v>
      </c>
      <c r="E171" s="1957"/>
      <c r="F171" s="1957"/>
      <c r="G171" s="1957"/>
      <c r="H171" s="1957"/>
      <c r="I171" s="1957"/>
      <c r="J171" s="1958">
        <f>GiaDuThau!$D$127</f>
        <v>174.93</v>
      </c>
      <c r="K171" s="2078">
        <f>ROUND(SUM(L172:L174)/$J171,-2)</f>
        <v>7270500</v>
      </c>
      <c r="L171" s="1959">
        <f t="shared" si="13"/>
        <v>1271828565</v>
      </c>
      <c r="M171" s="1490"/>
    </row>
    <row r="172" spans="1:13" ht="32.1" customHeight="1">
      <c r="B172" s="1589">
        <v>1</v>
      </c>
      <c r="C172" s="1512" t="s">
        <v>3538</v>
      </c>
      <c r="D172" s="1505" t="s">
        <v>545</v>
      </c>
      <c r="E172" s="1505"/>
      <c r="F172" s="1505"/>
      <c r="G172" s="1505"/>
      <c r="H172" s="1505"/>
      <c r="I172" s="1505"/>
      <c r="J172" s="1506">
        <f>J171</f>
        <v>174.93</v>
      </c>
      <c r="K172" s="2025">
        <f>'DGCT Cau'!$I$761</f>
        <v>5771744</v>
      </c>
      <c r="L172" s="1507">
        <f t="shared" si="13"/>
        <v>1009651177.9200001</v>
      </c>
      <c r="M172" s="1490"/>
    </row>
    <row r="173" spans="1:13" ht="32.1" customHeight="1">
      <c r="B173" s="1589">
        <f>B172+1</f>
        <v>2</v>
      </c>
      <c r="C173" s="1512" t="s">
        <v>5686</v>
      </c>
      <c r="D173" s="1505" t="s">
        <v>545</v>
      </c>
      <c r="E173" s="1505"/>
      <c r="F173" s="1505"/>
      <c r="G173" s="1505"/>
      <c r="H173" s="1505"/>
      <c r="I173" s="1505"/>
      <c r="J173" s="1506">
        <f>J172*1.015</f>
        <v>177.55394999999999</v>
      </c>
      <c r="K173" s="2025">
        <f>'DGCT Cau'!$I$61</f>
        <v>165882</v>
      </c>
      <c r="L173" s="1507">
        <f t="shared" si="13"/>
        <v>29453004.333899997</v>
      </c>
      <c r="M173" s="1490"/>
    </row>
    <row r="174" spans="1:13" ht="18" customHeight="1">
      <c r="B174" s="1589">
        <f>B173+1</f>
        <v>3</v>
      </c>
      <c r="C174" s="1512" t="s">
        <v>472</v>
      </c>
      <c r="D174" s="1505" t="s">
        <v>548</v>
      </c>
      <c r="E174" s="1505"/>
      <c r="F174" s="1505"/>
      <c r="G174" s="1505"/>
      <c r="H174" s="1505"/>
      <c r="I174" s="1505"/>
      <c r="J174" s="1506">
        <v>452.3</v>
      </c>
      <c r="K174" s="2025">
        <f>'DGCT Cau'!$I$864</f>
        <v>514531</v>
      </c>
      <c r="L174" s="1507">
        <f t="shared" si="13"/>
        <v>232722371.30000001</v>
      </c>
      <c r="M174" s="1490"/>
    </row>
    <row r="175" spans="1:13" ht="18" customHeight="1">
      <c r="A175" s="87">
        <v>1</v>
      </c>
      <c r="B175" s="1955" t="str">
        <f>IF(A175&lt;&gt;0,"TH "&amp;COUNTA($A$7:A175),"")</f>
        <v>TH 28</v>
      </c>
      <c r="C175" s="1956" t="s">
        <v>170</v>
      </c>
      <c r="D175" s="1957" t="s">
        <v>545</v>
      </c>
      <c r="E175" s="1957"/>
      <c r="F175" s="1957"/>
      <c r="G175" s="1957"/>
      <c r="H175" s="1957"/>
      <c r="I175" s="1957"/>
      <c r="J175" s="1958">
        <f>GiaDuThau!$D$128</f>
        <v>635.97</v>
      </c>
      <c r="K175" s="1959">
        <f>ROUND(SUM(L176:L181)/$J175,-2)</f>
        <v>12471200</v>
      </c>
      <c r="L175" s="1959">
        <f t="shared" si="13"/>
        <v>7931309064</v>
      </c>
      <c r="M175" s="1490"/>
    </row>
    <row r="176" spans="1:13" ht="18" customHeight="1">
      <c r="B176" s="1589">
        <v>1</v>
      </c>
      <c r="C176" s="1512" t="s">
        <v>170</v>
      </c>
      <c r="D176" s="1505" t="s">
        <v>545</v>
      </c>
      <c r="E176" s="1505"/>
      <c r="F176" s="1505"/>
      <c r="G176" s="1505"/>
      <c r="H176" s="1505"/>
      <c r="I176" s="1505"/>
      <c r="J176" s="1506">
        <f>J175</f>
        <v>635.97</v>
      </c>
      <c r="K176" s="2025">
        <f>'DGCT Cau'!$I$699</f>
        <v>7666117</v>
      </c>
      <c r="L176" s="1507">
        <f t="shared" si="13"/>
        <v>4875420428.4899998</v>
      </c>
      <c r="M176" s="1490"/>
    </row>
    <row r="177" spans="1:13" ht="32.1" customHeight="1">
      <c r="B177" s="1589">
        <f>B176+1</f>
        <v>2</v>
      </c>
      <c r="C177" s="1512" t="s">
        <v>5686</v>
      </c>
      <c r="D177" s="1505" t="s">
        <v>545</v>
      </c>
      <c r="E177" s="1505"/>
      <c r="F177" s="1505"/>
      <c r="G177" s="1505"/>
      <c r="H177" s="1505"/>
      <c r="I177" s="1505"/>
      <c r="J177" s="1506">
        <f>J176*1.015</f>
        <v>645.50954999999999</v>
      </c>
      <c r="K177" s="2025">
        <f>'DGCT Cau'!$I$61</f>
        <v>165882</v>
      </c>
      <c r="L177" s="1507">
        <f t="shared" si="13"/>
        <v>107078415.17309999</v>
      </c>
      <c r="M177" s="1490"/>
    </row>
    <row r="178" spans="1:13" ht="31.5">
      <c r="B178" s="1589">
        <f>B177+1</f>
        <v>3</v>
      </c>
      <c r="C178" s="1512" t="s">
        <v>389</v>
      </c>
      <c r="D178" s="1505" t="s">
        <v>548</v>
      </c>
      <c r="E178" s="1505"/>
      <c r="F178" s="1505"/>
      <c r="G178" s="1505"/>
      <c r="H178" s="1505"/>
      <c r="I178" s="1505"/>
      <c r="J178" s="1506">
        <v>2030.85</v>
      </c>
      <c r="K178" s="2025">
        <f>'DGCT Cau'!$I$889</f>
        <v>742161</v>
      </c>
      <c r="L178" s="1507">
        <f t="shared" si="13"/>
        <v>1507217666.8499999</v>
      </c>
      <c r="M178" s="1490"/>
    </row>
    <row r="179" spans="1:13" ht="31.5">
      <c r="B179" s="1589">
        <f>B178+1</f>
        <v>4</v>
      </c>
      <c r="C179" s="1512" t="s">
        <v>171</v>
      </c>
      <c r="D179" s="1505" t="s">
        <v>5701</v>
      </c>
      <c r="E179" s="1505"/>
      <c r="F179" s="1505"/>
      <c r="G179" s="1505"/>
      <c r="H179" s="1505"/>
      <c r="I179" s="1505"/>
      <c r="J179" s="1918">
        <v>70</v>
      </c>
      <c r="K179" s="2025">
        <f>'DGCT Cau'!$I$911</f>
        <v>1046909</v>
      </c>
      <c r="L179" s="1507">
        <f t="shared" si="13"/>
        <v>73283630</v>
      </c>
      <c r="M179" s="1490"/>
    </row>
    <row r="180" spans="1:13" ht="62.25" customHeight="1">
      <c r="B180" s="1589">
        <f>B179+1</f>
        <v>5</v>
      </c>
      <c r="C180" s="1512" t="s">
        <v>174</v>
      </c>
      <c r="D180" s="1505" t="s">
        <v>5702</v>
      </c>
      <c r="E180" s="1505"/>
      <c r="F180" s="1505"/>
      <c r="G180" s="1505"/>
      <c r="H180" s="1505"/>
      <c r="I180" s="1505"/>
      <c r="J180" s="1918">
        <v>980</v>
      </c>
      <c r="K180" s="2025">
        <f>'DGCT Cau'!$I$935</f>
        <v>922554</v>
      </c>
      <c r="L180" s="1507">
        <f t="shared" si="13"/>
        <v>904102920</v>
      </c>
      <c r="M180" s="1490"/>
    </row>
    <row r="181" spans="1:13" ht="18" customHeight="1">
      <c r="B181" s="1589"/>
      <c r="C181" s="1566" t="s">
        <v>5961</v>
      </c>
      <c r="D181" s="1505" t="s">
        <v>545</v>
      </c>
      <c r="E181" s="1505"/>
      <c r="F181" s="1505"/>
      <c r="G181" s="1505"/>
      <c r="H181" s="1505"/>
      <c r="I181" s="1505"/>
      <c r="J181" s="1506">
        <f>J175</f>
        <v>635.97</v>
      </c>
      <c r="K181" s="2025">
        <f>$K$189</f>
        <v>729900</v>
      </c>
      <c r="L181" s="1507">
        <f t="shared" ref="L181" si="15">J181*K181</f>
        <v>464194503</v>
      </c>
      <c r="M181" s="1490"/>
    </row>
    <row r="182" spans="1:13" ht="18" customHeight="1">
      <c r="A182" s="87">
        <v>1</v>
      </c>
      <c r="B182" s="1955" t="str">
        <f>IF(A182&lt;&gt;0,"TH "&amp;COUNTA($A$7:A182),"")</f>
        <v>TH 29</v>
      </c>
      <c r="C182" s="1956" t="s">
        <v>710</v>
      </c>
      <c r="D182" s="1957" t="s">
        <v>545</v>
      </c>
      <c r="E182" s="1957"/>
      <c r="F182" s="1957"/>
      <c r="G182" s="1957"/>
      <c r="H182" s="1957"/>
      <c r="I182" s="1957"/>
      <c r="J182" s="1958">
        <f>GiaDuThau!$D$129</f>
        <v>635.97</v>
      </c>
      <c r="K182" s="1959">
        <f>ROUND(SUM(L183:L188)/$J182,-2)</f>
        <v>14459800</v>
      </c>
      <c r="L182" s="1959">
        <f t="shared" ref="L182:L188" si="16">J182*K182</f>
        <v>9195999006</v>
      </c>
      <c r="M182" s="1490"/>
    </row>
    <row r="183" spans="1:13" ht="18" customHeight="1">
      <c r="B183" s="1589">
        <v>1</v>
      </c>
      <c r="C183" s="1512" t="s">
        <v>710</v>
      </c>
      <c r="D183" s="1505" t="s">
        <v>545</v>
      </c>
      <c r="E183" s="1505"/>
      <c r="F183" s="1505"/>
      <c r="G183" s="1505"/>
      <c r="H183" s="1505"/>
      <c r="I183" s="1505"/>
      <c r="J183" s="1506">
        <f>J182</f>
        <v>635.97</v>
      </c>
      <c r="K183" s="2025">
        <f>'DGCT Cau'!$I$721</f>
        <v>8748400</v>
      </c>
      <c r="L183" s="1507">
        <f t="shared" si="16"/>
        <v>5563719948</v>
      </c>
      <c r="M183" s="1490"/>
    </row>
    <row r="184" spans="1:13" ht="32.1" customHeight="1">
      <c r="B184" s="1589">
        <f>B183+1</f>
        <v>2</v>
      </c>
      <c r="C184" s="1512" t="s">
        <v>5686</v>
      </c>
      <c r="D184" s="1505" t="s">
        <v>545</v>
      </c>
      <c r="E184" s="1505"/>
      <c r="F184" s="1505"/>
      <c r="G184" s="1505"/>
      <c r="H184" s="1505"/>
      <c r="I184" s="1505"/>
      <c r="J184" s="1506">
        <f>J183*1.015</f>
        <v>645.50954999999999</v>
      </c>
      <c r="K184" s="2025">
        <f>'DGCT Cau'!$I$61</f>
        <v>165882</v>
      </c>
      <c r="L184" s="1507">
        <f t="shared" si="16"/>
        <v>107078415.17309999</v>
      </c>
      <c r="M184" s="1490"/>
    </row>
    <row r="185" spans="1:13" ht="31.5">
      <c r="B185" s="1589">
        <f>B184+1</f>
        <v>3</v>
      </c>
      <c r="C185" s="1512" t="s">
        <v>389</v>
      </c>
      <c r="D185" s="1505" t="s">
        <v>548</v>
      </c>
      <c r="E185" s="1505"/>
      <c r="F185" s="1505"/>
      <c r="G185" s="1505"/>
      <c r="H185" s="1505"/>
      <c r="I185" s="1505"/>
      <c r="J185" s="1506">
        <v>2030.85</v>
      </c>
      <c r="K185" s="2025">
        <f>'DGCT Cau'!$I$889</f>
        <v>742161</v>
      </c>
      <c r="L185" s="1507">
        <f t="shared" si="16"/>
        <v>1507217666.8499999</v>
      </c>
      <c r="M185" s="1490"/>
    </row>
    <row r="186" spans="1:13" ht="31.5">
      <c r="B186" s="1589">
        <f>B185+1</f>
        <v>4</v>
      </c>
      <c r="C186" s="1512" t="s">
        <v>305</v>
      </c>
      <c r="D186" s="1505" t="s">
        <v>5701</v>
      </c>
      <c r="E186" s="1505"/>
      <c r="F186" s="1505"/>
      <c r="G186" s="1505"/>
      <c r="H186" s="1505"/>
      <c r="I186" s="1505"/>
      <c r="J186" s="1506">
        <v>70</v>
      </c>
      <c r="K186" s="2025">
        <f>'DGCT Cau'!$I$959</f>
        <v>1607951</v>
      </c>
      <c r="L186" s="1507">
        <f t="shared" si="16"/>
        <v>112556570</v>
      </c>
      <c r="M186" s="1490"/>
    </row>
    <row r="187" spans="1:13" ht="59.25" customHeight="1">
      <c r="B187" s="1589">
        <f>B186+1</f>
        <v>5</v>
      </c>
      <c r="C187" s="1512" t="s">
        <v>428</v>
      </c>
      <c r="D187" s="1505" t="s">
        <v>5702</v>
      </c>
      <c r="E187" s="1505"/>
      <c r="F187" s="1505"/>
      <c r="G187" s="1505"/>
      <c r="H187" s="1505"/>
      <c r="I187" s="1505"/>
      <c r="J187" s="1506">
        <v>980</v>
      </c>
      <c r="K187" s="2025">
        <f>'DGCT Cau'!$I$985</f>
        <v>1470621</v>
      </c>
      <c r="L187" s="1507">
        <f t="shared" si="16"/>
        <v>1441208580</v>
      </c>
      <c r="M187" s="1490"/>
    </row>
    <row r="188" spans="1:13" ht="18" customHeight="1">
      <c r="B188" s="1589"/>
      <c r="C188" s="1566" t="s">
        <v>5939</v>
      </c>
      <c r="D188" s="1505" t="s">
        <v>545</v>
      </c>
      <c r="E188" s="1505"/>
      <c r="F188" s="1505"/>
      <c r="G188" s="1505"/>
      <c r="H188" s="1505"/>
      <c r="I188" s="1505"/>
      <c r="J188" s="1506">
        <f>J182</f>
        <v>635.97</v>
      </c>
      <c r="K188" s="2025">
        <f>$K$189</f>
        <v>729900</v>
      </c>
      <c r="L188" s="1507">
        <f t="shared" si="16"/>
        <v>464194503</v>
      </c>
      <c r="M188" s="1490"/>
    </row>
    <row r="189" spans="1:13" ht="31.5">
      <c r="A189" s="87">
        <v>1</v>
      </c>
      <c r="B189" s="1955" t="str">
        <f>IF(A189&lt;&gt;0,"TH "&amp;COUNTA($A$7:A189),"")</f>
        <v>TH 30</v>
      </c>
      <c r="C189" s="1956" t="s">
        <v>5940</v>
      </c>
      <c r="D189" s="1957" t="s">
        <v>545</v>
      </c>
      <c r="E189" s="1957"/>
      <c r="F189" s="1957"/>
      <c r="G189" s="1957"/>
      <c r="H189" s="1957"/>
      <c r="I189" s="1957"/>
      <c r="J189" s="1958">
        <f>J175+J182</f>
        <v>1271.94</v>
      </c>
      <c r="K189" s="1959">
        <f>ROUND(SUM(L190:L209)/$J189,-2)</f>
        <v>729900</v>
      </c>
      <c r="L189" s="1959">
        <f t="shared" ref="L189:L205" si="17">J189*K189</f>
        <v>928389006</v>
      </c>
      <c r="M189" s="1490"/>
    </row>
    <row r="190" spans="1:13" ht="18" customHeight="1">
      <c r="B190" s="1589">
        <v>1</v>
      </c>
      <c r="C190" s="1512" t="s">
        <v>634</v>
      </c>
      <c r="D190" s="1505" t="s">
        <v>557</v>
      </c>
      <c r="E190" s="1505"/>
      <c r="F190" s="1505"/>
      <c r="G190" s="1505"/>
      <c r="H190" s="1505"/>
      <c r="I190" s="1505"/>
      <c r="J190" s="1524">
        <v>2.0099999999999998</v>
      </c>
      <c r="K190" s="1987">
        <f>'DGCT Cau'!$I$2823</f>
        <v>116711300</v>
      </c>
      <c r="L190" s="1507">
        <f t="shared" si="17"/>
        <v>234589712.99999997</v>
      </c>
      <c r="M190" s="1490"/>
    </row>
    <row r="191" spans="1:13" ht="32.1" customHeight="1">
      <c r="B191" s="1589">
        <f>B190+1</f>
        <v>2</v>
      </c>
      <c r="C191" s="1512" t="s">
        <v>3461</v>
      </c>
      <c r="D191" s="1505" t="s">
        <v>557</v>
      </c>
      <c r="E191" s="1505"/>
      <c r="F191" s="1505"/>
      <c r="G191" s="1505"/>
      <c r="H191" s="1505"/>
      <c r="I191" s="1505"/>
      <c r="J191" s="1524">
        <v>5.37</v>
      </c>
      <c r="K191" s="1987">
        <f>'DGCT Cau'!$I$2842</f>
        <v>32386700</v>
      </c>
      <c r="L191" s="1507">
        <f t="shared" si="17"/>
        <v>173916579</v>
      </c>
      <c r="M191" s="1490"/>
    </row>
    <row r="192" spans="1:13" ht="18" customHeight="1">
      <c r="B192" s="1589">
        <f>B191+1</f>
        <v>3</v>
      </c>
      <c r="C192" s="1512" t="s">
        <v>2218</v>
      </c>
      <c r="D192" s="1505" t="s">
        <v>557</v>
      </c>
      <c r="E192" s="1505"/>
      <c r="F192" s="1505"/>
      <c r="G192" s="1505"/>
      <c r="H192" s="1505"/>
      <c r="I192" s="1505"/>
      <c r="J192" s="1524">
        <v>0.92</v>
      </c>
      <c r="K192" s="1987">
        <f>'DGCT Cau'!$I$2861</f>
        <v>25869600</v>
      </c>
      <c r="L192" s="1507">
        <f t="shared" si="17"/>
        <v>23800032</v>
      </c>
      <c r="M192" s="1490"/>
    </row>
    <row r="193" spans="2:13" ht="18" customHeight="1">
      <c r="B193" s="1589">
        <f>B192+1</f>
        <v>4</v>
      </c>
      <c r="C193" s="1512" t="s">
        <v>5865</v>
      </c>
      <c r="D193" s="1505" t="s">
        <v>557</v>
      </c>
      <c r="E193" s="1505"/>
      <c r="F193" s="1505"/>
      <c r="G193" s="1505"/>
      <c r="H193" s="1505"/>
      <c r="I193" s="1505"/>
      <c r="J193" s="1524">
        <v>0.92</v>
      </c>
      <c r="K193" s="1987">
        <f>'DGCT Cau'!$I$2880</f>
        <v>9676300</v>
      </c>
      <c r="L193" s="1507">
        <f t="shared" si="17"/>
        <v>8902196</v>
      </c>
      <c r="M193" s="1490"/>
    </row>
    <row r="194" spans="2:13" ht="18" customHeight="1">
      <c r="B194" s="1589">
        <f>B193+1</f>
        <v>5</v>
      </c>
      <c r="C194" s="1512" t="s">
        <v>635</v>
      </c>
      <c r="D194" s="1505" t="s">
        <v>307</v>
      </c>
      <c r="E194" s="1505"/>
      <c r="F194" s="1505"/>
      <c r="G194" s="1505"/>
      <c r="H194" s="1505"/>
      <c r="I194" s="1505"/>
      <c r="J194" s="1524">
        <v>80</v>
      </c>
      <c r="K194" s="1987">
        <f>'DGCT Cau'!$I$2720</f>
        <v>736300</v>
      </c>
      <c r="L194" s="1507">
        <f t="shared" si="17"/>
        <v>58904000</v>
      </c>
      <c r="M194" s="1490"/>
    </row>
    <row r="195" spans="2:13" ht="18" customHeight="1">
      <c r="B195" s="1589">
        <f t="shared" ref="B195:B203" si="18">B194+1</f>
        <v>6</v>
      </c>
      <c r="C195" s="1512" t="s">
        <v>2197</v>
      </c>
      <c r="D195" s="1505" t="s">
        <v>307</v>
      </c>
      <c r="E195" s="1505"/>
      <c r="F195" s="1505"/>
      <c r="G195" s="1505"/>
      <c r="H195" s="1505"/>
      <c r="I195" s="1505"/>
      <c r="J195" s="1524">
        <v>80</v>
      </c>
      <c r="K195" s="1987">
        <f>'DGCT Cau'!$I$2732</f>
        <v>132500</v>
      </c>
      <c r="L195" s="1507">
        <f t="shared" si="17"/>
        <v>10600000</v>
      </c>
      <c r="M195" s="1490"/>
    </row>
    <row r="196" spans="2:13" ht="18" customHeight="1">
      <c r="B196" s="1589">
        <f t="shared" si="18"/>
        <v>7</v>
      </c>
      <c r="C196" s="1512" t="s">
        <v>335</v>
      </c>
      <c r="D196" s="1505" t="s">
        <v>307</v>
      </c>
      <c r="E196" s="1505"/>
      <c r="F196" s="1505"/>
      <c r="G196" s="1505"/>
      <c r="H196" s="1505"/>
      <c r="I196" s="1505"/>
      <c r="J196" s="1524">
        <v>80</v>
      </c>
      <c r="K196" s="1987">
        <f>'DGCT Cau'!$I$2744</f>
        <v>736300</v>
      </c>
      <c r="L196" s="1507">
        <f t="shared" si="17"/>
        <v>58904000</v>
      </c>
      <c r="M196" s="1490"/>
    </row>
    <row r="197" spans="2:13" ht="18" customHeight="1">
      <c r="B197" s="1589">
        <f t="shared" si="18"/>
        <v>8</v>
      </c>
      <c r="C197" s="1512" t="s">
        <v>63</v>
      </c>
      <c r="D197" s="1505" t="s">
        <v>307</v>
      </c>
      <c r="E197" s="1505"/>
      <c r="F197" s="1505"/>
      <c r="G197" s="1505"/>
      <c r="H197" s="1505"/>
      <c r="I197" s="1505"/>
      <c r="J197" s="1524">
        <v>80</v>
      </c>
      <c r="K197" s="1987">
        <f>'DGCT Cau'!$I$1265</f>
        <v>1201309</v>
      </c>
      <c r="L197" s="1507">
        <f t="shared" si="17"/>
        <v>96104720</v>
      </c>
      <c r="M197" s="1490"/>
    </row>
    <row r="198" spans="2:13" ht="18" customHeight="1">
      <c r="B198" s="1589">
        <f t="shared" si="18"/>
        <v>9</v>
      </c>
      <c r="C198" s="1512" t="s">
        <v>2196</v>
      </c>
      <c r="D198" s="1505" t="s">
        <v>545</v>
      </c>
      <c r="E198" s="1505"/>
      <c r="F198" s="1505"/>
      <c r="G198" s="1505"/>
      <c r="H198" s="1505"/>
      <c r="I198" s="1505"/>
      <c r="J198" s="1524">
        <v>2.8</v>
      </c>
      <c r="K198" s="1987">
        <f>'DGCT Cau'!$I$1182</f>
        <v>23674666</v>
      </c>
      <c r="L198" s="1507">
        <f t="shared" si="17"/>
        <v>66289064.799999997</v>
      </c>
      <c r="M198" s="1490"/>
    </row>
    <row r="199" spans="2:13" ht="18" customHeight="1">
      <c r="B199" s="1589">
        <f t="shared" si="18"/>
        <v>10</v>
      </c>
      <c r="C199" s="1512" t="s">
        <v>5624</v>
      </c>
      <c r="D199" s="1505" t="s">
        <v>557</v>
      </c>
      <c r="E199" s="1505"/>
      <c r="F199" s="1505"/>
      <c r="G199" s="1505"/>
      <c r="H199" s="1505"/>
      <c r="I199" s="1505"/>
      <c r="J199" s="1524">
        <v>0.61</v>
      </c>
      <c r="K199" s="1987">
        <f>'DGCT Cau'!$I$80</f>
        <v>26387125</v>
      </c>
      <c r="L199" s="1507">
        <f t="shared" si="17"/>
        <v>16096146.25</v>
      </c>
      <c r="M199" s="1490"/>
    </row>
    <row r="200" spans="2:13" ht="18" customHeight="1">
      <c r="B200" s="1589">
        <f t="shared" si="18"/>
        <v>11</v>
      </c>
      <c r="C200" s="1512" t="s">
        <v>666</v>
      </c>
      <c r="D200" s="1505" t="s">
        <v>543</v>
      </c>
      <c r="E200" s="1505"/>
      <c r="F200" s="1505"/>
      <c r="G200" s="1505"/>
      <c r="H200" s="1505"/>
      <c r="I200" s="1505"/>
      <c r="J200" s="1916">
        <v>588.79999999999995</v>
      </c>
      <c r="K200" s="1987">
        <f>'DGCT Cau'!$I$1308</f>
        <v>161641</v>
      </c>
      <c r="L200" s="1507">
        <f t="shared" si="17"/>
        <v>95174220.799999997</v>
      </c>
      <c r="M200" s="1490"/>
    </row>
    <row r="201" spans="2:13" ht="18" customHeight="1">
      <c r="B201" s="1589">
        <f t="shared" si="18"/>
        <v>12</v>
      </c>
      <c r="C201" s="1512" t="s">
        <v>712</v>
      </c>
      <c r="D201" s="1505" t="s">
        <v>543</v>
      </c>
      <c r="E201" s="1505"/>
      <c r="F201" s="1505"/>
      <c r="G201" s="1505"/>
      <c r="H201" s="1505"/>
      <c r="I201" s="1505"/>
      <c r="J201" s="1916">
        <v>240</v>
      </c>
      <c r="K201" s="1987">
        <f>'DGCT Cau'!$I$1329</f>
        <v>200891</v>
      </c>
      <c r="L201" s="1507">
        <f t="shared" si="17"/>
        <v>48213840</v>
      </c>
      <c r="M201" s="1490"/>
    </row>
    <row r="202" spans="2:13" ht="18" customHeight="1">
      <c r="B202" s="1589">
        <f t="shared" si="18"/>
        <v>13</v>
      </c>
      <c r="C202" s="1512" t="s">
        <v>749</v>
      </c>
      <c r="D202" s="1505" t="s">
        <v>543</v>
      </c>
      <c r="E202" s="1505"/>
      <c r="F202" s="1505"/>
      <c r="G202" s="1505"/>
      <c r="H202" s="1505"/>
      <c r="I202" s="1505"/>
      <c r="J202" s="1524">
        <v>4.8</v>
      </c>
      <c r="K202" s="1987">
        <f>'DGCT Cau'!$I$1350</f>
        <v>182351</v>
      </c>
      <c r="L202" s="1507">
        <f t="shared" si="17"/>
        <v>875284.79999999993</v>
      </c>
      <c r="M202" s="1490"/>
    </row>
    <row r="203" spans="2:13" ht="18" customHeight="1">
      <c r="B203" s="1589">
        <f t="shared" si="18"/>
        <v>14</v>
      </c>
      <c r="C203" s="1512" t="s">
        <v>432</v>
      </c>
      <c r="D203" s="1505" t="s">
        <v>548</v>
      </c>
      <c r="E203" s="1505"/>
      <c r="F203" s="1505"/>
      <c r="G203" s="1505"/>
      <c r="H203" s="1505"/>
      <c r="I203" s="1505"/>
      <c r="J203" s="1524">
        <v>9.4</v>
      </c>
      <c r="K203" s="1987">
        <f>'DGCT Cau'!$I$2756</f>
        <v>234400</v>
      </c>
      <c r="L203" s="1507">
        <f t="shared" si="17"/>
        <v>2203360</v>
      </c>
      <c r="M203" s="1490"/>
    </row>
    <row r="204" spans="2:13" ht="18" customHeight="1">
      <c r="B204" s="2022"/>
      <c r="C204" s="2034" t="s">
        <v>65</v>
      </c>
      <c r="D204" s="2023"/>
      <c r="E204" s="2023"/>
      <c r="F204" s="2023"/>
      <c r="G204" s="2023"/>
      <c r="H204" s="2023"/>
      <c r="I204" s="2023"/>
      <c r="J204" s="2040"/>
      <c r="K204" s="2083"/>
      <c r="L204" s="1507">
        <f t="shared" si="17"/>
        <v>0</v>
      </c>
      <c r="M204" s="1490"/>
    </row>
    <row r="205" spans="2:13" ht="18" customHeight="1">
      <c r="B205" s="1589">
        <v>1</v>
      </c>
      <c r="C205" s="1512" t="s">
        <v>5751</v>
      </c>
      <c r="D205" s="1505" t="s">
        <v>545</v>
      </c>
      <c r="E205" s="1505"/>
      <c r="F205" s="1505"/>
      <c r="G205" s="1505"/>
      <c r="H205" s="1505"/>
      <c r="I205" s="1505"/>
      <c r="J205" s="1506">
        <v>3.37</v>
      </c>
      <c r="K205" s="2025">
        <f>'DGCT Cau'!$I$679</f>
        <v>3073088</v>
      </c>
      <c r="L205" s="1507">
        <f t="shared" si="17"/>
        <v>10356306.560000001</v>
      </c>
      <c r="M205" s="1490"/>
    </row>
    <row r="206" spans="2:13" ht="32.1" customHeight="1">
      <c r="B206" s="1589">
        <f>B205+1</f>
        <v>2</v>
      </c>
      <c r="C206" s="1512" t="s">
        <v>5686</v>
      </c>
      <c r="D206" s="1505" t="s">
        <v>545</v>
      </c>
      <c r="E206" s="1505"/>
      <c r="F206" s="1505"/>
      <c r="G206" s="1505"/>
      <c r="H206" s="1505"/>
      <c r="I206" s="1505"/>
      <c r="J206" s="1506">
        <f>J205*1.015</f>
        <v>3.42055</v>
      </c>
      <c r="K206" s="2025">
        <f>'DGCT Cau'!$I$61</f>
        <v>165882</v>
      </c>
      <c r="L206" s="1507">
        <f>J206*K206</f>
        <v>567407.67509999999</v>
      </c>
      <c r="M206" s="1490"/>
    </row>
    <row r="207" spans="2:13" ht="18" customHeight="1">
      <c r="B207" s="1589">
        <f>B206+1</f>
        <v>3</v>
      </c>
      <c r="C207" s="1512" t="s">
        <v>109</v>
      </c>
      <c r="D207" s="1505" t="s">
        <v>547</v>
      </c>
      <c r="E207" s="1505"/>
      <c r="F207" s="1505"/>
      <c r="G207" s="1505"/>
      <c r="H207" s="1505"/>
      <c r="I207" s="1505"/>
      <c r="J207" s="1506">
        <v>0.12</v>
      </c>
      <c r="K207" s="2025">
        <f>'DGCT Cau'!$I$138</f>
        <v>16071733</v>
      </c>
      <c r="L207" s="1507">
        <f>J207*K207</f>
        <v>1928607.96</v>
      </c>
      <c r="M207" s="1490"/>
    </row>
    <row r="208" spans="2:13" ht="18" customHeight="1">
      <c r="B208" s="1589">
        <f t="shared" ref="B208:B209" si="19">B207+1</f>
        <v>4</v>
      </c>
      <c r="C208" s="1512" t="s">
        <v>292</v>
      </c>
      <c r="D208" s="1505" t="s">
        <v>545</v>
      </c>
      <c r="E208" s="1505"/>
      <c r="F208" s="1505"/>
      <c r="G208" s="1505"/>
      <c r="H208" s="1505"/>
      <c r="I208" s="1505"/>
      <c r="J208" s="1524">
        <v>3.37</v>
      </c>
      <c r="K208" s="1987">
        <f>'DGCT Cau'!$I$1366</f>
        <v>784264</v>
      </c>
      <c r="L208" s="1507">
        <f>J208*K208</f>
        <v>2642969.6800000002</v>
      </c>
      <c r="M208" s="1490"/>
    </row>
    <row r="209" spans="1:13" ht="18" customHeight="1">
      <c r="B209" s="1589">
        <f t="shared" si="19"/>
        <v>5</v>
      </c>
      <c r="C209" s="1512" t="s">
        <v>3665</v>
      </c>
      <c r="D209" s="1505" t="s">
        <v>557</v>
      </c>
      <c r="E209" s="1505"/>
      <c r="F209" s="1505"/>
      <c r="G209" s="1505"/>
      <c r="H209" s="1505"/>
      <c r="I209" s="1505"/>
      <c r="J209" s="1524">
        <v>0.67</v>
      </c>
      <c r="K209" s="1987">
        <f>'DGCT Cau'!$I$1287</f>
        <v>27300037</v>
      </c>
      <c r="L209" s="1507">
        <f>J209*K209</f>
        <v>18291024.790000003</v>
      </c>
      <c r="M209" s="1490"/>
    </row>
    <row r="210" spans="1:13" ht="18" customHeight="1">
      <c r="A210" s="87">
        <v>1</v>
      </c>
      <c r="B210" s="1955" t="str">
        <f>IF(A210&lt;&gt;0,"TH "&amp;COUNTA($A$7:A210),"")</f>
        <v>TH 31</v>
      </c>
      <c r="C210" s="1956" t="s">
        <v>5756</v>
      </c>
      <c r="D210" s="1957" t="s">
        <v>740</v>
      </c>
      <c r="E210" s="1957"/>
      <c r="F210" s="1957"/>
      <c r="G210" s="1957"/>
      <c r="H210" s="1957"/>
      <c r="I210" s="1957"/>
      <c r="J210" s="1958">
        <f>GiaDuThau!$D$164</f>
        <v>12</v>
      </c>
      <c r="K210" s="1959">
        <f>ROUND(SUM(L211:L212)/$J210,-2)</f>
        <v>20499900</v>
      </c>
      <c r="L210" s="1959">
        <f>J210*K210</f>
        <v>245998800</v>
      </c>
      <c r="M210" s="1490"/>
    </row>
    <row r="211" spans="1:13" ht="18" customHeight="1">
      <c r="B211" s="1589">
        <v>1</v>
      </c>
      <c r="C211" s="1512" t="s">
        <v>5880</v>
      </c>
      <c r="D211" s="1505" t="s">
        <v>740</v>
      </c>
      <c r="E211" s="1505"/>
      <c r="F211" s="1505"/>
      <c r="G211" s="1505"/>
      <c r="H211" s="1505"/>
      <c r="I211" s="1505"/>
      <c r="J211" s="1918">
        <f>J210</f>
        <v>12</v>
      </c>
      <c r="K211" s="2025">
        <f>'DGCT Cau'!$I$1379</f>
        <v>4247183</v>
      </c>
      <c r="L211" s="1507">
        <f t="shared" ref="L211:L245" si="20">J211*K211</f>
        <v>50966196</v>
      </c>
      <c r="M211" s="1490"/>
    </row>
    <row r="212" spans="1:13" ht="18" customHeight="1">
      <c r="B212" s="1589">
        <f>B211+1</f>
        <v>2</v>
      </c>
      <c r="C212" s="1512" t="s">
        <v>2247</v>
      </c>
      <c r="D212" s="1505" t="s">
        <v>740</v>
      </c>
      <c r="E212" s="1505"/>
      <c r="F212" s="1505"/>
      <c r="G212" s="1505"/>
      <c r="H212" s="1505"/>
      <c r="I212" s="1505"/>
      <c r="J212" s="1918">
        <f>J211</f>
        <v>12</v>
      </c>
      <c r="K212" s="2025">
        <f>'DGCT Cau'!$I$1397</f>
        <v>16252755</v>
      </c>
      <c r="L212" s="1507">
        <f t="shared" si="20"/>
        <v>195033060</v>
      </c>
      <c r="M212" s="1490"/>
    </row>
    <row r="213" spans="1:13" ht="18" customHeight="1">
      <c r="A213" s="87">
        <v>1</v>
      </c>
      <c r="B213" s="1955" t="str">
        <f>IF(A213&lt;&gt;0,"TH "&amp;COUNTA($A$7:A213),"")</f>
        <v>TH 32</v>
      </c>
      <c r="C213" s="1956" t="s">
        <v>568</v>
      </c>
      <c r="D213" s="1957" t="s">
        <v>545</v>
      </c>
      <c r="E213" s="1957"/>
      <c r="F213" s="1957"/>
      <c r="G213" s="1957"/>
      <c r="H213" s="1957"/>
      <c r="I213" s="1957"/>
      <c r="J213" s="1958">
        <f>GiaDuThau!$D$168</f>
        <v>0.44</v>
      </c>
      <c r="K213" s="2078">
        <f>ROUND(SUM(L214:L215)/$J213,-2)</f>
        <v>33602700</v>
      </c>
      <c r="L213" s="1959">
        <f t="shared" si="20"/>
        <v>14785188</v>
      </c>
      <c r="M213" s="1490"/>
    </row>
    <row r="214" spans="1:13" ht="18" customHeight="1">
      <c r="B214" s="1589">
        <v>1</v>
      </c>
      <c r="C214" s="1512" t="s">
        <v>568</v>
      </c>
      <c r="D214" s="1505" t="s">
        <v>545</v>
      </c>
      <c r="E214" s="1505"/>
      <c r="F214" s="1505"/>
      <c r="G214" s="1505"/>
      <c r="H214" s="1505"/>
      <c r="I214" s="1505"/>
      <c r="J214" s="1506">
        <f>J213</f>
        <v>0.44</v>
      </c>
      <c r="K214" s="2025">
        <f>'DGCT Cau'!$I$194</f>
        <v>32506922</v>
      </c>
      <c r="L214" s="1507">
        <f t="shared" si="20"/>
        <v>14303045.68</v>
      </c>
      <c r="M214" s="1490"/>
    </row>
    <row r="215" spans="1:13" ht="18" customHeight="1">
      <c r="B215" s="1589">
        <f>B214+1</f>
        <v>2</v>
      </c>
      <c r="C215" s="1512" t="s">
        <v>109</v>
      </c>
      <c r="D215" s="1505" t="s">
        <v>547</v>
      </c>
      <c r="E215" s="1505"/>
      <c r="F215" s="1505"/>
      <c r="G215" s="1505"/>
      <c r="H215" s="1505"/>
      <c r="I215" s="1505"/>
      <c r="J215" s="1506">
        <v>0.03</v>
      </c>
      <c r="K215" s="2025">
        <f>'DGCT Cau'!$I$138</f>
        <v>16071733</v>
      </c>
      <c r="L215" s="1507">
        <f t="shared" si="20"/>
        <v>482151.99</v>
      </c>
      <c r="M215" s="1490"/>
    </row>
    <row r="216" spans="1:13" ht="18" customHeight="1">
      <c r="A216" s="87">
        <v>1</v>
      </c>
      <c r="B216" s="1955" t="str">
        <f>IF(A216&lt;&gt;0,"TH "&amp;COUNTA($A$7:A216),"")</f>
        <v>TH 33</v>
      </c>
      <c r="C216" s="1956" t="s">
        <v>5758</v>
      </c>
      <c r="D216" s="1957" t="s">
        <v>545</v>
      </c>
      <c r="E216" s="1957"/>
      <c r="F216" s="1957"/>
      <c r="G216" s="1957"/>
      <c r="H216" s="1957"/>
      <c r="I216" s="1957"/>
      <c r="J216" s="1958">
        <f>GiaDuThau!$D$172</f>
        <v>24.9</v>
      </c>
      <c r="K216" s="2078">
        <f>ROUND(SUM(L217:L219)/$J216,-2)</f>
        <v>3227700</v>
      </c>
      <c r="L216" s="1959">
        <f t="shared" si="20"/>
        <v>80369730</v>
      </c>
      <c r="M216" s="1490"/>
    </row>
    <row r="217" spans="1:13" ht="18" customHeight="1">
      <c r="B217" s="1589">
        <v>1</v>
      </c>
      <c r="C217" s="1512" t="s">
        <v>175</v>
      </c>
      <c r="D217" s="1505" t="s">
        <v>545</v>
      </c>
      <c r="E217" s="1505"/>
      <c r="F217" s="1505"/>
      <c r="G217" s="1505"/>
      <c r="H217" s="1505"/>
      <c r="I217" s="1505"/>
      <c r="J217" s="1506">
        <f>J216</f>
        <v>24.9</v>
      </c>
      <c r="K217" s="2025">
        <f>'DGCT Cau'!$I$1429</f>
        <v>2444236</v>
      </c>
      <c r="L217" s="1507">
        <f t="shared" si="20"/>
        <v>60861476.399999999</v>
      </c>
      <c r="M217" s="1490"/>
    </row>
    <row r="218" spans="1:13" ht="32.1" customHeight="1">
      <c r="B218" s="1589">
        <f>B217+1</f>
        <v>2</v>
      </c>
      <c r="C218" s="1512" t="s">
        <v>5686</v>
      </c>
      <c r="D218" s="1505" t="s">
        <v>545</v>
      </c>
      <c r="E218" s="1505"/>
      <c r="F218" s="1505"/>
      <c r="G218" s="1505"/>
      <c r="H218" s="1505"/>
      <c r="I218" s="1505"/>
      <c r="J218" s="1506">
        <f>J217*1.015</f>
        <v>25.273499999999995</v>
      </c>
      <c r="K218" s="2025">
        <f>'DGCT Cau'!$I$61</f>
        <v>165882</v>
      </c>
      <c r="L218" s="1507">
        <f t="shared" si="20"/>
        <v>4192418.726999999</v>
      </c>
      <c r="M218" s="1490"/>
    </row>
    <row r="219" spans="1:13" ht="18" customHeight="1">
      <c r="B219" s="1589">
        <f>B218+1</f>
        <v>3</v>
      </c>
      <c r="C219" s="1512" t="s">
        <v>3663</v>
      </c>
      <c r="D219" s="1505" t="s">
        <v>547</v>
      </c>
      <c r="E219" s="1505"/>
      <c r="F219" s="1505"/>
      <c r="G219" s="1505"/>
      <c r="H219" s="1505"/>
      <c r="I219" s="1505"/>
      <c r="J219" s="1506">
        <v>0.81</v>
      </c>
      <c r="K219" s="2025">
        <f>'DGCT Cau'!$I$1502</f>
        <v>18907184</v>
      </c>
      <c r="L219" s="1507">
        <f t="shared" si="20"/>
        <v>15314819.040000001</v>
      </c>
      <c r="M219" s="1490"/>
    </row>
    <row r="220" spans="1:13" ht="18" customHeight="1">
      <c r="A220" s="87">
        <v>1</v>
      </c>
      <c r="B220" s="1955" t="str">
        <f>IF(A220&lt;&gt;0,"TH "&amp;COUNTA($A$7:A220),"")</f>
        <v>TH 34</v>
      </c>
      <c r="C220" s="1956" t="s">
        <v>4062</v>
      </c>
      <c r="D220" s="1957" t="s">
        <v>557</v>
      </c>
      <c r="E220" s="1957"/>
      <c r="F220" s="1957"/>
      <c r="G220" s="1957"/>
      <c r="H220" s="1957"/>
      <c r="I220" s="1957"/>
      <c r="J220" s="1958">
        <f>GiaDuThau!$D$174</f>
        <v>1.46</v>
      </c>
      <c r="K220" s="2078">
        <f>ROUND(SUM(L221:L222)/$J220,-2)</f>
        <v>40501700</v>
      </c>
      <c r="L220" s="1959">
        <f>J220*K220</f>
        <v>59132482</v>
      </c>
      <c r="M220" s="1490"/>
    </row>
    <row r="221" spans="1:13" ht="18" customHeight="1">
      <c r="B221" s="1589">
        <v>1</v>
      </c>
      <c r="C221" s="1512" t="s">
        <v>4062</v>
      </c>
      <c r="D221" s="1505" t="s">
        <v>557</v>
      </c>
      <c r="E221" s="1505"/>
      <c r="F221" s="1505"/>
      <c r="G221" s="1505"/>
      <c r="H221" s="1505"/>
      <c r="I221" s="1505"/>
      <c r="J221" s="1506">
        <f>J220</f>
        <v>1.46</v>
      </c>
      <c r="K221" s="1987">
        <f>'DGCT Cau'!$I$1481</f>
        <v>24990469</v>
      </c>
      <c r="L221" s="1507">
        <f t="shared" ref="L221:L222" si="21">J221*K221</f>
        <v>36486084.740000002</v>
      </c>
      <c r="M221" s="1490"/>
    </row>
    <row r="222" spans="1:13" ht="18" customHeight="1">
      <c r="B222" s="1589">
        <f>B221+1</f>
        <v>2</v>
      </c>
      <c r="C222" s="1512" t="s">
        <v>2166</v>
      </c>
      <c r="D222" s="1505" t="s">
        <v>307</v>
      </c>
      <c r="E222" s="1505"/>
      <c r="F222" s="1505"/>
      <c r="G222" s="1505"/>
      <c r="H222" s="1505"/>
      <c r="I222" s="1505"/>
      <c r="J222" s="1506">
        <v>480</v>
      </c>
      <c r="K222" s="1987">
        <f>'DGCT Cau'!$I$492</f>
        <v>47180</v>
      </c>
      <c r="L222" s="1507">
        <f t="shared" si="21"/>
        <v>22646400</v>
      </c>
      <c r="M222" s="1490"/>
    </row>
    <row r="223" spans="1:13" ht="18" customHeight="1">
      <c r="A223" s="87">
        <v>1</v>
      </c>
      <c r="B223" s="1955" t="str">
        <f>IF(A223&lt;&gt;0,"TH "&amp;COUNTA($A$7:A223),"")</f>
        <v>TH 35</v>
      </c>
      <c r="C223" s="1956" t="s">
        <v>5759</v>
      </c>
      <c r="D223" s="1957" t="s">
        <v>545</v>
      </c>
      <c r="E223" s="1957"/>
      <c r="F223" s="1957"/>
      <c r="G223" s="1957"/>
      <c r="H223" s="1957"/>
      <c r="I223" s="1957"/>
      <c r="J223" s="1958">
        <f>GiaDuThau!$D$176</f>
        <v>204.6</v>
      </c>
      <c r="K223" s="1959">
        <f>ROUND(SUM(L224:L226)/$J223,-2)</f>
        <v>2645500</v>
      </c>
      <c r="L223" s="1959">
        <f t="shared" si="20"/>
        <v>541269300</v>
      </c>
      <c r="M223" s="1490"/>
    </row>
    <row r="224" spans="1:13" ht="18" customHeight="1">
      <c r="B224" s="1589">
        <v>1</v>
      </c>
      <c r="C224" s="1512" t="s">
        <v>175</v>
      </c>
      <c r="D224" s="1505" t="s">
        <v>545</v>
      </c>
      <c r="E224" s="1505"/>
      <c r="F224" s="1505"/>
      <c r="G224" s="1505"/>
      <c r="H224" s="1505"/>
      <c r="I224" s="1505"/>
      <c r="J224" s="1506">
        <f>J223</f>
        <v>204.6</v>
      </c>
      <c r="K224" s="2025">
        <f>'DGCT Cau'!$I$1429</f>
        <v>2444236</v>
      </c>
      <c r="L224" s="1507">
        <f t="shared" si="20"/>
        <v>500090685.59999996</v>
      </c>
      <c r="M224" s="1490"/>
    </row>
    <row r="225" spans="1:13" ht="32.1" customHeight="1">
      <c r="B225" s="1589">
        <f>B224+1</f>
        <v>2</v>
      </c>
      <c r="C225" s="1512" t="s">
        <v>5686</v>
      </c>
      <c r="D225" s="1505" t="s">
        <v>545</v>
      </c>
      <c r="E225" s="1505"/>
      <c r="F225" s="1505"/>
      <c r="G225" s="1505"/>
      <c r="H225" s="1505"/>
      <c r="I225" s="1505"/>
      <c r="J225" s="1506">
        <f>J224*1.015</f>
        <v>207.66899999999998</v>
      </c>
      <c r="K225" s="2025">
        <f>'DGCT Cau'!$I$61</f>
        <v>165882</v>
      </c>
      <c r="L225" s="1507">
        <f t="shared" si="20"/>
        <v>34448549.057999998</v>
      </c>
      <c r="M225" s="1490"/>
    </row>
    <row r="226" spans="1:13" ht="18" customHeight="1">
      <c r="B226" s="1589">
        <f>B225+1</f>
        <v>3</v>
      </c>
      <c r="C226" s="1512" t="s">
        <v>119</v>
      </c>
      <c r="D226" s="1505" t="s">
        <v>547</v>
      </c>
      <c r="E226" s="1505"/>
      <c r="F226" s="1505"/>
      <c r="G226" s="1505"/>
      <c r="H226" s="1505"/>
      <c r="I226" s="1505"/>
      <c r="J226" s="1506">
        <v>0.37</v>
      </c>
      <c r="K226" s="2025">
        <f>'DGCT Cau'!$I$1580</f>
        <v>18215744</v>
      </c>
      <c r="L226" s="1507">
        <f t="shared" si="20"/>
        <v>6739825.2800000003</v>
      </c>
      <c r="M226" s="1490"/>
    </row>
    <row r="227" spans="1:13" ht="18" customHeight="1">
      <c r="A227" s="87">
        <v>1</v>
      </c>
      <c r="B227" s="1955" t="str">
        <f>IF(A227&lt;&gt;0,"TH "&amp;COUNTA($A$7:A227),"")</f>
        <v>TH 36</v>
      </c>
      <c r="C227" s="1956" t="s">
        <v>5713</v>
      </c>
      <c r="D227" s="1957" t="s">
        <v>557</v>
      </c>
      <c r="E227" s="1957"/>
      <c r="F227" s="1957"/>
      <c r="G227" s="1957"/>
      <c r="H227" s="1957"/>
      <c r="I227" s="1957"/>
      <c r="J227" s="1958">
        <f>GiaDuThau!$D$177</f>
        <v>6.38</v>
      </c>
      <c r="K227" s="2078">
        <f>ROUND(SUM(L228:L229)/$J227,-2)</f>
        <v>25849100</v>
      </c>
      <c r="L227" s="1959">
        <f t="shared" si="20"/>
        <v>164917258</v>
      </c>
      <c r="M227" s="1490"/>
    </row>
    <row r="228" spans="1:13" ht="18" customHeight="1">
      <c r="B228" s="1589">
        <v>1</v>
      </c>
      <c r="C228" s="1512" t="s">
        <v>4047</v>
      </c>
      <c r="D228" s="1505" t="s">
        <v>557</v>
      </c>
      <c r="E228" s="1505"/>
      <c r="F228" s="1505"/>
      <c r="G228" s="1505"/>
      <c r="H228" s="1505"/>
      <c r="I228" s="1505"/>
      <c r="J228" s="1506">
        <v>3.19</v>
      </c>
      <c r="K228" s="2025">
        <f>'DGCT Cau'!$I$1519</f>
        <v>26245378</v>
      </c>
      <c r="L228" s="1507">
        <f t="shared" si="20"/>
        <v>83722755.819999993</v>
      </c>
      <c r="M228" s="1490"/>
    </row>
    <row r="229" spans="1:13" ht="18" customHeight="1">
      <c r="B229" s="1589">
        <f>B228+1</f>
        <v>2</v>
      </c>
      <c r="C229" s="1512" t="s">
        <v>4048</v>
      </c>
      <c r="D229" s="1505" t="s">
        <v>557</v>
      </c>
      <c r="E229" s="1505"/>
      <c r="F229" s="1505"/>
      <c r="G229" s="1505"/>
      <c r="H229" s="1505"/>
      <c r="I229" s="1505"/>
      <c r="J229" s="1506">
        <v>3.19</v>
      </c>
      <c r="K229" s="2025">
        <f>'DGCT Cau'!$I$1539</f>
        <v>25452783</v>
      </c>
      <c r="L229" s="1507">
        <f t="shared" si="20"/>
        <v>81194377.769999996</v>
      </c>
      <c r="M229" s="1490"/>
    </row>
    <row r="230" spans="1:13" ht="18" customHeight="1">
      <c r="A230" s="87">
        <v>1</v>
      </c>
      <c r="B230" s="1955" t="str">
        <f>IF(A230&lt;&gt;0,"TH "&amp;COUNTA($A$7:A230),"")</f>
        <v>TH 37</v>
      </c>
      <c r="C230" s="1956" t="s">
        <v>4040</v>
      </c>
      <c r="D230" s="1957" t="s">
        <v>545</v>
      </c>
      <c r="E230" s="1957"/>
      <c r="F230" s="1957"/>
      <c r="G230" s="1957"/>
      <c r="H230" s="1957"/>
      <c r="I230" s="1957"/>
      <c r="J230" s="1958">
        <f>GiaDuThau!$D$183</f>
        <v>9.6</v>
      </c>
      <c r="K230" s="2078">
        <f>ROUND(SUM(L231:L232)/$J230,-2)</f>
        <v>2457400</v>
      </c>
      <c r="L230" s="1959">
        <f t="shared" si="20"/>
        <v>23591040</v>
      </c>
      <c r="M230" s="1490"/>
    </row>
    <row r="231" spans="1:13" ht="18" customHeight="1">
      <c r="B231" s="1589">
        <v>1</v>
      </c>
      <c r="C231" s="1512" t="s">
        <v>4040</v>
      </c>
      <c r="D231" s="1505" t="s">
        <v>545</v>
      </c>
      <c r="E231" s="1505"/>
      <c r="F231" s="1505"/>
      <c r="G231" s="1505"/>
      <c r="H231" s="1505"/>
      <c r="I231" s="1505"/>
      <c r="J231" s="1506">
        <f>J230</f>
        <v>9.6</v>
      </c>
      <c r="K231" s="2025">
        <f>'DGCT Cau'!$I$1596</f>
        <v>1966733</v>
      </c>
      <c r="L231" s="1507">
        <f t="shared" si="20"/>
        <v>18880636.800000001</v>
      </c>
      <c r="M231" s="1490"/>
    </row>
    <row r="232" spans="1:13" ht="18" customHeight="1">
      <c r="B232" s="1589">
        <f>B231+1</f>
        <v>2</v>
      </c>
      <c r="C232" s="1512" t="s">
        <v>187</v>
      </c>
      <c r="D232" s="1505" t="s">
        <v>547</v>
      </c>
      <c r="E232" s="1505"/>
      <c r="F232" s="1505"/>
      <c r="G232" s="1505"/>
      <c r="H232" s="1505"/>
      <c r="I232" s="1505"/>
      <c r="J232" s="1506">
        <v>0.42</v>
      </c>
      <c r="K232" s="2025">
        <f>'DGCT Cau'!$I$1631</f>
        <v>11215362</v>
      </c>
      <c r="L232" s="1507">
        <f t="shared" si="20"/>
        <v>4710452.04</v>
      </c>
      <c r="M232" s="1490"/>
    </row>
    <row r="233" spans="1:13" ht="18" customHeight="1">
      <c r="A233" s="87">
        <v>1</v>
      </c>
      <c r="B233" s="1955" t="str">
        <f>IF(A233&lt;&gt;0,"TH "&amp;COUNTA($A$7:A233),"")</f>
        <v>TH 38</v>
      </c>
      <c r="C233" s="1956" t="s">
        <v>5762</v>
      </c>
      <c r="D233" s="1957" t="s">
        <v>543</v>
      </c>
      <c r="E233" s="1957"/>
      <c r="F233" s="1957"/>
      <c r="G233" s="1957"/>
      <c r="H233" s="1957"/>
      <c r="I233" s="1957"/>
      <c r="J233" s="1958">
        <f>GiaDuThau!$D$187</f>
        <v>13.5</v>
      </c>
      <c r="K233" s="1959">
        <f>ROUND(SUM(L234:L240)/$J233,-2)</f>
        <v>117164700</v>
      </c>
      <c r="L233" s="1959">
        <f t="shared" si="20"/>
        <v>1581723450</v>
      </c>
      <c r="M233" s="1490"/>
    </row>
    <row r="234" spans="1:13" ht="18" customHeight="1">
      <c r="B234" s="1589">
        <v>1</v>
      </c>
      <c r="C234" s="1512" t="s">
        <v>3833</v>
      </c>
      <c r="D234" s="1505" t="s">
        <v>543</v>
      </c>
      <c r="E234" s="1505"/>
      <c r="F234" s="1505"/>
      <c r="G234" s="1505"/>
      <c r="H234" s="1505"/>
      <c r="I234" s="1505"/>
      <c r="J234" s="1506">
        <f>J233</f>
        <v>13.5</v>
      </c>
      <c r="K234" s="2025">
        <f>'DGCT Cau'!$I$1720</f>
        <v>101541700</v>
      </c>
      <c r="L234" s="1507">
        <f t="shared" si="20"/>
        <v>1370812950</v>
      </c>
      <c r="M234" s="1490"/>
    </row>
    <row r="235" spans="1:13" ht="18" customHeight="1">
      <c r="B235" s="1589">
        <f t="shared" ref="B235:B240" si="22">B234+1</f>
        <v>2</v>
      </c>
      <c r="C235" s="1512" t="s">
        <v>568</v>
      </c>
      <c r="D235" s="1505" t="s">
        <v>545</v>
      </c>
      <c r="E235" s="1505"/>
      <c r="F235" s="1505"/>
      <c r="G235" s="1505"/>
      <c r="H235" s="1505"/>
      <c r="I235" s="1505"/>
      <c r="J235" s="1506">
        <v>5.44</v>
      </c>
      <c r="K235" s="2025">
        <f>'DGCT Cau'!$I$194</f>
        <v>32506922</v>
      </c>
      <c r="L235" s="1507">
        <f t="shared" si="20"/>
        <v>176837655.68000001</v>
      </c>
      <c r="M235" s="1490"/>
    </row>
    <row r="236" spans="1:13" ht="18" customHeight="1">
      <c r="B236" s="1589">
        <f t="shared" si="22"/>
        <v>3</v>
      </c>
      <c r="C236" s="1512" t="s">
        <v>4048</v>
      </c>
      <c r="D236" s="1505" t="s">
        <v>557</v>
      </c>
      <c r="E236" s="1505"/>
      <c r="F236" s="1505"/>
      <c r="G236" s="1505"/>
      <c r="H236" s="1505"/>
      <c r="I236" s="1505"/>
      <c r="J236" s="1506">
        <v>1.3</v>
      </c>
      <c r="K236" s="2025">
        <f>'DGCT Cau'!$I$1539</f>
        <v>25452783</v>
      </c>
      <c r="L236" s="1507">
        <f t="shared" si="20"/>
        <v>33088617.900000002</v>
      </c>
      <c r="M236" s="1490"/>
    </row>
    <row r="237" spans="1:13" ht="18" customHeight="1">
      <c r="B237" s="1589">
        <f t="shared" si="22"/>
        <v>4</v>
      </c>
      <c r="C237" s="1512" t="s">
        <v>2062</v>
      </c>
      <c r="D237" s="1505" t="s">
        <v>557</v>
      </c>
      <c r="E237" s="1505"/>
      <c r="F237" s="1505"/>
      <c r="G237" s="1505"/>
      <c r="H237" s="1505"/>
      <c r="I237" s="1505"/>
      <c r="J237" s="1506">
        <v>0.02</v>
      </c>
      <c r="K237" s="2025">
        <f>'DGCT Cau'!$I$216</f>
        <v>33097556</v>
      </c>
      <c r="L237" s="1507">
        <f t="shared" si="20"/>
        <v>661951.12</v>
      </c>
      <c r="M237" s="1490"/>
    </row>
    <row r="238" spans="1:13" ht="18" customHeight="1">
      <c r="B238" s="1589">
        <f t="shared" si="22"/>
        <v>5</v>
      </c>
      <c r="C238" s="1512" t="s">
        <v>108</v>
      </c>
      <c r="D238" s="1505" t="s">
        <v>557</v>
      </c>
      <c r="E238" s="1505"/>
      <c r="F238" s="1505"/>
      <c r="G238" s="1505"/>
      <c r="H238" s="1505"/>
      <c r="I238" s="1505"/>
      <c r="J238" s="1506">
        <v>0.02</v>
      </c>
      <c r="K238" s="2025">
        <f>'DGCT Cau'!$I$233</f>
        <v>6008849</v>
      </c>
      <c r="L238" s="1507">
        <f t="shared" si="20"/>
        <v>120176.98</v>
      </c>
      <c r="M238" s="1490"/>
    </row>
    <row r="239" spans="1:13" ht="18" customHeight="1">
      <c r="B239" s="1589">
        <f t="shared" si="22"/>
        <v>6</v>
      </c>
      <c r="C239" s="1512" t="s">
        <v>74</v>
      </c>
      <c r="D239" s="1505" t="s">
        <v>546</v>
      </c>
      <c r="E239" s="1505"/>
      <c r="F239" s="1505"/>
      <c r="G239" s="1505"/>
      <c r="H239" s="1505"/>
      <c r="I239" s="1505"/>
      <c r="J239" s="1506">
        <v>0.24</v>
      </c>
      <c r="K239" s="2025">
        <f>'DGCT Cau'!$I$1736</f>
        <v>673500</v>
      </c>
      <c r="L239" s="1507">
        <f t="shared" si="20"/>
        <v>161640</v>
      </c>
      <c r="M239" s="1490"/>
    </row>
    <row r="240" spans="1:13" ht="18" customHeight="1">
      <c r="B240" s="1589">
        <f t="shared" si="22"/>
        <v>7</v>
      </c>
      <c r="C240" s="1512" t="s">
        <v>76</v>
      </c>
      <c r="D240" s="1505" t="s">
        <v>545</v>
      </c>
      <c r="E240" s="1505"/>
      <c r="F240" s="1505"/>
      <c r="G240" s="1505"/>
      <c r="H240" s="1505"/>
      <c r="I240" s="1505"/>
      <c r="J240" s="1506">
        <v>0.06</v>
      </c>
      <c r="K240" s="2025">
        <f>'DGCT Cau'!$I$1747</f>
        <v>672400</v>
      </c>
      <c r="L240" s="1507">
        <f t="shared" si="20"/>
        <v>40344</v>
      </c>
      <c r="M240" s="1490"/>
    </row>
    <row r="241" spans="1:13" ht="18" customHeight="1">
      <c r="A241" s="87">
        <v>1</v>
      </c>
      <c r="B241" s="1955" t="str">
        <f>IF(A241&lt;&gt;0,"TH "&amp;COUNTA($A$7:A241),"")</f>
        <v>TH 39</v>
      </c>
      <c r="C241" s="1956" t="s">
        <v>4024</v>
      </c>
      <c r="D241" s="1957" t="s">
        <v>545</v>
      </c>
      <c r="E241" s="1957"/>
      <c r="F241" s="1957"/>
      <c r="G241" s="1957"/>
      <c r="H241" s="1957"/>
      <c r="I241" s="1957"/>
      <c r="J241" s="1958">
        <f>GiaDuThau!$D$190</f>
        <v>72.75</v>
      </c>
      <c r="K241" s="2078">
        <f>ROUND(SUM(L242:L243)/$J241,-2)</f>
        <v>3866500</v>
      </c>
      <c r="L241" s="1959">
        <f t="shared" si="20"/>
        <v>281287875</v>
      </c>
      <c r="M241" s="1490"/>
    </row>
    <row r="242" spans="1:13" ht="18" customHeight="1">
      <c r="B242" s="1589">
        <v>1</v>
      </c>
      <c r="C242" s="1512" t="s">
        <v>4024</v>
      </c>
      <c r="D242" s="1505" t="s">
        <v>545</v>
      </c>
      <c r="E242" s="1505"/>
      <c r="F242" s="1505"/>
      <c r="G242" s="1505"/>
      <c r="H242" s="1505"/>
      <c r="I242" s="1505"/>
      <c r="J242" s="1506">
        <f>J241</f>
        <v>72.75</v>
      </c>
      <c r="K242" s="2025">
        <f>'DGCT Cau'!$I$1765</f>
        <v>2381900</v>
      </c>
      <c r="L242" s="1507">
        <f t="shared" si="20"/>
        <v>173283225</v>
      </c>
      <c r="M242" s="1490"/>
    </row>
    <row r="243" spans="1:13" ht="18" customHeight="1">
      <c r="B243" s="1589">
        <f>B242+1</f>
        <v>2</v>
      </c>
      <c r="C243" s="1512" t="s">
        <v>187</v>
      </c>
      <c r="D243" s="1505" t="s">
        <v>547</v>
      </c>
      <c r="E243" s="1505"/>
      <c r="F243" s="1505"/>
      <c r="G243" s="1505"/>
      <c r="H243" s="1505"/>
      <c r="I243" s="1505"/>
      <c r="J243" s="1506">
        <v>9.6300000000000008</v>
      </c>
      <c r="K243" s="2025">
        <f>'DGCT Cau'!$I$1631</f>
        <v>11215362</v>
      </c>
      <c r="L243" s="1507">
        <f t="shared" si="20"/>
        <v>108003936.06</v>
      </c>
      <c r="M243" s="1490"/>
    </row>
    <row r="244" spans="1:13" ht="18" customHeight="1">
      <c r="A244" s="87">
        <v>1</v>
      </c>
      <c r="B244" s="1955" t="str">
        <f>IF(A244&lt;&gt;0,"TH "&amp;COUNTA($A$7:A244),"")</f>
        <v>TH 40</v>
      </c>
      <c r="C244" s="1956" t="s">
        <v>5765</v>
      </c>
      <c r="D244" s="1957" t="s">
        <v>557</v>
      </c>
      <c r="E244" s="1957"/>
      <c r="F244" s="1957"/>
      <c r="G244" s="1957"/>
      <c r="H244" s="1957"/>
      <c r="I244" s="1957"/>
      <c r="J244" s="1958">
        <f>GiaDuThau!$D$191</f>
        <v>22.65</v>
      </c>
      <c r="K244" s="2078">
        <f>ROUND(SUM(L245:L246)/$J244,-2)</f>
        <v>26888800</v>
      </c>
      <c r="L244" s="1959">
        <f t="shared" si="20"/>
        <v>609031320</v>
      </c>
      <c r="M244" s="1490"/>
    </row>
    <row r="245" spans="1:13" ht="18" customHeight="1">
      <c r="B245" s="1589">
        <v>1</v>
      </c>
      <c r="C245" s="1512" t="s">
        <v>4063</v>
      </c>
      <c r="D245" s="1505" t="s">
        <v>557</v>
      </c>
      <c r="E245" s="1505"/>
      <c r="F245" s="1505"/>
      <c r="G245" s="1505"/>
      <c r="H245" s="1505"/>
      <c r="I245" s="1505"/>
      <c r="J245" s="1506">
        <v>6.57</v>
      </c>
      <c r="K245" s="2025">
        <f>'DGCT Cau'!$I$1799</f>
        <v>28266900</v>
      </c>
      <c r="L245" s="1507">
        <f t="shared" si="20"/>
        <v>185713533</v>
      </c>
      <c r="M245" s="1490"/>
    </row>
    <row r="246" spans="1:13" ht="18" customHeight="1">
      <c r="B246" s="1589">
        <f>B245+1</f>
        <v>2</v>
      </c>
      <c r="C246" s="1512" t="s">
        <v>4064</v>
      </c>
      <c r="D246" s="1505" t="s">
        <v>557</v>
      </c>
      <c r="E246" s="1505"/>
      <c r="F246" s="1505"/>
      <c r="G246" s="1505"/>
      <c r="H246" s="1505"/>
      <c r="I246" s="1505"/>
      <c r="J246" s="1506">
        <v>16.079999999999998</v>
      </c>
      <c r="K246" s="2025">
        <f>'DGCT Cau'!$I$1783</f>
        <v>26325700</v>
      </c>
      <c r="L246" s="1507">
        <f t="shared" ref="L246:L276" si="23">J246*K246</f>
        <v>423317255.99999994</v>
      </c>
      <c r="M246" s="1490"/>
    </row>
    <row r="247" spans="1:13" ht="31.5">
      <c r="A247" s="87">
        <v>1</v>
      </c>
      <c r="B247" s="1955" t="str">
        <f>IF(A247&lt;&gt;0,"TH "&amp;COUNTA($A$7:A247),"")</f>
        <v>TH 41</v>
      </c>
      <c r="C247" s="1956" t="s">
        <v>5917</v>
      </c>
      <c r="D247" s="1957" t="s">
        <v>5768</v>
      </c>
      <c r="E247" s="1957"/>
      <c r="F247" s="1957"/>
      <c r="G247" s="1957"/>
      <c r="H247" s="1957"/>
      <c r="I247" s="1957"/>
      <c r="J247" s="1958">
        <f>GiaDuThau!$D$195</f>
        <v>438.93</v>
      </c>
      <c r="K247" s="2078">
        <f>ROUND(SUM(L248:L252)/$J247,-2)</f>
        <v>2308800</v>
      </c>
      <c r="L247" s="1959">
        <f t="shared" si="23"/>
        <v>1013401584</v>
      </c>
      <c r="M247" s="1490"/>
    </row>
    <row r="248" spans="1:13" ht="18" customHeight="1">
      <c r="B248" s="1589">
        <v>1</v>
      </c>
      <c r="C248" s="1512" t="s">
        <v>585</v>
      </c>
      <c r="D248" s="1505" t="s">
        <v>557</v>
      </c>
      <c r="E248" s="1505"/>
      <c r="F248" s="1505"/>
      <c r="G248" s="1505"/>
      <c r="H248" s="1505"/>
      <c r="I248" s="1505"/>
      <c r="J248" s="1506">
        <v>35.1</v>
      </c>
      <c r="K248" s="2025">
        <f>'DGCT Cau'!$I$1821</f>
        <v>24598300</v>
      </c>
      <c r="L248" s="1507">
        <f t="shared" si="23"/>
        <v>863400330</v>
      </c>
      <c r="M248" s="1490"/>
    </row>
    <row r="249" spans="1:13" ht="18" customHeight="1">
      <c r="B249" s="1589">
        <v>2</v>
      </c>
      <c r="C249" s="1512" t="s">
        <v>2069</v>
      </c>
      <c r="D249" s="1505" t="s">
        <v>307</v>
      </c>
      <c r="E249" s="1505"/>
      <c r="F249" s="1505"/>
      <c r="G249" s="1505"/>
      <c r="H249" s="1505"/>
      <c r="I249" s="1505"/>
      <c r="J249" s="1506">
        <v>888</v>
      </c>
      <c r="K249" s="2025">
        <f>'DGCT Cau'!$I$2780</f>
        <v>4400</v>
      </c>
      <c r="L249" s="1507">
        <f t="shared" si="23"/>
        <v>3907200</v>
      </c>
      <c r="M249" s="1490"/>
    </row>
    <row r="250" spans="1:13" ht="18" customHeight="1">
      <c r="B250" s="1589">
        <v>2</v>
      </c>
      <c r="C250" s="1512" t="s">
        <v>107</v>
      </c>
      <c r="D250" s="1505" t="s">
        <v>545</v>
      </c>
      <c r="E250" s="1505"/>
      <c r="F250" s="1505"/>
      <c r="G250" s="1505"/>
      <c r="H250" s="1505"/>
      <c r="I250" s="1505"/>
      <c r="J250" s="1506">
        <v>0.05</v>
      </c>
      <c r="K250" s="2025">
        <f>'DGCT Cau'!$I$2792</f>
        <v>626431700</v>
      </c>
      <c r="L250" s="1507">
        <f t="shared" si="23"/>
        <v>31321585</v>
      </c>
      <c r="M250" s="1490"/>
    </row>
    <row r="251" spans="1:13" ht="18" customHeight="1">
      <c r="B251" s="1589">
        <v>2</v>
      </c>
      <c r="C251" s="1512" t="s">
        <v>3548</v>
      </c>
      <c r="D251" s="1505" t="s">
        <v>3540</v>
      </c>
      <c r="E251" s="1505"/>
      <c r="F251" s="1505"/>
      <c r="G251" s="1505"/>
      <c r="H251" s="1505"/>
      <c r="I251" s="1505"/>
      <c r="J251" s="1506">
        <v>888.46</v>
      </c>
      <c r="K251" s="2025">
        <f>'DGCT Cau'!$I$1884</f>
        <v>21200</v>
      </c>
      <c r="L251" s="1507">
        <f t="shared" si="23"/>
        <v>18835352</v>
      </c>
      <c r="M251" s="1490"/>
    </row>
    <row r="252" spans="1:13" ht="18" customHeight="1">
      <c r="B252" s="1589">
        <v>2</v>
      </c>
      <c r="C252" s="1512" t="s">
        <v>3976</v>
      </c>
      <c r="D252" s="1505" t="s">
        <v>557</v>
      </c>
      <c r="E252" s="1505"/>
      <c r="F252" s="1505"/>
      <c r="G252" s="1505"/>
      <c r="H252" s="1505"/>
      <c r="I252" s="1505"/>
      <c r="J252" s="1506">
        <v>35.1</v>
      </c>
      <c r="K252" s="2025">
        <f>'DGCT Cau'!$I$3332</f>
        <v>2733600</v>
      </c>
      <c r="L252" s="1507">
        <f t="shared" si="23"/>
        <v>95949360</v>
      </c>
      <c r="M252" s="1490"/>
    </row>
    <row r="253" spans="1:13" ht="18" customHeight="1">
      <c r="A253" s="87">
        <v>1</v>
      </c>
      <c r="B253" s="1955" t="str">
        <f>IF(A253&lt;&gt;0,"TH "&amp;COUNTA($A$7:A253),"")</f>
        <v>TH 42</v>
      </c>
      <c r="C253" s="1956" t="s">
        <v>5769</v>
      </c>
      <c r="D253" s="1957" t="s">
        <v>567</v>
      </c>
      <c r="E253" s="1957"/>
      <c r="F253" s="1957"/>
      <c r="G253" s="1957"/>
      <c r="H253" s="1957"/>
      <c r="I253" s="1957"/>
      <c r="J253" s="1958">
        <f>GiaDuThau!$D$198</f>
        <v>44</v>
      </c>
      <c r="K253" s="2078">
        <f>ROUND(SUM(L254:L255)/$J253,-2)</f>
        <v>284400</v>
      </c>
      <c r="L253" s="1959">
        <f t="shared" si="23"/>
        <v>12513600</v>
      </c>
      <c r="M253" s="1490"/>
    </row>
    <row r="254" spans="1:13" ht="18" customHeight="1">
      <c r="B254" s="1589">
        <v>1</v>
      </c>
      <c r="C254" s="1512" t="s">
        <v>498</v>
      </c>
      <c r="D254" s="1505" t="s">
        <v>558</v>
      </c>
      <c r="E254" s="1505"/>
      <c r="F254" s="1505"/>
      <c r="G254" s="1505"/>
      <c r="H254" s="1505"/>
      <c r="I254" s="1505"/>
      <c r="J254" s="1506">
        <v>272.8</v>
      </c>
      <c r="K254" s="2025">
        <f>'DGCT Cau'!$I$2804</f>
        <v>38000</v>
      </c>
      <c r="L254" s="1507">
        <f t="shared" si="23"/>
        <v>10366400</v>
      </c>
      <c r="M254" s="1490"/>
    </row>
    <row r="255" spans="1:13" ht="18" customHeight="1">
      <c r="B255" s="1589">
        <f>B254+1</f>
        <v>2</v>
      </c>
      <c r="C255" s="1512" t="s">
        <v>2199</v>
      </c>
      <c r="D255" s="1505" t="s">
        <v>567</v>
      </c>
      <c r="E255" s="1505"/>
      <c r="F255" s="1505"/>
      <c r="G255" s="1505"/>
      <c r="H255" s="1505"/>
      <c r="I255" s="1505"/>
      <c r="J255" s="1506">
        <f>J253</f>
        <v>44</v>
      </c>
      <c r="K255" s="2025">
        <f>'DGCT Cau'!$I$1911</f>
        <v>48800</v>
      </c>
      <c r="L255" s="1507">
        <f t="shared" si="23"/>
        <v>2147200</v>
      </c>
      <c r="M255" s="1490"/>
    </row>
    <row r="256" spans="1:13" ht="18" customHeight="1">
      <c r="A256" s="87">
        <v>1</v>
      </c>
      <c r="B256" s="1955" t="str">
        <f>IF(A256&lt;&gt;0,"TH "&amp;COUNTA($A$7:A256),"")</f>
        <v>TH 43</v>
      </c>
      <c r="C256" s="1956" t="s">
        <v>5770</v>
      </c>
      <c r="D256" s="1957" t="s">
        <v>4915</v>
      </c>
      <c r="E256" s="1957"/>
      <c r="F256" s="1957"/>
      <c r="G256" s="1957"/>
      <c r="H256" s="1957"/>
      <c r="I256" s="1957"/>
      <c r="J256" s="1958">
        <f>GiaDuThau!$D$200</f>
        <v>12</v>
      </c>
      <c r="K256" s="2078">
        <f>ROUND(SUM(L257:L264)/$J256,-2)</f>
        <v>11950000</v>
      </c>
      <c r="L256" s="1959">
        <f t="shared" si="23"/>
        <v>143400000</v>
      </c>
      <c r="M256" s="1490"/>
    </row>
    <row r="257" spans="1:13" ht="18" customHeight="1">
      <c r="B257" s="1589">
        <v>1</v>
      </c>
      <c r="C257" s="1512" t="s">
        <v>667</v>
      </c>
      <c r="D257" s="1505" t="s">
        <v>543</v>
      </c>
      <c r="E257" s="1505"/>
      <c r="F257" s="1505"/>
      <c r="G257" s="1505"/>
      <c r="H257" s="1505"/>
      <c r="I257" s="1505"/>
      <c r="J257" s="1506">
        <v>476.5</v>
      </c>
      <c r="K257" s="2025">
        <f>'DGCT Cau'!$I$1942</f>
        <v>172800</v>
      </c>
      <c r="L257" s="1507">
        <f t="shared" si="23"/>
        <v>82339200</v>
      </c>
      <c r="M257" s="1490"/>
    </row>
    <row r="258" spans="1:13" ht="18" customHeight="1">
      <c r="B258" s="1589">
        <f>B257+1</f>
        <v>2</v>
      </c>
      <c r="C258" s="1512" t="s">
        <v>3420</v>
      </c>
      <c r="D258" s="1505" t="s">
        <v>307</v>
      </c>
      <c r="E258" s="1505"/>
      <c r="F258" s="1505"/>
      <c r="G258" s="1505"/>
      <c r="H258" s="1505"/>
      <c r="I258" s="1505"/>
      <c r="J258" s="1506">
        <v>48</v>
      </c>
      <c r="K258" s="2025">
        <f>'DGCT Cau'!$I$3044</f>
        <v>12700</v>
      </c>
      <c r="L258" s="1507">
        <f t="shared" si="23"/>
        <v>609600</v>
      </c>
      <c r="M258" s="1490"/>
    </row>
    <row r="259" spans="1:13" ht="18" customHeight="1">
      <c r="B259" s="1589">
        <f t="shared" ref="B259:B264" si="24">B258+1</f>
        <v>3</v>
      </c>
      <c r="C259" s="1512" t="s">
        <v>101</v>
      </c>
      <c r="D259" s="1505" t="s">
        <v>545</v>
      </c>
      <c r="E259" s="1505"/>
      <c r="F259" s="1505"/>
      <c r="G259" s="1505"/>
      <c r="H259" s="1505"/>
      <c r="I259" s="1505"/>
      <c r="J259" s="1506">
        <v>1.1499999999999999</v>
      </c>
      <c r="K259" s="2025">
        <f>'DGCT Cau'!$I$3199</f>
        <v>2645000</v>
      </c>
      <c r="L259" s="1507">
        <f t="shared" si="23"/>
        <v>3041749.9999999995</v>
      </c>
      <c r="M259" s="1490"/>
    </row>
    <row r="260" spans="1:13" ht="18" customHeight="1">
      <c r="B260" s="1589">
        <f t="shared" si="24"/>
        <v>4</v>
      </c>
      <c r="C260" s="1512" t="s">
        <v>3623</v>
      </c>
      <c r="D260" s="1505" t="s">
        <v>557</v>
      </c>
      <c r="E260" s="1505"/>
      <c r="F260" s="1505"/>
      <c r="G260" s="1505"/>
      <c r="H260" s="1505"/>
      <c r="I260" s="1505"/>
      <c r="J260" s="1506">
        <v>0.6</v>
      </c>
      <c r="K260" s="2025">
        <f>'DGCT Cau'!$I$1519</f>
        <v>26245378</v>
      </c>
      <c r="L260" s="1507">
        <f t="shared" si="23"/>
        <v>15747226.799999999</v>
      </c>
      <c r="M260" s="1490"/>
    </row>
    <row r="261" spans="1:13" ht="18" customHeight="1">
      <c r="B261" s="1589">
        <f t="shared" si="24"/>
        <v>5</v>
      </c>
      <c r="C261" s="1512" t="s">
        <v>3624</v>
      </c>
      <c r="D261" s="1505" t="s">
        <v>557</v>
      </c>
      <c r="E261" s="1505"/>
      <c r="F261" s="1505"/>
      <c r="G261" s="1505"/>
      <c r="H261" s="1505"/>
      <c r="I261" s="1505"/>
      <c r="J261" s="1506">
        <v>0.65</v>
      </c>
      <c r="K261" s="2025">
        <f>'DGCT Cau'!$I$1539</f>
        <v>25452783</v>
      </c>
      <c r="L261" s="1507">
        <f t="shared" si="23"/>
        <v>16544308.950000001</v>
      </c>
      <c r="M261" s="1490"/>
    </row>
    <row r="262" spans="1:13" ht="18" customHeight="1">
      <c r="B262" s="1589">
        <f t="shared" si="24"/>
        <v>6</v>
      </c>
      <c r="C262" s="1512" t="s">
        <v>2062</v>
      </c>
      <c r="D262" s="1505" t="s">
        <v>557</v>
      </c>
      <c r="E262" s="1505"/>
      <c r="F262" s="1505"/>
      <c r="G262" s="1505"/>
      <c r="H262" s="1505"/>
      <c r="I262" s="1505"/>
      <c r="J262" s="1506">
        <v>0.7</v>
      </c>
      <c r="K262" s="2025">
        <f>'DGCT Cau'!$I$216</f>
        <v>33097556</v>
      </c>
      <c r="L262" s="1507">
        <f t="shared" si="23"/>
        <v>23168289.199999999</v>
      </c>
      <c r="M262" s="1490"/>
    </row>
    <row r="263" spans="1:13" ht="18" customHeight="1">
      <c r="B263" s="1589">
        <f t="shared" si="24"/>
        <v>7</v>
      </c>
      <c r="C263" s="1512" t="s">
        <v>3976</v>
      </c>
      <c r="D263" s="1505" t="s">
        <v>557</v>
      </c>
      <c r="E263" s="1505"/>
      <c r="F263" s="1505"/>
      <c r="G263" s="1505"/>
      <c r="H263" s="1505"/>
      <c r="I263" s="1505"/>
      <c r="J263" s="1506">
        <v>0.7</v>
      </c>
      <c r="K263" s="2025">
        <f>'DGCT Cau'!$I$3332</f>
        <v>2733600</v>
      </c>
      <c r="L263" s="1507">
        <f t="shared" si="23"/>
        <v>1913519.9999999998</v>
      </c>
      <c r="M263" s="1490"/>
    </row>
    <row r="264" spans="1:13" ht="18" customHeight="1">
      <c r="B264" s="1589">
        <f t="shared" si="24"/>
        <v>8</v>
      </c>
      <c r="C264" s="1512" t="s">
        <v>3421</v>
      </c>
      <c r="D264" s="1505" t="s">
        <v>307</v>
      </c>
      <c r="E264" s="1505"/>
      <c r="F264" s="1505"/>
      <c r="G264" s="1505"/>
      <c r="H264" s="1505"/>
      <c r="I264" s="1505"/>
      <c r="J264" s="1506">
        <v>24</v>
      </c>
      <c r="K264" s="2025">
        <f>'DGCT Cau'!$I$3056</f>
        <v>1500</v>
      </c>
      <c r="L264" s="1507">
        <f t="shared" si="23"/>
        <v>36000</v>
      </c>
      <c r="M264" s="1490"/>
    </row>
    <row r="265" spans="1:13" ht="18" customHeight="1">
      <c r="A265" s="87">
        <v>1</v>
      </c>
      <c r="B265" s="1955" t="str">
        <f>IF(A265&lt;&gt;0,"TH "&amp;COUNTA($A$7:A265),"")</f>
        <v>TH 44</v>
      </c>
      <c r="C265" s="1956" t="s">
        <v>4025</v>
      </c>
      <c r="D265" s="1957" t="s">
        <v>545</v>
      </c>
      <c r="E265" s="1957"/>
      <c r="F265" s="1957"/>
      <c r="G265" s="1957"/>
      <c r="H265" s="1957"/>
      <c r="I265" s="1957"/>
      <c r="J265" s="1958">
        <f>GiaDuThau!$D$202</f>
        <v>150</v>
      </c>
      <c r="K265" s="1959">
        <f>ROUND(SUM(L266:L268)/$J265,-2)</f>
        <v>4050100</v>
      </c>
      <c r="L265" s="1959">
        <f t="shared" si="23"/>
        <v>607515000</v>
      </c>
      <c r="M265" s="1490"/>
    </row>
    <row r="266" spans="1:13" ht="18" customHeight="1">
      <c r="B266" s="1589">
        <v>1</v>
      </c>
      <c r="C266" s="1512" t="s">
        <v>4025</v>
      </c>
      <c r="D266" s="1505" t="s">
        <v>545</v>
      </c>
      <c r="E266" s="1505"/>
      <c r="F266" s="1505"/>
      <c r="G266" s="1505"/>
      <c r="H266" s="1505"/>
      <c r="I266" s="1505"/>
      <c r="J266" s="1506">
        <f>J265</f>
        <v>150</v>
      </c>
      <c r="K266" s="2025">
        <f>'DGCT Cau'!$I$1960</f>
        <v>2396900</v>
      </c>
      <c r="L266" s="1507">
        <f t="shared" si="23"/>
        <v>359535000</v>
      </c>
      <c r="M266" s="1490"/>
    </row>
    <row r="267" spans="1:13" ht="32.1" customHeight="1">
      <c r="B267" s="1589">
        <f>B266+1</f>
        <v>2</v>
      </c>
      <c r="C267" s="1512" t="s">
        <v>5686</v>
      </c>
      <c r="D267" s="1505" t="s">
        <v>545</v>
      </c>
      <c r="E267" s="1505"/>
      <c r="F267" s="1505"/>
      <c r="G267" s="1505"/>
      <c r="H267" s="1505"/>
      <c r="I267" s="1505"/>
      <c r="J267" s="1506">
        <f>J266*1.015</f>
        <v>152.24999999999997</v>
      </c>
      <c r="K267" s="2025">
        <f>'DGCT Cau'!$I$61</f>
        <v>165882</v>
      </c>
      <c r="L267" s="1507">
        <f t="shared" si="23"/>
        <v>25255534.499999996</v>
      </c>
      <c r="M267" s="1490"/>
    </row>
    <row r="268" spans="1:13" ht="18" customHeight="1">
      <c r="B268" s="1589">
        <f>B267+1</f>
        <v>3</v>
      </c>
      <c r="C268" s="1512" t="s">
        <v>180</v>
      </c>
      <c r="D268" s="1505" t="s">
        <v>547</v>
      </c>
      <c r="E268" s="1505"/>
      <c r="F268" s="1505"/>
      <c r="G268" s="1505"/>
      <c r="H268" s="1505"/>
      <c r="I268" s="1505"/>
      <c r="J268" s="1506">
        <v>11.78</v>
      </c>
      <c r="K268" s="2025">
        <f>'DGCT Cau'!$I$1502</f>
        <v>18907184</v>
      </c>
      <c r="L268" s="1507">
        <f t="shared" si="23"/>
        <v>222726627.51999998</v>
      </c>
      <c r="M268" s="1490"/>
    </row>
    <row r="269" spans="1:13" ht="18" customHeight="1">
      <c r="A269" s="87">
        <v>1</v>
      </c>
      <c r="B269" s="1955" t="str">
        <f>IF(A269&lt;&gt;0,"TH "&amp;COUNTA($A$7:A269),"")</f>
        <v>TH 45</v>
      </c>
      <c r="C269" s="1956" t="s">
        <v>5771</v>
      </c>
      <c r="D269" s="1957" t="s">
        <v>557</v>
      </c>
      <c r="E269" s="1957"/>
      <c r="F269" s="1957"/>
      <c r="G269" s="1957"/>
      <c r="H269" s="1957"/>
      <c r="I269" s="1957"/>
      <c r="J269" s="1958">
        <f>GiaDuThau!$D$203</f>
        <v>45.15</v>
      </c>
      <c r="K269" s="1959">
        <f>ROUND(SUM(L270:L271)/$J269,-2)</f>
        <v>25689500</v>
      </c>
      <c r="L269" s="1959">
        <f t="shared" si="23"/>
        <v>1159880925</v>
      </c>
      <c r="M269" s="1490"/>
    </row>
    <row r="270" spans="1:13" ht="18" customHeight="1">
      <c r="B270" s="1589">
        <v>1</v>
      </c>
      <c r="C270" s="1512" t="s">
        <v>4060</v>
      </c>
      <c r="D270" s="1505" t="s">
        <v>557</v>
      </c>
      <c r="E270" s="1505"/>
      <c r="F270" s="1505"/>
      <c r="G270" s="1505"/>
      <c r="H270" s="1505"/>
      <c r="I270" s="1505"/>
      <c r="J270" s="1506">
        <v>14.9</v>
      </c>
      <c r="K270" s="1507">
        <f>'DGCT Cau'!$I$1463</f>
        <v>26713751</v>
      </c>
      <c r="L270" s="1507">
        <f t="shared" si="23"/>
        <v>398034889.90000004</v>
      </c>
      <c r="M270" s="1490"/>
    </row>
    <row r="271" spans="1:13" ht="18" customHeight="1">
      <c r="B271" s="1589">
        <f>B270+1</f>
        <v>2</v>
      </c>
      <c r="C271" s="1512" t="s">
        <v>4061</v>
      </c>
      <c r="D271" s="1505" t="s">
        <v>557</v>
      </c>
      <c r="E271" s="1505"/>
      <c r="F271" s="1505"/>
      <c r="G271" s="1505"/>
      <c r="H271" s="1505"/>
      <c r="I271" s="1505"/>
      <c r="J271" s="1506">
        <v>30.25</v>
      </c>
      <c r="K271" s="1507">
        <f>'DGCT Cau'!$I$1447</f>
        <v>25184983</v>
      </c>
      <c r="L271" s="1507">
        <f t="shared" si="23"/>
        <v>761845735.75</v>
      </c>
      <c r="M271" s="1490"/>
    </row>
    <row r="272" spans="1:13" ht="18" customHeight="1">
      <c r="A272" s="87">
        <v>1</v>
      </c>
      <c r="B272" s="1955" t="str">
        <f>IF(A272&lt;&gt;0,"TH "&amp;COUNTA($A$7:A272),"")</f>
        <v>TH 46</v>
      </c>
      <c r="C272" s="1956" t="s">
        <v>2140</v>
      </c>
      <c r="D272" s="1957" t="s">
        <v>548</v>
      </c>
      <c r="E272" s="1957"/>
      <c r="F272" s="1957"/>
      <c r="G272" s="1957"/>
      <c r="H272" s="1957"/>
      <c r="I272" s="1957"/>
      <c r="J272" s="1958">
        <f>GiaDuThau!$D$206</f>
        <v>1698</v>
      </c>
      <c r="K272" s="1959">
        <f>ROUND(SUM(L273:L275)/$J272,-2)</f>
        <v>237300</v>
      </c>
      <c r="L272" s="1959">
        <f t="shared" si="23"/>
        <v>402935400</v>
      </c>
      <c r="M272" s="1490"/>
    </row>
    <row r="273" spans="1:13" ht="18" customHeight="1">
      <c r="B273" s="1589">
        <v>1</v>
      </c>
      <c r="C273" s="1512" t="s">
        <v>2140</v>
      </c>
      <c r="D273" s="1505" t="s">
        <v>548</v>
      </c>
      <c r="E273" s="1505"/>
      <c r="F273" s="1505"/>
      <c r="G273" s="1505"/>
      <c r="H273" s="1505"/>
      <c r="I273" s="1505"/>
      <c r="J273" s="1506">
        <f>J272</f>
        <v>1698</v>
      </c>
      <c r="K273" s="1507">
        <f>'DGCT Cau'!$I$2014</f>
        <v>11200</v>
      </c>
      <c r="L273" s="1507">
        <f t="shared" si="23"/>
        <v>19017600</v>
      </c>
      <c r="M273" s="1490"/>
    </row>
    <row r="274" spans="1:13" ht="18" customHeight="1">
      <c r="B274" s="1589">
        <f>B273+1</f>
        <v>2</v>
      </c>
      <c r="C274" s="1512" t="s">
        <v>5693</v>
      </c>
      <c r="D274" s="1505" t="s">
        <v>557</v>
      </c>
      <c r="E274" s="1505"/>
      <c r="F274" s="1505"/>
      <c r="G274" s="1505"/>
      <c r="H274" s="1505"/>
      <c r="I274" s="1505"/>
      <c r="J274" s="1506">
        <f>J273*12.12/100</f>
        <v>205.79759999999999</v>
      </c>
      <c r="K274" s="1507">
        <f>'DGCT Cau'!$I$1986</f>
        <v>1828200</v>
      </c>
      <c r="L274" s="1507">
        <f t="shared" si="23"/>
        <v>376239172.31999999</v>
      </c>
      <c r="M274" s="1490"/>
    </row>
    <row r="275" spans="1:13" ht="18" customHeight="1">
      <c r="B275" s="1589">
        <f>B274+1</f>
        <v>3</v>
      </c>
      <c r="C275" s="1512" t="s">
        <v>5622</v>
      </c>
      <c r="D275" s="1505" t="s">
        <v>557</v>
      </c>
      <c r="E275" s="1505"/>
      <c r="F275" s="1505"/>
      <c r="G275" s="1505"/>
      <c r="H275" s="1505"/>
      <c r="I275" s="1505"/>
      <c r="J275" s="1506">
        <f>J274</f>
        <v>205.79759999999999</v>
      </c>
      <c r="K275" s="1507">
        <f>'DGCT Cau'!$I$1998</f>
        <v>37500</v>
      </c>
      <c r="L275" s="1507">
        <f t="shared" si="23"/>
        <v>7717410</v>
      </c>
      <c r="M275" s="1490"/>
    </row>
    <row r="276" spans="1:13" ht="18" customHeight="1">
      <c r="A276" s="87">
        <v>1</v>
      </c>
      <c r="B276" s="1955" t="str">
        <f>IF(A276&lt;&gt;0,"TH "&amp;COUNTA($A$7:A276),"")</f>
        <v>TH 47</v>
      </c>
      <c r="C276" s="1956" t="s">
        <v>5773</v>
      </c>
      <c r="D276" s="1957" t="s">
        <v>567</v>
      </c>
      <c r="E276" s="1957"/>
      <c r="F276" s="1957"/>
      <c r="G276" s="1957"/>
      <c r="H276" s="1957"/>
      <c r="I276" s="1957"/>
      <c r="J276" s="1958">
        <f>GiaDuThau!$D$209</f>
        <v>11</v>
      </c>
      <c r="K276" s="1959">
        <f>ROUND(SUM(L277:L288)/$J276,-2)</f>
        <v>5847000</v>
      </c>
      <c r="L276" s="1959">
        <f t="shared" si="23"/>
        <v>64317000</v>
      </c>
      <c r="M276" s="1490"/>
    </row>
    <row r="277" spans="1:13" ht="47.25">
      <c r="B277" s="1589">
        <v>1</v>
      </c>
      <c r="C277" s="1512" t="s">
        <v>5694</v>
      </c>
      <c r="D277" s="1505" t="s">
        <v>548</v>
      </c>
      <c r="E277" s="1505"/>
      <c r="F277" s="1505"/>
      <c r="G277" s="1505"/>
      <c r="H277" s="1505"/>
      <c r="I277" s="1505"/>
      <c r="J277" s="1506">
        <v>16.48</v>
      </c>
      <c r="K277" s="1507">
        <f>'DGCT Cau'!$I$2056</f>
        <v>1987500</v>
      </c>
      <c r="L277" s="1507">
        <f t="shared" ref="L277:L305" si="25">J277*K277</f>
        <v>32754000</v>
      </c>
      <c r="M277" s="1490"/>
    </row>
    <row r="278" spans="1:13" ht="18" customHeight="1">
      <c r="B278" s="1589">
        <f>B277+1</f>
        <v>2</v>
      </c>
      <c r="C278" s="1512" t="s">
        <v>607</v>
      </c>
      <c r="D278" s="1505" t="s">
        <v>567</v>
      </c>
      <c r="E278" s="1505"/>
      <c r="F278" s="1505"/>
      <c r="G278" s="1505"/>
      <c r="H278" s="1505"/>
      <c r="I278" s="1505"/>
      <c r="J278" s="1506">
        <f>J276</f>
        <v>11</v>
      </c>
      <c r="K278" s="1507">
        <f>'DGCT Cau'!$I$2070</f>
        <v>775100</v>
      </c>
      <c r="L278" s="1507">
        <f t="shared" si="25"/>
        <v>8526100</v>
      </c>
      <c r="M278" s="1490"/>
    </row>
    <row r="279" spans="1:13" ht="18" customHeight="1">
      <c r="B279" s="1589"/>
      <c r="C279" s="1514" t="s">
        <v>3916</v>
      </c>
      <c r="D279" s="1505"/>
      <c r="E279" s="1505"/>
      <c r="F279" s="1505"/>
      <c r="G279" s="1505"/>
      <c r="H279" s="1505"/>
      <c r="I279" s="1505"/>
      <c r="J279" s="1506"/>
      <c r="K279" s="1507"/>
      <c r="L279" s="1507">
        <f t="shared" si="25"/>
        <v>0</v>
      </c>
      <c r="M279" s="1490"/>
    </row>
    <row r="280" spans="1:13" ht="18" customHeight="1">
      <c r="B280" s="1589">
        <f>B278+1</f>
        <v>3</v>
      </c>
      <c r="C280" s="1512" t="s">
        <v>371</v>
      </c>
      <c r="D280" s="1505" t="s">
        <v>557</v>
      </c>
      <c r="E280" s="1505"/>
      <c r="F280" s="1505"/>
      <c r="G280" s="1505"/>
      <c r="H280" s="1505"/>
      <c r="I280" s="1505"/>
      <c r="J280" s="1506">
        <v>0.03</v>
      </c>
      <c r="K280" s="1507">
        <f>'DGCT Cau'!$I$3215</f>
        <v>25255400</v>
      </c>
      <c r="L280" s="1507">
        <f t="shared" si="25"/>
        <v>757662</v>
      </c>
      <c r="M280" s="1490"/>
    </row>
    <row r="281" spans="1:13" ht="18" customHeight="1">
      <c r="B281" s="1589">
        <f>B280+1</f>
        <v>4</v>
      </c>
      <c r="C281" s="1512" t="s">
        <v>4032</v>
      </c>
      <c r="D281" s="1505" t="s">
        <v>545</v>
      </c>
      <c r="E281" s="1505"/>
      <c r="F281" s="1505"/>
      <c r="G281" s="1505"/>
      <c r="H281" s="1505"/>
      <c r="I281" s="1505"/>
      <c r="J281" s="1506">
        <v>1.68</v>
      </c>
      <c r="K281" s="1507">
        <f>'DGCT Cau'!$I$2191</f>
        <v>1647100</v>
      </c>
      <c r="L281" s="1507">
        <f t="shared" si="25"/>
        <v>2767128</v>
      </c>
      <c r="M281" s="1490"/>
    </row>
    <row r="282" spans="1:13" ht="18" customHeight="1">
      <c r="B282" s="1589">
        <f t="shared" ref="B282:B288" si="26">B281+1</f>
        <v>5</v>
      </c>
      <c r="C282" s="1512" t="s">
        <v>625</v>
      </c>
      <c r="D282" s="1505" t="s">
        <v>547</v>
      </c>
      <c r="E282" s="1505"/>
      <c r="F282" s="1505"/>
      <c r="G282" s="1505"/>
      <c r="H282" s="1505"/>
      <c r="I282" s="1505"/>
      <c r="J282" s="1506">
        <v>0.13</v>
      </c>
      <c r="K282" s="1507">
        <f>'DGCT Cau'!$I$1580</f>
        <v>18215744</v>
      </c>
      <c r="L282" s="1507">
        <f t="shared" si="25"/>
        <v>2368046.7200000002</v>
      </c>
      <c r="M282" s="1490"/>
    </row>
    <row r="283" spans="1:13" ht="18" customHeight="1">
      <c r="B283" s="1589">
        <f t="shared" si="26"/>
        <v>6</v>
      </c>
      <c r="C283" s="1512" t="s">
        <v>4027</v>
      </c>
      <c r="D283" s="1505" t="s">
        <v>545</v>
      </c>
      <c r="E283" s="1505"/>
      <c r="F283" s="1505"/>
      <c r="G283" s="1505"/>
      <c r="H283" s="1505"/>
      <c r="I283" s="1505"/>
      <c r="J283" s="1506">
        <v>0.28999999999999998</v>
      </c>
      <c r="K283" s="1507">
        <f>'DGCT Cau'!$I$3179</f>
        <v>1407200</v>
      </c>
      <c r="L283" s="1507">
        <f t="shared" si="25"/>
        <v>408088</v>
      </c>
      <c r="M283" s="1490"/>
    </row>
    <row r="284" spans="1:13" ht="31.5">
      <c r="B284" s="1589">
        <f t="shared" si="26"/>
        <v>7</v>
      </c>
      <c r="C284" s="1512" t="s">
        <v>3926</v>
      </c>
      <c r="D284" s="1505" t="s">
        <v>567</v>
      </c>
      <c r="E284" s="1505"/>
      <c r="F284" s="1505"/>
      <c r="G284" s="1505"/>
      <c r="H284" s="1505"/>
      <c r="I284" s="1505"/>
      <c r="J284" s="1506">
        <v>2</v>
      </c>
      <c r="K284" s="1507">
        <f>'DGCT Cau'!$I$2089</f>
        <v>5996200</v>
      </c>
      <c r="L284" s="1507">
        <f t="shared" si="25"/>
        <v>11992400</v>
      </c>
      <c r="M284" s="1490"/>
    </row>
    <row r="285" spans="1:13" ht="18" customHeight="1">
      <c r="B285" s="1589">
        <f t="shared" si="26"/>
        <v>8</v>
      </c>
      <c r="C285" s="1512" t="s">
        <v>3930</v>
      </c>
      <c r="D285" s="1505" t="s">
        <v>548</v>
      </c>
      <c r="E285" s="1505"/>
      <c r="F285" s="1505"/>
      <c r="G285" s="1505"/>
      <c r="H285" s="1505"/>
      <c r="I285" s="1505"/>
      <c r="J285" s="1506">
        <v>14.2</v>
      </c>
      <c r="K285" s="1507">
        <f>'DGCT Cau'!$I$1868</f>
        <v>39000</v>
      </c>
      <c r="L285" s="1507">
        <f t="shared" si="25"/>
        <v>553800</v>
      </c>
      <c r="M285" s="1490"/>
    </row>
    <row r="286" spans="1:13" ht="18" customHeight="1">
      <c r="B286" s="1589">
        <f t="shared" si="26"/>
        <v>9</v>
      </c>
      <c r="C286" s="1512" t="s">
        <v>3931</v>
      </c>
      <c r="D286" s="1505" t="s">
        <v>548</v>
      </c>
      <c r="E286" s="1505"/>
      <c r="F286" s="1505"/>
      <c r="G286" s="1505"/>
      <c r="H286" s="1505"/>
      <c r="I286" s="1505"/>
      <c r="J286" s="1506">
        <v>14.2</v>
      </c>
      <c r="K286" s="1507">
        <f>'DGCT Cau'!$I$1853</f>
        <v>48600</v>
      </c>
      <c r="L286" s="1507">
        <f t="shared" si="25"/>
        <v>690120</v>
      </c>
      <c r="M286" s="1490"/>
    </row>
    <row r="287" spans="1:13" ht="18" customHeight="1">
      <c r="B287" s="1589">
        <f t="shared" si="26"/>
        <v>10</v>
      </c>
      <c r="C287" s="1512" t="s">
        <v>2026</v>
      </c>
      <c r="D287" s="1505" t="s">
        <v>545</v>
      </c>
      <c r="E287" s="1505"/>
      <c r="F287" s="1505"/>
      <c r="G287" s="1505"/>
      <c r="H287" s="1505"/>
      <c r="I287" s="1505"/>
      <c r="J287" s="1506">
        <v>17</v>
      </c>
      <c r="K287" s="1507">
        <f>'DGCT Cau'!$I$2561</f>
        <v>24000</v>
      </c>
      <c r="L287" s="1507">
        <f t="shared" si="25"/>
        <v>408000</v>
      </c>
      <c r="M287" s="1490"/>
    </row>
    <row r="288" spans="1:13" ht="18" customHeight="1">
      <c r="B288" s="1589">
        <f t="shared" si="26"/>
        <v>11</v>
      </c>
      <c r="C288" s="1512" t="s">
        <v>2161</v>
      </c>
      <c r="D288" s="1505" t="s">
        <v>545</v>
      </c>
      <c r="E288" s="1505"/>
      <c r="F288" s="1505"/>
      <c r="G288" s="1505"/>
      <c r="H288" s="1505"/>
      <c r="I288" s="1505"/>
      <c r="J288" s="1506">
        <v>15</v>
      </c>
      <c r="K288" s="1507">
        <f>'DGCT Cau'!$I$2572</f>
        <v>206100</v>
      </c>
      <c r="L288" s="1507">
        <f t="shared" si="25"/>
        <v>3091500</v>
      </c>
      <c r="M288" s="1490"/>
    </row>
    <row r="289" spans="1:13" ht="18" customHeight="1">
      <c r="A289" s="87">
        <v>1</v>
      </c>
      <c r="B289" s="1955" t="str">
        <f>IF(A289&lt;&gt;0,"TH "&amp;COUNTA($A$7:A289),"")</f>
        <v>TH 48</v>
      </c>
      <c r="C289" s="1956" t="s">
        <v>730</v>
      </c>
      <c r="D289" s="1957" t="s">
        <v>307</v>
      </c>
      <c r="E289" s="1957"/>
      <c r="F289" s="1957"/>
      <c r="G289" s="1957"/>
      <c r="H289" s="1957"/>
      <c r="I289" s="1957"/>
      <c r="J289" s="1958">
        <f>GiaDuThau!$D$210</f>
        <v>6</v>
      </c>
      <c r="K289" s="1959">
        <f>ROUND(SUM(L290:L295)/$J289,-2)</f>
        <v>1337200</v>
      </c>
      <c r="L289" s="1959">
        <f t="shared" si="25"/>
        <v>8023200</v>
      </c>
      <c r="M289" s="1490"/>
    </row>
    <row r="290" spans="1:13" ht="18" customHeight="1">
      <c r="B290" s="1589">
        <v>1</v>
      </c>
      <c r="C290" s="1512" t="s">
        <v>730</v>
      </c>
      <c r="D290" s="1505" t="s">
        <v>307</v>
      </c>
      <c r="E290" s="1505"/>
      <c r="F290" s="1505"/>
      <c r="G290" s="1505"/>
      <c r="H290" s="1505"/>
      <c r="I290" s="1505"/>
      <c r="J290" s="1506">
        <f>J289</f>
        <v>6</v>
      </c>
      <c r="K290" s="1507">
        <v>700000</v>
      </c>
      <c r="L290" s="1507">
        <f t="shared" si="25"/>
        <v>4200000</v>
      </c>
      <c r="M290" s="1490"/>
    </row>
    <row r="291" spans="1:13" ht="18" customHeight="1">
      <c r="B291" s="1589"/>
      <c r="C291" s="1514" t="s">
        <v>746</v>
      </c>
      <c r="D291" s="1505"/>
      <c r="E291" s="1505"/>
      <c r="F291" s="1505"/>
      <c r="G291" s="1505"/>
      <c r="H291" s="1505"/>
      <c r="I291" s="1505"/>
      <c r="J291" s="1506"/>
      <c r="K291" s="1507"/>
      <c r="L291" s="1507">
        <f t="shared" si="25"/>
        <v>0</v>
      </c>
      <c r="M291" s="1490"/>
    </row>
    <row r="292" spans="1:13" ht="18" customHeight="1">
      <c r="B292" s="1589">
        <f>B290+1</f>
        <v>2</v>
      </c>
      <c r="C292" s="1512" t="s">
        <v>2062</v>
      </c>
      <c r="D292" s="1505" t="s">
        <v>557</v>
      </c>
      <c r="E292" s="1505"/>
      <c r="F292" s="1505"/>
      <c r="G292" s="1505"/>
      <c r="H292" s="1505"/>
      <c r="I292" s="1505"/>
      <c r="J292" s="1506">
        <v>0.09</v>
      </c>
      <c r="K292" s="1507">
        <f>'DGCT Cau'!$I$216</f>
        <v>33097556</v>
      </c>
      <c r="L292" s="1507">
        <f t="shared" si="25"/>
        <v>2978780.04</v>
      </c>
      <c r="M292" s="1490"/>
    </row>
    <row r="293" spans="1:13" ht="18" customHeight="1">
      <c r="B293" s="1589">
        <f>B292+1</f>
        <v>3</v>
      </c>
      <c r="C293" s="1512" t="s">
        <v>108</v>
      </c>
      <c r="D293" s="1505" t="s">
        <v>557</v>
      </c>
      <c r="E293" s="1505"/>
      <c r="F293" s="1505"/>
      <c r="G293" s="1505"/>
      <c r="H293" s="1505"/>
      <c r="I293" s="1505"/>
      <c r="J293" s="1506">
        <v>0.09</v>
      </c>
      <c r="K293" s="1507">
        <f>'DGCT Cau'!$I$233</f>
        <v>6008849</v>
      </c>
      <c r="L293" s="1507">
        <f t="shared" si="25"/>
        <v>540796.41</v>
      </c>
      <c r="M293" s="1490"/>
    </row>
    <row r="294" spans="1:13" ht="18" customHeight="1">
      <c r="B294" s="1589">
        <f t="shared" ref="B294:B295" si="27">B293+1</f>
        <v>4</v>
      </c>
      <c r="C294" s="1512" t="s">
        <v>3474</v>
      </c>
      <c r="D294" s="1505" t="s">
        <v>307</v>
      </c>
      <c r="E294" s="1505"/>
      <c r="F294" s="1505"/>
      <c r="G294" s="1505"/>
      <c r="H294" s="1505"/>
      <c r="I294" s="1505"/>
      <c r="J294" s="1506">
        <v>26</v>
      </c>
      <c r="K294" s="1507">
        <f>'DGCT Cau'!$I$3151</f>
        <v>3800</v>
      </c>
      <c r="L294" s="1507">
        <f t="shared" si="25"/>
        <v>98800</v>
      </c>
      <c r="M294" s="1490"/>
    </row>
    <row r="295" spans="1:13" ht="18" customHeight="1">
      <c r="B295" s="1589">
        <f t="shared" si="27"/>
        <v>5</v>
      </c>
      <c r="C295" s="1512" t="s">
        <v>3475</v>
      </c>
      <c r="D295" s="1505" t="s">
        <v>307</v>
      </c>
      <c r="E295" s="1505"/>
      <c r="F295" s="1505"/>
      <c r="G295" s="1505"/>
      <c r="H295" s="1505"/>
      <c r="I295" s="1505"/>
      <c r="J295" s="1506">
        <v>50</v>
      </c>
      <c r="K295" s="1507">
        <f>'DGCT Cau'!$I$3163</f>
        <v>4100</v>
      </c>
      <c r="L295" s="1507">
        <f t="shared" si="25"/>
        <v>205000</v>
      </c>
      <c r="M295" s="1490"/>
    </row>
    <row r="296" spans="1:13" ht="18" customHeight="1">
      <c r="A296" s="87">
        <v>1</v>
      </c>
      <c r="B296" s="1955" t="str">
        <f>IF(A296&lt;&gt;0,"TH "&amp;COUNTA($A$7:A296),"")</f>
        <v>TH 49</v>
      </c>
      <c r="C296" s="1956" t="s">
        <v>3542</v>
      </c>
      <c r="D296" s="1957" t="s">
        <v>545</v>
      </c>
      <c r="E296" s="1957"/>
      <c r="F296" s="1957"/>
      <c r="G296" s="1957"/>
      <c r="H296" s="1957"/>
      <c r="I296" s="1957"/>
      <c r="J296" s="1958">
        <f>GiaDuThau!$D$213</f>
        <v>3131</v>
      </c>
      <c r="K296" s="1959">
        <f>ROUND(SUM(L297:L298)/$J296,-2)</f>
        <v>221500</v>
      </c>
      <c r="L296" s="1959">
        <f t="shared" si="25"/>
        <v>693516500</v>
      </c>
      <c r="M296" s="1490"/>
    </row>
    <row r="297" spans="1:13" ht="18" customHeight="1">
      <c r="B297" s="1589">
        <v>1</v>
      </c>
      <c r="C297" s="1512" t="s">
        <v>3542</v>
      </c>
      <c r="D297" s="1505" t="s">
        <v>545</v>
      </c>
      <c r="E297" s="1505"/>
      <c r="F297" s="1505"/>
      <c r="G297" s="1505"/>
      <c r="H297" s="1505"/>
      <c r="I297" s="1505"/>
      <c r="J297" s="1506">
        <f>J296</f>
        <v>3131</v>
      </c>
      <c r="K297" s="1525">
        <f>'DGCT Cau'!$I$2123</f>
        <v>152900</v>
      </c>
      <c r="L297" s="1507">
        <f t="shared" si="25"/>
        <v>478729900</v>
      </c>
      <c r="M297" s="1490"/>
    </row>
    <row r="298" spans="1:13" ht="18" customHeight="1">
      <c r="B298" s="1589"/>
      <c r="C298" s="1566" t="s">
        <v>5943</v>
      </c>
      <c r="D298" s="1505" t="s">
        <v>545</v>
      </c>
      <c r="E298" s="1505"/>
      <c r="F298" s="1505"/>
      <c r="G298" s="1505"/>
      <c r="H298" s="1505"/>
      <c r="I298" s="1505"/>
      <c r="J298" s="1506">
        <f>J297</f>
        <v>3131</v>
      </c>
      <c r="K298" s="1507">
        <f>$K$302</f>
        <v>68600</v>
      </c>
      <c r="L298" s="1507">
        <f t="shared" si="25"/>
        <v>214786600</v>
      </c>
      <c r="M298" s="1490"/>
    </row>
    <row r="299" spans="1:13" ht="18" customHeight="1">
      <c r="A299" s="87">
        <v>1</v>
      </c>
      <c r="B299" s="1955" t="str">
        <f>IF(A299&lt;&gt;0,"TH "&amp;COUNTA($A$7:A299),"")</f>
        <v>TH 50</v>
      </c>
      <c r="C299" s="1956" t="s">
        <v>112</v>
      </c>
      <c r="D299" s="1957" t="s">
        <v>545</v>
      </c>
      <c r="E299" s="1957"/>
      <c r="F299" s="1957"/>
      <c r="G299" s="1957"/>
      <c r="H299" s="1957"/>
      <c r="I299" s="1957"/>
      <c r="J299" s="1958">
        <f>GiaDuThau!$D$214</f>
        <v>59</v>
      </c>
      <c r="K299" s="1959">
        <f>ROUND(SUM(L300:L301)/$J299,-2)</f>
        <v>650200</v>
      </c>
      <c r="L299" s="1959">
        <f t="shared" ref="L299:L301" si="28">J299*K299</f>
        <v>38361800</v>
      </c>
      <c r="M299" s="1490"/>
    </row>
    <row r="300" spans="1:13" ht="18" customHeight="1">
      <c r="B300" s="1589">
        <v>1</v>
      </c>
      <c r="C300" s="1512" t="s">
        <v>112</v>
      </c>
      <c r="D300" s="1505" t="s">
        <v>545</v>
      </c>
      <c r="E300" s="1505"/>
      <c r="F300" s="1505"/>
      <c r="G300" s="1505"/>
      <c r="H300" s="1505"/>
      <c r="I300" s="1505"/>
      <c r="J300" s="1506">
        <f>J299</f>
        <v>59</v>
      </c>
      <c r="K300" s="1507">
        <f>'DGCT Cau'!$I$2143</f>
        <v>581600</v>
      </c>
      <c r="L300" s="1507">
        <f t="shared" si="28"/>
        <v>34314400</v>
      </c>
      <c r="M300" s="1490"/>
    </row>
    <row r="301" spans="1:13" ht="18" customHeight="1">
      <c r="B301" s="1589"/>
      <c r="C301" s="1566" t="s">
        <v>5943</v>
      </c>
      <c r="D301" s="1505" t="s">
        <v>545</v>
      </c>
      <c r="E301" s="1505"/>
      <c r="F301" s="1505"/>
      <c r="G301" s="1505"/>
      <c r="H301" s="1505"/>
      <c r="I301" s="1505"/>
      <c r="J301" s="1506">
        <f>J300</f>
        <v>59</v>
      </c>
      <c r="K301" s="1507">
        <f>$K$302</f>
        <v>68600</v>
      </c>
      <c r="L301" s="1507">
        <f t="shared" si="28"/>
        <v>4047400</v>
      </c>
      <c r="M301" s="1490"/>
    </row>
    <row r="302" spans="1:13" ht="31.5">
      <c r="A302" s="87">
        <v>1</v>
      </c>
      <c r="B302" s="1955" t="str">
        <f>IF(A302&lt;&gt;0,"TH "&amp;COUNTA($A$7:A302),"")</f>
        <v>TH 51</v>
      </c>
      <c r="C302" s="1956" t="s">
        <v>2071</v>
      </c>
      <c r="D302" s="1957" t="s">
        <v>545</v>
      </c>
      <c r="E302" s="1957"/>
      <c r="F302" s="1957"/>
      <c r="G302" s="1957"/>
      <c r="H302" s="1957"/>
      <c r="I302" s="1957"/>
      <c r="J302" s="1958">
        <f>J296+J299</f>
        <v>3190</v>
      </c>
      <c r="K302" s="1959">
        <f>ROUND(SUM(L303:L307)/$J302,-2)</f>
        <v>68600</v>
      </c>
      <c r="L302" s="1959">
        <f t="shared" si="25"/>
        <v>218834000</v>
      </c>
      <c r="M302" s="1490"/>
    </row>
    <row r="303" spans="1:13" ht="18" customHeight="1">
      <c r="B303" s="1589">
        <v>1</v>
      </c>
      <c r="C303" s="1512" t="s">
        <v>5942</v>
      </c>
      <c r="D303" s="1505" t="s">
        <v>545</v>
      </c>
      <c r="E303" s="1505"/>
      <c r="F303" s="1505"/>
      <c r="G303" s="1505"/>
      <c r="H303" s="1505"/>
      <c r="I303" s="1505"/>
      <c r="J303" s="1506"/>
      <c r="K303" s="1507">
        <f>'DGCT Cau'!$I$2106</f>
        <v>1756700</v>
      </c>
      <c r="L303" s="1507">
        <f t="shared" ref="L303" si="29">J303*K303</f>
        <v>0</v>
      </c>
      <c r="M303" s="1490"/>
    </row>
    <row r="304" spans="1:13" ht="31.5">
      <c r="B304" s="1589">
        <f>B303+1</f>
        <v>2</v>
      </c>
      <c r="C304" s="1512" t="s">
        <v>2071</v>
      </c>
      <c r="D304" s="1505" t="s">
        <v>548</v>
      </c>
      <c r="E304" s="1505"/>
      <c r="F304" s="1505"/>
      <c r="G304" s="1505"/>
      <c r="H304" s="1505"/>
      <c r="I304" s="1505"/>
      <c r="J304" s="1506">
        <v>340</v>
      </c>
      <c r="K304" s="1507">
        <f>'DGCT Cau'!$I$2162</f>
        <v>410100</v>
      </c>
      <c r="L304" s="1507">
        <f t="shared" si="25"/>
        <v>139434000</v>
      </c>
      <c r="M304" s="1490"/>
    </row>
    <row r="305" spans="1:13" ht="18" customHeight="1">
      <c r="B305" s="1589">
        <f>B304+1</f>
        <v>3</v>
      </c>
      <c r="C305" s="1512" t="s">
        <v>348</v>
      </c>
      <c r="D305" s="1505" t="s">
        <v>548</v>
      </c>
      <c r="E305" s="1505"/>
      <c r="F305" s="1505"/>
      <c r="G305" s="1505"/>
      <c r="H305" s="1505"/>
      <c r="I305" s="1505"/>
      <c r="J305" s="1506">
        <f>J304</f>
        <v>340</v>
      </c>
      <c r="K305" s="1507">
        <f>'DGCT Cau'!$I$1838</f>
        <v>159000</v>
      </c>
      <c r="L305" s="1507">
        <f t="shared" si="25"/>
        <v>54060000</v>
      </c>
      <c r="M305" s="1490"/>
    </row>
    <row r="306" spans="1:13" ht="18" customHeight="1">
      <c r="B306" s="1589">
        <f t="shared" ref="B306:B307" si="30">B305+1</f>
        <v>4</v>
      </c>
      <c r="C306" s="1512" t="s">
        <v>3541</v>
      </c>
      <c r="D306" s="1505" t="s">
        <v>557</v>
      </c>
      <c r="E306" s="1505"/>
      <c r="F306" s="1505"/>
      <c r="G306" s="1505"/>
      <c r="H306" s="1505"/>
      <c r="I306" s="1505"/>
      <c r="J306" s="1506">
        <v>1.28</v>
      </c>
      <c r="K306" s="1525">
        <f>'DGCT Cau'!$I$2174</f>
        <v>11113000</v>
      </c>
      <c r="L306" s="1507">
        <f t="shared" ref="L306:L307" si="31">J306*K306</f>
        <v>14224640</v>
      </c>
      <c r="M306" s="1490"/>
    </row>
    <row r="307" spans="1:13" ht="18" customHeight="1">
      <c r="B307" s="1592">
        <f t="shared" si="30"/>
        <v>5</v>
      </c>
      <c r="C307" s="1588" t="s">
        <v>4032</v>
      </c>
      <c r="D307" s="1587" t="s">
        <v>545</v>
      </c>
      <c r="E307" s="1587"/>
      <c r="F307" s="1587"/>
      <c r="G307" s="1587"/>
      <c r="H307" s="1587"/>
      <c r="I307" s="1587"/>
      <c r="J307" s="1598">
        <v>6.8</v>
      </c>
      <c r="K307" s="2088">
        <f>'DGCT Cau'!$I$2191</f>
        <v>1647100</v>
      </c>
      <c r="L307" s="1593">
        <f t="shared" si="31"/>
        <v>11200280</v>
      </c>
      <c r="M307" s="1490"/>
    </row>
    <row r="308" spans="1:13" ht="18" customHeight="1">
      <c r="B308" s="2071"/>
      <c r="C308" s="2085" t="s">
        <v>5782</v>
      </c>
      <c r="D308" s="2086"/>
      <c r="E308" s="2086"/>
      <c r="F308" s="2086"/>
      <c r="G308" s="2086"/>
      <c r="H308" s="2086"/>
      <c r="I308" s="2086"/>
      <c r="J308" s="2087"/>
      <c r="K308" s="2072"/>
      <c r="L308" s="2072"/>
      <c r="M308" s="1490"/>
    </row>
    <row r="309" spans="1:13" ht="18" customHeight="1">
      <c r="A309" s="87">
        <v>1</v>
      </c>
      <c r="B309" s="1955" t="str">
        <f>IF(A309&lt;&gt;0,"TH "&amp;COUNTA($A$7:A309),"")</f>
        <v>TH 52</v>
      </c>
      <c r="C309" s="1956" t="s">
        <v>3666</v>
      </c>
      <c r="D309" s="1957" t="s">
        <v>545</v>
      </c>
      <c r="E309" s="1957"/>
      <c r="F309" s="1957"/>
      <c r="G309" s="1957"/>
      <c r="H309" s="1957"/>
      <c r="I309" s="1957"/>
      <c r="J309" s="1958" t="e">
        <f>GiaDuThau!#REF!</f>
        <v>#REF!</v>
      </c>
      <c r="K309" s="1959" t="e">
        <f>ROUND(SUM(L310:L311)/$J309,-2)</f>
        <v>#REF!</v>
      </c>
      <c r="L309" s="1959" t="e">
        <f t="shared" ref="L309:L340" si="32">J309*K309</f>
        <v>#REF!</v>
      </c>
      <c r="M309" s="1490"/>
    </row>
    <row r="310" spans="1:13" ht="18" customHeight="1">
      <c r="B310" s="1589">
        <v>1</v>
      </c>
      <c r="C310" s="1512" t="s">
        <v>3666</v>
      </c>
      <c r="D310" s="1505" t="s">
        <v>545</v>
      </c>
      <c r="E310" s="1505"/>
      <c r="F310" s="1505"/>
      <c r="G310" s="1505"/>
      <c r="H310" s="1505"/>
      <c r="I310" s="1505"/>
      <c r="J310" s="1506" t="e">
        <f>J309</f>
        <v>#REF!</v>
      </c>
      <c r="K310" s="1507">
        <f>'DGCT Duong'!$I$619</f>
        <v>10600</v>
      </c>
      <c r="L310" s="1507" t="e">
        <f t="shared" si="32"/>
        <v>#REF!</v>
      </c>
      <c r="M310" s="78"/>
    </row>
    <row r="311" spans="1:13" s="2076" customFormat="1" ht="18" customHeight="1">
      <c r="B311" s="1589">
        <v>2</v>
      </c>
      <c r="C311" s="1512" t="s">
        <v>5478</v>
      </c>
      <c r="D311" s="1505" t="s">
        <v>545</v>
      </c>
      <c r="E311" s="1505"/>
      <c r="F311" s="1505"/>
      <c r="G311" s="1505"/>
      <c r="H311" s="1505"/>
      <c r="I311" s="1505"/>
      <c r="J311" s="1506">
        <v>20741</v>
      </c>
      <c r="K311" s="1507">
        <f>'DGCT Duong'!$I$1459</f>
        <v>32700</v>
      </c>
      <c r="L311" s="1507">
        <f t="shared" si="32"/>
        <v>678230700</v>
      </c>
      <c r="M311" s="78"/>
    </row>
    <row r="312" spans="1:13" ht="18" customHeight="1">
      <c r="A312" s="87">
        <v>1</v>
      </c>
      <c r="B312" s="1955" t="str">
        <f>IF(A312&lt;&gt;0,"TH "&amp;COUNTA($A$7:A312),"")</f>
        <v>TH 53</v>
      </c>
      <c r="C312" s="1956" t="s">
        <v>2140</v>
      </c>
      <c r="D312" s="1957" t="s">
        <v>548</v>
      </c>
      <c r="E312" s="1957"/>
      <c r="F312" s="1957"/>
      <c r="G312" s="1957"/>
      <c r="H312" s="1957"/>
      <c r="I312" s="1957"/>
      <c r="J312" s="1958" t="e">
        <f>GiaDuThau!#REF!</f>
        <v>#REF!</v>
      </c>
      <c r="K312" s="1959" t="e">
        <f>ROUND(SUM(L313:L315)/$J312,-2)</f>
        <v>#REF!</v>
      </c>
      <c r="L312" s="1959" t="e">
        <f t="shared" si="32"/>
        <v>#REF!</v>
      </c>
      <c r="M312" s="1490"/>
    </row>
    <row r="313" spans="1:13" s="2076" customFormat="1" ht="18" customHeight="1">
      <c r="B313" s="1589">
        <v>1</v>
      </c>
      <c r="C313" s="1512" t="s">
        <v>2140</v>
      </c>
      <c r="D313" s="1505" t="s">
        <v>548</v>
      </c>
      <c r="E313" s="1505"/>
      <c r="F313" s="1505"/>
      <c r="G313" s="1505"/>
      <c r="H313" s="1505"/>
      <c r="I313" s="1505"/>
      <c r="J313" s="1506" t="e">
        <f>J312</f>
        <v>#REF!</v>
      </c>
      <c r="K313" s="1507">
        <f>'DGCT Duong'!$I$299</f>
        <v>10600</v>
      </c>
      <c r="L313" s="1507" t="e">
        <f t="shared" si="32"/>
        <v>#REF!</v>
      </c>
      <c r="M313" s="78"/>
    </row>
    <row r="314" spans="1:13" ht="18" customHeight="1">
      <c r="B314" s="1589">
        <v>2</v>
      </c>
      <c r="C314" s="1512" t="s">
        <v>5693</v>
      </c>
      <c r="D314" s="1505" t="s">
        <v>557</v>
      </c>
      <c r="E314" s="1505"/>
      <c r="F314" s="1505"/>
      <c r="G314" s="1505"/>
      <c r="H314" s="1505"/>
      <c r="I314" s="1505"/>
      <c r="J314" s="1506" t="e">
        <f>J313*12.12/100</f>
        <v>#REF!</v>
      </c>
      <c r="K314" s="1507">
        <f>'DGCT Duong'!$I$271</f>
        <v>1831400</v>
      </c>
      <c r="L314" s="1507" t="e">
        <f t="shared" si="32"/>
        <v>#REF!</v>
      </c>
      <c r="M314" s="78"/>
    </row>
    <row r="315" spans="1:13" ht="18" customHeight="1">
      <c r="B315" s="1589">
        <v>3</v>
      </c>
      <c r="C315" s="1512" t="s">
        <v>5622</v>
      </c>
      <c r="D315" s="1505" t="s">
        <v>557</v>
      </c>
      <c r="E315" s="1505"/>
      <c r="F315" s="1505"/>
      <c r="G315" s="1505"/>
      <c r="H315" s="1505"/>
      <c r="I315" s="1505"/>
      <c r="J315" s="1506" t="e">
        <f>J314</f>
        <v>#REF!</v>
      </c>
      <c r="K315" s="1507">
        <f>'DGCT Duong'!$I$283</f>
        <v>37600</v>
      </c>
      <c r="L315" s="1507" t="e">
        <f t="shared" si="32"/>
        <v>#REF!</v>
      </c>
      <c r="M315" s="78"/>
    </row>
    <row r="316" spans="1:13" ht="18" customHeight="1">
      <c r="A316" s="87">
        <v>1</v>
      </c>
      <c r="B316" s="1955" t="str">
        <f>IF(A316&lt;&gt;0,"TH "&amp;COUNTA($A$7:A316),"")</f>
        <v>TH 54</v>
      </c>
      <c r="C316" s="1956" t="s">
        <v>6</v>
      </c>
      <c r="D316" s="1957" t="s">
        <v>548</v>
      </c>
      <c r="E316" s="1957"/>
      <c r="F316" s="1957"/>
      <c r="G316" s="1957"/>
      <c r="H316" s="1957"/>
      <c r="I316" s="1957"/>
      <c r="J316" s="1958" t="e">
        <f>GiaDuThau!#REF!</f>
        <v>#REF!</v>
      </c>
      <c r="K316" s="1959" t="e">
        <f>ROUND(SUM(L317:L319)/$J316,-2)</f>
        <v>#REF!</v>
      </c>
      <c r="L316" s="1959" t="e">
        <f t="shared" si="32"/>
        <v>#REF!</v>
      </c>
      <c r="M316" s="1490"/>
    </row>
    <row r="317" spans="1:13" ht="18" customHeight="1">
      <c r="B317" s="1589">
        <v>1</v>
      </c>
      <c r="C317" s="1512" t="s">
        <v>6</v>
      </c>
      <c r="D317" s="1505" t="s">
        <v>548</v>
      </c>
      <c r="E317" s="1505"/>
      <c r="F317" s="1505"/>
      <c r="G317" s="1505"/>
      <c r="H317" s="1505"/>
      <c r="I317" s="1505"/>
      <c r="J317" s="1506" t="e">
        <f>J316</f>
        <v>#REF!</v>
      </c>
      <c r="K317" s="1507">
        <f>'DGCT Duong'!$I$653</f>
        <v>13600</v>
      </c>
      <c r="L317" s="1507" t="e">
        <f t="shared" si="32"/>
        <v>#REF!</v>
      </c>
      <c r="M317" s="78"/>
    </row>
    <row r="318" spans="1:13" ht="18" customHeight="1">
      <c r="B318" s="1589">
        <v>2</v>
      </c>
      <c r="C318" s="1512" t="s">
        <v>5783</v>
      </c>
      <c r="D318" s="1505" t="s">
        <v>557</v>
      </c>
      <c r="E318" s="1505"/>
      <c r="F318" s="1505"/>
      <c r="G318" s="1505"/>
      <c r="H318" s="1505"/>
      <c r="I318" s="1505"/>
      <c r="J318" s="1506" t="e">
        <f>J317*16.62/100</f>
        <v>#REF!</v>
      </c>
      <c r="K318" s="1507">
        <f>'DGCT Duong'!$I$685</f>
        <v>1796300</v>
      </c>
      <c r="L318" s="1507" t="e">
        <f t="shared" si="32"/>
        <v>#REF!</v>
      </c>
      <c r="M318" s="78"/>
    </row>
    <row r="319" spans="1:13" ht="18" customHeight="1">
      <c r="B319" s="1589">
        <v>3</v>
      </c>
      <c r="C319" s="1512" t="s">
        <v>5622</v>
      </c>
      <c r="D319" s="1505" t="s">
        <v>557</v>
      </c>
      <c r="E319" s="1505"/>
      <c r="F319" s="1505"/>
      <c r="G319" s="1505"/>
      <c r="H319" s="1505"/>
      <c r="I319" s="1505"/>
      <c r="J319" s="1506" t="e">
        <f>J318</f>
        <v>#REF!</v>
      </c>
      <c r="K319" s="1507">
        <f>'DGCT Duong'!$I$283</f>
        <v>37600</v>
      </c>
      <c r="L319" s="1507" t="e">
        <f t="shared" si="32"/>
        <v>#REF!</v>
      </c>
      <c r="M319" s="78"/>
    </row>
    <row r="320" spans="1:13" ht="18" customHeight="1">
      <c r="A320" s="87">
        <v>1</v>
      </c>
      <c r="B320" s="1955" t="str">
        <f>IF(A320&lt;&gt;0,"TH "&amp;COUNTA($A$7:A320),"")</f>
        <v>TH 55</v>
      </c>
      <c r="C320" s="1956" t="s">
        <v>5786</v>
      </c>
      <c r="D320" s="1957" t="s">
        <v>545</v>
      </c>
      <c r="E320" s="1957"/>
      <c r="F320" s="1957"/>
      <c r="G320" s="1957"/>
      <c r="H320" s="1957"/>
      <c r="I320" s="1957"/>
      <c r="J320" s="1958" t="e">
        <f>GiaDuThau!#REF!</f>
        <v>#REF!</v>
      </c>
      <c r="K320" s="1959" t="e">
        <f>ROUND(SUM(L321:L323)/$J320,-2)</f>
        <v>#REF!</v>
      </c>
      <c r="L320" s="1959" t="e">
        <f t="shared" si="32"/>
        <v>#REF!</v>
      </c>
      <c r="M320" s="1490"/>
    </row>
    <row r="321" spans="1:13" ht="31.5">
      <c r="B321" s="1589">
        <v>1</v>
      </c>
      <c r="C321" s="1512" t="s">
        <v>2172</v>
      </c>
      <c r="D321" s="1505" t="s">
        <v>545</v>
      </c>
      <c r="E321" s="1505"/>
      <c r="F321" s="1505"/>
      <c r="G321" s="1505"/>
      <c r="H321" s="1505"/>
      <c r="I321" s="1505"/>
      <c r="J321" s="1506" t="e">
        <f>J320</f>
        <v>#REF!</v>
      </c>
      <c r="K321" s="1507">
        <f>'DGCT Duong'!$I$1446</f>
        <v>194100</v>
      </c>
      <c r="L321" s="1507" t="e">
        <f t="shared" si="32"/>
        <v>#REF!</v>
      </c>
      <c r="M321" s="78"/>
    </row>
    <row r="322" spans="1:13" ht="18" customHeight="1">
      <c r="B322" s="1589">
        <v>2</v>
      </c>
      <c r="C322" s="1512" t="s">
        <v>5784</v>
      </c>
      <c r="D322" s="1505" t="s">
        <v>557</v>
      </c>
      <c r="E322" s="1505"/>
      <c r="F322" s="1505"/>
      <c r="G322" s="1505"/>
      <c r="H322" s="1505"/>
      <c r="I322" s="1505"/>
      <c r="J322" s="1506" t="e">
        <f>J321*16.62/0.07/100</f>
        <v>#REF!</v>
      </c>
      <c r="K322" s="1507">
        <f>'DGCT Duong'!$I$685</f>
        <v>1796300</v>
      </c>
      <c r="L322" s="1507" t="e">
        <f t="shared" si="32"/>
        <v>#REF!</v>
      </c>
      <c r="M322" s="78"/>
    </row>
    <row r="323" spans="1:13" ht="18" customHeight="1">
      <c r="B323" s="1589">
        <v>3</v>
      </c>
      <c r="C323" s="1512" t="s">
        <v>5622</v>
      </c>
      <c r="D323" s="1505" t="s">
        <v>557</v>
      </c>
      <c r="E323" s="1505"/>
      <c r="F323" s="1505"/>
      <c r="G323" s="1505"/>
      <c r="H323" s="1505"/>
      <c r="I323" s="1505"/>
      <c r="J323" s="1506" t="e">
        <f>J322</f>
        <v>#REF!</v>
      </c>
      <c r="K323" s="1507">
        <f>'DGCT Duong'!$I$283</f>
        <v>37600</v>
      </c>
      <c r="L323" s="1507" t="e">
        <f t="shared" si="32"/>
        <v>#REF!</v>
      </c>
      <c r="M323" s="78"/>
    </row>
    <row r="324" spans="1:13" ht="18" customHeight="1">
      <c r="A324" s="87">
        <v>1</v>
      </c>
      <c r="B324" s="1955" t="str">
        <f>IF(A324&lt;&gt;0,"TH "&amp;COUNTA($A$7:A324),"")</f>
        <v>TH 56</v>
      </c>
      <c r="C324" s="1956" t="s">
        <v>5787</v>
      </c>
      <c r="D324" s="1957" t="s">
        <v>567</v>
      </c>
      <c r="E324" s="1957"/>
      <c r="F324" s="1957"/>
      <c r="G324" s="1957"/>
      <c r="H324" s="1957"/>
      <c r="I324" s="1957"/>
      <c r="J324" s="1958" t="e">
        <f>GiaDuThau!#REF!</f>
        <v>#REF!</v>
      </c>
      <c r="K324" s="1959" t="e">
        <f>ROUND(SUM(L325:L327)/$J324,-2)</f>
        <v>#REF!</v>
      </c>
      <c r="L324" s="1959" t="e">
        <f t="shared" si="32"/>
        <v>#REF!</v>
      </c>
      <c r="M324" s="1490"/>
    </row>
    <row r="325" spans="1:13" ht="31.5">
      <c r="B325" s="1589">
        <v>1</v>
      </c>
      <c r="C325" s="1512" t="s">
        <v>2168</v>
      </c>
      <c r="D325" s="1505" t="s">
        <v>567</v>
      </c>
      <c r="E325" s="1505"/>
      <c r="F325" s="1505"/>
      <c r="G325" s="1505"/>
      <c r="H325" s="1505"/>
      <c r="I325" s="1505"/>
      <c r="J325" s="1506" t="e">
        <f>J324</f>
        <v>#REF!</v>
      </c>
      <c r="K325" s="1507">
        <f>'DGCT Duong'!$I$1144</f>
        <v>132700</v>
      </c>
      <c r="L325" s="1507" t="e">
        <f t="shared" si="32"/>
        <v>#REF!</v>
      </c>
      <c r="M325" s="78"/>
    </row>
    <row r="326" spans="1:13" ht="18" customHeight="1">
      <c r="B326" s="1589">
        <v>2</v>
      </c>
      <c r="C326" s="1512" t="s">
        <v>4016</v>
      </c>
      <c r="D326" s="1505" t="s">
        <v>545</v>
      </c>
      <c r="E326" s="1505"/>
      <c r="F326" s="1505"/>
      <c r="G326" s="1505"/>
      <c r="H326" s="1505"/>
      <c r="I326" s="1505"/>
      <c r="J326" s="1506">
        <v>1.04</v>
      </c>
      <c r="K326" s="1507">
        <f>'DGCT Duong'!$I$1412</f>
        <v>1652100</v>
      </c>
      <c r="L326" s="1507">
        <f t="shared" si="32"/>
        <v>1718184</v>
      </c>
      <c r="M326" s="78"/>
    </row>
    <row r="327" spans="1:13" s="2076" customFormat="1" ht="18" customHeight="1">
      <c r="B327" s="1960">
        <v>3</v>
      </c>
      <c r="C327" s="1961" t="s">
        <v>187</v>
      </c>
      <c r="D327" s="1962" t="s">
        <v>547</v>
      </c>
      <c r="E327" s="1962"/>
      <c r="F327" s="1962"/>
      <c r="G327" s="1962"/>
      <c r="H327" s="1962"/>
      <c r="I327" s="1962"/>
      <c r="J327" s="2077">
        <v>0.15</v>
      </c>
      <c r="K327" s="1963">
        <f>'DGCT Duong'!$I$167</f>
        <v>10247200</v>
      </c>
      <c r="L327" s="1963">
        <f t="shared" si="32"/>
        <v>1537080</v>
      </c>
      <c r="M327" s="78"/>
    </row>
    <row r="328" spans="1:13" ht="18" customHeight="1">
      <c r="A328" s="87">
        <v>1</v>
      </c>
      <c r="B328" s="1955" t="str">
        <f>IF(A328&lt;&gt;0,"TH "&amp;COUNTA($A$7:A328),"")</f>
        <v>TH 57</v>
      </c>
      <c r="C328" s="1956" t="s">
        <v>2127</v>
      </c>
      <c r="D328" s="1957"/>
      <c r="E328" s="1957"/>
      <c r="F328" s="1957"/>
      <c r="G328" s="1957"/>
      <c r="H328" s="1957"/>
      <c r="I328" s="1957"/>
      <c r="J328" s="1958" t="e">
        <f>GiaDuThau!#REF!</f>
        <v>#REF!</v>
      </c>
      <c r="K328" s="1959" t="e">
        <f>ROUND(SUM(L329:L333)/$J328,-2)</f>
        <v>#REF!</v>
      </c>
      <c r="L328" s="1959" t="e">
        <f t="shared" si="32"/>
        <v>#REF!</v>
      </c>
      <c r="M328" s="1490"/>
    </row>
    <row r="329" spans="1:13" s="231" customFormat="1" ht="31.5">
      <c r="B329" s="1589">
        <v>1</v>
      </c>
      <c r="C329" s="1512" t="s">
        <v>3476</v>
      </c>
      <c r="D329" s="1505" t="s">
        <v>557</v>
      </c>
      <c r="E329" s="1505"/>
      <c r="F329" s="1505"/>
      <c r="G329" s="1505"/>
      <c r="H329" s="1505"/>
      <c r="I329" s="1505"/>
      <c r="J329" s="1506">
        <v>3.9000000000000004</v>
      </c>
      <c r="K329" s="1507">
        <f>'DGCT Duong'!$I$1332</f>
        <v>13567100</v>
      </c>
      <c r="L329" s="1507">
        <f t="shared" si="32"/>
        <v>52911690.000000007</v>
      </c>
      <c r="M329" s="78"/>
    </row>
    <row r="330" spans="1:13" ht="18" customHeight="1">
      <c r="B330" s="1589">
        <v>2</v>
      </c>
      <c r="C330" s="1512" t="s">
        <v>2130</v>
      </c>
      <c r="D330" s="1505" t="s">
        <v>557</v>
      </c>
      <c r="E330" s="1505"/>
      <c r="F330" s="1505"/>
      <c r="G330" s="1505"/>
      <c r="H330" s="1505"/>
      <c r="I330" s="1505"/>
      <c r="J330" s="1506">
        <v>3.9000000000000004</v>
      </c>
      <c r="K330" s="1507">
        <f>'DGCT Duong'!$I$1351</f>
        <v>4618600</v>
      </c>
      <c r="L330" s="1507">
        <f t="shared" si="32"/>
        <v>18012540</v>
      </c>
      <c r="M330" s="78"/>
    </row>
    <row r="331" spans="1:13" ht="18" customHeight="1">
      <c r="B331" s="1589">
        <v>3</v>
      </c>
      <c r="C331" s="1512" t="s">
        <v>2131</v>
      </c>
      <c r="D331" s="1505" t="s">
        <v>557</v>
      </c>
      <c r="E331" s="1505"/>
      <c r="F331" s="1505"/>
      <c r="G331" s="1505"/>
      <c r="H331" s="1505"/>
      <c r="I331" s="1505"/>
      <c r="J331" s="1506">
        <v>1.33</v>
      </c>
      <c r="K331" s="1507">
        <f>'DGCT Duong'!$I$75</f>
        <v>32929900</v>
      </c>
      <c r="L331" s="1507">
        <f t="shared" si="32"/>
        <v>43796767</v>
      </c>
      <c r="M331" s="78"/>
    </row>
    <row r="332" spans="1:13" ht="18" customHeight="1">
      <c r="B332" s="1589">
        <v>4</v>
      </c>
      <c r="C332" s="1512" t="s">
        <v>2132</v>
      </c>
      <c r="D332" s="1505" t="s">
        <v>557</v>
      </c>
      <c r="E332" s="1505"/>
      <c r="F332" s="1505"/>
      <c r="G332" s="1505"/>
      <c r="H332" s="1505"/>
      <c r="I332" s="1505"/>
      <c r="J332" s="1506">
        <f>J331</f>
        <v>1.33</v>
      </c>
      <c r="K332" s="1507">
        <f>'DGCT Duong'!$I$94</f>
        <v>6177400</v>
      </c>
      <c r="L332" s="1507">
        <f t="shared" si="32"/>
        <v>8215942</v>
      </c>
      <c r="M332" s="78"/>
    </row>
    <row r="333" spans="1:13" ht="18" customHeight="1">
      <c r="B333" s="1589">
        <v>5</v>
      </c>
      <c r="C333" s="1512" t="s">
        <v>2060</v>
      </c>
      <c r="D333" s="1505" t="s">
        <v>543</v>
      </c>
      <c r="E333" s="1505"/>
      <c r="F333" s="1505"/>
      <c r="G333" s="1505"/>
      <c r="H333" s="1505"/>
      <c r="I333" s="1505"/>
      <c r="J333" s="1506">
        <v>484</v>
      </c>
      <c r="K333" s="1507">
        <f>'DGCT Duong'!$I$906</f>
        <v>129500</v>
      </c>
      <c r="L333" s="1507">
        <f t="shared" si="32"/>
        <v>62678000</v>
      </c>
      <c r="M333" s="78"/>
    </row>
    <row r="334" spans="1:13" ht="18" customHeight="1">
      <c r="A334" s="87">
        <v>1</v>
      </c>
      <c r="B334" s="1955" t="str">
        <f>IF(A334&lt;&gt;0,"TH "&amp;COUNTA($A$7:A334),"")</f>
        <v>TH 58</v>
      </c>
      <c r="C334" s="1956" t="s">
        <v>523</v>
      </c>
      <c r="D334" s="1957" t="s">
        <v>567</v>
      </c>
      <c r="E334" s="1957"/>
      <c r="F334" s="1957"/>
      <c r="G334" s="1957"/>
      <c r="H334" s="1957"/>
      <c r="I334" s="1957"/>
      <c r="J334" s="1958" t="e">
        <f>GiaDuThau!#REF!</f>
        <v>#REF!</v>
      </c>
      <c r="K334" s="1959" t="e">
        <f>ROUND(SUM(L335:L338)/$J334,-2)</f>
        <v>#REF!</v>
      </c>
      <c r="L334" s="1959" t="e">
        <f t="shared" si="32"/>
        <v>#REF!</v>
      </c>
      <c r="M334" s="1490"/>
    </row>
    <row r="335" spans="1:13" ht="18" customHeight="1">
      <c r="B335" s="1589">
        <v>1</v>
      </c>
      <c r="C335" s="1512" t="s">
        <v>4044</v>
      </c>
      <c r="D335" s="1505" t="s">
        <v>545</v>
      </c>
      <c r="E335" s="1505"/>
      <c r="F335" s="1505"/>
      <c r="G335" s="1505"/>
      <c r="H335" s="1505"/>
      <c r="I335" s="1505"/>
      <c r="J335" s="1506">
        <v>2.65</v>
      </c>
      <c r="K335" s="1507">
        <f>'DGCT Duong'!$I$861</f>
        <v>1818300</v>
      </c>
      <c r="L335" s="1507">
        <f t="shared" si="32"/>
        <v>4818495</v>
      </c>
      <c r="M335" s="78"/>
    </row>
    <row r="336" spans="1:13" ht="18" customHeight="1">
      <c r="B336" s="1589">
        <v>2</v>
      </c>
      <c r="C336" s="1512" t="s">
        <v>4063</v>
      </c>
      <c r="D336" s="1505" t="s">
        <v>557</v>
      </c>
      <c r="E336" s="1505"/>
      <c r="F336" s="1505"/>
      <c r="G336" s="1505"/>
      <c r="H336" s="1505"/>
      <c r="I336" s="1505"/>
      <c r="J336" s="1506">
        <v>0.85</v>
      </c>
      <c r="K336" s="1507">
        <f>'DGCT Duong'!$I$148</f>
        <v>26605600</v>
      </c>
      <c r="L336" s="1507">
        <f t="shared" si="32"/>
        <v>22614760</v>
      </c>
      <c r="M336" s="78"/>
    </row>
    <row r="337" spans="1:13" ht="18" customHeight="1">
      <c r="B337" s="1589">
        <v>3</v>
      </c>
      <c r="C337" s="1512" t="s">
        <v>652</v>
      </c>
      <c r="D337" s="1505" t="s">
        <v>567</v>
      </c>
      <c r="E337" s="1505"/>
      <c r="F337" s="1505"/>
      <c r="G337" s="1505"/>
      <c r="H337" s="1505"/>
      <c r="I337" s="1505"/>
      <c r="J337" s="1506">
        <v>156</v>
      </c>
      <c r="K337" s="1507">
        <f>'DGCT Duong'!$I$1363</f>
        <v>1300</v>
      </c>
      <c r="L337" s="1507">
        <f t="shared" si="32"/>
        <v>202800</v>
      </c>
      <c r="M337" s="78"/>
    </row>
    <row r="338" spans="1:13" ht="18" customHeight="1">
      <c r="B338" s="1589">
        <v>4</v>
      </c>
      <c r="C338" s="1512" t="s">
        <v>625</v>
      </c>
      <c r="D338" s="1505" t="s">
        <v>547</v>
      </c>
      <c r="E338" s="1505"/>
      <c r="F338" s="1505"/>
      <c r="G338" s="1505"/>
      <c r="H338" s="1505"/>
      <c r="I338" s="1505"/>
      <c r="J338" s="1506">
        <v>0.79</v>
      </c>
      <c r="K338" s="1507">
        <f>'DGCT Duong'!$I$1378</f>
        <v>7433800</v>
      </c>
      <c r="L338" s="1507">
        <f t="shared" si="32"/>
        <v>5872702</v>
      </c>
      <c r="M338" s="78"/>
    </row>
    <row r="339" spans="1:13" ht="18" customHeight="1">
      <c r="A339" s="87">
        <v>1</v>
      </c>
      <c r="B339" s="1955" t="str">
        <f>IF(A339&lt;&gt;0,"TH "&amp;COUNTA($A$7:A339),"")</f>
        <v>TH 59</v>
      </c>
      <c r="C339" s="1956" t="s">
        <v>5788</v>
      </c>
      <c r="D339" s="1957" t="s">
        <v>567</v>
      </c>
      <c r="E339" s="1957"/>
      <c r="F339" s="1957"/>
      <c r="G339" s="1957"/>
      <c r="H339" s="1957"/>
      <c r="I339" s="1957"/>
      <c r="J339" s="1958" t="e">
        <f>GiaDuThau!#REF!</f>
        <v>#REF!</v>
      </c>
      <c r="K339" s="1959" t="e">
        <f>ROUND(SUM(L340:L343)/$J339,-2)</f>
        <v>#REF!</v>
      </c>
      <c r="L339" s="1959" t="e">
        <f t="shared" si="32"/>
        <v>#REF!</v>
      </c>
      <c r="M339" s="1490"/>
    </row>
    <row r="340" spans="1:13" ht="18" customHeight="1">
      <c r="B340" s="1589">
        <v>1</v>
      </c>
      <c r="C340" s="1512" t="s">
        <v>2050</v>
      </c>
      <c r="D340" s="1505" t="s">
        <v>567</v>
      </c>
      <c r="E340" s="1505"/>
      <c r="F340" s="1505"/>
      <c r="G340" s="1505"/>
      <c r="H340" s="1505"/>
      <c r="I340" s="1505"/>
      <c r="J340" s="1506">
        <v>2</v>
      </c>
      <c r="K340" s="1507">
        <f>'DGCT Duong'!$I$973</f>
        <v>4714900</v>
      </c>
      <c r="L340" s="1507">
        <f t="shared" si="32"/>
        <v>9429800</v>
      </c>
      <c r="M340" s="78"/>
    </row>
    <row r="341" spans="1:13" s="231" customFormat="1" ht="18" customHeight="1">
      <c r="B341" s="1589">
        <v>2</v>
      </c>
      <c r="C341" s="1512" t="s">
        <v>3952</v>
      </c>
      <c r="D341" s="1504" t="s">
        <v>567</v>
      </c>
      <c r="E341" s="1504"/>
      <c r="F341" s="1504"/>
      <c r="G341" s="1504"/>
      <c r="H341" s="1504"/>
      <c r="I341" s="1504"/>
      <c r="J341" s="1506">
        <v>5</v>
      </c>
      <c r="K341" s="1507">
        <f>'DGCT Duong'!$I$988</f>
        <v>2173700</v>
      </c>
      <c r="L341" s="1507">
        <f t="shared" ref="L341:L358" si="33">J341*K341</f>
        <v>10868500</v>
      </c>
      <c r="M341" s="78"/>
    </row>
    <row r="342" spans="1:13" ht="18" customHeight="1">
      <c r="B342" s="1589">
        <v>3</v>
      </c>
      <c r="C342" s="1512" t="s">
        <v>3953</v>
      </c>
      <c r="D342" s="1505" t="s">
        <v>567</v>
      </c>
      <c r="E342" s="1505"/>
      <c r="F342" s="1505"/>
      <c r="G342" s="1505"/>
      <c r="H342" s="1505"/>
      <c r="I342" s="1505"/>
      <c r="J342" s="1506">
        <v>1</v>
      </c>
      <c r="K342" s="1507">
        <f>'DGCT Duong'!$I$1003</f>
        <v>655400</v>
      </c>
      <c r="L342" s="1507">
        <f t="shared" si="33"/>
        <v>655400</v>
      </c>
      <c r="M342" s="78"/>
    </row>
    <row r="343" spans="1:13" ht="18" customHeight="1">
      <c r="B343" s="1589">
        <v>4</v>
      </c>
      <c r="C343" s="1512" t="s">
        <v>3955</v>
      </c>
      <c r="D343" s="1505" t="s">
        <v>567</v>
      </c>
      <c r="E343" s="1505"/>
      <c r="F343" s="1505"/>
      <c r="G343" s="1505"/>
      <c r="H343" s="1505"/>
      <c r="I343" s="1505"/>
      <c r="J343" s="1506">
        <v>4</v>
      </c>
      <c r="K343" s="1507">
        <f>'DGCT Duong'!$I$1018</f>
        <v>407600</v>
      </c>
      <c r="L343" s="1507">
        <f t="shared" si="33"/>
        <v>1630400</v>
      </c>
      <c r="M343" s="78"/>
    </row>
    <row r="344" spans="1:13" ht="18" customHeight="1">
      <c r="A344" s="87">
        <v>1</v>
      </c>
      <c r="B344" s="1955" t="str">
        <f>IF(A344&lt;&gt;0,"TH "&amp;COUNTA($A$7:A344),"")</f>
        <v>TH 60</v>
      </c>
      <c r="C344" s="1956" t="s">
        <v>5790</v>
      </c>
      <c r="D344" s="1957" t="s">
        <v>567</v>
      </c>
      <c r="E344" s="1957"/>
      <c r="F344" s="1957"/>
      <c r="G344" s="1957"/>
      <c r="H344" s="1957"/>
      <c r="I344" s="1957"/>
      <c r="J344" s="1958" t="e">
        <f>GiaDuThau!#REF!</f>
        <v>#REF!</v>
      </c>
      <c r="K344" s="1959" t="e">
        <f>ROUND(SUM(L345:L346)/$J344,-2)</f>
        <v>#REF!</v>
      </c>
      <c r="L344" s="1959" t="e">
        <f t="shared" si="33"/>
        <v>#REF!</v>
      </c>
      <c r="M344" s="1490"/>
    </row>
    <row r="345" spans="1:13" ht="18" customHeight="1">
      <c r="B345" s="1589">
        <v>1</v>
      </c>
      <c r="C345" s="1512" t="s">
        <v>3956</v>
      </c>
      <c r="D345" s="1505" t="s">
        <v>567</v>
      </c>
      <c r="E345" s="1505"/>
      <c r="F345" s="1505"/>
      <c r="G345" s="1505"/>
      <c r="H345" s="1505"/>
      <c r="I345" s="1505"/>
      <c r="J345" s="1506">
        <v>8</v>
      </c>
      <c r="K345" s="1507">
        <f>'DGCT Duong'!$I$1033</f>
        <v>507300</v>
      </c>
      <c r="L345" s="1507">
        <f t="shared" si="33"/>
        <v>4058400</v>
      </c>
      <c r="M345" s="78"/>
    </row>
    <row r="346" spans="1:13" ht="18" customHeight="1">
      <c r="B346" s="1589">
        <v>2</v>
      </c>
      <c r="C346" s="1512" t="s">
        <v>2027</v>
      </c>
      <c r="D346" s="1505" t="s">
        <v>567</v>
      </c>
      <c r="E346" s="1505"/>
      <c r="F346" s="1505"/>
      <c r="G346" s="1505"/>
      <c r="H346" s="1505"/>
      <c r="I346" s="1505"/>
      <c r="J346" s="1506">
        <v>4</v>
      </c>
      <c r="K346" s="1507">
        <f>'DGCT Duong'!$I$1048</f>
        <v>668700</v>
      </c>
      <c r="L346" s="1507">
        <f t="shared" si="33"/>
        <v>2674800</v>
      </c>
      <c r="M346" s="78"/>
    </row>
    <row r="347" spans="1:13" ht="18" customHeight="1">
      <c r="A347" s="87">
        <v>1</v>
      </c>
      <c r="B347" s="1955" t="str">
        <f>IF(A347&lt;&gt;0,"TH "&amp;COUNTA($A$7:A347),"")</f>
        <v>TH 61</v>
      </c>
      <c r="C347" s="1956" t="s">
        <v>5789</v>
      </c>
      <c r="D347" s="1957" t="s">
        <v>567</v>
      </c>
      <c r="E347" s="1957"/>
      <c r="F347" s="1957"/>
      <c r="G347" s="1957"/>
      <c r="H347" s="1957"/>
      <c r="I347" s="1957"/>
      <c r="J347" s="1958" t="e">
        <f>GiaDuThau!#REF!</f>
        <v>#REF!</v>
      </c>
      <c r="K347" s="1959" t="e">
        <f>ROUND(SUM(L348:L349)/$J347,-2)</f>
        <v>#REF!</v>
      </c>
      <c r="L347" s="1959" t="e">
        <f t="shared" si="33"/>
        <v>#REF!</v>
      </c>
      <c r="M347" s="1490"/>
    </row>
    <row r="348" spans="1:13" ht="18" customHeight="1">
      <c r="B348" s="1589">
        <v>1</v>
      </c>
      <c r="C348" s="1512" t="s">
        <v>3957</v>
      </c>
      <c r="D348" s="1505" t="s">
        <v>567</v>
      </c>
      <c r="E348" s="1505"/>
      <c r="F348" s="1505"/>
      <c r="G348" s="1505"/>
      <c r="H348" s="1505"/>
      <c r="I348" s="1505"/>
      <c r="J348" s="1506">
        <v>10</v>
      </c>
      <c r="K348" s="1507">
        <f>'DGCT Duong'!$I$1078</f>
        <v>715700</v>
      </c>
      <c r="L348" s="1507">
        <f t="shared" si="33"/>
        <v>7157000</v>
      </c>
      <c r="M348" s="78"/>
    </row>
    <row r="349" spans="1:13" ht="18" customHeight="1">
      <c r="B349" s="1589">
        <v>2</v>
      </c>
      <c r="C349" s="1512" t="s">
        <v>2103</v>
      </c>
      <c r="D349" s="1505" t="s">
        <v>567</v>
      </c>
      <c r="E349" s="1505"/>
      <c r="F349" s="1505"/>
      <c r="G349" s="1505"/>
      <c r="H349" s="1505"/>
      <c r="I349" s="1505"/>
      <c r="J349" s="1506">
        <v>7</v>
      </c>
      <c r="K349" s="1507">
        <f>'DGCT Duong'!$I$1063</f>
        <v>962200</v>
      </c>
      <c r="L349" s="1507">
        <f t="shared" si="33"/>
        <v>6735400</v>
      </c>
      <c r="M349" s="78"/>
    </row>
    <row r="350" spans="1:13" ht="18" customHeight="1">
      <c r="A350" s="87">
        <v>1</v>
      </c>
      <c r="B350" s="1955" t="str">
        <f>IF(A350&lt;&gt;0,"TH "&amp;COUNTA($A$7:A350),"")</f>
        <v>TH 62</v>
      </c>
      <c r="C350" s="1956" t="s">
        <v>5789</v>
      </c>
      <c r="D350" s="1957" t="s">
        <v>543</v>
      </c>
      <c r="E350" s="1957"/>
      <c r="F350" s="1957"/>
      <c r="G350" s="1957"/>
      <c r="H350" s="1957"/>
      <c r="I350" s="1957"/>
      <c r="J350" s="1958" t="e">
        <f>GiaDuThau!#REF!</f>
        <v>#REF!</v>
      </c>
      <c r="K350" s="1959" t="e">
        <f>ROUND(SUM(L351:L355)/$J350,-2)</f>
        <v>#REF!</v>
      </c>
      <c r="L350" s="1959" t="e">
        <f t="shared" si="33"/>
        <v>#REF!</v>
      </c>
      <c r="M350" s="1490"/>
    </row>
    <row r="351" spans="1:13" ht="18" customHeight="1">
      <c r="B351" s="1589">
        <v>1</v>
      </c>
      <c r="C351" s="1512" t="s">
        <v>4031</v>
      </c>
      <c r="D351" s="1505" t="s">
        <v>545</v>
      </c>
      <c r="E351" s="1505"/>
      <c r="F351" s="1505"/>
      <c r="G351" s="1505"/>
      <c r="H351" s="1505"/>
      <c r="I351" s="1505"/>
      <c r="J351" s="1506">
        <v>59.94</v>
      </c>
      <c r="K351" s="1507">
        <f>'DGCT Duong'!$I$1258</f>
        <v>1523500</v>
      </c>
      <c r="L351" s="1507">
        <f t="shared" si="33"/>
        <v>91318590</v>
      </c>
      <c r="M351" s="78"/>
    </row>
    <row r="352" spans="1:13" ht="18" customHeight="1">
      <c r="B352" s="1589">
        <v>2</v>
      </c>
      <c r="C352" s="1512" t="s">
        <v>3840</v>
      </c>
      <c r="D352" s="1505" t="s">
        <v>545</v>
      </c>
      <c r="E352" s="1505"/>
      <c r="F352" s="1505"/>
      <c r="G352" s="1505"/>
      <c r="H352" s="1505"/>
      <c r="I352" s="1505"/>
      <c r="J352" s="1506">
        <v>16.73</v>
      </c>
      <c r="K352" s="1507">
        <f>'DGCT Duong'!$I$1430</f>
        <v>1568300</v>
      </c>
      <c r="L352" s="1507">
        <f t="shared" si="33"/>
        <v>26237659</v>
      </c>
      <c r="M352" s="78"/>
    </row>
    <row r="353" spans="1:13" ht="18" customHeight="1">
      <c r="B353" s="1589">
        <v>3</v>
      </c>
      <c r="C353" s="1512" t="s">
        <v>3838</v>
      </c>
      <c r="D353" s="1505" t="s">
        <v>557</v>
      </c>
      <c r="E353" s="1505"/>
      <c r="F353" s="1505"/>
      <c r="G353" s="1505"/>
      <c r="H353" s="1505"/>
      <c r="I353" s="1505"/>
      <c r="J353" s="1506">
        <v>1.51</v>
      </c>
      <c r="K353" s="1507">
        <f>'DGCT Duong'!$I$424</f>
        <v>25634700</v>
      </c>
      <c r="L353" s="1507">
        <f t="shared" si="33"/>
        <v>38708397</v>
      </c>
      <c r="M353" s="78"/>
    </row>
    <row r="354" spans="1:13" ht="18" customHeight="1">
      <c r="B354" s="1589">
        <v>4</v>
      </c>
      <c r="C354" s="1512" t="s">
        <v>187</v>
      </c>
      <c r="D354" s="1505" t="s">
        <v>547</v>
      </c>
      <c r="E354" s="1505"/>
      <c r="F354" s="1505"/>
      <c r="G354" s="1505"/>
      <c r="H354" s="1505"/>
      <c r="I354" s="1505"/>
      <c r="J354" s="1506">
        <v>3.76</v>
      </c>
      <c r="K354" s="1507">
        <f>'DGCT Duong'!$I$167</f>
        <v>10247200</v>
      </c>
      <c r="L354" s="1507">
        <f t="shared" si="33"/>
        <v>38529472</v>
      </c>
      <c r="M354" s="78"/>
    </row>
    <row r="355" spans="1:13" ht="18" customHeight="1">
      <c r="B355" s="1589">
        <v>5</v>
      </c>
      <c r="C355" s="1512" t="s">
        <v>2123</v>
      </c>
      <c r="D355" s="1505" t="s">
        <v>548</v>
      </c>
      <c r="E355" s="1505"/>
      <c r="F355" s="1505"/>
      <c r="G355" s="1505"/>
      <c r="H355" s="1505"/>
      <c r="I355" s="1505"/>
      <c r="J355" s="1506">
        <v>297.97000000000003</v>
      </c>
      <c r="K355" s="1507">
        <f>'DGCT Duong'!$I$1272</f>
        <v>103500</v>
      </c>
      <c r="L355" s="1507">
        <f t="shared" si="33"/>
        <v>30839895.000000004</v>
      </c>
      <c r="M355" s="78"/>
    </row>
    <row r="356" spans="1:13" ht="18" customHeight="1">
      <c r="A356" s="87">
        <v>1</v>
      </c>
      <c r="B356" s="1955" t="str">
        <f>IF(A356&lt;&gt;0,"TH "&amp;COUNTA($A$7:A356),"")</f>
        <v>TH 63</v>
      </c>
      <c r="C356" s="1956" t="s">
        <v>5791</v>
      </c>
      <c r="D356" s="1957" t="s">
        <v>543</v>
      </c>
      <c r="E356" s="1957"/>
      <c r="F356" s="1957"/>
      <c r="G356" s="1957"/>
      <c r="H356" s="1957"/>
      <c r="I356" s="1957"/>
      <c r="J356" s="1958" t="e">
        <f>GiaDuThau!#REF!</f>
        <v>#REF!</v>
      </c>
      <c r="K356" s="1959" t="e">
        <f>ROUND(SUM(L357:L365)/$J356,-2)</f>
        <v>#REF!</v>
      </c>
      <c r="L356" s="1959" t="e">
        <f t="shared" si="33"/>
        <v>#REF!</v>
      </c>
      <c r="M356" s="1490"/>
    </row>
    <row r="357" spans="1:13" s="231" customFormat="1" ht="18" customHeight="1">
      <c r="B357" s="1589">
        <v>1</v>
      </c>
      <c r="C357" s="1512" t="s">
        <v>8</v>
      </c>
      <c r="D357" s="1505" t="s">
        <v>543</v>
      </c>
      <c r="E357" s="1505"/>
      <c r="F357" s="1505"/>
      <c r="G357" s="1505"/>
      <c r="H357" s="1505"/>
      <c r="I357" s="1505"/>
      <c r="J357" s="1506" t="e">
        <f>J356</f>
        <v>#REF!</v>
      </c>
      <c r="K357" s="1507">
        <f>'DGCT Duong'!$I$702</f>
        <v>923600</v>
      </c>
      <c r="L357" s="1507" t="e">
        <f t="shared" si="33"/>
        <v>#REF!</v>
      </c>
      <c r="M357" s="78"/>
    </row>
    <row r="358" spans="1:13" ht="18" customHeight="1">
      <c r="B358" s="1589">
        <v>2</v>
      </c>
      <c r="C358" s="1512" t="s">
        <v>3958</v>
      </c>
      <c r="D358" s="1505" t="s">
        <v>45</v>
      </c>
      <c r="E358" s="1505"/>
      <c r="F358" s="1505"/>
      <c r="G358" s="1505"/>
      <c r="H358" s="1505"/>
      <c r="I358" s="1505"/>
      <c r="J358" s="1506">
        <v>67</v>
      </c>
      <c r="K358" s="1507">
        <f>'DGCT Duong'!$I$1284</f>
        <v>1083600</v>
      </c>
      <c r="L358" s="1507">
        <f t="shared" si="33"/>
        <v>72601200</v>
      </c>
      <c r="M358" s="78"/>
    </row>
    <row r="359" spans="1:13" ht="18" customHeight="1">
      <c r="B359" s="1589"/>
      <c r="C359" s="1512" t="s">
        <v>2124</v>
      </c>
      <c r="D359" s="1505"/>
      <c r="E359" s="1505"/>
      <c r="F359" s="1505"/>
      <c r="G359" s="1505"/>
      <c r="H359" s="1505"/>
      <c r="I359" s="1505"/>
      <c r="J359" s="1506">
        <v>67</v>
      </c>
      <c r="K359" s="1507"/>
      <c r="L359" s="1507"/>
      <c r="M359" s="78"/>
    </row>
    <row r="360" spans="1:13" ht="18" customHeight="1">
      <c r="B360" s="1589">
        <v>1</v>
      </c>
      <c r="C360" s="1512" t="s">
        <v>2125</v>
      </c>
      <c r="D360" s="1505" t="s">
        <v>567</v>
      </c>
      <c r="E360" s="1505"/>
      <c r="F360" s="1505"/>
      <c r="G360" s="1505"/>
      <c r="H360" s="1505"/>
      <c r="I360" s="1505"/>
      <c r="J360" s="1506">
        <v>6</v>
      </c>
      <c r="K360" s="1507">
        <f>'DGCT Duong'!$I$1296</f>
        <v>282100</v>
      </c>
      <c r="L360" s="1507">
        <f t="shared" ref="L360:L397" si="34">J360*K360</f>
        <v>1692600</v>
      </c>
      <c r="M360" s="78"/>
    </row>
    <row r="361" spans="1:13" ht="18" customHeight="1">
      <c r="B361" s="1589">
        <v>2</v>
      </c>
      <c r="C361" s="1512" t="s">
        <v>2069</v>
      </c>
      <c r="D361" s="1505" t="s">
        <v>307</v>
      </c>
      <c r="E361" s="1505"/>
      <c r="F361" s="1505"/>
      <c r="G361" s="1505"/>
      <c r="H361" s="1505"/>
      <c r="I361" s="1505"/>
      <c r="J361" s="1506">
        <v>189</v>
      </c>
      <c r="K361" s="1507">
        <f>'DGCT Duong'!$I$833</f>
        <v>4400</v>
      </c>
      <c r="L361" s="1507">
        <f t="shared" si="34"/>
        <v>831600</v>
      </c>
      <c r="M361" s="78"/>
    </row>
    <row r="362" spans="1:13" ht="18" customHeight="1">
      <c r="B362" s="1589">
        <v>3</v>
      </c>
      <c r="C362" s="1512" t="s">
        <v>4031</v>
      </c>
      <c r="D362" s="1505" t="s">
        <v>545</v>
      </c>
      <c r="E362" s="1505"/>
      <c r="F362" s="1505"/>
      <c r="G362" s="1505"/>
      <c r="H362" s="1505"/>
      <c r="I362" s="1505"/>
      <c r="J362" s="1506">
        <v>1.8900000000000003</v>
      </c>
      <c r="K362" s="1507">
        <f>'DGCT Duong'!$I$1258</f>
        <v>1523500</v>
      </c>
      <c r="L362" s="1507">
        <f t="shared" si="34"/>
        <v>2879415.0000000005</v>
      </c>
      <c r="M362" s="78"/>
    </row>
    <row r="363" spans="1:13" ht="18" customHeight="1">
      <c r="B363" s="1589">
        <v>4</v>
      </c>
      <c r="C363" s="1512" t="s">
        <v>2029</v>
      </c>
      <c r="D363" s="1505" t="s">
        <v>545</v>
      </c>
      <c r="E363" s="1505"/>
      <c r="F363" s="1505"/>
      <c r="G363" s="1505"/>
      <c r="H363" s="1505"/>
      <c r="I363" s="1505"/>
      <c r="J363" s="1506">
        <v>0.38</v>
      </c>
      <c r="K363" s="1507">
        <f>'DGCT Duong'!$I$890</f>
        <v>1027300</v>
      </c>
      <c r="L363" s="1507">
        <f t="shared" si="34"/>
        <v>390374</v>
      </c>
      <c r="M363" s="78"/>
    </row>
    <row r="364" spans="1:13" ht="18" customHeight="1">
      <c r="B364" s="1589">
        <v>5</v>
      </c>
      <c r="C364" s="1512" t="s">
        <v>2173</v>
      </c>
      <c r="D364" s="1505" t="s">
        <v>567</v>
      </c>
      <c r="E364" s="1505"/>
      <c r="F364" s="1505"/>
      <c r="G364" s="1505"/>
      <c r="H364" s="1505"/>
      <c r="I364" s="1505"/>
      <c r="J364" s="1506">
        <v>21</v>
      </c>
      <c r="K364" s="1507">
        <f>'DGCT Duong'!$I$1308</f>
        <v>53400</v>
      </c>
      <c r="L364" s="1507">
        <f t="shared" si="34"/>
        <v>1121400</v>
      </c>
      <c r="M364" s="78"/>
    </row>
    <row r="365" spans="1:13" ht="18" customHeight="1">
      <c r="B365" s="1589">
        <v>6</v>
      </c>
      <c r="C365" s="1512" t="s">
        <v>124</v>
      </c>
      <c r="D365" s="1505" t="s">
        <v>548</v>
      </c>
      <c r="E365" s="1505"/>
      <c r="F365" s="1505"/>
      <c r="G365" s="1505"/>
      <c r="H365" s="1505"/>
      <c r="I365" s="1505"/>
      <c r="J365" s="1506">
        <v>26.35</v>
      </c>
      <c r="K365" s="1507">
        <f>'DGCT Duong'!$I$241</f>
        <v>46400</v>
      </c>
      <c r="L365" s="1507">
        <f t="shared" si="34"/>
        <v>1222640</v>
      </c>
      <c r="M365" s="78"/>
    </row>
    <row r="366" spans="1:13" ht="18" customHeight="1">
      <c r="A366" s="87">
        <v>1</v>
      </c>
      <c r="B366" s="1955" t="str">
        <f>IF(A366&lt;&gt;0,"TH "&amp;COUNTA($A$7:A366),"")</f>
        <v>TH 64</v>
      </c>
      <c r="C366" s="1956" t="s">
        <v>5789</v>
      </c>
      <c r="D366" s="1957" t="s">
        <v>545</v>
      </c>
      <c r="E366" s="1957"/>
      <c r="F366" s="1957"/>
      <c r="G366" s="1957"/>
      <c r="H366" s="1957"/>
      <c r="I366" s="1957"/>
      <c r="J366" s="1958" t="e">
        <f>GiaDuThau!#REF!</f>
        <v>#REF!</v>
      </c>
      <c r="K366" s="1959" t="e">
        <f>ROUND(SUM(L367:L368)/$J366,-2)</f>
        <v>#REF!</v>
      </c>
      <c r="L366" s="1959" t="e">
        <f t="shared" si="34"/>
        <v>#REF!</v>
      </c>
      <c r="M366" s="1490"/>
    </row>
    <row r="367" spans="1:13" ht="18" customHeight="1">
      <c r="B367" s="1589">
        <v>1</v>
      </c>
      <c r="C367" s="1512" t="s">
        <v>4044</v>
      </c>
      <c r="D367" s="1505" t="s">
        <v>545</v>
      </c>
      <c r="E367" s="1505"/>
      <c r="F367" s="1505"/>
      <c r="G367" s="1505"/>
      <c r="H367" s="1505"/>
      <c r="I367" s="1505"/>
      <c r="J367" s="1506" t="e">
        <f>J366</f>
        <v>#REF!</v>
      </c>
      <c r="K367" s="1507">
        <f>'DGCT Duong'!$I$861</f>
        <v>1818300</v>
      </c>
      <c r="L367" s="1507" t="e">
        <f t="shared" si="34"/>
        <v>#REF!</v>
      </c>
      <c r="M367" s="78"/>
    </row>
    <row r="368" spans="1:13" ht="18" customHeight="1">
      <c r="B368" s="1589">
        <v>2</v>
      </c>
      <c r="C368" s="1512" t="s">
        <v>187</v>
      </c>
      <c r="D368" s="1505" t="s">
        <v>547</v>
      </c>
      <c r="E368" s="1505"/>
      <c r="F368" s="1505"/>
      <c r="G368" s="1505"/>
      <c r="H368" s="1505"/>
      <c r="I368" s="1505"/>
      <c r="J368" s="1506">
        <v>4.1399999999999997</v>
      </c>
      <c r="K368" s="1507">
        <f>'DGCT Duong'!$I$167</f>
        <v>10247200</v>
      </c>
      <c r="L368" s="1507">
        <f t="shared" si="34"/>
        <v>42423408</v>
      </c>
      <c r="M368" s="78"/>
    </row>
    <row r="369" spans="1:13" ht="18" customHeight="1">
      <c r="A369" s="87">
        <v>1</v>
      </c>
      <c r="B369" s="1955" t="str">
        <f>IF(A369&lt;&gt;0,"TH "&amp;COUNTA($A$7:A369),"")</f>
        <v>TH 65</v>
      </c>
      <c r="C369" s="1956" t="s">
        <v>5792</v>
      </c>
      <c r="D369" s="1957" t="s">
        <v>557</v>
      </c>
      <c r="E369" s="1957"/>
      <c r="F369" s="1957"/>
      <c r="G369" s="1957"/>
      <c r="H369" s="1957"/>
      <c r="I369" s="1957"/>
      <c r="J369" s="1958" t="e">
        <f>GiaDuThau!#REF!</f>
        <v>#REF!</v>
      </c>
      <c r="K369" s="1959" t="e">
        <f>ROUND(SUM(L370:L371)/$J369,-2)</f>
        <v>#REF!</v>
      </c>
      <c r="L369" s="1959" t="e">
        <f t="shared" si="34"/>
        <v>#REF!</v>
      </c>
      <c r="M369" s="1490"/>
    </row>
    <row r="370" spans="1:13" ht="18" customHeight="1">
      <c r="B370" s="1589">
        <v>1</v>
      </c>
      <c r="C370" s="1512" t="s">
        <v>4063</v>
      </c>
      <c r="D370" s="1505" t="s">
        <v>557</v>
      </c>
      <c r="E370" s="1505"/>
      <c r="F370" s="1505"/>
      <c r="G370" s="1505"/>
      <c r="H370" s="1505"/>
      <c r="I370" s="1505"/>
      <c r="J370" s="1506">
        <v>0.24</v>
      </c>
      <c r="K370" s="1507">
        <f>'DGCT Duong'!$I$226</f>
        <v>27781400</v>
      </c>
      <c r="L370" s="1507">
        <f t="shared" si="34"/>
        <v>6667536</v>
      </c>
      <c r="M370" s="78"/>
    </row>
    <row r="371" spans="1:13" ht="18" customHeight="1">
      <c r="B371" s="1589">
        <v>2</v>
      </c>
      <c r="C371" s="1512" t="s">
        <v>4064</v>
      </c>
      <c r="D371" s="1505" t="s">
        <v>557</v>
      </c>
      <c r="E371" s="1505"/>
      <c r="F371" s="1505"/>
      <c r="G371" s="1505"/>
      <c r="H371" s="1505"/>
      <c r="I371" s="1505"/>
      <c r="J371" s="1506">
        <v>1.98</v>
      </c>
      <c r="K371" s="1507">
        <f>'DGCT Duong'!$I$210</f>
        <v>26050500</v>
      </c>
      <c r="L371" s="1507">
        <f t="shared" si="34"/>
        <v>51579990</v>
      </c>
      <c r="M371" s="78"/>
    </row>
    <row r="372" spans="1:13" ht="31.5">
      <c r="A372" s="87">
        <v>1</v>
      </c>
      <c r="B372" s="1955" t="str">
        <f>IF(A372&lt;&gt;0,"TH "&amp;COUNTA($A$7:A372),"")</f>
        <v>TH 66</v>
      </c>
      <c r="C372" s="1956" t="s">
        <v>4020</v>
      </c>
      <c r="D372" s="1957" t="s">
        <v>545</v>
      </c>
      <c r="E372" s="1957"/>
      <c r="F372" s="1957"/>
      <c r="G372" s="1957"/>
      <c r="H372" s="1957"/>
      <c r="I372" s="1957"/>
      <c r="J372" s="1958" t="e">
        <f>GiaDuThau!#REF!</f>
        <v>#REF!</v>
      </c>
      <c r="K372" s="1959" t="e">
        <f>ROUND(SUM(L373:L374)/$J372,-2)</f>
        <v>#REF!</v>
      </c>
      <c r="L372" s="1959" t="e">
        <f t="shared" si="34"/>
        <v>#REF!</v>
      </c>
      <c r="M372" s="1490"/>
    </row>
    <row r="373" spans="1:13" ht="31.5">
      <c r="B373" s="1589">
        <v>1</v>
      </c>
      <c r="C373" s="1512" t="s">
        <v>4020</v>
      </c>
      <c r="D373" s="1505" t="s">
        <v>545</v>
      </c>
      <c r="E373" s="1505"/>
      <c r="F373" s="1505"/>
      <c r="G373" s="1505"/>
      <c r="H373" s="1505"/>
      <c r="I373" s="1505"/>
      <c r="J373" s="1506" t="e">
        <f>J372</f>
        <v>#REF!</v>
      </c>
      <c r="K373" s="1507">
        <f>'DGCT Duong'!$I$1181</f>
        <v>2558700</v>
      </c>
      <c r="L373" s="1507" t="e">
        <f t="shared" si="34"/>
        <v>#REF!</v>
      </c>
      <c r="M373" s="78"/>
    </row>
    <row r="374" spans="1:13" ht="18" customHeight="1">
      <c r="B374" s="1589">
        <v>2</v>
      </c>
      <c r="C374" s="1512" t="s">
        <v>3663</v>
      </c>
      <c r="D374" s="1505" t="s">
        <v>547</v>
      </c>
      <c r="E374" s="1505"/>
      <c r="F374" s="1505"/>
      <c r="G374" s="1505"/>
      <c r="H374" s="1505"/>
      <c r="I374" s="1505"/>
      <c r="J374" s="1506">
        <v>9.6</v>
      </c>
      <c r="K374" s="1507">
        <f>'DGCT Duong'!$I$132</f>
        <v>17754300</v>
      </c>
      <c r="L374" s="1507">
        <f t="shared" si="34"/>
        <v>170441280</v>
      </c>
      <c r="M374" s="78"/>
    </row>
    <row r="375" spans="1:13" ht="18" customHeight="1">
      <c r="A375" s="87">
        <v>1</v>
      </c>
      <c r="B375" s="1955" t="str">
        <f>IF(A375&lt;&gt;0,"TH "&amp;COUNTA($A$7:A375),"")</f>
        <v>TH 67</v>
      </c>
      <c r="C375" s="1956" t="s">
        <v>2031</v>
      </c>
      <c r="D375" s="1957" t="s">
        <v>545</v>
      </c>
      <c r="E375" s="1957"/>
      <c r="F375" s="1957"/>
      <c r="G375" s="1957"/>
      <c r="H375" s="1957"/>
      <c r="I375" s="1957"/>
      <c r="J375" s="1958" t="e">
        <f>GiaDuThau!#REF!</f>
        <v>#REF!</v>
      </c>
      <c r="K375" s="1959" t="e">
        <f>ROUND(SUM(L376:L377)/$J375,-2)</f>
        <v>#REF!</v>
      </c>
      <c r="L375" s="1959" t="e">
        <f t="shared" si="34"/>
        <v>#REF!</v>
      </c>
      <c r="M375" s="1490"/>
    </row>
    <row r="376" spans="1:13" ht="18" customHeight="1">
      <c r="B376" s="1589">
        <v>1</v>
      </c>
      <c r="C376" s="1512" t="s">
        <v>2026</v>
      </c>
      <c r="D376" s="1505" t="s">
        <v>545</v>
      </c>
      <c r="E376" s="1505"/>
      <c r="F376" s="1505"/>
      <c r="G376" s="1505"/>
      <c r="H376" s="1505"/>
      <c r="I376" s="1505"/>
      <c r="J376" s="1506" t="e">
        <f>J375</f>
        <v>#REF!</v>
      </c>
      <c r="K376" s="1507">
        <f>'DGCT Duong'!$I$766</f>
        <v>22300</v>
      </c>
      <c r="L376" s="1507" t="e">
        <f t="shared" si="34"/>
        <v>#REF!</v>
      </c>
      <c r="M376" s="78"/>
    </row>
    <row r="377" spans="1:13" ht="18" customHeight="1">
      <c r="B377" s="1589">
        <f>B376+1</f>
        <v>2</v>
      </c>
      <c r="C377" s="1512" t="s">
        <v>5478</v>
      </c>
      <c r="D377" s="1505" t="s">
        <v>545</v>
      </c>
      <c r="E377" s="1505"/>
      <c r="F377" s="1505"/>
      <c r="G377" s="1505"/>
      <c r="H377" s="1505"/>
      <c r="I377" s="1505"/>
      <c r="J377" s="1506" t="e">
        <f>J376-GiaDuThau!#REF!*1.13</f>
        <v>#REF!</v>
      </c>
      <c r="K377" s="1507">
        <f>'DGCT Duong'!$I$1459</f>
        <v>32700</v>
      </c>
      <c r="L377" s="1507" t="e">
        <f t="shared" si="34"/>
        <v>#REF!</v>
      </c>
      <c r="M377" s="78"/>
    </row>
    <row r="378" spans="1:13" ht="18" customHeight="1">
      <c r="A378" s="87">
        <v>1</v>
      </c>
      <c r="B378" s="1955" t="str">
        <f>IF(A378&lt;&gt;0,"TH "&amp;COUNTA($A$7:A378),"")</f>
        <v>TH 68</v>
      </c>
      <c r="C378" s="1956" t="s">
        <v>4046</v>
      </c>
      <c r="D378" s="1957" t="s">
        <v>545</v>
      </c>
      <c r="E378" s="1957"/>
      <c r="F378" s="1957"/>
      <c r="G378" s="1957"/>
      <c r="H378" s="1957"/>
      <c r="I378" s="1957"/>
      <c r="J378" s="1958" t="e">
        <f>GiaDuThau!#REF!</f>
        <v>#REF!</v>
      </c>
      <c r="K378" s="1959" t="e">
        <f>ROUND(SUM(L379:L381)/$J378,-2)</f>
        <v>#REF!</v>
      </c>
      <c r="L378" s="1959" t="e">
        <f t="shared" si="34"/>
        <v>#REF!</v>
      </c>
      <c r="M378" s="1490"/>
    </row>
    <row r="379" spans="1:13" ht="18" customHeight="1">
      <c r="B379" s="1589">
        <v>1</v>
      </c>
      <c r="C379" s="1512" t="s">
        <v>4046</v>
      </c>
      <c r="D379" s="1505" t="s">
        <v>545</v>
      </c>
      <c r="E379" s="1505"/>
      <c r="F379" s="1505"/>
      <c r="G379" s="1505"/>
      <c r="H379" s="1505"/>
      <c r="I379" s="1505"/>
      <c r="J379" s="1506" t="e">
        <f>J378</f>
        <v>#REF!</v>
      </c>
      <c r="K379" s="1507">
        <f>'DGCT Duong'!$I$787</f>
        <v>2737600</v>
      </c>
      <c r="L379" s="1507" t="e">
        <f t="shared" si="34"/>
        <v>#REF!</v>
      </c>
      <c r="M379" s="78"/>
    </row>
    <row r="380" spans="1:13" ht="32.1" customHeight="1">
      <c r="B380" s="1589">
        <f>B379+1</f>
        <v>2</v>
      </c>
      <c r="C380" s="1512" t="s">
        <v>5785</v>
      </c>
      <c r="D380" s="1505" t="s">
        <v>545</v>
      </c>
      <c r="E380" s="1505"/>
      <c r="F380" s="1505"/>
      <c r="G380" s="1505"/>
      <c r="H380" s="1505"/>
      <c r="I380" s="1505"/>
      <c r="J380" s="1506" t="e">
        <f>J379*1.015</f>
        <v>#REF!</v>
      </c>
      <c r="K380" s="1507">
        <f>'DGCT Duong'!$I$1490</f>
        <v>170600</v>
      </c>
      <c r="L380" s="1507" t="e">
        <f t="shared" si="34"/>
        <v>#REF!</v>
      </c>
      <c r="M380" s="78"/>
    </row>
    <row r="381" spans="1:13" s="1573" customFormat="1" ht="18" customHeight="1">
      <c r="B381" s="1589">
        <f>B380+1</f>
        <v>3</v>
      </c>
      <c r="C381" s="1512" t="s">
        <v>3663</v>
      </c>
      <c r="D381" s="1505" t="s">
        <v>547</v>
      </c>
      <c r="E381" s="1505"/>
      <c r="F381" s="1505"/>
      <c r="G381" s="1505"/>
      <c r="H381" s="1505"/>
      <c r="I381" s="1505"/>
      <c r="J381" s="1506">
        <v>3.77</v>
      </c>
      <c r="K381" s="1507">
        <f>'DGCT Duong'!$I$132</f>
        <v>17754300</v>
      </c>
      <c r="L381" s="1507">
        <f t="shared" si="34"/>
        <v>66933711</v>
      </c>
      <c r="M381" s="1584"/>
    </row>
    <row r="382" spans="1:13" ht="18" customHeight="1">
      <c r="A382" s="87">
        <v>1</v>
      </c>
      <c r="B382" s="1955" t="str">
        <f>IF(A382&lt;&gt;0,"TH "&amp;COUNTA($A$7:A382),"")</f>
        <v>TH 69</v>
      </c>
      <c r="C382" s="1956" t="s">
        <v>5792</v>
      </c>
      <c r="D382" s="1957" t="s">
        <v>557</v>
      </c>
      <c r="E382" s="1957"/>
      <c r="F382" s="1957"/>
      <c r="G382" s="1957"/>
      <c r="H382" s="1957"/>
      <c r="I382" s="1957"/>
      <c r="J382" s="1958" t="e">
        <f>GiaDuThau!#REF!</f>
        <v>#REF!</v>
      </c>
      <c r="K382" s="1959" t="e">
        <f>ROUND(SUM(L383:L384)/$J382,-2)</f>
        <v>#REF!</v>
      </c>
      <c r="L382" s="1959" t="e">
        <f t="shared" si="34"/>
        <v>#REF!</v>
      </c>
      <c r="M382" s="1490"/>
    </row>
    <row r="383" spans="1:13" ht="18" customHeight="1">
      <c r="B383" s="1589">
        <v>1</v>
      </c>
      <c r="C383" s="1512" t="s">
        <v>4063</v>
      </c>
      <c r="D383" s="1505" t="s">
        <v>557</v>
      </c>
      <c r="E383" s="1505"/>
      <c r="F383" s="1505"/>
      <c r="G383" s="1505"/>
      <c r="H383" s="1505"/>
      <c r="I383" s="1505"/>
      <c r="J383" s="1506">
        <v>0.54</v>
      </c>
      <c r="K383" s="1507">
        <f>'DGCT Duong'!$I$226</f>
        <v>27781400</v>
      </c>
      <c r="L383" s="1507">
        <f t="shared" si="34"/>
        <v>15001956.000000002</v>
      </c>
    </row>
    <row r="384" spans="1:13" ht="18" customHeight="1">
      <c r="B384" s="1589">
        <f>B383+1</f>
        <v>2</v>
      </c>
      <c r="C384" s="1512" t="s">
        <v>4053</v>
      </c>
      <c r="D384" s="1505" t="s">
        <v>557</v>
      </c>
      <c r="E384" s="1505"/>
      <c r="F384" s="1505"/>
      <c r="G384" s="1505"/>
      <c r="H384" s="1505"/>
      <c r="I384" s="1505"/>
      <c r="J384" s="1506">
        <v>17.48</v>
      </c>
      <c r="K384" s="1507">
        <f>'DGCT Duong'!$I$1199</f>
        <v>27270800</v>
      </c>
      <c r="L384" s="1507">
        <f t="shared" si="34"/>
        <v>476693584</v>
      </c>
    </row>
    <row r="385" spans="1:13" ht="18" customHeight="1">
      <c r="A385" s="87">
        <v>1</v>
      </c>
      <c r="B385" s="1955" t="str">
        <f>IF(A385&lt;&gt;0,"TH "&amp;COUNTA($A$7:A385),"")</f>
        <v>TH 70</v>
      </c>
      <c r="C385" s="1956" t="s">
        <v>4046</v>
      </c>
      <c r="D385" s="1957" t="s">
        <v>545</v>
      </c>
      <c r="E385" s="1957"/>
      <c r="F385" s="1957"/>
      <c r="G385" s="1957"/>
      <c r="H385" s="1957"/>
      <c r="I385" s="1957"/>
      <c r="J385" s="1958" t="e">
        <f>GiaDuThau!#REF!</f>
        <v>#REF!</v>
      </c>
      <c r="K385" s="1959" t="e">
        <f>ROUND(SUM(L386:L388)/$J385,-2)</f>
        <v>#REF!</v>
      </c>
      <c r="L385" s="1959" t="e">
        <f t="shared" si="34"/>
        <v>#REF!</v>
      </c>
      <c r="M385" s="1490"/>
    </row>
    <row r="386" spans="1:13" ht="18" customHeight="1">
      <c r="B386" s="1589">
        <v>1</v>
      </c>
      <c r="C386" s="1512" t="s">
        <v>4046</v>
      </c>
      <c r="D386" s="1505" t="s">
        <v>545</v>
      </c>
      <c r="E386" s="1505"/>
      <c r="F386" s="1505"/>
      <c r="G386" s="1505"/>
      <c r="H386" s="1505"/>
      <c r="I386" s="1505"/>
      <c r="J386" s="1506" t="e">
        <f>J385</f>
        <v>#REF!</v>
      </c>
      <c r="K386" s="1507">
        <f>'DGCT Duong'!$I$787</f>
        <v>2737600</v>
      </c>
      <c r="L386" s="1507" t="e">
        <f t="shared" si="34"/>
        <v>#REF!</v>
      </c>
      <c r="M386" s="87"/>
    </row>
    <row r="387" spans="1:13" ht="32.1" customHeight="1">
      <c r="B387" s="1589">
        <f>B386+1</f>
        <v>2</v>
      </c>
      <c r="C387" s="1512" t="s">
        <v>5785</v>
      </c>
      <c r="D387" s="1505" t="s">
        <v>545</v>
      </c>
      <c r="E387" s="1505"/>
      <c r="F387" s="1505"/>
      <c r="G387" s="1505"/>
      <c r="H387" s="1505"/>
      <c r="I387" s="1505"/>
      <c r="J387" s="1506" t="e">
        <f>J386*1.015</f>
        <v>#REF!</v>
      </c>
      <c r="K387" s="1507">
        <f>'DGCT Duong'!$I$1490</f>
        <v>170600</v>
      </c>
      <c r="L387" s="1507" t="e">
        <f t="shared" si="34"/>
        <v>#REF!</v>
      </c>
      <c r="M387" s="78"/>
    </row>
    <row r="388" spans="1:13" ht="18" customHeight="1">
      <c r="B388" s="1589">
        <f>B387+1</f>
        <v>3</v>
      </c>
      <c r="C388" s="1512" t="s">
        <v>3663</v>
      </c>
      <c r="D388" s="1505" t="s">
        <v>547</v>
      </c>
      <c r="E388" s="1505"/>
      <c r="F388" s="1505"/>
      <c r="G388" s="1505"/>
      <c r="H388" s="1505"/>
      <c r="I388" s="1505"/>
      <c r="J388" s="1506">
        <v>4.71</v>
      </c>
      <c r="K388" s="1507">
        <f>'DGCT Duong'!$I$132</f>
        <v>17754300</v>
      </c>
      <c r="L388" s="1507">
        <f t="shared" si="34"/>
        <v>83622753</v>
      </c>
      <c r="M388" s="87"/>
    </row>
    <row r="389" spans="1:13" ht="31.5">
      <c r="A389" s="87">
        <v>1</v>
      </c>
      <c r="B389" s="1955" t="str">
        <f>IF(A389&lt;&gt;0,"TH "&amp;COUNTA($A$7:A389),"")</f>
        <v>TH 71</v>
      </c>
      <c r="C389" s="1956" t="s">
        <v>5794</v>
      </c>
      <c r="D389" s="1957" t="s">
        <v>543</v>
      </c>
      <c r="E389" s="1957"/>
      <c r="F389" s="1957"/>
      <c r="G389" s="1957"/>
      <c r="H389" s="1957"/>
      <c r="I389" s="1957"/>
      <c r="J389" s="1958" t="e">
        <f>GiaDuThau!#REF!</f>
        <v>#REF!</v>
      </c>
      <c r="K389" s="1959" t="e">
        <f>ROUND(SUM(L390:L391)/$J389,-2)</f>
        <v>#REF!</v>
      </c>
      <c r="L389" s="1959" t="e">
        <f t="shared" si="34"/>
        <v>#REF!</v>
      </c>
      <c r="M389" s="1490"/>
    </row>
    <row r="390" spans="1:13" ht="50.1" customHeight="1">
      <c r="B390" s="1589">
        <v>1</v>
      </c>
      <c r="C390" s="1512" t="s">
        <v>3986</v>
      </c>
      <c r="D390" s="1505" t="s">
        <v>543</v>
      </c>
      <c r="E390" s="1505"/>
      <c r="F390" s="1505"/>
      <c r="G390" s="1505"/>
      <c r="H390" s="1505"/>
      <c r="I390" s="1505"/>
      <c r="J390" s="1506" t="e">
        <f>J389</f>
        <v>#REF!</v>
      </c>
      <c r="K390" s="1507">
        <f>'DGCT Duong'!$I$375</f>
        <v>3775500</v>
      </c>
      <c r="L390" s="1507" t="e">
        <f t="shared" si="34"/>
        <v>#REF!</v>
      </c>
      <c r="M390" s="87"/>
    </row>
    <row r="391" spans="1:13" ht="51.75" customHeight="1">
      <c r="B391" s="1592">
        <v>2</v>
      </c>
      <c r="C391" s="1588" t="s">
        <v>3936</v>
      </c>
      <c r="D391" s="1587" t="s">
        <v>543</v>
      </c>
      <c r="E391" s="1587"/>
      <c r="F391" s="1587"/>
      <c r="G391" s="1587"/>
      <c r="H391" s="1587"/>
      <c r="I391" s="1587"/>
      <c r="J391" s="1598" t="e">
        <f>J390</f>
        <v>#REF!</v>
      </c>
      <c r="K391" s="1593">
        <f>'DGCT Duong'!$I$389</f>
        <v>523800</v>
      </c>
      <c r="L391" s="1507" t="e">
        <f t="shared" si="34"/>
        <v>#REF!</v>
      </c>
      <c r="M391" s="87"/>
    </row>
    <row r="392" spans="1:13" ht="32.1" customHeight="1">
      <c r="A392" s="87">
        <v>1</v>
      </c>
      <c r="B392" s="1955" t="str">
        <f>IF(A392&lt;&gt;0,"TH "&amp;COUNTA($A$7:A392),"")</f>
        <v>TH 72</v>
      </c>
      <c r="C392" s="1956" t="s">
        <v>5795</v>
      </c>
      <c r="D392" s="1957" t="s">
        <v>545</v>
      </c>
      <c r="E392" s="1957"/>
      <c r="F392" s="1957"/>
      <c r="G392" s="1957"/>
      <c r="H392" s="1957"/>
      <c r="I392" s="1957"/>
      <c r="J392" s="1958" t="e">
        <f>GiaDuThau!#REF!</f>
        <v>#REF!</v>
      </c>
      <c r="K392" s="1959" t="e">
        <f>ROUND(SUM(L393:L394)/$J392,-2)</f>
        <v>#REF!</v>
      </c>
      <c r="L392" s="1959" t="e">
        <f t="shared" si="34"/>
        <v>#REF!</v>
      </c>
      <c r="M392" s="1490"/>
    </row>
    <row r="393" spans="1:13" ht="18" customHeight="1">
      <c r="B393" s="1589">
        <v>1</v>
      </c>
      <c r="C393" s="1512" t="s">
        <v>3934</v>
      </c>
      <c r="D393" s="1505" t="s">
        <v>545</v>
      </c>
      <c r="E393" s="1505"/>
      <c r="F393" s="1505"/>
      <c r="G393" s="1505"/>
      <c r="H393" s="1505"/>
      <c r="I393" s="1505"/>
      <c r="J393" s="1506" t="e">
        <f>J392</f>
        <v>#REF!</v>
      </c>
      <c r="K393" s="1507">
        <f>'DGCT Duong'!$I$934</f>
        <v>22200</v>
      </c>
      <c r="L393" s="1507" t="e">
        <f t="shared" si="34"/>
        <v>#REF!</v>
      </c>
      <c r="M393" s="87"/>
    </row>
    <row r="394" spans="1:13" ht="18" customHeight="1">
      <c r="B394" s="1589">
        <v>2</v>
      </c>
      <c r="C394" s="1512" t="s">
        <v>5478</v>
      </c>
      <c r="D394" s="1505" t="s">
        <v>545</v>
      </c>
      <c r="E394" s="1505"/>
      <c r="F394" s="1505"/>
      <c r="G394" s="1505"/>
      <c r="H394" s="1505"/>
      <c r="I394" s="1505"/>
      <c r="J394" s="1506" t="e">
        <f>J393</f>
        <v>#REF!</v>
      </c>
      <c r="K394" s="1507">
        <f>'DGCT Duong'!$I$1459</f>
        <v>32700</v>
      </c>
      <c r="L394" s="1507" t="e">
        <f t="shared" si="34"/>
        <v>#REF!</v>
      </c>
      <c r="M394" s="87"/>
    </row>
    <row r="395" spans="1:13" ht="32.1" customHeight="1">
      <c r="A395" s="87">
        <v>1</v>
      </c>
      <c r="B395" s="1955" t="str">
        <f>IF(A395&lt;&gt;0,"TH "&amp;COUNTA($A$7:A395),"")</f>
        <v>TH 73</v>
      </c>
      <c r="C395" s="1956" t="s">
        <v>5796</v>
      </c>
      <c r="D395" s="1957" t="s">
        <v>545</v>
      </c>
      <c r="E395" s="1957"/>
      <c r="F395" s="1957"/>
      <c r="G395" s="1957"/>
      <c r="H395" s="1957"/>
      <c r="I395" s="1957"/>
      <c r="J395" s="1958" t="e">
        <f>GiaDuThau!#REF!</f>
        <v>#REF!</v>
      </c>
      <c r="K395" s="1959" t="e">
        <f>ROUND(SUM(L396:L397)/$J395,-2)</f>
        <v>#REF!</v>
      </c>
      <c r="L395" s="1959" t="e">
        <f t="shared" si="34"/>
        <v>#REF!</v>
      </c>
      <c r="M395" s="1490"/>
    </row>
    <row r="396" spans="1:13" ht="18" customHeight="1">
      <c r="B396" s="1589">
        <v>1</v>
      </c>
      <c r="C396" s="1512" t="s">
        <v>3932</v>
      </c>
      <c r="D396" s="1505" t="s">
        <v>545</v>
      </c>
      <c r="E396" s="1505"/>
      <c r="F396" s="1505"/>
      <c r="G396" s="1505"/>
      <c r="H396" s="1505"/>
      <c r="I396" s="1505"/>
      <c r="J396" s="1506" t="e">
        <f>J395</f>
        <v>#REF!</v>
      </c>
      <c r="K396" s="1507">
        <f>'DGCT Duong'!$I$920</f>
        <v>40300</v>
      </c>
      <c r="L396" s="1507" t="e">
        <f t="shared" si="34"/>
        <v>#REF!</v>
      </c>
      <c r="M396" s="87"/>
    </row>
    <row r="397" spans="1:13" ht="18" customHeight="1">
      <c r="B397" s="1589">
        <v>2</v>
      </c>
      <c r="C397" s="1512" t="s">
        <v>5481</v>
      </c>
      <c r="D397" s="1505" t="s">
        <v>545</v>
      </c>
      <c r="E397" s="1505"/>
      <c r="F397" s="1505"/>
      <c r="G397" s="1505"/>
      <c r="H397" s="1505"/>
      <c r="I397" s="1505"/>
      <c r="J397" s="1506" t="e">
        <f>J396</f>
        <v>#REF!</v>
      </c>
      <c r="K397" s="1507">
        <f>'DGCT Duong'!$I$1472</f>
        <v>46100</v>
      </c>
      <c r="L397" s="1507" t="e">
        <f t="shared" si="34"/>
        <v>#REF!</v>
      </c>
      <c r="M397" s="87"/>
    </row>
    <row r="398" spans="1:13" ht="18" customHeight="1">
      <c r="B398" s="1589"/>
      <c r="C398" s="1565" t="s">
        <v>5809</v>
      </c>
      <c r="D398" s="1505"/>
      <c r="E398" s="1505"/>
      <c r="F398" s="1505"/>
      <c r="G398" s="1505"/>
      <c r="H398" s="1505"/>
      <c r="I398" s="1505"/>
      <c r="J398" s="1506"/>
      <c r="K398" s="1507"/>
      <c r="L398" s="1507"/>
      <c r="M398" s="1490"/>
    </row>
    <row r="399" spans="1:13" ht="31.5">
      <c r="A399" s="87">
        <v>1</v>
      </c>
      <c r="B399" s="1955" t="str">
        <f>IF(A399&lt;&gt;0,"TH "&amp;COUNTA($A$7:A399),"")</f>
        <v>TH 74</v>
      </c>
      <c r="C399" s="1956" t="s">
        <v>5817</v>
      </c>
      <c r="D399" s="1957" t="s">
        <v>5818</v>
      </c>
      <c r="E399" s="1957"/>
      <c r="F399" s="1957"/>
      <c r="G399" s="1957"/>
      <c r="H399" s="1957"/>
      <c r="I399" s="1957"/>
      <c r="J399" s="1958">
        <f>GiaDuThau!$D$249</f>
        <v>18</v>
      </c>
      <c r="K399" s="1959">
        <f>ROUND(SUM(L400:L403)/$J399,-2)</f>
        <v>7777200</v>
      </c>
      <c r="L399" s="1959">
        <f>J399*K399</f>
        <v>139989600</v>
      </c>
      <c r="M399" s="1490"/>
    </row>
    <row r="400" spans="1:13" ht="18" customHeight="1">
      <c r="B400" s="1589">
        <v>1</v>
      </c>
      <c r="C400" s="1512" t="s">
        <v>5820</v>
      </c>
      <c r="D400" s="1505" t="s">
        <v>5818</v>
      </c>
      <c r="E400" s="1505"/>
      <c r="F400" s="1505"/>
      <c r="G400" s="1505"/>
      <c r="H400" s="1505"/>
      <c r="I400" s="1505"/>
      <c r="J400" s="1506">
        <f>J399</f>
        <v>18</v>
      </c>
      <c r="K400" s="1507">
        <f>'DGCT CS'!$H$82</f>
        <v>7708500</v>
      </c>
      <c r="L400" s="1507">
        <f>J400*K400</f>
        <v>138753000</v>
      </c>
      <c r="M400" s="78"/>
    </row>
    <row r="401" spans="2:13" s="2076" customFormat="1" ht="18" customHeight="1">
      <c r="B401" s="1589">
        <v>2</v>
      </c>
      <c r="C401" s="1512" t="s">
        <v>5824</v>
      </c>
      <c r="D401" s="1505" t="s">
        <v>5818</v>
      </c>
      <c r="E401" s="1505"/>
      <c r="F401" s="1505"/>
      <c r="G401" s="1505"/>
      <c r="H401" s="1505"/>
      <c r="I401" s="1505"/>
      <c r="J401" s="1506">
        <f>J400</f>
        <v>18</v>
      </c>
      <c r="K401" s="1507">
        <f>'DGCT Duong'!$I$1459</f>
        <v>32700</v>
      </c>
      <c r="L401" s="1507">
        <f>J401*K401</f>
        <v>588600</v>
      </c>
      <c r="M401" s="78"/>
    </row>
    <row r="402" spans="2:13" s="2076" customFormat="1" ht="18" customHeight="1">
      <c r="B402" s="1589">
        <v>3</v>
      </c>
      <c r="C402" s="1512" t="s">
        <v>5827</v>
      </c>
      <c r="D402" s="1505" t="s">
        <v>567</v>
      </c>
      <c r="E402" s="1505"/>
      <c r="F402" s="1505"/>
      <c r="G402" s="1505"/>
      <c r="H402" s="1505"/>
      <c r="I402" s="1505"/>
      <c r="J402" s="1506">
        <f>J400</f>
        <v>18</v>
      </c>
      <c r="K402" s="1507">
        <f>'DGCT Duong'!$I$1459</f>
        <v>32700</v>
      </c>
      <c r="L402" s="1507">
        <f>J402*K402</f>
        <v>588600</v>
      </c>
      <c r="M402" s="78"/>
    </row>
    <row r="403" spans="2:13" s="2076" customFormat="1" ht="18" customHeight="1">
      <c r="B403" s="1589">
        <v>4</v>
      </c>
      <c r="C403" s="1512" t="s">
        <v>5829</v>
      </c>
      <c r="D403" s="1505" t="s">
        <v>5830</v>
      </c>
      <c r="E403" s="1505"/>
      <c r="F403" s="1505"/>
      <c r="G403" s="1505"/>
      <c r="H403" s="1505"/>
      <c r="I403" s="1505"/>
      <c r="J403" s="1506">
        <v>1.8</v>
      </c>
      <c r="K403" s="1507">
        <f>'DGCT Duong'!$I$1459</f>
        <v>32700</v>
      </c>
      <c r="L403" s="1507">
        <f>J403*K403</f>
        <v>58860</v>
      </c>
      <c r="M403" s="78"/>
    </row>
    <row r="404" spans="2:13" s="1517" customFormat="1" ht="18" customHeight="1">
      <c r="B404" s="2066"/>
      <c r="C404" s="2067"/>
      <c r="D404" s="2068"/>
      <c r="E404" s="2068"/>
      <c r="F404" s="2068"/>
      <c r="G404" s="2068"/>
      <c r="H404" s="2068"/>
      <c r="I404" s="2068"/>
      <c r="J404" s="2069"/>
      <c r="K404" s="2070"/>
      <c r="L404" s="2070"/>
      <c r="M404" s="1518"/>
    </row>
  </sheetData>
  <autoFilter ref="A6:L145"/>
  <printOptions horizontalCentered="1"/>
  <pageMargins left="0.88" right="0.3" top="0.44" bottom="0.56999999999999995" header="0" footer="0.41"/>
  <pageSetup paperSize="9" scale="90" firstPageNumber="7" orientation="portrait" blackAndWhite="1" r:id="rId1"/>
  <headerFooter>
    <oddFooter>&amp;CPage &amp;P of ĐGTH- LB</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Y3411"/>
  <sheetViews>
    <sheetView showZeros="0" showRuler="0" view="pageBreakPreview" zoomScaleNormal="110" zoomScaleSheetLayoutView="100" workbookViewId="0">
      <pane ySplit="6" topLeftCell="A43" activePane="bottomLeft" state="frozen"/>
      <selection activeCell="E40" sqref="E40"/>
      <selection pane="bottomLeft" activeCell="E12" sqref="E12"/>
    </sheetView>
  </sheetViews>
  <sheetFormatPr defaultRowHeight="18.75" customHeight="1"/>
  <cols>
    <col min="1" max="1" width="2.7109375" style="657" customWidth="1"/>
    <col min="2" max="2" width="6" style="657" customWidth="1"/>
    <col min="3" max="3" width="7.28515625" style="657" hidden="1" customWidth="1"/>
    <col min="4" max="4" width="9.42578125" style="657" customWidth="1"/>
    <col min="5" max="5" width="40.140625" style="959" customWidth="1"/>
    <col min="6" max="6" width="8.7109375" style="700" customWidth="1"/>
    <col min="7" max="7" width="10.140625" style="700" customWidth="1"/>
    <col min="8" max="8" width="12.42578125" style="932" customWidth="1"/>
    <col min="9" max="9" width="15" style="960" customWidth="1"/>
    <col min="10" max="10" width="15.28515625" style="842" bestFit="1" customWidth="1"/>
    <col min="11" max="12" width="11.28515625" style="842" bestFit="1" customWidth="1"/>
    <col min="13" max="13" width="4.85546875" style="657" bestFit="1" customWidth="1"/>
    <col min="14" max="14" width="3.85546875" style="657" bestFit="1" customWidth="1"/>
    <col min="15" max="16384" width="9.140625" style="657"/>
  </cols>
  <sheetData>
    <row r="1" spans="1:15" s="826" customFormat="1" ht="23.25" customHeight="1">
      <c r="B1" s="1652" t="s">
        <v>2136</v>
      </c>
      <c r="C1" s="824"/>
      <c r="D1" s="824"/>
      <c r="E1" s="822"/>
      <c r="F1" s="824"/>
      <c r="G1" s="824"/>
      <c r="H1" s="824"/>
      <c r="I1" s="825"/>
    </row>
    <row r="2" spans="1:15" s="826" customFormat="1" ht="23.25" customHeight="1">
      <c r="B2" s="1653" t="str">
        <f>GiaDuThau!A2</f>
        <v>DỰ ÁN ĐẦU TƯ XÂY DỰNG CẦU LONG BÌNH – CHREY THOM</v>
      </c>
      <c r="C2" s="824"/>
      <c r="D2" s="824"/>
      <c r="E2" s="822"/>
      <c r="F2" s="824"/>
      <c r="G2" s="824"/>
      <c r="H2" s="824"/>
      <c r="I2" s="825"/>
    </row>
    <row r="3" spans="1:15" s="1656" customFormat="1" ht="20.100000000000001" customHeight="1">
      <c r="B3" s="1653" t="str">
        <f>GiaDuThau!A3</f>
        <v>HẠNG MỤC: PHẦN CẦU, PHẦN TUYẾN, CHIẾU SÁNG (PHÍA BỜ VIỆT NAM)</v>
      </c>
      <c r="C3" s="1654"/>
      <c r="D3" s="1654"/>
      <c r="E3" s="1570"/>
      <c r="F3" s="1654"/>
      <c r="G3" s="1654"/>
      <c r="H3" s="1654"/>
      <c r="I3" s="1655"/>
    </row>
    <row r="4" spans="1:15" s="826" customFormat="1" ht="12.75">
      <c r="B4" s="830"/>
      <c r="C4" s="824"/>
      <c r="D4" s="824"/>
      <c r="E4" s="822"/>
      <c r="F4" s="832"/>
      <c r="G4" s="824"/>
      <c r="H4" s="824"/>
      <c r="I4" s="763" t="s">
        <v>5084</v>
      </c>
    </row>
    <row r="5" spans="1:15" s="831" customFormat="1" ht="24" customHeight="1">
      <c r="B5" s="1967" t="s">
        <v>524</v>
      </c>
      <c r="C5" s="1051" t="s">
        <v>281</v>
      </c>
      <c r="D5" s="1968" t="s">
        <v>533</v>
      </c>
      <c r="E5" s="1969" t="s">
        <v>285</v>
      </c>
      <c r="F5" s="1967" t="s">
        <v>282</v>
      </c>
      <c r="G5" s="1969" t="s">
        <v>283</v>
      </c>
      <c r="H5" s="1970" t="s">
        <v>284</v>
      </c>
      <c r="I5" s="1971" t="s">
        <v>569</v>
      </c>
      <c r="J5" s="1468">
        <v>0.02</v>
      </c>
      <c r="K5" s="1469">
        <f>5.5%</f>
        <v>5.5E-2</v>
      </c>
      <c r="L5" s="1468">
        <v>0.06</v>
      </c>
      <c r="M5" s="1468">
        <v>0.1</v>
      </c>
      <c r="N5" s="1468">
        <v>0.01</v>
      </c>
      <c r="O5" s="821"/>
    </row>
    <row r="6" spans="1:15" s="831" customFormat="1" ht="15.75" customHeight="1">
      <c r="B6" s="1734">
        <v>1</v>
      </c>
      <c r="C6" s="1542" t="s">
        <v>5032</v>
      </c>
      <c r="D6" s="1734">
        <v>2</v>
      </c>
      <c r="E6" s="1734">
        <v>3</v>
      </c>
      <c r="F6" s="1734">
        <v>4</v>
      </c>
      <c r="G6" s="1734">
        <v>5</v>
      </c>
      <c r="H6" s="1734">
        <v>6</v>
      </c>
      <c r="I6" s="1734">
        <v>7</v>
      </c>
      <c r="J6" s="1488">
        <f>(1+J5)*(1+K5)*(1+L5)*(1+M5)*(1+N5)</f>
        <v>1.2672799260000003</v>
      </c>
      <c r="K6" s="832"/>
      <c r="L6" s="832"/>
    </row>
    <row r="7" spans="1:15" ht="14.25">
      <c r="A7" s="657">
        <v>1</v>
      </c>
      <c r="B7" s="1546">
        <f>IF(A7&lt;&gt;0,COUNTA(A$7:$A7),"")</f>
        <v>1</v>
      </c>
      <c r="C7" s="1547">
        <f>'8.Dgia'!C10</f>
        <v>1776</v>
      </c>
      <c r="D7" s="1547" t="str">
        <f>'8.Dgia'!D10</f>
        <v>AF.33110</v>
      </c>
      <c r="E7" s="1740" t="str">
        <f>'8.Dgia'!E10</f>
        <v>Bê tông C35 mố/trụ trên cạn</v>
      </c>
      <c r="F7" s="1741" t="str">
        <f>'8.Dgia'!G10</f>
        <v>m3</v>
      </c>
      <c r="G7" s="1742">
        <f>'8.Dgia'!H10</f>
        <v>0</v>
      </c>
      <c r="H7" s="1743"/>
      <c r="I7" s="1743"/>
      <c r="J7" s="842">
        <f>+I8</f>
        <v>1198945.6805278724</v>
      </c>
      <c r="K7" s="842">
        <f>+I11</f>
        <v>485780.96</v>
      </c>
      <c r="L7" s="842">
        <f>+I12</f>
        <v>213150.56286903753</v>
      </c>
    </row>
    <row r="8" spans="1:15" s="658" customFormat="1" ht="15">
      <c r="B8" s="1536" t="str">
        <f>'8.Dgia'!B11</f>
        <v/>
      </c>
      <c r="C8" s="1537">
        <f>'8.Dgia'!C11</f>
        <v>0</v>
      </c>
      <c r="D8" s="1537">
        <f>'8.Dgia'!D11</f>
        <v>0</v>
      </c>
      <c r="E8" s="1744" t="str">
        <f>'8.Dgia'!E11</f>
        <v xml:space="preserve">  A - Vật liệu</v>
      </c>
      <c r="F8" s="1745">
        <f>'8.Dgia'!G11</f>
        <v>0</v>
      </c>
      <c r="G8" s="1746">
        <f>'8.Dgia'!H11</f>
        <v>0</v>
      </c>
      <c r="H8" s="1747"/>
      <c r="I8" s="1755">
        <f>SUM(I9:I10)</f>
        <v>1198945.6805278724</v>
      </c>
      <c r="J8" s="850"/>
      <c r="K8" s="850"/>
      <c r="L8" s="850"/>
    </row>
    <row r="9" spans="1:15" ht="15" customHeight="1">
      <c r="B9" s="1536" t="str">
        <f>'8.Dgia'!B12</f>
        <v/>
      </c>
      <c r="C9" s="1537">
        <f>'8.Dgia'!C12</f>
        <v>0</v>
      </c>
      <c r="D9" s="1537" t="str">
        <f>'8.Dgia'!D12</f>
        <v>C3327</v>
      </c>
      <c r="E9" s="1749" t="str">
        <f>'8.Dgia'!E12</f>
        <v>Vữa bê tông đá 1x2 C35 (độ sụt 14-17cm)</v>
      </c>
      <c r="F9" s="1745" t="str">
        <f>'8.Dgia'!G12</f>
        <v>m3</v>
      </c>
      <c r="G9" s="1746">
        <f>'8.Dgia'!H12</f>
        <v>1.0149999999999999</v>
      </c>
      <c r="H9" s="1747">
        <f>GVL!$I$199</f>
        <v>1167220.6239684112</v>
      </c>
      <c r="I9" s="1747">
        <f>+G9*H9</f>
        <v>1184728.9333279373</v>
      </c>
    </row>
    <row r="10" spans="1:15" ht="15">
      <c r="B10" s="1536" t="str">
        <f>'8.Dgia'!B13</f>
        <v/>
      </c>
      <c r="C10" s="1537">
        <f>'8.Dgia'!C13</f>
        <v>0</v>
      </c>
      <c r="D10" s="1537">
        <f>'8.Dgia'!D13</f>
        <v>0</v>
      </c>
      <c r="E10" s="1749" t="str">
        <f>'8.Dgia'!E13</f>
        <v>Vật liệu khác</v>
      </c>
      <c r="F10" s="1745" t="str">
        <f>'8.Dgia'!G13</f>
        <v>%</v>
      </c>
      <c r="G10" s="1954">
        <f>'8.Dgia'!H13</f>
        <v>1.2</v>
      </c>
      <c r="H10" s="1747">
        <f>I9</f>
        <v>1184728.9333279373</v>
      </c>
      <c r="I10" s="1747">
        <f>H10*G10%</f>
        <v>14216.747199935247</v>
      </c>
    </row>
    <row r="11" spans="1:15" s="658" customFormat="1" ht="15">
      <c r="B11" s="1536" t="str">
        <f>'8.Dgia'!B14</f>
        <v/>
      </c>
      <c r="C11" s="1537">
        <f>'8.Dgia'!C14</f>
        <v>0</v>
      </c>
      <c r="D11" s="1537">
        <f>'8.Dgia'!D14</f>
        <v>0</v>
      </c>
      <c r="E11" s="1744" t="str">
        <f>'8.Dgia'!E14</f>
        <v xml:space="preserve">  B - Nhân công 3.5/7</v>
      </c>
      <c r="F11" s="1745" t="s">
        <v>552</v>
      </c>
      <c r="G11" s="1954">
        <f>'8.Dgia'!H14</f>
        <v>2.06</v>
      </c>
      <c r="H11" s="1747">
        <f>'16.NC'!$H$16</f>
        <v>235816</v>
      </c>
      <c r="I11" s="1755">
        <f>H11*G11</f>
        <v>485780.96</v>
      </c>
      <c r="J11" s="850"/>
      <c r="K11" s="850"/>
      <c r="L11" s="850"/>
    </row>
    <row r="12" spans="1:15" s="658" customFormat="1" ht="15">
      <c r="B12" s="1536" t="str">
        <f>'8.Dgia'!B15</f>
        <v/>
      </c>
      <c r="C12" s="1537">
        <f>'8.Dgia'!C15</f>
        <v>0</v>
      </c>
      <c r="D12" s="1537">
        <f>'8.Dgia'!D15</f>
        <v>0</v>
      </c>
      <c r="E12" s="1744" t="str">
        <f>'8.Dgia'!E15</f>
        <v xml:space="preserve">  C - Máy thi công</v>
      </c>
      <c r="F12" s="1745">
        <f>'8.Dgia'!G15</f>
        <v>0</v>
      </c>
      <c r="G12" s="1746">
        <f>'8.Dgia'!H15</f>
        <v>0</v>
      </c>
      <c r="H12" s="1747"/>
      <c r="I12" s="1755">
        <f>SUM(I13:I16)</f>
        <v>213150.56286903753</v>
      </c>
      <c r="J12" s="850"/>
      <c r="K12" s="850"/>
      <c r="L12" s="850"/>
    </row>
    <row r="13" spans="1:15" ht="15">
      <c r="B13" s="1536" t="str">
        <f>'8.Dgia'!B16</f>
        <v/>
      </c>
      <c r="C13" s="1537">
        <f>'8.Dgia'!C16</f>
        <v>0</v>
      </c>
      <c r="D13" s="1537">
        <f>'8.Dgia'!D16</f>
        <v>0</v>
      </c>
      <c r="E13" s="1749" t="str">
        <f>'8.Dgia'!E16</f>
        <v>Cần cẩu bánh xích 25T</v>
      </c>
      <c r="F13" s="1745" t="s">
        <v>5493</v>
      </c>
      <c r="G13" s="1746">
        <f>'8.Dgia'!H16</f>
        <v>3.3000000000000002E-2</v>
      </c>
      <c r="H13" s="1747">
        <f>'9.may'!$P$248</f>
        <v>2787996.6736363638</v>
      </c>
      <c r="I13" s="1747">
        <f>H13*G13</f>
        <v>92003.890230000005</v>
      </c>
    </row>
    <row r="14" spans="1:15" ht="15">
      <c r="B14" s="1536" t="str">
        <f>'8.Dgia'!B17</f>
        <v/>
      </c>
      <c r="C14" s="1537">
        <f>'8.Dgia'!C17</f>
        <v>0</v>
      </c>
      <c r="D14" s="1537">
        <f>'8.Dgia'!D17</f>
        <v>0</v>
      </c>
      <c r="E14" s="1749" t="str">
        <f>'8.Dgia'!E17</f>
        <v>Máy bơm BT 50m3/h</v>
      </c>
      <c r="F14" s="1745" t="s">
        <v>5493</v>
      </c>
      <c r="G14" s="1746">
        <f>'8.Dgia'!H17</f>
        <v>3.3000000000000002E-2</v>
      </c>
      <c r="H14" s="1747">
        <f>'9.may'!$P$362</f>
        <v>3446390.13</v>
      </c>
      <c r="I14" s="1747">
        <f>H14*G14</f>
        <v>113730.87429000001</v>
      </c>
    </row>
    <row r="15" spans="1:15" ht="15">
      <c r="B15" s="1536" t="str">
        <f>'8.Dgia'!B18</f>
        <v/>
      </c>
      <c r="C15" s="1537">
        <f>'8.Dgia'!C18</f>
        <v>0</v>
      </c>
      <c r="D15" s="1537">
        <f>'8.Dgia'!D18</f>
        <v>0</v>
      </c>
      <c r="E15" s="1749" t="str">
        <f>'8.Dgia'!E18</f>
        <v>Máy đầm dùi 1.5kw</v>
      </c>
      <c r="F15" s="1745" t="s">
        <v>5493</v>
      </c>
      <c r="G15" s="1746">
        <f>'8.Dgia'!H18</f>
        <v>8.5000000000000006E-2</v>
      </c>
      <c r="H15" s="1747">
        <f>'9.may'!$P$382</f>
        <v>74768.797500000001</v>
      </c>
      <c r="I15" s="1747">
        <f>H15*G15</f>
        <v>6355.3477875000008</v>
      </c>
    </row>
    <row r="16" spans="1:15" ht="15">
      <c r="B16" s="1536" t="str">
        <f>'8.Dgia'!B19</f>
        <v/>
      </c>
      <c r="C16" s="1537">
        <f>'8.Dgia'!C19</f>
        <v>0</v>
      </c>
      <c r="D16" s="1537">
        <f>'8.Dgia'!D19</f>
        <v>0</v>
      </c>
      <c r="E16" s="1749" t="str">
        <f>'8.Dgia'!E19</f>
        <v>Máy khác</v>
      </c>
      <c r="F16" s="1745" t="str">
        <f>'8.Dgia'!G19</f>
        <v>%</v>
      </c>
      <c r="G16" s="1954">
        <f>'8.Dgia'!H19</f>
        <v>0.5</v>
      </c>
      <c r="H16" s="1747">
        <f>SUM(I13:I15)</f>
        <v>212090.11230750004</v>
      </c>
      <c r="I16" s="1747">
        <f>H16*G16%</f>
        <v>1060.4505615375001</v>
      </c>
    </row>
    <row r="17" spans="1:12" s="658" customFormat="1" ht="15">
      <c r="B17" s="1675"/>
      <c r="C17" s="1676"/>
      <c r="D17" s="1676"/>
      <c r="E17" s="1752" t="s">
        <v>5675</v>
      </c>
      <c r="F17" s="1753">
        <f>$J$5</f>
        <v>0.02</v>
      </c>
      <c r="G17" s="1754"/>
      <c r="H17" s="1755"/>
      <c r="I17" s="1974">
        <f>(I8+I11+I12)*F17</f>
        <v>37957.544067938201</v>
      </c>
      <c r="J17" s="850"/>
      <c r="K17" s="850"/>
      <c r="L17" s="850"/>
    </row>
    <row r="18" spans="1:12" ht="14.25">
      <c r="B18" s="1540"/>
      <c r="C18" s="1541"/>
      <c r="D18" s="1541"/>
      <c r="E18" s="1757" t="s">
        <v>5676</v>
      </c>
      <c r="F18" s="1758"/>
      <c r="G18" s="1759"/>
      <c r="H18" s="1760"/>
      <c r="I18" s="1975">
        <f>I17+I17/F17</f>
        <v>1935834.7474648482</v>
      </c>
    </row>
    <row r="19" spans="1:12" ht="15">
      <c r="B19" s="1536"/>
      <c r="C19" s="1537"/>
      <c r="D19" s="1537"/>
      <c r="E19" s="1762" t="s">
        <v>5677</v>
      </c>
      <c r="F19" s="1763">
        <f>$K$5</f>
        <v>5.5E-2</v>
      </c>
      <c r="G19" s="1746"/>
      <c r="H19" s="1747"/>
      <c r="I19" s="1976">
        <f>I18*F19</f>
        <v>106470.91111056665</v>
      </c>
    </row>
    <row r="20" spans="1:12" ht="15">
      <c r="B20" s="1536"/>
      <c r="C20" s="1537"/>
      <c r="D20" s="1537"/>
      <c r="E20" s="1762" t="s">
        <v>5678</v>
      </c>
      <c r="F20" s="1765">
        <f>$L$5</f>
        <v>0.06</v>
      </c>
      <c r="G20" s="1746"/>
      <c r="H20" s="1747"/>
      <c r="I20" s="1976">
        <f>SUM(I18:I19)*F20</f>
        <v>122538.33951452489</v>
      </c>
    </row>
    <row r="21" spans="1:12" ht="14.25">
      <c r="B21" s="1540"/>
      <c r="C21" s="1541"/>
      <c r="D21" s="1541"/>
      <c r="E21" s="1757" t="s">
        <v>5679</v>
      </c>
      <c r="F21" s="1758"/>
      <c r="G21" s="1759"/>
      <c r="H21" s="1760"/>
      <c r="I21" s="1975">
        <f>SUM(I18:I20)</f>
        <v>2164843.9980899398</v>
      </c>
    </row>
    <row r="22" spans="1:12" ht="15">
      <c r="B22" s="1536"/>
      <c r="C22" s="1537"/>
      <c r="D22" s="1537"/>
      <c r="E22" s="1762" t="s">
        <v>5680</v>
      </c>
      <c r="F22" s="1765">
        <f>$M$5</f>
        <v>0.1</v>
      </c>
      <c r="G22" s="1746"/>
      <c r="H22" s="1747"/>
      <c r="I22" s="1976">
        <f>I21*F22</f>
        <v>216484.399808994</v>
      </c>
    </row>
    <row r="23" spans="1:12" ht="14.25">
      <c r="B23" s="1540"/>
      <c r="C23" s="1541"/>
      <c r="D23" s="1541"/>
      <c r="E23" s="1757" t="s">
        <v>5681</v>
      </c>
      <c r="F23" s="1758"/>
      <c r="G23" s="1759"/>
      <c r="H23" s="1760"/>
      <c r="I23" s="1761">
        <f>SUM(I21:I22)</f>
        <v>2381328.3978989339</v>
      </c>
    </row>
    <row r="24" spans="1:12" ht="12.75">
      <c r="B24" s="1536"/>
      <c r="C24" s="1537"/>
      <c r="D24" s="1537"/>
      <c r="E24" s="1533" t="s">
        <v>5682</v>
      </c>
      <c r="F24" s="1535">
        <f>$N$5</f>
        <v>0.01</v>
      </c>
      <c r="G24" s="1538"/>
      <c r="H24" s="1532"/>
      <c r="I24" s="1534">
        <f>I23*F24</f>
        <v>23813.283978989341</v>
      </c>
    </row>
    <row r="25" spans="1:12" ht="14.25">
      <c r="B25" s="2104"/>
      <c r="C25" s="1543"/>
      <c r="D25" s="2105"/>
      <c r="E25" s="2106" t="s">
        <v>5683</v>
      </c>
      <c r="F25" s="2107"/>
      <c r="G25" s="2108"/>
      <c r="H25" s="2109"/>
      <c r="I25" s="2110">
        <f>ROUND(I23+I24,0)</f>
        <v>2405142</v>
      </c>
    </row>
    <row r="26" spans="1:12" ht="14.25">
      <c r="A26" s="657">
        <v>1</v>
      </c>
      <c r="B26" s="1546">
        <f>IF(A26&lt;&gt;0,COUNTA(A$7:$A26),"")</f>
        <v>2</v>
      </c>
      <c r="C26" s="1550">
        <f>'8.Dgia'!C20</f>
        <v>1776</v>
      </c>
      <c r="D26" s="1550" t="str">
        <f>'8.Dgia'!D20</f>
        <v>AF.33110</v>
      </c>
      <c r="E26" s="1766" t="str">
        <f>'8.Dgia'!E20</f>
        <v>Bê tông C40 mố/trụ</v>
      </c>
      <c r="F26" s="1767" t="str">
        <f>'8.Dgia'!G20</f>
        <v>m3</v>
      </c>
      <c r="G26" s="1768">
        <f>'8.Dgia'!H20</f>
        <v>0</v>
      </c>
      <c r="H26" s="1769"/>
      <c r="I26" s="1769"/>
      <c r="J26" s="842">
        <f>+I27</f>
        <v>1266628.4033520743</v>
      </c>
      <c r="K26" s="842">
        <f>+I30</f>
        <v>485780.96</v>
      </c>
      <c r="L26" s="842">
        <f>+I31</f>
        <v>213150.56286903753</v>
      </c>
    </row>
    <row r="27" spans="1:12" s="658" customFormat="1" ht="15">
      <c r="B27" s="1551" t="str">
        <f>'8.Dgia'!B21</f>
        <v/>
      </c>
      <c r="C27" s="1552">
        <f>'8.Dgia'!C21</f>
        <v>0</v>
      </c>
      <c r="D27" s="1552">
        <f>'8.Dgia'!D21</f>
        <v>0</v>
      </c>
      <c r="E27" s="1770" t="str">
        <f>'8.Dgia'!E21</f>
        <v xml:space="preserve">  A - Vật liệu</v>
      </c>
      <c r="F27" s="1771">
        <f>'8.Dgia'!G21</f>
        <v>0</v>
      </c>
      <c r="G27" s="1772">
        <f>'8.Dgia'!H21</f>
        <v>0</v>
      </c>
      <c r="H27" s="1773"/>
      <c r="I27" s="1977">
        <f>SUM(I28:I29)</f>
        <v>1266628.4033520743</v>
      </c>
      <c r="J27" s="850"/>
      <c r="K27" s="850"/>
      <c r="L27" s="850"/>
    </row>
    <row r="28" spans="1:12" ht="30">
      <c r="B28" s="1551" t="str">
        <f>'8.Dgia'!B22</f>
        <v/>
      </c>
      <c r="C28" s="1552">
        <f>'8.Dgia'!C22</f>
        <v>0</v>
      </c>
      <c r="D28" s="1552" t="str">
        <f>'8.Dgia'!D22</f>
        <v>ĐM</v>
      </c>
      <c r="E28" s="1775" t="str">
        <f>'8.Dgia'!E22</f>
        <v>Vữa bê tông đá 1x2 C40 (M450, độ sụt 12-16cm)</v>
      </c>
      <c r="F28" s="1771" t="str">
        <f>'8.Dgia'!G22</f>
        <v>m3</v>
      </c>
      <c r="G28" s="1772">
        <f>'8.Dgia'!H22</f>
        <v>1.0149999999999999</v>
      </c>
      <c r="H28" s="1773">
        <f>GVL!$I$200</f>
        <v>1233112.4080999186</v>
      </c>
      <c r="I28" s="1978">
        <f>H28*G28</f>
        <v>1251609.0942214173</v>
      </c>
    </row>
    <row r="29" spans="1:12" ht="15">
      <c r="B29" s="1551" t="str">
        <f>'8.Dgia'!B23</f>
        <v/>
      </c>
      <c r="C29" s="1552">
        <f>'8.Dgia'!C23</f>
        <v>0</v>
      </c>
      <c r="D29" s="1552">
        <f>'8.Dgia'!D23</f>
        <v>0</v>
      </c>
      <c r="E29" s="1775" t="str">
        <f>'8.Dgia'!E23</f>
        <v>Vật liệu khác</v>
      </c>
      <c r="F29" s="1771" t="str">
        <f>'8.Dgia'!G23</f>
        <v>%</v>
      </c>
      <c r="G29" s="1965">
        <f>'8.Dgia'!H23</f>
        <v>1.2</v>
      </c>
      <c r="H29" s="1773">
        <f>I28</f>
        <v>1251609.0942214173</v>
      </c>
      <c r="I29" s="1978">
        <f>H29*G29%</f>
        <v>15019.309130657008</v>
      </c>
    </row>
    <row r="30" spans="1:12" s="658" customFormat="1" ht="15">
      <c r="B30" s="1551" t="str">
        <f>'8.Dgia'!B24</f>
        <v/>
      </c>
      <c r="C30" s="1552">
        <f>'8.Dgia'!C24</f>
        <v>0</v>
      </c>
      <c r="D30" s="1552">
        <f>'8.Dgia'!D24</f>
        <v>0</v>
      </c>
      <c r="E30" s="1770" t="str">
        <f>'8.Dgia'!E24</f>
        <v xml:space="preserve">  B - Nhân công 3.5/7</v>
      </c>
      <c r="F30" s="1745" t="s">
        <v>552</v>
      </c>
      <c r="G30" s="1965">
        <f>'8.Dgia'!H24</f>
        <v>2.06</v>
      </c>
      <c r="H30" s="1773">
        <f>'16.NC'!$H$16</f>
        <v>235816</v>
      </c>
      <c r="I30" s="1977">
        <f>H30*G30</f>
        <v>485780.96</v>
      </c>
      <c r="J30" s="850"/>
      <c r="K30" s="850"/>
      <c r="L30" s="850"/>
    </row>
    <row r="31" spans="1:12" s="658" customFormat="1" ht="15">
      <c r="B31" s="1551" t="str">
        <f>'8.Dgia'!B25</f>
        <v/>
      </c>
      <c r="C31" s="1552">
        <f>'8.Dgia'!C25</f>
        <v>0</v>
      </c>
      <c r="D31" s="1552">
        <f>'8.Dgia'!D25</f>
        <v>0</v>
      </c>
      <c r="E31" s="1770" t="str">
        <f>'8.Dgia'!E25</f>
        <v xml:space="preserve">  C - Máy thi công</v>
      </c>
      <c r="F31" s="1771">
        <f>'8.Dgia'!G25</f>
        <v>0</v>
      </c>
      <c r="G31" s="1772">
        <f>'8.Dgia'!H25</f>
        <v>0</v>
      </c>
      <c r="H31" s="1773"/>
      <c r="I31" s="1977">
        <f>SUM(I32:I35)</f>
        <v>213150.56286903753</v>
      </c>
      <c r="J31" s="850"/>
      <c r="K31" s="850"/>
      <c r="L31" s="850"/>
    </row>
    <row r="32" spans="1:12" ht="15">
      <c r="B32" s="1551" t="str">
        <f>'8.Dgia'!B26</f>
        <v/>
      </c>
      <c r="C32" s="1552">
        <f>'8.Dgia'!C26</f>
        <v>0</v>
      </c>
      <c r="D32" s="1552">
        <f>'8.Dgia'!D26</f>
        <v>0</v>
      </c>
      <c r="E32" s="1775" t="str">
        <f>'8.Dgia'!E26</f>
        <v>Cần cẩu bánh xích 25T</v>
      </c>
      <c r="F32" s="1745" t="s">
        <v>5493</v>
      </c>
      <c r="G32" s="1772">
        <f>'8.Dgia'!H26</f>
        <v>3.3000000000000002E-2</v>
      </c>
      <c r="H32" s="1773">
        <f>'9.may'!$P$248</f>
        <v>2787996.6736363638</v>
      </c>
      <c r="I32" s="1978">
        <f>H32*G32</f>
        <v>92003.890230000005</v>
      </c>
    </row>
    <row r="33" spans="1:12" ht="15">
      <c r="B33" s="1551" t="str">
        <f>'8.Dgia'!B27</f>
        <v/>
      </c>
      <c r="C33" s="1552">
        <f>'8.Dgia'!C27</f>
        <v>0</v>
      </c>
      <c r="D33" s="1552">
        <f>'8.Dgia'!D27</f>
        <v>0</v>
      </c>
      <c r="E33" s="1775" t="str">
        <f>'8.Dgia'!E27</f>
        <v>Máy bơm BT 50m3/h</v>
      </c>
      <c r="F33" s="1745" t="s">
        <v>5493</v>
      </c>
      <c r="G33" s="1772">
        <f>'8.Dgia'!H27</f>
        <v>3.3000000000000002E-2</v>
      </c>
      <c r="H33" s="1773">
        <f>'9.may'!$P$362</f>
        <v>3446390.13</v>
      </c>
      <c r="I33" s="1978">
        <f>H33*G33</f>
        <v>113730.87429000001</v>
      </c>
    </row>
    <row r="34" spans="1:12" ht="15">
      <c r="B34" s="1551" t="str">
        <f>'8.Dgia'!B28</f>
        <v/>
      </c>
      <c r="C34" s="1552">
        <f>'8.Dgia'!C28</f>
        <v>0</v>
      </c>
      <c r="D34" s="1552">
        <f>'8.Dgia'!D28</f>
        <v>0</v>
      </c>
      <c r="E34" s="1775" t="str">
        <f>'8.Dgia'!E28</f>
        <v>Máy đầm dùi 1.5kw</v>
      </c>
      <c r="F34" s="1745" t="s">
        <v>5493</v>
      </c>
      <c r="G34" s="1772">
        <f>'8.Dgia'!H28</f>
        <v>8.5000000000000006E-2</v>
      </c>
      <c r="H34" s="1773">
        <f>'9.may'!$P$382</f>
        <v>74768.797500000001</v>
      </c>
      <c r="I34" s="1978">
        <f>H34*G34</f>
        <v>6355.3477875000008</v>
      </c>
    </row>
    <row r="35" spans="1:12" ht="15">
      <c r="B35" s="1551" t="str">
        <f>'8.Dgia'!B29</f>
        <v/>
      </c>
      <c r="C35" s="1552">
        <f>'8.Dgia'!C29</f>
        <v>0</v>
      </c>
      <c r="D35" s="1552">
        <f>'8.Dgia'!D29</f>
        <v>0</v>
      </c>
      <c r="E35" s="1775" t="str">
        <f>'8.Dgia'!E29</f>
        <v>Máy khác</v>
      </c>
      <c r="F35" s="1771" t="str">
        <f>'8.Dgia'!G29</f>
        <v>%</v>
      </c>
      <c r="G35" s="1772">
        <f>'8.Dgia'!H29</f>
        <v>0.5</v>
      </c>
      <c r="H35" s="1773">
        <f>SUM(I32:I34)</f>
        <v>212090.11230750004</v>
      </c>
      <c r="I35" s="1978">
        <f>H35*G35%</f>
        <v>1060.4505615375001</v>
      </c>
    </row>
    <row r="36" spans="1:12" s="658" customFormat="1" ht="15">
      <c r="B36" s="1677"/>
      <c r="C36" s="1678"/>
      <c r="D36" s="1678"/>
      <c r="E36" s="1778" t="s">
        <v>5675</v>
      </c>
      <c r="F36" s="1779">
        <f>$J$5</f>
        <v>0.02</v>
      </c>
      <c r="G36" s="1780"/>
      <c r="H36" s="1777"/>
      <c r="I36" s="1977">
        <f>(I27+I30+I31)*F36</f>
        <v>39311.198524422238</v>
      </c>
      <c r="J36" s="850"/>
      <c r="K36" s="850"/>
      <c r="L36" s="850"/>
    </row>
    <row r="37" spans="1:12" ht="14.25">
      <c r="B37" s="1556"/>
      <c r="C37" s="1557"/>
      <c r="D37" s="1557"/>
      <c r="E37" s="1781" t="s">
        <v>5676</v>
      </c>
      <c r="F37" s="1782"/>
      <c r="G37" s="1783"/>
      <c r="H37" s="1784"/>
      <c r="I37" s="1784">
        <f>I36+I36/F36</f>
        <v>2004871.124745534</v>
      </c>
    </row>
    <row r="38" spans="1:12" ht="15">
      <c r="B38" s="1551"/>
      <c r="C38" s="1552"/>
      <c r="D38" s="1552"/>
      <c r="E38" s="1785" t="s">
        <v>5677</v>
      </c>
      <c r="F38" s="1786">
        <f>$K$5</f>
        <v>5.5E-2</v>
      </c>
      <c r="G38" s="1772"/>
      <c r="H38" s="1773"/>
      <c r="I38" s="1773">
        <f>I37*F38</f>
        <v>110267.91186100437</v>
      </c>
    </row>
    <row r="39" spans="1:12" ht="15">
      <c r="B39" s="1551"/>
      <c r="C39" s="1552"/>
      <c r="D39" s="1552"/>
      <c r="E39" s="1785" t="s">
        <v>5678</v>
      </c>
      <c r="F39" s="1786">
        <f>$L$5</f>
        <v>0.06</v>
      </c>
      <c r="G39" s="1772"/>
      <c r="H39" s="1773"/>
      <c r="I39" s="1773">
        <f>SUM(I37:I38)*F39</f>
        <v>126908.3421963923</v>
      </c>
    </row>
    <row r="40" spans="1:12" ht="14.25">
      <c r="B40" s="1556"/>
      <c r="C40" s="1557"/>
      <c r="D40" s="1557"/>
      <c r="E40" s="1781" t="s">
        <v>5679</v>
      </c>
      <c r="F40" s="1787"/>
      <c r="G40" s="1783"/>
      <c r="H40" s="1784"/>
      <c r="I40" s="1784">
        <f>SUM(I37:I39)</f>
        <v>2242047.3788029309</v>
      </c>
    </row>
    <row r="41" spans="1:12" ht="15">
      <c r="B41" s="1551"/>
      <c r="C41" s="1552"/>
      <c r="D41" s="1552"/>
      <c r="E41" s="1785" t="s">
        <v>5680</v>
      </c>
      <c r="F41" s="1788">
        <f>$M$5</f>
        <v>0.1</v>
      </c>
      <c r="G41" s="1772"/>
      <c r="H41" s="1773"/>
      <c r="I41" s="1773">
        <f>I40*F41</f>
        <v>224204.73788029311</v>
      </c>
    </row>
    <row r="42" spans="1:12" ht="14.25">
      <c r="B42" s="1556"/>
      <c r="C42" s="1557"/>
      <c r="D42" s="1557"/>
      <c r="E42" s="1781" t="s">
        <v>5681</v>
      </c>
      <c r="F42" s="1787"/>
      <c r="G42" s="1783"/>
      <c r="H42" s="1784"/>
      <c r="I42" s="1784">
        <f>SUM(I40:I41)</f>
        <v>2466252.1166832242</v>
      </c>
    </row>
    <row r="43" spans="1:12" ht="12.75">
      <c r="B43" s="1551"/>
      <c r="C43" s="1552"/>
      <c r="D43" s="1552"/>
      <c r="E43" s="1563" t="s">
        <v>5682</v>
      </c>
      <c r="F43" s="1560">
        <f>$N$5</f>
        <v>0.01</v>
      </c>
      <c r="G43" s="1553"/>
      <c r="H43" s="1562"/>
      <c r="I43" s="1562">
        <f>I42*F43</f>
        <v>24662.521166832244</v>
      </c>
    </row>
    <row r="44" spans="1:12" ht="14.25">
      <c r="B44" s="2111"/>
      <c r="C44" s="1564"/>
      <c r="D44" s="2111"/>
      <c r="E44" s="2112" t="s">
        <v>5683</v>
      </c>
      <c r="F44" s="2113"/>
      <c r="G44" s="2112"/>
      <c r="H44" s="2114"/>
      <c r="I44" s="2110">
        <f>ROUND(I42+I43,0)</f>
        <v>2490915</v>
      </c>
    </row>
    <row r="45" spans="1:12" ht="28.5">
      <c r="A45" s="657">
        <v>1</v>
      </c>
      <c r="B45" s="1546">
        <f>IF(A45&lt;&gt;0,COUNTA(A$7:$A45),"")</f>
        <v>3</v>
      </c>
      <c r="C45" s="1547">
        <f>'8.Dgia'!C30</f>
        <v>1776</v>
      </c>
      <c r="D45" s="1547" t="str">
        <f>'8.Dgia'!D30</f>
        <v>AF.51140</v>
      </c>
      <c r="E45" s="1740" t="str">
        <f>'8.Dgia'!E30</f>
        <v>Sản xuất và vận chuyển vữa bê tông 0,5Km</v>
      </c>
      <c r="F45" s="1789" t="str">
        <f>'8.Dgia'!G30</f>
        <v>m3</v>
      </c>
      <c r="G45" s="1742">
        <f>'8.Dgia'!H30</f>
        <v>0</v>
      </c>
      <c r="H45" s="1743"/>
      <c r="I45" s="1790"/>
      <c r="K45" s="842">
        <f>+I46</f>
        <v>15382.570000000002</v>
      </c>
      <c r="L45" s="842">
        <f>+I47</f>
        <v>115513.37878929546</v>
      </c>
    </row>
    <row r="46" spans="1:12" s="658" customFormat="1" ht="15">
      <c r="B46" s="1536" t="str">
        <f>'8.Dgia'!B31</f>
        <v/>
      </c>
      <c r="C46" s="1537">
        <f>'8.Dgia'!C31</f>
        <v>0</v>
      </c>
      <c r="D46" s="1537" t="str">
        <f>'8.Dgia'!D31</f>
        <v>AF.51140</v>
      </c>
      <c r="E46" s="1744" t="str">
        <f>'8.Dgia'!E31</f>
        <v xml:space="preserve">  B - Nhân công 3.0/7</v>
      </c>
      <c r="F46" s="1745" t="s">
        <v>552</v>
      </c>
      <c r="G46" s="1746">
        <f>'8.Dgia'!H31</f>
        <v>7.0000000000000007E-2</v>
      </c>
      <c r="H46" s="1747">
        <f>'16.NC'!$H$13</f>
        <v>219751</v>
      </c>
      <c r="I46" s="1755">
        <f>H46*G46</f>
        <v>15382.570000000002</v>
      </c>
      <c r="J46" s="850"/>
      <c r="K46" s="850"/>
      <c r="L46" s="850"/>
    </row>
    <row r="47" spans="1:12" s="658" customFormat="1" ht="15">
      <c r="B47" s="1536" t="str">
        <f>'8.Dgia'!B32</f>
        <v/>
      </c>
      <c r="C47" s="1537">
        <f>'8.Dgia'!C32</f>
        <v>0</v>
      </c>
      <c r="D47" s="1537">
        <f>'8.Dgia'!D32</f>
        <v>0</v>
      </c>
      <c r="E47" s="1744" t="str">
        <f>'8.Dgia'!E32</f>
        <v xml:space="preserve">  C - Máy thi công</v>
      </c>
      <c r="F47" s="1763">
        <f>'8.Dgia'!G32</f>
        <v>0</v>
      </c>
      <c r="G47" s="1746">
        <f>'8.Dgia'!H32</f>
        <v>0</v>
      </c>
      <c r="H47" s="1747"/>
      <c r="I47" s="1755">
        <f>SUM(I48:I52)</f>
        <v>115513.37878929546</v>
      </c>
      <c r="J47" s="850"/>
      <c r="K47" s="850"/>
      <c r="L47" s="850"/>
    </row>
    <row r="48" spans="1:12" ht="15">
      <c r="B48" s="1536" t="str">
        <f>'8.Dgia'!B33</f>
        <v/>
      </c>
      <c r="C48" s="1537">
        <f>'8.Dgia'!C33</f>
        <v>0</v>
      </c>
      <c r="D48" s="1537">
        <f>'8.Dgia'!D33</f>
        <v>0</v>
      </c>
      <c r="E48" s="1749" t="str">
        <f>'8.Dgia'!E33</f>
        <v>Trạm trộn bêtông 50m3/h</v>
      </c>
      <c r="F48" s="1745" t="s">
        <v>5493</v>
      </c>
      <c r="G48" s="1746">
        <f>'8.Dgia'!H33</f>
        <v>7.0000000000000001E-3</v>
      </c>
      <c r="H48" s="1747">
        <f>'9.may'!$P$351</f>
        <v>2766761.5200000005</v>
      </c>
      <c r="I48" s="1747">
        <f>H48*G48</f>
        <v>19367.330640000004</v>
      </c>
    </row>
    <row r="49" spans="1:12" ht="15">
      <c r="B49" s="1536" t="str">
        <f>'8.Dgia'!B34</f>
        <v/>
      </c>
      <c r="C49" s="1537">
        <f>'8.Dgia'!C34</f>
        <v>0</v>
      </c>
      <c r="D49" s="1537">
        <f>'8.Dgia'!D34</f>
        <v>0</v>
      </c>
      <c r="E49" s="1749" t="str">
        <f>'8.Dgia'!E34</f>
        <v>Máy xúc 1.25m3</v>
      </c>
      <c r="F49" s="1745" t="s">
        <v>5493</v>
      </c>
      <c r="G49" s="1746">
        <f>'8.Dgia'!H34</f>
        <v>7.0000000000000001E-3</v>
      </c>
      <c r="H49" s="1747">
        <f>'9.may'!$P$722</f>
        <v>1941040.5763636362</v>
      </c>
      <c r="I49" s="1747">
        <f>H49*G49</f>
        <v>13587.284034545453</v>
      </c>
    </row>
    <row r="50" spans="1:12" ht="15">
      <c r="B50" s="1536" t="str">
        <f>'8.Dgia'!B35</f>
        <v/>
      </c>
      <c r="C50" s="1537">
        <f>'8.Dgia'!C35</f>
        <v>0</v>
      </c>
      <c r="D50" s="1537">
        <f>'8.Dgia'!D35</f>
        <v>0</v>
      </c>
      <c r="E50" s="1749" t="str">
        <f>'8.Dgia'!E35</f>
        <v>Máy ủi 110cv</v>
      </c>
      <c r="F50" s="1745" t="s">
        <v>5493</v>
      </c>
      <c r="G50" s="1746">
        <f>'8.Dgia'!H35</f>
        <v>3.5000000000000001E-3</v>
      </c>
      <c r="H50" s="1747">
        <f>'9.may'!$P$70</f>
        <v>1959433.0499999998</v>
      </c>
      <c r="I50" s="1747">
        <f>H50*G50</f>
        <v>6858.0156749999996</v>
      </c>
    </row>
    <row r="51" spans="1:12" ht="15">
      <c r="B51" s="1536" t="str">
        <f>'8.Dgia'!B36</f>
        <v/>
      </c>
      <c r="C51" s="1537">
        <f>'8.Dgia'!C36</f>
        <v>0</v>
      </c>
      <c r="D51" s="1537">
        <f>'8.Dgia'!D36</f>
        <v>0</v>
      </c>
      <c r="E51" s="1749" t="str">
        <f>'8.Dgia'!E36</f>
        <v>Máy khác</v>
      </c>
      <c r="F51" s="1763" t="str">
        <f>'8.Dgia'!G36</f>
        <v>%</v>
      </c>
      <c r="G51" s="1954">
        <f>'8.Dgia'!H36</f>
        <v>5</v>
      </c>
      <c r="H51" s="1747">
        <f>SUM(I48:I50)</f>
        <v>39812.630349545463</v>
      </c>
      <c r="I51" s="1747">
        <f>H51*G51%</f>
        <v>1990.6315174772733</v>
      </c>
    </row>
    <row r="52" spans="1:12" ht="15">
      <c r="B52" s="1536" t="str">
        <f>'8.Dgia'!B38</f>
        <v/>
      </c>
      <c r="C52" s="1537">
        <f>'8.Dgia'!C38</f>
        <v>0</v>
      </c>
      <c r="D52" s="1537">
        <f>'8.Dgia'!D38</f>
        <v>0</v>
      </c>
      <c r="E52" s="1749" t="str">
        <f>'8.Dgia'!E38</f>
        <v>Ôtô chuyển trộn 10.7m3</v>
      </c>
      <c r="F52" s="1745" t="s">
        <v>5493</v>
      </c>
      <c r="G52" s="1746">
        <f>'8.Dgia'!H38</f>
        <v>2.4500000000000001E-2</v>
      </c>
      <c r="H52" s="1747">
        <f>'9.may'!$P$171</f>
        <v>3008576.2009090907</v>
      </c>
      <c r="I52" s="1747">
        <f>H52*G52</f>
        <v>73710.116922272719</v>
      </c>
    </row>
    <row r="53" spans="1:12" s="658" customFormat="1" ht="15">
      <c r="B53" s="1675"/>
      <c r="C53" s="1676"/>
      <c r="D53" s="1676"/>
      <c r="E53" s="1752" t="s">
        <v>5675</v>
      </c>
      <c r="F53" s="1763">
        <f>$J$5</f>
        <v>0.02</v>
      </c>
      <c r="G53" s="1754"/>
      <c r="H53" s="1755"/>
      <c r="I53" s="1974">
        <f>(I46+I47)*F53</f>
        <v>2617.9189757859094</v>
      </c>
      <c r="J53" s="850"/>
      <c r="K53" s="850"/>
      <c r="L53" s="850"/>
    </row>
    <row r="54" spans="1:12" ht="15">
      <c r="B54" s="1540"/>
      <c r="C54" s="1541"/>
      <c r="D54" s="1541"/>
      <c r="E54" s="1757" t="s">
        <v>5676</v>
      </c>
      <c r="F54" s="1763"/>
      <c r="G54" s="1759"/>
      <c r="H54" s="1760"/>
      <c r="I54" s="1975">
        <f>I53+I53/F53</f>
        <v>133513.86776508138</v>
      </c>
    </row>
    <row r="55" spans="1:12" ht="15">
      <c r="B55" s="1536"/>
      <c r="C55" s="1537"/>
      <c r="D55" s="1537"/>
      <c r="E55" s="1762" t="s">
        <v>5677</v>
      </c>
      <c r="F55" s="1763">
        <f>$K$5</f>
        <v>5.5E-2</v>
      </c>
      <c r="G55" s="1746"/>
      <c r="H55" s="1747"/>
      <c r="I55" s="1976">
        <f>I54*F55</f>
        <v>7343.2627270794756</v>
      </c>
    </row>
    <row r="56" spans="1:12" ht="15">
      <c r="B56" s="1536"/>
      <c r="C56" s="1537"/>
      <c r="D56" s="1537"/>
      <c r="E56" s="1762" t="s">
        <v>5678</v>
      </c>
      <c r="F56" s="1763">
        <f>$L$5</f>
        <v>0.06</v>
      </c>
      <c r="G56" s="1746"/>
      <c r="H56" s="1747"/>
      <c r="I56" s="1976">
        <f>SUM(I54:I55)*F56</f>
        <v>8451.4278295296517</v>
      </c>
    </row>
    <row r="57" spans="1:12" ht="14.25">
      <c r="B57" s="1540"/>
      <c r="C57" s="1541"/>
      <c r="D57" s="1541"/>
      <c r="E57" s="1757" t="s">
        <v>5679</v>
      </c>
      <c r="F57" s="1791"/>
      <c r="G57" s="1759"/>
      <c r="H57" s="1760"/>
      <c r="I57" s="1761">
        <f>SUM(I54:I56)</f>
        <v>149308.55832169051</v>
      </c>
    </row>
    <row r="58" spans="1:12" ht="15">
      <c r="B58" s="1536"/>
      <c r="C58" s="1537"/>
      <c r="D58" s="1537"/>
      <c r="E58" s="1762" t="s">
        <v>5680</v>
      </c>
      <c r="F58" s="1765">
        <f>$M$5</f>
        <v>0.1</v>
      </c>
      <c r="G58" s="1746"/>
      <c r="H58" s="1747"/>
      <c r="I58" s="1764">
        <f>I57*F58</f>
        <v>14930.855832169051</v>
      </c>
    </row>
    <row r="59" spans="1:12" ht="14.25">
      <c r="B59" s="1540"/>
      <c r="C59" s="1541"/>
      <c r="D59" s="1541"/>
      <c r="E59" s="1757" t="s">
        <v>5681</v>
      </c>
      <c r="F59" s="1791"/>
      <c r="G59" s="1759"/>
      <c r="H59" s="1760"/>
      <c r="I59" s="1761">
        <f>SUM(I57:I58)</f>
        <v>164239.41415385954</v>
      </c>
    </row>
    <row r="60" spans="1:12" ht="12.75">
      <c r="B60" s="1536"/>
      <c r="C60" s="1537"/>
      <c r="D60" s="1537"/>
      <c r="E60" s="1533" t="s">
        <v>5682</v>
      </c>
      <c r="F60" s="1535">
        <f>$N$5</f>
        <v>0.01</v>
      </c>
      <c r="G60" s="1538"/>
      <c r="H60" s="1532"/>
      <c r="I60" s="1534">
        <f>I59*F60</f>
        <v>1642.3941415385955</v>
      </c>
    </row>
    <row r="61" spans="1:12" ht="14.25">
      <c r="B61" s="2104"/>
      <c r="C61" s="1543"/>
      <c r="D61" s="2105"/>
      <c r="E61" s="2106" t="s">
        <v>5683</v>
      </c>
      <c r="F61" s="2115"/>
      <c r="G61" s="2108"/>
      <c r="H61" s="2109"/>
      <c r="I61" s="2110">
        <f>ROUND(I59+I60,0)</f>
        <v>165882</v>
      </c>
    </row>
    <row r="62" spans="1:12" ht="28.5">
      <c r="A62" s="657">
        <v>1</v>
      </c>
      <c r="B62" s="1546">
        <f>IF(A62&lt;&gt;0,COUNTA(A$7:$A62),"")</f>
        <v>4</v>
      </c>
      <c r="C62" s="1547">
        <f>'8.Dgia'!C51</f>
        <v>1776</v>
      </c>
      <c r="D62" s="1547" t="str">
        <f>'8.Dgia'!D51</f>
        <v>AF.65120</v>
      </c>
      <c r="E62" s="1740" t="str">
        <f>'8.Dgia'!E51</f>
        <v>Cốt thép D&lt;=18 móng, mũ mố trụ cầu trên cạn</v>
      </c>
      <c r="F62" s="1789" t="s">
        <v>557</v>
      </c>
      <c r="G62" s="1742">
        <f>'8.Dgia'!H51</f>
        <v>0</v>
      </c>
      <c r="H62" s="1743"/>
      <c r="I62" s="1743"/>
      <c r="J62" s="842">
        <f>+I63</f>
        <v>17319858.380290911</v>
      </c>
      <c r="K62" s="842">
        <f>+I67</f>
        <v>3009977.2800000003</v>
      </c>
      <c r="L62" s="842">
        <f>+I68</f>
        <v>492024.31750909088</v>
      </c>
    </row>
    <row r="63" spans="1:12" s="658" customFormat="1" ht="15">
      <c r="B63" s="1536" t="str">
        <f>'8.Dgia'!B52</f>
        <v/>
      </c>
      <c r="C63" s="1537">
        <f>'8.Dgia'!C52</f>
        <v>0</v>
      </c>
      <c r="D63" s="1537">
        <f>'8.Dgia'!D52</f>
        <v>0</v>
      </c>
      <c r="E63" s="1744" t="str">
        <f>'8.Dgia'!E52</f>
        <v xml:space="preserve">  A - Vật liệu</v>
      </c>
      <c r="F63" s="1763">
        <f>'8.Dgia'!G52</f>
        <v>0</v>
      </c>
      <c r="G63" s="1746">
        <f>'8.Dgia'!H52</f>
        <v>0</v>
      </c>
      <c r="H63" s="1747"/>
      <c r="I63" s="1755">
        <f>SUM(I64:I66)</f>
        <v>17319858.380290911</v>
      </c>
      <c r="J63" s="850"/>
      <c r="K63" s="850"/>
      <c r="L63" s="850"/>
    </row>
    <row r="64" spans="1:12" ht="15">
      <c r="B64" s="1536" t="str">
        <f>'8.Dgia'!B53</f>
        <v/>
      </c>
      <c r="C64" s="1537">
        <f>'8.Dgia'!C53</f>
        <v>0</v>
      </c>
      <c r="D64" s="1537">
        <f>'8.Dgia'!D53</f>
        <v>0</v>
      </c>
      <c r="E64" s="1749" t="str">
        <f>'8.Dgia'!E53</f>
        <v>Thép tròn D&lt;=18</v>
      </c>
      <c r="F64" s="1763" t="str">
        <f>'8.Dgia'!G53</f>
        <v>kg</v>
      </c>
      <c r="G64" s="1982">
        <f>'8.Dgia'!H53</f>
        <v>1020</v>
      </c>
      <c r="H64" s="1747">
        <f>GVL!$I$180</f>
        <v>16604.075560000001</v>
      </c>
      <c r="I64" s="1747">
        <f>H64*G64</f>
        <v>16936157.071200002</v>
      </c>
    </row>
    <row r="65" spans="2:12" ht="15">
      <c r="B65" s="1536" t="str">
        <f>'8.Dgia'!B54</f>
        <v/>
      </c>
      <c r="C65" s="1537">
        <f>'8.Dgia'!C54</f>
        <v>0</v>
      </c>
      <c r="D65" s="1537">
        <f>'8.Dgia'!D54</f>
        <v>0</v>
      </c>
      <c r="E65" s="1749" t="str">
        <f>'8.Dgia'!E54</f>
        <v>Dây thép buộc</v>
      </c>
      <c r="F65" s="1763" t="str">
        <f>'8.Dgia'!G54</f>
        <v>kg</v>
      </c>
      <c r="G65" s="1746">
        <f>'8.Dgia'!H54</f>
        <v>14.28</v>
      </c>
      <c r="H65" s="1747">
        <f>GVL!$I$89</f>
        <v>18180</v>
      </c>
      <c r="I65" s="1747">
        <f>H65*G65</f>
        <v>259610.4</v>
      </c>
    </row>
    <row r="66" spans="2:12" ht="15">
      <c r="B66" s="1536" t="str">
        <f>'8.Dgia'!B55</f>
        <v/>
      </c>
      <c r="C66" s="1537">
        <f>'8.Dgia'!C55</f>
        <v>0</v>
      </c>
      <c r="D66" s="1537">
        <f>'8.Dgia'!D55</f>
        <v>0</v>
      </c>
      <c r="E66" s="1749" t="str">
        <f>'8.Dgia'!E55</f>
        <v>Que hàn</v>
      </c>
      <c r="F66" s="1763" t="str">
        <f>'8.Dgia'!G55</f>
        <v>kg</v>
      </c>
      <c r="G66" s="1746">
        <f>'8.Dgia'!H55</f>
        <v>6.5</v>
      </c>
      <c r="H66" s="1747">
        <f>GVL!$I$153</f>
        <v>19090.909090909088</v>
      </c>
      <c r="I66" s="1747">
        <f>H66*G66</f>
        <v>124090.90909090907</v>
      </c>
    </row>
    <row r="67" spans="2:12" s="658" customFormat="1" ht="15">
      <c r="B67" s="1536" t="str">
        <f>'8.Dgia'!B56</f>
        <v/>
      </c>
      <c r="C67" s="1537">
        <f>'8.Dgia'!C56</f>
        <v>0</v>
      </c>
      <c r="D67" s="1537">
        <f>'8.Dgia'!D56</f>
        <v>0</v>
      </c>
      <c r="E67" s="1744" t="str">
        <f>'8.Dgia'!E56</f>
        <v xml:space="preserve">  B - Nhân công 4.0/7</v>
      </c>
      <c r="F67" s="1745" t="s">
        <v>552</v>
      </c>
      <c r="G67" s="1746">
        <f>'8.Dgia'!H56</f>
        <v>11.72</v>
      </c>
      <c r="H67" s="1747">
        <f>'16.NC'!$H$18</f>
        <v>256824</v>
      </c>
      <c r="I67" s="1755">
        <f>H67*G67</f>
        <v>3009977.2800000003</v>
      </c>
      <c r="J67" s="850"/>
      <c r="K67" s="850"/>
      <c r="L67" s="850"/>
    </row>
    <row r="68" spans="2:12" s="658" customFormat="1" ht="15">
      <c r="B68" s="1536" t="str">
        <f>'8.Dgia'!B57</f>
        <v/>
      </c>
      <c r="C68" s="1537">
        <f>'8.Dgia'!C57</f>
        <v>0</v>
      </c>
      <c r="D68" s="1537">
        <f>'8.Dgia'!D57</f>
        <v>0</v>
      </c>
      <c r="E68" s="1744" t="str">
        <f>'8.Dgia'!E57</f>
        <v xml:space="preserve">  C - Máy thi công</v>
      </c>
      <c r="F68" s="1763">
        <f>'8.Dgia'!G57</f>
        <v>0</v>
      </c>
      <c r="G68" s="1746">
        <f>'8.Dgia'!H57</f>
        <v>0</v>
      </c>
      <c r="H68" s="1747"/>
      <c r="I68" s="1755">
        <f>SUM(I69:I71)</f>
        <v>492024.31750909088</v>
      </c>
      <c r="J68" s="850"/>
      <c r="K68" s="850"/>
      <c r="L68" s="850"/>
    </row>
    <row r="69" spans="2:12" ht="15">
      <c r="B69" s="1536" t="str">
        <f>'8.Dgia'!B58</f>
        <v/>
      </c>
      <c r="C69" s="1537">
        <f>'8.Dgia'!C58</f>
        <v>0</v>
      </c>
      <c r="D69" s="1537" t="str">
        <f>'8.Dgia'!D58</f>
        <v/>
      </c>
      <c r="E69" s="1749" t="str">
        <f>'8.Dgia'!E58</f>
        <v>Máy hàn 23kw</v>
      </c>
      <c r="F69" s="1745" t="s">
        <v>5493</v>
      </c>
      <c r="G69" s="1746">
        <f>'8.Dgia'!H58</f>
        <v>1.6</v>
      </c>
      <c r="H69" s="1747">
        <f>'9.may'!$P$510</f>
        <v>171649.155</v>
      </c>
      <c r="I69" s="1747">
        <f>H69*G69</f>
        <v>274638.64799999999</v>
      </c>
    </row>
    <row r="70" spans="2:12" ht="15">
      <c r="B70" s="1536" t="str">
        <f>'8.Dgia'!B59</f>
        <v/>
      </c>
      <c r="C70" s="1537">
        <f>'8.Dgia'!C59</f>
        <v>0</v>
      </c>
      <c r="D70" s="1537" t="str">
        <f>'8.Dgia'!D59</f>
        <v/>
      </c>
      <c r="E70" s="1749" t="str">
        <f>'8.Dgia'!E59</f>
        <v>Máy cắt uốn</v>
      </c>
      <c r="F70" s="1745" t="s">
        <v>5493</v>
      </c>
      <c r="G70" s="1746">
        <f>'8.Dgia'!H59</f>
        <v>0.32</v>
      </c>
      <c r="H70" s="1747">
        <f>'9.may'!$P$557</f>
        <v>80291.850000000006</v>
      </c>
      <c r="I70" s="1747">
        <f>H70*G70</f>
        <v>25693.392000000003</v>
      </c>
    </row>
    <row r="71" spans="2:12" ht="15">
      <c r="B71" s="1536" t="str">
        <f>'8.Dgia'!B60</f>
        <v/>
      </c>
      <c r="C71" s="1537">
        <f>'8.Dgia'!C60</f>
        <v>0</v>
      </c>
      <c r="D71" s="1537" t="str">
        <f>'8.Dgia'!D60</f>
        <v/>
      </c>
      <c r="E71" s="1749" t="str">
        <f>'8.Dgia'!E60</f>
        <v>Cần cẩu bánh xích 16T</v>
      </c>
      <c r="F71" s="1745" t="s">
        <v>5493</v>
      </c>
      <c r="G71" s="1746">
        <f>'8.Dgia'!H60</f>
        <v>0.09</v>
      </c>
      <c r="H71" s="1747">
        <f>'9.may'!$P$247</f>
        <v>2129914.1945454543</v>
      </c>
      <c r="I71" s="1747">
        <f>H71*G71</f>
        <v>191692.2775090909</v>
      </c>
    </row>
    <row r="72" spans="2:12" s="658" customFormat="1" ht="15">
      <c r="B72" s="1675"/>
      <c r="C72" s="1676"/>
      <c r="D72" s="1676"/>
      <c r="E72" s="1752" t="s">
        <v>5675</v>
      </c>
      <c r="F72" s="1763">
        <f>$J$5</f>
        <v>0.02</v>
      </c>
      <c r="G72" s="1754"/>
      <c r="H72" s="1755"/>
      <c r="I72" s="1756">
        <f>(I63+I67+I68)*F72</f>
        <v>416437.19955600007</v>
      </c>
      <c r="J72" s="850"/>
      <c r="K72" s="850"/>
      <c r="L72" s="850"/>
    </row>
    <row r="73" spans="2:12" ht="15">
      <c r="B73" s="1540"/>
      <c r="C73" s="1541"/>
      <c r="D73" s="1541"/>
      <c r="E73" s="1757" t="s">
        <v>5676</v>
      </c>
      <c r="F73" s="1763"/>
      <c r="G73" s="1759"/>
      <c r="H73" s="1760"/>
      <c r="I73" s="1761">
        <f>I72+I72/F72</f>
        <v>21238297.177356005</v>
      </c>
    </row>
    <row r="74" spans="2:12" ht="15">
      <c r="B74" s="1536"/>
      <c r="C74" s="1537"/>
      <c r="D74" s="1537"/>
      <c r="E74" s="1762" t="s">
        <v>5677</v>
      </c>
      <c r="F74" s="1763">
        <f>$K$5</f>
        <v>5.5E-2</v>
      </c>
      <c r="G74" s="1746"/>
      <c r="H74" s="1747"/>
      <c r="I74" s="1764">
        <f>I73*F74</f>
        <v>1168106.3447545802</v>
      </c>
    </row>
    <row r="75" spans="2:12" ht="15">
      <c r="B75" s="1536"/>
      <c r="C75" s="1537"/>
      <c r="D75" s="1537"/>
      <c r="E75" s="1762" t="s">
        <v>5678</v>
      </c>
      <c r="F75" s="1763">
        <f>$L$5</f>
        <v>0.06</v>
      </c>
      <c r="G75" s="1746"/>
      <c r="H75" s="1747"/>
      <c r="I75" s="1764">
        <f>SUM(I73:I74)*F75</f>
        <v>1344384.211326635</v>
      </c>
    </row>
    <row r="76" spans="2:12" ht="14.25">
      <c r="B76" s="1540"/>
      <c r="C76" s="1541"/>
      <c r="D76" s="1541"/>
      <c r="E76" s="1757" t="s">
        <v>5679</v>
      </c>
      <c r="F76" s="1791"/>
      <c r="G76" s="1759"/>
      <c r="H76" s="1760"/>
      <c r="I76" s="1761">
        <f>SUM(I73:I75)</f>
        <v>23750787.733437221</v>
      </c>
    </row>
    <row r="77" spans="2:12" ht="15">
      <c r="B77" s="1536"/>
      <c r="C77" s="1537"/>
      <c r="D77" s="1537"/>
      <c r="E77" s="1762" t="s">
        <v>5680</v>
      </c>
      <c r="F77" s="1765">
        <f>$M$5</f>
        <v>0.1</v>
      </c>
      <c r="G77" s="1746"/>
      <c r="H77" s="1747"/>
      <c r="I77" s="1764">
        <f>I76*F77</f>
        <v>2375078.7733437223</v>
      </c>
    </row>
    <row r="78" spans="2:12" ht="14.25">
      <c r="B78" s="1540"/>
      <c r="C78" s="1541"/>
      <c r="D78" s="1541"/>
      <c r="E78" s="1757" t="s">
        <v>5681</v>
      </c>
      <c r="F78" s="1791"/>
      <c r="G78" s="1759"/>
      <c r="H78" s="1760"/>
      <c r="I78" s="1761">
        <f>SUM(I76:I77)</f>
        <v>26125866.506780945</v>
      </c>
    </row>
    <row r="79" spans="2:12" ht="12.75">
      <c r="B79" s="1536"/>
      <c r="C79" s="1537"/>
      <c r="D79" s="1537"/>
      <c r="E79" s="1533" t="s">
        <v>5682</v>
      </c>
      <c r="F79" s="1535">
        <f>$N$5</f>
        <v>0.01</v>
      </c>
      <c r="G79" s="1538"/>
      <c r="H79" s="1532"/>
      <c r="I79" s="1534">
        <f>I78*F79</f>
        <v>261258.66506780946</v>
      </c>
    </row>
    <row r="80" spans="2:12" ht="14.25">
      <c r="B80" s="2104"/>
      <c r="C80" s="1543"/>
      <c r="D80" s="2105"/>
      <c r="E80" s="2106" t="s">
        <v>5683</v>
      </c>
      <c r="F80" s="2115"/>
      <c r="G80" s="2108"/>
      <c r="H80" s="2109"/>
      <c r="I80" s="2110">
        <f>ROUND(I78+I79,0)</f>
        <v>26387125</v>
      </c>
    </row>
    <row r="81" spans="1:12" ht="28.5">
      <c r="A81" s="657">
        <v>1</v>
      </c>
      <c r="B81" s="1546">
        <f>IF(A81&lt;&gt;0,COUNTA(A$7:$A81),"")</f>
        <v>5</v>
      </c>
      <c r="C81" s="1547">
        <f>'8.Dgia'!C61</f>
        <v>1776</v>
      </c>
      <c r="D81" s="1547" t="str">
        <f>'8.Dgia'!D61</f>
        <v>AF.65130</v>
      </c>
      <c r="E81" s="1740" t="str">
        <f>'8.Dgia'!E61</f>
        <v>Cốt thép D&gt;18 móng, mũ mố trụ cầu trên cạn</v>
      </c>
      <c r="F81" s="1789" t="s">
        <v>557</v>
      </c>
      <c r="G81" s="1742">
        <f>'8.Dgia'!H61</f>
        <v>0</v>
      </c>
      <c r="H81" s="1743"/>
      <c r="I81" s="1743"/>
      <c r="J81" s="842">
        <f>+I82</f>
        <v>17328067.4712</v>
      </c>
      <c r="K81" s="842">
        <f>+I86</f>
        <v>2504034</v>
      </c>
      <c r="L81" s="842">
        <f>+I87</f>
        <v>480192.86971363635</v>
      </c>
    </row>
    <row r="82" spans="1:12" s="658" customFormat="1" ht="15">
      <c r="B82" s="1536" t="str">
        <f>'8.Dgia'!B62</f>
        <v/>
      </c>
      <c r="C82" s="1537">
        <f>'8.Dgia'!C62</f>
        <v>0</v>
      </c>
      <c r="D82" s="1537">
        <f>'8.Dgia'!D62</f>
        <v>0</v>
      </c>
      <c r="E82" s="1744" t="str">
        <f>'8.Dgia'!E62</f>
        <v xml:space="preserve">  A - Vật liệu</v>
      </c>
      <c r="F82" s="1763">
        <f>'8.Dgia'!G62</f>
        <v>0</v>
      </c>
      <c r="G82" s="1746">
        <f>'8.Dgia'!H62</f>
        <v>0</v>
      </c>
      <c r="H82" s="1747"/>
      <c r="I82" s="1755">
        <f>SUM(I83:I85)</f>
        <v>17328067.4712</v>
      </c>
      <c r="J82" s="850"/>
      <c r="K82" s="850"/>
      <c r="L82" s="850"/>
    </row>
    <row r="83" spans="1:12" ht="15">
      <c r="B83" s="1536" t="str">
        <f>'8.Dgia'!B63</f>
        <v/>
      </c>
      <c r="C83" s="1537">
        <f>'8.Dgia'!C63</f>
        <v>0</v>
      </c>
      <c r="D83" s="1537">
        <f>'8.Dgia'!D63</f>
        <v>0</v>
      </c>
      <c r="E83" s="1749" t="str">
        <f>'8.Dgia'!E63</f>
        <v>Thép tròn D&lt;=18</v>
      </c>
      <c r="F83" s="1763" t="str">
        <f>'8.Dgia'!G63</f>
        <v>kg</v>
      </c>
      <c r="G83" s="1982">
        <f>'8.Dgia'!H63</f>
        <v>1020</v>
      </c>
      <c r="H83" s="1747">
        <f>GVL!$I$180</f>
        <v>16604.075560000001</v>
      </c>
      <c r="I83" s="1747">
        <f>H83*G83</f>
        <v>16936157.071200002</v>
      </c>
    </row>
    <row r="84" spans="1:12" ht="15">
      <c r="B84" s="1536" t="str">
        <f>'8.Dgia'!B64</f>
        <v/>
      </c>
      <c r="C84" s="1537">
        <f>'8.Dgia'!C64</f>
        <v>0</v>
      </c>
      <c r="D84" s="1537">
        <f>'8.Dgia'!D64</f>
        <v>0</v>
      </c>
      <c r="E84" s="1749" t="str">
        <f>'8.Dgia'!E64</f>
        <v>Dây thép buộc</v>
      </c>
      <c r="F84" s="1763" t="str">
        <f>'8.Dgia'!G64</f>
        <v>kg</v>
      </c>
      <c r="G84" s="1981">
        <f>'8.Dgia'!H64</f>
        <v>14.28</v>
      </c>
      <c r="H84" s="1747">
        <f>GVL!$I$89</f>
        <v>18180</v>
      </c>
      <c r="I84" s="1747">
        <f>H84*G84</f>
        <v>259610.4</v>
      </c>
    </row>
    <row r="85" spans="1:12" ht="15">
      <c r="B85" s="1536" t="str">
        <f>'8.Dgia'!B65</f>
        <v/>
      </c>
      <c r="C85" s="1537">
        <f>'8.Dgia'!C65</f>
        <v>0</v>
      </c>
      <c r="D85" s="1537">
        <f>'8.Dgia'!D65</f>
        <v>0</v>
      </c>
      <c r="E85" s="1749" t="str">
        <f>'8.Dgia'!E65</f>
        <v>Que hàn</v>
      </c>
      <c r="F85" s="1763" t="str">
        <f>'8.Dgia'!G65</f>
        <v>kg</v>
      </c>
      <c r="G85" s="1981">
        <f>'8.Dgia'!H65</f>
        <v>6.93</v>
      </c>
      <c r="H85" s="1747">
        <f>GVL!$I$153</f>
        <v>19090.909090909088</v>
      </c>
      <c r="I85" s="1747">
        <f>H85*G85</f>
        <v>132299.99999999997</v>
      </c>
    </row>
    <row r="86" spans="1:12" s="658" customFormat="1" ht="15">
      <c r="B86" s="1536" t="str">
        <f>'8.Dgia'!B66</f>
        <v/>
      </c>
      <c r="C86" s="1537">
        <f>'8.Dgia'!C66</f>
        <v>0</v>
      </c>
      <c r="D86" s="1537">
        <f>'8.Dgia'!D66</f>
        <v>0</v>
      </c>
      <c r="E86" s="1744" t="str">
        <f>'8.Dgia'!E66</f>
        <v xml:space="preserve">  B - Nhân công 4.0/7</v>
      </c>
      <c r="F86" s="1745" t="s">
        <v>552</v>
      </c>
      <c r="G86" s="1981">
        <f>'8.Dgia'!H66</f>
        <v>9.75</v>
      </c>
      <c r="H86" s="1747">
        <f>'16.NC'!$H$18</f>
        <v>256824</v>
      </c>
      <c r="I86" s="1755">
        <f>H86*G86</f>
        <v>2504034</v>
      </c>
      <c r="J86" s="850"/>
      <c r="K86" s="850"/>
      <c r="L86" s="850"/>
    </row>
    <row r="87" spans="1:12" s="658" customFormat="1" ht="15">
      <c r="B87" s="1536" t="str">
        <f>'8.Dgia'!B67</f>
        <v/>
      </c>
      <c r="C87" s="1537">
        <f>'8.Dgia'!C67</f>
        <v>0</v>
      </c>
      <c r="D87" s="1537">
        <f>'8.Dgia'!D67</f>
        <v>0</v>
      </c>
      <c r="E87" s="1744" t="str">
        <f>'8.Dgia'!E67</f>
        <v xml:space="preserve">  C - Máy thi công</v>
      </c>
      <c r="F87" s="1763">
        <f>'8.Dgia'!G67</f>
        <v>0</v>
      </c>
      <c r="G87" s="1981">
        <f>'8.Dgia'!H67</f>
        <v>0</v>
      </c>
      <c r="H87" s="1747"/>
      <c r="I87" s="1755">
        <f>SUM(I88:I90)</f>
        <v>480192.86971363635</v>
      </c>
      <c r="J87" s="850"/>
      <c r="K87" s="850"/>
      <c r="L87" s="850"/>
    </row>
    <row r="88" spans="1:12" ht="15">
      <c r="B88" s="1536" t="str">
        <f>'8.Dgia'!B68</f>
        <v/>
      </c>
      <c r="C88" s="1537">
        <f>'8.Dgia'!C68</f>
        <v>0</v>
      </c>
      <c r="D88" s="1537" t="str">
        <f>'8.Dgia'!D68</f>
        <v/>
      </c>
      <c r="E88" s="1749" t="str">
        <f>'8.Dgia'!E68</f>
        <v>Máy hàn 23kw</v>
      </c>
      <c r="F88" s="1745" t="s">
        <v>5493</v>
      </c>
      <c r="G88" s="1981">
        <f>'8.Dgia'!H68</f>
        <v>1.73</v>
      </c>
      <c r="H88" s="1747">
        <f>'9.may'!$P$510</f>
        <v>171649.155</v>
      </c>
      <c r="I88" s="1747">
        <f>H88*G88</f>
        <v>296953.03814999998</v>
      </c>
    </row>
    <row r="89" spans="1:12" ht="15">
      <c r="B89" s="1536" t="str">
        <f>'8.Dgia'!B69</f>
        <v/>
      </c>
      <c r="C89" s="1537">
        <f>'8.Dgia'!C69</f>
        <v>0</v>
      </c>
      <c r="D89" s="1537" t="str">
        <f>'8.Dgia'!D69</f>
        <v/>
      </c>
      <c r="E89" s="1749" t="str">
        <f>'8.Dgia'!E69</f>
        <v>Máy cắt uốn</v>
      </c>
      <c r="F89" s="1745" t="s">
        <v>5493</v>
      </c>
      <c r="G89" s="1981">
        <f>'8.Dgia'!H69</f>
        <v>0.16</v>
      </c>
      <c r="H89" s="1747">
        <f>'9.may'!$P$557</f>
        <v>80291.850000000006</v>
      </c>
      <c r="I89" s="1747">
        <f>H89*G89</f>
        <v>12846.696000000002</v>
      </c>
    </row>
    <row r="90" spans="1:12" ht="15">
      <c r="B90" s="1536" t="str">
        <f>'8.Dgia'!B70</f>
        <v/>
      </c>
      <c r="C90" s="1537">
        <f>'8.Dgia'!C70</f>
        <v>0</v>
      </c>
      <c r="D90" s="1537" t="str">
        <f>'8.Dgia'!D70</f>
        <v/>
      </c>
      <c r="E90" s="1749" t="str">
        <f>'8.Dgia'!E70</f>
        <v>Cần cẩu bánh xích 16T</v>
      </c>
      <c r="F90" s="1745" t="s">
        <v>5493</v>
      </c>
      <c r="G90" s="1981">
        <f>'8.Dgia'!H70</f>
        <v>0.08</v>
      </c>
      <c r="H90" s="1747">
        <f>'9.may'!$P$247</f>
        <v>2129914.1945454543</v>
      </c>
      <c r="I90" s="1747">
        <f>H90*G90</f>
        <v>170393.13556363634</v>
      </c>
    </row>
    <row r="91" spans="1:12" s="658" customFormat="1" ht="15">
      <c r="B91" s="1675"/>
      <c r="C91" s="1676"/>
      <c r="D91" s="1676"/>
      <c r="E91" s="1752" t="s">
        <v>5675</v>
      </c>
      <c r="F91" s="1763">
        <f>$J$5</f>
        <v>0.02</v>
      </c>
      <c r="G91" s="1754"/>
      <c r="H91" s="1755"/>
      <c r="I91" s="1756">
        <f>(I82+I86+I87)*F91</f>
        <v>406245.88681827276</v>
      </c>
      <c r="J91" s="850"/>
      <c r="K91" s="850"/>
      <c r="L91" s="850"/>
    </row>
    <row r="92" spans="1:12" ht="15">
      <c r="B92" s="1540"/>
      <c r="C92" s="1541"/>
      <c r="D92" s="1541"/>
      <c r="E92" s="1757" t="s">
        <v>5676</v>
      </c>
      <c r="F92" s="1763"/>
      <c r="G92" s="1759"/>
      <c r="H92" s="1760"/>
      <c r="I92" s="1761">
        <f>I91+I91/F91</f>
        <v>20718540.22773191</v>
      </c>
    </row>
    <row r="93" spans="1:12" ht="15">
      <c r="B93" s="1536"/>
      <c r="C93" s="1537"/>
      <c r="D93" s="1537"/>
      <c r="E93" s="1762" t="s">
        <v>5677</v>
      </c>
      <c r="F93" s="1763">
        <f>$K$5</f>
        <v>5.5E-2</v>
      </c>
      <c r="G93" s="1746"/>
      <c r="H93" s="1747"/>
      <c r="I93" s="1764">
        <f>I92*F93</f>
        <v>1139519.712525255</v>
      </c>
    </row>
    <row r="94" spans="1:12" ht="15">
      <c r="B94" s="1536"/>
      <c r="C94" s="1537"/>
      <c r="D94" s="1537"/>
      <c r="E94" s="1762" t="s">
        <v>5678</v>
      </c>
      <c r="F94" s="1763">
        <f>$L$5</f>
        <v>0.06</v>
      </c>
      <c r="G94" s="1746"/>
      <c r="H94" s="1747"/>
      <c r="I94" s="1764">
        <f>SUM(I92:I93)*F94</f>
        <v>1311483.5964154298</v>
      </c>
    </row>
    <row r="95" spans="1:12" ht="14.25">
      <c r="B95" s="1540"/>
      <c r="C95" s="1541"/>
      <c r="D95" s="1541"/>
      <c r="E95" s="1757" t="s">
        <v>5679</v>
      </c>
      <c r="F95" s="1791"/>
      <c r="G95" s="1759"/>
      <c r="H95" s="1760"/>
      <c r="I95" s="1761">
        <f>SUM(I92:I94)</f>
        <v>23169543.536672596</v>
      </c>
    </row>
    <row r="96" spans="1:12" ht="15">
      <c r="B96" s="1536"/>
      <c r="C96" s="1537"/>
      <c r="D96" s="1537"/>
      <c r="E96" s="1762" t="s">
        <v>5680</v>
      </c>
      <c r="F96" s="1765">
        <f>$M$5</f>
        <v>0.1</v>
      </c>
      <c r="G96" s="1746"/>
      <c r="H96" s="1747"/>
      <c r="I96" s="1764">
        <f>I95*F96</f>
        <v>2316954.3536672597</v>
      </c>
    </row>
    <row r="97" spans="1:12" ht="14.25">
      <c r="B97" s="1540"/>
      <c r="C97" s="1541"/>
      <c r="D97" s="1541"/>
      <c r="E97" s="1757" t="s">
        <v>5681</v>
      </c>
      <c r="F97" s="1791"/>
      <c r="G97" s="1759"/>
      <c r="H97" s="1760"/>
      <c r="I97" s="1761">
        <f>SUM(I95:I96)</f>
        <v>25486497.890339855</v>
      </c>
    </row>
    <row r="98" spans="1:12" ht="12.75">
      <c r="B98" s="1536"/>
      <c r="C98" s="1537"/>
      <c r="D98" s="1537"/>
      <c r="E98" s="1533" t="s">
        <v>5682</v>
      </c>
      <c r="F98" s="1535">
        <f>$N$5</f>
        <v>0.01</v>
      </c>
      <c r="G98" s="1538"/>
      <c r="H98" s="1532"/>
      <c r="I98" s="1534">
        <f>I97*F98</f>
        <v>254864.97890339856</v>
      </c>
    </row>
    <row r="99" spans="1:12" ht="14.25">
      <c r="B99" s="2104"/>
      <c r="C99" s="1543"/>
      <c r="D99" s="2105"/>
      <c r="E99" s="2106" t="s">
        <v>5683</v>
      </c>
      <c r="F99" s="2115"/>
      <c r="G99" s="2108"/>
      <c r="H99" s="2109"/>
      <c r="I99" s="2110">
        <f>ROUND(I97+I98,0)</f>
        <v>25741363</v>
      </c>
    </row>
    <row r="100" spans="1:12" ht="18" customHeight="1">
      <c r="A100" s="657">
        <v>1</v>
      </c>
      <c r="B100" s="1546">
        <f>IF(A100&lt;&gt;0,COUNTA(A$7:$A100),"")</f>
        <v>6</v>
      </c>
      <c r="C100" s="1547">
        <f>'8.Dgia'!C71</f>
        <v>1776</v>
      </c>
      <c r="D100" s="1547" t="str">
        <f>'8.Dgia'!D71</f>
        <v>AF.21110</v>
      </c>
      <c r="E100" s="1740" t="str">
        <f>'8.Dgia'!E71</f>
        <v>Bê tông C10 lót móng đá 1x2, R&gt;250cm</v>
      </c>
      <c r="F100" s="1789" t="str">
        <f>'8.Dgia'!G71</f>
        <v>m3</v>
      </c>
      <c r="G100" s="1742">
        <f>'8.Dgia'!H71</f>
        <v>0</v>
      </c>
      <c r="H100" s="1743"/>
      <c r="I100" s="1743"/>
      <c r="J100" s="842">
        <f>+I101</f>
        <v>789275.73266898212</v>
      </c>
      <c r="K100" s="842">
        <f>+I103</f>
        <v>142838.15</v>
      </c>
      <c r="L100" s="842">
        <f>+I104</f>
        <v>51094.028486590905</v>
      </c>
    </row>
    <row r="101" spans="1:12" s="658" customFormat="1" ht="15">
      <c r="B101" s="1536" t="str">
        <f>'8.Dgia'!B72</f>
        <v/>
      </c>
      <c r="C101" s="1537">
        <f>'8.Dgia'!C72</f>
        <v>0</v>
      </c>
      <c r="D101" s="1537">
        <f>'8.Dgia'!D72</f>
        <v>0</v>
      </c>
      <c r="E101" s="1744" t="str">
        <f>'8.Dgia'!E72</f>
        <v xml:space="preserve">  A - Vật liệu</v>
      </c>
      <c r="F101" s="1763">
        <f>'8.Dgia'!G72</f>
        <v>0</v>
      </c>
      <c r="G101" s="1746">
        <f>'8.Dgia'!H72</f>
        <v>0</v>
      </c>
      <c r="H101" s="1747"/>
      <c r="I101" s="1748">
        <f>+I102</f>
        <v>789275.73266898212</v>
      </c>
      <c r="J101" s="850"/>
      <c r="K101" s="850"/>
      <c r="L101" s="850"/>
    </row>
    <row r="102" spans="1:12" ht="15">
      <c r="B102" s="1536" t="str">
        <f>'8.Dgia'!B73</f>
        <v/>
      </c>
      <c r="C102" s="1537">
        <f>'8.Dgia'!C73</f>
        <v>0</v>
      </c>
      <c r="D102" s="1537" t="str">
        <f>'8.Dgia'!D73</f>
        <v>C3222</v>
      </c>
      <c r="E102" s="1749" t="str">
        <f>'8.Dgia'!E73</f>
        <v>Vữa Bê tông C10 đá 1x2 SN 6-8</v>
      </c>
      <c r="F102" s="1763" t="str">
        <f>'8.Dgia'!G73</f>
        <v>m3</v>
      </c>
      <c r="G102" s="1981">
        <f>'8.Dgia'!H73</f>
        <v>1.03</v>
      </c>
      <c r="H102" s="1747">
        <f>GVL!$I$191</f>
        <v>766287.11909609917</v>
      </c>
      <c r="I102" s="1747">
        <f>H102*G102</f>
        <v>789275.73266898212</v>
      </c>
    </row>
    <row r="103" spans="1:12" s="658" customFormat="1" ht="15">
      <c r="B103" s="1536" t="str">
        <f>'8.Dgia'!B74</f>
        <v/>
      </c>
      <c r="C103" s="1537">
        <f>'8.Dgia'!C74</f>
        <v>0</v>
      </c>
      <c r="D103" s="1537">
        <f>'8.Dgia'!D74</f>
        <v>0</v>
      </c>
      <c r="E103" s="1744" t="str">
        <f>'8.Dgia'!E74</f>
        <v xml:space="preserve">  B - Nhân công 3.0/7</v>
      </c>
      <c r="F103" s="1745" t="s">
        <v>552</v>
      </c>
      <c r="G103" s="1981">
        <f>'8.Dgia'!H74</f>
        <v>0.65</v>
      </c>
      <c r="H103" s="1747">
        <f>'16.NC'!$H$13</f>
        <v>219751</v>
      </c>
      <c r="I103" s="1755">
        <f>H103*G103</f>
        <v>142838.15</v>
      </c>
      <c r="J103" s="850"/>
      <c r="K103" s="850"/>
      <c r="L103" s="850"/>
    </row>
    <row r="104" spans="1:12" s="658" customFormat="1" ht="15">
      <c r="B104" s="1536" t="str">
        <f>'8.Dgia'!B75</f>
        <v/>
      </c>
      <c r="C104" s="1537">
        <f>'8.Dgia'!C75</f>
        <v>0</v>
      </c>
      <c r="D104" s="1537">
        <f>'8.Dgia'!D75</f>
        <v>0</v>
      </c>
      <c r="E104" s="1744" t="str">
        <f>'8.Dgia'!E75</f>
        <v xml:space="preserve">  C - Máy thi công</v>
      </c>
      <c r="F104" s="1763">
        <f>'8.Dgia'!G75</f>
        <v>0</v>
      </c>
      <c r="G104" s="1746">
        <f>'8.Dgia'!H75</f>
        <v>0</v>
      </c>
      <c r="H104" s="1747"/>
      <c r="I104" s="1755">
        <f>SUM(I105:I106)</f>
        <v>51094.028486590905</v>
      </c>
      <c r="J104" s="850"/>
      <c r="K104" s="850"/>
      <c r="L104" s="850"/>
    </row>
    <row r="105" spans="1:12" ht="15">
      <c r="B105" s="1536" t="str">
        <f>'8.Dgia'!B76</f>
        <v/>
      </c>
      <c r="C105" s="1537">
        <f>'8.Dgia'!C76</f>
        <v>0</v>
      </c>
      <c r="D105" s="1537">
        <f>'8.Dgia'!D76</f>
        <v>0</v>
      </c>
      <c r="E105" s="1749" t="str">
        <f>'8.Dgia'!E76</f>
        <v>Cần cẩu bánh xích 10T</v>
      </c>
      <c r="F105" s="1745" t="s">
        <v>5493</v>
      </c>
      <c r="G105" s="1981">
        <f>'8.Dgia'!H76</f>
        <v>0.03</v>
      </c>
      <c r="H105" s="1747">
        <f>'9.may'!$P$246</f>
        <v>1481320.1836363636</v>
      </c>
      <c r="I105" s="1747">
        <f>H105*G105</f>
        <v>44439.605509090907</v>
      </c>
    </row>
    <row r="106" spans="1:12" ht="15">
      <c r="B106" s="1536" t="str">
        <f>'8.Dgia'!B77</f>
        <v/>
      </c>
      <c r="C106" s="1537">
        <f>'8.Dgia'!C77</f>
        <v>0</v>
      </c>
      <c r="D106" s="1537">
        <f>'8.Dgia'!D77</f>
        <v>0</v>
      </c>
      <c r="E106" s="1749" t="str">
        <f>'8.Dgia'!E77</f>
        <v>Máy đầm dùi 1.5kw</v>
      </c>
      <c r="F106" s="1745" t="s">
        <v>5493</v>
      </c>
      <c r="G106" s="1746">
        <f>'8.Dgia'!H77</f>
        <v>8.8999999999999996E-2</v>
      </c>
      <c r="H106" s="1747">
        <f>'9.may'!$P$382</f>
        <v>74768.797500000001</v>
      </c>
      <c r="I106" s="1747">
        <f>H106*G106</f>
        <v>6654.4229774999994</v>
      </c>
    </row>
    <row r="107" spans="1:12" s="658" customFormat="1" ht="15">
      <c r="B107" s="1675"/>
      <c r="C107" s="1676"/>
      <c r="D107" s="1676"/>
      <c r="E107" s="1752" t="s">
        <v>5675</v>
      </c>
      <c r="F107" s="1763">
        <f>$J$5</f>
        <v>0.02</v>
      </c>
      <c r="G107" s="1754"/>
      <c r="H107" s="1755"/>
      <c r="I107" s="1756">
        <f>(I101+I103+I104)*F107</f>
        <v>19664.158223111463</v>
      </c>
      <c r="J107" s="850"/>
      <c r="K107" s="850"/>
      <c r="L107" s="850"/>
    </row>
    <row r="108" spans="1:12" ht="15">
      <c r="B108" s="1540"/>
      <c r="C108" s="1541"/>
      <c r="D108" s="1541"/>
      <c r="E108" s="1757" t="s">
        <v>5676</v>
      </c>
      <c r="F108" s="1763"/>
      <c r="G108" s="1759"/>
      <c r="H108" s="1760"/>
      <c r="I108" s="1761">
        <f>I107+I107/F107</f>
        <v>1002872.0693786845</v>
      </c>
    </row>
    <row r="109" spans="1:12" ht="15">
      <c r="B109" s="1536"/>
      <c r="C109" s="1537"/>
      <c r="D109" s="1537"/>
      <c r="E109" s="1762" t="s">
        <v>5677</v>
      </c>
      <c r="F109" s="1763">
        <f>$K$5</f>
        <v>5.5E-2</v>
      </c>
      <c r="G109" s="1746"/>
      <c r="H109" s="1747"/>
      <c r="I109" s="1764">
        <f>I108*F109</f>
        <v>55157.96381582765</v>
      </c>
    </row>
    <row r="110" spans="1:12" ht="15">
      <c r="B110" s="1536"/>
      <c r="C110" s="1537"/>
      <c r="D110" s="1537"/>
      <c r="E110" s="1762" t="s">
        <v>5678</v>
      </c>
      <c r="F110" s="1763">
        <f>$L$5</f>
        <v>0.06</v>
      </c>
      <c r="G110" s="1746"/>
      <c r="H110" s="1747"/>
      <c r="I110" s="1764">
        <f>SUM(I108:I109)*F110</f>
        <v>63481.801991670727</v>
      </c>
    </row>
    <row r="111" spans="1:12" ht="14.25">
      <c r="B111" s="1540"/>
      <c r="C111" s="1541"/>
      <c r="D111" s="1541"/>
      <c r="E111" s="1757" t="s">
        <v>5679</v>
      </c>
      <c r="F111" s="1791"/>
      <c r="G111" s="1759"/>
      <c r="H111" s="1760"/>
      <c r="I111" s="1761">
        <f>SUM(I108:I110)</f>
        <v>1121511.8351861828</v>
      </c>
    </row>
    <row r="112" spans="1:12" ht="15">
      <c r="B112" s="1536"/>
      <c r="C112" s="1537"/>
      <c r="D112" s="1537"/>
      <c r="E112" s="1762" t="s">
        <v>5680</v>
      </c>
      <c r="F112" s="1765">
        <f>$M$5</f>
        <v>0.1</v>
      </c>
      <c r="G112" s="1746"/>
      <c r="H112" s="1747"/>
      <c r="I112" s="1764">
        <f>I111*F112</f>
        <v>112151.18351861829</v>
      </c>
    </row>
    <row r="113" spans="1:12" ht="14.25">
      <c r="B113" s="1540"/>
      <c r="C113" s="1541"/>
      <c r="D113" s="1541"/>
      <c r="E113" s="1757" t="s">
        <v>5681</v>
      </c>
      <c r="F113" s="1791"/>
      <c r="G113" s="1759"/>
      <c r="H113" s="1760"/>
      <c r="I113" s="1761">
        <f>SUM(I111:I112)</f>
        <v>1233663.0187048011</v>
      </c>
    </row>
    <row r="114" spans="1:12" ht="12.75">
      <c r="B114" s="1536"/>
      <c r="C114" s="1537"/>
      <c r="D114" s="1537"/>
      <c r="E114" s="1533" t="s">
        <v>5682</v>
      </c>
      <c r="F114" s="1535">
        <f>$N$5</f>
        <v>0.01</v>
      </c>
      <c r="G114" s="1538"/>
      <c r="H114" s="1532"/>
      <c r="I114" s="1534">
        <f>I113*F114</f>
        <v>12336.630187048011</v>
      </c>
    </row>
    <row r="115" spans="1:12" ht="14.25">
      <c r="B115" s="2104"/>
      <c r="C115" s="1543"/>
      <c r="D115" s="2105"/>
      <c r="E115" s="2106" t="s">
        <v>5683</v>
      </c>
      <c r="F115" s="2115"/>
      <c r="G115" s="2108"/>
      <c r="H115" s="2109"/>
      <c r="I115" s="2110">
        <f>ROUND(I113+I114,0)</f>
        <v>1246000</v>
      </c>
    </row>
    <row r="116" spans="1:12" ht="15" customHeight="1">
      <c r="A116" s="657">
        <v>1</v>
      </c>
      <c r="B116" s="1546">
        <f>IF(A116&lt;&gt;0,COUNTA(A$7:$A116),"")</f>
        <v>7</v>
      </c>
      <c r="C116" s="1547">
        <f>'8.Dgia'!C101</f>
        <v>1776</v>
      </c>
      <c r="D116" s="1547" t="str">
        <f>'8.Dgia'!D101</f>
        <v>AF.87211</v>
      </c>
      <c r="E116" s="1740" t="str">
        <f>'8.Dgia'!E101</f>
        <v>Ván khuôn kim loại mố/trụ cầu trên cạn</v>
      </c>
      <c r="F116" s="1789" t="str">
        <f>'8.Dgia'!G101</f>
        <v>100m2</v>
      </c>
      <c r="G116" s="1742">
        <f>'8.Dgia'!H101</f>
        <v>0</v>
      </c>
      <c r="H116" s="1743"/>
      <c r="I116" s="1743"/>
      <c r="J116" s="842">
        <f>+I117</f>
        <v>1447845.5276421229</v>
      </c>
      <c r="K116" s="842">
        <f>+I124</f>
        <v>8603604</v>
      </c>
      <c r="L116" s="842">
        <f>+I125</f>
        <v>2630620.4670375003</v>
      </c>
    </row>
    <row r="117" spans="1:12" s="658" customFormat="1" ht="15">
      <c r="B117" s="1536" t="str">
        <f>'8.Dgia'!B102</f>
        <v/>
      </c>
      <c r="C117" s="1537">
        <f>'8.Dgia'!C102</f>
        <v>0</v>
      </c>
      <c r="D117" s="1537">
        <f>'8.Dgia'!D102</f>
        <v>0</v>
      </c>
      <c r="E117" s="1744" t="str">
        <f>'8.Dgia'!E102</f>
        <v xml:space="preserve">  A - Vật liệu</v>
      </c>
      <c r="F117" s="1763">
        <f>'8.Dgia'!G102</f>
        <v>0</v>
      </c>
      <c r="G117" s="1746">
        <f>'8.Dgia'!H102</f>
        <v>0</v>
      </c>
      <c r="H117" s="1747"/>
      <c r="I117" s="1748">
        <f>SUM(I118:I123)</f>
        <v>1447845.5276421229</v>
      </c>
      <c r="J117" s="850"/>
      <c r="K117" s="850"/>
      <c r="L117" s="850"/>
    </row>
    <row r="118" spans="1:12" ht="15">
      <c r="B118" s="1536" t="str">
        <f>'8.Dgia'!B103</f>
        <v/>
      </c>
      <c r="C118" s="1537">
        <f>'8.Dgia'!C103</f>
        <v>0</v>
      </c>
      <c r="D118" s="1537">
        <f>'8.Dgia'!D103</f>
        <v>0</v>
      </c>
      <c r="E118" s="1749" t="str">
        <f>'8.Dgia'!E103</f>
        <v>Thép tấm</v>
      </c>
      <c r="F118" s="1763" t="str">
        <f>'8.Dgia'!G103</f>
        <v>kg</v>
      </c>
      <c r="G118" s="1954">
        <f>'8.Dgia'!H103</f>
        <v>56</v>
      </c>
      <c r="H118" s="1792">
        <f>GVL!$I$175</f>
        <v>12871.348287272725</v>
      </c>
      <c r="I118" s="1747">
        <f>H118*G118</f>
        <v>720795.50408727257</v>
      </c>
    </row>
    <row r="119" spans="1:12" ht="15">
      <c r="B119" s="1536" t="str">
        <f>'8.Dgia'!B104</f>
        <v/>
      </c>
      <c r="C119" s="1537">
        <f>'8.Dgia'!C104</f>
        <v>0</v>
      </c>
      <c r="D119" s="1537">
        <f>'8.Dgia'!D104</f>
        <v>0</v>
      </c>
      <c r="E119" s="1749" t="str">
        <f>'8.Dgia'!E104</f>
        <v>Thép hình</v>
      </c>
      <c r="F119" s="1763" t="str">
        <f>'8.Dgia'!G104</f>
        <v>kg</v>
      </c>
      <c r="G119" s="1954">
        <f>'8.Dgia'!H104</f>
        <v>15.6</v>
      </c>
      <c r="H119" s="1792">
        <f>GVL!$I$170</f>
        <v>16703.248369172808</v>
      </c>
      <c r="I119" s="1747">
        <f>H119*G119</f>
        <v>260570.67455909582</v>
      </c>
    </row>
    <row r="120" spans="1:12" ht="15">
      <c r="B120" s="1536" t="str">
        <f>'8.Dgia'!B105</f>
        <v/>
      </c>
      <c r="C120" s="1537">
        <f>'8.Dgia'!C105</f>
        <v>0</v>
      </c>
      <c r="D120" s="1537">
        <f>'8.Dgia'!D105</f>
        <v>0</v>
      </c>
      <c r="E120" s="1749" t="str">
        <f>'8.Dgia'!E105</f>
        <v>Que hàn</v>
      </c>
      <c r="F120" s="1763" t="str">
        <f>'8.Dgia'!G105</f>
        <v>kg</v>
      </c>
      <c r="G120" s="1954">
        <f>'8.Dgia'!H105</f>
        <v>12.5</v>
      </c>
      <c r="H120" s="1747">
        <f>GVL!$I$153</f>
        <v>19090.909090909088</v>
      </c>
      <c r="I120" s="1747">
        <f>H120*G120</f>
        <v>238636.36363636359</v>
      </c>
    </row>
    <row r="121" spans="1:12" ht="15">
      <c r="B121" s="1536" t="str">
        <f>'8.Dgia'!B106</f>
        <v/>
      </c>
      <c r="C121" s="1537">
        <f>'8.Dgia'!C106</f>
        <v>0</v>
      </c>
      <c r="D121" s="1537">
        <f>'8.Dgia'!D106</f>
        <v>0</v>
      </c>
      <c r="E121" s="1749" t="str">
        <f>'8.Dgia'!E106</f>
        <v>Ô xy</v>
      </c>
      <c r="F121" s="1763" t="s">
        <v>565</v>
      </c>
      <c r="G121" s="1954">
        <f>'8.Dgia'!H106</f>
        <v>1.8</v>
      </c>
      <c r="H121" s="1792">
        <f>GVL!$I$130</f>
        <v>48000</v>
      </c>
      <c r="I121" s="1747">
        <f>H121*G121</f>
        <v>86400</v>
      </c>
    </row>
    <row r="122" spans="1:12" ht="15">
      <c r="B122" s="1536" t="str">
        <f>'8.Dgia'!B107</f>
        <v/>
      </c>
      <c r="C122" s="1537">
        <f>'8.Dgia'!C107</f>
        <v>0</v>
      </c>
      <c r="D122" s="1537">
        <f>'8.Dgia'!D107</f>
        <v>0</v>
      </c>
      <c r="E122" s="1749" t="str">
        <f>'8.Dgia'!E107</f>
        <v>Gas</v>
      </c>
      <c r="F122" s="1763" t="str">
        <f>'8.Dgia'!G107</f>
        <v>kg</v>
      </c>
      <c r="G122" s="1954">
        <f>'8.Dgia'!H107</f>
        <v>3.6</v>
      </c>
      <c r="H122" s="1792">
        <f>GVL!$I$91</f>
        <v>27575.757575757572</v>
      </c>
      <c r="I122" s="1747">
        <f>H122*G122</f>
        <v>99272.727272727265</v>
      </c>
    </row>
    <row r="123" spans="1:12" ht="15">
      <c r="B123" s="1536" t="str">
        <f>'8.Dgia'!B108</f>
        <v/>
      </c>
      <c r="C123" s="1537">
        <f>'8.Dgia'!C108</f>
        <v>0</v>
      </c>
      <c r="D123" s="1537">
        <f>'8.Dgia'!D108</f>
        <v>0</v>
      </c>
      <c r="E123" s="1749" t="str">
        <f>'8.Dgia'!E108</f>
        <v>Vật liệu khác</v>
      </c>
      <c r="F123" s="1763" t="str">
        <f>'8.Dgia'!G108</f>
        <v>%</v>
      </c>
      <c r="G123" s="1954">
        <f>'8.Dgia'!H108</f>
        <v>3</v>
      </c>
      <c r="H123" s="1747">
        <f>SUM(I118:I122)</f>
        <v>1405675.2695554593</v>
      </c>
      <c r="I123" s="1747">
        <f>H123*G123%</f>
        <v>42170.25808666378</v>
      </c>
    </row>
    <row r="124" spans="1:12" s="658" customFormat="1" ht="15">
      <c r="B124" s="1536" t="str">
        <f>'8.Dgia'!B109</f>
        <v/>
      </c>
      <c r="C124" s="1537">
        <f>'8.Dgia'!C109</f>
        <v>0</v>
      </c>
      <c r="D124" s="1537">
        <f>'8.Dgia'!D109</f>
        <v>0</v>
      </c>
      <c r="E124" s="1744" t="str">
        <f>'8.Dgia'!E109</f>
        <v xml:space="preserve">  B - Nhân công 4.0/7</v>
      </c>
      <c r="F124" s="1745" t="s">
        <v>552</v>
      </c>
      <c r="G124" s="1954">
        <f>'8.Dgia'!H109</f>
        <v>33.5</v>
      </c>
      <c r="H124" s="1747">
        <f>'16.NC'!$H$18</f>
        <v>256824</v>
      </c>
      <c r="I124" s="1755">
        <f>H124*G124</f>
        <v>8603604</v>
      </c>
      <c r="J124" s="850"/>
      <c r="K124" s="850"/>
      <c r="L124" s="850"/>
    </row>
    <row r="125" spans="1:12" s="658" customFormat="1" ht="15">
      <c r="B125" s="1536" t="str">
        <f>'8.Dgia'!B110</f>
        <v/>
      </c>
      <c r="C125" s="1537">
        <f>'8.Dgia'!C110</f>
        <v>0</v>
      </c>
      <c r="D125" s="1537">
        <f>'8.Dgia'!D110</f>
        <v>0</v>
      </c>
      <c r="E125" s="1744" t="str">
        <f>'8.Dgia'!E110</f>
        <v xml:space="preserve">  C - Máy thi công</v>
      </c>
      <c r="F125" s="1763">
        <f>'8.Dgia'!G110</f>
        <v>0</v>
      </c>
      <c r="G125" s="1954">
        <f>'8.Dgia'!H110</f>
        <v>0</v>
      </c>
      <c r="H125" s="1747"/>
      <c r="I125" s="1755">
        <f>SUM(I126:I129)</f>
        <v>2630620.4670375003</v>
      </c>
      <c r="J125" s="850"/>
      <c r="K125" s="850"/>
      <c r="L125" s="850"/>
    </row>
    <row r="126" spans="1:12" ht="15">
      <c r="B126" s="1536" t="str">
        <f>'8.Dgia'!B111</f>
        <v/>
      </c>
      <c r="C126" s="1537">
        <f>'8.Dgia'!C111</f>
        <v>0</v>
      </c>
      <c r="D126" s="1537">
        <f>'8.Dgia'!D111</f>
        <v>0</v>
      </c>
      <c r="E126" s="1749" t="str">
        <f>'8.Dgia'!E111</f>
        <v>Máy hàn 23kw</v>
      </c>
      <c r="F126" s="1745" t="s">
        <v>5493</v>
      </c>
      <c r="G126" s="1954">
        <f>'8.Dgia'!H111</f>
        <v>4.5</v>
      </c>
      <c r="H126" s="1747">
        <f>'9.may'!$P$510</f>
        <v>171649.155</v>
      </c>
      <c r="I126" s="1747">
        <f>H126*G126</f>
        <v>772421.19750000001</v>
      </c>
    </row>
    <row r="127" spans="1:12" ht="15">
      <c r="B127" s="1536" t="str">
        <f>'8.Dgia'!B112</f>
        <v/>
      </c>
      <c r="C127" s="1537">
        <f>'8.Dgia'!C112</f>
        <v>0</v>
      </c>
      <c r="D127" s="1537">
        <f>'8.Dgia'!D112</f>
        <v>0</v>
      </c>
      <c r="E127" s="1749" t="str">
        <f>'8.Dgia'!E112</f>
        <v>Máy cắt uốn</v>
      </c>
      <c r="F127" s="1745" t="s">
        <v>5493</v>
      </c>
      <c r="G127" s="1954">
        <f>'8.Dgia'!H112</f>
        <v>2.5</v>
      </c>
      <c r="H127" s="1747">
        <f>'9.may'!$P$557</f>
        <v>80291.850000000006</v>
      </c>
      <c r="I127" s="1747">
        <f>H127*G127</f>
        <v>200729.625</v>
      </c>
    </row>
    <row r="128" spans="1:12" ht="15">
      <c r="B128" s="1536" t="str">
        <f>'8.Dgia'!B113</f>
        <v/>
      </c>
      <c r="C128" s="1537">
        <f>'8.Dgia'!C113</f>
        <v>0</v>
      </c>
      <c r="D128" s="1537">
        <f>'8.Dgia'!D113</f>
        <v>0</v>
      </c>
      <c r="E128" s="1749" t="str">
        <f>'8.Dgia'!E113</f>
        <v>Cần cẩu bánh hơi 16T</v>
      </c>
      <c r="F128" s="1745" t="s">
        <v>5493</v>
      </c>
      <c r="G128" s="1954">
        <f>'8.Dgia'!H113</f>
        <v>0.8</v>
      </c>
      <c r="H128" s="1747">
        <f>'9.may'!$P$235</f>
        <v>2023241.85</v>
      </c>
      <c r="I128" s="1747">
        <f>H128*G128</f>
        <v>1618593.4800000002</v>
      </c>
    </row>
    <row r="129" spans="1:12" ht="15">
      <c r="B129" s="1536" t="str">
        <f>'8.Dgia'!B114</f>
        <v/>
      </c>
      <c r="C129" s="1537">
        <f>'8.Dgia'!C114</f>
        <v>0</v>
      </c>
      <c r="D129" s="1537">
        <f>'8.Dgia'!D114</f>
        <v>0</v>
      </c>
      <c r="E129" s="1749" t="str">
        <f>'8.Dgia'!E114</f>
        <v>Máy khác</v>
      </c>
      <c r="F129" s="1763" t="str">
        <f>'8.Dgia'!G114</f>
        <v>%</v>
      </c>
      <c r="G129" s="1954">
        <f>'8.Dgia'!H114</f>
        <v>1.5</v>
      </c>
      <c r="H129" s="1747">
        <f>SUM(I126:I128)</f>
        <v>2591744.3025000002</v>
      </c>
      <c r="I129" s="1747">
        <f>H129*G129%</f>
        <v>38876.164537500001</v>
      </c>
    </row>
    <row r="130" spans="1:12" s="658" customFormat="1" ht="15">
      <c r="B130" s="1675"/>
      <c r="C130" s="1676"/>
      <c r="D130" s="1676"/>
      <c r="E130" s="1752" t="s">
        <v>5675</v>
      </c>
      <c r="F130" s="1763">
        <f>$J$5</f>
        <v>0.02</v>
      </c>
      <c r="G130" s="1754"/>
      <c r="H130" s="1755"/>
      <c r="I130" s="1974">
        <f>(I117+I124+I125)*F130</f>
        <v>253641.39989359249</v>
      </c>
      <c r="J130" s="850"/>
      <c r="K130" s="850"/>
      <c r="L130" s="850"/>
    </row>
    <row r="131" spans="1:12" ht="15">
      <c r="B131" s="1540"/>
      <c r="C131" s="1541"/>
      <c r="D131" s="1541"/>
      <c r="E131" s="1757" t="s">
        <v>5676</v>
      </c>
      <c r="F131" s="1763"/>
      <c r="G131" s="1759"/>
      <c r="H131" s="1760"/>
      <c r="I131" s="1761">
        <f>I130+I130/F130</f>
        <v>12935711.394573217</v>
      </c>
    </row>
    <row r="132" spans="1:12" ht="15">
      <c r="B132" s="1536"/>
      <c r="C132" s="1537"/>
      <c r="D132" s="1537"/>
      <c r="E132" s="1762" t="s">
        <v>5677</v>
      </c>
      <c r="F132" s="1763">
        <f>$K$5</f>
        <v>5.5E-2</v>
      </c>
      <c r="G132" s="1746"/>
      <c r="H132" s="1747"/>
      <c r="I132" s="1764">
        <f>I131*F132</f>
        <v>711464.12670152693</v>
      </c>
    </row>
    <row r="133" spans="1:12" ht="15">
      <c r="B133" s="1536"/>
      <c r="C133" s="1537"/>
      <c r="D133" s="1537"/>
      <c r="E133" s="1762" t="s">
        <v>5678</v>
      </c>
      <c r="F133" s="1763">
        <f>$L$5</f>
        <v>0.06</v>
      </c>
      <c r="G133" s="1746"/>
      <c r="H133" s="1747"/>
      <c r="I133" s="1764">
        <f>SUM(I131:I132)*F133</f>
        <v>818830.5312764846</v>
      </c>
    </row>
    <row r="134" spans="1:12" ht="14.25">
      <c r="B134" s="1540"/>
      <c r="C134" s="1541"/>
      <c r="D134" s="1541"/>
      <c r="E134" s="1757" t="s">
        <v>5679</v>
      </c>
      <c r="F134" s="1791"/>
      <c r="G134" s="1759"/>
      <c r="H134" s="1760"/>
      <c r="I134" s="1761">
        <f>SUM(I131:I133)</f>
        <v>14466006.052551229</v>
      </c>
    </row>
    <row r="135" spans="1:12" ht="15">
      <c r="B135" s="1536"/>
      <c r="C135" s="1537"/>
      <c r="D135" s="1537"/>
      <c r="E135" s="1762" t="s">
        <v>5680</v>
      </c>
      <c r="F135" s="1765">
        <f>$M$5</f>
        <v>0.1</v>
      </c>
      <c r="G135" s="1746"/>
      <c r="H135" s="1747"/>
      <c r="I135" s="1764">
        <f>I134*F135</f>
        <v>1446600.605255123</v>
      </c>
    </row>
    <row r="136" spans="1:12" ht="14.25">
      <c r="B136" s="1540"/>
      <c r="C136" s="1541"/>
      <c r="D136" s="1541"/>
      <c r="E136" s="1757" t="s">
        <v>5681</v>
      </c>
      <c r="F136" s="1791"/>
      <c r="G136" s="1759"/>
      <c r="H136" s="1760"/>
      <c r="I136" s="1761">
        <f>SUM(I134:I135)</f>
        <v>15912606.657806352</v>
      </c>
    </row>
    <row r="137" spans="1:12" ht="12.75">
      <c r="B137" s="1536"/>
      <c r="C137" s="1537"/>
      <c r="D137" s="1537"/>
      <c r="E137" s="1533" t="s">
        <v>5682</v>
      </c>
      <c r="F137" s="1535">
        <f>$N$5</f>
        <v>0.01</v>
      </c>
      <c r="G137" s="1538"/>
      <c r="H137" s="1532"/>
      <c r="I137" s="1534">
        <f>I136*F137</f>
        <v>159126.06657806353</v>
      </c>
    </row>
    <row r="138" spans="1:12" ht="14.25">
      <c r="B138" s="2104"/>
      <c r="C138" s="1543"/>
      <c r="D138" s="2105"/>
      <c r="E138" s="2106" t="s">
        <v>5683</v>
      </c>
      <c r="F138" s="2115"/>
      <c r="G138" s="2108"/>
      <c r="H138" s="2109"/>
      <c r="I138" s="2110">
        <f>ROUND(I136+I137,0)</f>
        <v>16071733</v>
      </c>
    </row>
    <row r="139" spans="1:12" ht="28.5">
      <c r="A139" s="657">
        <v>1</v>
      </c>
      <c r="B139" s="1546">
        <f>IF(A139&lt;&gt;0,COUNTA(A$7:$A139),"")</f>
        <v>8</v>
      </c>
      <c r="C139" s="1547">
        <f>'8.Dgia'!C115</f>
        <v>1776</v>
      </c>
      <c r="D139" s="1547" t="str">
        <f>'8.Dgia'!D115</f>
        <v>AB.35110</v>
      </c>
      <c r="E139" s="1740" t="s">
        <v>5610</v>
      </c>
      <c r="F139" s="1789" t="s">
        <v>545</v>
      </c>
      <c r="G139" s="1742">
        <f>'8.Dgia'!H115</f>
        <v>0</v>
      </c>
      <c r="H139" s="1743"/>
      <c r="I139" s="1743"/>
      <c r="K139" s="842">
        <f>+I140</f>
        <v>109875.5</v>
      </c>
      <c r="L139" s="842">
        <f>+I141</f>
        <v>178989.89582727273</v>
      </c>
    </row>
    <row r="140" spans="1:12" s="658" customFormat="1" ht="15">
      <c r="B140" s="1536" t="str">
        <f>'8.Dgia'!B116</f>
        <v/>
      </c>
      <c r="C140" s="1537">
        <f>'8.Dgia'!C116</f>
        <v>0</v>
      </c>
      <c r="D140" s="1537">
        <f>'8.Dgia'!D116</f>
        <v>0</v>
      </c>
      <c r="E140" s="1744" t="s">
        <v>2038</v>
      </c>
      <c r="F140" s="1745" t="s">
        <v>552</v>
      </c>
      <c r="G140" s="1746">
        <v>0.5</v>
      </c>
      <c r="H140" s="1747">
        <f>NC!$N$38</f>
        <v>219751</v>
      </c>
      <c r="I140" s="1750">
        <f>H140*G140</f>
        <v>109875.5</v>
      </c>
      <c r="J140" s="850"/>
      <c r="K140" s="850"/>
      <c r="L140" s="850"/>
    </row>
    <row r="141" spans="1:12" s="658" customFormat="1" ht="15">
      <c r="B141" s="1536" t="str">
        <f>'8.Dgia'!B117</f>
        <v/>
      </c>
      <c r="C141" s="1537">
        <f>'8.Dgia'!C117</f>
        <v>0</v>
      </c>
      <c r="D141" s="1537">
        <f>'8.Dgia'!D117</f>
        <v>0</v>
      </c>
      <c r="E141" s="1744" t="s">
        <v>2033</v>
      </c>
      <c r="F141" s="1763">
        <f>'8.Dgia'!G117</f>
        <v>0</v>
      </c>
      <c r="G141" s="1746">
        <f>'8.Dgia'!H117</f>
        <v>0</v>
      </c>
      <c r="H141" s="1747"/>
      <c r="I141" s="1751">
        <f>SUM(I142)</f>
        <v>178989.89582727273</v>
      </c>
      <c r="J141" s="850"/>
      <c r="K141" s="850"/>
      <c r="L141" s="850"/>
    </row>
    <row r="142" spans="1:12" ht="15">
      <c r="B142" s="1536" t="str">
        <f>'8.Dgia'!B118</f>
        <v/>
      </c>
      <c r="C142" s="1537">
        <f>'8.Dgia'!C118</f>
        <v>0</v>
      </c>
      <c r="D142" s="1537" t="s">
        <v>5869</v>
      </c>
      <c r="E142" s="1749" t="str">
        <f>'8.Dgia'!E118</f>
        <v>Máy đào 1.25m3</v>
      </c>
      <c r="F142" s="1745" t="s">
        <v>5493</v>
      </c>
      <c r="G142" s="1746">
        <v>0.05</v>
      </c>
      <c r="H142" s="1747">
        <f>'9.may'!$P$28</f>
        <v>3579797.9165454544</v>
      </c>
      <c r="I142" s="1747">
        <f>H142*G142</f>
        <v>178989.89582727273</v>
      </c>
    </row>
    <row r="143" spans="1:12" s="658" customFormat="1" ht="15">
      <c r="B143" s="1675"/>
      <c r="C143" s="1676"/>
      <c r="D143" s="1676"/>
      <c r="E143" s="1752" t="s">
        <v>5675</v>
      </c>
      <c r="F143" s="1763">
        <f>$J$5</f>
        <v>0.02</v>
      </c>
      <c r="G143" s="1754"/>
      <c r="H143" s="1755"/>
      <c r="I143" s="1756">
        <f>(I140+I141)*F143</f>
        <v>5777.3079165454546</v>
      </c>
      <c r="J143" s="850"/>
      <c r="K143" s="850"/>
      <c r="L143" s="850"/>
    </row>
    <row r="144" spans="1:12" ht="15">
      <c r="B144" s="1540"/>
      <c r="C144" s="1541"/>
      <c r="D144" s="1541"/>
      <c r="E144" s="1757" t="s">
        <v>5676</v>
      </c>
      <c r="F144" s="1763"/>
      <c r="G144" s="1759"/>
      <c r="H144" s="1760"/>
      <c r="I144" s="1761">
        <f>I143+I143/F143</f>
        <v>294642.70374381822</v>
      </c>
    </row>
    <row r="145" spans="1:12" ht="15">
      <c r="B145" s="1536"/>
      <c r="C145" s="1537"/>
      <c r="D145" s="1537"/>
      <c r="E145" s="1762" t="s">
        <v>5677</v>
      </c>
      <c r="F145" s="1763">
        <f>$K$5</f>
        <v>5.5E-2</v>
      </c>
      <c r="G145" s="1746"/>
      <c r="H145" s="1747"/>
      <c r="I145" s="1764">
        <f>I144*F145</f>
        <v>16205.348705910003</v>
      </c>
    </row>
    <row r="146" spans="1:12" ht="15">
      <c r="B146" s="1536"/>
      <c r="C146" s="1537"/>
      <c r="D146" s="1537"/>
      <c r="E146" s="1762" t="s">
        <v>5678</v>
      </c>
      <c r="F146" s="1763">
        <f>$L$5</f>
        <v>0.06</v>
      </c>
      <c r="G146" s="1746"/>
      <c r="H146" s="1747"/>
      <c r="I146" s="1764">
        <f>SUM(I144:I145)*F146</f>
        <v>18650.883146983695</v>
      </c>
    </row>
    <row r="147" spans="1:12" ht="14.25">
      <c r="B147" s="1540"/>
      <c r="C147" s="1541"/>
      <c r="D147" s="1541"/>
      <c r="E147" s="1757" t="s">
        <v>5679</v>
      </c>
      <c r="F147" s="1791"/>
      <c r="G147" s="1759"/>
      <c r="H147" s="1760"/>
      <c r="I147" s="1761">
        <f>SUM(I144:I146)</f>
        <v>329498.93559671193</v>
      </c>
    </row>
    <row r="148" spans="1:12" ht="15">
      <c r="B148" s="1536"/>
      <c r="C148" s="1537"/>
      <c r="D148" s="1537"/>
      <c r="E148" s="1762" t="s">
        <v>5680</v>
      </c>
      <c r="F148" s="1765">
        <f>$M$5</f>
        <v>0.1</v>
      </c>
      <c r="G148" s="1746"/>
      <c r="H148" s="1747"/>
      <c r="I148" s="1764">
        <f>I147*F148</f>
        <v>32949.893559671196</v>
      </c>
    </row>
    <row r="149" spans="1:12" ht="14.25">
      <c r="B149" s="1540"/>
      <c r="C149" s="1541"/>
      <c r="D149" s="1541"/>
      <c r="E149" s="1757" t="s">
        <v>5681</v>
      </c>
      <c r="F149" s="1791"/>
      <c r="G149" s="1759"/>
      <c r="H149" s="1760"/>
      <c r="I149" s="1761">
        <f>SUM(I147:I148)</f>
        <v>362448.82915638312</v>
      </c>
    </row>
    <row r="150" spans="1:12" ht="12.75">
      <c r="B150" s="1536"/>
      <c r="C150" s="1537"/>
      <c r="D150" s="1537"/>
      <c r="E150" s="1533" t="s">
        <v>5682</v>
      </c>
      <c r="F150" s="1535">
        <f>$N$5</f>
        <v>0.01</v>
      </c>
      <c r="G150" s="1538"/>
      <c r="H150" s="1532"/>
      <c r="I150" s="1534">
        <f>I149*F150</f>
        <v>3624.4882915638314</v>
      </c>
    </row>
    <row r="151" spans="1:12" ht="14.25">
      <c r="B151" s="2104"/>
      <c r="C151" s="1543"/>
      <c r="D151" s="2105"/>
      <c r="E151" s="2106" t="s">
        <v>5683</v>
      </c>
      <c r="F151" s="2115"/>
      <c r="G151" s="2108"/>
      <c r="H151" s="2109"/>
      <c r="I151" s="2110">
        <f>ROUND(I149+I150,0)</f>
        <v>366073</v>
      </c>
    </row>
    <row r="152" spans="1:12" ht="14.25">
      <c r="A152" s="657">
        <v>1</v>
      </c>
      <c r="B152" s="1546">
        <f>IF(A152&lt;&gt;0,COUNTA(A$7:$A152),"")</f>
        <v>9</v>
      </c>
      <c r="C152" s="1547">
        <f>'8.Dgia'!C119</f>
        <v>1776</v>
      </c>
      <c r="D152" s="1547" t="str">
        <f>'8.Dgia'!D119</f>
        <v>AB.65130</v>
      </c>
      <c r="E152" s="1740" t="str">
        <f>'8.Dgia'!E119</f>
        <v>Đắp đất công trình (đất tận dụng)</v>
      </c>
      <c r="F152" s="1789" t="s">
        <v>545</v>
      </c>
      <c r="G152" s="1742">
        <f>'8.Dgia'!H119</f>
        <v>0</v>
      </c>
      <c r="H152" s="1743"/>
      <c r="I152" s="1743"/>
      <c r="K152" s="842">
        <f>+I153</f>
        <v>26144.683199999999</v>
      </c>
      <c r="L152" s="842">
        <f>+I154</f>
        <v>5661.6262078090913</v>
      </c>
    </row>
    <row r="153" spans="1:12" s="658" customFormat="1" ht="15">
      <c r="B153" s="1536" t="str">
        <f>'8.Dgia'!B120</f>
        <v/>
      </c>
      <c r="C153" s="1537">
        <f>'8.Dgia'!C120</f>
        <v>0</v>
      </c>
      <c r="D153" s="1537">
        <f>'8.Dgia'!D120</f>
        <v>0</v>
      </c>
      <c r="E153" s="1744" t="str">
        <f>'8.Dgia'!E120</f>
        <v xml:space="preserve">  B - Nhân công 4.0/7</v>
      </c>
      <c r="F153" s="1745" t="s">
        <v>552</v>
      </c>
      <c r="G153" s="1746">
        <f>'8.Dgia'!H120/100</f>
        <v>0.1018</v>
      </c>
      <c r="H153" s="1747">
        <f>'16.NC'!$H$18</f>
        <v>256824</v>
      </c>
      <c r="I153" s="1750">
        <f>H153*G153</f>
        <v>26144.683199999999</v>
      </c>
      <c r="J153" s="850"/>
      <c r="K153" s="850"/>
      <c r="L153" s="850"/>
    </row>
    <row r="154" spans="1:12" s="658" customFormat="1" ht="15">
      <c r="B154" s="1536" t="str">
        <f>'8.Dgia'!B121</f>
        <v/>
      </c>
      <c r="C154" s="1537">
        <f>'8.Dgia'!C121</f>
        <v>0</v>
      </c>
      <c r="D154" s="1537">
        <f>'8.Dgia'!D121</f>
        <v>0</v>
      </c>
      <c r="E154" s="1744" t="str">
        <f>'8.Dgia'!E121</f>
        <v xml:space="preserve">  C - Máy thi công</v>
      </c>
      <c r="F154" s="1763">
        <f>'8.Dgia'!G121</f>
        <v>0</v>
      </c>
      <c r="G154" s="1746">
        <f>'8.Dgia'!H121/100</f>
        <v>0</v>
      </c>
      <c r="H154" s="1747"/>
      <c r="I154" s="1751">
        <f>SUM(I155:I155)</f>
        <v>5661.6262078090913</v>
      </c>
      <c r="J154" s="850"/>
      <c r="K154" s="850"/>
      <c r="L154" s="850"/>
    </row>
    <row r="155" spans="1:12" ht="15">
      <c r="B155" s="1536" t="str">
        <f>'8.Dgia'!B122</f>
        <v/>
      </c>
      <c r="C155" s="1537">
        <f>'8.Dgia'!C122</f>
        <v>0</v>
      </c>
      <c r="D155" s="1537">
        <f>'8.Dgia'!D122</f>
        <v>0</v>
      </c>
      <c r="E155" s="1749" t="str">
        <f>'8.Dgia'!E122</f>
        <v>Đầm cóc</v>
      </c>
      <c r="F155" s="1745" t="s">
        <v>5493</v>
      </c>
      <c r="G155" s="1746">
        <f>'8.Dgia'!H122/100</f>
        <v>5.0900000000000001E-2</v>
      </c>
      <c r="H155" s="1747">
        <f>'9.may'!$P$98</f>
        <v>111230.37736363636</v>
      </c>
      <c r="I155" s="1747">
        <f>H155*G155</f>
        <v>5661.6262078090913</v>
      </c>
    </row>
    <row r="156" spans="1:12" s="658" customFormat="1" ht="15">
      <c r="B156" s="1675"/>
      <c r="C156" s="1676"/>
      <c r="D156" s="1676"/>
      <c r="E156" s="1752" t="s">
        <v>5675</v>
      </c>
      <c r="F156" s="1763">
        <f>$J$5</f>
        <v>0.02</v>
      </c>
      <c r="G156" s="1754"/>
      <c r="H156" s="1755"/>
      <c r="I156" s="1756">
        <f>(I153+I154)*F156</f>
        <v>636.1261881561818</v>
      </c>
      <c r="J156" s="850"/>
      <c r="K156" s="850"/>
      <c r="L156" s="850"/>
    </row>
    <row r="157" spans="1:12" ht="15">
      <c r="B157" s="1540"/>
      <c r="C157" s="1541"/>
      <c r="D157" s="1541"/>
      <c r="E157" s="1757" t="s">
        <v>5676</v>
      </c>
      <c r="F157" s="1763"/>
      <c r="G157" s="1759"/>
      <c r="H157" s="1760"/>
      <c r="I157" s="1761">
        <f>I156+I156/F156</f>
        <v>32442.435595965271</v>
      </c>
    </row>
    <row r="158" spans="1:12" ht="15">
      <c r="B158" s="1536"/>
      <c r="C158" s="1537"/>
      <c r="D158" s="1537"/>
      <c r="E158" s="1762" t="s">
        <v>5677</v>
      </c>
      <c r="F158" s="1763">
        <f>$K$5</f>
        <v>5.5E-2</v>
      </c>
      <c r="G158" s="1746"/>
      <c r="H158" s="1747"/>
      <c r="I158" s="1764">
        <f>I157*F158</f>
        <v>1784.3339577780898</v>
      </c>
    </row>
    <row r="159" spans="1:12" ht="15">
      <c r="B159" s="1536"/>
      <c r="C159" s="1537"/>
      <c r="D159" s="1537"/>
      <c r="E159" s="1762" t="s">
        <v>5678</v>
      </c>
      <c r="F159" s="1763">
        <f>$L$5</f>
        <v>0.06</v>
      </c>
      <c r="G159" s="1746"/>
      <c r="H159" s="1747"/>
      <c r="I159" s="1764">
        <f>SUM(I157:I158)*F159</f>
        <v>2053.6061732246017</v>
      </c>
    </row>
    <row r="160" spans="1:12" ht="14.25">
      <c r="B160" s="1540"/>
      <c r="C160" s="1541"/>
      <c r="D160" s="1541"/>
      <c r="E160" s="1757" t="s">
        <v>5679</v>
      </c>
      <c r="F160" s="1791"/>
      <c r="G160" s="1759"/>
      <c r="H160" s="1760"/>
      <c r="I160" s="1761">
        <f>SUM(I157:I159)</f>
        <v>36280.375726967963</v>
      </c>
    </row>
    <row r="161" spans="1:12" ht="15">
      <c r="B161" s="1536"/>
      <c r="C161" s="1537"/>
      <c r="D161" s="1537"/>
      <c r="E161" s="1762" t="s">
        <v>5680</v>
      </c>
      <c r="F161" s="1765">
        <f>$M$5</f>
        <v>0.1</v>
      </c>
      <c r="G161" s="1746"/>
      <c r="H161" s="1747"/>
      <c r="I161" s="1764">
        <f>I160*F161</f>
        <v>3628.0375726967964</v>
      </c>
    </row>
    <row r="162" spans="1:12" ht="14.25">
      <c r="B162" s="1540"/>
      <c r="C162" s="1541"/>
      <c r="D162" s="1541"/>
      <c r="E162" s="1757" t="s">
        <v>5681</v>
      </c>
      <c r="F162" s="1791"/>
      <c r="G162" s="1759"/>
      <c r="H162" s="1760"/>
      <c r="I162" s="1761">
        <f>SUM(I160:I161)</f>
        <v>39908.41329966476</v>
      </c>
    </row>
    <row r="163" spans="1:12" ht="12.75">
      <c r="B163" s="1536"/>
      <c r="C163" s="1537"/>
      <c r="D163" s="1537"/>
      <c r="E163" s="1533" t="s">
        <v>5682</v>
      </c>
      <c r="F163" s="1535">
        <f>$N$5</f>
        <v>0.01</v>
      </c>
      <c r="G163" s="1538"/>
      <c r="H163" s="1532"/>
      <c r="I163" s="1534">
        <f>I162*F163</f>
        <v>399.08413299664761</v>
      </c>
    </row>
    <row r="164" spans="1:12" ht="14.25">
      <c r="B164" s="2104"/>
      <c r="C164" s="1543"/>
      <c r="D164" s="2105"/>
      <c r="E164" s="2106" t="s">
        <v>5683</v>
      </c>
      <c r="F164" s="2115"/>
      <c r="G164" s="2108"/>
      <c r="H164" s="2109"/>
      <c r="I164" s="2110">
        <f>ROUND(I162+I163,0)</f>
        <v>40307</v>
      </c>
    </row>
    <row r="165" spans="1:12" ht="14.25">
      <c r="A165" s="657">
        <v>1</v>
      </c>
      <c r="B165" s="1546">
        <f>IF(A165&lt;&gt;0,COUNTA(A$7:$A165),"")</f>
        <v>10</v>
      </c>
      <c r="C165" s="1547">
        <f>'8.Dgia'!C123</f>
        <v>1776</v>
      </c>
      <c r="D165" s="1547" t="str">
        <f>'8.Dgia'!D123</f>
        <v>AB.64113</v>
      </c>
      <c r="E165" s="1740" t="str">
        <f>'8.Dgia'!E123</f>
        <v>Đắp đất công trình</v>
      </c>
      <c r="F165" s="1789" t="s">
        <v>545</v>
      </c>
      <c r="G165" s="1742">
        <f>'8.Dgia'!H123</f>
        <v>0</v>
      </c>
      <c r="H165" s="1743"/>
      <c r="I165" s="1743"/>
      <c r="K165" s="842">
        <f>+I166</f>
        <v>3823.6673999999998</v>
      </c>
      <c r="L165" s="842">
        <f>+I167</f>
        <v>11189.149854492272</v>
      </c>
    </row>
    <row r="166" spans="1:12" s="658" customFormat="1" ht="15">
      <c r="B166" s="1536" t="str">
        <f>'8.Dgia'!B124</f>
        <v/>
      </c>
      <c r="C166" s="1537">
        <f>'8.Dgia'!C124</f>
        <v>0</v>
      </c>
      <c r="D166" s="1537">
        <f>'8.Dgia'!D124</f>
        <v>0</v>
      </c>
      <c r="E166" s="1744" t="str">
        <f>'8.Dgia'!E124</f>
        <v xml:space="preserve">  B - Nhân công 3.0/7</v>
      </c>
      <c r="F166" s="1745" t="s">
        <v>552</v>
      </c>
      <c r="G166" s="1746">
        <f>'8.Dgia'!H124/100</f>
        <v>1.7399999999999999E-2</v>
      </c>
      <c r="H166" s="1747">
        <f>'16.NC'!$H$13</f>
        <v>219751</v>
      </c>
      <c r="I166" s="1750">
        <f>H166*G166</f>
        <v>3823.6673999999998</v>
      </c>
      <c r="J166" s="850"/>
      <c r="K166" s="850"/>
      <c r="L166" s="850"/>
    </row>
    <row r="167" spans="1:12" s="658" customFormat="1" ht="15">
      <c r="B167" s="1536" t="str">
        <f>'8.Dgia'!B125</f>
        <v/>
      </c>
      <c r="C167" s="1537">
        <f>'8.Dgia'!C125</f>
        <v>0</v>
      </c>
      <c r="D167" s="1537">
        <f>'8.Dgia'!D125</f>
        <v>0</v>
      </c>
      <c r="E167" s="1744" t="str">
        <f>'8.Dgia'!E125</f>
        <v xml:space="preserve">  C - Máy thi công</v>
      </c>
      <c r="F167" s="1763">
        <f>'8.Dgia'!G125</f>
        <v>0</v>
      </c>
      <c r="G167" s="1746">
        <f>'8.Dgia'!H125/100</f>
        <v>0</v>
      </c>
      <c r="H167" s="1747"/>
      <c r="I167" s="1751">
        <f>SUM(I168:I170)</f>
        <v>11189.149854492272</v>
      </c>
      <c r="J167" s="850"/>
      <c r="K167" s="850"/>
      <c r="L167" s="850"/>
    </row>
    <row r="168" spans="1:12" ht="15">
      <c r="B168" s="1536" t="str">
        <f>'8.Dgia'!B126</f>
        <v/>
      </c>
      <c r="C168" s="1537">
        <f>'8.Dgia'!C126</f>
        <v>0</v>
      </c>
      <c r="D168" s="1537">
        <f>'8.Dgia'!D126</f>
        <v>0</v>
      </c>
      <c r="E168" s="1749" t="str">
        <f>'8.Dgia'!E126</f>
        <v>Máy đầm 9T</v>
      </c>
      <c r="F168" s="1745" t="s">
        <v>5493</v>
      </c>
      <c r="G168" s="1746">
        <f>'8.Dgia'!H126/100</f>
        <v>4.1999999999999997E-3</v>
      </c>
      <c r="H168" s="1747">
        <f>'9.may'!$P$726</f>
        <v>1644996.0845454545</v>
      </c>
      <c r="I168" s="1747">
        <f>H168*G168</f>
        <v>6908.9835550909083</v>
      </c>
    </row>
    <row r="169" spans="1:12" ht="15">
      <c r="B169" s="1536" t="str">
        <f>'8.Dgia'!B127</f>
        <v/>
      </c>
      <c r="C169" s="1537">
        <f>'8.Dgia'!C127</f>
        <v>0</v>
      </c>
      <c r="D169" s="1537">
        <f>'8.Dgia'!D127</f>
        <v>0</v>
      </c>
      <c r="E169" s="1749" t="str">
        <f>'8.Dgia'!E127</f>
        <v>Máy ủi 110cv</v>
      </c>
      <c r="F169" s="1745" t="s">
        <v>5493</v>
      </c>
      <c r="G169" s="1746">
        <f>'8.Dgia'!H127/100</f>
        <v>2.0999999999999999E-3</v>
      </c>
      <c r="H169" s="1747">
        <f>'9.may'!$P$70</f>
        <v>1959433.0499999998</v>
      </c>
      <c r="I169" s="1747">
        <f>H169*G169</f>
        <v>4114.8094049999991</v>
      </c>
    </row>
    <row r="170" spans="1:12" ht="15">
      <c r="B170" s="1536" t="str">
        <f>'8.Dgia'!B128</f>
        <v/>
      </c>
      <c r="C170" s="1537">
        <f>'8.Dgia'!C128</f>
        <v>0</v>
      </c>
      <c r="D170" s="1537">
        <f>'8.Dgia'!D128</f>
        <v>0</v>
      </c>
      <c r="E170" s="1749" t="str">
        <f>'8.Dgia'!E128</f>
        <v>Máy khác</v>
      </c>
      <c r="F170" s="1763" t="str">
        <f>'8.Dgia'!G128</f>
        <v>%</v>
      </c>
      <c r="G170" s="1954">
        <f>'8.Dgia'!H128</f>
        <v>1.5</v>
      </c>
      <c r="H170" s="1747">
        <f>SUM(I168:I169)</f>
        <v>11023.792960090908</v>
      </c>
      <c r="I170" s="1747">
        <f>H170*G170%</f>
        <v>165.35689440136363</v>
      </c>
    </row>
    <row r="171" spans="1:12" s="658" customFormat="1" ht="15">
      <c r="B171" s="1675"/>
      <c r="C171" s="1676"/>
      <c r="D171" s="1676"/>
      <c r="E171" s="1752" t="s">
        <v>5675</v>
      </c>
      <c r="F171" s="1763">
        <f>$J$5</f>
        <v>0.02</v>
      </c>
      <c r="G171" s="1754"/>
      <c r="H171" s="1755"/>
      <c r="I171" s="1756">
        <f>(I166+I167)*F171</f>
        <v>300.25634508984547</v>
      </c>
      <c r="J171" s="850"/>
      <c r="K171" s="850"/>
      <c r="L171" s="850"/>
    </row>
    <row r="172" spans="1:12" ht="15">
      <c r="B172" s="1540"/>
      <c r="C172" s="1541"/>
      <c r="D172" s="1541"/>
      <c r="E172" s="1757" t="s">
        <v>5676</v>
      </c>
      <c r="F172" s="1763"/>
      <c r="G172" s="1759"/>
      <c r="H172" s="1760"/>
      <c r="I172" s="1761">
        <f>I171+I171/F171</f>
        <v>15313.073599582118</v>
      </c>
    </row>
    <row r="173" spans="1:12" ht="15">
      <c r="B173" s="1536"/>
      <c r="C173" s="1537"/>
      <c r="D173" s="1537"/>
      <c r="E173" s="1762" t="s">
        <v>5677</v>
      </c>
      <c r="F173" s="1763">
        <f>$K$5</f>
        <v>5.5E-2</v>
      </c>
      <c r="G173" s="1746"/>
      <c r="H173" s="1747"/>
      <c r="I173" s="1764">
        <f>I172*F173</f>
        <v>842.21904797701643</v>
      </c>
    </row>
    <row r="174" spans="1:12" ht="15">
      <c r="B174" s="1536"/>
      <c r="C174" s="1537"/>
      <c r="D174" s="1537"/>
      <c r="E174" s="1762" t="s">
        <v>5678</v>
      </c>
      <c r="F174" s="1763">
        <f>$L$5</f>
        <v>0.06</v>
      </c>
      <c r="G174" s="1746"/>
      <c r="H174" s="1747"/>
      <c r="I174" s="1764">
        <f>SUM(I172:I173)*F174</f>
        <v>969.31755885354801</v>
      </c>
    </row>
    <row r="175" spans="1:12" ht="14.25">
      <c r="B175" s="1540"/>
      <c r="C175" s="1541"/>
      <c r="D175" s="1541"/>
      <c r="E175" s="1757" t="s">
        <v>5679</v>
      </c>
      <c r="F175" s="1791"/>
      <c r="G175" s="1759"/>
      <c r="H175" s="1760"/>
      <c r="I175" s="1761">
        <f>SUM(I172:I174)</f>
        <v>17124.610206412683</v>
      </c>
    </row>
    <row r="176" spans="1:12" ht="15">
      <c r="B176" s="1536"/>
      <c r="C176" s="1537"/>
      <c r="D176" s="1537"/>
      <c r="E176" s="1762" t="s">
        <v>5680</v>
      </c>
      <c r="F176" s="1765">
        <f>$M$5</f>
        <v>0.1</v>
      </c>
      <c r="G176" s="1746"/>
      <c r="H176" s="1747"/>
      <c r="I176" s="1764">
        <f>I175*F176</f>
        <v>1712.4610206412683</v>
      </c>
    </row>
    <row r="177" spans="1:12" ht="14.25">
      <c r="B177" s="1540"/>
      <c r="C177" s="1541"/>
      <c r="D177" s="1541"/>
      <c r="E177" s="1757" t="s">
        <v>5681</v>
      </c>
      <c r="F177" s="1791"/>
      <c r="G177" s="1759"/>
      <c r="H177" s="1760"/>
      <c r="I177" s="1761">
        <f>SUM(I175:I176)</f>
        <v>18837.071227053952</v>
      </c>
    </row>
    <row r="178" spans="1:12" ht="12.75">
      <c r="B178" s="1536"/>
      <c r="C178" s="1537"/>
      <c r="D178" s="1537"/>
      <c r="E178" s="1533" t="s">
        <v>5682</v>
      </c>
      <c r="F178" s="1535">
        <f>$N$5</f>
        <v>0.01</v>
      </c>
      <c r="G178" s="1538"/>
      <c r="H178" s="1532"/>
      <c r="I178" s="1534">
        <f>I177*F178</f>
        <v>188.37071227053951</v>
      </c>
    </row>
    <row r="179" spans="1:12" ht="14.25">
      <c r="B179" s="2104"/>
      <c r="C179" s="1543"/>
      <c r="D179" s="2105"/>
      <c r="E179" s="2106" t="s">
        <v>5683</v>
      </c>
      <c r="F179" s="2115"/>
      <c r="G179" s="2108"/>
      <c r="H179" s="2109"/>
      <c r="I179" s="2110">
        <f>ROUND(I177+I178,0)</f>
        <v>19025</v>
      </c>
    </row>
    <row r="180" spans="1:12" ht="18" customHeight="1">
      <c r="A180" s="657">
        <v>1</v>
      </c>
      <c r="B180" s="1546">
        <f>IF(A180&lt;&gt;0,COUNTA(A$7:$A180),"")</f>
        <v>11</v>
      </c>
      <c r="C180" s="1547">
        <f>'8.Dgia'!C142</f>
        <v>1776</v>
      </c>
      <c r="D180" s="1547" t="s">
        <v>188</v>
      </c>
      <c r="E180" s="1740" t="str">
        <f>'8.Dgia'!E142</f>
        <v>Vữa không co ngót</v>
      </c>
      <c r="F180" s="1789" t="str">
        <f>'8.Dgia'!G142</f>
        <v>m3</v>
      </c>
      <c r="G180" s="1742">
        <f>'8.Dgia'!H142</f>
        <v>0</v>
      </c>
      <c r="H180" s="1743"/>
      <c r="I180" s="1790"/>
      <c r="J180" s="842">
        <f>+I181</f>
        <v>24783663.333333336</v>
      </c>
      <c r="K180" s="842">
        <f>+I183</f>
        <v>855921.7333333334</v>
      </c>
      <c r="L180" s="842">
        <f>+I184</f>
        <v>11355.0656</v>
      </c>
    </row>
    <row r="181" spans="1:12" s="658" customFormat="1" ht="15">
      <c r="B181" s="1536" t="str">
        <f>'8.Dgia'!B143</f>
        <v/>
      </c>
      <c r="C181" s="1537">
        <f>'8.Dgia'!C143</f>
        <v>0</v>
      </c>
      <c r="D181" s="1537">
        <f>'8.Dgia'!D143</f>
        <v>0</v>
      </c>
      <c r="E181" s="1744" t="str">
        <f>'8.Dgia'!E143</f>
        <v xml:space="preserve">  A - Vật liệu</v>
      </c>
      <c r="F181" s="1763">
        <f>'8.Dgia'!G143</f>
        <v>0</v>
      </c>
      <c r="G181" s="1746">
        <f>'8.Dgia'!H143</f>
        <v>0</v>
      </c>
      <c r="H181" s="1747"/>
      <c r="I181" s="1748">
        <f>SUM(I182:I182)</f>
        <v>24783663.333333336</v>
      </c>
      <c r="J181" s="850"/>
      <c r="K181" s="850"/>
      <c r="L181" s="850"/>
    </row>
    <row r="182" spans="1:12" ht="15">
      <c r="B182" s="1536" t="str">
        <f>'8.Dgia'!B144</f>
        <v/>
      </c>
      <c r="C182" s="1537">
        <f>'8.Dgia'!C144</f>
        <v>0</v>
      </c>
      <c r="D182" s="1537" t="str">
        <f>'8.Dgia'!D144</f>
        <v>VD</v>
      </c>
      <c r="E182" s="1749" t="str">
        <f>'8.Dgia'!E144</f>
        <v>Vữa không co ngót</v>
      </c>
      <c r="F182" s="1763" t="str">
        <f>'8.Dgia'!G144</f>
        <v>m3</v>
      </c>
      <c r="G182" s="1746">
        <f>'8.Dgia'!H144</f>
        <v>1.1666666666666667</v>
      </c>
      <c r="H182" s="1747">
        <f>GVL!$I$203</f>
        <v>21243140</v>
      </c>
      <c r="I182" s="1747">
        <f>H182*G182</f>
        <v>24783663.333333336</v>
      </c>
    </row>
    <row r="183" spans="1:12" s="658" customFormat="1" ht="15">
      <c r="B183" s="1536" t="str">
        <f>'8.Dgia'!B145</f>
        <v/>
      </c>
      <c r="C183" s="1537">
        <f>'8.Dgia'!C145</f>
        <v>0</v>
      </c>
      <c r="D183" s="1537">
        <f>'8.Dgia'!D145</f>
        <v>0</v>
      </c>
      <c r="E183" s="1744" t="str">
        <f>'8.Dgia'!E145</f>
        <v xml:space="preserve">  B - Nhân công 3.7/7</v>
      </c>
      <c r="F183" s="1745" t="s">
        <v>552</v>
      </c>
      <c r="G183" s="1746">
        <f>'8.Dgia'!H145</f>
        <v>3.5333333333333337</v>
      </c>
      <c r="H183" s="1747">
        <f>'16.NC'!$H$17</f>
        <v>242242</v>
      </c>
      <c r="I183" s="1750">
        <f>H183*G183</f>
        <v>855921.7333333334</v>
      </c>
      <c r="J183" s="850"/>
      <c r="K183" s="850"/>
      <c r="L183" s="850"/>
    </row>
    <row r="184" spans="1:12" s="658" customFormat="1" ht="15">
      <c r="B184" s="1536" t="str">
        <f>'8.Dgia'!B146</f>
        <v/>
      </c>
      <c r="C184" s="1537">
        <f>'8.Dgia'!C146</f>
        <v>0</v>
      </c>
      <c r="D184" s="1537">
        <f>'8.Dgia'!D146</f>
        <v>0</v>
      </c>
      <c r="E184" s="1744" t="str">
        <f>'8.Dgia'!E146</f>
        <v xml:space="preserve">  C - Máy thi công</v>
      </c>
      <c r="F184" s="1763">
        <f>'8.Dgia'!G146</f>
        <v>0</v>
      </c>
      <c r="G184" s="1746">
        <f>'8.Dgia'!H146</f>
        <v>0</v>
      </c>
      <c r="H184" s="1747"/>
      <c r="I184" s="1751">
        <f>I185</f>
        <v>11355.0656</v>
      </c>
      <c r="J184" s="850"/>
      <c r="K184" s="850"/>
      <c r="L184" s="850"/>
    </row>
    <row r="185" spans="1:12" ht="15">
      <c r="B185" s="1536" t="str">
        <f>'8.Dgia'!B147</f>
        <v/>
      </c>
      <c r="C185" s="1537">
        <f>'8.Dgia'!C147</f>
        <v>0</v>
      </c>
      <c r="D185" s="1537">
        <f>'8.Dgia'!D147</f>
        <v>0</v>
      </c>
      <c r="E185" s="1749" t="str">
        <f>'8.Dgia'!E147</f>
        <v>Máy trộn vữa 80l</v>
      </c>
      <c r="F185" s="1745" t="s">
        <v>5493</v>
      </c>
      <c r="G185" s="1746">
        <f>'8.Dgia'!H147</f>
        <v>0.13333333333333333</v>
      </c>
      <c r="H185" s="1747">
        <f>'9.may'!$P$340</f>
        <v>85162.991999999998</v>
      </c>
      <c r="I185" s="1747">
        <f>H185*G185</f>
        <v>11355.0656</v>
      </c>
    </row>
    <row r="186" spans="1:12" s="658" customFormat="1" ht="15">
      <c r="B186" s="1675"/>
      <c r="C186" s="1676"/>
      <c r="D186" s="1676"/>
      <c r="E186" s="1752" t="s">
        <v>5675</v>
      </c>
      <c r="F186" s="1763">
        <f>$J$5</f>
        <v>0.02</v>
      </c>
      <c r="G186" s="1754"/>
      <c r="H186" s="1755"/>
      <c r="I186" s="1756">
        <f>(I181+I183+I184)*F186</f>
        <v>513018.8026453334</v>
      </c>
      <c r="J186" s="850"/>
      <c r="K186" s="850"/>
      <c r="L186" s="850"/>
    </row>
    <row r="187" spans="1:12" ht="15">
      <c r="B187" s="1540"/>
      <c r="C187" s="1541"/>
      <c r="D187" s="1541"/>
      <c r="E187" s="1757" t="s">
        <v>5676</v>
      </c>
      <c r="F187" s="1763"/>
      <c r="G187" s="1759"/>
      <c r="H187" s="1760"/>
      <c r="I187" s="1761">
        <f>I186+I186/F186</f>
        <v>26163958.934912004</v>
      </c>
    </row>
    <row r="188" spans="1:12" ht="15">
      <c r="B188" s="1536"/>
      <c r="C188" s="1537"/>
      <c r="D188" s="1537"/>
      <c r="E188" s="1762" t="s">
        <v>5677</v>
      </c>
      <c r="F188" s="1763">
        <f>$K$5</f>
        <v>5.5E-2</v>
      </c>
      <c r="G188" s="1746"/>
      <c r="H188" s="1747"/>
      <c r="I188" s="1764">
        <f>I187*F188</f>
        <v>1439017.7414201603</v>
      </c>
    </row>
    <row r="189" spans="1:12" ht="15">
      <c r="B189" s="1536"/>
      <c r="C189" s="1537"/>
      <c r="D189" s="1537"/>
      <c r="E189" s="1762" t="s">
        <v>5678</v>
      </c>
      <c r="F189" s="1763">
        <f>$L$5</f>
        <v>0.06</v>
      </c>
      <c r="G189" s="1746"/>
      <c r="H189" s="1747"/>
      <c r="I189" s="1764">
        <f>SUM(I187:I188)*F189</f>
        <v>1656178.6005799298</v>
      </c>
    </row>
    <row r="190" spans="1:12" ht="14.25">
      <c r="B190" s="1540"/>
      <c r="C190" s="1541"/>
      <c r="D190" s="1541"/>
      <c r="E190" s="1757" t="s">
        <v>5679</v>
      </c>
      <c r="F190" s="1791"/>
      <c r="G190" s="1759"/>
      <c r="H190" s="1760"/>
      <c r="I190" s="1761">
        <f>SUM(I187:I189)</f>
        <v>29259155.276912093</v>
      </c>
    </row>
    <row r="191" spans="1:12" ht="15">
      <c r="B191" s="1536"/>
      <c r="C191" s="1537"/>
      <c r="D191" s="1537"/>
      <c r="E191" s="1762" t="s">
        <v>5680</v>
      </c>
      <c r="F191" s="1765">
        <f>$M$5</f>
        <v>0.1</v>
      </c>
      <c r="G191" s="1746"/>
      <c r="H191" s="1747"/>
      <c r="I191" s="1764">
        <f>I190*F191</f>
        <v>2925915.5276912097</v>
      </c>
    </row>
    <row r="192" spans="1:12" ht="14.25">
      <c r="B192" s="1540"/>
      <c r="C192" s="1541"/>
      <c r="D192" s="1541"/>
      <c r="E192" s="1757" t="s">
        <v>5681</v>
      </c>
      <c r="F192" s="1791"/>
      <c r="G192" s="1759"/>
      <c r="H192" s="1760"/>
      <c r="I192" s="1761">
        <f>SUM(I190:I191)</f>
        <v>32185070.804603301</v>
      </c>
    </row>
    <row r="193" spans="1:12" ht="12.75">
      <c r="B193" s="1536"/>
      <c r="C193" s="1537"/>
      <c r="D193" s="1537"/>
      <c r="E193" s="1533" t="s">
        <v>5682</v>
      </c>
      <c r="F193" s="1535">
        <f>$N$5</f>
        <v>0.01</v>
      </c>
      <c r="G193" s="1538"/>
      <c r="H193" s="1532"/>
      <c r="I193" s="1534">
        <f>I192*F193</f>
        <v>321850.70804603299</v>
      </c>
    </row>
    <row r="194" spans="1:12" ht="14.25">
      <c r="B194" s="2104"/>
      <c r="C194" s="1543"/>
      <c r="D194" s="2105"/>
      <c r="E194" s="2106" t="s">
        <v>5683</v>
      </c>
      <c r="F194" s="2115"/>
      <c r="G194" s="2108"/>
      <c r="H194" s="2109"/>
      <c r="I194" s="2110">
        <f>ROUND(I192+I193,0)</f>
        <v>32506922</v>
      </c>
    </row>
    <row r="195" spans="1:12" ht="14.25">
      <c r="A195" s="657">
        <v>1</v>
      </c>
      <c r="B195" s="1546">
        <f>IF(A195&lt;&gt;0,COUNTA(A$7:$A195),"")</f>
        <v>12</v>
      </c>
      <c r="C195" s="1547">
        <f>'8.Dgia'!C148</f>
        <v>1776</v>
      </c>
      <c r="D195" s="1547" t="str">
        <f>'8.Dgia'!D148</f>
        <v>AI.13111</v>
      </c>
      <c r="E195" s="1740" t="str">
        <f>'8.Dgia'!E148</f>
        <v>Sản xuất thép ống/thép bản</v>
      </c>
      <c r="F195" s="1789" t="s">
        <v>557</v>
      </c>
      <c r="G195" s="1742">
        <f>'8.Dgia'!H148</f>
        <v>0</v>
      </c>
      <c r="H195" s="1743"/>
      <c r="I195" s="1743"/>
      <c r="J195" s="842">
        <f>+I196</f>
        <v>15940446.971961817</v>
      </c>
      <c r="K195" s="842">
        <f>+I203</f>
        <v>9376248</v>
      </c>
      <c r="L195" s="842">
        <f>+I204</f>
        <v>800310.241775</v>
      </c>
    </row>
    <row r="196" spans="1:12" s="658" customFormat="1" ht="15">
      <c r="B196" s="1536" t="str">
        <f>'8.Dgia'!B149</f>
        <v/>
      </c>
      <c r="C196" s="1537">
        <f>'8.Dgia'!C149</f>
        <v>0</v>
      </c>
      <c r="D196" s="1537">
        <f>'8.Dgia'!D149</f>
        <v>0</v>
      </c>
      <c r="E196" s="1744" t="str">
        <f>'8.Dgia'!E149</f>
        <v xml:space="preserve">  A - Vật liệu</v>
      </c>
      <c r="F196" s="1763">
        <f>'8.Dgia'!G149</f>
        <v>0</v>
      </c>
      <c r="G196" s="1746">
        <f>'8.Dgia'!H149</f>
        <v>0</v>
      </c>
      <c r="H196" s="1747"/>
      <c r="I196" s="1748">
        <f>SUM(I197:I202)</f>
        <v>15940446.971961817</v>
      </c>
      <c r="J196" s="850"/>
      <c r="K196" s="850"/>
      <c r="L196" s="850"/>
    </row>
    <row r="197" spans="1:12" ht="15">
      <c r="B197" s="1536" t="str">
        <f>'8.Dgia'!B150</f>
        <v/>
      </c>
      <c r="C197" s="1537">
        <f>'8.Dgia'!C150</f>
        <v>0</v>
      </c>
      <c r="D197" s="1537">
        <f>'8.Dgia'!D150</f>
        <v>0</v>
      </c>
      <c r="E197" s="1749" t="str">
        <f>'8.Dgia'!E150</f>
        <v>Thép tấm</v>
      </c>
      <c r="F197" s="1763" t="str">
        <f>'8.Dgia'!G150</f>
        <v>kg</v>
      </c>
      <c r="G197" s="1954">
        <f>'8.Dgia'!H150</f>
        <v>825</v>
      </c>
      <c r="H197" s="1747">
        <f>GVL!$I$175</f>
        <v>12871.348287272725</v>
      </c>
      <c r="I197" s="1747">
        <f t="shared" ref="I197:I202" si="0">H197*G197</f>
        <v>10618862.336999999</v>
      </c>
    </row>
    <row r="198" spans="1:12" ht="15">
      <c r="B198" s="1536" t="str">
        <f>'8.Dgia'!B151</f>
        <v/>
      </c>
      <c r="C198" s="1537">
        <f>'8.Dgia'!C151</f>
        <v>0</v>
      </c>
      <c r="D198" s="1537">
        <f>'8.Dgia'!D151</f>
        <v>0</v>
      </c>
      <c r="E198" s="1749" t="str">
        <f>'8.Dgia'!E151</f>
        <v>Thép tròn D&lt;=18</v>
      </c>
      <c r="F198" s="1763" t="str">
        <f>'8.Dgia'!G151</f>
        <v>kg</v>
      </c>
      <c r="G198" s="1954">
        <f>'8.Dgia'!H151</f>
        <v>275.5</v>
      </c>
      <c r="H198" s="1747">
        <f>GVL!$I$180</f>
        <v>16604.075560000001</v>
      </c>
      <c r="I198" s="1747">
        <f t="shared" si="0"/>
        <v>4574422.81678</v>
      </c>
    </row>
    <row r="199" spans="1:12" ht="15">
      <c r="B199" s="1536" t="str">
        <f>'8.Dgia'!B152</f>
        <v/>
      </c>
      <c r="C199" s="1537">
        <f>'8.Dgia'!C152</f>
        <v>0</v>
      </c>
      <c r="D199" s="1537">
        <f>'8.Dgia'!D152</f>
        <v>0</v>
      </c>
      <c r="E199" s="1749" t="str">
        <f>'8.Dgia'!E152</f>
        <v>Ô xy</v>
      </c>
      <c r="F199" s="1763" t="s">
        <v>565</v>
      </c>
      <c r="G199" s="1954">
        <f>'8.Dgia'!H152</f>
        <v>3.3</v>
      </c>
      <c r="H199" s="1747">
        <f>GVL!$I$130</f>
        <v>48000</v>
      </c>
      <c r="I199" s="1747">
        <f t="shared" si="0"/>
        <v>158400</v>
      </c>
    </row>
    <row r="200" spans="1:12" ht="15">
      <c r="B200" s="1536" t="str">
        <f>'8.Dgia'!B153</f>
        <v/>
      </c>
      <c r="C200" s="1537">
        <f>'8.Dgia'!C153</f>
        <v>0</v>
      </c>
      <c r="D200" s="1537">
        <f>'8.Dgia'!D153</f>
        <v>0</v>
      </c>
      <c r="E200" s="1749" t="str">
        <f>'8.Dgia'!E153</f>
        <v>Đất đèn</v>
      </c>
      <c r="F200" s="1763" t="str">
        <f>'8.Dgia'!G153</f>
        <v>kg</v>
      </c>
      <c r="G200" s="1954">
        <f>'8.Dgia'!H153</f>
        <v>14.8</v>
      </c>
      <c r="H200" s="1747">
        <f>GVL!$I$68</f>
        <v>13600</v>
      </c>
      <c r="I200" s="1747">
        <f t="shared" si="0"/>
        <v>201280</v>
      </c>
    </row>
    <row r="201" spans="1:12" ht="15">
      <c r="B201" s="1536" t="str">
        <f>'8.Dgia'!B154</f>
        <v/>
      </c>
      <c r="C201" s="1537">
        <f>'8.Dgia'!C154</f>
        <v>0</v>
      </c>
      <c r="D201" s="1537">
        <f>'8.Dgia'!D154</f>
        <v>0</v>
      </c>
      <c r="E201" s="1749" t="str">
        <f>'8.Dgia'!E154</f>
        <v>Đá mài</v>
      </c>
      <c r="F201" s="1763" t="str">
        <f>'8.Dgia'!G154</f>
        <v>viên</v>
      </c>
      <c r="G201" s="1954">
        <f>'8.Dgia'!H154</f>
        <v>0.7</v>
      </c>
      <c r="H201" s="1747">
        <f>GVL!$I$63</f>
        <v>25000</v>
      </c>
      <c r="I201" s="1747">
        <f t="shared" si="0"/>
        <v>17500</v>
      </c>
    </row>
    <row r="202" spans="1:12" ht="15">
      <c r="B202" s="1536" t="str">
        <f>'8.Dgia'!B155</f>
        <v/>
      </c>
      <c r="C202" s="1537">
        <f>'8.Dgia'!C155</f>
        <v>0</v>
      </c>
      <c r="D202" s="1537">
        <f>'8.Dgia'!D155</f>
        <v>0</v>
      </c>
      <c r="E202" s="1749" t="str">
        <f>'8.Dgia'!E155</f>
        <v>Que hàn</v>
      </c>
      <c r="F202" s="1763" t="str">
        <f>'8.Dgia'!G155</f>
        <v>kg</v>
      </c>
      <c r="G202" s="1954">
        <f>'8.Dgia'!H155</f>
        <v>19.38</v>
      </c>
      <c r="H202" s="1747">
        <f>GVL!$I$153</f>
        <v>19090.909090909088</v>
      </c>
      <c r="I202" s="1747">
        <f t="shared" si="0"/>
        <v>369981.81818181812</v>
      </c>
    </row>
    <row r="203" spans="1:12" s="658" customFormat="1" ht="15">
      <c r="B203" s="1536" t="str">
        <f>'8.Dgia'!B157</f>
        <v/>
      </c>
      <c r="C203" s="1537">
        <f>'8.Dgia'!C157</f>
        <v>0</v>
      </c>
      <c r="D203" s="1537">
        <f>'8.Dgia'!D157</f>
        <v>0</v>
      </c>
      <c r="E203" s="1744" t="str">
        <f>'8.Dgia'!E157</f>
        <v xml:space="preserve">  B - Nhân công 4.5/7</v>
      </c>
      <c r="F203" s="1745" t="s">
        <v>552</v>
      </c>
      <c r="G203" s="1954">
        <v>34</v>
      </c>
      <c r="H203" s="1747">
        <f>'16.NC'!$H$20</f>
        <v>275772</v>
      </c>
      <c r="I203" s="1750">
        <f>H203*G203</f>
        <v>9376248</v>
      </c>
      <c r="J203" s="850"/>
      <c r="K203" s="850"/>
      <c r="L203" s="850"/>
    </row>
    <row r="204" spans="1:12" s="658" customFormat="1" ht="15">
      <c r="B204" s="1536" t="str">
        <f>'8.Dgia'!B158</f>
        <v/>
      </c>
      <c r="C204" s="1537">
        <f>'8.Dgia'!C158</f>
        <v>0</v>
      </c>
      <c r="D204" s="1537">
        <f>'8.Dgia'!D158</f>
        <v>0</v>
      </c>
      <c r="E204" s="1744" t="str">
        <f>'8.Dgia'!E158</f>
        <v xml:space="preserve">  C - Máy thi công</v>
      </c>
      <c r="F204" s="1763">
        <f>'8.Dgia'!G158</f>
        <v>0</v>
      </c>
      <c r="G204" s="1746">
        <f>'8.Dgia'!H158</f>
        <v>0</v>
      </c>
      <c r="H204" s="1747"/>
      <c r="I204" s="1751">
        <f>SUM(I205:I207)</f>
        <v>800310.241775</v>
      </c>
      <c r="J204" s="850"/>
      <c r="K204" s="850"/>
      <c r="L204" s="850"/>
    </row>
    <row r="205" spans="1:12" ht="15">
      <c r="B205" s="1536" t="str">
        <f>'8.Dgia'!B159</f>
        <v/>
      </c>
      <c r="C205" s="1537">
        <f>'8.Dgia'!C159</f>
        <v>0</v>
      </c>
      <c r="D205" s="1537">
        <f>'8.Dgia'!D159</f>
        <v>0</v>
      </c>
      <c r="E205" s="1749" t="str">
        <f>'8.Dgia'!E159</f>
        <v>Máy hàn 23kw</v>
      </c>
      <c r="F205" s="1745" t="s">
        <v>5493</v>
      </c>
      <c r="G205" s="1746">
        <f>'8.Dgia'!H159</f>
        <v>3.23</v>
      </c>
      <c r="H205" s="1747">
        <f>'9.may'!$P$510</f>
        <v>171649.155</v>
      </c>
      <c r="I205" s="1747">
        <f>H205*G205</f>
        <v>554426.77064999996</v>
      </c>
    </row>
    <row r="206" spans="1:12" ht="15">
      <c r="B206" s="1536" t="str">
        <f>'8.Dgia'!B160</f>
        <v/>
      </c>
      <c r="C206" s="1537">
        <f>'8.Dgia'!C160</f>
        <v>0</v>
      </c>
      <c r="D206" s="1537">
        <f>'8.Dgia'!D160</f>
        <v>0</v>
      </c>
      <c r="E206" s="1749" t="str">
        <f>'8.Dgia'!E160</f>
        <v>Máy mài 2.7kw</v>
      </c>
      <c r="F206" s="1745" t="s">
        <v>5493</v>
      </c>
      <c r="G206" s="1746">
        <f>'8.Dgia'!H160</f>
        <v>1.55</v>
      </c>
      <c r="H206" s="1747">
        <f>'9.may'!$P$564</f>
        <v>67591.852499999994</v>
      </c>
      <c r="I206" s="1747">
        <f>H206*G206</f>
        <v>104767.37137499999</v>
      </c>
    </row>
    <row r="207" spans="1:12" ht="15">
      <c r="B207" s="1536" t="str">
        <f>'8.Dgia'!B161</f>
        <v/>
      </c>
      <c r="C207" s="1537">
        <f>'8.Dgia'!C161</f>
        <v>0</v>
      </c>
      <c r="D207" s="1537">
        <f>'8.Dgia'!D161</f>
        <v>0</v>
      </c>
      <c r="E207" s="1749" t="str">
        <f>'8.Dgia'!E161</f>
        <v>Máy khoan 2.5kw</v>
      </c>
      <c r="F207" s="1745" t="s">
        <v>5493</v>
      </c>
      <c r="G207" s="1746">
        <f>'8.Dgia'!H161</f>
        <v>1.55</v>
      </c>
      <c r="H207" s="1747">
        <f>'9.may'!$P$757</f>
        <v>91042.645000000004</v>
      </c>
      <c r="I207" s="1747">
        <f>H207*G207</f>
        <v>141116.09975000002</v>
      </c>
    </row>
    <row r="208" spans="1:12" s="658" customFormat="1" ht="15">
      <c r="B208" s="1675"/>
      <c r="C208" s="1676"/>
      <c r="D208" s="1676"/>
      <c r="E208" s="1752" t="s">
        <v>5675</v>
      </c>
      <c r="F208" s="1763">
        <f>$J$5</f>
        <v>0.02</v>
      </c>
      <c r="G208" s="1754"/>
      <c r="H208" s="1755"/>
      <c r="I208" s="1756">
        <f>(I196+I203+I204)*F208</f>
        <v>522340.10427473637</v>
      </c>
      <c r="J208" s="850"/>
      <c r="K208" s="850"/>
      <c r="L208" s="850"/>
    </row>
    <row r="209" spans="1:12" ht="15">
      <c r="B209" s="1540"/>
      <c r="C209" s="1541"/>
      <c r="D209" s="1541"/>
      <c r="E209" s="1757" t="s">
        <v>5676</v>
      </c>
      <c r="F209" s="1763"/>
      <c r="G209" s="1759"/>
      <c r="H209" s="1760"/>
      <c r="I209" s="1761">
        <f>I208+I208/F208</f>
        <v>26639345.318011552</v>
      </c>
    </row>
    <row r="210" spans="1:12" ht="15">
      <c r="B210" s="1536"/>
      <c r="C210" s="1537"/>
      <c r="D210" s="1537"/>
      <c r="E210" s="1762" t="s">
        <v>5677</v>
      </c>
      <c r="F210" s="1763">
        <f>$K$5</f>
        <v>5.5E-2</v>
      </c>
      <c r="G210" s="1746"/>
      <c r="H210" s="1747"/>
      <c r="I210" s="1764">
        <f>I209*F210</f>
        <v>1465163.9924906355</v>
      </c>
    </row>
    <row r="211" spans="1:12" ht="15">
      <c r="B211" s="1536"/>
      <c r="C211" s="1537"/>
      <c r="D211" s="1537"/>
      <c r="E211" s="1762" t="s">
        <v>5678</v>
      </c>
      <c r="F211" s="1763">
        <f>$L$5</f>
        <v>0.06</v>
      </c>
      <c r="G211" s="1746"/>
      <c r="H211" s="1747"/>
      <c r="I211" s="1764">
        <f>SUM(I209:I210)*F211</f>
        <v>1686270.5586301312</v>
      </c>
    </row>
    <row r="212" spans="1:12" ht="14.25">
      <c r="B212" s="1540"/>
      <c r="C212" s="1541"/>
      <c r="D212" s="1541"/>
      <c r="E212" s="1757" t="s">
        <v>5679</v>
      </c>
      <c r="F212" s="1791"/>
      <c r="G212" s="1759"/>
      <c r="H212" s="1760"/>
      <c r="I212" s="1761">
        <f>SUM(I209:I211)</f>
        <v>29790779.869132318</v>
      </c>
    </row>
    <row r="213" spans="1:12" ht="15">
      <c r="B213" s="1536"/>
      <c r="C213" s="1537"/>
      <c r="D213" s="1537"/>
      <c r="E213" s="1762" t="s">
        <v>5680</v>
      </c>
      <c r="F213" s="1765">
        <f>$M$5</f>
        <v>0.1</v>
      </c>
      <c r="G213" s="1746"/>
      <c r="H213" s="1747"/>
      <c r="I213" s="1764">
        <f>I212*F213</f>
        <v>2979077.9869132321</v>
      </c>
    </row>
    <row r="214" spans="1:12" ht="14.25">
      <c r="B214" s="1540"/>
      <c r="C214" s="1541"/>
      <c r="D214" s="1541"/>
      <c r="E214" s="1757" t="s">
        <v>5681</v>
      </c>
      <c r="F214" s="1791"/>
      <c r="G214" s="1759"/>
      <c r="H214" s="1760"/>
      <c r="I214" s="1761">
        <f>SUM(I212:I213)</f>
        <v>32769857.856045552</v>
      </c>
    </row>
    <row r="215" spans="1:12" ht="12.75">
      <c r="B215" s="1536"/>
      <c r="C215" s="1537"/>
      <c r="D215" s="1537"/>
      <c r="E215" s="1533" t="s">
        <v>5682</v>
      </c>
      <c r="F215" s="1535">
        <f>$N$5</f>
        <v>0.01</v>
      </c>
      <c r="G215" s="1538"/>
      <c r="H215" s="1532"/>
      <c r="I215" s="1534">
        <f>I214*F215</f>
        <v>327698.57856045553</v>
      </c>
    </row>
    <row r="216" spans="1:12" ht="14.25">
      <c r="B216" s="2104"/>
      <c r="C216" s="1543"/>
      <c r="D216" s="2105"/>
      <c r="E216" s="2106" t="s">
        <v>5683</v>
      </c>
      <c r="F216" s="2115"/>
      <c r="G216" s="2108"/>
      <c r="H216" s="2109"/>
      <c r="I216" s="2110">
        <f>ROUND(I214+I215,0)</f>
        <v>33097556</v>
      </c>
    </row>
    <row r="217" spans="1:12" ht="14.25">
      <c r="A217" s="657">
        <v>1</v>
      </c>
      <c r="B217" s="1546">
        <f>IF(A217&lt;&gt;0,COUNTA(A$7:$A217),"")</f>
        <v>13</v>
      </c>
      <c r="C217" s="1547">
        <f>'8.Dgia'!C204</f>
        <v>1776</v>
      </c>
      <c r="D217" s="1547" t="str">
        <f>'8.Dgia'!D204</f>
        <v>AI.64211</v>
      </c>
      <c r="E217" s="1740" t="str">
        <f>'8.Dgia'!E204</f>
        <v>Lắp đặt kết cấu thép</v>
      </c>
      <c r="F217" s="1789" t="s">
        <v>557</v>
      </c>
      <c r="G217" s="1742">
        <f>'8.Dgia'!H204</f>
        <v>0</v>
      </c>
      <c r="H217" s="1743"/>
      <c r="I217" s="1743"/>
      <c r="J217" s="842">
        <f>+I218</f>
        <v>631699.14048181823</v>
      </c>
      <c r="K217" s="842">
        <f>+I222</f>
        <v>3852360</v>
      </c>
      <c r="L217" s="842">
        <f>+I223</f>
        <v>257473.73249999998</v>
      </c>
    </row>
    <row r="218" spans="1:12" s="658" customFormat="1" ht="15">
      <c r="B218" s="1536" t="str">
        <f>'8.Dgia'!B205</f>
        <v/>
      </c>
      <c r="C218" s="1537">
        <f>'8.Dgia'!C205</f>
        <v>0</v>
      </c>
      <c r="D218" s="1537">
        <f>'8.Dgia'!D205</f>
        <v>0</v>
      </c>
      <c r="E218" s="1744" t="str">
        <f>'8.Dgia'!E205</f>
        <v xml:space="preserve">  A - Vật liệu</v>
      </c>
      <c r="F218" s="1763">
        <f>'8.Dgia'!G205</f>
        <v>0</v>
      </c>
      <c r="G218" s="1746">
        <f>'8.Dgia'!H205</f>
        <v>0</v>
      </c>
      <c r="H218" s="1747"/>
      <c r="I218" s="1748">
        <f>SUM(I219:I221)</f>
        <v>631699.14048181823</v>
      </c>
      <c r="J218" s="850"/>
      <c r="K218" s="850"/>
      <c r="L218" s="850"/>
    </row>
    <row r="219" spans="1:12" ht="15">
      <c r="B219" s="1536" t="str">
        <f>'8.Dgia'!B206</f>
        <v/>
      </c>
      <c r="C219" s="1537">
        <f>'8.Dgia'!C206</f>
        <v>0</v>
      </c>
      <c r="D219" s="1537">
        <f>'8.Dgia'!D206</f>
        <v>0</v>
      </c>
      <c r="E219" s="1749" t="str">
        <f>'8.Dgia'!E206</f>
        <v>Que hàn</v>
      </c>
      <c r="F219" s="1763" t="str">
        <f>'8.Dgia'!G206</f>
        <v>kg</v>
      </c>
      <c r="G219" s="1954">
        <f>'8.Dgia'!H206</f>
        <v>3.87</v>
      </c>
      <c r="H219" s="1747">
        <f>GVL!$I$153</f>
        <v>19090.909090909088</v>
      </c>
      <c r="I219" s="1747">
        <f>H219*G219</f>
        <v>73881.818181818177</v>
      </c>
    </row>
    <row r="220" spans="1:12" ht="15">
      <c r="B220" s="1536" t="str">
        <f>'8.Dgia'!B207</f>
        <v/>
      </c>
      <c r="C220" s="1537">
        <f>'8.Dgia'!C207</f>
        <v>0</v>
      </c>
      <c r="D220" s="1537">
        <f>'8.Dgia'!D207</f>
        <v>0</v>
      </c>
      <c r="E220" s="1749" t="str">
        <f>'8.Dgia'!E207</f>
        <v>Thép tròn D&lt;=18</v>
      </c>
      <c r="F220" s="1763" t="str">
        <f>'8.Dgia'!G207</f>
        <v>kg</v>
      </c>
      <c r="G220" s="1954">
        <f>'8.Dgia'!H207</f>
        <v>17.5</v>
      </c>
      <c r="H220" s="1747">
        <f>GVL!$I$180</f>
        <v>16604.075560000001</v>
      </c>
      <c r="I220" s="1747">
        <f>H220*G220</f>
        <v>290571.3223</v>
      </c>
    </row>
    <row r="221" spans="1:12" ht="15">
      <c r="B221" s="1536" t="str">
        <f>'8.Dgia'!B208</f>
        <v/>
      </c>
      <c r="C221" s="1537">
        <f>'8.Dgia'!C208</f>
        <v>0</v>
      </c>
      <c r="D221" s="1537">
        <f>'8.Dgia'!D208</f>
        <v>0</v>
      </c>
      <c r="E221" s="1749" t="str">
        <f>'8.Dgia'!E208</f>
        <v>Dây thép buộc</v>
      </c>
      <c r="F221" s="1763" t="str">
        <f>'8.Dgia'!G208</f>
        <v>kg</v>
      </c>
      <c r="G221" s="1954">
        <f>'8.Dgia'!H208</f>
        <v>14.7</v>
      </c>
      <c r="H221" s="1747">
        <f>GVL!$I$89</f>
        <v>18180</v>
      </c>
      <c r="I221" s="1747">
        <f>H221*G221</f>
        <v>267246</v>
      </c>
    </row>
    <row r="222" spans="1:12" s="658" customFormat="1" ht="15">
      <c r="B222" s="1536" t="str">
        <f>'8.Dgia'!B210</f>
        <v/>
      </c>
      <c r="C222" s="1537">
        <f>'8.Dgia'!C210</f>
        <v>0</v>
      </c>
      <c r="D222" s="1537">
        <f>'8.Dgia'!D210</f>
        <v>0</v>
      </c>
      <c r="E222" s="1744" t="str">
        <f>'8.Dgia'!E210</f>
        <v xml:space="preserve">  B - Nhân công 4.0/7</v>
      </c>
      <c r="F222" s="1745" t="s">
        <v>552</v>
      </c>
      <c r="G222" s="1954">
        <v>15</v>
      </c>
      <c r="H222" s="1747">
        <f>'16.NC'!$H$18</f>
        <v>256824</v>
      </c>
      <c r="I222" s="1750">
        <f>H222*G222</f>
        <v>3852360</v>
      </c>
      <c r="J222" s="850"/>
      <c r="K222" s="850"/>
      <c r="L222" s="850"/>
    </row>
    <row r="223" spans="1:12" s="658" customFormat="1" ht="15">
      <c r="B223" s="1536" t="str">
        <f>'8.Dgia'!B211</f>
        <v/>
      </c>
      <c r="C223" s="1537">
        <f>'8.Dgia'!C211</f>
        <v>0</v>
      </c>
      <c r="D223" s="1537">
        <f>'8.Dgia'!D211</f>
        <v>0</v>
      </c>
      <c r="E223" s="1744" t="str">
        <f>'8.Dgia'!E211</f>
        <v xml:space="preserve">  C - Máy thi công</v>
      </c>
      <c r="F223" s="1763">
        <f>'8.Dgia'!G211</f>
        <v>0</v>
      </c>
      <c r="G223" s="1746">
        <f>'8.Dgia'!H211</f>
        <v>0</v>
      </c>
      <c r="H223" s="1747"/>
      <c r="I223" s="1751">
        <f>SUM(I224:I224)</f>
        <v>257473.73249999998</v>
      </c>
      <c r="J223" s="850"/>
      <c r="K223" s="850"/>
      <c r="L223" s="850"/>
    </row>
    <row r="224" spans="1:12" ht="15">
      <c r="B224" s="1536" t="str">
        <f>'8.Dgia'!B212</f>
        <v/>
      </c>
      <c r="C224" s="1537">
        <f>'8.Dgia'!C212</f>
        <v>0</v>
      </c>
      <c r="D224" s="1537">
        <f>'8.Dgia'!D212</f>
        <v>0</v>
      </c>
      <c r="E224" s="1749" t="str">
        <f>'8.Dgia'!E212</f>
        <v>Máy hàn 23Kw</v>
      </c>
      <c r="F224" s="1745" t="s">
        <v>5493</v>
      </c>
      <c r="G224" s="1746">
        <v>1.5</v>
      </c>
      <c r="H224" s="1747">
        <f>'9.may'!$P$510</f>
        <v>171649.155</v>
      </c>
      <c r="I224" s="1747">
        <f>H224*G224</f>
        <v>257473.73249999998</v>
      </c>
    </row>
    <row r="225" spans="1:12" s="658" customFormat="1" ht="15">
      <c r="B225" s="1675"/>
      <c r="C225" s="1676"/>
      <c r="D225" s="1676"/>
      <c r="E225" s="1752" t="s">
        <v>5675</v>
      </c>
      <c r="F225" s="1763">
        <f>$J$5</f>
        <v>0.02</v>
      </c>
      <c r="G225" s="1754"/>
      <c r="H225" s="1755"/>
      <c r="I225" s="1756">
        <f>(I218+I222+I223)*F225</f>
        <v>94830.657459636364</v>
      </c>
      <c r="J225" s="850"/>
      <c r="K225" s="850"/>
      <c r="L225" s="850"/>
    </row>
    <row r="226" spans="1:12" ht="15">
      <c r="B226" s="1540"/>
      <c r="C226" s="1541"/>
      <c r="D226" s="1541"/>
      <c r="E226" s="1757" t="s">
        <v>5676</v>
      </c>
      <c r="F226" s="1763"/>
      <c r="G226" s="1759"/>
      <c r="H226" s="1760"/>
      <c r="I226" s="1761">
        <f>I225+I225/F225</f>
        <v>4836363.5304414546</v>
      </c>
    </row>
    <row r="227" spans="1:12" ht="15">
      <c r="B227" s="1536"/>
      <c r="C227" s="1537"/>
      <c r="D227" s="1537"/>
      <c r="E227" s="1762" t="s">
        <v>5677</v>
      </c>
      <c r="F227" s="1763">
        <f>$K$5</f>
        <v>5.5E-2</v>
      </c>
      <c r="G227" s="1746"/>
      <c r="H227" s="1747"/>
      <c r="I227" s="1764">
        <f>I226*F227</f>
        <v>265999.99417428003</v>
      </c>
    </row>
    <row r="228" spans="1:12" ht="15">
      <c r="B228" s="1536"/>
      <c r="C228" s="1537"/>
      <c r="D228" s="1537"/>
      <c r="E228" s="1762" t="s">
        <v>5678</v>
      </c>
      <c r="F228" s="1763">
        <f>$L$5</f>
        <v>0.06</v>
      </c>
      <c r="G228" s="1746"/>
      <c r="H228" s="1747"/>
      <c r="I228" s="1764">
        <f>SUM(I226:I227)*F228</f>
        <v>306141.81147694407</v>
      </c>
    </row>
    <row r="229" spans="1:12" ht="14.25">
      <c r="B229" s="1540"/>
      <c r="C229" s="1541"/>
      <c r="D229" s="1541"/>
      <c r="E229" s="1757" t="s">
        <v>5679</v>
      </c>
      <c r="F229" s="1791"/>
      <c r="G229" s="1759"/>
      <c r="H229" s="1760"/>
      <c r="I229" s="1761">
        <f>SUM(I226:I228)</f>
        <v>5408505.3360926788</v>
      </c>
    </row>
    <row r="230" spans="1:12" ht="15">
      <c r="B230" s="1536"/>
      <c r="C230" s="1537"/>
      <c r="D230" s="1537"/>
      <c r="E230" s="1762" t="s">
        <v>5680</v>
      </c>
      <c r="F230" s="1765">
        <f>$M$5</f>
        <v>0.1</v>
      </c>
      <c r="G230" s="1746"/>
      <c r="H230" s="1747"/>
      <c r="I230" s="1764">
        <f>I229*F230</f>
        <v>540850.53360926791</v>
      </c>
    </row>
    <row r="231" spans="1:12" ht="14.25">
      <c r="B231" s="1540"/>
      <c r="C231" s="1541"/>
      <c r="D231" s="1541"/>
      <c r="E231" s="1757" t="s">
        <v>5681</v>
      </c>
      <c r="F231" s="1791"/>
      <c r="G231" s="1759"/>
      <c r="H231" s="1760"/>
      <c r="I231" s="1761">
        <f>SUM(I229:I230)</f>
        <v>5949355.8697019471</v>
      </c>
    </row>
    <row r="232" spans="1:12" ht="12.75">
      <c r="B232" s="1536"/>
      <c r="C232" s="1537"/>
      <c r="D232" s="1537"/>
      <c r="E232" s="1533" t="s">
        <v>5682</v>
      </c>
      <c r="F232" s="1535">
        <f>$N$5</f>
        <v>0.01</v>
      </c>
      <c r="G232" s="1538"/>
      <c r="H232" s="1532"/>
      <c r="I232" s="1534">
        <f>I231*F232</f>
        <v>59493.558697019471</v>
      </c>
    </row>
    <row r="233" spans="1:12" ht="14.25">
      <c r="B233" s="2104"/>
      <c r="C233" s="1543"/>
      <c r="D233" s="2105"/>
      <c r="E233" s="2106" t="s">
        <v>5683</v>
      </c>
      <c r="F233" s="2115"/>
      <c r="G233" s="2108"/>
      <c r="H233" s="2109"/>
      <c r="I233" s="2110">
        <f>ROUND(I231+I232,0)</f>
        <v>6008849</v>
      </c>
    </row>
    <row r="234" spans="1:12" ht="14.25">
      <c r="A234" s="657">
        <v>1</v>
      </c>
      <c r="B234" s="1546">
        <f>IF(A234&lt;&gt;0,COUNTA(A$7:$A234),"")</f>
        <v>14</v>
      </c>
      <c r="C234" s="1547">
        <f>'8.Dgia'!C214</f>
        <v>1776</v>
      </c>
      <c r="D234" s="1547" t="s">
        <v>405</v>
      </c>
      <c r="E234" s="1740" t="str">
        <f>'8.Dgia'!E214</f>
        <v>Sản xuất mũ neo bằng tôn dày 2mm</v>
      </c>
      <c r="F234" s="1789" t="s">
        <v>557</v>
      </c>
      <c r="G234" s="1742">
        <f>'8.Dgia'!H214</f>
        <v>0</v>
      </c>
      <c r="H234" s="1743"/>
      <c r="I234" s="1743"/>
      <c r="J234" s="842">
        <f>+I235</f>
        <v>27672090.863636363</v>
      </c>
      <c r="K234" s="842">
        <f>+I242</f>
        <v>9624442.7999999989</v>
      </c>
      <c r="L234" s="842">
        <f>+I243</f>
        <v>3643892.9769255002</v>
      </c>
    </row>
    <row r="235" spans="1:12" s="658" customFormat="1" ht="15">
      <c r="B235" s="1536" t="str">
        <f>'8.Dgia'!B215</f>
        <v/>
      </c>
      <c r="C235" s="1537">
        <f>'8.Dgia'!C215</f>
        <v>0</v>
      </c>
      <c r="D235" s="1537">
        <f>'8.Dgia'!D215</f>
        <v>0</v>
      </c>
      <c r="E235" s="1744" t="str">
        <f>'8.Dgia'!E215</f>
        <v xml:space="preserve">  A - Vật liệu</v>
      </c>
      <c r="F235" s="1763">
        <f>'8.Dgia'!G215</f>
        <v>0</v>
      </c>
      <c r="G235" s="1746">
        <f>'8.Dgia'!H215</f>
        <v>0</v>
      </c>
      <c r="H235" s="1747"/>
      <c r="I235" s="1748">
        <f>SUM(I236:I241)</f>
        <v>27672090.863636363</v>
      </c>
      <c r="J235" s="850"/>
      <c r="K235" s="850"/>
      <c r="L235" s="850"/>
    </row>
    <row r="236" spans="1:12" ht="15">
      <c r="B236" s="1536" t="str">
        <f>'8.Dgia'!B216</f>
        <v/>
      </c>
      <c r="C236" s="1537">
        <f>'8.Dgia'!C216</f>
        <v>0</v>
      </c>
      <c r="D236" s="1537"/>
      <c r="E236" s="1749" t="str">
        <f>'8.Dgia'!E216</f>
        <v>Tôn dày 2mm</v>
      </c>
      <c r="F236" s="1763" t="str">
        <f>'8.Dgia'!G216</f>
        <v>kg</v>
      </c>
      <c r="G236" s="1954">
        <f>'8.Dgia'!H216</f>
        <v>1050</v>
      </c>
      <c r="H236" s="1747">
        <f>GVL!$I$182</f>
        <v>25000</v>
      </c>
      <c r="I236" s="1747">
        <f>H236*G236</f>
        <v>26250000</v>
      </c>
    </row>
    <row r="237" spans="1:12" ht="15">
      <c r="B237" s="1536" t="str">
        <f>'8.Dgia'!B217</f>
        <v/>
      </c>
      <c r="C237" s="1537">
        <f>'8.Dgia'!C217</f>
        <v>0</v>
      </c>
      <c r="D237" s="1537" t="s">
        <v>5869</v>
      </c>
      <c r="E237" s="1749" t="str">
        <f>'8.Dgia'!E217</f>
        <v>Ô xy</v>
      </c>
      <c r="F237" s="1763" t="s">
        <v>565</v>
      </c>
      <c r="G237" s="1954">
        <f>'8.Dgia'!H217</f>
        <v>3.3</v>
      </c>
      <c r="H237" s="1792">
        <f>GVL!$I$130</f>
        <v>48000</v>
      </c>
      <c r="I237" s="1747">
        <f>H237*G237</f>
        <v>158400</v>
      </c>
    </row>
    <row r="238" spans="1:12" ht="15">
      <c r="B238" s="1536" t="str">
        <f>'8.Dgia'!B218</f>
        <v/>
      </c>
      <c r="C238" s="1537">
        <f>'8.Dgia'!C218</f>
        <v>0</v>
      </c>
      <c r="D238" s="1537">
        <f>'8.Dgia'!D218</f>
        <v>0</v>
      </c>
      <c r="E238" s="1749" t="str">
        <f>'8.Dgia'!E218</f>
        <v>Đất đèn</v>
      </c>
      <c r="F238" s="1763" t="str">
        <f>'8.Dgia'!G218</f>
        <v>kg</v>
      </c>
      <c r="G238" s="1954">
        <f>'8.Dgia'!H218</f>
        <v>14.8</v>
      </c>
      <c r="H238" s="1792">
        <f>GVL!$I$68</f>
        <v>13600</v>
      </c>
      <c r="I238" s="1747">
        <f>H238*G238</f>
        <v>201280</v>
      </c>
    </row>
    <row r="239" spans="1:12" ht="15">
      <c r="B239" s="1536" t="str">
        <f>'8.Dgia'!B219</f>
        <v/>
      </c>
      <c r="C239" s="1537">
        <f>'8.Dgia'!C219</f>
        <v>0</v>
      </c>
      <c r="D239" s="1537">
        <f>'8.Dgia'!D219</f>
        <v>0</v>
      </c>
      <c r="E239" s="1749" t="str">
        <f>'8.Dgia'!E219</f>
        <v>Đá mài</v>
      </c>
      <c r="F239" s="1763" t="str">
        <f>'8.Dgia'!G219</f>
        <v>viên</v>
      </c>
      <c r="G239" s="1954">
        <f>'8.Dgia'!H219</f>
        <v>0.7</v>
      </c>
      <c r="H239" s="1792">
        <f>GVL!$I$63</f>
        <v>25000</v>
      </c>
      <c r="I239" s="1747">
        <f t="shared" ref="I239:I240" si="1">H239*G239</f>
        <v>17500</v>
      </c>
    </row>
    <row r="240" spans="1:12" ht="15">
      <c r="B240" s="1536" t="str">
        <f>'8.Dgia'!B220</f>
        <v/>
      </c>
      <c r="C240" s="1537">
        <f>'8.Dgia'!C220</f>
        <v>0</v>
      </c>
      <c r="D240" s="1537">
        <f>'8.Dgia'!D220</f>
        <v>0</v>
      </c>
      <c r="E240" s="1749" t="str">
        <f>'8.Dgia'!E220</f>
        <v>Que hàn</v>
      </c>
      <c r="F240" s="1763" t="str">
        <f>'8.Dgia'!G220</f>
        <v>kg</v>
      </c>
      <c r="G240" s="1746">
        <f>'8.Dgia'!H220</f>
        <v>19.38</v>
      </c>
      <c r="H240" s="1747">
        <f>GVL!$I$153</f>
        <v>19090.909090909088</v>
      </c>
      <c r="I240" s="1747">
        <f t="shared" si="1"/>
        <v>369981.81818181812</v>
      </c>
    </row>
    <row r="241" spans="2:12" ht="15">
      <c r="B241" s="1536" t="str">
        <f>'8.Dgia'!B221</f>
        <v/>
      </c>
      <c r="C241" s="1537">
        <f>'8.Dgia'!C221</f>
        <v>0</v>
      </c>
      <c r="D241" s="1537">
        <f>'8.Dgia'!D221</f>
        <v>0</v>
      </c>
      <c r="E241" s="1749" t="str">
        <f>'8.Dgia'!E221</f>
        <v>Vật liệu khác</v>
      </c>
      <c r="F241" s="1763" t="str">
        <f>'8.Dgia'!G221</f>
        <v>%</v>
      </c>
      <c r="G241" s="1954">
        <f>'8.Dgia'!H221</f>
        <v>2.5</v>
      </c>
      <c r="H241" s="1747">
        <f>SUM(I236:I240)</f>
        <v>26997161.818181816</v>
      </c>
      <c r="I241" s="1747">
        <f>H241*G241%</f>
        <v>674929.04545454541</v>
      </c>
    </row>
    <row r="242" spans="2:12" s="658" customFormat="1" ht="15">
      <c r="B242" s="1536" t="str">
        <f>'8.Dgia'!B222</f>
        <v/>
      </c>
      <c r="C242" s="1537">
        <f>'8.Dgia'!C222</f>
        <v>0</v>
      </c>
      <c r="D242" s="1537">
        <f>'8.Dgia'!D222</f>
        <v>0</v>
      </c>
      <c r="E242" s="1744" t="str">
        <f>'8.Dgia'!E222</f>
        <v xml:space="preserve">  B - Nhân công 4.5/7</v>
      </c>
      <c r="F242" s="1745" t="s">
        <v>552</v>
      </c>
      <c r="G242" s="1954">
        <f>'8.Dgia'!H222</f>
        <v>34.9</v>
      </c>
      <c r="H242" s="1792">
        <f>'16.NC'!$H$20</f>
        <v>275772</v>
      </c>
      <c r="I242" s="1750">
        <f>H242*G242</f>
        <v>9624442.7999999989</v>
      </c>
      <c r="J242" s="850"/>
      <c r="K242" s="850"/>
      <c r="L242" s="850"/>
    </row>
    <row r="243" spans="2:12" s="658" customFormat="1" ht="15">
      <c r="B243" s="1536" t="str">
        <f>'8.Dgia'!B223</f>
        <v/>
      </c>
      <c r="C243" s="1537">
        <f>'8.Dgia'!C223</f>
        <v>0</v>
      </c>
      <c r="D243" s="1537">
        <f>'8.Dgia'!D223</f>
        <v>0</v>
      </c>
      <c r="E243" s="1744" t="str">
        <f>'8.Dgia'!E223</f>
        <v xml:space="preserve">  C - Máy thi công</v>
      </c>
      <c r="F243" s="1763">
        <f>'8.Dgia'!G223</f>
        <v>0</v>
      </c>
      <c r="G243" s="1746">
        <f>'8.Dgia'!H223</f>
        <v>0</v>
      </c>
      <c r="H243" s="1747"/>
      <c r="I243" s="1751">
        <f>SUM(I244:I247)</f>
        <v>3643892.9769255002</v>
      </c>
      <c r="J243" s="850"/>
      <c r="K243" s="850"/>
      <c r="L243" s="850"/>
    </row>
    <row r="244" spans="2:12" ht="15">
      <c r="B244" s="1536" t="str">
        <f>'8.Dgia'!B224</f>
        <v/>
      </c>
      <c r="C244" s="1537">
        <f>'8.Dgia'!C224</f>
        <v>0</v>
      </c>
      <c r="D244" s="1537">
        <f>'8.Dgia'!D224</f>
        <v>0</v>
      </c>
      <c r="E244" s="1749" t="str">
        <f>'8.Dgia'!E224</f>
        <v>Máy hàn 23kw</v>
      </c>
      <c r="F244" s="1745" t="s">
        <v>5493</v>
      </c>
      <c r="G244" s="1746">
        <f>'8.Dgia'!H224</f>
        <v>19.38</v>
      </c>
      <c r="H244" s="1747">
        <f>'9.may'!$P$510</f>
        <v>171649.155</v>
      </c>
      <c r="I244" s="1747">
        <f>H244*G244</f>
        <v>3326560.6239</v>
      </c>
    </row>
    <row r="245" spans="2:12" ht="15">
      <c r="B245" s="1536" t="str">
        <f>'8.Dgia'!B225</f>
        <v/>
      </c>
      <c r="C245" s="1537">
        <f>'8.Dgia'!C225</f>
        <v>0</v>
      </c>
      <c r="D245" s="1537">
        <f>'8.Dgia'!D225</f>
        <v>0</v>
      </c>
      <c r="E245" s="1749" t="str">
        <f>'8.Dgia'!E225</f>
        <v>Máy mài 2.7kw</v>
      </c>
      <c r="F245" s="1745" t="s">
        <v>5493</v>
      </c>
      <c r="G245" s="1982">
        <f>'8.Dgia'!H225</f>
        <v>1.55</v>
      </c>
      <c r="H245" s="1792">
        <f>'9.may'!$P$564</f>
        <v>67591.852499999994</v>
      </c>
      <c r="I245" s="1747">
        <f>H245*G245</f>
        <v>104767.37137499999</v>
      </c>
    </row>
    <row r="246" spans="2:12" ht="15">
      <c r="B246" s="1536" t="str">
        <f>'8.Dgia'!B226</f>
        <v/>
      </c>
      <c r="C246" s="1537">
        <f>'8.Dgia'!C226</f>
        <v>0</v>
      </c>
      <c r="D246" s="1537">
        <f>'8.Dgia'!D226</f>
        <v>0</v>
      </c>
      <c r="E246" s="1749" t="str">
        <f>'8.Dgia'!E226</f>
        <v>Máy khoan 2.5kw</v>
      </c>
      <c r="F246" s="1745" t="s">
        <v>5493</v>
      </c>
      <c r="G246" s="1982">
        <f>'8.Dgia'!H226</f>
        <v>1.55</v>
      </c>
      <c r="H246" s="1792">
        <f>'9.may'!$P$757</f>
        <v>91042.645000000004</v>
      </c>
      <c r="I246" s="1747">
        <f>H246*G246</f>
        <v>141116.09975000002</v>
      </c>
    </row>
    <row r="247" spans="2:12" ht="15">
      <c r="B247" s="1536" t="str">
        <f>'8.Dgia'!B227</f>
        <v/>
      </c>
      <c r="C247" s="1537">
        <f>'8.Dgia'!C227</f>
        <v>0</v>
      </c>
      <c r="D247" s="1537">
        <f>'8.Dgia'!D227</f>
        <v>0</v>
      </c>
      <c r="E247" s="1749" t="str">
        <f>'8.Dgia'!E227</f>
        <v>Máy khác</v>
      </c>
      <c r="F247" s="1763" t="str">
        <f>'8.Dgia'!G227</f>
        <v>%</v>
      </c>
      <c r="G247" s="1982">
        <f>'8.Dgia'!H227</f>
        <v>2</v>
      </c>
      <c r="H247" s="1747">
        <f>SUM(I244:I246)</f>
        <v>3572444.0950250002</v>
      </c>
      <c r="I247" s="1747">
        <f>H247*G247%</f>
        <v>71448.881900500011</v>
      </c>
    </row>
    <row r="248" spans="2:12" s="658" customFormat="1" ht="15">
      <c r="B248" s="1675"/>
      <c r="C248" s="1676"/>
      <c r="D248" s="1676"/>
      <c r="E248" s="1752" t="s">
        <v>5675</v>
      </c>
      <c r="F248" s="1763">
        <f>$J$5</f>
        <v>0.02</v>
      </c>
      <c r="G248" s="1754"/>
      <c r="H248" s="1755"/>
      <c r="I248" s="1756">
        <f>(I235+I242+I243)*F248</f>
        <v>818808.53281123727</v>
      </c>
      <c r="J248" s="850"/>
      <c r="K248" s="850"/>
      <c r="L248" s="850"/>
    </row>
    <row r="249" spans="2:12" ht="15">
      <c r="B249" s="1540"/>
      <c r="C249" s="1541"/>
      <c r="D249" s="1541"/>
      <c r="E249" s="1757" t="s">
        <v>5676</v>
      </c>
      <c r="F249" s="1763"/>
      <c r="G249" s="1759"/>
      <c r="H249" s="1760"/>
      <c r="I249" s="1761">
        <f>I248+I248/F248</f>
        <v>41759235.173373103</v>
      </c>
    </row>
    <row r="250" spans="2:12" ht="15">
      <c r="B250" s="1536"/>
      <c r="C250" s="1537"/>
      <c r="D250" s="1537"/>
      <c r="E250" s="1762" t="s">
        <v>5677</v>
      </c>
      <c r="F250" s="1763">
        <f>$K$5</f>
        <v>5.5E-2</v>
      </c>
      <c r="G250" s="1746"/>
      <c r="H250" s="1747"/>
      <c r="I250" s="1764">
        <f>I249*F250</f>
        <v>2296757.9345355206</v>
      </c>
    </row>
    <row r="251" spans="2:12" ht="15">
      <c r="B251" s="1536"/>
      <c r="C251" s="1537"/>
      <c r="D251" s="1537"/>
      <c r="E251" s="1762" t="s">
        <v>5678</v>
      </c>
      <c r="F251" s="1763">
        <f>$L$5</f>
        <v>0.06</v>
      </c>
      <c r="G251" s="1746"/>
      <c r="H251" s="1747"/>
      <c r="I251" s="1764">
        <f>SUM(I249:I250)*F251</f>
        <v>2643359.5864745174</v>
      </c>
    </row>
    <row r="252" spans="2:12" ht="14.25">
      <c r="B252" s="1540"/>
      <c r="C252" s="1541"/>
      <c r="D252" s="1541"/>
      <c r="E252" s="1757" t="s">
        <v>5679</v>
      </c>
      <c r="F252" s="1791"/>
      <c r="G252" s="1759"/>
      <c r="H252" s="1760"/>
      <c r="I252" s="1761">
        <f>SUM(I249:I251)</f>
        <v>46699352.694383137</v>
      </c>
    </row>
    <row r="253" spans="2:12" ht="15">
      <c r="B253" s="1536"/>
      <c r="C253" s="1537"/>
      <c r="D253" s="1537"/>
      <c r="E253" s="1762" t="s">
        <v>5680</v>
      </c>
      <c r="F253" s="1765">
        <f>$M$5</f>
        <v>0.1</v>
      </c>
      <c r="G253" s="1746"/>
      <c r="H253" s="1747"/>
      <c r="I253" s="1764">
        <f>I252*F253</f>
        <v>4669935.2694383143</v>
      </c>
    </row>
    <row r="254" spans="2:12" ht="14.25">
      <c r="B254" s="1540"/>
      <c r="C254" s="1541"/>
      <c r="D254" s="1541"/>
      <c r="E254" s="1757" t="s">
        <v>5681</v>
      </c>
      <c r="F254" s="1791"/>
      <c r="G254" s="1759"/>
      <c r="H254" s="1760"/>
      <c r="I254" s="1761">
        <f>SUM(I252:I253)</f>
        <v>51369287.963821448</v>
      </c>
    </row>
    <row r="255" spans="2:12" ht="12.75">
      <c r="B255" s="1536"/>
      <c r="C255" s="1537"/>
      <c r="D255" s="1537"/>
      <c r="E255" s="1533" t="s">
        <v>5682</v>
      </c>
      <c r="F255" s="1535">
        <f>$N$5</f>
        <v>0.01</v>
      </c>
      <c r="G255" s="1538"/>
      <c r="H255" s="1532"/>
      <c r="I255" s="1534">
        <f>I254*F255</f>
        <v>513692.87963821448</v>
      </c>
    </row>
    <row r="256" spans="2:12" ht="14.25">
      <c r="B256" s="2104"/>
      <c r="C256" s="1543"/>
      <c r="D256" s="2105"/>
      <c r="E256" s="2106" t="s">
        <v>5683</v>
      </c>
      <c r="F256" s="2115"/>
      <c r="G256" s="2108"/>
      <c r="H256" s="2109"/>
      <c r="I256" s="2110">
        <f>ROUND(I254+I255,0)</f>
        <v>51882981</v>
      </c>
    </row>
    <row r="257" spans="1:12" ht="15" customHeight="1">
      <c r="A257" s="657">
        <v>1</v>
      </c>
      <c r="B257" s="1546">
        <f>IF(A257&lt;&gt;0,COUNTA(A$7:$A257),"")</f>
        <v>15</v>
      </c>
      <c r="C257" s="1547">
        <f>'8.Dgia'!C228</f>
        <v>1776</v>
      </c>
      <c r="D257" s="1547" t="str">
        <f>'8.Dgia'!D228</f>
        <v>AK.94221</v>
      </c>
      <c r="E257" s="1740" t="str">
        <f>'8.Dgia'!E228</f>
        <v>Quét nhựa bitum, dán giấy dầu 2 lớp</v>
      </c>
      <c r="F257" s="1789" t="str">
        <f>'8.Dgia'!G228</f>
        <v>m2</v>
      </c>
      <c r="G257" s="1742">
        <f>'8.Dgia'!H228</f>
        <v>0</v>
      </c>
      <c r="H257" s="1743"/>
      <c r="I257" s="1743"/>
      <c r="J257" s="842">
        <f>+I258</f>
        <v>64332.40971</v>
      </c>
      <c r="K257" s="842">
        <f>+I263</f>
        <v>94326.400000000009</v>
      </c>
    </row>
    <row r="258" spans="1:12" s="658" customFormat="1" ht="15">
      <c r="B258" s="1536" t="str">
        <f>'8.Dgia'!B229</f>
        <v/>
      </c>
      <c r="C258" s="1537">
        <f>'8.Dgia'!C229</f>
        <v>0</v>
      </c>
      <c r="D258" s="1537">
        <f>'8.Dgia'!D229</f>
        <v>0</v>
      </c>
      <c r="E258" s="1744" t="str">
        <f>'8.Dgia'!E229</f>
        <v xml:space="preserve">  A - Vật liệu</v>
      </c>
      <c r="F258" s="1763">
        <f>'8.Dgia'!G229</f>
        <v>0</v>
      </c>
      <c r="G258" s="1746">
        <f>'8.Dgia'!H229</f>
        <v>0</v>
      </c>
      <c r="H258" s="1747"/>
      <c r="I258" s="1748">
        <f>SUM(I259:I262)</f>
        <v>64332.40971</v>
      </c>
      <c r="J258" s="850"/>
      <c r="K258" s="850"/>
      <c r="L258" s="850"/>
    </row>
    <row r="259" spans="1:12" ht="15">
      <c r="B259" s="1536" t="str">
        <f>'8.Dgia'!B230</f>
        <v/>
      </c>
      <c r="C259" s="1537">
        <f>'8.Dgia'!C230</f>
        <v>0</v>
      </c>
      <c r="D259" s="1537">
        <f>'8.Dgia'!D230</f>
        <v>0</v>
      </c>
      <c r="E259" s="1749" t="str">
        <f>'8.Dgia'!E230</f>
        <v>Nhựa đường</v>
      </c>
      <c r="F259" s="1763" t="str">
        <f>'8.Dgia'!G230</f>
        <v>kg</v>
      </c>
      <c r="G259" s="1746">
        <f>'8.Dgia'!H230</f>
        <v>3.15</v>
      </c>
      <c r="H259" s="1793">
        <f>GVL!$I$128</f>
        <v>15823.463400000001</v>
      </c>
      <c r="I259" s="1747">
        <f>H259*G259</f>
        <v>49843.90971</v>
      </c>
    </row>
    <row r="260" spans="1:12" ht="15">
      <c r="B260" s="1536" t="str">
        <f>'8.Dgia'!B231</f>
        <v/>
      </c>
      <c r="C260" s="1537">
        <f>'8.Dgia'!C231</f>
        <v>0</v>
      </c>
      <c r="D260" s="1537">
        <f>'8.Dgia'!D231</f>
        <v>0</v>
      </c>
      <c r="E260" s="1749" t="str">
        <f>'8.Dgia'!E231</f>
        <v>Giấy dầu</v>
      </c>
      <c r="F260" s="1763" t="str">
        <f>'8.Dgia'!G231</f>
        <v>m2</v>
      </c>
      <c r="G260" s="1746">
        <f>'8.Dgia'!H231</f>
        <v>2.496</v>
      </c>
      <c r="H260" s="1793">
        <f>GVL!$I$94</f>
        <v>4000</v>
      </c>
      <c r="I260" s="1747">
        <f>H260*G260</f>
        <v>9984</v>
      </c>
    </row>
    <row r="261" spans="1:12" ht="15">
      <c r="B261" s="1536" t="str">
        <f>'8.Dgia'!B232</f>
        <v/>
      </c>
      <c r="C261" s="1537">
        <f>'8.Dgia'!C232</f>
        <v>0</v>
      </c>
      <c r="D261" s="1537">
        <f>'8.Dgia'!D232</f>
        <v>0</v>
      </c>
      <c r="E261" s="1749" t="str">
        <f>'8.Dgia'!E232</f>
        <v>Bột đá</v>
      </c>
      <c r="F261" s="1763" t="str">
        <f>'8.Dgia'!G232</f>
        <v>kg</v>
      </c>
      <c r="G261" s="1981">
        <f>'8.Dgia'!H232</f>
        <v>1.8089999999999999</v>
      </c>
      <c r="H261" s="1747">
        <f>GVL!$I$24</f>
        <v>500</v>
      </c>
      <c r="I261" s="1747">
        <f>H261*G261</f>
        <v>904.5</v>
      </c>
    </row>
    <row r="262" spans="1:12" ht="15">
      <c r="B262" s="1536" t="str">
        <f>'8.Dgia'!B233</f>
        <v/>
      </c>
      <c r="C262" s="1537">
        <f>'8.Dgia'!C233</f>
        <v>0</v>
      </c>
      <c r="D262" s="1537">
        <f>'8.Dgia'!D233</f>
        <v>0</v>
      </c>
      <c r="E262" s="1749" t="str">
        <f>'8.Dgia'!E233</f>
        <v>Củi</v>
      </c>
      <c r="F262" s="1763" t="str">
        <f>'8.Dgia'!G233</f>
        <v>kg</v>
      </c>
      <c r="G262" s="1954">
        <f>'8.Dgia'!H233</f>
        <v>3</v>
      </c>
      <c r="H262" s="1747">
        <f>GVL!$I$48</f>
        <v>1200</v>
      </c>
      <c r="I262" s="1747">
        <f>H262*G262</f>
        <v>3600</v>
      </c>
    </row>
    <row r="263" spans="1:12" s="658" customFormat="1" ht="15">
      <c r="B263" s="1536" t="str">
        <f>'8.Dgia'!B234</f>
        <v/>
      </c>
      <c r="C263" s="1537">
        <f>'8.Dgia'!C234</f>
        <v>0</v>
      </c>
      <c r="D263" s="1537">
        <f>'8.Dgia'!D234</f>
        <v>0</v>
      </c>
      <c r="E263" s="1744" t="str">
        <f>'8.Dgia'!E234</f>
        <v xml:space="preserve">  B - Nhân công 3.5/7</v>
      </c>
      <c r="F263" s="1745" t="s">
        <v>552</v>
      </c>
      <c r="G263" s="1954">
        <f>'8.Dgia'!H234</f>
        <v>0.4</v>
      </c>
      <c r="H263" s="1747">
        <f>'16.NC'!$H$16</f>
        <v>235816</v>
      </c>
      <c r="I263" s="1750">
        <f>H263*G263</f>
        <v>94326.400000000009</v>
      </c>
      <c r="J263" s="842"/>
      <c r="K263" s="842"/>
      <c r="L263" s="842"/>
    </row>
    <row r="264" spans="1:12" s="658" customFormat="1" ht="15">
      <c r="B264" s="1675"/>
      <c r="C264" s="1676"/>
      <c r="D264" s="1676"/>
      <c r="E264" s="1752" t="s">
        <v>5675</v>
      </c>
      <c r="F264" s="1763">
        <f>$J$5</f>
        <v>0.02</v>
      </c>
      <c r="G264" s="1754"/>
      <c r="H264" s="1755"/>
      <c r="I264" s="1756">
        <f>(I258+I263)*F264</f>
        <v>3173.1761942000003</v>
      </c>
      <c r="J264" s="850"/>
      <c r="K264" s="850"/>
      <c r="L264" s="850"/>
    </row>
    <row r="265" spans="1:12" ht="15">
      <c r="B265" s="1540"/>
      <c r="C265" s="1541"/>
      <c r="D265" s="1541"/>
      <c r="E265" s="1757" t="s">
        <v>5676</v>
      </c>
      <c r="F265" s="1763"/>
      <c r="G265" s="1759"/>
      <c r="H265" s="1760"/>
      <c r="I265" s="1761">
        <f>I264+I264/F264</f>
        <v>161831.9859042</v>
      </c>
    </row>
    <row r="266" spans="1:12" ht="15">
      <c r="B266" s="1536"/>
      <c r="C266" s="1537"/>
      <c r="D266" s="1537"/>
      <c r="E266" s="1762" t="s">
        <v>5677</v>
      </c>
      <c r="F266" s="1763">
        <f>$K$5</f>
        <v>5.5E-2</v>
      </c>
      <c r="G266" s="1746"/>
      <c r="H266" s="1747"/>
      <c r="I266" s="1764">
        <f>I265*F266</f>
        <v>8900.7592247310004</v>
      </c>
    </row>
    <row r="267" spans="1:12" ht="15">
      <c r="B267" s="1536"/>
      <c r="C267" s="1537"/>
      <c r="D267" s="1537"/>
      <c r="E267" s="1762" t="s">
        <v>5678</v>
      </c>
      <c r="F267" s="1763">
        <f>$L$5</f>
        <v>0.06</v>
      </c>
      <c r="G267" s="1746"/>
      <c r="H267" s="1747"/>
      <c r="I267" s="1764">
        <f>SUM(I265:I266)*F267</f>
        <v>10243.96470773586</v>
      </c>
    </row>
    <row r="268" spans="1:12" ht="14.25">
      <c r="B268" s="1540"/>
      <c r="C268" s="1541"/>
      <c r="D268" s="1541"/>
      <c r="E268" s="1757" t="s">
        <v>5679</v>
      </c>
      <c r="F268" s="1791"/>
      <c r="G268" s="1759"/>
      <c r="H268" s="1760"/>
      <c r="I268" s="1761">
        <f>SUM(I265:I267)</f>
        <v>180976.70983666688</v>
      </c>
    </row>
    <row r="269" spans="1:12" ht="15">
      <c r="B269" s="1536"/>
      <c r="C269" s="1537"/>
      <c r="D269" s="1537"/>
      <c r="E269" s="1762" t="s">
        <v>5680</v>
      </c>
      <c r="F269" s="1765">
        <f>$M$5</f>
        <v>0.1</v>
      </c>
      <c r="G269" s="1746"/>
      <c r="H269" s="1747"/>
      <c r="I269" s="1764">
        <f>I268*F269</f>
        <v>18097.670983666689</v>
      </c>
    </row>
    <row r="270" spans="1:12" ht="14.25">
      <c r="B270" s="1540"/>
      <c r="C270" s="1541"/>
      <c r="D270" s="1541"/>
      <c r="E270" s="1757" t="s">
        <v>5681</v>
      </c>
      <c r="F270" s="1791"/>
      <c r="G270" s="1759"/>
      <c r="H270" s="1760"/>
      <c r="I270" s="1761">
        <f>SUM(I268:I269)</f>
        <v>199074.38082033358</v>
      </c>
    </row>
    <row r="271" spans="1:12" ht="12.75">
      <c r="B271" s="1536"/>
      <c r="C271" s="1537"/>
      <c r="D271" s="1537"/>
      <c r="E271" s="1533" t="s">
        <v>5682</v>
      </c>
      <c r="F271" s="1535">
        <f>$N$5</f>
        <v>0.01</v>
      </c>
      <c r="G271" s="1538"/>
      <c r="H271" s="1532"/>
      <c r="I271" s="1534">
        <f>I270*F271</f>
        <v>1990.7438082033359</v>
      </c>
    </row>
    <row r="272" spans="1:12" ht="14.25">
      <c r="B272" s="2104"/>
      <c r="C272" s="1543"/>
      <c r="D272" s="2105"/>
      <c r="E272" s="2106" t="s">
        <v>5683</v>
      </c>
      <c r="F272" s="2115"/>
      <c r="G272" s="2108"/>
      <c r="H272" s="2109"/>
      <c r="I272" s="2110">
        <f>ROUND(I270+I271,0)</f>
        <v>201065</v>
      </c>
    </row>
    <row r="273" spans="1:12" s="87" customFormat="1" ht="14.25">
      <c r="A273" s="657">
        <v>1</v>
      </c>
      <c r="B273" s="1546">
        <f>IF(A273&lt;&gt;0,COUNTA(A$7:$A273),"")</f>
        <v>16</v>
      </c>
      <c r="C273" s="1550">
        <f>'8.Dgia'!C235</f>
        <v>1091</v>
      </c>
      <c r="D273" s="1550" t="str">
        <f>'8.Dgia'!D235</f>
        <v>AL.16210</v>
      </c>
      <c r="E273" s="1766" t="str">
        <f>'8.Dgia'!E235</f>
        <v>Giấy dầu</v>
      </c>
      <c r="F273" s="1794" t="str">
        <f>'8.Dgia'!G235</f>
        <v>m2</v>
      </c>
      <c r="G273" s="1768">
        <f>'8.Dgia'!H235</f>
        <v>0</v>
      </c>
      <c r="H273" s="1769"/>
      <c r="I273" s="1769"/>
      <c r="J273" s="842">
        <f>I274</f>
        <v>4488.96</v>
      </c>
      <c r="K273" s="842">
        <f>I277</f>
        <v>66028.48000000001</v>
      </c>
      <c r="L273" s="850"/>
    </row>
    <row r="274" spans="1:12" s="87" customFormat="1" ht="15">
      <c r="B274" s="1551" t="str">
        <f>'8.Dgia'!B236</f>
        <v/>
      </c>
      <c r="C274" s="1552">
        <f>'8.Dgia'!C236</f>
        <v>0</v>
      </c>
      <c r="D274" s="1552">
        <f>'8.Dgia'!D236</f>
        <v>0</v>
      </c>
      <c r="E274" s="1770" t="str">
        <f>'8.Dgia'!E236</f>
        <v xml:space="preserve">  A - Vật liệu</v>
      </c>
      <c r="F274" s="1786">
        <f>'8.Dgia'!G236</f>
        <v>0</v>
      </c>
      <c r="G274" s="1772">
        <f>'8.Dgia'!H236</f>
        <v>0</v>
      </c>
      <c r="H274" s="1773"/>
      <c r="I274" s="1774">
        <f>SUM(I275:I276)</f>
        <v>4488.96</v>
      </c>
      <c r="J274" s="842"/>
      <c r="K274" s="842"/>
      <c r="L274" s="842"/>
    </row>
    <row r="275" spans="1:12" s="87" customFormat="1" ht="15">
      <c r="B275" s="1551" t="str">
        <f>'8.Dgia'!B237</f>
        <v/>
      </c>
      <c r="C275" s="1552">
        <f>'8.Dgia'!C237</f>
        <v>0</v>
      </c>
      <c r="D275" s="1552">
        <f>'8.Dgia'!D237</f>
        <v>0</v>
      </c>
      <c r="E275" s="1775" t="str">
        <f>'8.Dgia'!E237</f>
        <v>Giấy dầu</v>
      </c>
      <c r="F275" s="1786" t="str">
        <f>'8.Dgia'!G237</f>
        <v>m2</v>
      </c>
      <c r="G275" s="1964">
        <f>'8.Dgia'!H237</f>
        <v>1.1200000000000001</v>
      </c>
      <c r="H275" s="1773">
        <f>GVL!$I$94</f>
        <v>4000</v>
      </c>
      <c r="I275" s="1773">
        <f>H275*G275</f>
        <v>4480</v>
      </c>
      <c r="J275" s="842"/>
      <c r="K275" s="842"/>
      <c r="L275" s="842"/>
    </row>
    <row r="276" spans="1:12" s="87" customFormat="1" ht="15">
      <c r="B276" s="1551" t="str">
        <f>'8.Dgia'!B238</f>
        <v/>
      </c>
      <c r="C276" s="1552">
        <f>'8.Dgia'!C238</f>
        <v>0</v>
      </c>
      <c r="D276" s="1552">
        <f>'8.Dgia'!D238</f>
        <v>0</v>
      </c>
      <c r="E276" s="1775" t="str">
        <f>'8.Dgia'!E238</f>
        <v>Vật liệu khác</v>
      </c>
      <c r="F276" s="1786" t="str">
        <f>'8.Dgia'!G238</f>
        <v>%</v>
      </c>
      <c r="G276" s="1964">
        <f>'8.Dgia'!H238</f>
        <v>0.2</v>
      </c>
      <c r="H276" s="1773">
        <f>SUM(I275)</f>
        <v>4480</v>
      </c>
      <c r="I276" s="1773">
        <f>H276*G276%</f>
        <v>8.9600000000000009</v>
      </c>
      <c r="J276" s="842"/>
      <c r="K276" s="842"/>
      <c r="L276" s="842"/>
    </row>
    <row r="277" spans="1:12" s="87" customFormat="1" ht="15">
      <c r="B277" s="1551" t="str">
        <f>'8.Dgia'!B239</f>
        <v/>
      </c>
      <c r="C277" s="1552">
        <f>'8.Dgia'!C239</f>
        <v>0</v>
      </c>
      <c r="D277" s="1552">
        <f>'8.Dgia'!D239</f>
        <v>0</v>
      </c>
      <c r="E277" s="1770" t="str">
        <f>'8.Dgia'!E239</f>
        <v xml:space="preserve">  B - Nhân công 3.5/7</v>
      </c>
      <c r="F277" s="1745" t="s">
        <v>552</v>
      </c>
      <c r="G277" s="1964">
        <f>'8.Dgia'!H239</f>
        <v>0.28000000000000003</v>
      </c>
      <c r="H277" s="1773">
        <f>'16.NC'!$H$16</f>
        <v>235816</v>
      </c>
      <c r="I277" s="1776">
        <f>H277*G277</f>
        <v>66028.48000000001</v>
      </c>
      <c r="J277" s="842"/>
      <c r="K277" s="842"/>
      <c r="L277" s="842"/>
    </row>
    <row r="278" spans="1:12" s="658" customFormat="1" ht="15">
      <c r="B278" s="1677"/>
      <c r="C278" s="1678"/>
      <c r="D278" s="1678"/>
      <c r="E278" s="1778" t="s">
        <v>5675</v>
      </c>
      <c r="F278" s="1786">
        <f>$J$5</f>
        <v>0.02</v>
      </c>
      <c r="G278" s="1780"/>
      <c r="H278" s="1777"/>
      <c r="I278" s="1777">
        <f>(I274+I277)*F278</f>
        <v>1410.3488000000004</v>
      </c>
      <c r="J278" s="850"/>
      <c r="K278" s="850"/>
      <c r="L278" s="850"/>
    </row>
    <row r="279" spans="1:12" ht="15">
      <c r="B279" s="1556"/>
      <c r="C279" s="1557"/>
      <c r="D279" s="1557"/>
      <c r="E279" s="1781" t="s">
        <v>5676</v>
      </c>
      <c r="F279" s="1786"/>
      <c r="G279" s="1783"/>
      <c r="H279" s="1784"/>
      <c r="I279" s="1784">
        <f>I278+I278/F278</f>
        <v>71927.788800000024</v>
      </c>
    </row>
    <row r="280" spans="1:12" ht="15">
      <c r="B280" s="1551"/>
      <c r="C280" s="1552"/>
      <c r="D280" s="1552"/>
      <c r="E280" s="1785" t="s">
        <v>5677</v>
      </c>
      <c r="F280" s="1786">
        <f>$K$5</f>
        <v>5.5E-2</v>
      </c>
      <c r="G280" s="1772"/>
      <c r="H280" s="1773"/>
      <c r="I280" s="1773">
        <f>I279*F280</f>
        <v>3956.0283840000016</v>
      </c>
    </row>
    <row r="281" spans="1:12" ht="15">
      <c r="B281" s="1551"/>
      <c r="C281" s="1552"/>
      <c r="D281" s="1552"/>
      <c r="E281" s="1785" t="s">
        <v>5678</v>
      </c>
      <c r="F281" s="1786">
        <f>$L$5</f>
        <v>0.06</v>
      </c>
      <c r="G281" s="1772"/>
      <c r="H281" s="1773"/>
      <c r="I281" s="1773">
        <f>SUM(I279:I280)*F281</f>
        <v>4553.0290310400014</v>
      </c>
    </row>
    <row r="282" spans="1:12" ht="14.25">
      <c r="B282" s="1556"/>
      <c r="C282" s="1557"/>
      <c r="D282" s="1557"/>
      <c r="E282" s="1781" t="s">
        <v>5679</v>
      </c>
      <c r="F282" s="1787"/>
      <c r="G282" s="1783"/>
      <c r="H282" s="1784"/>
      <c r="I282" s="1784">
        <f>SUM(I279:I281)</f>
        <v>80436.84621504003</v>
      </c>
    </row>
    <row r="283" spans="1:12" ht="15">
      <c r="B283" s="1551"/>
      <c r="C283" s="1552"/>
      <c r="D283" s="1552"/>
      <c r="E283" s="1785" t="s">
        <v>5680</v>
      </c>
      <c r="F283" s="1788">
        <f>$M$5</f>
        <v>0.1</v>
      </c>
      <c r="G283" s="1772"/>
      <c r="H283" s="1773"/>
      <c r="I283" s="1773">
        <f>I282*F283</f>
        <v>8043.6846215040032</v>
      </c>
    </row>
    <row r="284" spans="1:12" ht="14.25">
      <c r="B284" s="1556"/>
      <c r="C284" s="1557"/>
      <c r="D284" s="1557"/>
      <c r="E284" s="1781" t="s">
        <v>5681</v>
      </c>
      <c r="F284" s="1787"/>
      <c r="G284" s="1783"/>
      <c r="H284" s="1784"/>
      <c r="I284" s="1784">
        <f>SUM(I282:I283)</f>
        <v>88480.530836544029</v>
      </c>
    </row>
    <row r="285" spans="1:12" ht="12.75">
      <c r="B285" s="1551"/>
      <c r="C285" s="1552"/>
      <c r="D285" s="1552"/>
      <c r="E285" s="1563" t="s">
        <v>5682</v>
      </c>
      <c r="F285" s="1560">
        <f>$N$5</f>
        <v>0.01</v>
      </c>
      <c r="G285" s="1553"/>
      <c r="H285" s="1562"/>
      <c r="I285" s="1562">
        <f>I284*F285</f>
        <v>884.80530836544028</v>
      </c>
    </row>
    <row r="286" spans="1:12" ht="14.25">
      <c r="B286" s="2111"/>
      <c r="C286" s="1564"/>
      <c r="D286" s="2111"/>
      <c r="E286" s="2112" t="s">
        <v>5683</v>
      </c>
      <c r="F286" s="2113"/>
      <c r="G286" s="2112"/>
      <c r="H286" s="2114"/>
      <c r="I286" s="2110">
        <f>ROUND(I284+I285,0)</f>
        <v>89365</v>
      </c>
    </row>
    <row r="287" spans="1:12" ht="28.5">
      <c r="A287" s="657">
        <v>1</v>
      </c>
      <c r="B287" s="1546">
        <f>IF(A287&lt;&gt;0,COUNTA(A$7:$A287),"")</f>
        <v>17</v>
      </c>
      <c r="C287" s="1547">
        <f>'8.Dgia'!C240</f>
        <v>1776</v>
      </c>
      <c r="D287" s="1547" t="s">
        <v>5970</v>
      </c>
      <c r="E287" s="1740" t="str">
        <f>'8.Dgia'!E240</f>
        <v>Khoan vào cát chặt trên cạn D1500 phản tuần hoàn, L&lt;=30m, HS=1.2</v>
      </c>
      <c r="F287" s="1789" t="str">
        <f>'8.Dgia'!G240</f>
        <v>m</v>
      </c>
      <c r="G287" s="1742">
        <f>'8.Dgia'!H240</f>
        <v>0</v>
      </c>
      <c r="H287" s="1743"/>
      <c r="I287" s="1743"/>
      <c r="J287" s="842">
        <f>+I288</f>
        <v>232203.92727272728</v>
      </c>
      <c r="K287" s="842">
        <f>+I293</f>
        <v>690342.91200000001</v>
      </c>
      <c r="L287" s="842">
        <f>+I294</f>
        <v>1052557.4309183997</v>
      </c>
    </row>
    <row r="288" spans="1:12" s="658" customFormat="1" ht="15">
      <c r="B288" s="1536" t="str">
        <f>'8.Dgia'!B241</f>
        <v/>
      </c>
      <c r="C288" s="1537">
        <f>'8.Dgia'!C241</f>
        <v>0</v>
      </c>
      <c r="D288" s="1537" t="str">
        <f>'8.Dgia'!D241</f>
        <v>HS=1.2</v>
      </c>
      <c r="E288" s="1744" t="str">
        <f>'8.Dgia'!E241</f>
        <v xml:space="preserve">  A - Vật liệu</v>
      </c>
      <c r="F288" s="1763">
        <f>'8.Dgia'!G241</f>
        <v>0</v>
      </c>
      <c r="G288" s="1746">
        <f>'8.Dgia'!H241</f>
        <v>0</v>
      </c>
      <c r="H288" s="1747"/>
      <c r="I288" s="1748">
        <f>SUM(I289:I292)</f>
        <v>232203.92727272728</v>
      </c>
      <c r="J288" s="850"/>
      <c r="K288" s="850"/>
      <c r="L288" s="850"/>
    </row>
    <row r="289" spans="2:12" ht="15">
      <c r="B289" s="1536" t="str">
        <f>'8.Dgia'!B242</f>
        <v/>
      </c>
      <c r="C289" s="1537">
        <f>'8.Dgia'!C242</f>
        <v>0</v>
      </c>
      <c r="D289" s="1537" t="s">
        <v>5869</v>
      </c>
      <c r="E289" s="1749" t="str">
        <f>'8.Dgia'!E242</f>
        <v>Gầu khoan</v>
      </c>
      <c r="F289" s="1763" t="s">
        <v>567</v>
      </c>
      <c r="G289" s="1746">
        <f>'8.Dgia'!H242</f>
        <v>2.3999999999999998E-3</v>
      </c>
      <c r="H289" s="1747">
        <f>GVL!$I$92</f>
        <v>4500000</v>
      </c>
      <c r="I289" s="1747">
        <f>H289*G289</f>
        <v>10799.999999999998</v>
      </c>
    </row>
    <row r="290" spans="2:12" ht="15">
      <c r="B290" s="1536" t="str">
        <f>'8.Dgia'!B243</f>
        <v/>
      </c>
      <c r="C290" s="1537">
        <f>'8.Dgia'!C243</f>
        <v>0</v>
      </c>
      <c r="D290" s="1537">
        <f>'8.Dgia'!D243</f>
        <v>0</v>
      </c>
      <c r="E290" s="1749" t="str">
        <f>'8.Dgia'!E243</f>
        <v xml:space="preserve">Răng gầu hợp kim </v>
      </c>
      <c r="F290" s="1763" t="s">
        <v>567</v>
      </c>
      <c r="G290" s="1746">
        <f>'8.Dgia'!H243</f>
        <v>2.3759999999999999</v>
      </c>
      <c r="H290" s="1747">
        <f>GVL!$I$154</f>
        <v>85000</v>
      </c>
      <c r="I290" s="1747">
        <f>H290*G290</f>
        <v>201960</v>
      </c>
    </row>
    <row r="291" spans="2:12" ht="15">
      <c r="B291" s="1536" t="str">
        <f>'8.Dgia'!B244</f>
        <v/>
      </c>
      <c r="C291" s="1537">
        <f>'8.Dgia'!C244</f>
        <v>0</v>
      </c>
      <c r="D291" s="1537">
        <f>'8.Dgia'!D244</f>
        <v>0</v>
      </c>
      <c r="E291" s="1749" t="str">
        <f>'8.Dgia'!E244</f>
        <v>Que hàn</v>
      </c>
      <c r="F291" s="1763" t="str">
        <f>'8.Dgia'!G244</f>
        <v>kg</v>
      </c>
      <c r="G291" s="1954">
        <f>'8.Dgia'!H244</f>
        <v>0.78</v>
      </c>
      <c r="H291" s="1747">
        <f>GVL!$I$153</f>
        <v>19090.909090909088</v>
      </c>
      <c r="I291" s="1747">
        <f>H291*G291</f>
        <v>14890.90909090909</v>
      </c>
    </row>
    <row r="292" spans="2:12" ht="15">
      <c r="B292" s="1536" t="str">
        <f>'8.Dgia'!B245</f>
        <v/>
      </c>
      <c r="C292" s="1537">
        <f>'8.Dgia'!C245</f>
        <v>0</v>
      </c>
      <c r="D292" s="1537">
        <f>'8.Dgia'!D245</f>
        <v>0</v>
      </c>
      <c r="E292" s="1749" t="str">
        <f>'8.Dgia'!E245</f>
        <v>Vật liệu khác</v>
      </c>
      <c r="F292" s="1763" t="str">
        <f>'8.Dgia'!G245</f>
        <v>%</v>
      </c>
      <c r="G292" s="1954">
        <f>'8.Dgia'!H245</f>
        <v>2</v>
      </c>
      <c r="H292" s="1747">
        <f>SUM(I289:I291)</f>
        <v>227650.90909090909</v>
      </c>
      <c r="I292" s="1747">
        <f>H292*G292%</f>
        <v>4553.0181818181818</v>
      </c>
    </row>
    <row r="293" spans="2:12" s="658" customFormat="1" ht="15">
      <c r="B293" s="1536" t="str">
        <f>'8.Dgia'!B246</f>
        <v/>
      </c>
      <c r="C293" s="1537">
        <f>'8.Dgia'!C246</f>
        <v>0</v>
      </c>
      <c r="D293" s="1537" t="str">
        <f>'8.Dgia'!D246</f>
        <v>HS=1.2</v>
      </c>
      <c r="E293" s="1744" t="str">
        <f>'8.Dgia'!E246</f>
        <v xml:space="preserve">  B - Nhân công 4.0/7</v>
      </c>
      <c r="F293" s="1745" t="s">
        <v>552</v>
      </c>
      <c r="G293" s="1746">
        <f>'8.Dgia'!H246</f>
        <v>2.6880000000000002</v>
      </c>
      <c r="H293" s="1747">
        <f>'16.NC'!$H$18</f>
        <v>256824</v>
      </c>
      <c r="I293" s="1750">
        <f>H293*G293</f>
        <v>690342.91200000001</v>
      </c>
      <c r="J293" s="850"/>
      <c r="K293" s="850"/>
      <c r="L293" s="850"/>
    </row>
    <row r="294" spans="2:12" s="658" customFormat="1" ht="15">
      <c r="B294" s="1536" t="str">
        <f>'8.Dgia'!B247</f>
        <v/>
      </c>
      <c r="C294" s="1537">
        <f>'8.Dgia'!C247</f>
        <v>0</v>
      </c>
      <c r="D294" s="1537" t="str">
        <f>'8.Dgia'!D247</f>
        <v>HS=1.2</v>
      </c>
      <c r="E294" s="1744" t="str">
        <f>'8.Dgia'!E247</f>
        <v xml:space="preserve">  C - Máy thi công</v>
      </c>
      <c r="F294" s="1763">
        <f>'8.Dgia'!G247</f>
        <v>0</v>
      </c>
      <c r="G294" s="1746">
        <f>'8.Dgia'!H247</f>
        <v>0</v>
      </c>
      <c r="H294" s="1747"/>
      <c r="I294" s="1751">
        <f>SUM(I295:I296)</f>
        <v>1052557.4309183997</v>
      </c>
      <c r="J294" s="850"/>
      <c r="K294" s="850"/>
      <c r="L294" s="850"/>
    </row>
    <row r="295" spans="2:12" ht="15">
      <c r="B295" s="1536" t="str">
        <f>'8.Dgia'!B248</f>
        <v/>
      </c>
      <c r="C295" s="1537">
        <f>'8.Dgia'!C248</f>
        <v>0</v>
      </c>
      <c r="D295" s="1537">
        <f>'8.Dgia'!D248</f>
        <v>0</v>
      </c>
      <c r="E295" s="1749" t="str">
        <f>'8.Dgia'!E248</f>
        <v>Máy khoan cọc nhồi ED</v>
      </c>
      <c r="F295" s="1745" t="s">
        <v>5493</v>
      </c>
      <c r="G295" s="1746">
        <f>'8.Dgia'!H248</f>
        <v>0.21119999999999997</v>
      </c>
      <c r="H295" s="1747">
        <f>'9.may'!$P$798</f>
        <v>4530636.3245454542</v>
      </c>
      <c r="I295" s="1747">
        <f>H295*G295</f>
        <v>956870.39174399979</v>
      </c>
    </row>
    <row r="296" spans="2:12" ht="15">
      <c r="B296" s="1536" t="str">
        <f>'8.Dgia'!B249</f>
        <v/>
      </c>
      <c r="C296" s="1537">
        <f>'8.Dgia'!C249</f>
        <v>0</v>
      </c>
      <c r="D296" s="1537">
        <f>'8.Dgia'!D249</f>
        <v>0</v>
      </c>
      <c r="E296" s="1749" t="str">
        <f>'8.Dgia'!E249</f>
        <v>Máy khác</v>
      </c>
      <c r="F296" s="1763" t="str">
        <f>'8.Dgia'!G249</f>
        <v>%</v>
      </c>
      <c r="G296" s="1982">
        <f>'8.Dgia'!H249</f>
        <v>10</v>
      </c>
      <c r="H296" s="1747">
        <f>SUM(I295:I295)</f>
        <v>956870.39174399979</v>
      </c>
      <c r="I296" s="1747">
        <f>H296*G296%</f>
        <v>95687.039174399979</v>
      </c>
    </row>
    <row r="297" spans="2:12" s="658" customFormat="1" ht="15">
      <c r="B297" s="1675"/>
      <c r="C297" s="1676"/>
      <c r="D297" s="1676"/>
      <c r="E297" s="1752" t="s">
        <v>5675</v>
      </c>
      <c r="F297" s="1763">
        <f>$J$5</f>
        <v>0.02</v>
      </c>
      <c r="G297" s="1754"/>
      <c r="H297" s="1755"/>
      <c r="I297" s="1756">
        <f>(I288+I293+I294)*F297</f>
        <v>39502.085403822537</v>
      </c>
      <c r="J297" s="850"/>
      <c r="K297" s="850"/>
      <c r="L297" s="850"/>
    </row>
    <row r="298" spans="2:12" ht="15">
      <c r="B298" s="1540"/>
      <c r="C298" s="1541"/>
      <c r="D298" s="1541"/>
      <c r="E298" s="1757" t="s">
        <v>5676</v>
      </c>
      <c r="F298" s="1763"/>
      <c r="G298" s="1759"/>
      <c r="H298" s="1760"/>
      <c r="I298" s="1761">
        <f>I297+I297/F297</f>
        <v>2014606.3555949493</v>
      </c>
    </row>
    <row r="299" spans="2:12" ht="15">
      <c r="B299" s="1536"/>
      <c r="C299" s="1537"/>
      <c r="D299" s="1537"/>
      <c r="E299" s="1762" t="s">
        <v>5677</v>
      </c>
      <c r="F299" s="1763">
        <f>$K$5</f>
        <v>5.5E-2</v>
      </c>
      <c r="G299" s="1746"/>
      <c r="H299" s="1747"/>
      <c r="I299" s="1764">
        <f>I298*F299</f>
        <v>110803.34955772222</v>
      </c>
    </row>
    <row r="300" spans="2:12" ht="15">
      <c r="B300" s="1536"/>
      <c r="C300" s="1537"/>
      <c r="D300" s="1537"/>
      <c r="E300" s="1762" t="s">
        <v>5678</v>
      </c>
      <c r="F300" s="1763">
        <f>$L$5</f>
        <v>0.06</v>
      </c>
      <c r="G300" s="1746"/>
      <c r="H300" s="1747"/>
      <c r="I300" s="1764">
        <f>SUM(I298:I299)*F300</f>
        <v>127524.58230916031</v>
      </c>
    </row>
    <row r="301" spans="2:12" ht="14.25">
      <c r="B301" s="1540"/>
      <c r="C301" s="1541"/>
      <c r="D301" s="1541"/>
      <c r="E301" s="1757" t="s">
        <v>5679</v>
      </c>
      <c r="F301" s="1791"/>
      <c r="G301" s="1759"/>
      <c r="H301" s="1760"/>
      <c r="I301" s="1761">
        <f>SUM(I298:I300)</f>
        <v>2252934.2874618322</v>
      </c>
    </row>
    <row r="302" spans="2:12" ht="15">
      <c r="B302" s="1536"/>
      <c r="C302" s="1537"/>
      <c r="D302" s="1537"/>
      <c r="E302" s="1762" t="s">
        <v>5680</v>
      </c>
      <c r="F302" s="1765">
        <f>$M$5</f>
        <v>0.1</v>
      </c>
      <c r="G302" s="1746"/>
      <c r="H302" s="1747"/>
      <c r="I302" s="1764">
        <f>I301*F302</f>
        <v>225293.42874618323</v>
      </c>
    </row>
    <row r="303" spans="2:12" ht="14.25">
      <c r="B303" s="1540"/>
      <c r="C303" s="1541"/>
      <c r="D303" s="1541"/>
      <c r="E303" s="1757" t="s">
        <v>5681</v>
      </c>
      <c r="F303" s="1791"/>
      <c r="G303" s="1759"/>
      <c r="H303" s="1760"/>
      <c r="I303" s="1761">
        <f>SUM(I301:I302)</f>
        <v>2478227.7162080156</v>
      </c>
    </row>
    <row r="304" spans="2:12" ht="12.75">
      <c r="B304" s="1536"/>
      <c r="C304" s="1537"/>
      <c r="D304" s="1537"/>
      <c r="E304" s="1533" t="s">
        <v>5682</v>
      </c>
      <c r="F304" s="1535">
        <f>$N$5</f>
        <v>0.01</v>
      </c>
      <c r="G304" s="1538"/>
      <c r="H304" s="1532"/>
      <c r="I304" s="1534">
        <f>I303*F304</f>
        <v>24782.277162080158</v>
      </c>
    </row>
    <row r="305" spans="1:12" ht="14.25">
      <c r="B305" s="2104"/>
      <c r="C305" s="1543"/>
      <c r="D305" s="2105"/>
      <c r="E305" s="2106" t="s">
        <v>5683</v>
      </c>
      <c r="F305" s="2115"/>
      <c r="G305" s="2108"/>
      <c r="H305" s="2109"/>
      <c r="I305" s="2110">
        <f>ROUND(I303+I304,0)</f>
        <v>2503010</v>
      </c>
    </row>
    <row r="306" spans="1:12" ht="28.5">
      <c r="A306" s="657">
        <v>1</v>
      </c>
      <c r="B306" s="1546">
        <f>IF(A306&lt;&gt;0,COUNTA(A$7:$A306),"")</f>
        <v>18</v>
      </c>
      <c r="C306" s="1547">
        <f>'8.Dgia'!C260</f>
        <v>1776</v>
      </c>
      <c r="D306" s="1547" t="str">
        <f>'8.Dgia'!D260</f>
        <v>AC.32113</v>
      </c>
      <c r="E306" s="1740" t="str">
        <f>'8.Dgia'!E260</f>
        <v>Khoan vào cát chặt trên cạn D1200 phản tuần hoàn, L&lt;=30m, HS=1.2</v>
      </c>
      <c r="F306" s="1789" t="str">
        <f>'8.Dgia'!G260</f>
        <v>m</v>
      </c>
      <c r="G306" s="1742">
        <f>'8.Dgia'!H260</f>
        <v>0</v>
      </c>
      <c r="H306" s="1743"/>
      <c r="I306" s="1743"/>
      <c r="J306" s="842">
        <f>+I307</f>
        <v>199890.32727272727</v>
      </c>
      <c r="K306" s="842">
        <f>+I311</f>
        <v>779717.66399999987</v>
      </c>
      <c r="L306" s="842">
        <f>+I312</f>
        <v>571201.41232063633</v>
      </c>
    </row>
    <row r="307" spans="1:12" s="658" customFormat="1" ht="15">
      <c r="B307" s="1536" t="str">
        <f>'8.Dgia'!B261</f>
        <v/>
      </c>
      <c r="C307" s="1537">
        <f>'8.Dgia'!C261</f>
        <v>0</v>
      </c>
      <c r="D307" s="1537" t="str">
        <f>'8.Dgia'!D261</f>
        <v>HS=1.2</v>
      </c>
      <c r="E307" s="1744" t="str">
        <f>'8.Dgia'!E261</f>
        <v xml:space="preserve">  A - Vật liệu</v>
      </c>
      <c r="F307" s="1763">
        <f>'8.Dgia'!G261</f>
        <v>0</v>
      </c>
      <c r="G307" s="1746">
        <f>'8.Dgia'!H261</f>
        <v>0</v>
      </c>
      <c r="H307" s="1747"/>
      <c r="I307" s="1748">
        <f>SUM(I308:I310)</f>
        <v>199890.32727272727</v>
      </c>
      <c r="J307" s="850"/>
      <c r="K307" s="850"/>
      <c r="L307" s="850"/>
    </row>
    <row r="308" spans="1:12" ht="15">
      <c r="B308" s="1536" t="str">
        <f>'8.Dgia'!B262</f>
        <v/>
      </c>
      <c r="C308" s="1537">
        <f>'8.Dgia'!C262</f>
        <v>0</v>
      </c>
      <c r="D308" s="1537">
        <f>'8.Dgia'!D262</f>
        <v>0</v>
      </c>
      <c r="E308" s="1749" t="str">
        <f>'8.Dgia'!E262</f>
        <v xml:space="preserve">Răng gầu hợp kim </v>
      </c>
      <c r="F308" s="1763" t="s">
        <v>567</v>
      </c>
      <c r="G308" s="1746">
        <f>'8.Dgia'!H262</f>
        <v>2.16</v>
      </c>
      <c r="H308" s="1747">
        <f>GVL!$I$154</f>
        <v>85000</v>
      </c>
      <c r="I308" s="1747">
        <f>H308*G308</f>
        <v>183600</v>
      </c>
    </row>
    <row r="309" spans="1:12" ht="15">
      <c r="B309" s="1536" t="str">
        <f>'8.Dgia'!B263</f>
        <v/>
      </c>
      <c r="C309" s="1537">
        <f>'8.Dgia'!C263</f>
        <v>0</v>
      </c>
      <c r="D309" s="1537">
        <f>'8.Dgia'!D263</f>
        <v>0</v>
      </c>
      <c r="E309" s="1749" t="str">
        <f>'8.Dgia'!E263</f>
        <v>Que hàn</v>
      </c>
      <c r="F309" s="1763" t="str">
        <f>'8.Dgia'!G263</f>
        <v>kg</v>
      </c>
      <c r="G309" s="1746">
        <f>'8.Dgia'!H263</f>
        <v>0.64800000000000002</v>
      </c>
      <c r="H309" s="1747">
        <f>GVL!$I$153</f>
        <v>19090.909090909088</v>
      </c>
      <c r="I309" s="1747">
        <f>H309*G309</f>
        <v>12370.90909090909</v>
      </c>
    </row>
    <row r="310" spans="1:12" ht="15">
      <c r="B310" s="1536" t="str">
        <f>'8.Dgia'!B264</f>
        <v/>
      </c>
      <c r="C310" s="1537">
        <f>'8.Dgia'!C264</f>
        <v>0</v>
      </c>
      <c r="D310" s="1537">
        <f>'8.Dgia'!D264</f>
        <v>0</v>
      </c>
      <c r="E310" s="1749" t="str">
        <f>'8.Dgia'!E264</f>
        <v>Vật liệu khác</v>
      </c>
      <c r="F310" s="1763" t="str">
        <f>'8.Dgia'!G264</f>
        <v>%</v>
      </c>
      <c r="G310" s="1954">
        <f>'8.Dgia'!H264</f>
        <v>2</v>
      </c>
      <c r="H310" s="1747">
        <f>SUM(I308:I309)</f>
        <v>195970.90909090909</v>
      </c>
      <c r="I310" s="1747">
        <f>H310*G310%</f>
        <v>3919.4181818181819</v>
      </c>
    </row>
    <row r="311" spans="1:12" s="658" customFormat="1" ht="15">
      <c r="B311" s="1536" t="str">
        <f>'8.Dgia'!B265</f>
        <v/>
      </c>
      <c r="C311" s="1537">
        <f>'8.Dgia'!C265</f>
        <v>0</v>
      </c>
      <c r="D311" s="1537" t="str">
        <f>'8.Dgia'!D265</f>
        <v>HS=1.2</v>
      </c>
      <c r="E311" s="1744" t="str">
        <f>'8.Dgia'!E265</f>
        <v xml:space="preserve">  B - Nhân công 4.0/7</v>
      </c>
      <c r="F311" s="1745" t="s">
        <v>552</v>
      </c>
      <c r="G311" s="1746">
        <f>'8.Dgia'!H265</f>
        <v>3.0359999999999996</v>
      </c>
      <c r="H311" s="1747">
        <f>'16.NC'!$H$18</f>
        <v>256824</v>
      </c>
      <c r="I311" s="1750">
        <f>H311*G311</f>
        <v>779717.66399999987</v>
      </c>
      <c r="J311" s="850"/>
      <c r="K311" s="850"/>
      <c r="L311" s="850"/>
    </row>
    <row r="312" spans="1:12" s="658" customFormat="1" ht="15">
      <c r="B312" s="1536" t="str">
        <f>'8.Dgia'!B266</f>
        <v/>
      </c>
      <c r="C312" s="1537">
        <f>'8.Dgia'!C266</f>
        <v>0</v>
      </c>
      <c r="D312" s="1537" t="str">
        <f>'8.Dgia'!D266</f>
        <v>HS=1.2</v>
      </c>
      <c r="E312" s="1744" t="str">
        <f>'8.Dgia'!E266</f>
        <v xml:space="preserve">  C - Máy thi công</v>
      </c>
      <c r="F312" s="1763">
        <f>'8.Dgia'!G266</f>
        <v>0</v>
      </c>
      <c r="G312" s="1746">
        <f>'8.Dgia'!H266</f>
        <v>0</v>
      </c>
      <c r="H312" s="1747"/>
      <c r="I312" s="1751">
        <f>SUM(I313:I315)</f>
        <v>571201.41232063633</v>
      </c>
      <c r="J312" s="850"/>
      <c r="K312" s="850"/>
      <c r="L312" s="850"/>
    </row>
    <row r="313" spans="1:12" ht="15">
      <c r="B313" s="1536" t="str">
        <f>'8.Dgia'!B267</f>
        <v/>
      </c>
      <c r="C313" s="1537">
        <f>'8.Dgia'!C267</f>
        <v>0</v>
      </c>
      <c r="D313" s="1537">
        <f>'8.Dgia'!D267</f>
        <v>0</v>
      </c>
      <c r="E313" s="1749" t="str">
        <f>'8.Dgia'!E267</f>
        <v>Máy khoan cọc nhồi TRC-15</v>
      </c>
      <c r="F313" s="1745" t="s">
        <v>5493</v>
      </c>
      <c r="G313" s="1746">
        <f>'8.Dgia'!H267</f>
        <v>3.5999999999999997E-2</v>
      </c>
      <c r="H313" s="1747">
        <f>'9.may'!$P$641</f>
        <v>12192731.640000001</v>
      </c>
      <c r="I313" s="1747">
        <f>H313*G313</f>
        <v>438938.33903999999</v>
      </c>
    </row>
    <row r="314" spans="1:12" ht="15">
      <c r="B314" s="1536" t="str">
        <f>'8.Dgia'!B268</f>
        <v/>
      </c>
      <c r="C314" s="1537">
        <f>'8.Dgia'!C268</f>
        <v>0</v>
      </c>
      <c r="D314" s="1537">
        <f>'8.Dgia'!D268</f>
        <v>0</v>
      </c>
      <c r="E314" s="1749" t="str">
        <f>'8.Dgia'!E268</f>
        <v>Cần cẩu bánh xích 30T</v>
      </c>
      <c r="F314" s="1745" t="s">
        <v>5493</v>
      </c>
      <c r="G314" s="1746">
        <f>'8.Dgia'!H268</f>
        <v>3.5999999999999997E-2</v>
      </c>
      <c r="H314" s="1747">
        <f>'9.may'!$P$249</f>
        <v>2918416.834090909</v>
      </c>
      <c r="I314" s="1747">
        <f>H314*G314</f>
        <v>105063.00602727271</v>
      </c>
    </row>
    <row r="315" spans="1:12" ht="15">
      <c r="B315" s="1536" t="str">
        <f>'8.Dgia'!B269</f>
        <v/>
      </c>
      <c r="C315" s="1537">
        <f>'8.Dgia'!C269</f>
        <v>0</v>
      </c>
      <c r="D315" s="1537">
        <f>'8.Dgia'!D269</f>
        <v>0</v>
      </c>
      <c r="E315" s="1749" t="str">
        <f>'8.Dgia'!E269</f>
        <v>Máy khác</v>
      </c>
      <c r="F315" s="1763" t="str">
        <f>'8.Dgia'!G269</f>
        <v>%</v>
      </c>
      <c r="G315" s="1954">
        <f>'8.Dgia'!H269</f>
        <v>5</v>
      </c>
      <c r="H315" s="1747">
        <f>SUM(I313:I314)</f>
        <v>544001.34506727266</v>
      </c>
      <c r="I315" s="1747">
        <f>H315*G315%</f>
        <v>27200.067253363635</v>
      </c>
    </row>
    <row r="316" spans="1:12" s="658" customFormat="1" ht="15">
      <c r="B316" s="1675"/>
      <c r="C316" s="1676"/>
      <c r="D316" s="1676"/>
      <c r="E316" s="1752" t="s">
        <v>5675</v>
      </c>
      <c r="F316" s="1763">
        <f>$J$5</f>
        <v>0.02</v>
      </c>
      <c r="G316" s="1754"/>
      <c r="H316" s="1755"/>
      <c r="I316" s="1756">
        <f>(I307+I311+I312)*F316</f>
        <v>31016.188071867269</v>
      </c>
      <c r="J316" s="850"/>
      <c r="K316" s="850"/>
      <c r="L316" s="850"/>
    </row>
    <row r="317" spans="1:12" ht="15">
      <c r="B317" s="1540"/>
      <c r="C317" s="1541"/>
      <c r="D317" s="1541"/>
      <c r="E317" s="1757" t="s">
        <v>5676</v>
      </c>
      <c r="F317" s="1763"/>
      <c r="G317" s="1759"/>
      <c r="H317" s="1760"/>
      <c r="I317" s="1761">
        <f>I316+I316/F316</f>
        <v>1581825.5916652307</v>
      </c>
    </row>
    <row r="318" spans="1:12" ht="15">
      <c r="B318" s="1536"/>
      <c r="C318" s="1537"/>
      <c r="D318" s="1537"/>
      <c r="E318" s="1762" t="s">
        <v>5677</v>
      </c>
      <c r="F318" s="1763">
        <f>$K$5</f>
        <v>5.5E-2</v>
      </c>
      <c r="G318" s="1746"/>
      <c r="H318" s="1747"/>
      <c r="I318" s="1764">
        <f>I317*F318</f>
        <v>87000.407541587687</v>
      </c>
    </row>
    <row r="319" spans="1:12" ht="15">
      <c r="B319" s="1536"/>
      <c r="C319" s="1537"/>
      <c r="D319" s="1537"/>
      <c r="E319" s="1762" t="s">
        <v>5678</v>
      </c>
      <c r="F319" s="1763">
        <f>$L$5</f>
        <v>0.06</v>
      </c>
      <c r="G319" s="1746"/>
      <c r="H319" s="1747"/>
      <c r="I319" s="1764">
        <f>SUM(I317:I318)*F319</f>
        <v>100129.55995240909</v>
      </c>
    </row>
    <row r="320" spans="1:12" ht="14.25">
      <c r="B320" s="1540"/>
      <c r="C320" s="1541"/>
      <c r="D320" s="1541"/>
      <c r="E320" s="1757" t="s">
        <v>5679</v>
      </c>
      <c r="F320" s="1791"/>
      <c r="G320" s="1759"/>
      <c r="H320" s="1760"/>
      <c r="I320" s="1761">
        <f>SUM(I317:I319)</f>
        <v>1768955.5591592274</v>
      </c>
    </row>
    <row r="321" spans="1:12" ht="15">
      <c r="B321" s="1536"/>
      <c r="C321" s="1537"/>
      <c r="D321" s="1537"/>
      <c r="E321" s="1762" t="s">
        <v>5680</v>
      </c>
      <c r="F321" s="1765">
        <f>$M$5</f>
        <v>0.1</v>
      </c>
      <c r="G321" s="1746"/>
      <c r="H321" s="1747"/>
      <c r="I321" s="1764">
        <f>I320*F321</f>
        <v>176895.55591592274</v>
      </c>
    </row>
    <row r="322" spans="1:12" ht="14.25">
      <c r="B322" s="1540"/>
      <c r="C322" s="1541"/>
      <c r="D322" s="1541"/>
      <c r="E322" s="1757" t="s">
        <v>5681</v>
      </c>
      <c r="F322" s="1791"/>
      <c r="G322" s="1759"/>
      <c r="H322" s="1760"/>
      <c r="I322" s="1761">
        <f>SUM(I320:I321)</f>
        <v>1945851.11507515</v>
      </c>
    </row>
    <row r="323" spans="1:12" ht="12.75">
      <c r="B323" s="1536"/>
      <c r="C323" s="1537"/>
      <c r="D323" s="1537"/>
      <c r="E323" s="1533" t="s">
        <v>5682</v>
      </c>
      <c r="F323" s="1535">
        <f>$N$5</f>
        <v>0.01</v>
      </c>
      <c r="G323" s="1538"/>
      <c r="H323" s="1532"/>
      <c r="I323" s="1534">
        <f>I322*F323</f>
        <v>19458.511150751499</v>
      </c>
    </row>
    <row r="324" spans="1:12" ht="14.25">
      <c r="B324" s="2104"/>
      <c r="C324" s="1543"/>
      <c r="D324" s="2105"/>
      <c r="E324" s="2106" t="s">
        <v>5683</v>
      </c>
      <c r="F324" s="2115"/>
      <c r="G324" s="2108"/>
      <c r="H324" s="2109"/>
      <c r="I324" s="2110">
        <f>ROUND(I322+I323,0)</f>
        <v>1965310</v>
      </c>
    </row>
    <row r="325" spans="1:12" ht="43.5" customHeight="1">
      <c r="A325" s="657">
        <v>1</v>
      </c>
      <c r="B325" s="1546">
        <f>IF(A325&lt;&gt;0,COUNTA(A$7:$A325),"")</f>
        <v>19</v>
      </c>
      <c r="C325" s="1547">
        <f>'8.Dgia'!C270</f>
        <v>1776</v>
      </c>
      <c r="D325" s="1547" t="s">
        <v>5970</v>
      </c>
      <c r="E325" s="1740" t="str">
        <f>'8.Dgia'!E270</f>
        <v>Khoan vào cát chặt trên cạn D1500 phản tuần hoàn, L&gt;30m, HS VL=1,2; HS nhân công, MTC=1.015*1.2</v>
      </c>
      <c r="F325" s="1789" t="str">
        <f>'8.Dgia'!G270</f>
        <v>m</v>
      </c>
      <c r="G325" s="1742">
        <f>'8.Dgia'!H270</f>
        <v>0</v>
      </c>
      <c r="H325" s="1743"/>
      <c r="I325" s="1743"/>
      <c r="J325" s="842">
        <f>+I326</f>
        <v>232203.92727272728</v>
      </c>
      <c r="K325" s="842">
        <f>+I331</f>
        <v>700698.05567999999</v>
      </c>
      <c r="L325" s="842">
        <f>+I332</f>
        <v>1068345.7923821756</v>
      </c>
    </row>
    <row r="326" spans="1:12" s="658" customFormat="1" ht="15">
      <c r="B326" s="1536" t="str">
        <f>'8.Dgia'!B271</f>
        <v/>
      </c>
      <c r="C326" s="1537">
        <f>'8.Dgia'!C271</f>
        <v>0</v>
      </c>
      <c r="D326" s="1537" t="str">
        <f>'8.Dgia'!D271</f>
        <v>HS=1.2</v>
      </c>
      <c r="E326" s="1744" t="str">
        <f>'8.Dgia'!E271</f>
        <v xml:space="preserve">  A - Vật liệu</v>
      </c>
      <c r="F326" s="1763">
        <f>'8.Dgia'!G271</f>
        <v>0</v>
      </c>
      <c r="G326" s="1746">
        <f>'8.Dgia'!H271</f>
        <v>0</v>
      </c>
      <c r="H326" s="1747"/>
      <c r="I326" s="1748">
        <f>SUM(I327:I330)</f>
        <v>232203.92727272728</v>
      </c>
      <c r="J326" s="850"/>
      <c r="K326" s="850"/>
      <c r="L326" s="850"/>
    </row>
    <row r="327" spans="1:12" ht="15">
      <c r="B327" s="1536" t="str">
        <f>'8.Dgia'!B272</f>
        <v/>
      </c>
      <c r="C327" s="1537">
        <f>'8.Dgia'!C272</f>
        <v>0</v>
      </c>
      <c r="D327" s="1537" t="s">
        <v>5869</v>
      </c>
      <c r="E327" s="1749" t="str">
        <f>'8.Dgia'!E272</f>
        <v>Gầu khoan</v>
      </c>
      <c r="F327" s="1763" t="s">
        <v>567</v>
      </c>
      <c r="G327" s="1746">
        <f>'8.Dgia'!H272</f>
        <v>2.3999999999999998E-3</v>
      </c>
      <c r="H327" s="1747">
        <f>GVL!$I$92</f>
        <v>4500000</v>
      </c>
      <c r="I327" s="1747">
        <f>H327*G327</f>
        <v>10799.999999999998</v>
      </c>
    </row>
    <row r="328" spans="1:12" ht="15">
      <c r="B328" s="1536" t="str">
        <f>'8.Dgia'!B273</f>
        <v/>
      </c>
      <c r="C328" s="1537">
        <f>'8.Dgia'!C273</f>
        <v>0</v>
      </c>
      <c r="D328" s="1537">
        <f>'8.Dgia'!D273</f>
        <v>0</v>
      </c>
      <c r="E328" s="1749" t="str">
        <f>'8.Dgia'!E273</f>
        <v xml:space="preserve">Răng gầu hợp kim </v>
      </c>
      <c r="F328" s="1763" t="s">
        <v>567</v>
      </c>
      <c r="G328" s="1746">
        <f>'8.Dgia'!H273</f>
        <v>2.3759999999999999</v>
      </c>
      <c r="H328" s="1747">
        <f>GVL!$I$154</f>
        <v>85000</v>
      </c>
      <c r="I328" s="1747">
        <f>H328*G328</f>
        <v>201960</v>
      </c>
    </row>
    <row r="329" spans="1:12" ht="15">
      <c r="B329" s="1536" t="str">
        <f>'8.Dgia'!B274</f>
        <v/>
      </c>
      <c r="C329" s="1537">
        <f>'8.Dgia'!C274</f>
        <v>0</v>
      </c>
      <c r="D329" s="1537">
        <f>'8.Dgia'!D274</f>
        <v>0</v>
      </c>
      <c r="E329" s="1749" t="str">
        <f>'8.Dgia'!E274</f>
        <v>Que hàn</v>
      </c>
      <c r="F329" s="1763" t="str">
        <f>'8.Dgia'!G274</f>
        <v>kg</v>
      </c>
      <c r="G329" s="1981">
        <f>'8.Dgia'!H274</f>
        <v>0.78</v>
      </c>
      <c r="H329" s="1747">
        <f>GVL!$I$153</f>
        <v>19090.909090909088</v>
      </c>
      <c r="I329" s="1747">
        <f>H329*G329</f>
        <v>14890.90909090909</v>
      </c>
    </row>
    <row r="330" spans="1:12" ht="15">
      <c r="B330" s="1536" t="str">
        <f>'8.Dgia'!B275</f>
        <v/>
      </c>
      <c r="C330" s="1537">
        <f>'8.Dgia'!C275</f>
        <v>0</v>
      </c>
      <c r="D330" s="1537">
        <f>'8.Dgia'!D275</f>
        <v>0</v>
      </c>
      <c r="E330" s="1749" t="str">
        <f>'8.Dgia'!E275</f>
        <v>Vật liệu khác</v>
      </c>
      <c r="F330" s="1763" t="str">
        <f>'8.Dgia'!G275</f>
        <v>%</v>
      </c>
      <c r="G330" s="1954">
        <f>'8.Dgia'!H275</f>
        <v>2</v>
      </c>
      <c r="H330" s="1747">
        <f>SUM(I327:I329)</f>
        <v>227650.90909090909</v>
      </c>
      <c r="I330" s="1747">
        <f>H330*G330%</f>
        <v>4553.0181818181818</v>
      </c>
    </row>
    <row r="331" spans="1:12" s="658" customFormat="1" ht="22.5">
      <c r="B331" s="1536" t="str">
        <f>'8.Dgia'!B276</f>
        <v/>
      </c>
      <c r="C331" s="1537">
        <f>'8.Dgia'!C276</f>
        <v>0</v>
      </c>
      <c r="D331" s="2097" t="str">
        <f>'8.Dgia'!D276</f>
        <v>HS=1.015*1.2</v>
      </c>
      <c r="E331" s="1744" t="str">
        <f>'8.Dgia'!E276</f>
        <v xml:space="preserve">  B - Nhân công 4.0/7</v>
      </c>
      <c r="F331" s="1745" t="s">
        <v>552</v>
      </c>
      <c r="G331" s="1746">
        <f>'8.Dgia'!H276</f>
        <v>2.7283200000000001</v>
      </c>
      <c r="H331" s="1747">
        <f>'16.NC'!$H$18</f>
        <v>256824</v>
      </c>
      <c r="I331" s="1750">
        <f>H331*G331</f>
        <v>700698.05567999999</v>
      </c>
      <c r="J331" s="850"/>
      <c r="K331" s="850"/>
      <c r="L331" s="850"/>
    </row>
    <row r="332" spans="1:12" s="658" customFormat="1" ht="22.5">
      <c r="B332" s="1536" t="str">
        <f>'8.Dgia'!B277</f>
        <v/>
      </c>
      <c r="C332" s="1537">
        <f>'8.Dgia'!C277</f>
        <v>0</v>
      </c>
      <c r="D332" s="2097" t="str">
        <f>'8.Dgia'!D277</f>
        <v>HS=1.015*1.2</v>
      </c>
      <c r="E332" s="1744" t="str">
        <f>'8.Dgia'!E277</f>
        <v xml:space="preserve">  C - Máy thi công</v>
      </c>
      <c r="F332" s="1763">
        <f>'8.Dgia'!G277</f>
        <v>0</v>
      </c>
      <c r="G332" s="1746">
        <f>'8.Dgia'!H277</f>
        <v>0</v>
      </c>
      <c r="H332" s="1747"/>
      <c r="I332" s="1751">
        <f>SUM(I333:I334)</f>
        <v>1068345.7923821756</v>
      </c>
      <c r="J332" s="850"/>
      <c r="K332" s="850"/>
      <c r="L332" s="850"/>
    </row>
    <row r="333" spans="1:12" ht="15">
      <c r="B333" s="1536" t="str">
        <f>'8.Dgia'!B278</f>
        <v/>
      </c>
      <c r="C333" s="1537">
        <f>'8.Dgia'!C278</f>
        <v>0</v>
      </c>
      <c r="D333" s="1537">
        <f>'8.Dgia'!D278</f>
        <v>0</v>
      </c>
      <c r="E333" s="1749" t="str">
        <f>'8.Dgia'!E278</f>
        <v>Máy khoan cọc nhồi ED</v>
      </c>
      <c r="F333" s="1745" t="s">
        <v>5493</v>
      </c>
      <c r="G333" s="1746">
        <f>'8.Dgia'!H278</f>
        <v>0.21436799999999995</v>
      </c>
      <c r="H333" s="1747">
        <f>'9.may'!$P$798</f>
        <v>4530636.3245454542</v>
      </c>
      <c r="I333" s="1747">
        <f>H333*G333</f>
        <v>971223.44762015971</v>
      </c>
    </row>
    <row r="334" spans="1:12" ht="15">
      <c r="B334" s="1536" t="str">
        <f>'8.Dgia'!B279</f>
        <v/>
      </c>
      <c r="C334" s="1537">
        <f>'8.Dgia'!C279</f>
        <v>0</v>
      </c>
      <c r="D334" s="1537">
        <f>'8.Dgia'!D279</f>
        <v>0</v>
      </c>
      <c r="E334" s="1749" t="str">
        <f>'8.Dgia'!E279</f>
        <v>Máy khác</v>
      </c>
      <c r="F334" s="1763" t="str">
        <f>'8.Dgia'!G279</f>
        <v>%</v>
      </c>
      <c r="G334" s="1954">
        <f>'8.Dgia'!H279</f>
        <v>10</v>
      </c>
      <c r="H334" s="1747">
        <f>SUM(I333:I333)</f>
        <v>971223.44762015971</v>
      </c>
      <c r="I334" s="1747">
        <f>H334*G334%</f>
        <v>97122.344762015971</v>
      </c>
    </row>
    <row r="335" spans="1:12" s="658" customFormat="1" ht="15">
      <c r="B335" s="1675"/>
      <c r="C335" s="1676"/>
      <c r="D335" s="1676"/>
      <c r="E335" s="1752" t="s">
        <v>5675</v>
      </c>
      <c r="F335" s="1763">
        <f>$J$5</f>
        <v>0.02</v>
      </c>
      <c r="G335" s="1754"/>
      <c r="H335" s="1755"/>
      <c r="I335" s="1756">
        <f>(I326+I331+I332)*F335</f>
        <v>40024.955506698054</v>
      </c>
      <c r="J335" s="850"/>
      <c r="K335" s="850"/>
      <c r="L335" s="850"/>
    </row>
    <row r="336" spans="1:12" ht="15">
      <c r="B336" s="1540"/>
      <c r="C336" s="1541"/>
      <c r="D336" s="1541"/>
      <c r="E336" s="1757" t="s">
        <v>5676</v>
      </c>
      <c r="F336" s="1763"/>
      <c r="G336" s="1759"/>
      <c r="H336" s="1760"/>
      <c r="I336" s="1761">
        <f>I335+I335/F335</f>
        <v>2041272.7308416006</v>
      </c>
    </row>
    <row r="337" spans="1:12" ht="15">
      <c r="B337" s="1536"/>
      <c r="C337" s="1537"/>
      <c r="D337" s="1537"/>
      <c r="E337" s="1762" t="s">
        <v>5677</v>
      </c>
      <c r="F337" s="1763">
        <f>$K$5</f>
        <v>5.5E-2</v>
      </c>
      <c r="G337" s="1746"/>
      <c r="H337" s="1747"/>
      <c r="I337" s="1764">
        <f>I336*F337</f>
        <v>112270.00019628803</v>
      </c>
    </row>
    <row r="338" spans="1:12" ht="15">
      <c r="B338" s="1536"/>
      <c r="C338" s="1537"/>
      <c r="D338" s="1537"/>
      <c r="E338" s="1762" t="s">
        <v>5678</v>
      </c>
      <c r="F338" s="1763">
        <f>$L$5</f>
        <v>0.06</v>
      </c>
      <c r="G338" s="1746"/>
      <c r="H338" s="1747"/>
      <c r="I338" s="1764">
        <f>SUM(I336:I337)*F338</f>
        <v>129212.56386227331</v>
      </c>
    </row>
    <row r="339" spans="1:12" ht="14.25">
      <c r="B339" s="1540"/>
      <c r="C339" s="1541"/>
      <c r="D339" s="1541"/>
      <c r="E339" s="1757" t="s">
        <v>5679</v>
      </c>
      <c r="F339" s="1791"/>
      <c r="G339" s="1759"/>
      <c r="H339" s="1760"/>
      <c r="I339" s="1761">
        <f>SUM(I336:I338)</f>
        <v>2282755.2949001621</v>
      </c>
    </row>
    <row r="340" spans="1:12" ht="15">
      <c r="B340" s="1536"/>
      <c r="C340" s="1537"/>
      <c r="D340" s="1537"/>
      <c r="E340" s="1762" t="s">
        <v>5680</v>
      </c>
      <c r="F340" s="1765">
        <f>$M$5</f>
        <v>0.1</v>
      </c>
      <c r="G340" s="1746"/>
      <c r="H340" s="1747"/>
      <c r="I340" s="1764">
        <f>I339*F340</f>
        <v>228275.52949001623</v>
      </c>
    </row>
    <row r="341" spans="1:12" ht="14.25">
      <c r="B341" s="1540"/>
      <c r="C341" s="1541"/>
      <c r="D341" s="1541"/>
      <c r="E341" s="1757" t="s">
        <v>5681</v>
      </c>
      <c r="F341" s="1791"/>
      <c r="G341" s="1759"/>
      <c r="H341" s="1760"/>
      <c r="I341" s="1761">
        <f>SUM(I339:I340)</f>
        <v>2511030.8243901785</v>
      </c>
    </row>
    <row r="342" spans="1:12" ht="12.75">
      <c r="B342" s="1536"/>
      <c r="C342" s="1537"/>
      <c r="D342" s="1537"/>
      <c r="E342" s="1533" t="s">
        <v>5682</v>
      </c>
      <c r="F342" s="1535">
        <f>$N$5</f>
        <v>0.01</v>
      </c>
      <c r="G342" s="1538"/>
      <c r="H342" s="1532"/>
      <c r="I342" s="1534">
        <f>I341*F342</f>
        <v>25110.308243901785</v>
      </c>
    </row>
    <row r="343" spans="1:12" ht="14.25">
      <c r="B343" s="2104"/>
      <c r="C343" s="1543"/>
      <c r="D343" s="2105"/>
      <c r="E343" s="2106" t="s">
        <v>5683</v>
      </c>
      <c r="F343" s="2115"/>
      <c r="G343" s="2108"/>
      <c r="H343" s="2109"/>
      <c r="I343" s="2110">
        <f>ROUND(I341+I342,0)</f>
        <v>2536141</v>
      </c>
    </row>
    <row r="344" spans="1:12" ht="43.5" customHeight="1">
      <c r="A344" s="657">
        <v>1</v>
      </c>
      <c r="B344" s="1546">
        <f>IF(A344&lt;&gt;0,COUNTA(A$7:$A344),"")</f>
        <v>20</v>
      </c>
      <c r="C344" s="1547">
        <f>'8.Dgia'!C290</f>
        <v>1776</v>
      </c>
      <c r="D344" s="1547" t="str">
        <f>'8.Dgia'!D290</f>
        <v>AC.32113</v>
      </c>
      <c r="E344" s="1740" t="str">
        <f>'8.Dgia'!E290</f>
        <v>Khoan vào cát chặt trên cạn D1200 phản tuần hoàn, L&gt;30m, HS VL=1,2; HS nhân công, MTC=1.015*1.2</v>
      </c>
      <c r="F344" s="1789" t="str">
        <f>'8.Dgia'!G290</f>
        <v>m</v>
      </c>
      <c r="G344" s="1742">
        <f>'8.Dgia'!H290</f>
        <v>0</v>
      </c>
      <c r="H344" s="1743"/>
      <c r="I344" s="1743"/>
      <c r="J344" s="842">
        <f>+I345</f>
        <v>199890.32727272727</v>
      </c>
      <c r="K344" s="842">
        <f>+I349</f>
        <v>791413.42895999982</v>
      </c>
      <c r="L344" s="842">
        <f>+I350</f>
        <v>579769.43350544584</v>
      </c>
    </row>
    <row r="345" spans="1:12" s="658" customFormat="1" ht="15">
      <c r="B345" s="1536" t="str">
        <f>'8.Dgia'!B291</f>
        <v/>
      </c>
      <c r="C345" s="1537">
        <f>'8.Dgia'!C291</f>
        <v>0</v>
      </c>
      <c r="D345" s="1537" t="str">
        <f>'8.Dgia'!D291</f>
        <v>HS=1.2</v>
      </c>
      <c r="E345" s="1744" t="str">
        <f>'8.Dgia'!E291</f>
        <v xml:space="preserve">  A - Vật liệu</v>
      </c>
      <c r="F345" s="1763">
        <f>'8.Dgia'!G291</f>
        <v>0</v>
      </c>
      <c r="G345" s="1746">
        <f>'8.Dgia'!H291</f>
        <v>0</v>
      </c>
      <c r="H345" s="1747"/>
      <c r="I345" s="1748">
        <f>SUM(I346:I348)</f>
        <v>199890.32727272727</v>
      </c>
      <c r="J345" s="850"/>
      <c r="K345" s="850"/>
      <c r="L345" s="850"/>
    </row>
    <row r="346" spans="1:12" ht="15">
      <c r="B346" s="1536" t="str">
        <f>'8.Dgia'!B292</f>
        <v/>
      </c>
      <c r="C346" s="1537">
        <f>'8.Dgia'!C292</f>
        <v>0</v>
      </c>
      <c r="D346" s="1537">
        <f>'8.Dgia'!D292</f>
        <v>0</v>
      </c>
      <c r="E346" s="1749" t="str">
        <f>'8.Dgia'!E292</f>
        <v xml:space="preserve">Răng gầu hợp kim </v>
      </c>
      <c r="F346" s="1763" t="s">
        <v>567</v>
      </c>
      <c r="G346" s="1981">
        <f>'8.Dgia'!H292</f>
        <v>2.16</v>
      </c>
      <c r="H346" s="1747">
        <f>GVL!$I$154</f>
        <v>85000</v>
      </c>
      <c r="I346" s="1747">
        <f>H346*G346</f>
        <v>183600</v>
      </c>
    </row>
    <row r="347" spans="1:12" ht="15">
      <c r="B347" s="1536" t="str">
        <f>'8.Dgia'!B293</f>
        <v/>
      </c>
      <c r="C347" s="1537">
        <f>'8.Dgia'!C293</f>
        <v>0</v>
      </c>
      <c r="D347" s="1537">
        <f>'8.Dgia'!D293</f>
        <v>0</v>
      </c>
      <c r="E347" s="1749" t="str">
        <f>'8.Dgia'!E293</f>
        <v>Que hàn</v>
      </c>
      <c r="F347" s="1763" t="str">
        <f>'8.Dgia'!G293</f>
        <v>kg</v>
      </c>
      <c r="G347" s="1746">
        <f>'8.Dgia'!H293</f>
        <v>0.64800000000000002</v>
      </c>
      <c r="H347" s="1747">
        <f>GVL!$I$153</f>
        <v>19090.909090909088</v>
      </c>
      <c r="I347" s="1747">
        <f>H347*G347</f>
        <v>12370.90909090909</v>
      </c>
    </row>
    <row r="348" spans="1:12" ht="15">
      <c r="B348" s="1536" t="str">
        <f>'8.Dgia'!B294</f>
        <v/>
      </c>
      <c r="C348" s="1537">
        <f>'8.Dgia'!C294</f>
        <v>0</v>
      </c>
      <c r="D348" s="1537">
        <f>'8.Dgia'!D294</f>
        <v>0</v>
      </c>
      <c r="E348" s="1749" t="str">
        <f>'8.Dgia'!E294</f>
        <v>Vật liệu khác</v>
      </c>
      <c r="F348" s="1763" t="str">
        <f>'8.Dgia'!G294</f>
        <v>%</v>
      </c>
      <c r="G348" s="1954">
        <f>'8.Dgia'!H294</f>
        <v>2</v>
      </c>
      <c r="H348" s="1747">
        <f>SUM(I346:I347)</f>
        <v>195970.90909090909</v>
      </c>
      <c r="I348" s="1747">
        <f>H348*G348%</f>
        <v>3919.4181818181819</v>
      </c>
    </row>
    <row r="349" spans="1:12" s="658" customFormat="1" ht="24">
      <c r="B349" s="1536" t="str">
        <f>'8.Dgia'!B295</f>
        <v/>
      </c>
      <c r="C349" s="1537">
        <f>'8.Dgia'!C295</f>
        <v>0</v>
      </c>
      <c r="D349" s="1537" t="str">
        <f>'8.Dgia'!D295</f>
        <v>HS=1.015*1.2</v>
      </c>
      <c r="E349" s="1744" t="str">
        <f>'8.Dgia'!E295</f>
        <v xml:space="preserve">  B - Nhân công 4.0/7</v>
      </c>
      <c r="F349" s="1745" t="s">
        <v>552</v>
      </c>
      <c r="G349" s="1746">
        <f>'8.Dgia'!H295</f>
        <v>3.0815399999999995</v>
      </c>
      <c r="H349" s="1747">
        <f>'16.NC'!$H$18</f>
        <v>256824</v>
      </c>
      <c r="I349" s="1750">
        <f>H349*G349</f>
        <v>791413.42895999982</v>
      </c>
      <c r="J349" s="850"/>
      <c r="K349" s="850"/>
      <c r="L349" s="850"/>
    </row>
    <row r="350" spans="1:12" s="658" customFormat="1" ht="24">
      <c r="B350" s="1536" t="str">
        <f>'8.Dgia'!B296</f>
        <v/>
      </c>
      <c r="C350" s="1537">
        <f>'8.Dgia'!C296</f>
        <v>0</v>
      </c>
      <c r="D350" s="1537" t="str">
        <f>'8.Dgia'!D296</f>
        <v>HS=1.015*1.2</v>
      </c>
      <c r="E350" s="1744" t="str">
        <f>'8.Dgia'!E296</f>
        <v xml:space="preserve">  C - Máy thi công</v>
      </c>
      <c r="F350" s="1763">
        <f>'8.Dgia'!G296</f>
        <v>0</v>
      </c>
      <c r="G350" s="1746">
        <f>'8.Dgia'!H296</f>
        <v>0</v>
      </c>
      <c r="H350" s="1747"/>
      <c r="I350" s="1751">
        <f>SUM(I351:I353)</f>
        <v>579769.43350544584</v>
      </c>
      <c r="J350" s="850"/>
      <c r="K350" s="850"/>
      <c r="L350" s="850"/>
    </row>
    <row r="351" spans="1:12" ht="15">
      <c r="B351" s="1536" t="str">
        <f>'8.Dgia'!B297</f>
        <v/>
      </c>
      <c r="C351" s="1537">
        <f>'8.Dgia'!C297</f>
        <v>0</v>
      </c>
      <c r="D351" s="1537">
        <f>'8.Dgia'!D297</f>
        <v>0</v>
      </c>
      <c r="E351" s="1749" t="str">
        <f>'8.Dgia'!E297</f>
        <v>Máy khoan cọc nhồi TRC-15</v>
      </c>
      <c r="F351" s="1745" t="s">
        <v>5493</v>
      </c>
      <c r="G351" s="1746">
        <f>'8.Dgia'!H297</f>
        <v>3.6539999999999996E-2</v>
      </c>
      <c r="H351" s="1747">
        <f>'9.may'!$P$641</f>
        <v>12192731.640000001</v>
      </c>
      <c r="I351" s="1747">
        <f>H351*G351</f>
        <v>445522.41412559996</v>
      </c>
    </row>
    <row r="352" spans="1:12" ht="15">
      <c r="B352" s="1536" t="str">
        <f>'8.Dgia'!B298</f>
        <v/>
      </c>
      <c r="C352" s="1537">
        <f>'8.Dgia'!C298</f>
        <v>0</v>
      </c>
      <c r="D352" s="1537">
        <f>'8.Dgia'!D298</f>
        <v>0</v>
      </c>
      <c r="E352" s="1749" t="str">
        <f>'8.Dgia'!E298</f>
        <v>Cần cẩu bánh xích 30T</v>
      </c>
      <c r="F352" s="1745" t="s">
        <v>5493</v>
      </c>
      <c r="G352" s="1746">
        <f>'8.Dgia'!H298</f>
        <v>3.6539999999999996E-2</v>
      </c>
      <c r="H352" s="1747">
        <f>'9.may'!$P$249</f>
        <v>2918416.834090909</v>
      </c>
      <c r="I352" s="1747">
        <f>H352*G352</f>
        <v>106638.95111768181</v>
      </c>
    </row>
    <row r="353" spans="1:12" ht="15">
      <c r="B353" s="1536" t="str">
        <f>'8.Dgia'!B299</f>
        <v/>
      </c>
      <c r="C353" s="1537">
        <f>'8.Dgia'!C299</f>
        <v>0</v>
      </c>
      <c r="D353" s="1537">
        <f>'8.Dgia'!D299</f>
        <v>0</v>
      </c>
      <c r="E353" s="1749" t="str">
        <f>'8.Dgia'!E299</f>
        <v>Máy khác</v>
      </c>
      <c r="F353" s="1763" t="str">
        <f>'8.Dgia'!G299</f>
        <v>%</v>
      </c>
      <c r="G353" s="1954">
        <f>'8.Dgia'!H299</f>
        <v>5</v>
      </c>
      <c r="H353" s="1747">
        <f>SUM(I351:I352)</f>
        <v>552161.3652432817</v>
      </c>
      <c r="I353" s="1747">
        <f>H353*G353%</f>
        <v>27608.068262164088</v>
      </c>
    </row>
    <row r="354" spans="1:12" s="658" customFormat="1" ht="15">
      <c r="B354" s="1675"/>
      <c r="C354" s="1676"/>
      <c r="D354" s="1676"/>
      <c r="E354" s="1752" t="s">
        <v>5675</v>
      </c>
      <c r="F354" s="1763">
        <f>$J$5</f>
        <v>0.02</v>
      </c>
      <c r="G354" s="1754"/>
      <c r="H354" s="1755"/>
      <c r="I354" s="1756">
        <f>(I345+I349+I350)*F354</f>
        <v>31421.463794763462</v>
      </c>
      <c r="J354" s="850"/>
      <c r="K354" s="850"/>
      <c r="L354" s="850"/>
    </row>
    <row r="355" spans="1:12" ht="15">
      <c r="B355" s="1540"/>
      <c r="C355" s="1541"/>
      <c r="D355" s="1541"/>
      <c r="E355" s="1757" t="s">
        <v>5676</v>
      </c>
      <c r="F355" s="1763"/>
      <c r="G355" s="1759"/>
      <c r="H355" s="1760"/>
      <c r="I355" s="1761">
        <f>I354+I354/F354</f>
        <v>1602494.6535329365</v>
      </c>
    </row>
    <row r="356" spans="1:12" ht="15">
      <c r="B356" s="1536"/>
      <c r="C356" s="1537"/>
      <c r="D356" s="1537"/>
      <c r="E356" s="1762" t="s">
        <v>5677</v>
      </c>
      <c r="F356" s="1763">
        <f>$K$5</f>
        <v>5.5E-2</v>
      </c>
      <c r="G356" s="1746"/>
      <c r="H356" s="1747"/>
      <c r="I356" s="1764">
        <f>I355*F356</f>
        <v>88137.205944311499</v>
      </c>
    </row>
    <row r="357" spans="1:12" ht="15">
      <c r="B357" s="1536"/>
      <c r="C357" s="1537"/>
      <c r="D357" s="1537"/>
      <c r="E357" s="1762" t="s">
        <v>5678</v>
      </c>
      <c r="F357" s="1763">
        <f>$L$5</f>
        <v>0.06</v>
      </c>
      <c r="G357" s="1746"/>
      <c r="H357" s="1747"/>
      <c r="I357" s="1764">
        <f>SUM(I355:I356)*F357</f>
        <v>101437.91156863488</v>
      </c>
    </row>
    <row r="358" spans="1:12" ht="14.25">
      <c r="B358" s="1540"/>
      <c r="C358" s="1541"/>
      <c r="D358" s="1541"/>
      <c r="E358" s="1757" t="s">
        <v>5679</v>
      </c>
      <c r="F358" s="1791"/>
      <c r="G358" s="1759"/>
      <c r="H358" s="1760"/>
      <c r="I358" s="1761">
        <f>SUM(I355:I357)</f>
        <v>1792069.771045883</v>
      </c>
    </row>
    <row r="359" spans="1:12" ht="15">
      <c r="B359" s="1536"/>
      <c r="C359" s="1537"/>
      <c r="D359" s="1537"/>
      <c r="E359" s="1762" t="s">
        <v>5680</v>
      </c>
      <c r="F359" s="1765">
        <f>$M$5</f>
        <v>0.1</v>
      </c>
      <c r="G359" s="1746"/>
      <c r="H359" s="1747"/>
      <c r="I359" s="1764">
        <f>I358*F359</f>
        <v>179206.9771045883</v>
      </c>
    </row>
    <row r="360" spans="1:12" ht="14.25">
      <c r="B360" s="1540"/>
      <c r="C360" s="1541"/>
      <c r="D360" s="1541"/>
      <c r="E360" s="1757" t="s">
        <v>5681</v>
      </c>
      <c r="F360" s="1791"/>
      <c r="G360" s="1759"/>
      <c r="H360" s="1760"/>
      <c r="I360" s="1761">
        <f>SUM(I358:I359)</f>
        <v>1971276.7481504711</v>
      </c>
    </row>
    <row r="361" spans="1:12" ht="12.75">
      <c r="B361" s="1536"/>
      <c r="C361" s="1537"/>
      <c r="D361" s="1537"/>
      <c r="E361" s="1533" t="s">
        <v>5682</v>
      </c>
      <c r="F361" s="1535">
        <f>$N$5</f>
        <v>0.01</v>
      </c>
      <c r="G361" s="1538"/>
      <c r="H361" s="1532"/>
      <c r="I361" s="1534">
        <f>I360*F361</f>
        <v>19712.76748150471</v>
      </c>
    </row>
    <row r="362" spans="1:12" ht="14.25">
      <c r="B362" s="2104"/>
      <c r="C362" s="1543"/>
      <c r="D362" s="2105"/>
      <c r="E362" s="2106" t="s">
        <v>5683</v>
      </c>
      <c r="F362" s="2115"/>
      <c r="G362" s="2108"/>
      <c r="H362" s="2109"/>
      <c r="I362" s="2110">
        <f>ROUND(I360+I361,0)</f>
        <v>1990990</v>
      </c>
    </row>
    <row r="363" spans="1:12" ht="28.5">
      <c r="A363" s="657">
        <v>1</v>
      </c>
      <c r="B363" s="1546">
        <f>IF(A363&lt;&gt;0,COUNTA(A$7:$A363),"")</f>
        <v>21</v>
      </c>
      <c r="C363" s="1547">
        <f>'8.Dgia'!C300</f>
        <v>1776</v>
      </c>
      <c r="D363" s="1547" t="str">
        <f>'8.Dgia'!D300</f>
        <v>AC.32810</v>
      </c>
      <c r="E363" s="1740" t="str">
        <f>'8.Dgia'!E300</f>
        <v>Bơm dung dịch Bentônít lỗ khoan trên cạn</v>
      </c>
      <c r="F363" s="1789" t="str">
        <f>'8.Dgia'!G300</f>
        <v>m3</v>
      </c>
      <c r="G363" s="1742">
        <f>'8.Dgia'!H300</f>
        <v>0</v>
      </c>
      <c r="H363" s="1743"/>
      <c r="I363" s="1743"/>
      <c r="J363" s="842">
        <f>+I364</f>
        <v>227738</v>
      </c>
      <c r="K363" s="842">
        <f>+I368</f>
        <v>148957.91999999998</v>
      </c>
      <c r="L363" s="842">
        <f>+I369</f>
        <v>97653.903627272724</v>
      </c>
    </row>
    <row r="364" spans="1:12" s="658" customFormat="1" ht="15">
      <c r="B364" s="1536" t="str">
        <f>'8.Dgia'!B301</f>
        <v/>
      </c>
      <c r="C364" s="1537">
        <f>'8.Dgia'!C301</f>
        <v>0</v>
      </c>
      <c r="D364" s="1537">
        <f>'8.Dgia'!D301</f>
        <v>0</v>
      </c>
      <c r="E364" s="1744" t="str">
        <f>'8.Dgia'!E301</f>
        <v xml:space="preserve">  A - Vật liệu</v>
      </c>
      <c r="F364" s="1763">
        <f>'8.Dgia'!G301</f>
        <v>0</v>
      </c>
      <c r="G364" s="1746">
        <f>'8.Dgia'!H301</f>
        <v>0</v>
      </c>
      <c r="H364" s="1747"/>
      <c r="I364" s="1748">
        <f>SUM(I365:I367)</f>
        <v>227738</v>
      </c>
      <c r="J364" s="850"/>
      <c r="K364" s="850"/>
      <c r="L364" s="850"/>
    </row>
    <row r="365" spans="1:12" ht="15">
      <c r="B365" s="1536" t="str">
        <f>'8.Dgia'!B302</f>
        <v/>
      </c>
      <c r="C365" s="1537">
        <f>'8.Dgia'!C302</f>
        <v>0</v>
      </c>
      <c r="D365" s="1537">
        <f>'8.Dgia'!D302</f>
        <v>0</v>
      </c>
      <c r="E365" s="1749" t="str">
        <f>'8.Dgia'!E302</f>
        <v>Ben tô nít</v>
      </c>
      <c r="F365" s="1763" t="str">
        <f>'8.Dgia'!G302</f>
        <v>kg</v>
      </c>
      <c r="G365" s="1981">
        <f>'8.Dgia'!H302</f>
        <v>39.26</v>
      </c>
      <c r="H365" s="1747">
        <f>GVL!$I$11</f>
        <v>3300</v>
      </c>
      <c r="I365" s="1747">
        <f>H365*G365</f>
        <v>129558</v>
      </c>
    </row>
    <row r="366" spans="1:12" ht="15">
      <c r="B366" s="1536" t="str">
        <f>'8.Dgia'!B303</f>
        <v/>
      </c>
      <c r="C366" s="1537">
        <f>'8.Dgia'!C303</f>
        <v>0</v>
      </c>
      <c r="D366" s="1537">
        <f>'8.Dgia'!D303</f>
        <v>0</v>
      </c>
      <c r="E366" s="1749" t="str">
        <f>'8.Dgia'!E303</f>
        <v>Phụ gia CMC</v>
      </c>
      <c r="F366" s="1763" t="str">
        <f>'8.Dgia'!G303</f>
        <v>kg</v>
      </c>
      <c r="G366" s="1981">
        <f>'8.Dgia'!H303</f>
        <v>1.91</v>
      </c>
      <c r="H366" s="1747">
        <f>GVL!$I$151</f>
        <v>49999.999999999993</v>
      </c>
      <c r="I366" s="1747">
        <f>H366*G366</f>
        <v>95499.999999999985</v>
      </c>
    </row>
    <row r="367" spans="1:12" ht="15">
      <c r="B367" s="1536" t="str">
        <f>'8.Dgia'!B304</f>
        <v/>
      </c>
      <c r="C367" s="1537">
        <f>'8.Dgia'!C304</f>
        <v>0</v>
      </c>
      <c r="D367" s="1537">
        <f>'8.Dgia'!D304</f>
        <v>0</v>
      </c>
      <c r="E367" s="1749" t="str">
        <f>'8.Dgia'!E304</f>
        <v>Nước</v>
      </c>
      <c r="F367" s="1763" t="str">
        <f>'8.Dgia'!G304</f>
        <v>m3</v>
      </c>
      <c r="G367" s="1981">
        <f>'8.Dgia'!H304</f>
        <v>0.67</v>
      </c>
      <c r="H367" s="1747">
        <f>GVL!$I$129</f>
        <v>4000</v>
      </c>
      <c r="I367" s="1747">
        <f>H367*G367</f>
        <v>2680</v>
      </c>
    </row>
    <row r="368" spans="1:12" s="658" customFormat="1" ht="15">
      <c r="B368" s="1536" t="str">
        <f>'8.Dgia'!B306</f>
        <v/>
      </c>
      <c r="C368" s="1537">
        <f>'8.Dgia'!C306</f>
        <v>0</v>
      </c>
      <c r="D368" s="1537">
        <f>'8.Dgia'!D306</f>
        <v>0</v>
      </c>
      <c r="E368" s="1744" t="str">
        <f>'8.Dgia'!E306</f>
        <v xml:space="preserve">  B - Nhân công 4.0/7</v>
      </c>
      <c r="F368" s="1745" t="s">
        <v>552</v>
      </c>
      <c r="G368" s="1981">
        <f>'8.Dgia'!H306</f>
        <v>0.57999999999999996</v>
      </c>
      <c r="H368" s="1747">
        <f>'16.NC'!$H$18</f>
        <v>256824</v>
      </c>
      <c r="I368" s="1750">
        <f>H368*G368</f>
        <v>148957.91999999998</v>
      </c>
      <c r="J368" s="850"/>
      <c r="K368" s="850"/>
      <c r="L368" s="850"/>
    </row>
    <row r="369" spans="1:12" s="658" customFormat="1" ht="15">
      <c r="B369" s="1536" t="str">
        <f>'8.Dgia'!B307</f>
        <v/>
      </c>
      <c r="C369" s="1537">
        <f>'8.Dgia'!C307</f>
        <v>0</v>
      </c>
      <c r="D369" s="1537">
        <f>'8.Dgia'!D307</f>
        <v>0</v>
      </c>
      <c r="E369" s="1744" t="str">
        <f>'8.Dgia'!E307</f>
        <v xml:space="preserve">  C - Máy thi công</v>
      </c>
      <c r="F369" s="1763">
        <f>'8.Dgia'!G307</f>
        <v>0</v>
      </c>
      <c r="G369" s="1981">
        <f>'8.Dgia'!H307</f>
        <v>0</v>
      </c>
      <c r="H369" s="1747"/>
      <c r="I369" s="1751">
        <f>SUM(I370:I372)</f>
        <v>97653.903627272724</v>
      </c>
      <c r="J369" s="850"/>
      <c r="K369" s="850"/>
      <c r="L369" s="850"/>
    </row>
    <row r="370" spans="1:12" ht="15">
      <c r="B370" s="1536" t="str">
        <f>'8.Dgia'!B308</f>
        <v/>
      </c>
      <c r="C370" s="1537">
        <f>'8.Dgia'!C308</f>
        <v>0</v>
      </c>
      <c r="D370" s="1537">
        <f>'8.Dgia'!D308</f>
        <v>0</v>
      </c>
      <c r="E370" s="1749" t="str">
        <f>'8.Dgia'!E308</f>
        <v>Máy trộn dung dịch</v>
      </c>
      <c r="F370" s="1745" t="s">
        <v>5493</v>
      </c>
      <c r="G370" s="1981">
        <f>'8.Dgia'!H308</f>
        <v>0.05</v>
      </c>
      <c r="H370" s="1747">
        <f>'9.may'!$P$646</f>
        <v>93463.65</v>
      </c>
      <c r="I370" s="1747">
        <f>H370*G370</f>
        <v>4673.1824999999999</v>
      </c>
    </row>
    <row r="371" spans="1:12" ht="15">
      <c r="B371" s="1536" t="str">
        <f>'8.Dgia'!B309</f>
        <v/>
      </c>
      <c r="C371" s="1537">
        <f>'8.Dgia'!C309</f>
        <v>0</v>
      </c>
      <c r="D371" s="1537">
        <f>'8.Dgia'!D309</f>
        <v>0</v>
      </c>
      <c r="E371" s="1749" t="str">
        <f>'8.Dgia'!E309</f>
        <v>Máy sàng rung</v>
      </c>
      <c r="F371" s="1745" t="s">
        <v>5493</v>
      </c>
      <c r="G371" s="1981">
        <f>'8.Dgia'!H309</f>
        <v>0.05</v>
      </c>
      <c r="H371" s="1747">
        <f>'9.may'!$P$649</f>
        <v>293007.10800000001</v>
      </c>
      <c r="I371" s="1747">
        <f>H371*G371</f>
        <v>14650.3554</v>
      </c>
    </row>
    <row r="372" spans="1:12" ht="15">
      <c r="B372" s="1536" t="str">
        <f>'8.Dgia'!B310</f>
        <v/>
      </c>
      <c r="C372" s="1537">
        <f>'8.Dgia'!C310</f>
        <v>0</v>
      </c>
      <c r="D372" s="1537">
        <f>'8.Dgia'!D310</f>
        <v>0</v>
      </c>
      <c r="E372" s="1749" t="str">
        <f>'8.Dgia'!E310</f>
        <v>Máy bơm nước 37CV (200m3/h)</v>
      </c>
      <c r="F372" s="1745" t="s">
        <v>5493</v>
      </c>
      <c r="G372" s="1981">
        <f>'8.Dgia'!H310</f>
        <v>0.05</v>
      </c>
      <c r="H372" s="1747">
        <f>'9.may'!$P$445</f>
        <v>1566607.3145454545</v>
      </c>
      <c r="I372" s="1747">
        <f>H372*G372</f>
        <v>78330.365727272729</v>
      </c>
    </row>
    <row r="373" spans="1:12" s="658" customFormat="1" ht="15">
      <c r="B373" s="1675"/>
      <c r="C373" s="1676"/>
      <c r="D373" s="1676"/>
      <c r="E373" s="1752" t="s">
        <v>5675</v>
      </c>
      <c r="F373" s="1763">
        <f>$J$5</f>
        <v>0.02</v>
      </c>
      <c r="G373" s="1754"/>
      <c r="H373" s="1755"/>
      <c r="I373" s="1756">
        <f>( I364+I368+I369 )*F373</f>
        <v>9486.9964725454556</v>
      </c>
      <c r="J373" s="850"/>
      <c r="K373" s="850"/>
      <c r="L373" s="850"/>
    </row>
    <row r="374" spans="1:12" ht="15">
      <c r="B374" s="1540"/>
      <c r="C374" s="1541"/>
      <c r="D374" s="1541"/>
      <c r="E374" s="1757" t="s">
        <v>5676</v>
      </c>
      <c r="F374" s="1763"/>
      <c r="G374" s="1759"/>
      <c r="H374" s="1760"/>
      <c r="I374" s="1761">
        <f>I373+I373/F373</f>
        <v>483836.82009981823</v>
      </c>
    </row>
    <row r="375" spans="1:12" ht="15">
      <c r="B375" s="1536"/>
      <c r="C375" s="1537"/>
      <c r="D375" s="1537"/>
      <c r="E375" s="1762" t="s">
        <v>5677</v>
      </c>
      <c r="F375" s="1763">
        <f>$K$5</f>
        <v>5.5E-2</v>
      </c>
      <c r="G375" s="1746"/>
      <c r="H375" s="1747"/>
      <c r="I375" s="1764">
        <f>I374*F375</f>
        <v>26611.025105490004</v>
      </c>
    </row>
    <row r="376" spans="1:12" ht="15">
      <c r="B376" s="1536"/>
      <c r="C376" s="1537"/>
      <c r="D376" s="1537"/>
      <c r="E376" s="1762" t="s">
        <v>5678</v>
      </c>
      <c r="F376" s="1763">
        <f>$L$5</f>
        <v>0.06</v>
      </c>
      <c r="G376" s="1746"/>
      <c r="H376" s="1747"/>
      <c r="I376" s="1764">
        <f>SUM(I374:I375)*F376</f>
        <v>30626.870712318494</v>
      </c>
    </row>
    <row r="377" spans="1:12" ht="14.25">
      <c r="B377" s="1540"/>
      <c r="C377" s="1541"/>
      <c r="D377" s="1541"/>
      <c r="E377" s="1757" t="s">
        <v>5679</v>
      </c>
      <c r="F377" s="1791"/>
      <c r="G377" s="1759"/>
      <c r="H377" s="1760"/>
      <c r="I377" s="1761">
        <f>SUM(I374:I376)</f>
        <v>541074.71591762675</v>
      </c>
    </row>
    <row r="378" spans="1:12" ht="15">
      <c r="B378" s="1536"/>
      <c r="C378" s="1537"/>
      <c r="D378" s="1537"/>
      <c r="E378" s="1762" t="s">
        <v>5680</v>
      </c>
      <c r="F378" s="1765">
        <f>$M$5</f>
        <v>0.1</v>
      </c>
      <c r="G378" s="1746"/>
      <c r="H378" s="1747"/>
      <c r="I378" s="1764">
        <f>I377*F378</f>
        <v>54107.471591762675</v>
      </c>
    </row>
    <row r="379" spans="1:12" ht="14.25">
      <c r="B379" s="1540"/>
      <c r="C379" s="1541"/>
      <c r="D379" s="1541"/>
      <c r="E379" s="1757" t="s">
        <v>5681</v>
      </c>
      <c r="F379" s="1791"/>
      <c r="G379" s="1759"/>
      <c r="H379" s="1760"/>
      <c r="I379" s="1761">
        <f>SUM(I377:I378)</f>
        <v>595182.18750938936</v>
      </c>
    </row>
    <row r="380" spans="1:12" ht="12.75">
      <c r="B380" s="1536"/>
      <c r="C380" s="1537"/>
      <c r="D380" s="1537"/>
      <c r="E380" s="1533" t="s">
        <v>5682</v>
      </c>
      <c r="F380" s="1535">
        <f>$N$5</f>
        <v>0.01</v>
      </c>
      <c r="G380" s="1538"/>
      <c r="H380" s="1532"/>
      <c r="I380" s="1534">
        <f>I379*F380</f>
        <v>5951.8218750938941</v>
      </c>
    </row>
    <row r="381" spans="1:12" ht="14.25">
      <c r="B381" s="2104"/>
      <c r="C381" s="1543"/>
      <c r="D381" s="2105"/>
      <c r="E381" s="2106" t="s">
        <v>5683</v>
      </c>
      <c r="F381" s="2115"/>
      <c r="G381" s="2108"/>
      <c r="H381" s="2109"/>
      <c r="I381" s="2110">
        <f>ROUND(I379+I380,0)</f>
        <v>601134</v>
      </c>
    </row>
    <row r="382" spans="1:12" ht="28.5">
      <c r="A382" s="657">
        <v>1</v>
      </c>
      <c r="B382" s="1546">
        <f>IF(A382&lt;&gt;0,COUNTA(A$7:$A382),"")</f>
        <v>22</v>
      </c>
      <c r="C382" s="1547">
        <f>'8.Dgia'!C312</f>
        <v>1776</v>
      </c>
      <c r="D382" s="1547" t="str">
        <f>'8.Dgia'!D312</f>
        <v>AC.34524</v>
      </c>
      <c r="E382" s="1740" t="str">
        <f>'8.Dgia'!E312</f>
        <v xml:space="preserve">Lắp dựng ống vách cọc khoan nhồi trên cạn D&lt;=1500 </v>
      </c>
      <c r="F382" s="1789" t="str">
        <f>'8.Dgia'!G312</f>
        <v>m</v>
      </c>
      <c r="G382" s="1742">
        <f>'8.Dgia'!H312</f>
        <v>0</v>
      </c>
      <c r="H382" s="1743"/>
      <c r="I382" s="1743"/>
      <c r="J382" s="842">
        <f>+I383</f>
        <v>63761.042192891065</v>
      </c>
      <c r="K382" s="842">
        <f>+I386</f>
        <v>1453623.84</v>
      </c>
      <c r="L382" s="842">
        <f>+I387</f>
        <v>325781.42952272727</v>
      </c>
    </row>
    <row r="383" spans="1:12" s="658" customFormat="1" ht="15">
      <c r="B383" s="1536" t="str">
        <f>'8.Dgia'!B313</f>
        <v/>
      </c>
      <c r="C383" s="1537">
        <f>'8.Dgia'!C313</f>
        <v>0</v>
      </c>
      <c r="D383" s="1537">
        <f>'8.Dgia'!D313</f>
        <v>0</v>
      </c>
      <c r="E383" s="1744" t="str">
        <f>'8.Dgia'!E313</f>
        <v xml:space="preserve">  A - Vật liệu</v>
      </c>
      <c r="F383" s="1763">
        <f>'8.Dgia'!G313</f>
        <v>0</v>
      </c>
      <c r="G383" s="1746">
        <f>'8.Dgia'!H313</f>
        <v>0</v>
      </c>
      <c r="H383" s="1747"/>
      <c r="I383" s="1748">
        <f>SUM(I384:I385)</f>
        <v>63761.042192891065</v>
      </c>
      <c r="J383" s="850"/>
      <c r="K383" s="850"/>
      <c r="L383" s="850"/>
    </row>
    <row r="384" spans="1:12" ht="15">
      <c r="B384" s="1536" t="str">
        <f>'8.Dgia'!B314</f>
        <v/>
      </c>
      <c r="C384" s="1537">
        <f>'8.Dgia'!C314</f>
        <v>0</v>
      </c>
      <c r="D384" s="1537" t="s">
        <v>5869</v>
      </c>
      <c r="E384" s="1749" t="str">
        <f>'8.Dgia'!E314</f>
        <v>Thép hình</v>
      </c>
      <c r="F384" s="1763" t="str">
        <f>'8.Dgia'!G314</f>
        <v>kg</v>
      </c>
      <c r="G384" s="1954">
        <f>'8.Dgia'!H314</f>
        <v>2</v>
      </c>
      <c r="H384" s="1747">
        <f>GVL!$I$170</f>
        <v>16703.248369172808</v>
      </c>
      <c r="I384" s="1747">
        <f>H384*G384</f>
        <v>33406.496738345617</v>
      </c>
    </row>
    <row r="385" spans="1:12" ht="15">
      <c r="B385" s="1536" t="str">
        <f>'8.Dgia'!B315</f>
        <v/>
      </c>
      <c r="C385" s="1537">
        <f>'8.Dgia'!C315</f>
        <v>0</v>
      </c>
      <c r="D385" s="1537">
        <f>'8.Dgia'!D315</f>
        <v>0</v>
      </c>
      <c r="E385" s="1749" t="str">
        <f>'8.Dgia'!E315</f>
        <v>Que hàn</v>
      </c>
      <c r="F385" s="1763" t="str">
        <f>'8.Dgia'!G315</f>
        <v>kg</v>
      </c>
      <c r="G385" s="1746">
        <f>'8.Dgia'!H315</f>
        <v>1.59</v>
      </c>
      <c r="H385" s="1747">
        <f>GVL!$I$153</f>
        <v>19090.909090909088</v>
      </c>
      <c r="I385" s="1747">
        <f>H385*G385</f>
        <v>30354.545454545452</v>
      </c>
    </row>
    <row r="386" spans="1:12" s="658" customFormat="1" ht="15">
      <c r="B386" s="1536" t="str">
        <f>'8.Dgia'!B317</f>
        <v/>
      </c>
      <c r="C386" s="1537">
        <f>'8.Dgia'!C317</f>
        <v>0</v>
      </c>
      <c r="D386" s="1537">
        <f>'8.Dgia'!D317</f>
        <v>0</v>
      </c>
      <c r="E386" s="1744" t="str">
        <f>'8.Dgia'!E317</f>
        <v xml:space="preserve">  B - Nhân công 4.0/7</v>
      </c>
      <c r="F386" s="1745" t="s">
        <v>552</v>
      </c>
      <c r="G386" s="1954">
        <v>5.66</v>
      </c>
      <c r="H386" s="1747">
        <f>'16.NC'!$H$18</f>
        <v>256824</v>
      </c>
      <c r="I386" s="1750">
        <f>H386*G386</f>
        <v>1453623.84</v>
      </c>
      <c r="J386" s="850"/>
      <c r="K386" s="850"/>
      <c r="L386" s="850"/>
    </row>
    <row r="387" spans="1:12" s="658" customFormat="1" ht="15">
      <c r="B387" s="1536" t="str">
        <f>'8.Dgia'!B318</f>
        <v/>
      </c>
      <c r="C387" s="1537">
        <f>'8.Dgia'!C318</f>
        <v>0</v>
      </c>
      <c r="D387" s="1537">
        <f>'8.Dgia'!D318</f>
        <v>0</v>
      </c>
      <c r="E387" s="1744" t="str">
        <f>'8.Dgia'!E318</f>
        <v xml:space="preserve">  C - Máy thi công</v>
      </c>
      <c r="F387" s="1763">
        <f>'8.Dgia'!G318</f>
        <v>0</v>
      </c>
      <c r="G387" s="1746">
        <f>'8.Dgia'!H318</f>
        <v>0</v>
      </c>
      <c r="H387" s="1747"/>
      <c r="I387" s="1751">
        <f>SUM(I388:I389)</f>
        <v>325781.42952272727</v>
      </c>
      <c r="J387" s="850"/>
      <c r="K387" s="850"/>
      <c r="L387" s="850"/>
    </row>
    <row r="388" spans="1:12" ht="15">
      <c r="B388" s="1536" t="str">
        <f>'8.Dgia'!B319</f>
        <v/>
      </c>
      <c r="C388" s="1537">
        <f>'8.Dgia'!C319</f>
        <v>0</v>
      </c>
      <c r="D388" s="1537">
        <f>'8.Dgia'!D319</f>
        <v>0</v>
      </c>
      <c r="E388" s="1749" t="str">
        <f>'8.Dgia'!E319</f>
        <v>Cần cẩu bánh xích 25T</v>
      </c>
      <c r="F388" s="1745" t="s">
        <v>5493</v>
      </c>
      <c r="G388" s="1746">
        <f>'8.Dgia'!H319</f>
        <v>7.4999999999999997E-2</v>
      </c>
      <c r="H388" s="1747">
        <f>'9.may'!$P$248</f>
        <v>2787996.6736363638</v>
      </c>
      <c r="I388" s="1747">
        <f>H388*G388</f>
        <v>209099.75052272729</v>
      </c>
    </row>
    <row r="389" spans="1:12" ht="15">
      <c r="B389" s="1536" t="str">
        <f>'8.Dgia'!B320</f>
        <v/>
      </c>
      <c r="C389" s="1537">
        <f>'8.Dgia'!C320</f>
        <v>0</v>
      </c>
      <c r="D389" s="1537">
        <f>'8.Dgia'!D320</f>
        <v>0</v>
      </c>
      <c r="E389" s="1749" t="str">
        <f>'8.Dgia'!E320</f>
        <v>Búa rung 170kW</v>
      </c>
      <c r="F389" s="1745" t="s">
        <v>5493</v>
      </c>
      <c r="G389" s="1746">
        <f>'8.Dgia'!H320</f>
        <v>7.4999999999999997E-2</v>
      </c>
      <c r="H389" s="1747">
        <f>'9.may'!$P$627</f>
        <v>1555755.72</v>
      </c>
      <c r="I389" s="1747">
        <f>H389*G389</f>
        <v>116681.67899999999</v>
      </c>
    </row>
    <row r="390" spans="1:12" s="658" customFormat="1" ht="15">
      <c r="B390" s="1675"/>
      <c r="C390" s="1676"/>
      <c r="D390" s="1676"/>
      <c r="E390" s="1752" t="s">
        <v>5675</v>
      </c>
      <c r="F390" s="1763">
        <f>$J$5</f>
        <v>0.02</v>
      </c>
      <c r="G390" s="1754"/>
      <c r="H390" s="1755"/>
      <c r="I390" s="1756">
        <f>( I383+I386+I387 )*F390</f>
        <v>36863.326234312364</v>
      </c>
      <c r="J390" s="850"/>
      <c r="K390" s="850"/>
      <c r="L390" s="850"/>
    </row>
    <row r="391" spans="1:12" ht="15">
      <c r="B391" s="1540"/>
      <c r="C391" s="1541"/>
      <c r="D391" s="1541"/>
      <c r="E391" s="1757" t="s">
        <v>5676</v>
      </c>
      <c r="F391" s="1763"/>
      <c r="G391" s="1759"/>
      <c r="H391" s="1760"/>
      <c r="I391" s="1761">
        <f>I390+I390/F390</f>
        <v>1880029.6379499305</v>
      </c>
    </row>
    <row r="392" spans="1:12" ht="15">
      <c r="B392" s="1536"/>
      <c r="C392" s="1537"/>
      <c r="D392" s="1537"/>
      <c r="E392" s="1762" t="s">
        <v>5677</v>
      </c>
      <c r="F392" s="1763">
        <f>$K$5</f>
        <v>5.5E-2</v>
      </c>
      <c r="G392" s="1746"/>
      <c r="H392" s="1747"/>
      <c r="I392" s="1764">
        <f>I391*F392</f>
        <v>103401.63008724617</v>
      </c>
    </row>
    <row r="393" spans="1:12" ht="15">
      <c r="B393" s="1536"/>
      <c r="C393" s="1537"/>
      <c r="D393" s="1537"/>
      <c r="E393" s="1762" t="s">
        <v>5678</v>
      </c>
      <c r="F393" s="1763">
        <f>$L$5</f>
        <v>0.06</v>
      </c>
      <c r="G393" s="1746"/>
      <c r="H393" s="1747"/>
      <c r="I393" s="1764">
        <f>SUM(I391:I392)*F393</f>
        <v>119005.87608223059</v>
      </c>
    </row>
    <row r="394" spans="1:12" ht="14.25">
      <c r="B394" s="1540"/>
      <c r="C394" s="1541"/>
      <c r="D394" s="1541"/>
      <c r="E394" s="1757" t="s">
        <v>5679</v>
      </c>
      <c r="F394" s="1791"/>
      <c r="G394" s="1759"/>
      <c r="H394" s="1760"/>
      <c r="I394" s="1761">
        <f>SUM(I391:I393)</f>
        <v>2102437.1441194071</v>
      </c>
    </row>
    <row r="395" spans="1:12" ht="15">
      <c r="B395" s="1536"/>
      <c r="C395" s="1537"/>
      <c r="D395" s="1537"/>
      <c r="E395" s="1762" t="s">
        <v>5680</v>
      </c>
      <c r="F395" s="1765">
        <f>$M$5</f>
        <v>0.1</v>
      </c>
      <c r="G395" s="1746"/>
      <c r="H395" s="1747"/>
      <c r="I395" s="1764">
        <f>I394*F395</f>
        <v>210243.71441194072</v>
      </c>
    </row>
    <row r="396" spans="1:12" ht="14.25">
      <c r="B396" s="1540"/>
      <c r="C396" s="1541"/>
      <c r="D396" s="1541"/>
      <c r="E396" s="1757" t="s">
        <v>5681</v>
      </c>
      <c r="F396" s="1791"/>
      <c r="G396" s="1759"/>
      <c r="H396" s="1760"/>
      <c r="I396" s="1761">
        <f>SUM(I394:I395)</f>
        <v>2312680.8585313479</v>
      </c>
    </row>
    <row r="397" spans="1:12" ht="12.75">
      <c r="B397" s="1536"/>
      <c r="C397" s="1537"/>
      <c r="D397" s="1537"/>
      <c r="E397" s="1533" t="s">
        <v>5682</v>
      </c>
      <c r="F397" s="1535">
        <f>$N$5</f>
        <v>0.01</v>
      </c>
      <c r="G397" s="1538"/>
      <c r="H397" s="1532"/>
      <c r="I397" s="1534">
        <f>I396*F397</f>
        <v>23126.80858531348</v>
      </c>
    </row>
    <row r="398" spans="1:12" ht="14.25">
      <c r="B398" s="2104"/>
      <c r="C398" s="1543"/>
      <c r="D398" s="2105"/>
      <c r="E398" s="2106" t="s">
        <v>5683</v>
      </c>
      <c r="F398" s="2115"/>
      <c r="G398" s="2108"/>
      <c r="H398" s="2109"/>
      <c r="I398" s="2110">
        <f>ROUND(I396+I397,0)</f>
        <v>2335808</v>
      </c>
    </row>
    <row r="399" spans="1:12" ht="28.5">
      <c r="A399" s="657">
        <v>1</v>
      </c>
      <c r="B399" s="1546">
        <f>IF(A399&lt;&gt;0,COUNTA(A$7:$A399),"")</f>
        <v>23</v>
      </c>
      <c r="C399" s="1547">
        <f>'8.Dgia'!C322</f>
        <v>1776</v>
      </c>
      <c r="D399" s="1547" t="str">
        <f>'8.Dgia'!D322</f>
        <v>AC.34523</v>
      </c>
      <c r="E399" s="1740" t="str">
        <f>'8.Dgia'!E322</f>
        <v xml:space="preserve">Lắp dựng ống vách cọc khoan nhồi trên cạn D&lt;=1300 </v>
      </c>
      <c r="F399" s="1789" t="str">
        <f>'8.Dgia'!G322</f>
        <v>m</v>
      </c>
      <c r="G399" s="1742">
        <f>'8.Dgia'!H322</f>
        <v>0</v>
      </c>
      <c r="H399" s="1743"/>
      <c r="I399" s="1743"/>
      <c r="J399" s="842">
        <f>+I400</f>
        <v>56077.340409411947</v>
      </c>
      <c r="K399" s="842">
        <f>+I403</f>
        <v>1155708</v>
      </c>
      <c r="L399" s="842">
        <f>+I404</f>
        <v>304062.66755454551</v>
      </c>
    </row>
    <row r="400" spans="1:12" s="658" customFormat="1" ht="15">
      <c r="B400" s="1536" t="str">
        <f>'8.Dgia'!B323</f>
        <v/>
      </c>
      <c r="C400" s="1537">
        <f>'8.Dgia'!C323</f>
        <v>0</v>
      </c>
      <c r="D400" s="1537">
        <f>'8.Dgia'!D323</f>
        <v>0</v>
      </c>
      <c r="E400" s="1744" t="str">
        <f>'8.Dgia'!E323</f>
        <v xml:space="preserve">  A - Vật liệu</v>
      </c>
      <c r="F400" s="1763">
        <f>'8.Dgia'!G323</f>
        <v>0</v>
      </c>
      <c r="G400" s="1746">
        <f>'8.Dgia'!H323</f>
        <v>0</v>
      </c>
      <c r="H400" s="1747"/>
      <c r="I400" s="1748">
        <f>SUM(I401:I402)</f>
        <v>56077.340409411947</v>
      </c>
      <c r="J400" s="850"/>
      <c r="K400" s="850"/>
      <c r="L400" s="850"/>
    </row>
    <row r="401" spans="1:12" ht="15">
      <c r="B401" s="1536" t="str">
        <f>'8.Dgia'!B324</f>
        <v/>
      </c>
      <c r="C401" s="1537">
        <f>'8.Dgia'!C324</f>
        <v>0</v>
      </c>
      <c r="D401" s="1537">
        <f>'8.Dgia'!D324</f>
        <v>0</v>
      </c>
      <c r="E401" s="1749" t="str">
        <f>'8.Dgia'!E324</f>
        <v>Thép hình</v>
      </c>
      <c r="F401" s="1763" t="str">
        <f>'8.Dgia'!G324</f>
        <v>kg</v>
      </c>
      <c r="G401" s="1954">
        <f>'8.Dgia'!H324</f>
        <v>1.7</v>
      </c>
      <c r="H401" s="1747">
        <f>GVL!$I$170</f>
        <v>16703.248369172808</v>
      </c>
      <c r="I401" s="1747">
        <f>H401*G401</f>
        <v>28395.522227593774</v>
      </c>
    </row>
    <row r="402" spans="1:12" ht="15">
      <c r="B402" s="1536" t="str">
        <f>'8.Dgia'!B325</f>
        <v/>
      </c>
      <c r="C402" s="1537">
        <f>'8.Dgia'!C325</f>
        <v>0</v>
      </c>
      <c r="D402" s="1537">
        <f>'8.Dgia'!D325</f>
        <v>0</v>
      </c>
      <c r="E402" s="1749" t="str">
        <f>'8.Dgia'!E325</f>
        <v>Que hàn</v>
      </c>
      <c r="F402" s="1763" t="str">
        <f>'8.Dgia'!G325</f>
        <v>kg</v>
      </c>
      <c r="G402" s="1954">
        <f>'8.Dgia'!H325</f>
        <v>1.45</v>
      </c>
      <c r="H402" s="1747">
        <f>GVL!$I$153</f>
        <v>19090.909090909088</v>
      </c>
      <c r="I402" s="1747">
        <f>H402*G402</f>
        <v>27681.818181818177</v>
      </c>
    </row>
    <row r="403" spans="1:12" s="658" customFormat="1" ht="15">
      <c r="B403" s="1536" t="str">
        <f>'8.Dgia'!B327</f>
        <v/>
      </c>
      <c r="C403" s="1537">
        <f>'8.Dgia'!C327</f>
        <v>0</v>
      </c>
      <c r="D403" s="1537">
        <f>'8.Dgia'!D327</f>
        <v>0</v>
      </c>
      <c r="E403" s="1744" t="str">
        <f>'8.Dgia'!E327</f>
        <v xml:space="preserve">  B - Nhân công 4.0/7</v>
      </c>
      <c r="F403" s="1745" t="s">
        <v>552</v>
      </c>
      <c r="G403" s="1954">
        <v>4.5</v>
      </c>
      <c r="H403" s="1747">
        <f>'16.NC'!$H$18</f>
        <v>256824</v>
      </c>
      <c r="I403" s="1750">
        <f>H403*G403</f>
        <v>1155708</v>
      </c>
      <c r="J403" s="850"/>
      <c r="K403" s="850"/>
      <c r="L403" s="850"/>
    </row>
    <row r="404" spans="1:12" s="658" customFormat="1" ht="15">
      <c r="B404" s="1536" t="str">
        <f>'8.Dgia'!B328</f>
        <v/>
      </c>
      <c r="C404" s="1537">
        <f>'8.Dgia'!C328</f>
        <v>0</v>
      </c>
      <c r="D404" s="1537">
        <f>'8.Dgia'!D328</f>
        <v>0</v>
      </c>
      <c r="E404" s="1744" t="str">
        <f>'8.Dgia'!E328</f>
        <v xml:space="preserve">  C - Máy thi công</v>
      </c>
      <c r="F404" s="1763">
        <f>'8.Dgia'!G328</f>
        <v>0</v>
      </c>
      <c r="G404" s="1954">
        <f>'8.Dgia'!H328</f>
        <v>0</v>
      </c>
      <c r="H404" s="1747"/>
      <c r="I404" s="1751">
        <f>SUM(I405:I406)</f>
        <v>304062.66755454551</v>
      </c>
      <c r="J404" s="850"/>
      <c r="K404" s="850"/>
      <c r="L404" s="850"/>
    </row>
    <row r="405" spans="1:12" ht="15">
      <c r="B405" s="1536" t="str">
        <f>'8.Dgia'!B329</f>
        <v/>
      </c>
      <c r="C405" s="1537">
        <f>'8.Dgia'!C329</f>
        <v>0</v>
      </c>
      <c r="D405" s="1537">
        <f>'8.Dgia'!D329</f>
        <v>0</v>
      </c>
      <c r="E405" s="1749" t="str">
        <f>'8.Dgia'!E329</f>
        <v>Cần cẩu bánh xích 25T</v>
      </c>
      <c r="F405" s="1745" t="s">
        <v>5493</v>
      </c>
      <c r="G405" s="1954">
        <f>'8.Dgia'!H329</f>
        <v>7.0000000000000007E-2</v>
      </c>
      <c r="H405" s="1747">
        <f>'9.may'!$P$248</f>
        <v>2787996.6736363638</v>
      </c>
      <c r="I405" s="1747">
        <f>H405*G405</f>
        <v>195159.76715454549</v>
      </c>
    </row>
    <row r="406" spans="1:12" ht="15">
      <c r="B406" s="1536" t="str">
        <f>'8.Dgia'!B330</f>
        <v/>
      </c>
      <c r="C406" s="1537">
        <f>'8.Dgia'!C330</f>
        <v>0</v>
      </c>
      <c r="D406" s="1537">
        <f>'8.Dgia'!D330</f>
        <v>0</v>
      </c>
      <c r="E406" s="1749" t="str">
        <f>'8.Dgia'!E330</f>
        <v>Búa rung 170kW</v>
      </c>
      <c r="F406" s="1745" t="s">
        <v>5493</v>
      </c>
      <c r="G406" s="1954">
        <f>'8.Dgia'!H330</f>
        <v>7.0000000000000007E-2</v>
      </c>
      <c r="H406" s="1747">
        <f>'9.may'!$P$627</f>
        <v>1555755.72</v>
      </c>
      <c r="I406" s="1747">
        <f>H406*G406</f>
        <v>108902.90040000001</v>
      </c>
    </row>
    <row r="407" spans="1:12" s="658" customFormat="1" ht="15">
      <c r="B407" s="1675"/>
      <c r="C407" s="1676"/>
      <c r="D407" s="1676"/>
      <c r="E407" s="1752" t="s">
        <v>5675</v>
      </c>
      <c r="F407" s="1763">
        <f>$J$5</f>
        <v>0.02</v>
      </c>
      <c r="G407" s="1754"/>
      <c r="H407" s="1755"/>
      <c r="I407" s="1756">
        <f>( I400+I403+I404 )*F407</f>
        <v>30316.960159279151</v>
      </c>
      <c r="J407" s="850"/>
      <c r="K407" s="850"/>
      <c r="L407" s="850"/>
    </row>
    <row r="408" spans="1:12" ht="15">
      <c r="B408" s="1540"/>
      <c r="C408" s="1541"/>
      <c r="D408" s="1541"/>
      <c r="E408" s="1757" t="s">
        <v>5676</v>
      </c>
      <c r="F408" s="1763"/>
      <c r="G408" s="1759"/>
      <c r="H408" s="1760"/>
      <c r="I408" s="1761">
        <f>I407+I407/F407</f>
        <v>1546164.9681232367</v>
      </c>
    </row>
    <row r="409" spans="1:12" ht="15">
      <c r="B409" s="1536"/>
      <c r="C409" s="1537"/>
      <c r="D409" s="1537"/>
      <c r="E409" s="1762" t="s">
        <v>5677</v>
      </c>
      <c r="F409" s="1763">
        <f>$K$5</f>
        <v>5.5E-2</v>
      </c>
      <c r="G409" s="1746"/>
      <c r="H409" s="1747"/>
      <c r="I409" s="1764">
        <f>I408*F409</f>
        <v>85039.073246778018</v>
      </c>
    </row>
    <row r="410" spans="1:12" ht="15">
      <c r="B410" s="1536"/>
      <c r="C410" s="1537"/>
      <c r="D410" s="1537"/>
      <c r="E410" s="1762" t="s">
        <v>5678</v>
      </c>
      <c r="F410" s="1763">
        <f>$L$5</f>
        <v>0.06</v>
      </c>
      <c r="G410" s="1746"/>
      <c r="H410" s="1747"/>
      <c r="I410" s="1764">
        <f>SUM(I408:I409)*F410</f>
        <v>97872.242482200876</v>
      </c>
    </row>
    <row r="411" spans="1:12" ht="14.25">
      <c r="B411" s="1540"/>
      <c r="C411" s="1541"/>
      <c r="D411" s="1541"/>
      <c r="E411" s="1757" t="s">
        <v>5679</v>
      </c>
      <c r="F411" s="1791"/>
      <c r="G411" s="1759"/>
      <c r="H411" s="1760"/>
      <c r="I411" s="1761">
        <f>SUM(I408:I410)</f>
        <v>1729076.2838522156</v>
      </c>
    </row>
    <row r="412" spans="1:12" ht="15">
      <c r="B412" s="1536"/>
      <c r="C412" s="1537"/>
      <c r="D412" s="1537"/>
      <c r="E412" s="1762" t="s">
        <v>5680</v>
      </c>
      <c r="F412" s="1765">
        <f>$M$5</f>
        <v>0.1</v>
      </c>
      <c r="G412" s="1746"/>
      <c r="H412" s="1747"/>
      <c r="I412" s="1764">
        <f>I411*F412</f>
        <v>172907.62838522159</v>
      </c>
    </row>
    <row r="413" spans="1:12" ht="14.25">
      <c r="B413" s="1540"/>
      <c r="C413" s="1541"/>
      <c r="D413" s="1541"/>
      <c r="E413" s="1757" t="s">
        <v>5681</v>
      </c>
      <c r="F413" s="1791"/>
      <c r="G413" s="1759"/>
      <c r="H413" s="1760"/>
      <c r="I413" s="1761">
        <f>SUM(I411:I412)</f>
        <v>1901983.9122374372</v>
      </c>
    </row>
    <row r="414" spans="1:12" ht="12.75">
      <c r="B414" s="1536"/>
      <c r="C414" s="1537"/>
      <c r="D414" s="1537"/>
      <c r="E414" s="1533" t="s">
        <v>5682</v>
      </c>
      <c r="F414" s="1535">
        <f>$N$5</f>
        <v>0.01</v>
      </c>
      <c r="G414" s="1538"/>
      <c r="H414" s="1532"/>
      <c r="I414" s="1534">
        <f>I413*F414</f>
        <v>19019.839122374371</v>
      </c>
    </row>
    <row r="415" spans="1:12" ht="14.25">
      <c r="B415" s="2104"/>
      <c r="C415" s="1543"/>
      <c r="D415" s="2105"/>
      <c r="E415" s="2106" t="s">
        <v>5683</v>
      </c>
      <c r="F415" s="2115"/>
      <c r="G415" s="2108"/>
      <c r="H415" s="2109"/>
      <c r="I415" s="2110">
        <f>ROUND(I413+I414,0)</f>
        <v>1921004</v>
      </c>
    </row>
    <row r="416" spans="1:12" ht="28.5">
      <c r="A416" s="657">
        <v>1</v>
      </c>
      <c r="B416" s="1546">
        <f>IF(A416&lt;&gt;0,COUNTA(A$7:$A416),"")</f>
        <v>24</v>
      </c>
      <c r="C416" s="1547">
        <f>'8.Dgia'!C354</f>
        <v>1776</v>
      </c>
      <c r="D416" s="1547" t="str">
        <f>'8.Dgia'!D354</f>
        <v>AF.35120</v>
      </c>
      <c r="E416" s="1740" t="str">
        <f>'8.Dgia'!E354</f>
        <v>Bê tông C30 cọc khoan nhồi trên cạn D&gt;1000</v>
      </c>
      <c r="F416" s="1789" t="str">
        <f>'8.Dgia'!G354</f>
        <v>m3</v>
      </c>
      <c r="G416" s="1742">
        <f>'8.Dgia'!H354</f>
        <v>0</v>
      </c>
      <c r="H416" s="1743"/>
      <c r="I416" s="1743"/>
      <c r="J416" s="842">
        <f>+I417</f>
        <v>1318683.9359744368</v>
      </c>
      <c r="K416" s="842">
        <f>+I421</f>
        <v>219308.88</v>
      </c>
      <c r="L416" s="842">
        <f>+I422</f>
        <v>222567.60888981819</v>
      </c>
    </row>
    <row r="417" spans="2:12" ht="15">
      <c r="B417" s="1536" t="str">
        <f>'8.Dgia'!B355</f>
        <v/>
      </c>
      <c r="C417" s="1537">
        <f>'8.Dgia'!C355</f>
        <v>0</v>
      </c>
      <c r="D417" s="1537">
        <f>'8.Dgia'!D355</f>
        <v>0</v>
      </c>
      <c r="E417" s="1744" t="str">
        <f>'8.Dgia'!E355</f>
        <v xml:space="preserve">  A - Vật liệu</v>
      </c>
      <c r="F417" s="1763">
        <f>'8.Dgia'!G355</f>
        <v>0</v>
      </c>
      <c r="G417" s="1746">
        <f>'8.Dgia'!H355</f>
        <v>0</v>
      </c>
      <c r="H417" s="1747"/>
      <c r="I417" s="1748">
        <f>SUM(I418:I420)</f>
        <v>1318683.9359744368</v>
      </c>
      <c r="J417" s="850"/>
      <c r="K417" s="850"/>
      <c r="L417" s="850"/>
    </row>
    <row r="418" spans="2:12" ht="15">
      <c r="B418" s="1536" t="str">
        <f>'8.Dgia'!B356</f>
        <v/>
      </c>
      <c r="C418" s="1537">
        <f>'8.Dgia'!C356</f>
        <v>0</v>
      </c>
      <c r="D418" s="1537" t="str">
        <f>'8.Dgia'!D356</f>
        <v>C3326</v>
      </c>
      <c r="E418" s="1749" t="str">
        <f>'8.Dgia'!E356</f>
        <v>Vữa bê tông đá 1x2 C30 SN 14-17</v>
      </c>
      <c r="F418" s="1763" t="str">
        <f>'8.Dgia'!G356</f>
        <v>m3</v>
      </c>
      <c r="G418" s="1746">
        <f>'8.Dgia'!H356</f>
        <v>1.1499999999999999</v>
      </c>
      <c r="H418" s="1747">
        <f>GVL!$I$197</f>
        <v>1130771.6239684112</v>
      </c>
      <c r="I418" s="1747">
        <f>H418*G418</f>
        <v>1300387.3675636728</v>
      </c>
    </row>
    <row r="419" spans="2:12" ht="15">
      <c r="B419" s="1536" t="str">
        <f>'8.Dgia'!B357</f>
        <v/>
      </c>
      <c r="C419" s="1537">
        <f>'8.Dgia'!C357</f>
        <v>0</v>
      </c>
      <c r="D419" s="1537">
        <f>'8.Dgia'!D357</f>
        <v>0</v>
      </c>
      <c r="E419" s="1749" t="str">
        <f>'8.Dgia'!E357</f>
        <v xml:space="preserve">Ống đổ D300 </v>
      </c>
      <c r="F419" s="1763" t="str">
        <f>'8.Dgia'!G357</f>
        <v>m</v>
      </c>
      <c r="G419" s="1746">
        <f>'8.Dgia'!H357</f>
        <v>1.9E-2</v>
      </c>
      <c r="H419" s="1747">
        <f>GVL!$I$131</f>
        <v>140000</v>
      </c>
      <c r="I419" s="1747">
        <f>H419*G419</f>
        <v>2660</v>
      </c>
    </row>
    <row r="420" spans="2:12" ht="15">
      <c r="B420" s="1536" t="str">
        <f>'8.Dgia'!B358</f>
        <v/>
      </c>
      <c r="C420" s="1537">
        <f>'8.Dgia'!C358</f>
        <v>0</v>
      </c>
      <c r="D420" s="1537">
        <f>'8.Dgia'!D358</f>
        <v>0</v>
      </c>
      <c r="E420" s="1749" t="str">
        <f>'8.Dgia'!E358</f>
        <v>Vật liệu khác</v>
      </c>
      <c r="F420" s="1763" t="str">
        <f>'8.Dgia'!G358</f>
        <v>%</v>
      </c>
      <c r="G420" s="1954">
        <f>'8.Dgia'!H358</f>
        <v>1.2</v>
      </c>
      <c r="H420" s="1747">
        <f>SUM(I418:I419)</f>
        <v>1303047.3675636728</v>
      </c>
      <c r="I420" s="1747">
        <f>H420*G420%</f>
        <v>15636.568410764074</v>
      </c>
    </row>
    <row r="421" spans="2:12" ht="15">
      <c r="B421" s="1536" t="str">
        <f>'8.Dgia'!B359</f>
        <v/>
      </c>
      <c r="C421" s="1537">
        <f>'8.Dgia'!C359</f>
        <v>0</v>
      </c>
      <c r="D421" s="1537">
        <f>'8.Dgia'!D359</f>
        <v>0</v>
      </c>
      <c r="E421" s="1744" t="str">
        <f>'8.Dgia'!E359</f>
        <v xml:space="preserve">  B - Nhân công 3.5/7</v>
      </c>
      <c r="F421" s="1745" t="s">
        <v>552</v>
      </c>
      <c r="G421" s="1746">
        <f>'8.Dgia'!H359</f>
        <v>0.93</v>
      </c>
      <c r="H421" s="1747">
        <f>'16.NC'!$H$16</f>
        <v>235816</v>
      </c>
      <c r="I421" s="1750">
        <f>H421*G421</f>
        <v>219308.88</v>
      </c>
      <c r="J421" s="850"/>
      <c r="K421" s="850"/>
      <c r="L421" s="850"/>
    </row>
    <row r="422" spans="2:12" ht="15">
      <c r="B422" s="1536" t="str">
        <f>'8.Dgia'!B360</f>
        <v/>
      </c>
      <c r="C422" s="1537">
        <f>'8.Dgia'!C360</f>
        <v>0</v>
      </c>
      <c r="D422" s="1537">
        <f>'8.Dgia'!D360</f>
        <v>0</v>
      </c>
      <c r="E422" s="1744" t="str">
        <f>'8.Dgia'!E360</f>
        <v xml:space="preserve">  C - Máy thi công</v>
      </c>
      <c r="F422" s="1763">
        <f>'8.Dgia'!G360</f>
        <v>0</v>
      </c>
      <c r="G422" s="1746">
        <f>'8.Dgia'!H360</f>
        <v>0</v>
      </c>
      <c r="H422" s="1747"/>
      <c r="I422" s="1751">
        <f>SUM(I423:I425)</f>
        <v>222567.60888981819</v>
      </c>
      <c r="J422" s="850"/>
      <c r="K422" s="850"/>
      <c r="L422" s="850"/>
    </row>
    <row r="423" spans="2:12" ht="15">
      <c r="B423" s="1536" t="str">
        <f>'8.Dgia'!B361</f>
        <v/>
      </c>
      <c r="C423" s="1537">
        <f>'8.Dgia'!C361</f>
        <v>0</v>
      </c>
      <c r="D423" s="1537">
        <f>'8.Dgia'!D361</f>
        <v>0</v>
      </c>
      <c r="E423" s="1749" t="str">
        <f>'8.Dgia'!E361</f>
        <v>Cần cẩu bánh xích 25T</v>
      </c>
      <c r="F423" s="1745" t="s">
        <v>5493</v>
      </c>
      <c r="G423" s="1746">
        <f>'8.Dgia'!H361</f>
        <v>3.5000000000000003E-2</v>
      </c>
      <c r="H423" s="1747">
        <f>'9.may'!$P$248</f>
        <v>2787996.6736363638</v>
      </c>
      <c r="I423" s="1747">
        <f>H423*G423</f>
        <v>97579.883577272747</v>
      </c>
    </row>
    <row r="424" spans="2:12" ht="15">
      <c r="B424" s="1536" t="str">
        <f>'8.Dgia'!B362</f>
        <v/>
      </c>
      <c r="C424" s="1537">
        <f>'8.Dgia'!C362</f>
        <v>0</v>
      </c>
      <c r="D424" s="1537">
        <f>'8.Dgia'!D362</f>
        <v>0</v>
      </c>
      <c r="E424" s="1749" t="str">
        <f>'8.Dgia'!E362</f>
        <v>Máy bơm BT 50m3/h</v>
      </c>
      <c r="F424" s="1745" t="s">
        <v>5493</v>
      </c>
      <c r="G424" s="1746">
        <f>'8.Dgia'!H362</f>
        <v>3.5000000000000003E-2</v>
      </c>
      <c r="H424" s="1747">
        <f>'9.may'!$P$362</f>
        <v>3446390.13</v>
      </c>
      <c r="I424" s="1747">
        <f>H424*G424</f>
        <v>120623.65455000001</v>
      </c>
    </row>
    <row r="425" spans="2:12" ht="15">
      <c r="B425" s="1536" t="str">
        <f>'8.Dgia'!B363</f>
        <v/>
      </c>
      <c r="C425" s="1537">
        <f>'8.Dgia'!C363</f>
        <v>0</v>
      </c>
      <c r="D425" s="1537">
        <f>'8.Dgia'!D363</f>
        <v>0</v>
      </c>
      <c r="E425" s="1749" t="str">
        <f>'8.Dgia'!E363</f>
        <v>Máy khác</v>
      </c>
      <c r="F425" s="1763" t="str">
        <f>'8.Dgia'!G363</f>
        <v>%</v>
      </c>
      <c r="G425" s="1954">
        <f>'8.Dgia'!H363</f>
        <v>2</v>
      </c>
      <c r="H425" s="1747">
        <f>SUM(I423:I424)</f>
        <v>218203.53812727274</v>
      </c>
      <c r="I425" s="1747">
        <f>H425*G425%</f>
        <v>4364.0707625454552</v>
      </c>
    </row>
    <row r="426" spans="2:12" s="658" customFormat="1" ht="15">
      <c r="B426" s="1675"/>
      <c r="C426" s="1676"/>
      <c r="D426" s="1676"/>
      <c r="E426" s="1752" t="s">
        <v>5675</v>
      </c>
      <c r="F426" s="1763">
        <f>$J$5</f>
        <v>0.02</v>
      </c>
      <c r="G426" s="1754"/>
      <c r="H426" s="1755"/>
      <c r="I426" s="1756">
        <f>( I417+I421+I422 )*F426</f>
        <v>35211.208497285101</v>
      </c>
      <c r="J426" s="850"/>
      <c r="K426" s="850"/>
      <c r="L426" s="850"/>
    </row>
    <row r="427" spans="2:12" ht="15">
      <c r="B427" s="1540"/>
      <c r="C427" s="1541"/>
      <c r="D427" s="1541"/>
      <c r="E427" s="1757" t="s">
        <v>5676</v>
      </c>
      <c r="F427" s="1763"/>
      <c r="G427" s="1759"/>
      <c r="H427" s="1760"/>
      <c r="I427" s="1761">
        <f>I426+I426/F426</f>
        <v>1795771.63336154</v>
      </c>
    </row>
    <row r="428" spans="2:12" ht="15">
      <c r="B428" s="1536"/>
      <c r="C428" s="1537"/>
      <c r="D428" s="1537"/>
      <c r="E428" s="1762" t="s">
        <v>5677</v>
      </c>
      <c r="F428" s="1763">
        <f>$K$5</f>
        <v>5.5E-2</v>
      </c>
      <c r="G428" s="1746"/>
      <c r="H428" s="1747"/>
      <c r="I428" s="1764">
        <f>I427*F428</f>
        <v>98767.439834884703</v>
      </c>
    </row>
    <row r="429" spans="2:12" ht="15">
      <c r="B429" s="1536"/>
      <c r="C429" s="1537"/>
      <c r="D429" s="1537"/>
      <c r="E429" s="1762" t="s">
        <v>5678</v>
      </c>
      <c r="F429" s="1763">
        <f>$L$5</f>
        <v>0.06</v>
      </c>
      <c r="G429" s="1746"/>
      <c r="H429" s="1747"/>
      <c r="I429" s="1764">
        <f>SUM(I427:I428)*F429</f>
        <v>113672.34439178547</v>
      </c>
    </row>
    <row r="430" spans="2:12" ht="14.25">
      <c r="B430" s="1540"/>
      <c r="C430" s="1541"/>
      <c r="D430" s="1541"/>
      <c r="E430" s="1757" t="s">
        <v>5679</v>
      </c>
      <c r="F430" s="1791"/>
      <c r="G430" s="1759"/>
      <c r="H430" s="1760"/>
      <c r="I430" s="1761">
        <f>SUM(I427:I429)</f>
        <v>2008211.4175882102</v>
      </c>
    </row>
    <row r="431" spans="2:12" ht="15">
      <c r="B431" s="1536"/>
      <c r="C431" s="1537"/>
      <c r="D431" s="1537"/>
      <c r="E431" s="1762" t="s">
        <v>5680</v>
      </c>
      <c r="F431" s="1765">
        <f>$M$5</f>
        <v>0.1</v>
      </c>
      <c r="G431" s="1746"/>
      <c r="H431" s="1747"/>
      <c r="I431" s="1764">
        <f>I430*F431</f>
        <v>200821.14175882103</v>
      </c>
    </row>
    <row r="432" spans="2:12" ht="14.25">
      <c r="B432" s="1540"/>
      <c r="C432" s="1541"/>
      <c r="D432" s="1541"/>
      <c r="E432" s="1757" t="s">
        <v>5681</v>
      </c>
      <c r="F432" s="1791"/>
      <c r="G432" s="1759"/>
      <c r="H432" s="1760"/>
      <c r="I432" s="1761">
        <f>SUM(I430:I431)</f>
        <v>2209032.5593470312</v>
      </c>
    </row>
    <row r="433" spans="1:12" ht="12.75">
      <c r="B433" s="1536"/>
      <c r="C433" s="1537"/>
      <c r="D433" s="1537"/>
      <c r="E433" s="1533" t="s">
        <v>5682</v>
      </c>
      <c r="F433" s="1535">
        <f>$N$5</f>
        <v>0.01</v>
      </c>
      <c r="G433" s="1538"/>
      <c r="H433" s="1532"/>
      <c r="I433" s="1534">
        <f>I432*F433</f>
        <v>22090.325593470312</v>
      </c>
    </row>
    <row r="434" spans="1:12" ht="14.25">
      <c r="B434" s="2104"/>
      <c r="C434" s="1543"/>
      <c r="D434" s="2105"/>
      <c r="E434" s="2106" t="s">
        <v>5683</v>
      </c>
      <c r="F434" s="2115"/>
      <c r="G434" s="2108"/>
      <c r="H434" s="2109"/>
      <c r="I434" s="2110">
        <f>ROUND(I432+I433,0)</f>
        <v>2231123</v>
      </c>
    </row>
    <row r="435" spans="1:12" ht="18.75" customHeight="1">
      <c r="A435" s="657">
        <v>1</v>
      </c>
      <c r="B435" s="1546">
        <f>IF(A435&lt;&gt;0,COUNTA(A$7:$A435),"")</f>
        <v>25</v>
      </c>
      <c r="C435" s="1547">
        <f>'8.Dgia'!C364</f>
        <v>1776</v>
      </c>
      <c r="D435" s="1547" t="str">
        <f>'8.Dgia'!D364</f>
        <v>AF.67110</v>
      </c>
      <c r="E435" s="1740" t="str">
        <f>'8.Dgia'!E364</f>
        <v>Cốt thép D&lt;=18 cọc khoan nhồi trên cạn</v>
      </c>
      <c r="F435" s="1789" t="s">
        <v>557</v>
      </c>
      <c r="G435" s="1742">
        <f>'8.Dgia'!H364</f>
        <v>0</v>
      </c>
      <c r="H435" s="1743"/>
      <c r="I435" s="1743"/>
      <c r="J435" s="842">
        <f>+I436</f>
        <v>17550902.418639272</v>
      </c>
      <c r="K435" s="842">
        <f>+I441</f>
        <v>3158935.2</v>
      </c>
      <c r="L435" s="842">
        <f>+I442</f>
        <v>794941.4569227274</v>
      </c>
    </row>
    <row r="436" spans="1:12" s="658" customFormat="1" ht="15">
      <c r="B436" s="1536" t="str">
        <f>'8.Dgia'!B365</f>
        <v/>
      </c>
      <c r="C436" s="1537">
        <f>'8.Dgia'!C365</f>
        <v>0</v>
      </c>
      <c r="D436" s="1537">
        <f>'8.Dgia'!D365</f>
        <v>0</v>
      </c>
      <c r="E436" s="1744" t="str">
        <f>'8.Dgia'!E365</f>
        <v xml:space="preserve">  A - Vật liệu</v>
      </c>
      <c r="F436" s="1763">
        <f>'8.Dgia'!G365</f>
        <v>0</v>
      </c>
      <c r="G436" s="1746">
        <f>'8.Dgia'!H365</f>
        <v>0</v>
      </c>
      <c r="H436" s="1747"/>
      <c r="I436" s="1748">
        <f>SUM(I437:I440)</f>
        <v>17550902.418639272</v>
      </c>
      <c r="J436" s="850"/>
      <c r="K436" s="850"/>
      <c r="L436" s="850"/>
    </row>
    <row r="437" spans="1:12" ht="15">
      <c r="B437" s="1536" t="str">
        <f>'8.Dgia'!B366</f>
        <v/>
      </c>
      <c r="C437" s="1537">
        <f>'8.Dgia'!C366</f>
        <v>0</v>
      </c>
      <c r="D437" s="1537">
        <f>'8.Dgia'!D366</f>
        <v>0</v>
      </c>
      <c r="E437" s="1749" t="str">
        <f>'8.Dgia'!E366</f>
        <v>Thép tròn D&lt;=18</v>
      </c>
      <c r="F437" s="1763" t="str">
        <f>'8.Dgia'!G366</f>
        <v>kg</v>
      </c>
      <c r="G437" s="1982">
        <f>'8.Dgia'!H366</f>
        <v>1020</v>
      </c>
      <c r="H437" s="1747">
        <f>GVL!$I$180</f>
        <v>16604.075560000001</v>
      </c>
      <c r="I437" s="1747">
        <f>H437*G437</f>
        <v>16936157.071200002</v>
      </c>
    </row>
    <row r="438" spans="1:12" ht="15">
      <c r="B438" s="1536" t="str">
        <f>'8.Dgia'!B367</f>
        <v/>
      </c>
      <c r="C438" s="1537">
        <f>'8.Dgia'!C367</f>
        <v>0</v>
      </c>
      <c r="D438" s="1537">
        <f>'8.Dgia'!D367</f>
        <v>0</v>
      </c>
      <c r="E438" s="1749" t="str">
        <f>'8.Dgia'!E367</f>
        <v>Dây thép buộc</v>
      </c>
      <c r="F438" s="1763" t="str">
        <f>'8.Dgia'!G367</f>
        <v>kg</v>
      </c>
      <c r="G438" s="1746">
        <f>'8.Dgia'!H367</f>
        <v>14.28</v>
      </c>
      <c r="H438" s="1747">
        <f>GVL!$I$89</f>
        <v>18180</v>
      </c>
      <c r="I438" s="1747">
        <f>H438*G438</f>
        <v>259610.4</v>
      </c>
    </row>
    <row r="439" spans="1:12" ht="15">
      <c r="B439" s="1536" t="str">
        <f>'8.Dgia'!B368</f>
        <v/>
      </c>
      <c r="C439" s="1537">
        <f>'8.Dgia'!C368</f>
        <v>0</v>
      </c>
      <c r="D439" s="1537">
        <f>'8.Dgia'!D368</f>
        <v>0</v>
      </c>
      <c r="E439" s="1749" t="str">
        <f>'8.Dgia'!E368</f>
        <v>Que hàn</v>
      </c>
      <c r="F439" s="1763" t="str">
        <f>'8.Dgia'!G368</f>
        <v>kg</v>
      </c>
      <c r="G439" s="1746">
        <f>'8.Dgia'!H368</f>
        <v>9.5</v>
      </c>
      <c r="H439" s="1747">
        <f>GVL!$I$153</f>
        <v>19090.909090909088</v>
      </c>
      <c r="I439" s="1747">
        <f>H439*G439</f>
        <v>181363.63636363635</v>
      </c>
    </row>
    <row r="440" spans="1:12" ht="15">
      <c r="B440" s="1536" t="str">
        <f>'8.Dgia'!B369</f>
        <v/>
      </c>
      <c r="C440" s="1537">
        <f>'8.Dgia'!C369</f>
        <v>0</v>
      </c>
      <c r="D440" s="1537">
        <f>'8.Dgia'!D369</f>
        <v>0</v>
      </c>
      <c r="E440" s="1749" t="str">
        <f>'8.Dgia'!E369</f>
        <v>Vật liệu khác</v>
      </c>
      <c r="F440" s="1763" t="str">
        <f>'8.Dgia'!G369</f>
        <v>%</v>
      </c>
      <c r="G440" s="1954">
        <f>'8.Dgia'!H369</f>
        <v>1</v>
      </c>
      <c r="H440" s="1747">
        <f>SUM(I437:I439)</f>
        <v>17377131.107563637</v>
      </c>
      <c r="I440" s="1747">
        <f>H440*G440%</f>
        <v>173771.31107563639</v>
      </c>
    </row>
    <row r="441" spans="1:12" s="658" customFormat="1" ht="15">
      <c r="B441" s="1536" t="str">
        <f>'8.Dgia'!B370</f>
        <v/>
      </c>
      <c r="C441" s="1537">
        <f>'8.Dgia'!C370</f>
        <v>0</v>
      </c>
      <c r="D441" s="1537">
        <f>'8.Dgia'!D370</f>
        <v>0</v>
      </c>
      <c r="E441" s="1744" t="str">
        <f>'8.Dgia'!E370</f>
        <v xml:space="preserve">  B - Nhân công 4.0/7</v>
      </c>
      <c r="F441" s="1745" t="s">
        <v>552</v>
      </c>
      <c r="G441" s="1954">
        <f>'8.Dgia'!H370</f>
        <v>12.3</v>
      </c>
      <c r="H441" s="1747">
        <f>'16.NC'!$H$18</f>
        <v>256824</v>
      </c>
      <c r="I441" s="1750">
        <f>H441*G441</f>
        <v>3158935.2</v>
      </c>
      <c r="J441" s="850"/>
      <c r="K441" s="850"/>
      <c r="L441" s="850"/>
    </row>
    <row r="442" spans="1:12" s="658" customFormat="1" ht="15">
      <c r="B442" s="1536" t="str">
        <f>'8.Dgia'!B371</f>
        <v/>
      </c>
      <c r="C442" s="1537">
        <f>'8.Dgia'!C371</f>
        <v>0</v>
      </c>
      <c r="D442" s="1537">
        <f>'8.Dgia'!D371</f>
        <v>0</v>
      </c>
      <c r="E442" s="1744" t="str">
        <f>'8.Dgia'!E371</f>
        <v xml:space="preserve">  C - Máy thi công</v>
      </c>
      <c r="F442" s="1763">
        <f>'8.Dgia'!G371</f>
        <v>0</v>
      </c>
      <c r="G442" s="1746">
        <f>'8.Dgia'!H371</f>
        <v>0</v>
      </c>
      <c r="H442" s="1747"/>
      <c r="I442" s="1751">
        <f>SUM(I443:I445)</f>
        <v>794941.4569227274</v>
      </c>
      <c r="J442" s="850"/>
      <c r="K442" s="850"/>
      <c r="L442" s="850"/>
    </row>
    <row r="443" spans="1:12" ht="15">
      <c r="B443" s="1536" t="str">
        <f>'8.Dgia'!B372</f>
        <v/>
      </c>
      <c r="C443" s="1537">
        <f>'8.Dgia'!C372</f>
        <v>0</v>
      </c>
      <c r="D443" s="1537">
        <f>'8.Dgia'!D372</f>
        <v>0</v>
      </c>
      <c r="E443" s="1749" t="str">
        <f>'8.Dgia'!E372</f>
        <v>Máy hàn 23kw</v>
      </c>
      <c r="F443" s="1745" t="s">
        <v>5493</v>
      </c>
      <c r="G443" s="1746">
        <f>'8.Dgia'!H372</f>
        <v>2.37</v>
      </c>
      <c r="H443" s="1747">
        <f>'9.may'!$P$510</f>
        <v>171649.155</v>
      </c>
      <c r="I443" s="1747">
        <f>H443*G443</f>
        <v>406808.49735000002</v>
      </c>
    </row>
    <row r="444" spans="1:12" ht="15">
      <c r="B444" s="1536" t="str">
        <f>'8.Dgia'!B373</f>
        <v/>
      </c>
      <c r="C444" s="1537">
        <f>'8.Dgia'!C373</f>
        <v>0</v>
      </c>
      <c r="D444" s="1537">
        <f>'8.Dgia'!D373</f>
        <v>0</v>
      </c>
      <c r="E444" s="1749" t="str">
        <f>'8.Dgia'!E373</f>
        <v>Máy cắt uốn</v>
      </c>
      <c r="F444" s="1745" t="s">
        <v>5493</v>
      </c>
      <c r="G444" s="1746">
        <f>'8.Dgia'!H373</f>
        <v>0.32</v>
      </c>
      <c r="H444" s="1747">
        <f>'9.may'!$P$557</f>
        <v>80291.850000000006</v>
      </c>
      <c r="I444" s="1747">
        <f>H444*G444</f>
        <v>25693.392000000003</v>
      </c>
    </row>
    <row r="445" spans="1:12" ht="15">
      <c r="B445" s="1536" t="str">
        <f>'8.Dgia'!B374</f>
        <v/>
      </c>
      <c r="C445" s="1537">
        <f>'8.Dgia'!C374</f>
        <v>0</v>
      </c>
      <c r="D445" s="1537">
        <f>'8.Dgia'!D374</f>
        <v>0</v>
      </c>
      <c r="E445" s="1749" t="str">
        <f>'8.Dgia'!E374</f>
        <v>Cần cẩu bánh xích 25T</v>
      </c>
      <c r="F445" s="1745" t="s">
        <v>5493</v>
      </c>
      <c r="G445" s="1746">
        <f>'8.Dgia'!H374</f>
        <v>0.13</v>
      </c>
      <c r="H445" s="1747">
        <f>'9.may'!$P$248</f>
        <v>2787996.6736363638</v>
      </c>
      <c r="I445" s="1747">
        <f>H445*G445</f>
        <v>362439.56757272733</v>
      </c>
    </row>
    <row r="446" spans="1:12" s="658" customFormat="1" ht="15">
      <c r="B446" s="1675"/>
      <c r="C446" s="1676"/>
      <c r="D446" s="1676"/>
      <c r="E446" s="1752" t="s">
        <v>5675</v>
      </c>
      <c r="F446" s="1763">
        <f>$J$5</f>
        <v>0.02</v>
      </c>
      <c r="G446" s="1754"/>
      <c r="H446" s="1755"/>
      <c r="I446" s="1756">
        <f>( I436+I441+I442 )*F446</f>
        <v>430095.58151123999</v>
      </c>
      <c r="J446" s="850"/>
      <c r="K446" s="850"/>
      <c r="L446" s="850"/>
    </row>
    <row r="447" spans="1:12" ht="15">
      <c r="B447" s="1540"/>
      <c r="C447" s="1541"/>
      <c r="D447" s="1541"/>
      <c r="E447" s="1757" t="s">
        <v>5676</v>
      </c>
      <c r="F447" s="1763"/>
      <c r="G447" s="1759"/>
      <c r="H447" s="1760"/>
      <c r="I447" s="1761">
        <f>I446+I446/F446</f>
        <v>21934874.657073241</v>
      </c>
    </row>
    <row r="448" spans="1:12" ht="15">
      <c r="B448" s="1536"/>
      <c r="C448" s="1537"/>
      <c r="D448" s="1537"/>
      <c r="E448" s="1762" t="s">
        <v>5677</v>
      </c>
      <c r="F448" s="1763">
        <f>$K$5</f>
        <v>5.5E-2</v>
      </c>
      <c r="G448" s="1746"/>
      <c r="H448" s="1747"/>
      <c r="I448" s="1764">
        <f>I447*F448</f>
        <v>1206418.1061390282</v>
      </c>
    </row>
    <row r="449" spans="1:12" ht="15">
      <c r="B449" s="1536"/>
      <c r="C449" s="1537"/>
      <c r="D449" s="1537"/>
      <c r="E449" s="1762" t="s">
        <v>5678</v>
      </c>
      <c r="F449" s="1763">
        <f>$L$5</f>
        <v>0.06</v>
      </c>
      <c r="G449" s="1746"/>
      <c r="H449" s="1747"/>
      <c r="I449" s="1764">
        <f>SUM(I447:I448)*F449</f>
        <v>1388477.5657927359</v>
      </c>
    </row>
    <row r="450" spans="1:12" ht="14.25">
      <c r="B450" s="1540"/>
      <c r="C450" s="1541"/>
      <c r="D450" s="1541"/>
      <c r="E450" s="1757" t="s">
        <v>5679</v>
      </c>
      <c r="F450" s="1791"/>
      <c r="G450" s="1759"/>
      <c r="H450" s="1760"/>
      <c r="I450" s="1761">
        <f>SUM(I447:I449)</f>
        <v>24529770.329005003</v>
      </c>
    </row>
    <row r="451" spans="1:12" ht="15">
      <c r="B451" s="1536"/>
      <c r="C451" s="1537"/>
      <c r="D451" s="1537"/>
      <c r="E451" s="1762" t="s">
        <v>5680</v>
      </c>
      <c r="F451" s="1765">
        <f>$M$5</f>
        <v>0.1</v>
      </c>
      <c r="G451" s="1746"/>
      <c r="H451" s="1747"/>
      <c r="I451" s="1764">
        <f>I450*F451</f>
        <v>2452977.0329005006</v>
      </c>
    </row>
    <row r="452" spans="1:12" ht="14.25">
      <c r="B452" s="1540"/>
      <c r="C452" s="1541"/>
      <c r="D452" s="1541"/>
      <c r="E452" s="1757" t="s">
        <v>5681</v>
      </c>
      <c r="F452" s="1791"/>
      <c r="G452" s="1759"/>
      <c r="H452" s="1760"/>
      <c r="I452" s="1761">
        <f>SUM(I450:I451)</f>
        <v>26982747.361905504</v>
      </c>
    </row>
    <row r="453" spans="1:12" ht="12.75">
      <c r="B453" s="1536"/>
      <c r="C453" s="1537"/>
      <c r="D453" s="1537"/>
      <c r="E453" s="1533" t="s">
        <v>5682</v>
      </c>
      <c r="F453" s="1535">
        <f>$N$5</f>
        <v>0.01</v>
      </c>
      <c r="G453" s="1538"/>
      <c r="H453" s="1532"/>
      <c r="I453" s="1534">
        <f>I452*F453</f>
        <v>269827.47361905506</v>
      </c>
    </row>
    <row r="454" spans="1:12" ht="14.25">
      <c r="B454" s="2104"/>
      <c r="C454" s="1543"/>
      <c r="D454" s="2105"/>
      <c r="E454" s="2106" t="s">
        <v>5683</v>
      </c>
      <c r="F454" s="2115"/>
      <c r="G454" s="2108"/>
      <c r="H454" s="2109"/>
      <c r="I454" s="2110">
        <f>ROUND(I452+I453,0)</f>
        <v>27252575</v>
      </c>
    </row>
    <row r="455" spans="1:12" ht="18" customHeight="1">
      <c r="A455" s="657">
        <v>1</v>
      </c>
      <c r="B455" s="1546">
        <f>IF(A455&lt;&gt;0,COUNTA(A$7:$A455),"")</f>
        <v>26</v>
      </c>
      <c r="C455" s="1547">
        <f>'8.Dgia'!C375</f>
        <v>1776</v>
      </c>
      <c r="D455" s="1547" t="str">
        <f>'8.Dgia'!D375</f>
        <v>AF.67120</v>
      </c>
      <c r="E455" s="1740" t="str">
        <f>'8.Dgia'!E375</f>
        <v>Cốt thép D&gt;18 cọc khoan nhồi trên cạn</v>
      </c>
      <c r="F455" s="1789" t="s">
        <v>557</v>
      </c>
      <c r="G455" s="1742">
        <f>'8.Dgia'!H375</f>
        <v>0</v>
      </c>
      <c r="H455" s="1743"/>
      <c r="I455" s="1743"/>
      <c r="J455" s="842">
        <f>+I456</f>
        <v>17468954.691366546</v>
      </c>
      <c r="K455" s="842">
        <f>+I461</f>
        <v>2773699.2</v>
      </c>
      <c r="L455" s="842">
        <f>+I462</f>
        <v>572266.68988636369</v>
      </c>
    </row>
    <row r="456" spans="1:12" s="658" customFormat="1" ht="15">
      <c r="B456" s="1536" t="str">
        <f>'8.Dgia'!B376</f>
        <v/>
      </c>
      <c r="C456" s="1537">
        <f>'8.Dgia'!C376</f>
        <v>0</v>
      </c>
      <c r="D456" s="1537">
        <f>'8.Dgia'!D376</f>
        <v>0</v>
      </c>
      <c r="E456" s="1744" t="str">
        <f>'8.Dgia'!E376</f>
        <v xml:space="preserve">  A - Vật liệu</v>
      </c>
      <c r="F456" s="1763">
        <f>'8.Dgia'!G376</f>
        <v>0</v>
      </c>
      <c r="G456" s="1746">
        <f>'8.Dgia'!H376</f>
        <v>0</v>
      </c>
      <c r="H456" s="1747"/>
      <c r="I456" s="1748">
        <f>SUM(I457:I460)</f>
        <v>17468954.691366546</v>
      </c>
      <c r="J456" s="850"/>
      <c r="K456" s="850"/>
      <c r="L456" s="850"/>
    </row>
    <row r="457" spans="1:12" ht="15">
      <c r="B457" s="1536" t="str">
        <f>'8.Dgia'!B377</f>
        <v/>
      </c>
      <c r="C457" s="1537">
        <f>'8.Dgia'!C377</f>
        <v>0</v>
      </c>
      <c r="D457" s="1537" t="s">
        <v>5869</v>
      </c>
      <c r="E457" s="1749" t="str">
        <f>'8.Dgia'!E377</f>
        <v>Thép tròn D&gt;18</v>
      </c>
      <c r="F457" s="1763" t="str">
        <f>'8.Dgia'!G377</f>
        <v>kg</v>
      </c>
      <c r="G457" s="1954">
        <f>'8.Dgia'!H377</f>
        <v>1020</v>
      </c>
      <c r="H457" s="1747">
        <f>GVL!$I$181</f>
        <v>16604.075560000001</v>
      </c>
      <c r="I457" s="1747">
        <f>H457*G457</f>
        <v>16936157.071200002</v>
      </c>
    </row>
    <row r="458" spans="1:12" ht="15">
      <c r="B458" s="1536" t="str">
        <f>'8.Dgia'!B378</f>
        <v/>
      </c>
      <c r="C458" s="1537">
        <f>'8.Dgia'!C378</f>
        <v>0</v>
      </c>
      <c r="D458" s="1537">
        <f>'8.Dgia'!D378</f>
        <v>0</v>
      </c>
      <c r="E458" s="1749" t="str">
        <f>'8.Dgia'!E378</f>
        <v>Dây thép buộc</v>
      </c>
      <c r="F458" s="1763" t="str">
        <f>'8.Dgia'!G378</f>
        <v>kg</v>
      </c>
      <c r="G458" s="1746">
        <f>'8.Dgia'!H378</f>
        <v>14.28</v>
      </c>
      <c r="H458" s="1747">
        <f>GVL!$I$89</f>
        <v>18180</v>
      </c>
      <c r="I458" s="1747">
        <f>H458*G458</f>
        <v>259610.4</v>
      </c>
    </row>
    <row r="459" spans="1:12" ht="15">
      <c r="B459" s="1536" t="str">
        <f>'8.Dgia'!B379</f>
        <v/>
      </c>
      <c r="C459" s="1537">
        <f>'8.Dgia'!C379</f>
        <v>0</v>
      </c>
      <c r="D459" s="1537"/>
      <c r="E459" s="1749" t="str">
        <f>'8.Dgia'!E379</f>
        <v>Que hàn</v>
      </c>
      <c r="F459" s="1763" t="str">
        <f>'8.Dgia'!G379</f>
        <v>kg</v>
      </c>
      <c r="G459" s="1746">
        <f>'8.Dgia'!H379</f>
        <v>5.25</v>
      </c>
      <c r="H459" s="1747">
        <f>GVL!$I$153</f>
        <v>19090.909090909088</v>
      </c>
      <c r="I459" s="1747">
        <f>H459*G459</f>
        <v>100227.27272727271</v>
      </c>
    </row>
    <row r="460" spans="1:12" ht="15">
      <c r="B460" s="1536" t="str">
        <f>'8.Dgia'!B380</f>
        <v/>
      </c>
      <c r="C460" s="1537">
        <f>'8.Dgia'!C380</f>
        <v>0</v>
      </c>
      <c r="D460" s="1537">
        <f>'8.Dgia'!D380</f>
        <v>0</v>
      </c>
      <c r="E460" s="1749" t="str">
        <f>'8.Dgia'!E380</f>
        <v>Vật liệu khác</v>
      </c>
      <c r="F460" s="1763" t="str">
        <f>'8.Dgia'!G380</f>
        <v>%</v>
      </c>
      <c r="G460" s="1954">
        <f>'8.Dgia'!H380</f>
        <v>1</v>
      </c>
      <c r="H460" s="1747">
        <f>SUM(I457:I459)</f>
        <v>17295994.743927274</v>
      </c>
      <c r="I460" s="1747">
        <f>H460*G460%</f>
        <v>172959.94743927274</v>
      </c>
    </row>
    <row r="461" spans="1:12" s="658" customFormat="1" ht="15">
      <c r="B461" s="1536" t="str">
        <f>'8.Dgia'!B381</f>
        <v/>
      </c>
      <c r="C461" s="1537">
        <f>'8.Dgia'!C381</f>
        <v>0</v>
      </c>
      <c r="D461" s="1537">
        <f>'8.Dgia'!D381</f>
        <v>0</v>
      </c>
      <c r="E461" s="1744" t="str">
        <f>'8.Dgia'!E381</f>
        <v xml:space="preserve">  B - Nhân công 4.0/7</v>
      </c>
      <c r="F461" s="1745" t="s">
        <v>552</v>
      </c>
      <c r="G461" s="1954">
        <f>'8.Dgia'!H381</f>
        <v>10.8</v>
      </c>
      <c r="H461" s="1747">
        <f>'16.NC'!$H$18</f>
        <v>256824</v>
      </c>
      <c r="I461" s="1750">
        <f>H461*G461</f>
        <v>2773699.2</v>
      </c>
      <c r="J461" s="850"/>
      <c r="K461" s="850"/>
      <c r="L461" s="850"/>
    </row>
    <row r="462" spans="1:12" s="658" customFormat="1" ht="15">
      <c r="B462" s="1536" t="str">
        <f>'8.Dgia'!B382</f>
        <v/>
      </c>
      <c r="C462" s="1537">
        <f>'8.Dgia'!C382</f>
        <v>0</v>
      </c>
      <c r="D462" s="1537">
        <f>'8.Dgia'!D382</f>
        <v>0</v>
      </c>
      <c r="E462" s="1744" t="str">
        <f>'8.Dgia'!E382</f>
        <v xml:space="preserve">  C - Máy thi công</v>
      </c>
      <c r="F462" s="1763">
        <f>'8.Dgia'!G382</f>
        <v>0</v>
      </c>
      <c r="G462" s="1746">
        <f>'8.Dgia'!H382</f>
        <v>0</v>
      </c>
      <c r="H462" s="1747"/>
      <c r="I462" s="1751">
        <f>SUM(I463:I465)</f>
        <v>572266.68988636369</v>
      </c>
      <c r="J462" s="850"/>
      <c r="K462" s="850"/>
      <c r="L462" s="850"/>
    </row>
    <row r="463" spans="1:12" ht="15">
      <c r="B463" s="1536" t="str">
        <f>'8.Dgia'!B383</f>
        <v/>
      </c>
      <c r="C463" s="1537">
        <f>'8.Dgia'!C383</f>
        <v>0</v>
      </c>
      <c r="D463" s="1537"/>
      <c r="E463" s="1749" t="str">
        <f>'8.Dgia'!E383</f>
        <v>Máy hàn 23KW</v>
      </c>
      <c r="F463" s="1745" t="s">
        <v>5493</v>
      </c>
      <c r="G463" s="1746">
        <f>'8.Dgia'!H383</f>
        <v>1.31</v>
      </c>
      <c r="H463" s="1747">
        <f>'9.may'!$P$510</f>
        <v>171649.155</v>
      </c>
      <c r="I463" s="1747">
        <f>H463*G463</f>
        <v>224860.39305000001</v>
      </c>
    </row>
    <row r="464" spans="1:12" ht="15">
      <c r="B464" s="1536" t="str">
        <f>'8.Dgia'!B384</f>
        <v/>
      </c>
      <c r="C464" s="1537">
        <f>'8.Dgia'!C384</f>
        <v>0</v>
      </c>
      <c r="D464" s="1537">
        <f>'8.Dgia'!D384</f>
        <v>0</v>
      </c>
      <c r="E464" s="1749" t="str">
        <f>'8.Dgia'!E384</f>
        <v>Máy cắt uốn</v>
      </c>
      <c r="F464" s="1745" t="s">
        <v>5493</v>
      </c>
      <c r="G464" s="1746">
        <f>'8.Dgia'!H384</f>
        <v>0.16</v>
      </c>
      <c r="H464" s="1747">
        <f>'9.may'!$P$557</f>
        <v>80291.850000000006</v>
      </c>
      <c r="I464" s="1747">
        <f>H464*G464</f>
        <v>12846.696000000002</v>
      </c>
    </row>
    <row r="465" spans="1:12" ht="15">
      <c r="B465" s="1536" t="str">
        <f>'8.Dgia'!B385</f>
        <v/>
      </c>
      <c r="C465" s="1537">
        <f>'8.Dgia'!C385</f>
        <v>0</v>
      </c>
      <c r="D465" s="1537">
        <f>'8.Dgia'!D385</f>
        <v>0</v>
      </c>
      <c r="E465" s="1749" t="str">
        <f>'8.Dgia'!E385</f>
        <v>Cần cẩu bánh xích 25T</v>
      </c>
      <c r="F465" s="1745" t="s">
        <v>5493</v>
      </c>
      <c r="G465" s="1746">
        <f>'8.Dgia'!H385</f>
        <v>0.12</v>
      </c>
      <c r="H465" s="1747">
        <f>'9.may'!$P$248</f>
        <v>2787996.6736363638</v>
      </c>
      <c r="I465" s="1747">
        <f>H465*G465</f>
        <v>334559.60083636362</v>
      </c>
    </row>
    <row r="466" spans="1:12" s="658" customFormat="1" ht="15">
      <c r="B466" s="1675"/>
      <c r="C466" s="1676"/>
      <c r="D466" s="1676"/>
      <c r="E466" s="1752" t="s">
        <v>5675</v>
      </c>
      <c r="F466" s="1763">
        <f>$J$5</f>
        <v>0.02</v>
      </c>
      <c r="G466" s="1754"/>
      <c r="H466" s="1755"/>
      <c r="I466" s="1756">
        <f>( I456+I461+I462 )*F466</f>
        <v>416298.41162505822</v>
      </c>
      <c r="J466" s="850"/>
      <c r="K466" s="850"/>
      <c r="L466" s="850"/>
    </row>
    <row r="467" spans="1:12" ht="15">
      <c r="B467" s="1540"/>
      <c r="C467" s="1541"/>
      <c r="D467" s="1541"/>
      <c r="E467" s="1757" t="s">
        <v>5676</v>
      </c>
      <c r="F467" s="1763"/>
      <c r="G467" s="1759"/>
      <c r="H467" s="1760"/>
      <c r="I467" s="1761">
        <f>I466+I466/F466</f>
        <v>21231218.992877968</v>
      </c>
    </row>
    <row r="468" spans="1:12" ht="15">
      <c r="B468" s="1536"/>
      <c r="C468" s="1537"/>
      <c r="D468" s="1537"/>
      <c r="E468" s="1762" t="s">
        <v>5677</v>
      </c>
      <c r="F468" s="1763">
        <f>$K$5</f>
        <v>5.5E-2</v>
      </c>
      <c r="G468" s="1746"/>
      <c r="H468" s="1747"/>
      <c r="I468" s="1764">
        <f>I467*F468</f>
        <v>1167717.0446082882</v>
      </c>
    </row>
    <row r="469" spans="1:12" ht="15">
      <c r="B469" s="1536"/>
      <c r="C469" s="1537"/>
      <c r="D469" s="1537"/>
      <c r="E469" s="1762" t="s">
        <v>5678</v>
      </c>
      <c r="F469" s="1763">
        <f>$L$5</f>
        <v>0.06</v>
      </c>
      <c r="G469" s="1746"/>
      <c r="H469" s="1747"/>
      <c r="I469" s="1764">
        <f>SUM(I467:I468)*F469</f>
        <v>1343936.1622491754</v>
      </c>
    </row>
    <row r="470" spans="1:12" ht="14.25">
      <c r="B470" s="1540"/>
      <c r="C470" s="1541"/>
      <c r="D470" s="1541"/>
      <c r="E470" s="1757" t="s">
        <v>5679</v>
      </c>
      <c r="F470" s="1791"/>
      <c r="G470" s="1759"/>
      <c r="H470" s="1760"/>
      <c r="I470" s="1761">
        <f>SUM(I467:I469)</f>
        <v>23742872.199735429</v>
      </c>
    </row>
    <row r="471" spans="1:12" ht="15">
      <c r="B471" s="1536"/>
      <c r="C471" s="1537"/>
      <c r="D471" s="1537"/>
      <c r="E471" s="1762" t="s">
        <v>5680</v>
      </c>
      <c r="F471" s="1765">
        <f>$M$5</f>
        <v>0.1</v>
      </c>
      <c r="G471" s="1746"/>
      <c r="H471" s="1747"/>
      <c r="I471" s="1764">
        <f>I470*F471</f>
        <v>2374287.2199735432</v>
      </c>
    </row>
    <row r="472" spans="1:12" ht="14.25">
      <c r="B472" s="1540"/>
      <c r="C472" s="1541"/>
      <c r="D472" s="1541"/>
      <c r="E472" s="1757" t="s">
        <v>5681</v>
      </c>
      <c r="F472" s="1791"/>
      <c r="G472" s="1759"/>
      <c r="H472" s="1760"/>
      <c r="I472" s="1761">
        <f>SUM(I470:I471)</f>
        <v>26117159.419708971</v>
      </c>
    </row>
    <row r="473" spans="1:12" ht="12.75">
      <c r="B473" s="1536"/>
      <c r="C473" s="1537"/>
      <c r="D473" s="1537"/>
      <c r="E473" s="1533" t="s">
        <v>5682</v>
      </c>
      <c r="F473" s="1535">
        <f>$N$5</f>
        <v>0.01</v>
      </c>
      <c r="G473" s="1538"/>
      <c r="H473" s="1532"/>
      <c r="I473" s="1534">
        <f>I472*F473</f>
        <v>261171.59419708973</v>
      </c>
    </row>
    <row r="474" spans="1:12" ht="14.25">
      <c r="B474" s="2104"/>
      <c r="C474" s="1543"/>
      <c r="D474" s="2105"/>
      <c r="E474" s="2106" t="s">
        <v>5683</v>
      </c>
      <c r="F474" s="2115"/>
      <c r="G474" s="2108"/>
      <c r="H474" s="2109"/>
      <c r="I474" s="2110">
        <f>ROUND(I472+I473,0)</f>
        <v>26378331</v>
      </c>
    </row>
    <row r="475" spans="1:12" ht="15" customHeight="1">
      <c r="A475" s="657">
        <v>1</v>
      </c>
      <c r="B475" s="1546">
        <f>IF(A475&lt;&gt;0,COUNTA(A$7:$A475),"")</f>
        <v>27</v>
      </c>
      <c r="C475" s="1547">
        <f>'8.Dgia'!C386</f>
        <v>159</v>
      </c>
      <c r="D475" s="1547" t="str">
        <f>'8.Dgia'!D386</f>
        <v>AF.37421</v>
      </c>
      <c r="E475" s="1740" t="str">
        <f>'8.Dgia'!E386</f>
        <v>Sản xuất lắp đặt cóc nối, D16,L=360</v>
      </c>
      <c r="F475" s="1789" t="s">
        <v>307</v>
      </c>
      <c r="G475" s="1742">
        <f>'8.Dgia'!H386</f>
        <v>0</v>
      </c>
      <c r="H475" s="1743"/>
      <c r="I475" s="1743"/>
      <c r="J475" s="842">
        <f>+I476</f>
        <v>22629.744405014546</v>
      </c>
      <c r="K475" s="842">
        <f>+I481</f>
        <v>12112.1</v>
      </c>
      <c r="L475" s="842">
        <f>+I482</f>
        <v>2487.6464774999999</v>
      </c>
    </row>
    <row r="476" spans="1:12" s="658" customFormat="1" ht="15">
      <c r="B476" s="1536" t="str">
        <f>'8.Dgia'!B387</f>
        <v/>
      </c>
      <c r="C476" s="1537">
        <f>'8.Dgia'!C387</f>
        <v>0</v>
      </c>
      <c r="D476" s="1537">
        <f>'8.Dgia'!D387</f>
        <v>0</v>
      </c>
      <c r="E476" s="1744" t="str">
        <f>'8.Dgia'!E387</f>
        <v xml:space="preserve">  A - Vật liệu</v>
      </c>
      <c r="F476" s="1763">
        <f>'8.Dgia'!G387</f>
        <v>0</v>
      </c>
      <c r="G476" s="1746">
        <f>'8.Dgia'!H387</f>
        <v>0</v>
      </c>
      <c r="H476" s="1747"/>
      <c r="I476" s="1748">
        <f>SUM(I477:I480)</f>
        <v>22629.744405014546</v>
      </c>
      <c r="J476" s="850"/>
      <c r="K476" s="850"/>
      <c r="L476" s="850"/>
    </row>
    <row r="477" spans="1:12" ht="15">
      <c r="B477" s="1536" t="str">
        <f>'8.Dgia'!B388</f>
        <v/>
      </c>
      <c r="C477" s="1537">
        <f>'8.Dgia'!C388</f>
        <v>0</v>
      </c>
      <c r="D477" s="1537" t="s">
        <v>5869</v>
      </c>
      <c r="E477" s="1749" t="str">
        <f>'8.Dgia'!E388</f>
        <v>Thép tấm</v>
      </c>
      <c r="F477" s="1763" t="str">
        <f>'8.Dgia'!G388</f>
        <v>kg</v>
      </c>
      <c r="G477" s="1746">
        <f>'8.Dgia'!H388</f>
        <v>0.91500000000000004</v>
      </c>
      <c r="H477" s="1747">
        <f>GVL!$I$175</f>
        <v>12871.348287272725</v>
      </c>
      <c r="I477" s="1747">
        <f>H477*G477</f>
        <v>11777.283682854544</v>
      </c>
    </row>
    <row r="478" spans="1:12" ht="15">
      <c r="B478" s="1536" t="str">
        <f>'8.Dgia'!B389</f>
        <v/>
      </c>
      <c r="C478" s="1537">
        <f>'8.Dgia'!C389</f>
        <v>0</v>
      </c>
      <c r="D478" s="1537">
        <f>'8.Dgia'!D389</f>
        <v>0</v>
      </c>
      <c r="E478" s="1749" t="str">
        <f>'8.Dgia'!E389</f>
        <v>Thép tròn D&lt;=18</v>
      </c>
      <c r="F478" s="1763" t="str">
        <f>'8.Dgia'!G389</f>
        <v>kg</v>
      </c>
      <c r="G478" s="1746">
        <f>'8.Dgia'!H389</f>
        <v>0.48599999999999999</v>
      </c>
      <c r="H478" s="1747">
        <f>GVL!$I$180</f>
        <v>16604.075560000001</v>
      </c>
      <c r="I478" s="1747">
        <f>H478*G478</f>
        <v>8069.5807221600007</v>
      </c>
    </row>
    <row r="479" spans="1:12" ht="15">
      <c r="B479" s="1536" t="str">
        <f>'8.Dgia'!B390</f>
        <v/>
      </c>
      <c r="C479" s="1537">
        <f>'8.Dgia'!C390</f>
        <v>0</v>
      </c>
      <c r="D479" s="1537">
        <f>'8.Dgia'!D390</f>
        <v>0</v>
      </c>
      <c r="E479" s="1749" t="str">
        <f>'8.Dgia'!E390</f>
        <v>Ô xy</v>
      </c>
      <c r="F479" s="1763" t="s">
        <v>565</v>
      </c>
      <c r="G479" s="1746">
        <f>'8.Dgia'!H390</f>
        <v>2.8000000000000001E-2</v>
      </c>
      <c r="H479" s="1747">
        <f>GVL!$I$130</f>
        <v>48000</v>
      </c>
      <c r="I479" s="1747">
        <f>H479*G479</f>
        <v>1344</v>
      </c>
    </row>
    <row r="480" spans="1:12" ht="15">
      <c r="B480" s="1536" t="str">
        <f>'8.Dgia'!B391</f>
        <v/>
      </c>
      <c r="C480" s="1537">
        <f>'8.Dgia'!C391</f>
        <v>0</v>
      </c>
      <c r="D480" s="1537">
        <f>'8.Dgia'!D391</f>
        <v>0</v>
      </c>
      <c r="E480" s="1749" t="str">
        <f>'8.Dgia'!E391</f>
        <v>Đất đèn</v>
      </c>
      <c r="F480" s="1763" t="str">
        <f>'8.Dgia'!G391</f>
        <v>kg</v>
      </c>
      <c r="G480" s="1746">
        <f>'8.Dgia'!H391</f>
        <v>0.10580000000000001</v>
      </c>
      <c r="H480" s="1747">
        <f>GVL!$I$68</f>
        <v>13600</v>
      </c>
      <c r="I480" s="1747">
        <f>H480*G480</f>
        <v>1438.88</v>
      </c>
    </row>
    <row r="481" spans="1:12" s="658" customFormat="1" ht="15">
      <c r="B481" s="1536" t="str">
        <f>'8.Dgia'!B392</f>
        <v/>
      </c>
      <c r="C481" s="1537">
        <f>'8.Dgia'!C392</f>
        <v>0</v>
      </c>
      <c r="D481" s="1537">
        <f>'8.Dgia'!D392</f>
        <v>0</v>
      </c>
      <c r="E481" s="1744" t="str">
        <f>'8.Dgia'!E392</f>
        <v xml:space="preserve">  B - Nhân công 3.7/7</v>
      </c>
      <c r="F481" s="1745" t="s">
        <v>552</v>
      </c>
      <c r="G481" s="1746">
        <v>0.05</v>
      </c>
      <c r="H481" s="1747">
        <f>'16.NC'!$H$17</f>
        <v>242242</v>
      </c>
      <c r="I481" s="1750">
        <f>H481*G481</f>
        <v>12112.1</v>
      </c>
      <c r="J481" s="850"/>
      <c r="K481" s="850"/>
      <c r="L481" s="850"/>
    </row>
    <row r="482" spans="1:12" s="658" customFormat="1" ht="15">
      <c r="B482" s="1536" t="str">
        <f>'8.Dgia'!B393</f>
        <v/>
      </c>
      <c r="C482" s="1537">
        <f>'8.Dgia'!C393</f>
        <v>0</v>
      </c>
      <c r="D482" s="1537">
        <f>'8.Dgia'!D393</f>
        <v>0</v>
      </c>
      <c r="E482" s="1744" t="str">
        <f>'8.Dgia'!E393</f>
        <v xml:space="preserve">  C - Máy thi công</v>
      </c>
      <c r="F482" s="1763">
        <f>'8.Dgia'!G393</f>
        <v>0</v>
      </c>
      <c r="G482" s="1746">
        <f>'8.Dgia'!H393</f>
        <v>0</v>
      </c>
      <c r="H482" s="1747"/>
      <c r="I482" s="1751">
        <f>+I483</f>
        <v>2487.6464774999999</v>
      </c>
      <c r="J482" s="850"/>
      <c r="K482" s="850"/>
      <c r="L482" s="850"/>
    </row>
    <row r="483" spans="1:12" ht="15">
      <c r="B483" s="1536" t="str">
        <f>'8.Dgia'!B394</f>
        <v/>
      </c>
      <c r="C483" s="1537">
        <f>'8.Dgia'!C394</f>
        <v>0</v>
      </c>
      <c r="D483" s="1537">
        <f>'8.Dgia'!D394</f>
        <v>0</v>
      </c>
      <c r="E483" s="1749" t="str">
        <f>'8.Dgia'!E394</f>
        <v>Máy khoan 4.5Kw</v>
      </c>
      <c r="F483" s="1745" t="s">
        <v>5493</v>
      </c>
      <c r="G483" s="1746">
        <f>'8.Dgia'!H394</f>
        <v>2.3E-2</v>
      </c>
      <c r="H483" s="1747">
        <f>'9.may'!$P$529</f>
        <v>108158.5425</v>
      </c>
      <c r="I483" s="1747">
        <f>H483*G483</f>
        <v>2487.6464774999999</v>
      </c>
    </row>
    <row r="484" spans="1:12" s="658" customFormat="1" ht="15">
      <c r="B484" s="1675"/>
      <c r="C484" s="1676"/>
      <c r="D484" s="1676"/>
      <c r="E484" s="1752" t="s">
        <v>5675</v>
      </c>
      <c r="F484" s="1763">
        <f>$J$5</f>
        <v>0.02</v>
      </c>
      <c r="G484" s="1754"/>
      <c r="H484" s="1755"/>
      <c r="I484" s="1756">
        <f>( I476+I481+I482 )*F484</f>
        <v>744.58981765029091</v>
      </c>
      <c r="J484" s="850"/>
      <c r="K484" s="850"/>
      <c r="L484" s="850"/>
    </row>
    <row r="485" spans="1:12" ht="15">
      <c r="B485" s="1540"/>
      <c r="C485" s="1541"/>
      <c r="D485" s="1541"/>
      <c r="E485" s="1757" t="s">
        <v>5676</v>
      </c>
      <c r="F485" s="1763"/>
      <c r="G485" s="1759"/>
      <c r="H485" s="1760"/>
      <c r="I485" s="1761">
        <f>I484+I484/F484</f>
        <v>37974.080700164835</v>
      </c>
    </row>
    <row r="486" spans="1:12" ht="15">
      <c r="B486" s="1536"/>
      <c r="C486" s="1537"/>
      <c r="D486" s="1537"/>
      <c r="E486" s="1762" t="s">
        <v>5677</v>
      </c>
      <c r="F486" s="1763">
        <f>$K$5</f>
        <v>5.5E-2</v>
      </c>
      <c r="G486" s="1746"/>
      <c r="H486" s="1747"/>
      <c r="I486" s="1764">
        <f>I485*F486</f>
        <v>2088.5744385090661</v>
      </c>
    </row>
    <row r="487" spans="1:12" ht="15">
      <c r="B487" s="1536"/>
      <c r="C487" s="1537"/>
      <c r="D487" s="1537"/>
      <c r="E487" s="1762" t="s">
        <v>5678</v>
      </c>
      <c r="F487" s="1763">
        <f>$L$5</f>
        <v>0.06</v>
      </c>
      <c r="G487" s="1746"/>
      <c r="H487" s="1747"/>
      <c r="I487" s="1764">
        <f>SUM(I485:I486)*F487</f>
        <v>2403.7593083204338</v>
      </c>
    </row>
    <row r="488" spans="1:12" ht="14.25">
      <c r="B488" s="1540"/>
      <c r="C488" s="1541"/>
      <c r="D488" s="1541"/>
      <c r="E488" s="1757" t="s">
        <v>5679</v>
      </c>
      <c r="F488" s="1791"/>
      <c r="G488" s="1759"/>
      <c r="H488" s="1760"/>
      <c r="I488" s="1761">
        <f>SUM(I485:I487)</f>
        <v>42466.414446994335</v>
      </c>
    </row>
    <row r="489" spans="1:12" ht="15">
      <c r="B489" s="1536"/>
      <c r="C489" s="1537"/>
      <c r="D489" s="1537"/>
      <c r="E489" s="1762" t="s">
        <v>5680</v>
      </c>
      <c r="F489" s="1765">
        <f>$M$5</f>
        <v>0.1</v>
      </c>
      <c r="G489" s="1746"/>
      <c r="H489" s="1747"/>
      <c r="I489" s="1764">
        <f>I488*F489</f>
        <v>4246.641444699434</v>
      </c>
    </row>
    <row r="490" spans="1:12" ht="14.25">
      <c r="B490" s="1540"/>
      <c r="C490" s="1541"/>
      <c r="D490" s="1541"/>
      <c r="E490" s="1757" t="s">
        <v>5681</v>
      </c>
      <c r="F490" s="1791"/>
      <c r="G490" s="1759"/>
      <c r="H490" s="1760"/>
      <c r="I490" s="1761">
        <f>SUM(I488:I489)</f>
        <v>46713.055891693766</v>
      </c>
    </row>
    <row r="491" spans="1:12" ht="12.75">
      <c r="B491" s="1536"/>
      <c r="C491" s="1537"/>
      <c r="D491" s="1537"/>
      <c r="E491" s="1533" t="s">
        <v>5682</v>
      </c>
      <c r="F491" s="1535">
        <f>$N$5</f>
        <v>0.01</v>
      </c>
      <c r="G491" s="1538"/>
      <c r="H491" s="1532"/>
      <c r="I491" s="1534">
        <f>I490*F491</f>
        <v>467.13055891693767</v>
      </c>
    </row>
    <row r="492" spans="1:12" ht="14.25">
      <c r="B492" s="2104"/>
      <c r="C492" s="1543"/>
      <c r="D492" s="2105"/>
      <c r="E492" s="2106" t="s">
        <v>5683</v>
      </c>
      <c r="F492" s="2115"/>
      <c r="G492" s="2108"/>
      <c r="H492" s="2109"/>
      <c r="I492" s="2110">
        <f>ROUND(I490+I491,0)</f>
        <v>47180</v>
      </c>
    </row>
    <row r="493" spans="1:12" ht="14.25" customHeight="1">
      <c r="A493" s="657">
        <v>1</v>
      </c>
      <c r="B493" s="1546">
        <f>IF(A493&lt;&gt;0,COUNTA(A$7:$A493),"")</f>
        <v>28</v>
      </c>
      <c r="C493" s="1547">
        <f>'8.Dgia'!C395</f>
        <v>1776</v>
      </c>
      <c r="D493" s="1547" t="str">
        <f>'8.Dgia'!D395</f>
        <v>BB.14107</v>
      </c>
      <c r="E493" s="1740" t="s">
        <v>5872</v>
      </c>
      <c r="F493" s="1789" t="s">
        <v>543</v>
      </c>
      <c r="G493" s="1742">
        <f>'8.Dgia'!H395</f>
        <v>0</v>
      </c>
      <c r="H493" s="1743"/>
      <c r="I493" s="1743"/>
      <c r="J493" s="842">
        <f>+I494</f>
        <v>69239.090909090912</v>
      </c>
      <c r="K493" s="842">
        <f>+I497</f>
        <v>70744.800000000003</v>
      </c>
      <c r="L493" s="842">
        <f>I498</f>
        <v>549.27729599999998</v>
      </c>
    </row>
    <row r="494" spans="1:12" s="658" customFormat="1" ht="15">
      <c r="B494" s="1536" t="str">
        <f>'8.Dgia'!B396</f>
        <v/>
      </c>
      <c r="C494" s="1537">
        <f>'8.Dgia'!C396</f>
        <v>0</v>
      </c>
      <c r="D494" s="1537">
        <f>'8.Dgia'!D396</f>
        <v>0</v>
      </c>
      <c r="E494" s="1744" t="str">
        <f>'8.Dgia'!E396</f>
        <v xml:space="preserve">  A - Vật liệu</v>
      </c>
      <c r="F494" s="1763">
        <f>'8.Dgia'!G396</f>
        <v>0</v>
      </c>
      <c r="G494" s="1746">
        <f>'8.Dgia'!H396</f>
        <v>0</v>
      </c>
      <c r="H494" s="1747"/>
      <c r="I494" s="1748">
        <f>SUM(I495:I496)</f>
        <v>69239.090909090912</v>
      </c>
      <c r="J494" s="850"/>
      <c r="K494" s="850"/>
      <c r="L494" s="850"/>
    </row>
    <row r="495" spans="1:12" ht="15">
      <c r="B495" s="1536" t="str">
        <f>'8.Dgia'!B397</f>
        <v/>
      </c>
      <c r="C495" s="1537">
        <f>'8.Dgia'!C397</f>
        <v>0</v>
      </c>
      <c r="D495" s="1537">
        <f>'8.Dgia'!D397</f>
        <v>0</v>
      </c>
      <c r="E495" s="1749" t="str">
        <f>'8.Dgia'!E397</f>
        <v>Ống thép D60</v>
      </c>
      <c r="F495" s="1763" t="str">
        <f>'8.Dgia'!G397</f>
        <v>m</v>
      </c>
      <c r="G495" s="1746">
        <f>'8.Dgia'!H397/100</f>
        <v>1.0049999999999999</v>
      </c>
      <c r="H495" s="1747">
        <f>GVL!$I$145</f>
        <v>68666.666666666672</v>
      </c>
      <c r="I495" s="1747">
        <f>H495*G495</f>
        <v>69010</v>
      </c>
    </row>
    <row r="496" spans="1:12" ht="15">
      <c r="B496" s="1536" t="str">
        <f>'8.Dgia'!B398</f>
        <v/>
      </c>
      <c r="C496" s="1537">
        <f>'8.Dgia'!C398</f>
        <v>0</v>
      </c>
      <c r="D496" s="1537">
        <f>'8.Dgia'!D398</f>
        <v>0</v>
      </c>
      <c r="E496" s="1749" t="str">
        <f>'8.Dgia'!E398</f>
        <v>Que hàn</v>
      </c>
      <c r="F496" s="1763" t="str">
        <f>'8.Dgia'!G398</f>
        <v>kg</v>
      </c>
      <c r="G496" s="1746">
        <f>'8.Dgia'!H398/100</f>
        <v>1.2E-2</v>
      </c>
      <c r="H496" s="1747">
        <f>GVL!$I$153</f>
        <v>19090.909090909088</v>
      </c>
      <c r="I496" s="1747">
        <f>H496*G496</f>
        <v>229.09090909090907</v>
      </c>
    </row>
    <row r="497" spans="1:12" s="658" customFormat="1" ht="15">
      <c r="B497" s="1536" t="str">
        <f>'8.Dgia'!B400</f>
        <v/>
      </c>
      <c r="C497" s="1537">
        <f>'8.Dgia'!C400</f>
        <v>0</v>
      </c>
      <c r="D497" s="1537">
        <f>'8.Dgia'!D400</f>
        <v>0</v>
      </c>
      <c r="E497" s="1744" t="str">
        <f>'8.Dgia'!E400</f>
        <v xml:space="preserve">  B - Nhân công 3.5/7</v>
      </c>
      <c r="F497" s="1745" t="s">
        <v>552</v>
      </c>
      <c r="G497" s="1746">
        <v>0.3</v>
      </c>
      <c r="H497" s="1747">
        <f>'16.NC'!$H$16</f>
        <v>235816</v>
      </c>
      <c r="I497" s="1750">
        <f>H497*G497</f>
        <v>70744.800000000003</v>
      </c>
      <c r="J497" s="850"/>
      <c r="K497" s="850"/>
      <c r="L497" s="850"/>
    </row>
    <row r="498" spans="1:12" s="658" customFormat="1" ht="15">
      <c r="B498" s="1536" t="str">
        <f>'8.Dgia'!B401</f>
        <v/>
      </c>
      <c r="C498" s="1537">
        <f>'8.Dgia'!C401</f>
        <v>0</v>
      </c>
      <c r="D498" s="1537">
        <f>'8.Dgia'!D401</f>
        <v>0</v>
      </c>
      <c r="E498" s="1744" t="str">
        <f>'8.Dgia'!E401</f>
        <v xml:space="preserve">  C - Máy thi công</v>
      </c>
      <c r="F498" s="1763">
        <f>'8.Dgia'!G401</f>
        <v>0</v>
      </c>
      <c r="G498" s="1746">
        <f>'8.Dgia'!H401</f>
        <v>0</v>
      </c>
      <c r="H498" s="1747"/>
      <c r="I498" s="1751">
        <f>SUM(I499:I499)</f>
        <v>549.27729599999998</v>
      </c>
      <c r="J498" s="850"/>
      <c r="K498" s="850"/>
      <c r="L498" s="850"/>
    </row>
    <row r="499" spans="1:12" ht="15">
      <c r="B499" s="1536" t="str">
        <f>'8.Dgia'!B402</f>
        <v/>
      </c>
      <c r="C499" s="1537">
        <f>'8.Dgia'!C402</f>
        <v>0</v>
      </c>
      <c r="D499" s="1537">
        <f>'8.Dgia'!D402</f>
        <v>0</v>
      </c>
      <c r="E499" s="1749" t="str">
        <f>'8.Dgia'!E402</f>
        <v>Máy hàn 23kw</v>
      </c>
      <c r="F499" s="1745" t="s">
        <v>5493</v>
      </c>
      <c r="G499" s="1746">
        <f>'8.Dgia'!H402/100</f>
        <v>3.2000000000000002E-3</v>
      </c>
      <c r="H499" s="1747">
        <f>'9.may'!$P$510</f>
        <v>171649.155</v>
      </c>
      <c r="I499" s="1747">
        <f>H499*G499</f>
        <v>549.27729599999998</v>
      </c>
    </row>
    <row r="500" spans="1:12" s="658" customFormat="1" ht="15">
      <c r="B500" s="1675"/>
      <c r="C500" s="1676"/>
      <c r="D500" s="1676"/>
      <c r="E500" s="1752" t="s">
        <v>5675</v>
      </c>
      <c r="F500" s="1763">
        <f>$J$5</f>
        <v>0.02</v>
      </c>
      <c r="G500" s="1754"/>
      <c r="H500" s="1755"/>
      <c r="I500" s="1756">
        <f>( I494+I497+I498 )*F500</f>
        <v>2810.6633641018184</v>
      </c>
      <c r="J500" s="850"/>
      <c r="K500" s="850"/>
      <c r="L500" s="850"/>
    </row>
    <row r="501" spans="1:12" ht="15">
      <c r="B501" s="1540"/>
      <c r="C501" s="1541"/>
      <c r="D501" s="1541"/>
      <c r="E501" s="1757" t="s">
        <v>5676</v>
      </c>
      <c r="F501" s="1763"/>
      <c r="G501" s="1759"/>
      <c r="H501" s="1760"/>
      <c r="I501" s="1761">
        <f>I500+I500/F500</f>
        <v>143343.83156919273</v>
      </c>
    </row>
    <row r="502" spans="1:12" ht="15">
      <c r="B502" s="1536"/>
      <c r="C502" s="1537"/>
      <c r="D502" s="1537"/>
      <c r="E502" s="1762" t="s">
        <v>5677</v>
      </c>
      <c r="F502" s="1763">
        <f>$K$5</f>
        <v>5.5E-2</v>
      </c>
      <c r="G502" s="1746"/>
      <c r="H502" s="1747"/>
      <c r="I502" s="1764">
        <f>I501*F502</f>
        <v>7883.9107363056</v>
      </c>
    </row>
    <row r="503" spans="1:12" ht="15">
      <c r="B503" s="1536"/>
      <c r="C503" s="1537"/>
      <c r="D503" s="1537"/>
      <c r="E503" s="1762" t="s">
        <v>5678</v>
      </c>
      <c r="F503" s="1763">
        <f>$L$5</f>
        <v>0.06</v>
      </c>
      <c r="G503" s="1746"/>
      <c r="H503" s="1747"/>
      <c r="I503" s="1764">
        <f>SUM(I501:I502)*F503</f>
        <v>9073.6645383299001</v>
      </c>
    </row>
    <row r="504" spans="1:12" ht="14.25">
      <c r="B504" s="1540"/>
      <c r="C504" s="1541"/>
      <c r="D504" s="1541"/>
      <c r="E504" s="1757" t="s">
        <v>5679</v>
      </c>
      <c r="F504" s="1791"/>
      <c r="G504" s="1759"/>
      <c r="H504" s="1760"/>
      <c r="I504" s="1761">
        <f>SUM(I501:I503)</f>
        <v>160301.40684382824</v>
      </c>
    </row>
    <row r="505" spans="1:12" ht="15">
      <c r="B505" s="1536"/>
      <c r="C505" s="1537"/>
      <c r="D505" s="1537"/>
      <c r="E505" s="1762" t="s">
        <v>5680</v>
      </c>
      <c r="F505" s="1765">
        <f>$M$5</f>
        <v>0.1</v>
      </c>
      <c r="G505" s="1746"/>
      <c r="H505" s="1747"/>
      <c r="I505" s="1764">
        <f>I504*F505</f>
        <v>16030.140684382824</v>
      </c>
    </row>
    <row r="506" spans="1:12" ht="14.25">
      <c r="B506" s="1540"/>
      <c r="C506" s="1541"/>
      <c r="D506" s="1541"/>
      <c r="E506" s="1757" t="s">
        <v>5681</v>
      </c>
      <c r="F506" s="1791"/>
      <c r="G506" s="1759"/>
      <c r="H506" s="1760"/>
      <c r="I506" s="1761">
        <f>SUM(I504:I505)</f>
        <v>176331.54752821106</v>
      </c>
    </row>
    <row r="507" spans="1:12" ht="12.75">
      <c r="B507" s="1536"/>
      <c r="C507" s="1537"/>
      <c r="D507" s="1537"/>
      <c r="E507" s="1533" t="s">
        <v>5682</v>
      </c>
      <c r="F507" s="1535">
        <f>$N$5</f>
        <v>0.01</v>
      </c>
      <c r="G507" s="1538"/>
      <c r="H507" s="1532"/>
      <c r="I507" s="1534">
        <f>I506*F507</f>
        <v>1763.3154752821106</v>
      </c>
    </row>
    <row r="508" spans="1:12" ht="14.25">
      <c r="B508" s="2104"/>
      <c r="C508" s="1543"/>
      <c r="D508" s="2105"/>
      <c r="E508" s="2106" t="s">
        <v>5683</v>
      </c>
      <c r="F508" s="2115"/>
      <c r="G508" s="2108"/>
      <c r="H508" s="2109"/>
      <c r="I508" s="2110">
        <f>ROUND(I506+I507,0)</f>
        <v>178095</v>
      </c>
    </row>
    <row r="509" spans="1:12" ht="14.25">
      <c r="A509" s="657">
        <v>1</v>
      </c>
      <c r="B509" s="1546">
        <f>IF(A509&lt;&gt;0,COUNTA(A$7:$A509),"")</f>
        <v>29</v>
      </c>
      <c r="C509" s="1547">
        <f>'8.Dgia'!C404</f>
        <v>1776</v>
      </c>
      <c r="D509" s="1547" t="str">
        <f>'8.Dgia'!D404</f>
        <v>BB.14111</v>
      </c>
      <c r="E509" s="1740" t="s">
        <v>5873</v>
      </c>
      <c r="F509" s="1789" t="s">
        <v>543</v>
      </c>
      <c r="G509" s="1742">
        <f>'8.Dgia'!H404</f>
        <v>0</v>
      </c>
      <c r="H509" s="1743"/>
      <c r="I509" s="1743"/>
      <c r="J509" s="842">
        <f>+I510</f>
        <v>412913.81818181812</v>
      </c>
      <c r="K509" s="842">
        <f>+I513</f>
        <v>94326.400000000009</v>
      </c>
      <c r="L509" s="842">
        <f>I514</f>
        <v>1253.0388315</v>
      </c>
    </row>
    <row r="510" spans="1:12" s="658" customFormat="1" ht="15">
      <c r="B510" s="1536" t="str">
        <f>'8.Dgia'!B405</f>
        <v/>
      </c>
      <c r="C510" s="1537">
        <f>'8.Dgia'!C405</f>
        <v>0</v>
      </c>
      <c r="D510" s="1537">
        <f>'8.Dgia'!D405</f>
        <v>0</v>
      </c>
      <c r="E510" s="1744" t="str">
        <f>'8.Dgia'!E405</f>
        <v xml:space="preserve">  A - Vật liệu</v>
      </c>
      <c r="F510" s="1763">
        <f>'8.Dgia'!G405</f>
        <v>0</v>
      </c>
      <c r="G510" s="1746">
        <f>'8.Dgia'!H405</f>
        <v>0</v>
      </c>
      <c r="H510" s="1747"/>
      <c r="I510" s="1748">
        <f>SUM(I511:I512)</f>
        <v>412913.81818181812</v>
      </c>
      <c r="J510" s="850"/>
      <c r="K510" s="850"/>
      <c r="L510" s="850"/>
    </row>
    <row r="511" spans="1:12" ht="15">
      <c r="B511" s="1536" t="str">
        <f>'8.Dgia'!B406</f>
        <v/>
      </c>
      <c r="C511" s="1537">
        <f>'8.Dgia'!C406</f>
        <v>0</v>
      </c>
      <c r="D511" s="1537">
        <f>'8.Dgia'!D406</f>
        <v>0</v>
      </c>
      <c r="E511" s="1749" t="str">
        <f>'8.Dgia'!E406</f>
        <v>Ống thép D114</v>
      </c>
      <c r="F511" s="1763" t="str">
        <f>'8.Dgia'!G406</f>
        <v>m</v>
      </c>
      <c r="G511" s="1746">
        <f>'8.Dgia'!H406/100</f>
        <v>1.0049999999999999</v>
      </c>
      <c r="H511" s="1747">
        <f>GVL!$I$144</f>
        <v>410333.33333333331</v>
      </c>
      <c r="I511" s="1747">
        <f>H511*G511</f>
        <v>412384.99999999994</v>
      </c>
    </row>
    <row r="512" spans="1:12" ht="15">
      <c r="B512" s="1536" t="str">
        <f>'8.Dgia'!B407</f>
        <v/>
      </c>
      <c r="C512" s="1537">
        <f>'8.Dgia'!C407</f>
        <v>0</v>
      </c>
      <c r="D512" s="1537">
        <f>'8.Dgia'!D407</f>
        <v>0</v>
      </c>
      <c r="E512" s="1749" t="str">
        <f>'8.Dgia'!E407</f>
        <v>Que hàn</v>
      </c>
      <c r="F512" s="1763" t="str">
        <f>'8.Dgia'!G407</f>
        <v>kg</v>
      </c>
      <c r="G512" s="1746">
        <f>'8.Dgia'!H407/100</f>
        <v>2.7699999999999999E-2</v>
      </c>
      <c r="H512" s="1747">
        <f>GVL!$I$153</f>
        <v>19090.909090909088</v>
      </c>
      <c r="I512" s="1747">
        <f>H512*G512</f>
        <v>528.81818181818176</v>
      </c>
    </row>
    <row r="513" spans="1:12" s="658" customFormat="1" ht="15">
      <c r="B513" s="1536" t="str">
        <f>'8.Dgia'!B409</f>
        <v/>
      </c>
      <c r="C513" s="1537">
        <f>'8.Dgia'!C409</f>
        <v>0</v>
      </c>
      <c r="D513" s="1537">
        <f>'8.Dgia'!D409</f>
        <v>0</v>
      </c>
      <c r="E513" s="1744" t="str">
        <f>'8.Dgia'!E409</f>
        <v xml:space="preserve">  B - Nhân công 3.5/7</v>
      </c>
      <c r="F513" s="1745" t="s">
        <v>552</v>
      </c>
      <c r="G513" s="1981">
        <v>0.4</v>
      </c>
      <c r="H513" s="1747">
        <f>'16.NC'!$H$16</f>
        <v>235816</v>
      </c>
      <c r="I513" s="1750">
        <f>H513*G513</f>
        <v>94326.400000000009</v>
      </c>
      <c r="J513" s="850"/>
      <c r="K513" s="850"/>
      <c r="L513" s="850"/>
    </row>
    <row r="514" spans="1:12" s="658" customFormat="1" ht="15">
      <c r="B514" s="1536" t="str">
        <f>'8.Dgia'!B410</f>
        <v/>
      </c>
      <c r="C514" s="1537">
        <f>'8.Dgia'!C410</f>
        <v>0</v>
      </c>
      <c r="D514" s="1537">
        <f>'8.Dgia'!D410</f>
        <v>0</v>
      </c>
      <c r="E514" s="1744" t="str">
        <f>'8.Dgia'!E410</f>
        <v xml:space="preserve">  C - Máy thi công</v>
      </c>
      <c r="F514" s="1763">
        <f>'8.Dgia'!G410</f>
        <v>0</v>
      </c>
      <c r="G514" s="1746">
        <f>'8.Dgia'!H410</f>
        <v>0</v>
      </c>
      <c r="H514" s="1747"/>
      <c r="I514" s="1751">
        <f>SUM(I515:I515)</f>
        <v>1253.0388315</v>
      </c>
      <c r="J514" s="850"/>
      <c r="K514" s="850"/>
      <c r="L514" s="850"/>
    </row>
    <row r="515" spans="1:12" ht="15">
      <c r="B515" s="1536" t="str">
        <f>'8.Dgia'!B411</f>
        <v/>
      </c>
      <c r="C515" s="1537">
        <f>'8.Dgia'!C411</f>
        <v>0</v>
      </c>
      <c r="D515" s="1537">
        <f>'8.Dgia'!D411</f>
        <v>0</v>
      </c>
      <c r="E515" s="1749" t="str">
        <f>'8.Dgia'!E411</f>
        <v>Máy hàn 23kw</v>
      </c>
      <c r="F515" s="1745" t="s">
        <v>5493</v>
      </c>
      <c r="G515" s="1746">
        <f>'8.Dgia'!H411/100</f>
        <v>7.3000000000000001E-3</v>
      </c>
      <c r="H515" s="1747">
        <f>'9.may'!$P$510</f>
        <v>171649.155</v>
      </c>
      <c r="I515" s="1747">
        <f>H515*G515</f>
        <v>1253.0388315</v>
      </c>
    </row>
    <row r="516" spans="1:12" s="658" customFormat="1" ht="15">
      <c r="B516" s="1675"/>
      <c r="C516" s="1676"/>
      <c r="D516" s="1676"/>
      <c r="E516" s="1752" t="s">
        <v>5675</v>
      </c>
      <c r="F516" s="1763">
        <f>$J$5</f>
        <v>0.02</v>
      </c>
      <c r="G516" s="1754"/>
      <c r="H516" s="1755"/>
      <c r="I516" s="1756">
        <f>( I510+I513+I514 )*F516</f>
        <v>10169.865140266364</v>
      </c>
      <c r="J516" s="850"/>
      <c r="K516" s="850"/>
      <c r="L516" s="850"/>
    </row>
    <row r="517" spans="1:12" ht="15">
      <c r="B517" s="1540"/>
      <c r="C517" s="1541"/>
      <c r="D517" s="1541"/>
      <c r="E517" s="1757" t="s">
        <v>5676</v>
      </c>
      <c r="F517" s="1763"/>
      <c r="G517" s="1759"/>
      <c r="H517" s="1760"/>
      <c r="I517" s="1761">
        <f>I516+I516/F516</f>
        <v>518663.12215358455</v>
      </c>
    </row>
    <row r="518" spans="1:12" ht="15">
      <c r="B518" s="1536"/>
      <c r="C518" s="1537"/>
      <c r="D518" s="1537"/>
      <c r="E518" s="1762" t="s">
        <v>5677</v>
      </c>
      <c r="F518" s="1763">
        <f>$K$5</f>
        <v>5.5E-2</v>
      </c>
      <c r="G518" s="1746"/>
      <c r="H518" s="1747"/>
      <c r="I518" s="1764">
        <f>I517*F518</f>
        <v>28526.471718447152</v>
      </c>
    </row>
    <row r="519" spans="1:12" ht="15">
      <c r="B519" s="1536"/>
      <c r="C519" s="1537"/>
      <c r="D519" s="1537"/>
      <c r="E519" s="1762" t="s">
        <v>5678</v>
      </c>
      <c r="F519" s="1763">
        <f>$L$5</f>
        <v>0.06</v>
      </c>
      <c r="G519" s="1746"/>
      <c r="H519" s="1747"/>
      <c r="I519" s="1764">
        <f>SUM(I517:I518)*F519</f>
        <v>32831.375632321899</v>
      </c>
    </row>
    <row r="520" spans="1:12" ht="14.25">
      <c r="B520" s="1540"/>
      <c r="C520" s="1541"/>
      <c r="D520" s="1541"/>
      <c r="E520" s="1757" t="s">
        <v>5679</v>
      </c>
      <c r="F520" s="1791"/>
      <c r="G520" s="1759"/>
      <c r="H520" s="1760"/>
      <c r="I520" s="1761">
        <f>SUM(I517:I519)</f>
        <v>580020.96950435359</v>
      </c>
    </row>
    <row r="521" spans="1:12" ht="15">
      <c r="B521" s="1536"/>
      <c r="C521" s="1537"/>
      <c r="D521" s="1537"/>
      <c r="E521" s="1762" t="s">
        <v>5680</v>
      </c>
      <c r="F521" s="1765">
        <f>$M$5</f>
        <v>0.1</v>
      </c>
      <c r="G521" s="1746"/>
      <c r="H521" s="1747"/>
      <c r="I521" s="1764">
        <f>I520*F521</f>
        <v>58002.096950435363</v>
      </c>
    </row>
    <row r="522" spans="1:12" ht="14.25">
      <c r="B522" s="1540"/>
      <c r="C522" s="1541"/>
      <c r="D522" s="1541"/>
      <c r="E522" s="1757" t="s">
        <v>5681</v>
      </c>
      <c r="F522" s="1791"/>
      <c r="G522" s="1759"/>
      <c r="H522" s="1760"/>
      <c r="I522" s="1761">
        <f>SUM(I520:I521)</f>
        <v>638023.0664547889</v>
      </c>
    </row>
    <row r="523" spans="1:12" ht="12.75">
      <c r="B523" s="1536"/>
      <c r="C523" s="1537"/>
      <c r="D523" s="1537"/>
      <c r="E523" s="1533" t="s">
        <v>5682</v>
      </c>
      <c r="F523" s="1535">
        <f>$N$5</f>
        <v>0.01</v>
      </c>
      <c r="G523" s="1538"/>
      <c r="H523" s="1532"/>
      <c r="I523" s="1534">
        <f>I522*F523</f>
        <v>6380.2306645478893</v>
      </c>
    </row>
    <row r="524" spans="1:12" ht="14.25">
      <c r="B524" s="2104"/>
      <c r="C524" s="1543"/>
      <c r="D524" s="2105"/>
      <c r="E524" s="2106" t="s">
        <v>5683</v>
      </c>
      <c r="F524" s="2115"/>
      <c r="G524" s="2108"/>
      <c r="H524" s="2109"/>
      <c r="I524" s="2110">
        <f>ROUND(I522+I523,0)</f>
        <v>644403</v>
      </c>
    </row>
    <row r="525" spans="1:12" ht="14.25">
      <c r="A525" s="657">
        <v>1</v>
      </c>
      <c r="B525" s="1546">
        <f>IF(A525&lt;&gt;0,COUNTA(A$7:$A525),"")</f>
        <v>30</v>
      </c>
      <c r="C525" s="1547">
        <f>'8.Dgia'!C423</f>
        <v>1776</v>
      </c>
      <c r="D525" s="1547" t="str">
        <f>'8.Dgia'!D423</f>
        <v>AA.22310</v>
      </c>
      <c r="E525" s="1740" t="str">
        <f>'8.Dgia'!E423</f>
        <v>Đập đầu cọc trên cạn</v>
      </c>
      <c r="F525" s="1789" t="str">
        <f>'8.Dgia'!G423</f>
        <v>m3</v>
      </c>
      <c r="G525" s="1742">
        <f>'8.Dgia'!H423</f>
        <v>0</v>
      </c>
      <c r="H525" s="1743"/>
      <c r="I525" s="1743"/>
      <c r="J525" s="842">
        <f>+I526</f>
        <v>22909.090909090904</v>
      </c>
      <c r="K525" s="842">
        <f>+I528</f>
        <v>184913.28</v>
      </c>
      <c r="L525" s="842">
        <f>+I529</f>
        <v>490856.07061636366</v>
      </c>
    </row>
    <row r="526" spans="1:12" s="658" customFormat="1" ht="15">
      <c r="B526" s="1536" t="str">
        <f>'8.Dgia'!B424</f>
        <v/>
      </c>
      <c r="C526" s="1537">
        <f>'8.Dgia'!C424</f>
        <v>0</v>
      </c>
      <c r="D526" s="1537">
        <f>'8.Dgia'!D424</f>
        <v>0</v>
      </c>
      <c r="E526" s="1744" t="str">
        <f>'8.Dgia'!E424</f>
        <v xml:space="preserve">  A - Vật liệu</v>
      </c>
      <c r="F526" s="1763">
        <f>'8.Dgia'!G424</f>
        <v>0</v>
      </c>
      <c r="G526" s="1746">
        <f>'8.Dgia'!H424</f>
        <v>0</v>
      </c>
      <c r="H526" s="1747"/>
      <c r="I526" s="1748">
        <f>I527</f>
        <v>22909.090909090904</v>
      </c>
      <c r="J526" s="850"/>
      <c r="K526" s="850"/>
      <c r="L526" s="850"/>
    </row>
    <row r="527" spans="1:12" ht="15">
      <c r="B527" s="1536" t="str">
        <f>'8.Dgia'!B425</f>
        <v/>
      </c>
      <c r="C527" s="1537">
        <f>'8.Dgia'!C425</f>
        <v>0</v>
      </c>
      <c r="D527" s="1537">
        <f>'8.Dgia'!D425</f>
        <v>0</v>
      </c>
      <c r="E527" s="1749" t="str">
        <f>'8.Dgia'!E425</f>
        <v>Que hàn</v>
      </c>
      <c r="F527" s="1763" t="str">
        <f>'8.Dgia'!G425</f>
        <v>kg</v>
      </c>
      <c r="G527" s="1981">
        <f>'8.Dgia'!H425</f>
        <v>1.2</v>
      </c>
      <c r="H527" s="1747">
        <f>GVL!$I$153</f>
        <v>19090.909090909088</v>
      </c>
      <c r="I527" s="1747">
        <f>H527*G527</f>
        <v>22909.090909090904</v>
      </c>
    </row>
    <row r="528" spans="1:12" s="658" customFormat="1" ht="15">
      <c r="B528" s="1536" t="str">
        <f>'8.Dgia'!B426</f>
        <v/>
      </c>
      <c r="C528" s="1537">
        <f>'8.Dgia'!C426</f>
        <v>0</v>
      </c>
      <c r="D528" s="1537">
        <f>'8.Dgia'!D426</f>
        <v>0</v>
      </c>
      <c r="E528" s="1744" t="str">
        <f>'8.Dgia'!E426</f>
        <v xml:space="preserve">  B - Nhân công 4.0/7</v>
      </c>
      <c r="F528" s="1745" t="s">
        <v>552</v>
      </c>
      <c r="G528" s="1981">
        <f>'8.Dgia'!H426</f>
        <v>0.72</v>
      </c>
      <c r="H528" s="1747">
        <f>'16.NC'!$H$18</f>
        <v>256824</v>
      </c>
      <c r="I528" s="1750">
        <f>H528*G528</f>
        <v>184913.28</v>
      </c>
      <c r="J528" s="850"/>
      <c r="K528" s="850"/>
      <c r="L528" s="850"/>
    </row>
    <row r="529" spans="1:12" s="658" customFormat="1" ht="15">
      <c r="B529" s="1536" t="str">
        <f>'8.Dgia'!B427</f>
        <v/>
      </c>
      <c r="C529" s="1537">
        <f>'8.Dgia'!C427</f>
        <v>0</v>
      </c>
      <c r="D529" s="1537">
        <f>'8.Dgia'!D427</f>
        <v>0</v>
      </c>
      <c r="E529" s="1744" t="str">
        <f>'8.Dgia'!E427</f>
        <v xml:space="preserve">  C - Máy thi công</v>
      </c>
      <c r="F529" s="1763">
        <f>'8.Dgia'!G427</f>
        <v>0</v>
      </c>
      <c r="G529" s="1746">
        <f>'8.Dgia'!H427</f>
        <v>0</v>
      </c>
      <c r="H529" s="1747"/>
      <c r="I529" s="1751">
        <f>SUM(I530:I533)</f>
        <v>490856.07061636366</v>
      </c>
      <c r="J529" s="850"/>
      <c r="K529" s="850"/>
      <c r="L529" s="850"/>
    </row>
    <row r="530" spans="1:12" ht="15">
      <c r="B530" s="1536" t="str">
        <f>'8.Dgia'!B428</f>
        <v/>
      </c>
      <c r="C530" s="1537">
        <f>'8.Dgia'!C428</f>
        <v>0</v>
      </c>
      <c r="D530" s="1537">
        <f>'8.Dgia'!D428</f>
        <v>0</v>
      </c>
      <c r="E530" s="1749" t="str">
        <f>'8.Dgia'!E428</f>
        <v>Búa căn khí nén 1.5m3/ph</v>
      </c>
      <c r="F530" s="1745" t="s">
        <v>5493</v>
      </c>
      <c r="G530" s="1746">
        <f>'8.Dgia'!H428</f>
        <v>0.35</v>
      </c>
      <c r="H530" s="1747">
        <f>'9.may'!$P$546</f>
        <v>66493.05</v>
      </c>
      <c r="I530" s="1747">
        <f>H530*G530</f>
        <v>23272.567500000001</v>
      </c>
    </row>
    <row r="531" spans="1:12" ht="15">
      <c r="B531" s="1536" t="str">
        <f>'8.Dgia'!B429</f>
        <v/>
      </c>
      <c r="C531" s="1537">
        <f>'8.Dgia'!C429</f>
        <v>0</v>
      </c>
      <c r="D531" s="1537">
        <f>'8.Dgia'!D429</f>
        <v>0</v>
      </c>
      <c r="E531" s="1749" t="str">
        <f>'8.Dgia'!E429</f>
        <v>Máy nén khí 360m3/h</v>
      </c>
      <c r="F531" s="1745" t="s">
        <v>5493</v>
      </c>
      <c r="G531" s="1746">
        <f>'8.Dgia'!H429</f>
        <v>0.18</v>
      </c>
      <c r="H531" s="1747">
        <f>'9.may'!$P$485</f>
        <v>1130690.8450909092</v>
      </c>
      <c r="I531" s="1747">
        <f>H531*G531</f>
        <v>203524.35211636365</v>
      </c>
    </row>
    <row r="532" spans="1:12" ht="15">
      <c r="B532" s="1536" t="str">
        <f>'8.Dgia'!B430</f>
        <v/>
      </c>
      <c r="C532" s="1537">
        <f>'8.Dgia'!C430</f>
        <v>0</v>
      </c>
      <c r="D532" s="1537">
        <f>'8.Dgia'!D430</f>
        <v>0</v>
      </c>
      <c r="E532" s="1749" t="str">
        <f>'8.Dgia'!E430</f>
        <v>Máy hàn 23kw</v>
      </c>
      <c r="F532" s="1745" t="s">
        <v>5493</v>
      </c>
      <c r="G532" s="1746">
        <f>'8.Dgia'!H430</f>
        <v>0.23</v>
      </c>
      <c r="H532" s="1747">
        <f>'9.may'!$P$510</f>
        <v>171649.155</v>
      </c>
      <c r="I532" s="1747">
        <f>H532*G532</f>
        <v>39479.305650000002</v>
      </c>
    </row>
    <row r="533" spans="1:12" ht="15">
      <c r="B533" s="1536" t="str">
        <f>'8.Dgia'!B431</f>
        <v/>
      </c>
      <c r="C533" s="1537">
        <f>'8.Dgia'!C431</f>
        <v>0</v>
      </c>
      <c r="D533" s="1537">
        <f>'8.Dgia'!D431</f>
        <v>0</v>
      </c>
      <c r="E533" s="1749" t="str">
        <f>'8.Dgia'!E431</f>
        <v>Cần cẩu bánh hơi 16T</v>
      </c>
      <c r="F533" s="1745" t="s">
        <v>5493</v>
      </c>
      <c r="G533" s="1746">
        <f>'8.Dgia'!H431</f>
        <v>0.111</v>
      </c>
      <c r="H533" s="1747">
        <f>'9.may'!$P$235</f>
        <v>2023241.85</v>
      </c>
      <c r="I533" s="1747">
        <f>H533*G533</f>
        <v>224579.84535000002</v>
      </c>
    </row>
    <row r="534" spans="1:12" s="658" customFormat="1" ht="15">
      <c r="B534" s="1675"/>
      <c r="C534" s="1676"/>
      <c r="D534" s="1676"/>
      <c r="E534" s="1752" t="s">
        <v>5675</v>
      </c>
      <c r="F534" s="1763">
        <f>$J$5</f>
        <v>0.02</v>
      </c>
      <c r="G534" s="1754"/>
      <c r="H534" s="1755"/>
      <c r="I534" s="1756">
        <f>( I526+I528+I529 )*F534</f>
        <v>13973.568830509093</v>
      </c>
      <c r="J534" s="850"/>
      <c r="K534" s="850"/>
      <c r="L534" s="850"/>
    </row>
    <row r="535" spans="1:12" ht="15">
      <c r="B535" s="1540"/>
      <c r="C535" s="1541"/>
      <c r="D535" s="1541"/>
      <c r="E535" s="1757" t="s">
        <v>5676</v>
      </c>
      <c r="F535" s="1763"/>
      <c r="G535" s="1759"/>
      <c r="H535" s="1760"/>
      <c r="I535" s="1761">
        <f>I534+I534/F534</f>
        <v>712652.01035596372</v>
      </c>
    </row>
    <row r="536" spans="1:12" ht="15">
      <c r="B536" s="1536"/>
      <c r="C536" s="1537"/>
      <c r="D536" s="1537"/>
      <c r="E536" s="1762" t="s">
        <v>5677</v>
      </c>
      <c r="F536" s="1763">
        <f>$K$5</f>
        <v>5.5E-2</v>
      </c>
      <c r="G536" s="1746"/>
      <c r="H536" s="1747"/>
      <c r="I536" s="1764">
        <f>I535*F536</f>
        <v>39195.860569578006</v>
      </c>
    </row>
    <row r="537" spans="1:12" ht="15">
      <c r="B537" s="1536"/>
      <c r="C537" s="1537"/>
      <c r="D537" s="1537"/>
      <c r="E537" s="1762" t="s">
        <v>5678</v>
      </c>
      <c r="F537" s="1763">
        <f>$L$5</f>
        <v>0.06</v>
      </c>
      <c r="G537" s="1746"/>
      <c r="H537" s="1747"/>
      <c r="I537" s="1764">
        <f>SUM(I535:I536)*F537</f>
        <v>45110.8722555325</v>
      </c>
    </row>
    <row r="538" spans="1:12" ht="14.25">
      <c r="B538" s="1540"/>
      <c r="C538" s="1541"/>
      <c r="D538" s="1541"/>
      <c r="E538" s="1757" t="s">
        <v>5679</v>
      </c>
      <c r="F538" s="1791"/>
      <c r="G538" s="1759"/>
      <c r="H538" s="1760"/>
      <c r="I538" s="1761">
        <f>SUM(I535:I537)</f>
        <v>796958.74318107427</v>
      </c>
    </row>
    <row r="539" spans="1:12" ht="15">
      <c r="B539" s="1536"/>
      <c r="C539" s="1537"/>
      <c r="D539" s="1537"/>
      <c r="E539" s="1762" t="s">
        <v>5680</v>
      </c>
      <c r="F539" s="1765">
        <f>$M$5</f>
        <v>0.1</v>
      </c>
      <c r="G539" s="1746"/>
      <c r="H539" s="1747"/>
      <c r="I539" s="1764">
        <f>I538*F539</f>
        <v>79695.874318107439</v>
      </c>
    </row>
    <row r="540" spans="1:12" ht="14.25">
      <c r="B540" s="1540"/>
      <c r="C540" s="1541"/>
      <c r="D540" s="1541"/>
      <c r="E540" s="1757" t="s">
        <v>5681</v>
      </c>
      <c r="F540" s="1791"/>
      <c r="G540" s="1759"/>
      <c r="H540" s="1760"/>
      <c r="I540" s="1761">
        <f>SUM(I538:I539)</f>
        <v>876654.61749918177</v>
      </c>
    </row>
    <row r="541" spans="1:12" ht="12.75">
      <c r="B541" s="1536"/>
      <c r="C541" s="1537"/>
      <c r="D541" s="1537"/>
      <c r="E541" s="1533" t="s">
        <v>5682</v>
      </c>
      <c r="F541" s="1535">
        <f>$N$5</f>
        <v>0.01</v>
      </c>
      <c r="G541" s="1538"/>
      <c r="H541" s="1532"/>
      <c r="I541" s="1534">
        <f>I540*F541</f>
        <v>8766.5461749918177</v>
      </c>
    </row>
    <row r="542" spans="1:12" ht="14.25">
      <c r="B542" s="2104"/>
      <c r="C542" s="1543"/>
      <c r="D542" s="2105"/>
      <c r="E542" s="2106" t="s">
        <v>5683</v>
      </c>
      <c r="F542" s="2115"/>
      <c r="G542" s="2108"/>
      <c r="H542" s="2109"/>
      <c r="I542" s="2110">
        <f>ROUND(I540+I541,0)</f>
        <v>885421</v>
      </c>
    </row>
    <row r="543" spans="1:12" ht="14.25">
      <c r="A543" s="657">
        <v>1</v>
      </c>
      <c r="B543" s="1546">
        <f>IF(A543&lt;&gt;0,COUNTA(A$7:$A543),"")</f>
        <v>31</v>
      </c>
      <c r="C543" s="1547">
        <f>'8.Dgia'!C440</f>
        <v>1776</v>
      </c>
      <c r="D543" s="1547" t="str">
        <f>'8.Dgia'!D440</f>
        <v>AF.11410</v>
      </c>
      <c r="E543" s="1740" t="str">
        <f>'8.Dgia'!E440</f>
        <v>Bê tông C25 bản quá độ đổ tại chỗ</v>
      </c>
      <c r="F543" s="1789" t="str">
        <f>'8.Dgia'!G440</f>
        <v>m3</v>
      </c>
      <c r="G543" s="1742">
        <f>'8.Dgia'!H440</f>
        <v>0</v>
      </c>
      <c r="H543" s="1743"/>
      <c r="I543" s="1743"/>
      <c r="J543" s="842">
        <f>+I544</f>
        <v>984460.54990591179</v>
      </c>
      <c r="K543" s="842">
        <f>+I547</f>
        <v>529599.91</v>
      </c>
      <c r="L543" s="842">
        <f>+I548</f>
        <v>23796.9734775</v>
      </c>
    </row>
    <row r="544" spans="1:12" s="658" customFormat="1" ht="15">
      <c r="B544" s="1536" t="str">
        <f>'8.Dgia'!B441</f>
        <v/>
      </c>
      <c r="C544" s="1537">
        <f>'8.Dgia'!C441</f>
        <v>0</v>
      </c>
      <c r="D544" s="1537">
        <f>'8.Dgia'!D441</f>
        <v>0</v>
      </c>
      <c r="E544" s="1744" t="str">
        <f>'8.Dgia'!E441</f>
        <v xml:space="preserve">  A - Vật liệu</v>
      </c>
      <c r="F544" s="1763">
        <f>'8.Dgia'!G441</f>
        <v>0</v>
      </c>
      <c r="G544" s="1746">
        <f>'8.Dgia'!H441</f>
        <v>0</v>
      </c>
      <c r="H544" s="1747"/>
      <c r="I544" s="1748">
        <f>SUM(I545:I546)</f>
        <v>984460.54990591179</v>
      </c>
      <c r="J544" s="850"/>
      <c r="K544" s="850"/>
      <c r="L544" s="850"/>
    </row>
    <row r="545" spans="1:12" ht="15">
      <c r="B545" s="1536" t="str">
        <f>'8.Dgia'!B442</f>
        <v/>
      </c>
      <c r="C545" s="1537">
        <f>'8.Dgia'!C442</f>
        <v>0</v>
      </c>
      <c r="D545" s="1537" t="str">
        <f>'8.Dgia'!D442</f>
        <v>C3125</v>
      </c>
      <c r="E545" s="1749" t="str">
        <f>'8.Dgia'!E442</f>
        <v>Vữa bê tông đá 1x2 C25 SN 2-4</v>
      </c>
      <c r="F545" s="1763" t="str">
        <f>'8.Dgia'!G442</f>
        <v>m3</v>
      </c>
      <c r="G545" s="1746">
        <f>'8.Dgia'!H442</f>
        <v>1.0249999999999999</v>
      </c>
      <c r="H545" s="1747">
        <f>GVL!$I$196</f>
        <v>950939.91780334397</v>
      </c>
      <c r="I545" s="1747">
        <f>H545*G545</f>
        <v>974713.41574842751</v>
      </c>
    </row>
    <row r="546" spans="1:12" ht="15">
      <c r="B546" s="1536" t="str">
        <f>'8.Dgia'!B443</f>
        <v/>
      </c>
      <c r="C546" s="1537">
        <f>'8.Dgia'!C443</f>
        <v>0</v>
      </c>
      <c r="D546" s="1537">
        <f>'8.Dgia'!D443</f>
        <v>0</v>
      </c>
      <c r="E546" s="1749" t="str">
        <f>'8.Dgia'!E443</f>
        <v>Vật liệu khác</v>
      </c>
      <c r="F546" s="1763" t="str">
        <f>'8.Dgia'!G443</f>
        <v>%</v>
      </c>
      <c r="G546" s="1954">
        <f>'8.Dgia'!H443</f>
        <v>1</v>
      </c>
      <c r="H546" s="1747">
        <f>I545</f>
        <v>974713.41574842751</v>
      </c>
      <c r="I546" s="1747">
        <f>H546*G546%</f>
        <v>9747.1341574842754</v>
      </c>
    </row>
    <row r="547" spans="1:12" s="658" customFormat="1" ht="15">
      <c r="B547" s="1536" t="str">
        <f>'8.Dgia'!B444</f>
        <v/>
      </c>
      <c r="C547" s="1537">
        <f>'8.Dgia'!C444</f>
        <v>0</v>
      </c>
      <c r="D547" s="1537">
        <f>'8.Dgia'!D444</f>
        <v>0</v>
      </c>
      <c r="E547" s="1744" t="str">
        <f>'8.Dgia'!E444</f>
        <v xml:space="preserve">  B - Nhân công 3.0/7</v>
      </c>
      <c r="F547" s="1745" t="s">
        <v>552</v>
      </c>
      <c r="G547" s="1746">
        <f>'8.Dgia'!H444</f>
        <v>2.41</v>
      </c>
      <c r="H547" s="1747">
        <f>'16.NC'!$H$13</f>
        <v>219751</v>
      </c>
      <c r="I547" s="1750">
        <f>H547*G547</f>
        <v>529599.91</v>
      </c>
      <c r="J547" s="850"/>
      <c r="K547" s="850"/>
      <c r="L547" s="850"/>
    </row>
    <row r="548" spans="1:12" s="658" customFormat="1" ht="15">
      <c r="B548" s="1536" t="str">
        <f>'8.Dgia'!B445</f>
        <v/>
      </c>
      <c r="C548" s="1537">
        <f>'8.Dgia'!C445</f>
        <v>0</v>
      </c>
      <c r="D548" s="1537">
        <f>'8.Dgia'!D445</f>
        <v>0</v>
      </c>
      <c r="E548" s="1744" t="str">
        <f>'8.Dgia'!E445</f>
        <v xml:space="preserve">  C - Máy thi công</v>
      </c>
      <c r="F548" s="1763">
        <f>'8.Dgia'!G445</f>
        <v>0</v>
      </c>
      <c r="G548" s="1746">
        <f>'8.Dgia'!H445</f>
        <v>0</v>
      </c>
      <c r="H548" s="1747"/>
      <c r="I548" s="1751">
        <f>SUM(I549:I550)</f>
        <v>23796.9734775</v>
      </c>
      <c r="J548" s="850"/>
      <c r="K548" s="850"/>
      <c r="L548" s="850"/>
    </row>
    <row r="549" spans="1:12" ht="15">
      <c r="B549" s="1536" t="str">
        <f>'8.Dgia'!B446</f>
        <v/>
      </c>
      <c r="C549" s="1537">
        <f>'8.Dgia'!C446</f>
        <v>0</v>
      </c>
      <c r="D549" s="1537">
        <f>'8.Dgia'!D446</f>
        <v>0</v>
      </c>
      <c r="E549" s="1749" t="str">
        <f>'8.Dgia'!E446</f>
        <v>Máy trộn 250l</v>
      </c>
      <c r="F549" s="1745" t="s">
        <v>5493</v>
      </c>
      <c r="G549" s="1746">
        <f>'8.Dgia'!H446</f>
        <v>9.5000000000000001E-2</v>
      </c>
      <c r="H549" s="1747">
        <f>'9.may'!$P$333</f>
        <v>180447.90000000002</v>
      </c>
      <c r="I549" s="1747">
        <f>H549*G549</f>
        <v>17142.550500000001</v>
      </c>
    </row>
    <row r="550" spans="1:12" ht="15">
      <c r="B550" s="1536" t="str">
        <f>'8.Dgia'!B447</f>
        <v/>
      </c>
      <c r="C550" s="1537">
        <f>'8.Dgia'!C447</f>
        <v>0</v>
      </c>
      <c r="D550" s="1537">
        <f>'8.Dgia'!D447</f>
        <v>0</v>
      </c>
      <c r="E550" s="1749" t="str">
        <f>'8.Dgia'!E447</f>
        <v>Máy đầm dùi 1.5kw</v>
      </c>
      <c r="F550" s="1745" t="s">
        <v>5493</v>
      </c>
      <c r="G550" s="1746">
        <f>'8.Dgia'!H447</f>
        <v>8.8999999999999996E-2</v>
      </c>
      <c r="H550" s="1747">
        <f>'9.may'!$P$382</f>
        <v>74768.797500000001</v>
      </c>
      <c r="I550" s="1747">
        <f>H550*G550</f>
        <v>6654.4229774999994</v>
      </c>
    </row>
    <row r="551" spans="1:12" s="658" customFormat="1" ht="15">
      <c r="B551" s="1675"/>
      <c r="C551" s="1676"/>
      <c r="D551" s="1676"/>
      <c r="E551" s="1752" t="s">
        <v>5675</v>
      </c>
      <c r="F551" s="1763">
        <f>$J$5</f>
        <v>0.02</v>
      </c>
      <c r="G551" s="1754"/>
      <c r="H551" s="1755"/>
      <c r="I551" s="1756">
        <f>( I544+I547+I548 )*F551</f>
        <v>30757.148667668236</v>
      </c>
      <c r="J551" s="850"/>
      <c r="K551" s="850"/>
      <c r="L551" s="850"/>
    </row>
    <row r="552" spans="1:12" ht="15">
      <c r="B552" s="1540"/>
      <c r="C552" s="1541"/>
      <c r="D552" s="1541"/>
      <c r="E552" s="1757" t="s">
        <v>5676</v>
      </c>
      <c r="F552" s="1763"/>
      <c r="G552" s="1759"/>
      <c r="H552" s="1760"/>
      <c r="I552" s="1761">
        <f>I551+I551/F551</f>
        <v>1568614.58205108</v>
      </c>
    </row>
    <row r="553" spans="1:12" ht="15">
      <c r="B553" s="1536"/>
      <c r="C553" s="1537"/>
      <c r="D553" s="1537"/>
      <c r="E553" s="1762" t="s">
        <v>5677</v>
      </c>
      <c r="F553" s="1763">
        <f>$K$5</f>
        <v>5.5E-2</v>
      </c>
      <c r="G553" s="1746"/>
      <c r="H553" s="1747"/>
      <c r="I553" s="1764">
        <f>I552*F553</f>
        <v>86273.802012809392</v>
      </c>
    </row>
    <row r="554" spans="1:12" ht="15">
      <c r="B554" s="1536"/>
      <c r="C554" s="1537"/>
      <c r="D554" s="1537"/>
      <c r="E554" s="1762" t="s">
        <v>5678</v>
      </c>
      <c r="F554" s="1763">
        <f>$L$5</f>
        <v>0.06</v>
      </c>
      <c r="G554" s="1746"/>
      <c r="H554" s="1747"/>
      <c r="I554" s="1764">
        <f>SUM(I552:I553)*F554</f>
        <v>99293.303043833352</v>
      </c>
    </row>
    <row r="555" spans="1:12" ht="14.25">
      <c r="B555" s="1540"/>
      <c r="C555" s="1541"/>
      <c r="D555" s="1541"/>
      <c r="E555" s="1757" t="s">
        <v>5679</v>
      </c>
      <c r="F555" s="1791"/>
      <c r="G555" s="1759"/>
      <c r="H555" s="1760"/>
      <c r="I555" s="1761">
        <f>SUM(I552:I554)</f>
        <v>1754181.6871077227</v>
      </c>
    </row>
    <row r="556" spans="1:12" ht="15">
      <c r="B556" s="1536"/>
      <c r="C556" s="1537"/>
      <c r="D556" s="1537"/>
      <c r="E556" s="1762" t="s">
        <v>5680</v>
      </c>
      <c r="F556" s="1765">
        <f>$M$5</f>
        <v>0.1</v>
      </c>
      <c r="G556" s="1746"/>
      <c r="H556" s="1747"/>
      <c r="I556" s="1764">
        <f>I555*F556</f>
        <v>175418.1687107723</v>
      </c>
    </row>
    <row r="557" spans="1:12" ht="14.25">
      <c r="B557" s="1540"/>
      <c r="C557" s="1541"/>
      <c r="D557" s="1541"/>
      <c r="E557" s="1757" t="s">
        <v>5681</v>
      </c>
      <c r="F557" s="1791"/>
      <c r="G557" s="1759"/>
      <c r="H557" s="1760"/>
      <c r="I557" s="1761">
        <f>SUM(I555:I556)</f>
        <v>1929599.8558184952</v>
      </c>
    </row>
    <row r="558" spans="1:12" ht="12.75">
      <c r="B558" s="1536"/>
      <c r="C558" s="1537"/>
      <c r="D558" s="1537"/>
      <c r="E558" s="1533" t="s">
        <v>5682</v>
      </c>
      <c r="F558" s="1535">
        <f>$N$5</f>
        <v>0.01</v>
      </c>
      <c r="G558" s="1538"/>
      <c r="H558" s="1532"/>
      <c r="I558" s="1534">
        <f>I557*F558</f>
        <v>19295.998558184951</v>
      </c>
    </row>
    <row r="559" spans="1:12" ht="14.25">
      <c r="B559" s="2104"/>
      <c r="C559" s="1543"/>
      <c r="D559" s="2105"/>
      <c r="E559" s="2106" t="s">
        <v>5683</v>
      </c>
      <c r="F559" s="2115"/>
      <c r="G559" s="2108"/>
      <c r="H559" s="2109"/>
      <c r="I559" s="2110">
        <f>ROUND(I557+I558,0)</f>
        <v>1948896</v>
      </c>
    </row>
    <row r="560" spans="1:12" ht="28.5">
      <c r="A560" s="657">
        <v>1</v>
      </c>
      <c r="B560" s="1546">
        <f>IF(A560&lt;&gt;0,COUNTA(A$7:$A560),"")</f>
        <v>32</v>
      </c>
      <c r="C560" s="1547">
        <f>'8.Dgia'!C456</f>
        <v>1776</v>
      </c>
      <c r="D560" s="1547" t="str">
        <f>'8.Dgia'!D456</f>
        <v>AF.61120</v>
      </c>
      <c r="E560" s="1740" t="str">
        <f>'8.Dgia'!E456</f>
        <v>Cốt thép D&lt;=18 (sàn, bản quá độ, bệ đúc dầm Super-T các loại…)</v>
      </c>
      <c r="F560" s="1789" t="s">
        <v>557</v>
      </c>
      <c r="G560" s="1742">
        <f>'8.Dgia'!H456</f>
        <v>0</v>
      </c>
      <c r="H560" s="1743"/>
      <c r="I560" s="1790"/>
      <c r="J560" s="842">
        <f>+I561</f>
        <v>17284349.289381817</v>
      </c>
      <c r="K560" s="842">
        <f>+I565</f>
        <v>1966705.44</v>
      </c>
      <c r="L560" s="842">
        <f>+I566</f>
        <v>217940.44560000001</v>
      </c>
    </row>
    <row r="561" spans="2:12" s="658" customFormat="1" ht="15">
      <c r="B561" s="1536" t="str">
        <f>'8.Dgia'!B457</f>
        <v/>
      </c>
      <c r="C561" s="1537">
        <f>'8.Dgia'!C457</f>
        <v>0</v>
      </c>
      <c r="D561" s="1537">
        <f>'8.Dgia'!D457</f>
        <v>0</v>
      </c>
      <c r="E561" s="1744" t="str">
        <f>'8.Dgia'!E457</f>
        <v xml:space="preserve">  A - Vật liệu</v>
      </c>
      <c r="F561" s="1763">
        <f>'8.Dgia'!G457</f>
        <v>0</v>
      </c>
      <c r="G561" s="1746">
        <f>'8.Dgia'!H457</f>
        <v>0</v>
      </c>
      <c r="H561" s="1747"/>
      <c r="I561" s="1748">
        <f>SUM(I562:I564)</f>
        <v>17284349.289381817</v>
      </c>
      <c r="J561" s="850"/>
      <c r="K561" s="850"/>
      <c r="L561" s="850"/>
    </row>
    <row r="562" spans="2:12" ht="15">
      <c r="B562" s="1536" t="str">
        <f>'8.Dgia'!B458</f>
        <v/>
      </c>
      <c r="C562" s="1537">
        <f>'8.Dgia'!C458</f>
        <v>0</v>
      </c>
      <c r="D562" s="1537">
        <f>'8.Dgia'!D458</f>
        <v>0</v>
      </c>
      <c r="E562" s="1749" t="str">
        <f>'8.Dgia'!E458</f>
        <v>Thép tròn D&lt;=18</v>
      </c>
      <c r="F562" s="1763" t="str">
        <f>'8.Dgia'!G458</f>
        <v>kg</v>
      </c>
      <c r="G562" s="1954">
        <f>'8.Dgia'!H458</f>
        <v>1020</v>
      </c>
      <c r="H562" s="1747">
        <f>GVL!$I$180</f>
        <v>16604.075560000001</v>
      </c>
      <c r="I562" s="1747">
        <f>H562*G562</f>
        <v>16936157.071200002</v>
      </c>
    </row>
    <row r="563" spans="2:12" ht="15">
      <c r="B563" s="1536" t="str">
        <f>'8.Dgia'!B459</f>
        <v/>
      </c>
      <c r="C563" s="1537">
        <f>'8.Dgia'!C459</f>
        <v>0</v>
      </c>
      <c r="D563" s="1537">
        <f>'8.Dgia'!D459</f>
        <v>0</v>
      </c>
      <c r="E563" s="1749" t="str">
        <f>'8.Dgia'!E459</f>
        <v>Dây thép buộc</v>
      </c>
      <c r="F563" s="1763" t="str">
        <f>'8.Dgia'!G459</f>
        <v>kg</v>
      </c>
      <c r="G563" s="1746">
        <f>'8.Dgia'!H459</f>
        <v>14.28</v>
      </c>
      <c r="H563" s="1747">
        <f>GVL!$I$89</f>
        <v>18180</v>
      </c>
      <c r="I563" s="1747">
        <f>H563*G563</f>
        <v>259610.4</v>
      </c>
    </row>
    <row r="564" spans="2:12" ht="15">
      <c r="B564" s="1536" t="str">
        <f>'8.Dgia'!B460</f>
        <v/>
      </c>
      <c r="C564" s="1537">
        <f>'8.Dgia'!C460</f>
        <v>0</v>
      </c>
      <c r="D564" s="1537">
        <f>'8.Dgia'!D460</f>
        <v>0</v>
      </c>
      <c r="E564" s="1749" t="str">
        <f>'8.Dgia'!E460</f>
        <v>Que hàn</v>
      </c>
      <c r="F564" s="1763" t="str">
        <f>'8.Dgia'!G460</f>
        <v>kg</v>
      </c>
      <c r="G564" s="1746">
        <f>'8.Dgia'!H460</f>
        <v>4.6399999999999997</v>
      </c>
      <c r="H564" s="1747">
        <f>GVL!$I$153</f>
        <v>19090.909090909088</v>
      </c>
      <c r="I564" s="1747">
        <f>H564*G564</f>
        <v>88581.818181818162</v>
      </c>
    </row>
    <row r="565" spans="2:12" s="658" customFormat="1" ht="15">
      <c r="B565" s="1536" t="str">
        <f>'8.Dgia'!B461</f>
        <v/>
      </c>
      <c r="C565" s="1537">
        <f>'8.Dgia'!C461</f>
        <v>0</v>
      </c>
      <c r="D565" s="1537">
        <f>'8.Dgia'!D461</f>
        <v>0</v>
      </c>
      <c r="E565" s="1744" t="str">
        <f>'8.Dgia'!E461</f>
        <v xml:space="preserve">  B - Nhân công 3.5/7</v>
      </c>
      <c r="F565" s="1745" t="s">
        <v>552</v>
      </c>
      <c r="G565" s="1746">
        <f>'8.Dgia'!H461</f>
        <v>8.34</v>
      </c>
      <c r="H565" s="1747">
        <f>'16.NC'!$H$16</f>
        <v>235816</v>
      </c>
      <c r="I565" s="1750">
        <f>H565*G565</f>
        <v>1966705.44</v>
      </c>
      <c r="J565" s="850"/>
      <c r="K565" s="850"/>
      <c r="L565" s="850"/>
    </row>
    <row r="566" spans="2:12" s="658" customFormat="1" ht="15">
      <c r="B566" s="1536" t="str">
        <f>'8.Dgia'!B462</f>
        <v/>
      </c>
      <c r="C566" s="1537">
        <f>'8.Dgia'!C462</f>
        <v>0</v>
      </c>
      <c r="D566" s="1537">
        <f>'8.Dgia'!D462</f>
        <v>0</v>
      </c>
      <c r="E566" s="1744" t="str">
        <f>'8.Dgia'!E462</f>
        <v xml:space="preserve">  C - Máy thi công</v>
      </c>
      <c r="F566" s="1763">
        <f>'8.Dgia'!G462</f>
        <v>0</v>
      </c>
      <c r="G566" s="1746">
        <f>'8.Dgia'!H462</f>
        <v>0</v>
      </c>
      <c r="H566" s="1747"/>
      <c r="I566" s="1751">
        <f>SUM(I567:I568)</f>
        <v>217940.44560000001</v>
      </c>
      <c r="J566" s="850"/>
      <c r="K566" s="850"/>
      <c r="L566" s="850"/>
    </row>
    <row r="567" spans="2:12" ht="15">
      <c r="B567" s="1536" t="str">
        <f>'8.Dgia'!B463</f>
        <v/>
      </c>
      <c r="C567" s="1537">
        <f>'8.Dgia'!C463</f>
        <v>0</v>
      </c>
      <c r="D567" s="1537">
        <f>'8.Dgia'!D463</f>
        <v>0</v>
      </c>
      <c r="E567" s="1749" t="str">
        <f>'8.Dgia'!E463</f>
        <v>Máy hàn 23kw</v>
      </c>
      <c r="F567" s="1745" t="s">
        <v>5493</v>
      </c>
      <c r="G567" s="1746">
        <f>'8.Dgia'!H463</f>
        <v>1.1200000000000001</v>
      </c>
      <c r="H567" s="1747">
        <f>'9.may'!$P$510</f>
        <v>171649.155</v>
      </c>
      <c r="I567" s="1747">
        <f>H567*G567</f>
        <v>192247.05360000001</v>
      </c>
    </row>
    <row r="568" spans="2:12" ht="15">
      <c r="B568" s="1536" t="str">
        <f>'8.Dgia'!B464</f>
        <v/>
      </c>
      <c r="C568" s="1537">
        <f>'8.Dgia'!C464</f>
        <v>0</v>
      </c>
      <c r="D568" s="1537">
        <f>'8.Dgia'!D464</f>
        <v>0</v>
      </c>
      <c r="E568" s="1749" t="str">
        <f>'8.Dgia'!E464</f>
        <v>Máy cắt uốn</v>
      </c>
      <c r="F568" s="1745" t="s">
        <v>5493</v>
      </c>
      <c r="G568" s="1746">
        <f>'8.Dgia'!H464</f>
        <v>0.32</v>
      </c>
      <c r="H568" s="1747">
        <f>'9.may'!$P$557</f>
        <v>80291.850000000006</v>
      </c>
      <c r="I568" s="1747">
        <f>H568*G568</f>
        <v>25693.392000000003</v>
      </c>
    </row>
    <row r="569" spans="2:12" s="658" customFormat="1" ht="15">
      <c r="B569" s="1675"/>
      <c r="C569" s="1676"/>
      <c r="D569" s="1676"/>
      <c r="E569" s="1752" t="s">
        <v>5675</v>
      </c>
      <c r="F569" s="1763">
        <f>$J$5</f>
        <v>0.02</v>
      </c>
      <c r="G569" s="1754"/>
      <c r="H569" s="1755"/>
      <c r="I569" s="1756">
        <f>( I561+I565+I566 )*F569</f>
        <v>389379.90349963633</v>
      </c>
      <c r="J569" s="850"/>
      <c r="K569" s="850"/>
      <c r="L569" s="850"/>
    </row>
    <row r="570" spans="2:12" ht="15">
      <c r="B570" s="1540"/>
      <c r="C570" s="1541"/>
      <c r="D570" s="1541"/>
      <c r="E570" s="1757" t="s">
        <v>5676</v>
      </c>
      <c r="F570" s="1763"/>
      <c r="G570" s="1759"/>
      <c r="H570" s="1760"/>
      <c r="I570" s="1761">
        <f>I569+I569/F569</f>
        <v>19858375.078481454</v>
      </c>
    </row>
    <row r="571" spans="2:12" ht="15">
      <c r="B571" s="1536"/>
      <c r="C571" s="1537"/>
      <c r="D571" s="1537"/>
      <c r="E571" s="1762" t="s">
        <v>5677</v>
      </c>
      <c r="F571" s="1763">
        <f>$K$5</f>
        <v>5.5E-2</v>
      </c>
      <c r="G571" s="1746"/>
      <c r="H571" s="1747"/>
      <c r="I571" s="1764">
        <f>I570*F571</f>
        <v>1092210.6293164799</v>
      </c>
    </row>
    <row r="572" spans="2:12" ht="15">
      <c r="B572" s="1536"/>
      <c r="C572" s="1537"/>
      <c r="D572" s="1537"/>
      <c r="E572" s="1762" t="s">
        <v>5678</v>
      </c>
      <c r="F572" s="1763">
        <f>$L$5</f>
        <v>0.06</v>
      </c>
      <c r="G572" s="1746"/>
      <c r="H572" s="1747"/>
      <c r="I572" s="1764">
        <f>SUM(I570:I571)*F572</f>
        <v>1257035.142467876</v>
      </c>
    </row>
    <row r="573" spans="2:12" ht="14.25">
      <c r="B573" s="1540"/>
      <c r="C573" s="1541"/>
      <c r="D573" s="1541"/>
      <c r="E573" s="1757" t="s">
        <v>5679</v>
      </c>
      <c r="F573" s="1791"/>
      <c r="G573" s="1759"/>
      <c r="H573" s="1760"/>
      <c r="I573" s="1761">
        <f>SUM(I570:I572)</f>
        <v>22207620.850265808</v>
      </c>
    </row>
    <row r="574" spans="2:12" ht="15">
      <c r="B574" s="1536"/>
      <c r="C574" s="1537"/>
      <c r="D574" s="1537"/>
      <c r="E574" s="1762" t="s">
        <v>5680</v>
      </c>
      <c r="F574" s="1765">
        <f>$M$5</f>
        <v>0.1</v>
      </c>
      <c r="G574" s="1746"/>
      <c r="H574" s="1747"/>
      <c r="I574" s="1764">
        <f>I573*F574</f>
        <v>2220762.0850265808</v>
      </c>
    </row>
    <row r="575" spans="2:12" ht="14.25">
      <c r="B575" s="1540"/>
      <c r="C575" s="1541"/>
      <c r="D575" s="1541"/>
      <c r="E575" s="1757" t="s">
        <v>5681</v>
      </c>
      <c r="F575" s="1791"/>
      <c r="G575" s="1759"/>
      <c r="H575" s="1760"/>
      <c r="I575" s="1761">
        <f>SUM(I573:I574)</f>
        <v>24428382.935292389</v>
      </c>
    </row>
    <row r="576" spans="2:12" ht="12.75">
      <c r="B576" s="1536"/>
      <c r="C576" s="1537"/>
      <c r="D576" s="1537"/>
      <c r="E576" s="1533" t="s">
        <v>5682</v>
      </c>
      <c r="F576" s="1535">
        <f>$N$5</f>
        <v>0.01</v>
      </c>
      <c r="G576" s="1538"/>
      <c r="H576" s="1532"/>
      <c r="I576" s="1534">
        <f>I575*F576</f>
        <v>244283.8293529239</v>
      </c>
    </row>
    <row r="577" spans="1:12" ht="14.25">
      <c r="B577" s="2104"/>
      <c r="C577" s="1543"/>
      <c r="D577" s="2105"/>
      <c r="E577" s="2106" t="s">
        <v>5683</v>
      </c>
      <c r="F577" s="2115"/>
      <c r="G577" s="2108"/>
      <c r="H577" s="2109"/>
      <c r="I577" s="2110">
        <f>ROUND(I575+I576,-2)</f>
        <v>24672700</v>
      </c>
    </row>
    <row r="578" spans="1:12" s="1336" customFormat="1" ht="28.5">
      <c r="A578" s="657">
        <v>1</v>
      </c>
      <c r="B578" s="1546">
        <f>IF(A578&lt;&gt;0,COUNTA(A$7:$A578),"")</f>
        <v>33</v>
      </c>
      <c r="C578" s="1547">
        <f>'8.Dgia'!C465</f>
        <v>1776</v>
      </c>
      <c r="D578" s="1547" t="str">
        <f>'8.Dgia'!D465</f>
        <v>AF.61110</v>
      </c>
      <c r="E578" s="1740" t="str">
        <f>'8.Dgia'!E465</f>
        <v>Cốt thép D&lt;=10 (sàn, bản quá độ, bệ đúc dầm Super-T các loại…)</v>
      </c>
      <c r="F578" s="1789" t="s">
        <v>557</v>
      </c>
      <c r="G578" s="1742">
        <f>'8.Dgia'!H465</f>
        <v>0</v>
      </c>
      <c r="H578" s="1743"/>
      <c r="I578" s="1790"/>
      <c r="J578" s="1425">
        <f>+I579</f>
        <v>17227261.537800003</v>
      </c>
      <c r="K578" s="1425">
        <f>+I583</f>
        <v>2669437.12</v>
      </c>
      <c r="L578" s="1425">
        <f>+I584</f>
        <v>32116.740000000005</v>
      </c>
    </row>
    <row r="579" spans="1:12" s="658" customFormat="1" ht="15">
      <c r="B579" s="1536" t="str">
        <f>'8.Dgia'!B466</f>
        <v/>
      </c>
      <c r="C579" s="1537">
        <f>'8.Dgia'!C466</f>
        <v>0</v>
      </c>
      <c r="D579" s="1537">
        <f>'8.Dgia'!D466</f>
        <v>0</v>
      </c>
      <c r="E579" s="1744" t="str">
        <f>'8.Dgia'!E466</f>
        <v xml:space="preserve">  A - Vật liệu</v>
      </c>
      <c r="F579" s="1763">
        <f>'8.Dgia'!G466</f>
        <v>0</v>
      </c>
      <c r="G579" s="1746">
        <f>'8.Dgia'!H466</f>
        <v>0</v>
      </c>
      <c r="H579" s="1747"/>
      <c r="I579" s="1748">
        <f>SUM(I580:I582)</f>
        <v>17227261.537800003</v>
      </c>
      <c r="J579" s="850"/>
      <c r="K579" s="850"/>
      <c r="L579" s="850"/>
    </row>
    <row r="580" spans="1:12" ht="15">
      <c r="B580" s="1536" t="str">
        <f>'8.Dgia'!B467</f>
        <v/>
      </c>
      <c r="C580" s="1537">
        <f>'8.Dgia'!C467</f>
        <v>0</v>
      </c>
      <c r="D580" s="1537">
        <f>'8.Dgia'!D467</f>
        <v>0</v>
      </c>
      <c r="E580" s="1749" t="str">
        <f>'8.Dgia'!E467</f>
        <v>Thép tròn D&lt;=10</v>
      </c>
      <c r="F580" s="1763" t="str">
        <f>'8.Dgia'!G467</f>
        <v>kg</v>
      </c>
      <c r="G580" s="1954">
        <f>'8.Dgia'!H467</f>
        <v>1005</v>
      </c>
      <c r="H580" s="1747">
        <f>GVL!$I$179</f>
        <v>16754.075560000001</v>
      </c>
      <c r="I580" s="1747">
        <f>H580*G580</f>
        <v>16837845.937800001</v>
      </c>
    </row>
    <row r="581" spans="1:12" ht="15">
      <c r="B581" s="1536" t="str">
        <f>'8.Dgia'!B468</f>
        <v/>
      </c>
      <c r="C581" s="1537">
        <f>'8.Dgia'!C468</f>
        <v>0</v>
      </c>
      <c r="D581" s="1537">
        <f>'8.Dgia'!D468</f>
        <v>0</v>
      </c>
      <c r="E581" s="1749" t="str">
        <f>'8.Dgia'!E468</f>
        <v>Dây thép buộc</v>
      </c>
      <c r="F581" s="1763" t="str">
        <f>'8.Dgia'!G468</f>
        <v>kg</v>
      </c>
      <c r="G581" s="1746">
        <f>'8.Dgia'!H468</f>
        <v>21.42</v>
      </c>
      <c r="H581" s="1747">
        <f>GVL!$I$89</f>
        <v>18180</v>
      </c>
      <c r="I581" s="1747">
        <f>H581*G581</f>
        <v>389415.60000000003</v>
      </c>
    </row>
    <row r="582" spans="1:12" ht="15">
      <c r="B582" s="1536" t="str">
        <f>'8.Dgia'!B469</f>
        <v/>
      </c>
      <c r="C582" s="1537">
        <f>'8.Dgia'!C469</f>
        <v>0</v>
      </c>
      <c r="D582" s="1537">
        <f>'8.Dgia'!D469</f>
        <v>0</v>
      </c>
      <c r="E582" s="1749" t="str">
        <f>'8.Dgia'!E469</f>
        <v>Que hàn</v>
      </c>
      <c r="F582" s="1763" t="str">
        <f>'8.Dgia'!G469</f>
        <v>kg</v>
      </c>
      <c r="G582" s="1746">
        <f>'8.Dgia'!H469</f>
        <v>0</v>
      </c>
      <c r="H582" s="1747">
        <f>GVL!$I$153</f>
        <v>19090.909090909088</v>
      </c>
      <c r="I582" s="1747">
        <f>H582*G582</f>
        <v>0</v>
      </c>
    </row>
    <row r="583" spans="1:12" s="658" customFormat="1" ht="15">
      <c r="B583" s="1536" t="str">
        <f>'8.Dgia'!B470</f>
        <v/>
      </c>
      <c r="C583" s="1537">
        <f>'8.Dgia'!C470</f>
        <v>0</v>
      </c>
      <c r="D583" s="1537">
        <f>'8.Dgia'!D470</f>
        <v>0</v>
      </c>
      <c r="E583" s="1744" t="str">
        <f>'8.Dgia'!E470</f>
        <v xml:space="preserve">  B - Nhân công 3.5/7</v>
      </c>
      <c r="F583" s="1745" t="s">
        <v>552</v>
      </c>
      <c r="G583" s="1746">
        <f>'8.Dgia'!H470</f>
        <v>11.32</v>
      </c>
      <c r="H583" s="1747">
        <f>'16.NC'!$H$16</f>
        <v>235816</v>
      </c>
      <c r="I583" s="1750">
        <f>H583*G583</f>
        <v>2669437.12</v>
      </c>
      <c r="J583" s="850"/>
      <c r="K583" s="850"/>
      <c r="L583" s="850"/>
    </row>
    <row r="584" spans="1:12" s="658" customFormat="1" ht="15">
      <c r="B584" s="1536" t="str">
        <f>'8.Dgia'!B471</f>
        <v/>
      </c>
      <c r="C584" s="1537">
        <f>'8.Dgia'!C471</f>
        <v>0</v>
      </c>
      <c r="D584" s="1537">
        <f>'8.Dgia'!D471</f>
        <v>0</v>
      </c>
      <c r="E584" s="1744" t="str">
        <f>'8.Dgia'!E471</f>
        <v xml:space="preserve">  C - Máy thi công</v>
      </c>
      <c r="F584" s="1763">
        <f>'8.Dgia'!G471</f>
        <v>0</v>
      </c>
      <c r="G584" s="1746">
        <f>'8.Dgia'!H471</f>
        <v>0</v>
      </c>
      <c r="H584" s="1747"/>
      <c r="I584" s="1751">
        <f>SUM(I585:I586)</f>
        <v>32116.740000000005</v>
      </c>
      <c r="J584" s="850"/>
      <c r="K584" s="850"/>
      <c r="L584" s="850"/>
    </row>
    <row r="585" spans="1:12" ht="15">
      <c r="B585" s="1536" t="str">
        <f>'8.Dgia'!B472</f>
        <v/>
      </c>
      <c r="C585" s="1537">
        <f>'8.Dgia'!C472</f>
        <v>0</v>
      </c>
      <c r="D585" s="1537">
        <f>'8.Dgia'!D472</f>
        <v>0</v>
      </c>
      <c r="E585" s="1749" t="str">
        <f>'8.Dgia'!E472</f>
        <v>Máy hàn 23kw</v>
      </c>
      <c r="F585" s="1745" t="s">
        <v>5493</v>
      </c>
      <c r="G585" s="1746">
        <f>'8.Dgia'!H472</f>
        <v>0</v>
      </c>
      <c r="H585" s="1747">
        <f>'9.may'!$P$510</f>
        <v>171649.155</v>
      </c>
      <c r="I585" s="1747">
        <f>H585*G585</f>
        <v>0</v>
      </c>
    </row>
    <row r="586" spans="1:12" ht="15">
      <c r="B586" s="1536" t="str">
        <f>'8.Dgia'!B473</f>
        <v/>
      </c>
      <c r="C586" s="1537">
        <f>'8.Dgia'!C473</f>
        <v>0</v>
      </c>
      <c r="D586" s="1537">
        <f>'8.Dgia'!D473</f>
        <v>0</v>
      </c>
      <c r="E586" s="1749" t="str">
        <f>'8.Dgia'!E473</f>
        <v>Máy cắt uốn</v>
      </c>
      <c r="F586" s="1745" t="s">
        <v>5493</v>
      </c>
      <c r="G586" s="1746">
        <f>'8.Dgia'!H473</f>
        <v>0.4</v>
      </c>
      <c r="H586" s="1747">
        <f>'9.may'!$P$557</f>
        <v>80291.850000000006</v>
      </c>
      <c r="I586" s="1747">
        <f>H586*G586</f>
        <v>32116.740000000005</v>
      </c>
    </row>
    <row r="587" spans="1:12" s="658" customFormat="1" ht="15">
      <c r="B587" s="1675"/>
      <c r="C587" s="1676"/>
      <c r="D587" s="1676"/>
      <c r="E587" s="1752" t="s">
        <v>5675</v>
      </c>
      <c r="F587" s="1763">
        <f>$J$5</f>
        <v>0.02</v>
      </c>
      <c r="G587" s="1754"/>
      <c r="H587" s="1755"/>
      <c r="I587" s="1756">
        <f>( I579+I583+I584 )*F587</f>
        <v>398576.30795600003</v>
      </c>
      <c r="J587" s="850"/>
      <c r="K587" s="850"/>
      <c r="L587" s="850"/>
    </row>
    <row r="588" spans="1:12" ht="15">
      <c r="B588" s="1540"/>
      <c r="C588" s="1541"/>
      <c r="D588" s="1541"/>
      <c r="E588" s="1757" t="s">
        <v>5676</v>
      </c>
      <c r="F588" s="1763"/>
      <c r="G588" s="1759"/>
      <c r="H588" s="1760"/>
      <c r="I588" s="1761">
        <f>I587+I587/F587</f>
        <v>20327391.705756001</v>
      </c>
    </row>
    <row r="589" spans="1:12" ht="15">
      <c r="B589" s="1536"/>
      <c r="C589" s="1537"/>
      <c r="D589" s="1537"/>
      <c r="E589" s="1762" t="s">
        <v>5677</v>
      </c>
      <c r="F589" s="1763">
        <f>$K$5</f>
        <v>5.5E-2</v>
      </c>
      <c r="G589" s="1746"/>
      <c r="H589" s="1747"/>
      <c r="I589" s="1764">
        <f>I588*F589</f>
        <v>1118006.54381658</v>
      </c>
    </row>
    <row r="590" spans="1:12" ht="15">
      <c r="B590" s="1536"/>
      <c r="C590" s="1537"/>
      <c r="D590" s="1537"/>
      <c r="E590" s="1762" t="s">
        <v>5678</v>
      </c>
      <c r="F590" s="1763">
        <f>$L$5</f>
        <v>0.06</v>
      </c>
      <c r="G590" s="1746"/>
      <c r="H590" s="1747"/>
      <c r="I590" s="1764">
        <f>SUM(I588:I589)*F590</f>
        <v>1286723.8949743549</v>
      </c>
    </row>
    <row r="591" spans="1:12" ht="14.25">
      <c r="B591" s="1540"/>
      <c r="C591" s="1541"/>
      <c r="D591" s="1541"/>
      <c r="E591" s="1757" t="s">
        <v>5679</v>
      </c>
      <c r="F591" s="1791"/>
      <c r="G591" s="1759"/>
      <c r="H591" s="1760"/>
      <c r="I591" s="1761">
        <f>SUM(I588:I590)</f>
        <v>22732122.144546937</v>
      </c>
    </row>
    <row r="592" spans="1:12" ht="15">
      <c r="B592" s="1536"/>
      <c r="C592" s="1537"/>
      <c r="D592" s="1537"/>
      <c r="E592" s="1762" t="s">
        <v>5680</v>
      </c>
      <c r="F592" s="1765">
        <f>$M$5</f>
        <v>0.1</v>
      </c>
      <c r="G592" s="1746"/>
      <c r="H592" s="1747"/>
      <c r="I592" s="1764">
        <f>I591*F592</f>
        <v>2273212.2144546937</v>
      </c>
    </row>
    <row r="593" spans="1:12" ht="14.25">
      <c r="B593" s="1540"/>
      <c r="C593" s="1541"/>
      <c r="D593" s="1541"/>
      <c r="E593" s="1757" t="s">
        <v>5681</v>
      </c>
      <c r="F593" s="1791"/>
      <c r="G593" s="1759"/>
      <c r="H593" s="1760"/>
      <c r="I593" s="1761">
        <f>SUM(I591:I592)</f>
        <v>25005334.359001629</v>
      </c>
    </row>
    <row r="594" spans="1:12" ht="12.75">
      <c r="B594" s="1536"/>
      <c r="C594" s="1537"/>
      <c r="D594" s="1537"/>
      <c r="E594" s="1533" t="s">
        <v>5682</v>
      </c>
      <c r="F594" s="1535">
        <f>$N$5</f>
        <v>0.01</v>
      </c>
      <c r="G594" s="1538"/>
      <c r="H594" s="1532"/>
      <c r="I594" s="1534">
        <f>I593*F594</f>
        <v>250053.3435900163</v>
      </c>
    </row>
    <row r="595" spans="1:12" ht="14.25">
      <c r="B595" s="2104"/>
      <c r="C595" s="1543"/>
      <c r="D595" s="2105"/>
      <c r="E595" s="2106" t="s">
        <v>5683</v>
      </c>
      <c r="F595" s="2115"/>
      <c r="G595" s="2108"/>
      <c r="H595" s="2109"/>
      <c r="I595" s="2110">
        <f>ROUND(I593+I594,0)</f>
        <v>25255388</v>
      </c>
    </row>
    <row r="596" spans="1:12" ht="28.5">
      <c r="A596" s="657">
        <v>1</v>
      </c>
      <c r="B596" s="1546">
        <f>IF(A596&lt;&gt;0,COUNTA(A$7:$A596),"")</f>
        <v>34</v>
      </c>
      <c r="C596" s="1547">
        <f>'8.Dgia'!C474</f>
        <v>1776</v>
      </c>
      <c r="D596" s="1547" t="str">
        <f>'8.Dgia'!D474</f>
        <v>AF.61120</v>
      </c>
      <c r="E596" s="1740" t="str">
        <f>'8.Dgia'!E474</f>
        <v>Cốt thép D&gt;18 (sàn, bản quá độ, bệ đúc dầm Super-T các loại…)</v>
      </c>
      <c r="F596" s="1789" t="s">
        <v>557</v>
      </c>
      <c r="G596" s="1742">
        <f>'8.Dgia'!H474</f>
        <v>0</v>
      </c>
      <c r="H596" s="1743"/>
      <c r="I596" s="1790"/>
      <c r="J596" s="842">
        <f>+I597</f>
        <v>17296949.289381817</v>
      </c>
      <c r="K596" s="842">
        <f>+I601</f>
        <v>1497431.5999999999</v>
      </c>
      <c r="L596" s="842">
        <f>+I602</f>
        <v>230841.12284999999</v>
      </c>
    </row>
    <row r="597" spans="1:12" s="658" customFormat="1" ht="15">
      <c r="B597" s="1536" t="str">
        <f>'8.Dgia'!B475</f>
        <v/>
      </c>
      <c r="C597" s="1537">
        <f>'8.Dgia'!C475</f>
        <v>0</v>
      </c>
      <c r="D597" s="1537">
        <f>'8.Dgia'!D475</f>
        <v>0</v>
      </c>
      <c r="E597" s="1744" t="str">
        <f>'8.Dgia'!E475</f>
        <v xml:space="preserve">  A - Vật liệu</v>
      </c>
      <c r="F597" s="1763">
        <f>'8.Dgia'!G475</f>
        <v>0</v>
      </c>
      <c r="G597" s="1746">
        <f>'8.Dgia'!H475</f>
        <v>0</v>
      </c>
      <c r="H597" s="1747"/>
      <c r="I597" s="1748">
        <f>SUM(I598:I600)</f>
        <v>17296949.289381817</v>
      </c>
      <c r="J597" s="850"/>
      <c r="K597" s="850"/>
      <c r="L597" s="850"/>
    </row>
    <row r="598" spans="1:12" ht="15">
      <c r="B598" s="1536" t="str">
        <f>'8.Dgia'!B476</f>
        <v/>
      </c>
      <c r="C598" s="1537">
        <f>'8.Dgia'!C476</f>
        <v>0</v>
      </c>
      <c r="D598" s="1537">
        <f>'8.Dgia'!D476</f>
        <v>0</v>
      </c>
      <c r="E598" s="1749" t="str">
        <f>'8.Dgia'!E476</f>
        <v>Thép tròn D&gt;18</v>
      </c>
      <c r="F598" s="1763" t="str">
        <f>'8.Dgia'!G476</f>
        <v>kg</v>
      </c>
      <c r="G598" s="1954">
        <f>'8.Dgia'!H476</f>
        <v>1020</v>
      </c>
      <c r="H598" s="1747">
        <f>GVL!$I$181</f>
        <v>16604.075560000001</v>
      </c>
      <c r="I598" s="1747">
        <f>H598*G598</f>
        <v>16936157.071200002</v>
      </c>
    </row>
    <row r="599" spans="1:12" ht="15">
      <c r="B599" s="1536" t="str">
        <f>'8.Dgia'!B477</f>
        <v/>
      </c>
      <c r="C599" s="1537">
        <f>'8.Dgia'!C477</f>
        <v>0</v>
      </c>
      <c r="D599" s="1537">
        <f>'8.Dgia'!D477</f>
        <v>0</v>
      </c>
      <c r="E599" s="1749" t="str">
        <f>'8.Dgia'!E477</f>
        <v>Dây thép buộc</v>
      </c>
      <c r="F599" s="1763" t="str">
        <f>'8.Dgia'!G477</f>
        <v>kg</v>
      </c>
      <c r="G599" s="1746">
        <f>'8.Dgia'!H477</f>
        <v>14.28</v>
      </c>
      <c r="H599" s="1747">
        <f>GVL!$I$89</f>
        <v>18180</v>
      </c>
      <c r="I599" s="1747">
        <f>H599*G599</f>
        <v>259610.4</v>
      </c>
    </row>
    <row r="600" spans="1:12" ht="15">
      <c r="B600" s="1536" t="str">
        <f>'8.Dgia'!B478</f>
        <v/>
      </c>
      <c r="C600" s="1537">
        <f>'8.Dgia'!C478</f>
        <v>0</v>
      </c>
      <c r="D600" s="1537">
        <f>'8.Dgia'!D478</f>
        <v>0</v>
      </c>
      <c r="E600" s="1749" t="str">
        <f>'8.Dgia'!E478</f>
        <v>Que hàn</v>
      </c>
      <c r="F600" s="1763" t="str">
        <f>'8.Dgia'!G478</f>
        <v>kg</v>
      </c>
      <c r="G600" s="1746">
        <f>'8.Dgia'!H478</f>
        <v>5.3</v>
      </c>
      <c r="H600" s="1747">
        <f>GVL!$I$153</f>
        <v>19090.909090909088</v>
      </c>
      <c r="I600" s="1747">
        <f>H600*G600</f>
        <v>101181.81818181816</v>
      </c>
    </row>
    <row r="601" spans="1:12" s="658" customFormat="1" ht="15">
      <c r="B601" s="1536" t="str">
        <f>'8.Dgia'!B479</f>
        <v/>
      </c>
      <c r="C601" s="1537">
        <f>'8.Dgia'!C479</f>
        <v>0</v>
      </c>
      <c r="D601" s="1537">
        <f>'8.Dgia'!D479</f>
        <v>0</v>
      </c>
      <c r="E601" s="1744" t="str">
        <f>'8.Dgia'!E479</f>
        <v xml:space="preserve">  B - Nhân công 3.5/7</v>
      </c>
      <c r="F601" s="1745" t="s">
        <v>552</v>
      </c>
      <c r="G601" s="1746">
        <f>'8.Dgia'!H479</f>
        <v>6.35</v>
      </c>
      <c r="H601" s="1747">
        <f>'16.NC'!$H$16</f>
        <v>235816</v>
      </c>
      <c r="I601" s="1750">
        <f>H601*G601</f>
        <v>1497431.5999999999</v>
      </c>
      <c r="J601" s="850"/>
      <c r="K601" s="850"/>
      <c r="L601" s="850"/>
    </row>
    <row r="602" spans="1:12" s="658" customFormat="1" ht="15">
      <c r="B602" s="1536" t="str">
        <f>'8.Dgia'!B480</f>
        <v/>
      </c>
      <c r="C602" s="1537">
        <f>'8.Dgia'!C480</f>
        <v>0</v>
      </c>
      <c r="D602" s="1537">
        <f>'8.Dgia'!D480</f>
        <v>0</v>
      </c>
      <c r="E602" s="1744" t="str">
        <f>'8.Dgia'!E480</f>
        <v xml:space="preserve">  C - Máy thi công</v>
      </c>
      <c r="F602" s="1763">
        <f>'8.Dgia'!G480</f>
        <v>0</v>
      </c>
      <c r="G602" s="1746">
        <f>'8.Dgia'!H480</f>
        <v>0</v>
      </c>
      <c r="H602" s="1747"/>
      <c r="I602" s="1751">
        <f>SUM(I603:I604)</f>
        <v>230841.12284999999</v>
      </c>
      <c r="J602" s="850"/>
      <c r="K602" s="850"/>
      <c r="L602" s="850"/>
    </row>
    <row r="603" spans="1:12" ht="15">
      <c r="B603" s="1536" t="str">
        <f>'8.Dgia'!B481</f>
        <v/>
      </c>
      <c r="C603" s="1537">
        <f>'8.Dgia'!C481</f>
        <v>0</v>
      </c>
      <c r="D603" s="1537">
        <f>'8.Dgia'!D481</f>
        <v>0</v>
      </c>
      <c r="E603" s="1749" t="str">
        <f>'8.Dgia'!E481</f>
        <v>Máy hàn 23kw</v>
      </c>
      <c r="F603" s="1745" t="s">
        <v>5493</v>
      </c>
      <c r="G603" s="1746">
        <f>'8.Dgia'!H481</f>
        <v>1.27</v>
      </c>
      <c r="H603" s="1747">
        <f>'9.may'!$P$510</f>
        <v>171649.155</v>
      </c>
      <c r="I603" s="1747">
        <f>H603*G603</f>
        <v>217994.42684999999</v>
      </c>
    </row>
    <row r="604" spans="1:12" ht="15">
      <c r="B604" s="1536" t="str">
        <f>'8.Dgia'!B482</f>
        <v/>
      </c>
      <c r="C604" s="1537">
        <f>'8.Dgia'!C482</f>
        <v>0</v>
      </c>
      <c r="D604" s="1537">
        <f>'8.Dgia'!D482</f>
        <v>0</v>
      </c>
      <c r="E604" s="1749" t="str">
        <f>'8.Dgia'!E482</f>
        <v>Máy cắt uốn</v>
      </c>
      <c r="F604" s="1745" t="s">
        <v>5493</v>
      </c>
      <c r="G604" s="1746">
        <f>'8.Dgia'!H482</f>
        <v>0.16</v>
      </c>
      <c r="H604" s="1747">
        <f>'9.may'!$P$557</f>
        <v>80291.850000000006</v>
      </c>
      <c r="I604" s="1747">
        <f>H604*G604</f>
        <v>12846.696000000002</v>
      </c>
    </row>
    <row r="605" spans="1:12" s="658" customFormat="1" ht="15">
      <c r="B605" s="1675"/>
      <c r="C605" s="1676"/>
      <c r="D605" s="1676"/>
      <c r="E605" s="1752" t="s">
        <v>5675</v>
      </c>
      <c r="F605" s="1763">
        <f>$J$5</f>
        <v>0.02</v>
      </c>
      <c r="G605" s="1754"/>
      <c r="H605" s="1755"/>
      <c r="I605" s="1756">
        <f>( I597+I601+I602 )*F605</f>
        <v>380504.44024463638</v>
      </c>
      <c r="J605" s="850"/>
      <c r="K605" s="850"/>
      <c r="L605" s="850"/>
    </row>
    <row r="606" spans="1:12" ht="15">
      <c r="B606" s="1540"/>
      <c r="C606" s="1541"/>
      <c r="D606" s="1541"/>
      <c r="E606" s="1757" t="s">
        <v>5676</v>
      </c>
      <c r="F606" s="1763"/>
      <c r="G606" s="1759"/>
      <c r="H606" s="1760"/>
      <c r="I606" s="1761">
        <f>I605+I605/F605</f>
        <v>19405726.452476457</v>
      </c>
    </row>
    <row r="607" spans="1:12" ht="15">
      <c r="B607" s="1536"/>
      <c r="C607" s="1537"/>
      <c r="D607" s="1537"/>
      <c r="E607" s="1762" t="s">
        <v>5677</v>
      </c>
      <c r="F607" s="1763">
        <f>$K$5</f>
        <v>5.5E-2</v>
      </c>
      <c r="G607" s="1746"/>
      <c r="H607" s="1747"/>
      <c r="I607" s="1764">
        <f>I606*F607</f>
        <v>1067314.954886205</v>
      </c>
    </row>
    <row r="608" spans="1:12" ht="15">
      <c r="B608" s="1536"/>
      <c r="C608" s="1537"/>
      <c r="D608" s="1537"/>
      <c r="E608" s="1762" t="s">
        <v>5678</v>
      </c>
      <c r="F608" s="1763">
        <f>$L$5</f>
        <v>0.06</v>
      </c>
      <c r="G608" s="1746"/>
      <c r="H608" s="1747"/>
      <c r="I608" s="1764">
        <f>SUM(I606:I607)*F608</f>
        <v>1228382.4844417598</v>
      </c>
    </row>
    <row r="609" spans="1:12" ht="14.25">
      <c r="B609" s="1540"/>
      <c r="C609" s="1541"/>
      <c r="D609" s="1541"/>
      <c r="E609" s="1757" t="s">
        <v>5679</v>
      </c>
      <c r="F609" s="1791"/>
      <c r="G609" s="1759"/>
      <c r="H609" s="1760"/>
      <c r="I609" s="1761">
        <f>SUM(I606:I608)</f>
        <v>21701423.891804423</v>
      </c>
    </row>
    <row r="610" spans="1:12" ht="15">
      <c r="B610" s="1536"/>
      <c r="C610" s="1537"/>
      <c r="D610" s="1537"/>
      <c r="E610" s="1762" t="s">
        <v>5680</v>
      </c>
      <c r="F610" s="1765">
        <f>$M$5</f>
        <v>0.1</v>
      </c>
      <c r="G610" s="1746"/>
      <c r="H610" s="1747"/>
      <c r="I610" s="1764">
        <f>I609*F610</f>
        <v>2170142.3891804423</v>
      </c>
    </row>
    <row r="611" spans="1:12" ht="14.25">
      <c r="B611" s="1540"/>
      <c r="C611" s="1541"/>
      <c r="D611" s="1541"/>
      <c r="E611" s="1757" t="s">
        <v>5681</v>
      </c>
      <c r="F611" s="1791"/>
      <c r="G611" s="1759"/>
      <c r="H611" s="1760"/>
      <c r="I611" s="1761">
        <f>SUM(I609:I610)</f>
        <v>23871566.280984864</v>
      </c>
    </row>
    <row r="612" spans="1:12" ht="12.75">
      <c r="B612" s="1536"/>
      <c r="C612" s="1537"/>
      <c r="D612" s="1537"/>
      <c r="E612" s="1533" t="s">
        <v>5682</v>
      </c>
      <c r="F612" s="1535">
        <f>$N$5</f>
        <v>0.01</v>
      </c>
      <c r="G612" s="1538"/>
      <c r="H612" s="1532"/>
      <c r="I612" s="1534">
        <f>I611*F612</f>
        <v>238715.66280984864</v>
      </c>
    </row>
    <row r="613" spans="1:12" ht="14.25">
      <c r="B613" s="2104"/>
      <c r="C613" s="1543"/>
      <c r="D613" s="2105"/>
      <c r="E613" s="2106" t="s">
        <v>5683</v>
      </c>
      <c r="F613" s="2115"/>
      <c r="G613" s="2108"/>
      <c r="H613" s="2109"/>
      <c r="I613" s="2110">
        <f>ROUND(I611+I612,0)</f>
        <v>24110282</v>
      </c>
    </row>
    <row r="614" spans="1:12" ht="14.25">
      <c r="A614" s="657">
        <v>1</v>
      </c>
      <c r="B614" s="1546">
        <f>IF(A614&lt;&gt;0,COUNTA(A$7:$A614),"")</f>
        <v>35</v>
      </c>
      <c r="C614" s="1547">
        <f>'8.Dgia'!C483</f>
        <v>1776</v>
      </c>
      <c r="D614" s="1547" t="str">
        <f>'8.Dgia'!D483</f>
        <v>AF.82411</v>
      </c>
      <c r="E614" s="1740" t="str">
        <f>'8.Dgia'!E483</f>
        <v>Ván khuôn</v>
      </c>
      <c r="F614" s="1789" t="str">
        <f>'8.Dgia'!G483</f>
        <v>100m2</v>
      </c>
      <c r="G614" s="1742">
        <f>'8.Dgia'!H483</f>
        <v>0</v>
      </c>
      <c r="H614" s="1743"/>
      <c r="I614" s="1743"/>
      <c r="J614" s="842">
        <f>+I615</f>
        <v>425719.84460154537</v>
      </c>
      <c r="K614" s="842">
        <f>+I618</f>
        <v>3171378</v>
      </c>
    </row>
    <row r="615" spans="1:12" s="658" customFormat="1" ht="15">
      <c r="B615" s="1536" t="str">
        <f>'8.Dgia'!B484</f>
        <v/>
      </c>
      <c r="C615" s="1537">
        <f>'8.Dgia'!C484</f>
        <v>0</v>
      </c>
      <c r="D615" s="1537">
        <f>'8.Dgia'!D484</f>
        <v>0</v>
      </c>
      <c r="E615" s="1744" t="str">
        <f>'8.Dgia'!E484</f>
        <v xml:space="preserve">  A - Vật liệu</v>
      </c>
      <c r="F615" s="1763">
        <f>'8.Dgia'!G484</f>
        <v>0</v>
      </c>
      <c r="G615" s="1746">
        <f>'8.Dgia'!H484</f>
        <v>0</v>
      </c>
      <c r="H615" s="1747"/>
      <c r="I615" s="1748">
        <f>SUM(I616:I617)</f>
        <v>425719.84460154537</v>
      </c>
      <c r="J615" s="850"/>
      <c r="K615" s="850"/>
      <c r="L615" s="850"/>
    </row>
    <row r="616" spans="1:12" ht="15">
      <c r="B616" s="1536" t="str">
        <f>'8.Dgia'!B485</f>
        <v/>
      </c>
      <c r="C616" s="1537">
        <f>'8.Dgia'!C485</f>
        <v>0</v>
      </c>
      <c r="D616" s="1537">
        <f>'8.Dgia'!D485</f>
        <v>0</v>
      </c>
      <c r="E616" s="1749" t="str">
        <f>'8.Dgia'!E485</f>
        <v>Thép tấm</v>
      </c>
      <c r="F616" s="1763" t="str">
        <f>'8.Dgia'!G485</f>
        <v>kg</v>
      </c>
      <c r="G616" s="1954">
        <f>'8.Dgia'!H485</f>
        <v>31.5</v>
      </c>
      <c r="H616" s="1747">
        <f>GVL!$I$175</f>
        <v>12871.348287272725</v>
      </c>
      <c r="I616" s="1747">
        <f>H616*G616</f>
        <v>405447.47104909085</v>
      </c>
    </row>
    <row r="617" spans="1:12" ht="15">
      <c r="B617" s="1536" t="str">
        <f>'8.Dgia'!B486</f>
        <v/>
      </c>
      <c r="C617" s="1537">
        <f>'8.Dgia'!C486</f>
        <v>0</v>
      </c>
      <c r="D617" s="1537">
        <f>'8.Dgia'!D486</f>
        <v>0</v>
      </c>
      <c r="E617" s="1749" t="str">
        <f>'8.Dgia'!E486</f>
        <v>Vật liệu khác</v>
      </c>
      <c r="F617" s="1763" t="str">
        <f>'8.Dgia'!G486</f>
        <v>%</v>
      </c>
      <c r="G617" s="1954">
        <f>'8.Dgia'!H486</f>
        <v>5</v>
      </c>
      <c r="H617" s="1747">
        <f>SUM(I616:I616)</f>
        <v>405447.47104909085</v>
      </c>
      <c r="I617" s="1747">
        <f>H617*G617%</f>
        <v>20272.373552454545</v>
      </c>
    </row>
    <row r="618" spans="1:12" s="658" customFormat="1" ht="15">
      <c r="B618" s="1536" t="str">
        <f>'8.Dgia'!B487</f>
        <v/>
      </c>
      <c r="C618" s="1537">
        <f>'8.Dgia'!C487</f>
        <v>0</v>
      </c>
      <c r="D618" s="1537">
        <f>'8.Dgia'!D487</f>
        <v>0</v>
      </c>
      <c r="E618" s="1744" t="str">
        <f>'8.Dgia'!E487</f>
        <v xml:space="preserve">  B - Nhân công 4.5/7</v>
      </c>
      <c r="F618" s="1745" t="s">
        <v>552</v>
      </c>
      <c r="G618" s="1954">
        <f>'8.Dgia'!H487</f>
        <v>11.5</v>
      </c>
      <c r="H618" s="1747">
        <f>'16.NC'!$H$20</f>
        <v>275772</v>
      </c>
      <c r="I618" s="1750">
        <f>H618*G618</f>
        <v>3171378</v>
      </c>
      <c r="J618" s="850"/>
      <c r="K618" s="850"/>
      <c r="L618" s="850"/>
    </row>
    <row r="619" spans="1:12" s="658" customFormat="1" ht="15">
      <c r="B619" s="1675"/>
      <c r="C619" s="1676"/>
      <c r="D619" s="1676"/>
      <c r="E619" s="1752" t="s">
        <v>5675</v>
      </c>
      <c r="F619" s="1763">
        <f>$J$5</f>
        <v>0.02</v>
      </c>
      <c r="G619" s="1754"/>
      <c r="H619" s="1755"/>
      <c r="I619" s="1756">
        <f>( I615+I618 )*F619</f>
        <v>71941.95689203091</v>
      </c>
      <c r="J619" s="850"/>
      <c r="K619" s="850"/>
      <c r="L619" s="850"/>
    </row>
    <row r="620" spans="1:12" ht="15">
      <c r="B620" s="1540"/>
      <c r="C620" s="1541"/>
      <c r="D620" s="1541"/>
      <c r="E620" s="1757" t="s">
        <v>5676</v>
      </c>
      <c r="F620" s="1763"/>
      <c r="G620" s="1759"/>
      <c r="H620" s="1760"/>
      <c r="I620" s="1761">
        <f>I619+I619/F619</f>
        <v>3669039.8014935763</v>
      </c>
    </row>
    <row r="621" spans="1:12" ht="15">
      <c r="B621" s="1536"/>
      <c r="C621" s="1537"/>
      <c r="D621" s="1537"/>
      <c r="E621" s="1762" t="s">
        <v>5677</v>
      </c>
      <c r="F621" s="1763">
        <f>$K$5</f>
        <v>5.5E-2</v>
      </c>
      <c r="G621" s="1746"/>
      <c r="H621" s="1747"/>
      <c r="I621" s="1764">
        <f>I620*F621</f>
        <v>201797.18908214671</v>
      </c>
    </row>
    <row r="622" spans="1:12" ht="15">
      <c r="B622" s="1536"/>
      <c r="C622" s="1537"/>
      <c r="D622" s="1537"/>
      <c r="E622" s="1762" t="s">
        <v>5678</v>
      </c>
      <c r="F622" s="1763">
        <f>$L$5</f>
        <v>0.06</v>
      </c>
      <c r="G622" s="1746"/>
      <c r="H622" s="1747"/>
      <c r="I622" s="1764">
        <f>SUM(I620:I621)*F622</f>
        <v>232250.21943454337</v>
      </c>
    </row>
    <row r="623" spans="1:12" ht="14.25">
      <c r="B623" s="1540"/>
      <c r="C623" s="1541"/>
      <c r="D623" s="1541"/>
      <c r="E623" s="1757" t="s">
        <v>5679</v>
      </c>
      <c r="F623" s="1791"/>
      <c r="G623" s="1759"/>
      <c r="H623" s="1760"/>
      <c r="I623" s="1761">
        <f>SUM(I620:I622)</f>
        <v>4103087.2100102664</v>
      </c>
    </row>
    <row r="624" spans="1:12" ht="15">
      <c r="B624" s="1536"/>
      <c r="C624" s="1537"/>
      <c r="D624" s="1537"/>
      <c r="E624" s="1762" t="s">
        <v>5680</v>
      </c>
      <c r="F624" s="1765">
        <f>$M$5</f>
        <v>0.1</v>
      </c>
      <c r="G624" s="1746"/>
      <c r="H624" s="1747"/>
      <c r="I624" s="1764">
        <f>I623*F624</f>
        <v>410308.72100102669</v>
      </c>
    </row>
    <row r="625" spans="1:12" ht="14.25">
      <c r="B625" s="1540"/>
      <c r="C625" s="1541"/>
      <c r="D625" s="1541"/>
      <c r="E625" s="1757" t="s">
        <v>5681</v>
      </c>
      <c r="F625" s="1791"/>
      <c r="G625" s="1759"/>
      <c r="H625" s="1760"/>
      <c r="I625" s="1761">
        <f>SUM(I623:I624)</f>
        <v>4513395.9310112931</v>
      </c>
    </row>
    <row r="626" spans="1:12" ht="12.75">
      <c r="B626" s="1536"/>
      <c r="C626" s="1537"/>
      <c r="D626" s="1537"/>
      <c r="E626" s="1533" t="s">
        <v>5682</v>
      </c>
      <c r="F626" s="1535">
        <f>$N$5</f>
        <v>0.01</v>
      </c>
      <c r="G626" s="1538"/>
      <c r="H626" s="1532"/>
      <c r="I626" s="1534">
        <f>I625*F626</f>
        <v>45133.959310112929</v>
      </c>
    </row>
    <row r="627" spans="1:12" ht="14.25">
      <c r="B627" s="2104"/>
      <c r="C627" s="1543"/>
      <c r="D627" s="2105"/>
      <c r="E627" s="2106" t="s">
        <v>5683</v>
      </c>
      <c r="F627" s="2115"/>
      <c r="G627" s="2108"/>
      <c r="H627" s="2109"/>
      <c r="I627" s="2110">
        <f>ROUND(I625+I626,0)</f>
        <v>4558530</v>
      </c>
    </row>
    <row r="628" spans="1:12" ht="14.25">
      <c r="A628" s="657">
        <v>1</v>
      </c>
      <c r="B628" s="1546">
        <f>IF(A628&lt;&gt;0,COUNTA(A$7:$A628),"")</f>
        <v>36</v>
      </c>
      <c r="C628" s="1547">
        <f>'8.Dgia'!C488</f>
        <v>1776</v>
      </c>
      <c r="D628" s="1547" t="str">
        <f>'8.Dgia'!D488</f>
        <v>AF.11210</v>
      </c>
      <c r="E628" s="1740" t="str">
        <f>'8.Dgia'!E488</f>
        <v>Bê tông C10 đá 1x2</v>
      </c>
      <c r="F628" s="1789" t="str">
        <f>'8.Dgia'!G488</f>
        <v>m3</v>
      </c>
      <c r="G628" s="1742">
        <f>'8.Dgia'!H488</f>
        <v>0</v>
      </c>
      <c r="H628" s="1743"/>
      <c r="I628" s="1743"/>
      <c r="J628" s="842">
        <f>+I629</f>
        <v>779112.37487813749</v>
      </c>
      <c r="K628" s="842">
        <f>+I632</f>
        <v>360391.63999999996</v>
      </c>
      <c r="L628" s="842">
        <f>+I633</f>
        <v>23796.9734775</v>
      </c>
    </row>
    <row r="629" spans="1:12" s="658" customFormat="1" ht="15">
      <c r="B629" s="1536" t="str">
        <f>'8.Dgia'!B489</f>
        <v/>
      </c>
      <c r="C629" s="1537">
        <f>'8.Dgia'!C489</f>
        <v>0</v>
      </c>
      <c r="D629" s="1537">
        <f>'8.Dgia'!D489</f>
        <v>0</v>
      </c>
      <c r="E629" s="1744" t="str">
        <f>'8.Dgia'!E489</f>
        <v xml:space="preserve">  A - Vật liệu</v>
      </c>
      <c r="F629" s="1763">
        <f>'8.Dgia'!G489</f>
        <v>0</v>
      </c>
      <c r="G629" s="1746">
        <f>'8.Dgia'!H489</f>
        <v>0</v>
      </c>
      <c r="H629" s="1747"/>
      <c r="I629" s="1748">
        <f>SUM(I630:I631)</f>
        <v>779112.37487813749</v>
      </c>
      <c r="J629" s="850"/>
      <c r="K629" s="850"/>
      <c r="L629" s="850"/>
    </row>
    <row r="630" spans="1:12" ht="15">
      <c r="B630" s="1536" t="str">
        <f>'8.Dgia'!B490</f>
        <v/>
      </c>
      <c r="C630" s="1537">
        <f>'8.Dgia'!C490</f>
        <v>0</v>
      </c>
      <c r="D630" s="1537" t="str">
        <f>'8.Dgia'!D490</f>
        <v>C3122</v>
      </c>
      <c r="E630" s="1749" t="str">
        <f>'8.Dgia'!E490</f>
        <v>Vữa Bê tông C10 đá 1x2 SN 2-4</v>
      </c>
      <c r="F630" s="1763" t="str">
        <f>'8.Dgia'!G490</f>
        <v>m3</v>
      </c>
      <c r="G630" s="1746">
        <f>'8.Dgia'!H490</f>
        <v>1.0249999999999999</v>
      </c>
      <c r="H630" s="1747">
        <f>GVL!$I$190</f>
        <v>752583.79606678337</v>
      </c>
      <c r="I630" s="1747">
        <f>H630*G630</f>
        <v>771398.39096845291</v>
      </c>
    </row>
    <row r="631" spans="1:12" ht="15">
      <c r="B631" s="1536" t="str">
        <f>'8.Dgia'!B491</f>
        <v/>
      </c>
      <c r="C631" s="1537">
        <f>'8.Dgia'!C491</f>
        <v>0</v>
      </c>
      <c r="D631" s="1537">
        <f>'8.Dgia'!D491</f>
        <v>0</v>
      </c>
      <c r="E631" s="1749" t="str">
        <f>'8.Dgia'!E491</f>
        <v>Vật liệu khác</v>
      </c>
      <c r="F631" s="1763" t="str">
        <f>'8.Dgia'!G491</f>
        <v>%</v>
      </c>
      <c r="G631" s="1954">
        <f>'8.Dgia'!H491</f>
        <v>1</v>
      </c>
      <c r="H631" s="1747">
        <f>I630</f>
        <v>771398.39096845291</v>
      </c>
      <c r="I631" s="1747">
        <f>H631*G631%</f>
        <v>7713.983909684529</v>
      </c>
    </row>
    <row r="632" spans="1:12" s="658" customFormat="1" ht="15">
      <c r="B632" s="1536" t="str">
        <f>'8.Dgia'!B492</f>
        <v/>
      </c>
      <c r="C632" s="1537">
        <f>'8.Dgia'!C492</f>
        <v>0</v>
      </c>
      <c r="D632" s="1537">
        <f>'8.Dgia'!D492</f>
        <v>0</v>
      </c>
      <c r="E632" s="1744" t="str">
        <f>'8.Dgia'!E492</f>
        <v xml:space="preserve">  B - Nhân công 3.0/7</v>
      </c>
      <c r="F632" s="1745" t="s">
        <v>552</v>
      </c>
      <c r="G632" s="1746">
        <f>'8.Dgia'!H492</f>
        <v>1.64</v>
      </c>
      <c r="H632" s="1747">
        <f>'16.NC'!$H$13</f>
        <v>219751</v>
      </c>
      <c r="I632" s="1750">
        <f>H632*G632</f>
        <v>360391.63999999996</v>
      </c>
      <c r="J632" s="850"/>
      <c r="K632" s="850"/>
      <c r="L632" s="850"/>
    </row>
    <row r="633" spans="1:12" s="658" customFormat="1" ht="15">
      <c r="B633" s="1536" t="str">
        <f>'8.Dgia'!B493</f>
        <v/>
      </c>
      <c r="C633" s="1537">
        <f>'8.Dgia'!C493</f>
        <v>0</v>
      </c>
      <c r="D633" s="1537">
        <f>'8.Dgia'!D493</f>
        <v>0</v>
      </c>
      <c r="E633" s="1744" t="str">
        <f>'8.Dgia'!E493</f>
        <v xml:space="preserve">  C - Máy thi công</v>
      </c>
      <c r="F633" s="1763">
        <f>'8.Dgia'!G493</f>
        <v>0</v>
      </c>
      <c r="G633" s="1746">
        <f>'8.Dgia'!H493</f>
        <v>0</v>
      </c>
      <c r="H633" s="1747"/>
      <c r="I633" s="1751">
        <f>SUM(I634:I635)</f>
        <v>23796.9734775</v>
      </c>
      <c r="J633" s="850"/>
      <c r="K633" s="850"/>
      <c r="L633" s="850"/>
    </row>
    <row r="634" spans="1:12" ht="15">
      <c r="B634" s="1536" t="str">
        <f>'8.Dgia'!B494</f>
        <v/>
      </c>
      <c r="C634" s="1537">
        <f>'8.Dgia'!C494</f>
        <v>0</v>
      </c>
      <c r="D634" s="1537">
        <f>'8.Dgia'!D494</f>
        <v>0</v>
      </c>
      <c r="E634" s="1749" t="str">
        <f>'8.Dgia'!E494</f>
        <v>Máy trộn 250l</v>
      </c>
      <c r="F634" s="1745" t="s">
        <v>5493</v>
      </c>
      <c r="G634" s="1746">
        <f>'8.Dgia'!H494</f>
        <v>9.5000000000000001E-2</v>
      </c>
      <c r="H634" s="1747">
        <f>'9.may'!$P$333</f>
        <v>180447.90000000002</v>
      </c>
      <c r="I634" s="1747">
        <f>H634*G634</f>
        <v>17142.550500000001</v>
      </c>
    </row>
    <row r="635" spans="1:12" ht="15">
      <c r="B635" s="1536" t="str">
        <f>'8.Dgia'!B495</f>
        <v/>
      </c>
      <c r="C635" s="1537">
        <f>'8.Dgia'!C495</f>
        <v>0</v>
      </c>
      <c r="D635" s="1537">
        <f>'8.Dgia'!D495</f>
        <v>0</v>
      </c>
      <c r="E635" s="1749" t="str">
        <f>'8.Dgia'!E495</f>
        <v>Máy đầm dùi 1.5Kw</v>
      </c>
      <c r="F635" s="1745" t="s">
        <v>5493</v>
      </c>
      <c r="G635" s="1746">
        <f>'8.Dgia'!H495</f>
        <v>8.8999999999999996E-2</v>
      </c>
      <c r="H635" s="1747">
        <f>'9.may'!$P$382</f>
        <v>74768.797500000001</v>
      </c>
      <c r="I635" s="1747">
        <f>H635*G635</f>
        <v>6654.4229774999994</v>
      </c>
    </row>
    <row r="636" spans="1:12" s="658" customFormat="1" ht="15">
      <c r="B636" s="1675"/>
      <c r="C636" s="1676"/>
      <c r="D636" s="1676"/>
      <c r="E636" s="1752" t="s">
        <v>5675</v>
      </c>
      <c r="F636" s="1763">
        <f>$J$5</f>
        <v>0.02</v>
      </c>
      <c r="G636" s="1754"/>
      <c r="H636" s="1755"/>
      <c r="I636" s="1756">
        <f>( I629+I632+I633 )*F636</f>
        <v>23266.01976711275</v>
      </c>
      <c r="J636" s="850"/>
      <c r="K636" s="850"/>
      <c r="L636" s="850"/>
    </row>
    <row r="637" spans="1:12" ht="15">
      <c r="B637" s="1540"/>
      <c r="C637" s="1541"/>
      <c r="D637" s="1541"/>
      <c r="E637" s="1757" t="s">
        <v>5676</v>
      </c>
      <c r="F637" s="1763"/>
      <c r="G637" s="1759"/>
      <c r="H637" s="1760"/>
      <c r="I637" s="1761">
        <f>I636+I636/F636</f>
        <v>1186567.0081227503</v>
      </c>
    </row>
    <row r="638" spans="1:12" ht="15">
      <c r="B638" s="1536"/>
      <c r="C638" s="1537"/>
      <c r="D638" s="1537"/>
      <c r="E638" s="1762" t="s">
        <v>5677</v>
      </c>
      <c r="F638" s="1763">
        <f>$K$5</f>
        <v>5.5E-2</v>
      </c>
      <c r="G638" s="1746"/>
      <c r="H638" s="1747"/>
      <c r="I638" s="1764">
        <f>I637*F638</f>
        <v>65261.185446751268</v>
      </c>
    </row>
    <row r="639" spans="1:12" ht="15">
      <c r="B639" s="1536"/>
      <c r="C639" s="1537"/>
      <c r="D639" s="1537"/>
      <c r="E639" s="1762" t="s">
        <v>5678</v>
      </c>
      <c r="F639" s="1763">
        <f>$L$5</f>
        <v>0.06</v>
      </c>
      <c r="G639" s="1746"/>
      <c r="H639" s="1747"/>
      <c r="I639" s="1764">
        <f>SUM(I637:I638)*F639</f>
        <v>75109.691614170093</v>
      </c>
    </row>
    <row r="640" spans="1:12" ht="14.25">
      <c r="B640" s="1540"/>
      <c r="C640" s="1541"/>
      <c r="D640" s="1541"/>
      <c r="E640" s="1757" t="s">
        <v>5679</v>
      </c>
      <c r="F640" s="1791"/>
      <c r="G640" s="1759"/>
      <c r="H640" s="1760"/>
      <c r="I640" s="1761">
        <f>SUM(I637:I639)</f>
        <v>1326937.8851836717</v>
      </c>
    </row>
    <row r="641" spans="1:12" ht="15">
      <c r="B641" s="1536"/>
      <c r="C641" s="1537"/>
      <c r="D641" s="1537"/>
      <c r="E641" s="1762" t="s">
        <v>5680</v>
      </c>
      <c r="F641" s="1765">
        <f>$M$5</f>
        <v>0.1</v>
      </c>
      <c r="G641" s="1746"/>
      <c r="H641" s="1747"/>
      <c r="I641" s="1764">
        <f>I640*F641</f>
        <v>132693.78851836719</v>
      </c>
    </row>
    <row r="642" spans="1:12" ht="14.25">
      <c r="B642" s="1540"/>
      <c r="C642" s="1541"/>
      <c r="D642" s="1541"/>
      <c r="E642" s="1757" t="s">
        <v>5681</v>
      </c>
      <c r="F642" s="1791"/>
      <c r="G642" s="1759"/>
      <c r="H642" s="1760"/>
      <c r="I642" s="1761">
        <f>SUM(I640:I641)</f>
        <v>1459631.6737020388</v>
      </c>
    </row>
    <row r="643" spans="1:12" ht="12.75">
      <c r="B643" s="1536"/>
      <c r="C643" s="1537"/>
      <c r="D643" s="1537"/>
      <c r="E643" s="1533" t="s">
        <v>5682</v>
      </c>
      <c r="F643" s="1535">
        <f>$N$5</f>
        <v>0.01</v>
      </c>
      <c r="G643" s="1538"/>
      <c r="H643" s="1532"/>
      <c r="I643" s="1534">
        <f>I642*F643</f>
        <v>14596.316737020388</v>
      </c>
    </row>
    <row r="644" spans="1:12" ht="14.25">
      <c r="B644" s="2104"/>
      <c r="C644" s="1543"/>
      <c r="D644" s="2105"/>
      <c r="E644" s="2106" t="s">
        <v>5683</v>
      </c>
      <c r="F644" s="2115"/>
      <c r="G644" s="2108"/>
      <c r="H644" s="2109"/>
      <c r="I644" s="2110">
        <f>ROUND(I642+I643,0)</f>
        <v>1474228</v>
      </c>
    </row>
    <row r="645" spans="1:12" ht="14.25">
      <c r="A645" s="657">
        <v>1</v>
      </c>
      <c r="B645" s="1546">
        <f>IF(A645&lt;&gt;0,COUNTA(A$7:$A645),"")</f>
        <v>37</v>
      </c>
      <c r="C645" s="1547">
        <f>'8.Dgia'!C496</f>
        <v>1776</v>
      </c>
      <c r="D645" s="1547" t="str">
        <f>'8.Dgia'!D496</f>
        <v>AK.94311</v>
      </c>
      <c r="E645" s="1740" t="str">
        <f>'8.Dgia'!E496</f>
        <v>Quét nhựa bitum, dán bao tải 1 lớp</v>
      </c>
      <c r="F645" s="1789" t="str">
        <f>'8.Dgia'!G496</f>
        <v>m2</v>
      </c>
      <c r="G645" s="1742">
        <f>'8.Dgia'!H496</f>
        <v>0</v>
      </c>
      <c r="H645" s="1743"/>
      <c r="I645" s="1743"/>
      <c r="J645" s="842">
        <f>+I646</f>
        <v>168005</v>
      </c>
      <c r="K645" s="842">
        <f>+I651</f>
        <v>117908</v>
      </c>
    </row>
    <row r="646" spans="1:12" s="658" customFormat="1" ht="15">
      <c r="B646" s="1536" t="str">
        <f>'8.Dgia'!B497</f>
        <v/>
      </c>
      <c r="C646" s="1537">
        <f>'8.Dgia'!C497</f>
        <v>0</v>
      </c>
      <c r="D646" s="1537">
        <f>'8.Dgia'!D497</f>
        <v>0</v>
      </c>
      <c r="E646" s="1744" t="str">
        <f>'8.Dgia'!E497</f>
        <v xml:space="preserve">  A - Vật liệu</v>
      </c>
      <c r="F646" s="1763">
        <f>'8.Dgia'!G497</f>
        <v>0</v>
      </c>
      <c r="G646" s="1746">
        <f>'8.Dgia'!H497</f>
        <v>0</v>
      </c>
      <c r="H646" s="1747"/>
      <c r="I646" s="1748">
        <f>SUM(I647:I650)</f>
        <v>168005</v>
      </c>
      <c r="J646" s="850"/>
      <c r="K646" s="850"/>
      <c r="L646" s="850"/>
    </row>
    <row r="647" spans="1:12" ht="15">
      <c r="B647" s="1536" t="str">
        <f>'8.Dgia'!B498</f>
        <v/>
      </c>
      <c r="C647" s="1537">
        <f>'8.Dgia'!C498</f>
        <v>0</v>
      </c>
      <c r="D647" s="1537">
        <f>'8.Dgia'!D498</f>
        <v>0</v>
      </c>
      <c r="E647" s="1749" t="str">
        <f>'8.Dgia'!E498</f>
        <v>Nhựa bitum</v>
      </c>
      <c r="F647" s="1763" t="str">
        <f>'8.Dgia'!G498</f>
        <v>kg</v>
      </c>
      <c r="G647" s="1954">
        <f>'8.Dgia'!H498</f>
        <v>3.15</v>
      </c>
      <c r="H647" s="1793">
        <f>GVL!$I$126</f>
        <v>50000</v>
      </c>
      <c r="I647" s="1747">
        <f>H647*G647</f>
        <v>157500</v>
      </c>
    </row>
    <row r="648" spans="1:12" ht="15">
      <c r="B648" s="1536" t="str">
        <f>'8.Dgia'!B499</f>
        <v/>
      </c>
      <c r="C648" s="1537">
        <f>'8.Dgia'!C499</f>
        <v>0</v>
      </c>
      <c r="D648" s="1537">
        <f>'8.Dgia'!D499</f>
        <v>0</v>
      </c>
      <c r="E648" s="1749" t="str">
        <f>'8.Dgia'!E499</f>
        <v>Bao tải</v>
      </c>
      <c r="F648" s="1763" t="str">
        <f>'8.Dgia'!G499</f>
        <v>m2</v>
      </c>
      <c r="G648" s="1954">
        <f>'8.Dgia'!H499</f>
        <v>1.2</v>
      </c>
      <c r="H648" s="1793">
        <f>GVL!$I$10</f>
        <v>5000</v>
      </c>
      <c r="I648" s="1747">
        <f>H648*G648</f>
        <v>6000</v>
      </c>
    </row>
    <row r="649" spans="1:12" ht="15">
      <c r="B649" s="1536" t="str">
        <f>'8.Dgia'!B500</f>
        <v/>
      </c>
      <c r="C649" s="1537">
        <f>'8.Dgia'!C500</f>
        <v>0</v>
      </c>
      <c r="D649" s="1537">
        <f>'8.Dgia'!D500</f>
        <v>0</v>
      </c>
      <c r="E649" s="1749" t="str">
        <f>'8.Dgia'!E500</f>
        <v>Bột đá</v>
      </c>
      <c r="F649" s="1763" t="str">
        <f>'8.Dgia'!G500</f>
        <v>kg</v>
      </c>
      <c r="G649" s="1954">
        <f>'8.Dgia'!H500</f>
        <v>1.81</v>
      </c>
      <c r="H649" s="1747">
        <f>GVL!$I$24</f>
        <v>500</v>
      </c>
      <c r="I649" s="1747">
        <f>H649*G649</f>
        <v>905</v>
      </c>
    </row>
    <row r="650" spans="1:12" ht="15">
      <c r="B650" s="1536" t="str">
        <f>'8.Dgia'!B501</f>
        <v/>
      </c>
      <c r="C650" s="1537">
        <f>'8.Dgia'!C501</f>
        <v>0</v>
      </c>
      <c r="D650" s="1537">
        <f>'8.Dgia'!D501</f>
        <v>0</v>
      </c>
      <c r="E650" s="1749" t="str">
        <f>'8.Dgia'!E501</f>
        <v>Củi</v>
      </c>
      <c r="F650" s="1763" t="str">
        <f>'8.Dgia'!G501</f>
        <v>kg</v>
      </c>
      <c r="G650" s="1954">
        <f>'8.Dgia'!H501</f>
        <v>3</v>
      </c>
      <c r="H650" s="1747">
        <f>GVL!$I$48</f>
        <v>1200</v>
      </c>
      <c r="I650" s="1747">
        <f>H650*G650</f>
        <v>3600</v>
      </c>
    </row>
    <row r="651" spans="1:12" s="658" customFormat="1" ht="15">
      <c r="B651" s="1536" t="str">
        <f>'8.Dgia'!B502</f>
        <v/>
      </c>
      <c r="C651" s="1537">
        <f>'8.Dgia'!C502</f>
        <v>0</v>
      </c>
      <c r="D651" s="1537">
        <f>'8.Dgia'!D502</f>
        <v>0</v>
      </c>
      <c r="E651" s="1744" t="str">
        <f>'8.Dgia'!E502</f>
        <v xml:space="preserve">  B - Nhân công 3.5/7</v>
      </c>
      <c r="F651" s="1745" t="s">
        <v>552</v>
      </c>
      <c r="G651" s="1954">
        <f>'8.Dgia'!H502</f>
        <v>0.5</v>
      </c>
      <c r="H651" s="1747">
        <f>'16.NC'!$H$16</f>
        <v>235816</v>
      </c>
      <c r="I651" s="1750">
        <f>H651*G651</f>
        <v>117908</v>
      </c>
      <c r="J651" s="850"/>
      <c r="K651" s="850"/>
      <c r="L651" s="850"/>
    </row>
    <row r="652" spans="1:12" s="658" customFormat="1" ht="15">
      <c r="B652" s="1675"/>
      <c r="C652" s="1676"/>
      <c r="D652" s="1676"/>
      <c r="E652" s="1752" t="s">
        <v>5675</v>
      </c>
      <c r="F652" s="1763">
        <f>$J$5</f>
        <v>0.02</v>
      </c>
      <c r="G652" s="1754"/>
      <c r="H652" s="1755"/>
      <c r="I652" s="1756">
        <f>( I646+I651 )*F652</f>
        <v>5718.26</v>
      </c>
      <c r="J652" s="850"/>
      <c r="K652" s="850"/>
      <c r="L652" s="850"/>
    </row>
    <row r="653" spans="1:12" ht="15">
      <c r="B653" s="1540"/>
      <c r="C653" s="1541"/>
      <c r="D653" s="1541"/>
      <c r="E653" s="1757" t="s">
        <v>5676</v>
      </c>
      <c r="F653" s="1763"/>
      <c r="G653" s="1759"/>
      <c r="H653" s="1760"/>
      <c r="I653" s="1761">
        <f>I652+I652/F652</f>
        <v>291631.26</v>
      </c>
    </row>
    <row r="654" spans="1:12" ht="15">
      <c r="B654" s="1536"/>
      <c r="C654" s="1537"/>
      <c r="D654" s="1537"/>
      <c r="E654" s="1762" t="s">
        <v>5677</v>
      </c>
      <c r="F654" s="1763">
        <f>$K$5</f>
        <v>5.5E-2</v>
      </c>
      <c r="G654" s="1746"/>
      <c r="H654" s="1747"/>
      <c r="I654" s="1764">
        <f>I653*F654</f>
        <v>16039.719300000001</v>
      </c>
    </row>
    <row r="655" spans="1:12" ht="15">
      <c r="B655" s="1536"/>
      <c r="C655" s="1537"/>
      <c r="D655" s="1537"/>
      <c r="E655" s="1762" t="s">
        <v>5678</v>
      </c>
      <c r="F655" s="1763">
        <f>$L$5</f>
        <v>0.06</v>
      </c>
      <c r="G655" s="1746"/>
      <c r="H655" s="1747"/>
      <c r="I655" s="1764">
        <f>SUM(I653:I654)*F655</f>
        <v>18460.258758</v>
      </c>
    </row>
    <row r="656" spans="1:12" ht="14.25">
      <c r="B656" s="1540"/>
      <c r="C656" s="1541"/>
      <c r="D656" s="1541"/>
      <c r="E656" s="1757" t="s">
        <v>5679</v>
      </c>
      <c r="F656" s="1791"/>
      <c r="G656" s="1759"/>
      <c r="H656" s="1760"/>
      <c r="I656" s="1761">
        <f>SUM(I653:I655)</f>
        <v>326131.23805799999</v>
      </c>
    </row>
    <row r="657" spans="1:12" ht="15">
      <c r="B657" s="1536"/>
      <c r="C657" s="1537"/>
      <c r="D657" s="1537"/>
      <c r="E657" s="1762" t="s">
        <v>5680</v>
      </c>
      <c r="F657" s="1765">
        <f>$M$5</f>
        <v>0.1</v>
      </c>
      <c r="G657" s="1746"/>
      <c r="H657" s="1747"/>
      <c r="I657" s="1764">
        <f>I656*F657</f>
        <v>32613.123805800002</v>
      </c>
    </row>
    <row r="658" spans="1:12" ht="14.25">
      <c r="B658" s="1540"/>
      <c r="C658" s="1541"/>
      <c r="D658" s="1541"/>
      <c r="E658" s="1757" t="s">
        <v>5681</v>
      </c>
      <c r="F658" s="1791"/>
      <c r="G658" s="1759"/>
      <c r="H658" s="1760"/>
      <c r="I658" s="1761">
        <f>SUM(I656:I657)</f>
        <v>358744.36186379998</v>
      </c>
    </row>
    <row r="659" spans="1:12" ht="12.75">
      <c r="B659" s="1536"/>
      <c r="C659" s="1537"/>
      <c r="D659" s="1537"/>
      <c r="E659" s="1533" t="s">
        <v>5682</v>
      </c>
      <c r="F659" s="1535">
        <f>$N$5</f>
        <v>0.01</v>
      </c>
      <c r="G659" s="1538"/>
      <c r="H659" s="1532"/>
      <c r="I659" s="1534">
        <f>I658*F659</f>
        <v>3587.4436186379999</v>
      </c>
    </row>
    <row r="660" spans="1:12" ht="14.25">
      <c r="B660" s="2104"/>
      <c r="C660" s="1543"/>
      <c r="D660" s="2105"/>
      <c r="E660" s="2106" t="s">
        <v>5683</v>
      </c>
      <c r="F660" s="2115"/>
      <c r="G660" s="2108"/>
      <c r="H660" s="2109"/>
      <c r="I660" s="2110">
        <f>ROUND(I658+I659,0)</f>
        <v>362332</v>
      </c>
    </row>
    <row r="661" spans="1:12" ht="14.25">
      <c r="A661" s="657">
        <v>1</v>
      </c>
      <c r="B661" s="1546">
        <f>IF(A661&lt;&gt;0,COUNTA(A$7:$A661),"")</f>
        <v>38</v>
      </c>
      <c r="C661" s="1547">
        <f>'8.Dgia'!C513</f>
        <v>1776</v>
      </c>
      <c r="D661" s="1547" t="str">
        <f>'8.Dgia'!D513</f>
        <v>AF.33210</v>
      </c>
      <c r="E661" s="1740" t="str">
        <f>'8.Dgia'!E513</f>
        <v>Bê tông C42 mũ mố trụ trên cạn</v>
      </c>
      <c r="F661" s="1789" t="str">
        <f>'8.Dgia'!G513</f>
        <v>m3</v>
      </c>
      <c r="G661" s="1742">
        <f>'8.Dgia'!H513</f>
        <v>0</v>
      </c>
      <c r="H661" s="1743"/>
      <c r="I661" s="1743"/>
      <c r="J661" s="842">
        <f>+I662</f>
        <v>1258544.340158981</v>
      </c>
      <c r="K661" s="842">
        <f>+I665</f>
        <v>738104.08</v>
      </c>
      <c r="L661" s="842">
        <f>+I666</f>
        <v>428299.85626744776</v>
      </c>
    </row>
    <row r="662" spans="1:12" s="658" customFormat="1" ht="15">
      <c r="B662" s="1536" t="str">
        <f>'8.Dgia'!B514</f>
        <v/>
      </c>
      <c r="C662" s="1537">
        <f>'8.Dgia'!C514</f>
        <v>0</v>
      </c>
      <c r="D662" s="1537">
        <f>'8.Dgia'!D514</f>
        <v>0</v>
      </c>
      <c r="E662" s="1744" t="str">
        <f>'8.Dgia'!E514</f>
        <v xml:space="preserve">  A - Vật liệu</v>
      </c>
      <c r="F662" s="1763">
        <f>'8.Dgia'!G514</f>
        <v>0</v>
      </c>
      <c r="G662" s="1746">
        <f>'8.Dgia'!H514</f>
        <v>0</v>
      </c>
      <c r="H662" s="1747"/>
      <c r="I662" s="1748">
        <f>SUM(I663:I664)</f>
        <v>1258544.340158981</v>
      </c>
      <c r="J662" s="850"/>
      <c r="K662" s="850"/>
      <c r="L662" s="850"/>
    </row>
    <row r="663" spans="1:12" ht="15" customHeight="1">
      <c r="B663" s="1536" t="str">
        <f>'8.Dgia'!B515</f>
        <v/>
      </c>
      <c r="C663" s="1537">
        <f>'8.Dgia'!C515</f>
        <v>0</v>
      </c>
      <c r="D663" s="1537" t="str">
        <f>'8.Dgia'!D515</f>
        <v>ĐM</v>
      </c>
      <c r="E663" s="1749" t="str">
        <f>'8.Dgia'!E515</f>
        <v>Vữa bê tông đá 1x2 C42 (độ sụt 8-12cm)</v>
      </c>
      <c r="F663" s="1763" t="str">
        <f>'8.Dgia'!G515</f>
        <v>m3</v>
      </c>
      <c r="G663" s="1746">
        <f>'8.Dgia'!H515</f>
        <v>1.0149999999999999</v>
      </c>
      <c r="H663" s="1747">
        <f>GVL!$I$201</f>
        <v>1221620.8499686779</v>
      </c>
      <c r="I663" s="1747">
        <f>H663*G663</f>
        <v>1239945.1627182078</v>
      </c>
    </row>
    <row r="664" spans="1:12" ht="15">
      <c r="B664" s="1536" t="str">
        <f>'8.Dgia'!B516</f>
        <v/>
      </c>
      <c r="C664" s="1537">
        <f>'8.Dgia'!C516</f>
        <v>0</v>
      </c>
      <c r="D664" s="1537">
        <f>'8.Dgia'!D516</f>
        <v>0</v>
      </c>
      <c r="E664" s="1749" t="str">
        <f>'8.Dgia'!E516</f>
        <v>Vật liệu khác</v>
      </c>
      <c r="F664" s="1763" t="str">
        <f>'8.Dgia'!G516</f>
        <v>%</v>
      </c>
      <c r="G664" s="1746">
        <f>'8.Dgia'!H516</f>
        <v>1.5</v>
      </c>
      <c r="H664" s="1747">
        <f>I663</f>
        <v>1239945.1627182078</v>
      </c>
      <c r="I664" s="1747">
        <f>H664*G664%</f>
        <v>18599.177440773117</v>
      </c>
    </row>
    <row r="665" spans="1:12" s="658" customFormat="1" ht="15">
      <c r="B665" s="1536" t="str">
        <f>'8.Dgia'!B517</f>
        <v/>
      </c>
      <c r="C665" s="1537">
        <f>'8.Dgia'!C517</f>
        <v>0</v>
      </c>
      <c r="D665" s="1537">
        <f>'8.Dgia'!D517</f>
        <v>0</v>
      </c>
      <c r="E665" s="1744" t="str">
        <f>'8.Dgia'!E517</f>
        <v xml:space="preserve">  B - Nhân công 3.5/7</v>
      </c>
      <c r="F665" s="1745" t="s">
        <v>552</v>
      </c>
      <c r="G665" s="1746">
        <f>'8.Dgia'!H517</f>
        <v>3.13</v>
      </c>
      <c r="H665" s="1747">
        <f>'16.NC'!$H$16</f>
        <v>235816</v>
      </c>
      <c r="I665" s="1750">
        <f>H665*G665</f>
        <v>738104.08</v>
      </c>
      <c r="J665" s="850"/>
      <c r="K665" s="850"/>
      <c r="L665" s="850"/>
    </row>
    <row r="666" spans="1:12" s="658" customFormat="1" ht="15">
      <c r="B666" s="1536" t="str">
        <f>'8.Dgia'!B518</f>
        <v/>
      </c>
      <c r="C666" s="1537">
        <f>'8.Dgia'!C518</f>
        <v>0</v>
      </c>
      <c r="D666" s="1537">
        <f>'8.Dgia'!D518</f>
        <v>0</v>
      </c>
      <c r="E666" s="1744" t="str">
        <f>'8.Dgia'!E518</f>
        <v xml:space="preserve">  C - Máy thi công</v>
      </c>
      <c r="F666" s="1763">
        <f>'8.Dgia'!G518</f>
        <v>0</v>
      </c>
      <c r="G666" s="1746">
        <f>'8.Dgia'!H518</f>
        <v>0</v>
      </c>
      <c r="H666" s="1747"/>
      <c r="I666" s="1751">
        <f>SUM(I667:I670)</f>
        <v>428299.85626744776</v>
      </c>
      <c r="J666" s="850"/>
      <c r="K666" s="850"/>
      <c r="L666" s="850"/>
    </row>
    <row r="667" spans="1:12" ht="15">
      <c r="B667" s="1536" t="str">
        <f>'8.Dgia'!B519</f>
        <v/>
      </c>
      <c r="C667" s="1537">
        <f>'8.Dgia'!C519</f>
        <v>0</v>
      </c>
      <c r="D667" s="1537">
        <f>'8.Dgia'!D519</f>
        <v>0</v>
      </c>
      <c r="E667" s="1749" t="str">
        <f>'8.Dgia'!E519</f>
        <v>Cần cẩu bánh xích 25T</v>
      </c>
      <c r="F667" s="1745" t="s">
        <v>5493</v>
      </c>
      <c r="G667" s="1746">
        <f>'8.Dgia'!H519</f>
        <v>6.7000000000000004E-2</v>
      </c>
      <c r="H667" s="1747">
        <f>'9.may'!$P$248</f>
        <v>2787996.6736363638</v>
      </c>
      <c r="I667" s="1747">
        <f>H667*G667</f>
        <v>186795.77713363638</v>
      </c>
    </row>
    <row r="668" spans="1:12" ht="15">
      <c r="B668" s="1536" t="str">
        <f>'8.Dgia'!B520</f>
        <v/>
      </c>
      <c r="C668" s="1537">
        <f>'8.Dgia'!C520</f>
        <v>0</v>
      </c>
      <c r="D668" s="1537">
        <f>'8.Dgia'!D520</f>
        <v>0</v>
      </c>
      <c r="E668" s="1749" t="str">
        <f>'8.Dgia'!E520</f>
        <v>Máy bơm BT 50m3/h</v>
      </c>
      <c r="F668" s="1745" t="s">
        <v>5493</v>
      </c>
      <c r="G668" s="1746">
        <f>'8.Dgia'!H520</f>
        <v>6.7000000000000004E-2</v>
      </c>
      <c r="H668" s="1747">
        <f>'9.may'!$P$362</f>
        <v>3446390.13</v>
      </c>
      <c r="I668" s="1747">
        <f>H668*G668</f>
        <v>230908.13871</v>
      </c>
    </row>
    <row r="669" spans="1:12" ht="15">
      <c r="B669" s="1536" t="str">
        <f>'8.Dgia'!B521</f>
        <v/>
      </c>
      <c r="C669" s="1537">
        <f>'8.Dgia'!C521</f>
        <v>0</v>
      </c>
      <c r="D669" s="1537">
        <f>'8.Dgia'!D521</f>
        <v>0</v>
      </c>
      <c r="E669" s="1749" t="str">
        <f>'8.Dgia'!E521</f>
        <v>Máy đầm dùi 1.5kw</v>
      </c>
      <c r="F669" s="1745" t="s">
        <v>5493</v>
      </c>
      <c r="G669" s="1746">
        <f>'8.Dgia'!H521</f>
        <v>8.5000000000000006E-2</v>
      </c>
      <c r="H669" s="1747">
        <f>'9.may'!$P$382</f>
        <v>74768.797500000001</v>
      </c>
      <c r="I669" s="1747">
        <f>H669*G669</f>
        <v>6355.3477875000008</v>
      </c>
    </row>
    <row r="670" spans="1:12" ht="15">
      <c r="B670" s="1536" t="str">
        <f>'8.Dgia'!B522</f>
        <v/>
      </c>
      <c r="C670" s="1537">
        <f>'8.Dgia'!C522</f>
        <v>0</v>
      </c>
      <c r="D670" s="1537">
        <f>'8.Dgia'!D522</f>
        <v>0</v>
      </c>
      <c r="E670" s="1749" t="str">
        <f>'8.Dgia'!E522</f>
        <v>Máy khác</v>
      </c>
      <c r="F670" s="1763" t="str">
        <f>'8.Dgia'!G522</f>
        <v>%</v>
      </c>
      <c r="G670" s="1746">
        <f>'8.Dgia'!H522</f>
        <v>1</v>
      </c>
      <c r="H670" s="1747">
        <f>SUM(I667:I669)</f>
        <v>424059.26363113639</v>
      </c>
      <c r="I670" s="1747">
        <f>H670*G670%</f>
        <v>4240.592636311364</v>
      </c>
    </row>
    <row r="671" spans="1:12" s="658" customFormat="1" ht="15">
      <c r="B671" s="1675"/>
      <c r="C671" s="1676"/>
      <c r="D671" s="1676"/>
      <c r="E671" s="1752" t="s">
        <v>5675</v>
      </c>
      <c r="F671" s="1763">
        <f>$J$5</f>
        <v>0.02</v>
      </c>
      <c r="G671" s="1754"/>
      <c r="H671" s="1755"/>
      <c r="I671" s="1756">
        <f>( I662+I665+I666 )*F671</f>
        <v>48498.96552852857</v>
      </c>
      <c r="J671" s="850"/>
      <c r="K671" s="850"/>
      <c r="L671" s="850"/>
    </row>
    <row r="672" spans="1:12" ht="15">
      <c r="B672" s="1540"/>
      <c r="C672" s="1541"/>
      <c r="D672" s="1541"/>
      <c r="E672" s="1757" t="s">
        <v>5676</v>
      </c>
      <c r="F672" s="1763"/>
      <c r="G672" s="1759"/>
      <c r="H672" s="1760"/>
      <c r="I672" s="1761">
        <f>I671+I671/F671</f>
        <v>2473447.2419549571</v>
      </c>
    </row>
    <row r="673" spans="1:12" ht="15">
      <c r="B673" s="1536"/>
      <c r="C673" s="1537"/>
      <c r="D673" s="1537"/>
      <c r="E673" s="1762" t="s">
        <v>5677</v>
      </c>
      <c r="F673" s="1763">
        <f>$K$5</f>
        <v>5.5E-2</v>
      </c>
      <c r="G673" s="1746"/>
      <c r="H673" s="1747"/>
      <c r="I673" s="1764">
        <f>I672*F673</f>
        <v>136039.59830752265</v>
      </c>
    </row>
    <row r="674" spans="1:12" ht="15">
      <c r="B674" s="1536"/>
      <c r="C674" s="1537"/>
      <c r="D674" s="1537"/>
      <c r="E674" s="1762" t="s">
        <v>5678</v>
      </c>
      <c r="F674" s="1763">
        <f>$L$5</f>
        <v>0.06</v>
      </c>
      <c r="G674" s="1746"/>
      <c r="H674" s="1747"/>
      <c r="I674" s="1764">
        <f>SUM(I672:I673)*F674</f>
        <v>156569.21041574876</v>
      </c>
    </row>
    <row r="675" spans="1:12" ht="14.25">
      <c r="B675" s="1540"/>
      <c r="C675" s="1541"/>
      <c r="D675" s="1541"/>
      <c r="E675" s="1757" t="s">
        <v>5679</v>
      </c>
      <c r="F675" s="1791"/>
      <c r="G675" s="1759"/>
      <c r="H675" s="1760"/>
      <c r="I675" s="1761">
        <f>SUM(I672:I674)</f>
        <v>2766056.0506782285</v>
      </c>
    </row>
    <row r="676" spans="1:12" ht="15">
      <c r="B676" s="1536"/>
      <c r="C676" s="1537"/>
      <c r="D676" s="1537"/>
      <c r="E676" s="1762" t="s">
        <v>5680</v>
      </c>
      <c r="F676" s="1765">
        <f>$M$5</f>
        <v>0.1</v>
      </c>
      <c r="G676" s="1746"/>
      <c r="H676" s="1747"/>
      <c r="I676" s="1764">
        <f>I675*F676</f>
        <v>276605.60506782285</v>
      </c>
    </row>
    <row r="677" spans="1:12" ht="14.25">
      <c r="B677" s="1540"/>
      <c r="C677" s="1541"/>
      <c r="D677" s="1541"/>
      <c r="E677" s="1757" t="s">
        <v>5681</v>
      </c>
      <c r="F677" s="1791"/>
      <c r="G677" s="1759"/>
      <c r="H677" s="1760"/>
      <c r="I677" s="1761">
        <f>SUM(I675:I676)</f>
        <v>3042661.6557460511</v>
      </c>
    </row>
    <row r="678" spans="1:12" ht="12.75">
      <c r="B678" s="1536"/>
      <c r="C678" s="1537"/>
      <c r="D678" s="1537"/>
      <c r="E678" s="1533" t="s">
        <v>5682</v>
      </c>
      <c r="F678" s="1535">
        <f>$N$5</f>
        <v>0.01</v>
      </c>
      <c r="G678" s="1538"/>
      <c r="H678" s="1532"/>
      <c r="I678" s="1534">
        <f>I677*F678</f>
        <v>30426.616557460511</v>
      </c>
    </row>
    <row r="679" spans="1:12" ht="14.25">
      <c r="B679" s="2104"/>
      <c r="C679" s="1543"/>
      <c r="D679" s="2105"/>
      <c r="E679" s="2106" t="s">
        <v>5683</v>
      </c>
      <c r="F679" s="2115"/>
      <c r="G679" s="2108"/>
      <c r="H679" s="2109"/>
      <c r="I679" s="2110">
        <f>ROUND(I677+I678,0)</f>
        <v>3073088</v>
      </c>
    </row>
    <row r="680" spans="1:12" ht="18.75" customHeight="1">
      <c r="A680" s="657">
        <v>1</v>
      </c>
      <c r="B680" s="1546">
        <f>IF(A680&lt;&gt;0,COUNTA(A$7:$A680),"")</f>
        <v>39</v>
      </c>
      <c r="C680" s="1550">
        <f>'8.Dgia'!C523</f>
        <v>1776</v>
      </c>
      <c r="D680" s="1550" t="str">
        <f>'8.Dgia'!D523</f>
        <v>AF.33320</v>
      </c>
      <c r="E680" s="1766" t="str">
        <f>'8.Dgia'!E523</f>
        <v>Bê tông C42 dầm hộp đúc hẫng trên cạn</v>
      </c>
      <c r="F680" s="1794" t="str">
        <f>'8.Dgia'!G523</f>
        <v>m3</v>
      </c>
      <c r="G680" s="1768">
        <f>'8.Dgia'!H523</f>
        <v>0</v>
      </c>
      <c r="H680" s="1769"/>
      <c r="I680" s="1769"/>
      <c r="J680" s="842">
        <f>+I681</f>
        <v>1326140.5692269362</v>
      </c>
      <c r="K680" s="842">
        <f>+I685</f>
        <v>4273551.3600000003</v>
      </c>
      <c r="L680" s="842">
        <f>+I686</f>
        <v>449576.90564400004</v>
      </c>
    </row>
    <row r="681" spans="1:12" s="658" customFormat="1" ht="15">
      <c r="B681" s="1551" t="str">
        <f>'8.Dgia'!B524</f>
        <v/>
      </c>
      <c r="C681" s="1552">
        <f>'8.Dgia'!C524</f>
        <v>0</v>
      </c>
      <c r="D681" s="1552">
        <f>'8.Dgia'!D524</f>
        <v>0</v>
      </c>
      <c r="E681" s="1770" t="str">
        <f>'8.Dgia'!E524</f>
        <v xml:space="preserve">  A - Vật liệu</v>
      </c>
      <c r="F681" s="1786">
        <f>'8.Dgia'!G524</f>
        <v>0</v>
      </c>
      <c r="G681" s="1772">
        <f>'8.Dgia'!H524</f>
        <v>0</v>
      </c>
      <c r="H681" s="1773"/>
      <c r="I681" s="1774">
        <f>SUM(I682:I684)</f>
        <v>1326140.5692269362</v>
      </c>
      <c r="J681" s="850"/>
      <c r="K681" s="850"/>
      <c r="L681" s="850"/>
    </row>
    <row r="682" spans="1:12" ht="15" customHeight="1">
      <c r="B682" s="1551" t="str">
        <f>'8.Dgia'!B525</f>
        <v/>
      </c>
      <c r="C682" s="1552">
        <f>'8.Dgia'!C525</f>
        <v>0</v>
      </c>
      <c r="D682" s="1552" t="str">
        <f>'8.Dgia'!D525</f>
        <v>ĐM</v>
      </c>
      <c r="E682" s="1775" t="str">
        <f>'8.Dgia'!E525</f>
        <v>Vữa bê tông đá 1x2 C42 (độ sụt 8-12cm)</v>
      </c>
      <c r="F682" s="1786" t="str">
        <f>'8.Dgia'!G525</f>
        <v>m3</v>
      </c>
      <c r="G682" s="1772">
        <f>'8.Dgia'!H525</f>
        <v>1.0149999999999999</v>
      </c>
      <c r="H682" s="1773">
        <f>GVL!$I$201</f>
        <v>1221620.8499686779</v>
      </c>
      <c r="I682" s="1773">
        <f>H682*G682</f>
        <v>1239945.1627182078</v>
      </c>
    </row>
    <row r="683" spans="1:12" ht="15">
      <c r="B683" s="1551" t="str">
        <f>'8.Dgia'!B526</f>
        <v/>
      </c>
      <c r="C683" s="1552">
        <f>'8.Dgia'!C526</f>
        <v>0</v>
      </c>
      <c r="D683" s="1552">
        <f>'8.Dgia'!D526</f>
        <v>0</v>
      </c>
      <c r="E683" s="1775" t="str">
        <f>'8.Dgia'!E526</f>
        <v>Ống nhựa D75</v>
      </c>
      <c r="F683" s="1786" t="str">
        <f>'8.Dgia'!G526</f>
        <v>m</v>
      </c>
      <c r="G683" s="1772">
        <f>'8.Dgia'!H526</f>
        <v>1.02</v>
      </c>
      <c r="H683" s="1773">
        <f>GVL!$I$137</f>
        <v>34500</v>
      </c>
      <c r="I683" s="1773">
        <f>H683*G683</f>
        <v>35190</v>
      </c>
    </row>
    <row r="684" spans="1:12" ht="15">
      <c r="B684" s="1551" t="str">
        <f>'8.Dgia'!B527</f>
        <v/>
      </c>
      <c r="C684" s="1552">
        <f>'8.Dgia'!C527</f>
        <v>0</v>
      </c>
      <c r="D684" s="1552">
        <f>'8.Dgia'!D527</f>
        <v>0</v>
      </c>
      <c r="E684" s="1775" t="str">
        <f>'8.Dgia'!E527</f>
        <v>Vật liệu khác</v>
      </c>
      <c r="F684" s="1786" t="str">
        <f>'8.Dgia'!G527</f>
        <v>%</v>
      </c>
      <c r="G684" s="1965">
        <f>'8.Dgia'!H527</f>
        <v>4</v>
      </c>
      <c r="H684" s="1773">
        <f>SUM(I682:I683)</f>
        <v>1275135.1627182078</v>
      </c>
      <c r="I684" s="1773">
        <f>H684*G684%</f>
        <v>51005.406508728316</v>
      </c>
    </row>
    <row r="685" spans="1:12" s="658" customFormat="1" ht="15">
      <c r="B685" s="1551" t="str">
        <f>'8.Dgia'!B528</f>
        <v/>
      </c>
      <c r="C685" s="1552">
        <f>'8.Dgia'!C528</f>
        <v>0</v>
      </c>
      <c r="D685" s="1552">
        <f>'8.Dgia'!D528</f>
        <v>0</v>
      </c>
      <c r="E685" s="1770" t="str">
        <f>'8.Dgia'!E528</f>
        <v xml:space="preserve">  B - Nhân công 4.0/7</v>
      </c>
      <c r="F685" s="1745" t="s">
        <v>552</v>
      </c>
      <c r="G685" s="1772">
        <f>'8.Dgia'!H528</f>
        <v>16.64</v>
      </c>
      <c r="H685" s="1773">
        <f>'16.NC'!$H$18</f>
        <v>256824</v>
      </c>
      <c r="I685" s="1776">
        <f>H685*G685</f>
        <v>4273551.3600000003</v>
      </c>
      <c r="J685" s="850"/>
      <c r="K685" s="850"/>
      <c r="L685" s="850"/>
    </row>
    <row r="686" spans="1:12" s="658" customFormat="1" ht="15">
      <c r="B686" s="1551" t="str">
        <f>'8.Dgia'!B529</f>
        <v/>
      </c>
      <c r="C686" s="1552">
        <f>'8.Dgia'!C529</f>
        <v>0</v>
      </c>
      <c r="D686" s="1552">
        <f>'8.Dgia'!D529</f>
        <v>0</v>
      </c>
      <c r="E686" s="1770" t="str">
        <f>'8.Dgia'!E529</f>
        <v xml:space="preserve">  C - Máy thi công</v>
      </c>
      <c r="F686" s="1786">
        <f>'8.Dgia'!G529</f>
        <v>0</v>
      </c>
      <c r="G686" s="1772">
        <f>'8.Dgia'!H529</f>
        <v>0</v>
      </c>
      <c r="H686" s="1773"/>
      <c r="I686" s="1777">
        <f>SUM(I687:I690)</f>
        <v>449576.90564400004</v>
      </c>
      <c r="J686" s="850"/>
      <c r="K686" s="850"/>
      <c r="L686" s="850"/>
    </row>
    <row r="687" spans="1:12" ht="15">
      <c r="B687" s="1551" t="str">
        <f>'8.Dgia'!B530</f>
        <v/>
      </c>
      <c r="C687" s="1552">
        <f>'8.Dgia'!C530</f>
        <v>0</v>
      </c>
      <c r="D687" s="1552">
        <f>'8.Dgia'!D530</f>
        <v>0</v>
      </c>
      <c r="E687" s="1775" t="str">
        <f>'8.Dgia'!E530</f>
        <v>Máy đầm dùi 1.5kw</v>
      </c>
      <c r="F687" s="1745" t="s">
        <v>5493</v>
      </c>
      <c r="G687" s="1772">
        <f>'8.Dgia'!H530</f>
        <v>0.18</v>
      </c>
      <c r="H687" s="1773">
        <f>'9.may'!$P$382</f>
        <v>74768.797500000001</v>
      </c>
      <c r="I687" s="1773">
        <f>H687*G687</f>
        <v>13458.38355</v>
      </c>
    </row>
    <row r="688" spans="1:12" ht="15">
      <c r="B688" s="1551" t="str">
        <f>'8.Dgia'!B531</f>
        <v/>
      </c>
      <c r="C688" s="1552">
        <f>'8.Dgia'!C531</f>
        <v>0</v>
      </c>
      <c r="D688" s="1552">
        <f>'8.Dgia'!D531</f>
        <v>0</v>
      </c>
      <c r="E688" s="1775" t="str">
        <f>'8.Dgia'!E531</f>
        <v>Cần cẩu bánh xích 25T</v>
      </c>
      <c r="F688" s="1745" t="s">
        <v>5493</v>
      </c>
      <c r="G688" s="1772">
        <f>'8.Dgia'!H531</f>
        <v>0.11</v>
      </c>
      <c r="H688" s="1773">
        <f>'9.may'!$P$248</f>
        <v>2787996.6736363638</v>
      </c>
      <c r="I688" s="1773">
        <f>H688*G688</f>
        <v>306679.63410000002</v>
      </c>
    </row>
    <row r="689" spans="1:12" ht="15">
      <c r="B689" s="1551" t="str">
        <f>'8.Dgia'!B532</f>
        <v/>
      </c>
      <c r="C689" s="1552">
        <f>'8.Dgia'!C532</f>
        <v>0</v>
      </c>
      <c r="D689" s="1552">
        <f>'8.Dgia'!D532</f>
        <v>0</v>
      </c>
      <c r="E689" s="1775" t="str">
        <f>'8.Dgia'!E532</f>
        <v>Máy bơm BT 50m3/h</v>
      </c>
      <c r="F689" s="1745" t="s">
        <v>5493</v>
      </c>
      <c r="G689" s="1772">
        <f>'8.Dgia'!H532</f>
        <v>3.5000000000000003E-2</v>
      </c>
      <c r="H689" s="1773">
        <f>'9.may'!$P$362</f>
        <v>3446390.13</v>
      </c>
      <c r="I689" s="1773">
        <f>H689*G689</f>
        <v>120623.65455000001</v>
      </c>
    </row>
    <row r="690" spans="1:12" ht="15">
      <c r="B690" s="1551" t="str">
        <f>'8.Dgia'!B533</f>
        <v/>
      </c>
      <c r="C690" s="1552">
        <f>'8.Dgia'!C533</f>
        <v>0</v>
      </c>
      <c r="D690" s="1552">
        <f>'8.Dgia'!D533</f>
        <v>0</v>
      </c>
      <c r="E690" s="1775" t="str">
        <f>'8.Dgia'!E533</f>
        <v>Máy khác</v>
      </c>
      <c r="F690" s="1786" t="str">
        <f>'8.Dgia'!G533</f>
        <v>%</v>
      </c>
      <c r="G690" s="1965">
        <f>'8.Dgia'!H533</f>
        <v>2</v>
      </c>
      <c r="H690" s="1773">
        <f>SUM(I687:I689)</f>
        <v>440761.67220000003</v>
      </c>
      <c r="I690" s="1773">
        <f>H690*G690%</f>
        <v>8815.2334440000013</v>
      </c>
    </row>
    <row r="691" spans="1:12" s="658" customFormat="1" ht="15">
      <c r="B691" s="1677"/>
      <c r="C691" s="1678"/>
      <c r="D691" s="1678"/>
      <c r="E691" s="1778" t="s">
        <v>5675</v>
      </c>
      <c r="F691" s="1786">
        <f>$J$5</f>
        <v>0.02</v>
      </c>
      <c r="G691" s="1780"/>
      <c r="H691" s="1777"/>
      <c r="I691" s="1777">
        <f>( I681+I685+I686 )*F691</f>
        <v>120985.37669741873</v>
      </c>
      <c r="J691" s="850"/>
      <c r="K691" s="850"/>
      <c r="L691" s="850"/>
    </row>
    <row r="692" spans="1:12" ht="15">
      <c r="B692" s="1556"/>
      <c r="C692" s="1557"/>
      <c r="D692" s="1557"/>
      <c r="E692" s="1781" t="s">
        <v>5676</v>
      </c>
      <c r="F692" s="1786"/>
      <c r="G692" s="1783"/>
      <c r="H692" s="1784"/>
      <c r="I692" s="1784">
        <f>I691+I691/F691</f>
        <v>6170254.2115683546</v>
      </c>
    </row>
    <row r="693" spans="1:12" ht="15">
      <c r="B693" s="1551"/>
      <c r="C693" s="1552"/>
      <c r="D693" s="1552"/>
      <c r="E693" s="1785" t="s">
        <v>5677</v>
      </c>
      <c r="F693" s="1786">
        <f>$K$5</f>
        <v>5.5E-2</v>
      </c>
      <c r="G693" s="1772"/>
      <c r="H693" s="1773"/>
      <c r="I693" s="1773">
        <f>I692*F693</f>
        <v>339363.98163625953</v>
      </c>
    </row>
    <row r="694" spans="1:12" ht="15">
      <c r="B694" s="1551"/>
      <c r="C694" s="1552"/>
      <c r="D694" s="1552"/>
      <c r="E694" s="1785" t="s">
        <v>5678</v>
      </c>
      <c r="F694" s="1786">
        <f>$L$5</f>
        <v>0.06</v>
      </c>
      <c r="G694" s="1772"/>
      <c r="H694" s="1773"/>
      <c r="I694" s="1773">
        <f>SUM(I692:I693)*F694</f>
        <v>390577.09159227682</v>
      </c>
    </row>
    <row r="695" spans="1:12" ht="14.25">
      <c r="B695" s="1556"/>
      <c r="C695" s="1557"/>
      <c r="D695" s="1557"/>
      <c r="E695" s="1781" t="s">
        <v>5679</v>
      </c>
      <c r="F695" s="1787"/>
      <c r="G695" s="1783"/>
      <c r="H695" s="1784"/>
      <c r="I695" s="1784">
        <f>SUM(I692:I694)</f>
        <v>6900195.2847968908</v>
      </c>
    </row>
    <row r="696" spans="1:12" ht="15">
      <c r="B696" s="1551"/>
      <c r="C696" s="1552"/>
      <c r="D696" s="1552"/>
      <c r="E696" s="1785" t="s">
        <v>5680</v>
      </c>
      <c r="F696" s="1788">
        <f>$M$5</f>
        <v>0.1</v>
      </c>
      <c r="G696" s="1772"/>
      <c r="H696" s="1773"/>
      <c r="I696" s="1773">
        <f>I695*F696</f>
        <v>690019.52847968915</v>
      </c>
    </row>
    <row r="697" spans="1:12" ht="14.25">
      <c r="B697" s="1556"/>
      <c r="C697" s="1557"/>
      <c r="D697" s="1557"/>
      <c r="E697" s="1781" t="s">
        <v>5681</v>
      </c>
      <c r="F697" s="1787"/>
      <c r="G697" s="1783"/>
      <c r="H697" s="1784"/>
      <c r="I697" s="1784">
        <f>SUM(I695:I696)</f>
        <v>7590214.8132765796</v>
      </c>
    </row>
    <row r="698" spans="1:12" ht="12.75">
      <c r="B698" s="1551"/>
      <c r="C698" s="1552"/>
      <c r="D698" s="1552"/>
      <c r="E698" s="1563" t="s">
        <v>5682</v>
      </c>
      <c r="F698" s="1560">
        <f>$N$5</f>
        <v>0.01</v>
      </c>
      <c r="G698" s="1553"/>
      <c r="H698" s="1562"/>
      <c r="I698" s="1562">
        <f>I697*F698</f>
        <v>75902.148132765797</v>
      </c>
    </row>
    <row r="699" spans="1:12" ht="14.25">
      <c r="B699" s="2111"/>
      <c r="C699" s="1564"/>
      <c r="D699" s="2111"/>
      <c r="E699" s="2112" t="s">
        <v>5683</v>
      </c>
      <c r="F699" s="2113"/>
      <c r="G699" s="2112"/>
      <c r="H699" s="2114"/>
      <c r="I699" s="2110">
        <f>ROUND(I697+I698,0)</f>
        <v>7666117</v>
      </c>
    </row>
    <row r="700" spans="1:12" s="1336" customFormat="1" ht="28.5">
      <c r="A700" s="657">
        <v>1</v>
      </c>
      <c r="B700" s="1546">
        <f>IF(A700&lt;&gt;0,COUNTA(A$7:$A700),"")</f>
        <v>40</v>
      </c>
      <c r="C700" s="1550">
        <f>'8.Dgia'!C534</f>
        <v>1776</v>
      </c>
      <c r="D700" s="1550" t="str">
        <f>'8.Dgia'!D534</f>
        <v>AF.33330</v>
      </c>
      <c r="E700" s="1766" t="str">
        <f>'8.Dgia'!E534</f>
        <v>Bê tông C42 dầm hộp đúc hẫng trên mặt nước</v>
      </c>
      <c r="F700" s="1794" t="str">
        <f>'8.Dgia'!G534</f>
        <v>m3</v>
      </c>
      <c r="G700" s="1768">
        <f>'8.Dgia'!H534</f>
        <v>0</v>
      </c>
      <c r="H700" s="1769"/>
      <c r="I700" s="1769"/>
      <c r="J700" s="1425">
        <f>+I701</f>
        <v>1326140.5692269362</v>
      </c>
      <c r="K700" s="1425">
        <f>+I705</f>
        <v>5074842.24</v>
      </c>
      <c r="L700" s="1425">
        <f>+I706</f>
        <v>502306.67463300005</v>
      </c>
    </row>
    <row r="701" spans="1:12" s="658" customFormat="1" ht="15">
      <c r="B701" s="1551" t="str">
        <f>'8.Dgia'!B535</f>
        <v/>
      </c>
      <c r="C701" s="1552">
        <f>'8.Dgia'!C535</f>
        <v>0</v>
      </c>
      <c r="D701" s="1552">
        <f>'8.Dgia'!D535</f>
        <v>0</v>
      </c>
      <c r="E701" s="1770" t="str">
        <f>'8.Dgia'!E535</f>
        <v xml:space="preserve">  A - Vật liệu</v>
      </c>
      <c r="F701" s="1786">
        <f>'8.Dgia'!G535</f>
        <v>0</v>
      </c>
      <c r="G701" s="1772">
        <f>'8.Dgia'!H535</f>
        <v>0</v>
      </c>
      <c r="H701" s="1773"/>
      <c r="I701" s="1774">
        <f>SUM(I702:I704)</f>
        <v>1326140.5692269362</v>
      </c>
      <c r="J701" s="850"/>
      <c r="K701" s="850"/>
      <c r="L701" s="850"/>
    </row>
    <row r="702" spans="1:12" ht="15" customHeight="1">
      <c r="B702" s="1551" t="str">
        <f>'8.Dgia'!B536</f>
        <v/>
      </c>
      <c r="C702" s="1552">
        <f>'8.Dgia'!C536</f>
        <v>0</v>
      </c>
      <c r="D702" s="1552" t="str">
        <f>'8.Dgia'!D536</f>
        <v>ĐM</v>
      </c>
      <c r="E702" s="1775" t="str">
        <f>'8.Dgia'!E536</f>
        <v>Vữa bê tông đá 1x2 C42 (độ sụt 8-12cm)</v>
      </c>
      <c r="F702" s="1786" t="str">
        <f>'8.Dgia'!G536</f>
        <v>m3</v>
      </c>
      <c r="G702" s="1772">
        <f>'8.Dgia'!H536</f>
        <v>1.0149999999999999</v>
      </c>
      <c r="H702" s="1773">
        <f>GVL!$I$201</f>
        <v>1221620.8499686779</v>
      </c>
      <c r="I702" s="1773">
        <f>H702*G702</f>
        <v>1239945.1627182078</v>
      </c>
    </row>
    <row r="703" spans="1:12" ht="15">
      <c r="B703" s="1551" t="str">
        <f>'8.Dgia'!B537</f>
        <v/>
      </c>
      <c r="C703" s="1552">
        <f>'8.Dgia'!C537</f>
        <v>0</v>
      </c>
      <c r="D703" s="1552">
        <f>'8.Dgia'!D537</f>
        <v>0</v>
      </c>
      <c r="E703" s="1775" t="str">
        <f>'8.Dgia'!E537</f>
        <v>Ống nhựa D75</v>
      </c>
      <c r="F703" s="1786" t="str">
        <f>'8.Dgia'!G537</f>
        <v>m</v>
      </c>
      <c r="G703" s="1772">
        <f>'8.Dgia'!H537</f>
        <v>1.02</v>
      </c>
      <c r="H703" s="1773">
        <f>GVL!$I$137</f>
        <v>34500</v>
      </c>
      <c r="I703" s="1773">
        <f>H703*G703</f>
        <v>35190</v>
      </c>
    </row>
    <row r="704" spans="1:12" ht="15">
      <c r="B704" s="1551" t="str">
        <f>'8.Dgia'!B538</f>
        <v/>
      </c>
      <c r="C704" s="1552">
        <f>'8.Dgia'!C538</f>
        <v>0</v>
      </c>
      <c r="D704" s="1552">
        <f>'8.Dgia'!D538</f>
        <v>0</v>
      </c>
      <c r="E704" s="1775" t="str">
        <f>'8.Dgia'!E538</f>
        <v>Vật liệu khác</v>
      </c>
      <c r="F704" s="1786" t="str">
        <f>'8.Dgia'!G538</f>
        <v>%</v>
      </c>
      <c r="G704" s="1965">
        <f>'8.Dgia'!H538</f>
        <v>4</v>
      </c>
      <c r="H704" s="1773">
        <f>SUM(I702:I703)</f>
        <v>1275135.1627182078</v>
      </c>
      <c r="I704" s="1773">
        <f>H704*G704%</f>
        <v>51005.406508728316</v>
      </c>
    </row>
    <row r="705" spans="2:12" s="658" customFormat="1" ht="15">
      <c r="B705" s="1551" t="str">
        <f>'8.Dgia'!B539</f>
        <v/>
      </c>
      <c r="C705" s="1552">
        <f>'8.Dgia'!C539</f>
        <v>0</v>
      </c>
      <c r="D705" s="1552">
        <f>'8.Dgia'!D539</f>
        <v>0</v>
      </c>
      <c r="E705" s="1770" t="str">
        <f>'8.Dgia'!E539</f>
        <v xml:space="preserve">  B - Nhân công 4.0/7</v>
      </c>
      <c r="F705" s="1745" t="s">
        <v>552</v>
      </c>
      <c r="G705" s="1772">
        <f>'8.Dgia'!H539</f>
        <v>19.760000000000002</v>
      </c>
      <c r="H705" s="1773">
        <f>'16.NC'!$H$18</f>
        <v>256824</v>
      </c>
      <c r="I705" s="1776">
        <f>H705*G705</f>
        <v>5074842.24</v>
      </c>
      <c r="J705" s="850"/>
      <c r="K705" s="850"/>
      <c r="L705" s="850"/>
    </row>
    <row r="706" spans="2:12" s="658" customFormat="1" ht="15">
      <c r="B706" s="1551" t="str">
        <f>'8.Dgia'!B540</f>
        <v/>
      </c>
      <c r="C706" s="1552">
        <f>'8.Dgia'!C540</f>
        <v>0</v>
      </c>
      <c r="D706" s="1552">
        <f>'8.Dgia'!D540</f>
        <v>0</v>
      </c>
      <c r="E706" s="1770" t="str">
        <f>'8.Dgia'!E540</f>
        <v xml:space="preserve">  C - Máy thi công</v>
      </c>
      <c r="F706" s="1786">
        <f>'8.Dgia'!G540</f>
        <v>0</v>
      </c>
      <c r="G706" s="1772">
        <f>'8.Dgia'!H540</f>
        <v>0</v>
      </c>
      <c r="H706" s="1773"/>
      <c r="I706" s="1777">
        <f>SUM(I707:I712)</f>
        <v>502306.67463300005</v>
      </c>
      <c r="J706" s="850"/>
      <c r="K706" s="850"/>
      <c r="L706" s="850"/>
    </row>
    <row r="707" spans="2:12" ht="15">
      <c r="B707" s="1551" t="str">
        <f>'8.Dgia'!B541</f>
        <v/>
      </c>
      <c r="C707" s="1552">
        <f>'8.Dgia'!C541</f>
        <v>0</v>
      </c>
      <c r="D707" s="1552">
        <f>'8.Dgia'!D541</f>
        <v>0</v>
      </c>
      <c r="E707" s="1775" t="str">
        <f>'8.Dgia'!E541</f>
        <v>Máy đầm dùi 1.5kw</v>
      </c>
      <c r="F707" s="1745" t="s">
        <v>5493</v>
      </c>
      <c r="G707" s="1772">
        <f>'8.Dgia'!H541</f>
        <v>0.18</v>
      </c>
      <c r="H707" s="1773">
        <f>'9.may'!$P$382</f>
        <v>74768.797500000001</v>
      </c>
      <c r="I707" s="1773">
        <f>H707*G707</f>
        <v>13458.38355</v>
      </c>
    </row>
    <row r="708" spans="2:12" ht="15">
      <c r="B708" s="1551" t="str">
        <f>'8.Dgia'!B542</f>
        <v/>
      </c>
      <c r="C708" s="1552">
        <f>'8.Dgia'!C542</f>
        <v>0</v>
      </c>
      <c r="D708" s="1552">
        <f>'8.Dgia'!D542</f>
        <v>0</v>
      </c>
      <c r="E708" s="1775" t="str">
        <f>'8.Dgia'!E542</f>
        <v>Cần cẩu bánh xích 25T</v>
      </c>
      <c r="F708" s="1745" t="s">
        <v>5493</v>
      </c>
      <c r="G708" s="1772">
        <f>'8.Dgia'!H542</f>
        <v>0.11</v>
      </c>
      <c r="H708" s="1773">
        <f>'9.may'!$P$248</f>
        <v>2787996.6736363638</v>
      </c>
      <c r="I708" s="1773">
        <f>H708*G708</f>
        <v>306679.63410000002</v>
      </c>
    </row>
    <row r="709" spans="2:12" ht="15">
      <c r="B709" s="1551" t="str">
        <f>'8.Dgia'!B543</f>
        <v/>
      </c>
      <c r="C709" s="1552">
        <f>'8.Dgia'!C543</f>
        <v>0</v>
      </c>
      <c r="D709" s="1552">
        <f>'8.Dgia'!D543</f>
        <v>0</v>
      </c>
      <c r="E709" s="1775" t="str">
        <f>'8.Dgia'!E543</f>
        <v>Máy bơm BT 50m3/h</v>
      </c>
      <c r="F709" s="1745" t="s">
        <v>5493</v>
      </c>
      <c r="G709" s="1772">
        <f>'8.Dgia'!H543</f>
        <v>0.05</v>
      </c>
      <c r="H709" s="1773">
        <f>'9.may'!$P$362</f>
        <v>3446390.13</v>
      </c>
      <c r="I709" s="1773">
        <f>H709*G709</f>
        <v>172319.50650000002</v>
      </c>
    </row>
    <row r="710" spans="2:12" ht="15">
      <c r="B710" s="1551" t="str">
        <f>'8.Dgia'!B544</f>
        <v/>
      </c>
      <c r="C710" s="1552">
        <f>'8.Dgia'!C544</f>
        <v>0</v>
      </c>
      <c r="D710" s="1552">
        <f>'8.Dgia'!D544</f>
        <v>0</v>
      </c>
      <c r="E710" s="1775" t="str">
        <f>'8.Dgia'!E544</f>
        <v>Sà lan 400T</v>
      </c>
      <c r="F710" s="1745" t="s">
        <v>5493</v>
      </c>
      <c r="G710" s="1772">
        <f>'8.Dgia'!H544</f>
        <v>0</v>
      </c>
      <c r="H710" s="1773">
        <f>'9.may'!$P$655</f>
        <v>1144511.22</v>
      </c>
      <c r="I710" s="1773">
        <f>H710*G710</f>
        <v>0</v>
      </c>
    </row>
    <row r="711" spans="2:12" ht="15">
      <c r="B711" s="1551" t="str">
        <f>'8.Dgia'!B545</f>
        <v/>
      </c>
      <c r="C711" s="1552">
        <f>'8.Dgia'!C545</f>
        <v>0</v>
      </c>
      <c r="D711" s="1552">
        <f>'8.Dgia'!D545</f>
        <v>0</v>
      </c>
      <c r="E711" s="1775" t="str">
        <f>'8.Dgia'!E545</f>
        <v>Tàu kéo 150cv</v>
      </c>
      <c r="F711" s="1745" t="s">
        <v>5493</v>
      </c>
      <c r="G711" s="1772">
        <f>'8.Dgia'!H545</f>
        <v>0</v>
      </c>
      <c r="H711" s="1773">
        <f>'9.may'!$P$676</f>
        <v>3329663.6045454545</v>
      </c>
      <c r="I711" s="1773">
        <f>H711*G711</f>
        <v>0</v>
      </c>
    </row>
    <row r="712" spans="2:12" ht="15">
      <c r="B712" s="1551" t="str">
        <f>'8.Dgia'!B546</f>
        <v/>
      </c>
      <c r="C712" s="1552">
        <f>'8.Dgia'!C546</f>
        <v>0</v>
      </c>
      <c r="D712" s="1552">
        <f>'8.Dgia'!D546</f>
        <v>0</v>
      </c>
      <c r="E712" s="1775" t="str">
        <f>'8.Dgia'!E546</f>
        <v>Máy khác</v>
      </c>
      <c r="F712" s="1786" t="str">
        <f>'8.Dgia'!G546</f>
        <v>%</v>
      </c>
      <c r="G712" s="1772">
        <f>'8.Dgia'!H546</f>
        <v>2</v>
      </c>
      <c r="H712" s="1773">
        <f>SUM(I707:I711)</f>
        <v>492457.52415000007</v>
      </c>
      <c r="I712" s="1773">
        <f>H712*G712%</f>
        <v>9849.1504830000013</v>
      </c>
    </row>
    <row r="713" spans="2:12" s="658" customFormat="1" ht="15">
      <c r="B713" s="1677"/>
      <c r="C713" s="1678"/>
      <c r="D713" s="1678"/>
      <c r="E713" s="1778" t="s">
        <v>5675</v>
      </c>
      <c r="F713" s="1786">
        <f>$J$5</f>
        <v>0.02</v>
      </c>
      <c r="G713" s="1780"/>
      <c r="H713" s="1777"/>
      <c r="I713" s="1777">
        <f>( I701+I705+I706 )*F713</f>
        <v>138065.78967719874</v>
      </c>
      <c r="J713" s="850"/>
      <c r="K713" s="850"/>
      <c r="L713" s="850"/>
    </row>
    <row r="714" spans="2:12" ht="15">
      <c r="B714" s="1556"/>
      <c r="C714" s="1557"/>
      <c r="D714" s="1557"/>
      <c r="E714" s="1781" t="s">
        <v>5676</v>
      </c>
      <c r="F714" s="1786"/>
      <c r="G714" s="1783"/>
      <c r="H714" s="1784"/>
      <c r="I714" s="1784">
        <f>I713+I713/F713</f>
        <v>7041355.2735371357</v>
      </c>
    </row>
    <row r="715" spans="2:12" ht="15">
      <c r="B715" s="1551"/>
      <c r="C715" s="1552"/>
      <c r="D715" s="1552"/>
      <c r="E715" s="1785" t="s">
        <v>5677</v>
      </c>
      <c r="F715" s="1786">
        <f>$K$5</f>
        <v>5.5E-2</v>
      </c>
      <c r="G715" s="1772"/>
      <c r="H715" s="1773"/>
      <c r="I715" s="1773">
        <f>I714*F715</f>
        <v>387274.54004454246</v>
      </c>
    </row>
    <row r="716" spans="2:12" ht="15">
      <c r="B716" s="1551"/>
      <c r="C716" s="1552"/>
      <c r="D716" s="1552"/>
      <c r="E716" s="1785" t="s">
        <v>5678</v>
      </c>
      <c r="F716" s="1786">
        <f>$L$5</f>
        <v>0.06</v>
      </c>
      <c r="G716" s="1772"/>
      <c r="H716" s="1773"/>
      <c r="I716" s="1773">
        <f>SUM(I714:I715)*F716</f>
        <v>445717.78881490068</v>
      </c>
    </row>
    <row r="717" spans="2:12" ht="14.25">
      <c r="B717" s="1556"/>
      <c r="C717" s="1557"/>
      <c r="D717" s="1557"/>
      <c r="E717" s="1781" t="s">
        <v>5679</v>
      </c>
      <c r="F717" s="1787"/>
      <c r="G717" s="1783"/>
      <c r="H717" s="1784"/>
      <c r="I717" s="1784">
        <f>SUM(I714:I716)</f>
        <v>7874347.6023965785</v>
      </c>
    </row>
    <row r="718" spans="2:12" ht="15">
      <c r="B718" s="1551"/>
      <c r="C718" s="1552"/>
      <c r="D718" s="1552"/>
      <c r="E718" s="1785" t="s">
        <v>5680</v>
      </c>
      <c r="F718" s="1788">
        <f>$M$5</f>
        <v>0.1</v>
      </c>
      <c r="G718" s="1772"/>
      <c r="H718" s="1773"/>
      <c r="I718" s="1773">
        <f>I717*F718</f>
        <v>787434.76023965795</v>
      </c>
    </row>
    <row r="719" spans="2:12" ht="14.25">
      <c r="B719" s="1556"/>
      <c r="C719" s="1557"/>
      <c r="D719" s="1557"/>
      <c r="E719" s="1781" t="s">
        <v>5681</v>
      </c>
      <c r="F719" s="1787"/>
      <c r="G719" s="1783"/>
      <c r="H719" s="1784"/>
      <c r="I719" s="1784">
        <f>SUM(I717:I718)</f>
        <v>8661782.3626362365</v>
      </c>
    </row>
    <row r="720" spans="2:12" ht="12.75">
      <c r="B720" s="1551"/>
      <c r="C720" s="1552"/>
      <c r="D720" s="1552"/>
      <c r="E720" s="1563" t="s">
        <v>5682</v>
      </c>
      <c r="F720" s="1560">
        <f>$N$5</f>
        <v>0.01</v>
      </c>
      <c r="G720" s="1553"/>
      <c r="H720" s="1562"/>
      <c r="I720" s="1562">
        <f>I719*F720</f>
        <v>86617.823626362369</v>
      </c>
    </row>
    <row r="721" spans="1:12" ht="14.25">
      <c r="B721" s="2111"/>
      <c r="C721" s="1564"/>
      <c r="D721" s="2111"/>
      <c r="E721" s="2112" t="s">
        <v>5683</v>
      </c>
      <c r="F721" s="2113"/>
      <c r="G721" s="2112"/>
      <c r="H721" s="2114"/>
      <c r="I721" s="2110">
        <f>ROUND(I719+I720,0)</f>
        <v>8748400</v>
      </c>
    </row>
    <row r="722" spans="1:12" ht="28.5">
      <c r="A722" s="657">
        <v>1</v>
      </c>
      <c r="B722" s="1546">
        <f>IF(A722&lt;&gt;0,COUNTA(A$7:$A722),"")</f>
        <v>41</v>
      </c>
      <c r="C722" s="1550">
        <f>'8.Dgia'!C547</f>
        <v>1091</v>
      </c>
      <c r="D722" s="1550" t="str">
        <f>'8.Dgia'!D547</f>
        <v>AF.33410</v>
      </c>
      <c r="E722" s="1766" t="str">
        <f>'8.Dgia'!E547</f>
        <v>Bê tông C42 dầm hộp đúc trên đà giáo trên cạn (K0,K1)</v>
      </c>
      <c r="F722" s="1794" t="str">
        <f>'8.Dgia'!G547</f>
        <v>m3</v>
      </c>
      <c r="G722" s="1768">
        <f>'8.Dgia'!H547</f>
        <v>0</v>
      </c>
      <c r="H722" s="1769"/>
      <c r="I722" s="1769"/>
      <c r="J722" s="842">
        <f>+I723</f>
        <v>1326140.5692269362</v>
      </c>
      <c r="K722" s="842">
        <f>+I727</f>
        <v>2991999.6</v>
      </c>
      <c r="L722" s="842">
        <f>+I728</f>
        <v>236295.16011081822</v>
      </c>
    </row>
    <row r="723" spans="1:12" s="658" customFormat="1" ht="15">
      <c r="B723" s="1551" t="str">
        <f>'8.Dgia'!B548</f>
        <v/>
      </c>
      <c r="C723" s="1552">
        <f>'8.Dgia'!C548</f>
        <v>0</v>
      </c>
      <c r="D723" s="1552">
        <f>'8.Dgia'!D548</f>
        <v>0</v>
      </c>
      <c r="E723" s="1770" t="str">
        <f>'8.Dgia'!E548</f>
        <v xml:space="preserve">  A - Vật liệu</v>
      </c>
      <c r="F723" s="1786">
        <f>'8.Dgia'!G548</f>
        <v>0</v>
      </c>
      <c r="G723" s="1772">
        <f>'8.Dgia'!H548</f>
        <v>0</v>
      </c>
      <c r="H723" s="1773"/>
      <c r="I723" s="1774">
        <f>SUM(I724:I726)</f>
        <v>1326140.5692269362</v>
      </c>
      <c r="J723" s="850"/>
      <c r="K723" s="850"/>
      <c r="L723" s="850"/>
    </row>
    <row r="724" spans="1:12" ht="15" customHeight="1">
      <c r="B724" s="1551" t="str">
        <f>'8.Dgia'!B549</f>
        <v/>
      </c>
      <c r="C724" s="1552">
        <f>'8.Dgia'!C549</f>
        <v>0</v>
      </c>
      <c r="D724" s="1552" t="str">
        <f>'8.Dgia'!D549</f>
        <v>ĐM</v>
      </c>
      <c r="E724" s="1775" t="str">
        <f>'8.Dgia'!E549</f>
        <v>Vữa bê tông đá 1x2 C42 (độ sụt 8-12cm)</v>
      </c>
      <c r="F724" s="1786" t="str">
        <f>'8.Dgia'!G549</f>
        <v>m3</v>
      </c>
      <c r="G724" s="1772">
        <f>'8.Dgia'!H549</f>
        <v>1.0149999999999999</v>
      </c>
      <c r="H724" s="1773">
        <f>GVL!$I$201</f>
        <v>1221620.8499686779</v>
      </c>
      <c r="I724" s="1773">
        <f>H724*G724</f>
        <v>1239945.1627182078</v>
      </c>
    </row>
    <row r="725" spans="1:12" ht="15">
      <c r="B725" s="1551" t="str">
        <f>'8.Dgia'!B550</f>
        <v/>
      </c>
      <c r="C725" s="1552">
        <f>'8.Dgia'!C550</f>
        <v>0</v>
      </c>
      <c r="D725" s="1552">
        <f>'8.Dgia'!D550</f>
        <v>0</v>
      </c>
      <c r="E725" s="1775" t="str">
        <f>'8.Dgia'!E550</f>
        <v>Ống nhựa D75</v>
      </c>
      <c r="F725" s="1786" t="str">
        <f>'8.Dgia'!G550</f>
        <v>m</v>
      </c>
      <c r="G725" s="1772">
        <f>'8.Dgia'!H550</f>
        <v>1.02</v>
      </c>
      <c r="H725" s="1773">
        <f>GVL!$I$137</f>
        <v>34500</v>
      </c>
      <c r="I725" s="1773">
        <f>H725*G725</f>
        <v>35190</v>
      </c>
    </row>
    <row r="726" spans="1:12" ht="15">
      <c r="B726" s="1551" t="str">
        <f>'8.Dgia'!B551</f>
        <v/>
      </c>
      <c r="C726" s="1552">
        <f>'8.Dgia'!C551</f>
        <v>0</v>
      </c>
      <c r="D726" s="1552">
        <f>'8.Dgia'!D551</f>
        <v>0</v>
      </c>
      <c r="E726" s="1775" t="str">
        <f>'8.Dgia'!E551</f>
        <v>Vật liệu khác</v>
      </c>
      <c r="F726" s="1786" t="str">
        <f>'8.Dgia'!G551</f>
        <v>%</v>
      </c>
      <c r="G726" s="1965">
        <f>'8.Dgia'!H551</f>
        <v>4</v>
      </c>
      <c r="H726" s="1773">
        <f>SUM(I724:I725)</f>
        <v>1275135.1627182078</v>
      </c>
      <c r="I726" s="1773">
        <f>H726*G726%</f>
        <v>51005.406508728316</v>
      </c>
    </row>
    <row r="727" spans="1:12" s="658" customFormat="1" ht="15">
      <c r="B727" s="1551" t="str">
        <f>'8.Dgia'!B552</f>
        <v/>
      </c>
      <c r="C727" s="1552">
        <f>'8.Dgia'!C552</f>
        <v>0</v>
      </c>
      <c r="D727" s="1552">
        <f>'8.Dgia'!D552</f>
        <v>0</v>
      </c>
      <c r="E727" s="1770" t="str">
        <f>'8.Dgia'!E552</f>
        <v xml:space="preserve">  B - Nhân công 4.0/7</v>
      </c>
      <c r="F727" s="1745" t="s">
        <v>552</v>
      </c>
      <c r="G727" s="1772">
        <f>'8.Dgia'!H552</f>
        <v>11.65</v>
      </c>
      <c r="H727" s="1773">
        <f>'16.NC'!$H$18</f>
        <v>256824</v>
      </c>
      <c r="I727" s="1776">
        <f>H727*G727</f>
        <v>2991999.6</v>
      </c>
      <c r="J727" s="850"/>
      <c r="K727" s="850"/>
      <c r="L727" s="850"/>
    </row>
    <row r="728" spans="1:12" s="658" customFormat="1" ht="15">
      <c r="B728" s="1551" t="str">
        <f>'8.Dgia'!B553</f>
        <v/>
      </c>
      <c r="C728" s="1552">
        <f>'8.Dgia'!C553</f>
        <v>0</v>
      </c>
      <c r="D728" s="1552">
        <f>'8.Dgia'!D553</f>
        <v>0</v>
      </c>
      <c r="E728" s="1770" t="str">
        <f>'8.Dgia'!E553</f>
        <v xml:space="preserve">  C - Máy thi công</v>
      </c>
      <c r="F728" s="1786">
        <f>'8.Dgia'!G553</f>
        <v>0</v>
      </c>
      <c r="G728" s="1772">
        <f>'8.Dgia'!H553</f>
        <v>0</v>
      </c>
      <c r="H728" s="1773"/>
      <c r="I728" s="1777">
        <f>SUM(I729:I732)</f>
        <v>236295.16011081822</v>
      </c>
      <c r="J728" s="850">
        <v>594497</v>
      </c>
      <c r="K728" s="850"/>
      <c r="L728" s="850"/>
    </row>
    <row r="729" spans="1:12" ht="15">
      <c r="B729" s="1551" t="str">
        <f>'8.Dgia'!B554</f>
        <v/>
      </c>
      <c r="C729" s="1552">
        <f>'8.Dgia'!C554</f>
        <v>0</v>
      </c>
      <c r="D729" s="1552">
        <f>'8.Dgia'!D554</f>
        <v>0</v>
      </c>
      <c r="E729" s="1775" t="str">
        <f>'8.Dgia'!E554</f>
        <v>Máy bơm BT 50m3/h</v>
      </c>
      <c r="F729" s="1745" t="s">
        <v>5493</v>
      </c>
      <c r="G729" s="1772">
        <f>'8.Dgia'!H554</f>
        <v>3.5000000000000003E-2</v>
      </c>
      <c r="H729" s="1773">
        <f>'9.may'!$P$362</f>
        <v>3446390.13</v>
      </c>
      <c r="I729" s="1773">
        <f>H729*G729</f>
        <v>120623.65455000001</v>
      </c>
    </row>
    <row r="730" spans="1:12" ht="15">
      <c r="B730" s="1551" t="str">
        <f>'8.Dgia'!B555</f>
        <v/>
      </c>
      <c r="C730" s="1552">
        <f>'8.Dgia'!C555</f>
        <v>0</v>
      </c>
      <c r="D730" s="1552">
        <f>'8.Dgia'!D555</f>
        <v>0</v>
      </c>
      <c r="E730" s="1775" t="str">
        <f>'8.Dgia'!E555</f>
        <v>Máy đầm dùi 1.5KW</v>
      </c>
      <c r="F730" s="1745" t="s">
        <v>5493</v>
      </c>
      <c r="G730" s="1772">
        <f>'8.Dgia'!H555</f>
        <v>0.18</v>
      </c>
      <c r="H730" s="1773">
        <f>'9.may'!$P$382</f>
        <v>74768.797500000001</v>
      </c>
      <c r="I730" s="1773">
        <f>H730*G730</f>
        <v>13458.38355</v>
      </c>
    </row>
    <row r="731" spans="1:12" ht="15">
      <c r="B731" s="1551" t="str">
        <f>'8.Dgia'!B556</f>
        <v/>
      </c>
      <c r="C731" s="1552">
        <f>'8.Dgia'!C556</f>
        <v>0</v>
      </c>
      <c r="D731" s="1552">
        <f>'8.Dgia'!D556</f>
        <v>0</v>
      </c>
      <c r="E731" s="1775" t="str">
        <f>'8.Dgia'!E556</f>
        <v>Cần cẩu bánh xích 25T</v>
      </c>
      <c r="F731" s="1745" t="s">
        <v>5493</v>
      </c>
      <c r="G731" s="1772">
        <f>'8.Dgia'!H556</f>
        <v>3.5000000000000003E-2</v>
      </c>
      <c r="H731" s="1773">
        <f>'9.may'!$P$248</f>
        <v>2787996.6736363638</v>
      </c>
      <c r="I731" s="1773">
        <f>H731*G731</f>
        <v>97579.883577272747</v>
      </c>
    </row>
    <row r="732" spans="1:12" ht="15">
      <c r="B732" s="1551" t="str">
        <f>'8.Dgia'!B557</f>
        <v/>
      </c>
      <c r="C732" s="1552">
        <f>'8.Dgia'!C557</f>
        <v>0</v>
      </c>
      <c r="D732" s="1552">
        <f>'8.Dgia'!D557</f>
        <v>0</v>
      </c>
      <c r="E732" s="1775" t="str">
        <f>'8.Dgia'!E557</f>
        <v>Máy khác</v>
      </c>
      <c r="F732" s="1786" t="str">
        <f>'8.Dgia'!G557</f>
        <v>%</v>
      </c>
      <c r="G732" s="1965">
        <f>'8.Dgia'!H557</f>
        <v>2</v>
      </c>
      <c r="H732" s="1773">
        <f>SUM(I729:I731)</f>
        <v>231661.92167727277</v>
      </c>
      <c r="I732" s="1773">
        <f>H732*G732%</f>
        <v>4633.2384335454553</v>
      </c>
    </row>
    <row r="733" spans="1:12" s="658" customFormat="1" ht="15">
      <c r="B733" s="1677"/>
      <c r="C733" s="1678"/>
      <c r="D733" s="1678"/>
      <c r="E733" s="1778" t="s">
        <v>5675</v>
      </c>
      <c r="F733" s="1786">
        <f>$J$5</f>
        <v>0.02</v>
      </c>
      <c r="G733" s="1780"/>
      <c r="H733" s="1777"/>
      <c r="I733" s="1777">
        <f>( I723+I727+I728 )*F733</f>
        <v>91088.706586755085</v>
      </c>
      <c r="J733" s="850"/>
      <c r="K733" s="850"/>
      <c r="L733" s="850"/>
    </row>
    <row r="734" spans="1:12" ht="15">
      <c r="B734" s="1556"/>
      <c r="C734" s="1557"/>
      <c r="D734" s="1557"/>
      <c r="E734" s="1781" t="s">
        <v>5676</v>
      </c>
      <c r="F734" s="1786"/>
      <c r="G734" s="1783"/>
      <c r="H734" s="1784"/>
      <c r="I734" s="1784">
        <f>I733+I733/F733</f>
        <v>4645524.0359245092</v>
      </c>
    </row>
    <row r="735" spans="1:12" ht="15">
      <c r="B735" s="1551"/>
      <c r="C735" s="1552"/>
      <c r="D735" s="1552"/>
      <c r="E735" s="1785" t="s">
        <v>5677</v>
      </c>
      <c r="F735" s="1786">
        <f>$K$5</f>
        <v>5.5E-2</v>
      </c>
      <c r="G735" s="1772"/>
      <c r="H735" s="1773"/>
      <c r="I735" s="1773">
        <f>I734*F735</f>
        <v>255503.821975848</v>
      </c>
    </row>
    <row r="736" spans="1:12" ht="15">
      <c r="B736" s="1551"/>
      <c r="C736" s="1552"/>
      <c r="D736" s="1552"/>
      <c r="E736" s="1785" t="s">
        <v>5678</v>
      </c>
      <c r="F736" s="1786">
        <f>$L$5</f>
        <v>0.06</v>
      </c>
      <c r="G736" s="1772"/>
      <c r="H736" s="1773"/>
      <c r="I736" s="1773">
        <f>SUM(I734:I735)*F736</f>
        <v>294061.67147402139</v>
      </c>
    </row>
    <row r="737" spans="1:12" ht="14.25">
      <c r="B737" s="1556"/>
      <c r="C737" s="1557"/>
      <c r="D737" s="1557"/>
      <c r="E737" s="1781" t="s">
        <v>5679</v>
      </c>
      <c r="F737" s="1787"/>
      <c r="G737" s="1783"/>
      <c r="H737" s="1784"/>
      <c r="I737" s="1784">
        <f>SUM(I734:I736)</f>
        <v>5195089.5293743778</v>
      </c>
    </row>
    <row r="738" spans="1:12" ht="15">
      <c r="B738" s="1551"/>
      <c r="C738" s="1552"/>
      <c r="D738" s="1552"/>
      <c r="E738" s="1785" t="s">
        <v>5680</v>
      </c>
      <c r="F738" s="1788">
        <f>$M$5</f>
        <v>0.1</v>
      </c>
      <c r="G738" s="1772"/>
      <c r="H738" s="1773"/>
      <c r="I738" s="1773">
        <f>I737*F738</f>
        <v>519508.9529374378</v>
      </c>
    </row>
    <row r="739" spans="1:12" ht="14.25">
      <c r="B739" s="1556"/>
      <c r="C739" s="1557"/>
      <c r="D739" s="1557"/>
      <c r="E739" s="1781" t="s">
        <v>5681</v>
      </c>
      <c r="F739" s="1787"/>
      <c r="G739" s="1783"/>
      <c r="H739" s="1784"/>
      <c r="I739" s="1784">
        <f>SUM(I737:I738)</f>
        <v>5714598.482311816</v>
      </c>
    </row>
    <row r="740" spans="1:12" ht="12.75">
      <c r="B740" s="1551"/>
      <c r="C740" s="1552"/>
      <c r="D740" s="1552"/>
      <c r="E740" s="1563" t="s">
        <v>5682</v>
      </c>
      <c r="F740" s="1560">
        <f>$N$5</f>
        <v>0.01</v>
      </c>
      <c r="G740" s="1553"/>
      <c r="H740" s="1562"/>
      <c r="I740" s="1562">
        <f>I739*F740</f>
        <v>57145.98482311816</v>
      </c>
    </row>
    <row r="741" spans="1:12" ht="14.25">
      <c r="B741" s="2111"/>
      <c r="C741" s="1564"/>
      <c r="D741" s="2111"/>
      <c r="E741" s="2112" t="s">
        <v>5683</v>
      </c>
      <c r="F741" s="2113"/>
      <c r="G741" s="2112"/>
      <c r="H741" s="2114"/>
      <c r="I741" s="2110">
        <f>ROUND(I739+I740,0)</f>
        <v>5771744</v>
      </c>
    </row>
    <row r="742" spans="1:12" ht="28.5">
      <c r="A742" s="657">
        <v>1</v>
      </c>
      <c r="B742" s="1546">
        <f>IF(A742&lt;&gt;0,COUNTA(A$7:$A742),"")</f>
        <v>42</v>
      </c>
      <c r="C742" s="1550">
        <f>'8.Dgia'!C558</f>
        <v>1091</v>
      </c>
      <c r="D742" s="1550" t="str">
        <f>'8.Dgia'!D558</f>
        <v>AF.33410</v>
      </c>
      <c r="E742" s="1766" t="str">
        <f>'8.Dgia'!E558</f>
        <v>Bê tông C42 dầm hộp đúc trên đà giáo trên cạn (K17)</v>
      </c>
      <c r="F742" s="1794" t="str">
        <f>'8.Dgia'!G558</f>
        <v>m3</v>
      </c>
      <c r="G742" s="1768">
        <f>'8.Dgia'!H558</f>
        <v>0</v>
      </c>
      <c r="H742" s="1769"/>
      <c r="I742" s="1769"/>
      <c r="J742" s="842">
        <f>+I743</f>
        <v>1326140.5692269362</v>
      </c>
      <c r="K742" s="842">
        <f>+I747</f>
        <v>2991999.6</v>
      </c>
      <c r="L742" s="842">
        <f>+I748</f>
        <v>236295.16011081819</v>
      </c>
    </row>
    <row r="743" spans="1:12" s="658" customFormat="1" ht="15">
      <c r="B743" s="1551" t="str">
        <f>'8.Dgia'!B559</f>
        <v/>
      </c>
      <c r="C743" s="1552">
        <f>'8.Dgia'!C559</f>
        <v>0</v>
      </c>
      <c r="D743" s="1552">
        <f>'8.Dgia'!D559</f>
        <v>0</v>
      </c>
      <c r="E743" s="1770" t="str">
        <f>'8.Dgia'!E559</f>
        <v xml:space="preserve">  A - Vật liệu</v>
      </c>
      <c r="F743" s="1786">
        <f>'8.Dgia'!G559</f>
        <v>0</v>
      </c>
      <c r="G743" s="1772">
        <f>'8.Dgia'!H559</f>
        <v>0</v>
      </c>
      <c r="H743" s="1773"/>
      <c r="I743" s="1774">
        <f>SUM(I744:I746)</f>
        <v>1326140.5692269362</v>
      </c>
      <c r="J743" s="850"/>
      <c r="K743" s="850"/>
      <c r="L743" s="850"/>
    </row>
    <row r="744" spans="1:12" ht="15" customHeight="1">
      <c r="B744" s="1551" t="str">
        <f>'8.Dgia'!B560</f>
        <v/>
      </c>
      <c r="C744" s="1552">
        <f>'8.Dgia'!C560</f>
        <v>0</v>
      </c>
      <c r="D744" s="1552" t="str">
        <f>'8.Dgia'!D560</f>
        <v>ĐM</v>
      </c>
      <c r="E744" s="1775" t="str">
        <f>'8.Dgia'!E560</f>
        <v>Vữa bê tông đá 1x2 C42 (độ sụt 8-12cm)</v>
      </c>
      <c r="F744" s="1786" t="str">
        <f>'8.Dgia'!G560</f>
        <v>m3</v>
      </c>
      <c r="G744" s="1772">
        <f>'8.Dgia'!H560</f>
        <v>1.0149999999999999</v>
      </c>
      <c r="H744" s="1773">
        <f>GVL!$I$201</f>
        <v>1221620.8499686779</v>
      </c>
      <c r="I744" s="1773">
        <f>H744*G744</f>
        <v>1239945.1627182078</v>
      </c>
    </row>
    <row r="745" spans="1:12" ht="15">
      <c r="B745" s="1551" t="str">
        <f>'8.Dgia'!B561</f>
        <v/>
      </c>
      <c r="C745" s="1552">
        <f>'8.Dgia'!C561</f>
        <v>0</v>
      </c>
      <c r="D745" s="1552">
        <f>'8.Dgia'!D561</f>
        <v>0</v>
      </c>
      <c r="E745" s="1775" t="str">
        <f>'8.Dgia'!E561</f>
        <v>Ống nhựa D75</v>
      </c>
      <c r="F745" s="1786" t="str">
        <f>'8.Dgia'!G561</f>
        <v>m</v>
      </c>
      <c r="G745" s="1964">
        <f>'8.Dgia'!H561</f>
        <v>1.02</v>
      </c>
      <c r="H745" s="1773">
        <f>GVL!$I$137</f>
        <v>34500</v>
      </c>
      <c r="I745" s="1773">
        <f>H745*G745</f>
        <v>35190</v>
      </c>
    </row>
    <row r="746" spans="1:12" ht="15">
      <c r="B746" s="1551" t="str">
        <f>'8.Dgia'!B562</f>
        <v/>
      </c>
      <c r="C746" s="1552">
        <f>'8.Dgia'!C562</f>
        <v>0</v>
      </c>
      <c r="D746" s="1552">
        <f>'8.Dgia'!D562</f>
        <v>0</v>
      </c>
      <c r="E746" s="1775" t="str">
        <f>'8.Dgia'!E562</f>
        <v>Vật liệu khác</v>
      </c>
      <c r="F746" s="1786" t="str">
        <f>'8.Dgia'!G562</f>
        <v>%</v>
      </c>
      <c r="G746" s="1965">
        <f>'8.Dgia'!H562</f>
        <v>4</v>
      </c>
      <c r="H746" s="1773">
        <f>SUM(I744:I745)</f>
        <v>1275135.1627182078</v>
      </c>
      <c r="I746" s="1773">
        <f>H746*G746%</f>
        <v>51005.406508728316</v>
      </c>
    </row>
    <row r="747" spans="1:12" s="658" customFormat="1" ht="15">
      <c r="B747" s="1551" t="str">
        <f>'8.Dgia'!B563</f>
        <v/>
      </c>
      <c r="C747" s="1552">
        <f>'8.Dgia'!C563</f>
        <v>0</v>
      </c>
      <c r="D747" s="1552">
        <f>'8.Dgia'!D563</f>
        <v>0</v>
      </c>
      <c r="E747" s="1770" t="str">
        <f>'8.Dgia'!E563</f>
        <v xml:space="preserve">  B - Nhân công 4.0/7</v>
      </c>
      <c r="F747" s="1745" t="s">
        <v>552</v>
      </c>
      <c r="G747" s="1965">
        <f>'8.Dgia'!H563</f>
        <v>11.65</v>
      </c>
      <c r="H747" s="1773">
        <f>'16.NC'!$H$18</f>
        <v>256824</v>
      </c>
      <c r="I747" s="1776">
        <f>H747*G747</f>
        <v>2991999.6</v>
      </c>
      <c r="J747" s="850"/>
      <c r="K747" s="850"/>
      <c r="L747" s="850"/>
    </row>
    <row r="748" spans="1:12" s="658" customFormat="1" ht="15">
      <c r="B748" s="1551" t="str">
        <f>'8.Dgia'!B564</f>
        <v/>
      </c>
      <c r="C748" s="1552">
        <f>'8.Dgia'!C564</f>
        <v>0</v>
      </c>
      <c r="D748" s="1552">
        <f>'8.Dgia'!D564</f>
        <v>0</v>
      </c>
      <c r="E748" s="1770" t="str">
        <f>'8.Dgia'!E564</f>
        <v xml:space="preserve">  C - Máy thi công</v>
      </c>
      <c r="F748" s="1786">
        <f>'8.Dgia'!G564</f>
        <v>0</v>
      </c>
      <c r="G748" s="1772">
        <f>'8.Dgia'!H564</f>
        <v>0</v>
      </c>
      <c r="H748" s="1773"/>
      <c r="I748" s="1777">
        <f>SUM(I749:I752)</f>
        <v>236295.16011081819</v>
      </c>
      <c r="J748" s="850"/>
      <c r="K748" s="850"/>
      <c r="L748" s="850"/>
    </row>
    <row r="749" spans="1:12" ht="15">
      <c r="B749" s="1551" t="str">
        <f>'8.Dgia'!B565</f>
        <v/>
      </c>
      <c r="C749" s="1552">
        <f>'8.Dgia'!C565</f>
        <v>0</v>
      </c>
      <c r="D749" s="1552">
        <f>'8.Dgia'!D565</f>
        <v>0</v>
      </c>
      <c r="E749" s="1775" t="str">
        <f>'8.Dgia'!E565</f>
        <v>Cần cẩu bánh xích 25T</v>
      </c>
      <c r="F749" s="1745" t="s">
        <v>5493</v>
      </c>
      <c r="G749" s="1772">
        <f>'8.Dgia'!H565</f>
        <v>3.5000000000000003E-2</v>
      </c>
      <c r="H749" s="1773">
        <f>'9.may'!$P$248</f>
        <v>2787996.6736363638</v>
      </c>
      <c r="I749" s="1773">
        <f>H749*G749</f>
        <v>97579.883577272747</v>
      </c>
    </row>
    <row r="750" spans="1:12" ht="15">
      <c r="B750" s="1551" t="str">
        <f>'8.Dgia'!B566</f>
        <v/>
      </c>
      <c r="C750" s="1552">
        <f>'8.Dgia'!C566</f>
        <v>0</v>
      </c>
      <c r="D750" s="1552">
        <f>'8.Dgia'!D566</f>
        <v>0</v>
      </c>
      <c r="E750" s="1775" t="str">
        <f>'8.Dgia'!E566</f>
        <v>Máy bơm BT 50m3/h</v>
      </c>
      <c r="F750" s="1745" t="s">
        <v>5493</v>
      </c>
      <c r="G750" s="1772">
        <f>'8.Dgia'!H566</f>
        <v>3.5000000000000003E-2</v>
      </c>
      <c r="H750" s="1773">
        <f>'9.may'!$P$362</f>
        <v>3446390.13</v>
      </c>
      <c r="I750" s="1773">
        <f>H750*G750</f>
        <v>120623.65455000001</v>
      </c>
    </row>
    <row r="751" spans="1:12" ht="15">
      <c r="B751" s="1551" t="str">
        <f>'8.Dgia'!B567</f>
        <v/>
      </c>
      <c r="C751" s="1552">
        <f>'8.Dgia'!C567</f>
        <v>0</v>
      </c>
      <c r="D751" s="1552">
        <f>'8.Dgia'!D567</f>
        <v>0</v>
      </c>
      <c r="E751" s="1775" t="str">
        <f>'8.Dgia'!E567</f>
        <v>Máy đầm dùi 1.5Kw</v>
      </c>
      <c r="F751" s="1745" t="s">
        <v>5493</v>
      </c>
      <c r="G751" s="1964">
        <f>'8.Dgia'!H567</f>
        <v>0.18</v>
      </c>
      <c r="H751" s="1773">
        <f>'9.may'!$P$382</f>
        <v>74768.797500000001</v>
      </c>
      <c r="I751" s="1773">
        <f>H751*G751</f>
        <v>13458.38355</v>
      </c>
    </row>
    <row r="752" spans="1:12" ht="15">
      <c r="B752" s="1551" t="str">
        <f>'8.Dgia'!B568</f>
        <v/>
      </c>
      <c r="C752" s="1552">
        <f>'8.Dgia'!C568</f>
        <v>0</v>
      </c>
      <c r="D752" s="1552">
        <f>'8.Dgia'!D568</f>
        <v>0</v>
      </c>
      <c r="E752" s="1775" t="str">
        <f>'8.Dgia'!E568</f>
        <v>Máy khác</v>
      </c>
      <c r="F752" s="1786" t="str">
        <f>'8.Dgia'!G568</f>
        <v>%</v>
      </c>
      <c r="G752" s="1965">
        <f>'8.Dgia'!H568</f>
        <v>2</v>
      </c>
      <c r="H752" s="1773">
        <f>SUM(I749:I751)</f>
        <v>231661.92167727274</v>
      </c>
      <c r="I752" s="1773">
        <f>H752*G752%</f>
        <v>4633.2384335454544</v>
      </c>
    </row>
    <row r="753" spans="1:12" s="658" customFormat="1" ht="15">
      <c r="B753" s="1677"/>
      <c r="C753" s="1678"/>
      <c r="D753" s="1678"/>
      <c r="E753" s="1778" t="s">
        <v>5675</v>
      </c>
      <c r="F753" s="1786">
        <f>$J$5</f>
        <v>0.02</v>
      </c>
      <c r="G753" s="1780"/>
      <c r="H753" s="1777"/>
      <c r="I753" s="1777">
        <f>( I743+I747+I748 )*F753</f>
        <v>91088.706586755085</v>
      </c>
      <c r="J753" s="850"/>
      <c r="K753" s="850"/>
      <c r="L753" s="850"/>
    </row>
    <row r="754" spans="1:12" ht="15">
      <c r="B754" s="1556"/>
      <c r="C754" s="1557"/>
      <c r="D754" s="1557"/>
      <c r="E754" s="1781" t="s">
        <v>5676</v>
      </c>
      <c r="F754" s="1786"/>
      <c r="G754" s="1783"/>
      <c r="H754" s="1784"/>
      <c r="I754" s="1784">
        <f>I753+I753/F753</f>
        <v>4645524.0359245092</v>
      </c>
    </row>
    <row r="755" spans="1:12" ht="15">
      <c r="B755" s="1551"/>
      <c r="C755" s="1552"/>
      <c r="D755" s="1552"/>
      <c r="E755" s="1785" t="s">
        <v>5677</v>
      </c>
      <c r="F755" s="1786">
        <f>$K$5</f>
        <v>5.5E-2</v>
      </c>
      <c r="G755" s="1772"/>
      <c r="H755" s="1773"/>
      <c r="I755" s="1773">
        <f>I754*F755</f>
        <v>255503.821975848</v>
      </c>
    </row>
    <row r="756" spans="1:12" ht="15">
      <c r="B756" s="1551"/>
      <c r="C756" s="1552"/>
      <c r="D756" s="1552"/>
      <c r="E756" s="1785" t="s">
        <v>5678</v>
      </c>
      <c r="F756" s="1786">
        <f>$L$5</f>
        <v>0.06</v>
      </c>
      <c r="G756" s="1772"/>
      <c r="H756" s="1773"/>
      <c r="I756" s="1773">
        <f>SUM(I754:I755)*F756</f>
        <v>294061.67147402139</v>
      </c>
    </row>
    <row r="757" spans="1:12" ht="14.25">
      <c r="B757" s="1556"/>
      <c r="C757" s="1557"/>
      <c r="D757" s="1557"/>
      <c r="E757" s="1781" t="s">
        <v>5679</v>
      </c>
      <c r="F757" s="1787"/>
      <c r="G757" s="1783"/>
      <c r="H757" s="1784"/>
      <c r="I757" s="1784">
        <f>SUM(I754:I756)</f>
        <v>5195089.5293743778</v>
      </c>
    </row>
    <row r="758" spans="1:12" ht="15">
      <c r="B758" s="1551"/>
      <c r="C758" s="1552"/>
      <c r="D758" s="1552"/>
      <c r="E758" s="1785" t="s">
        <v>5680</v>
      </c>
      <c r="F758" s="1788">
        <f>$M$5</f>
        <v>0.1</v>
      </c>
      <c r="G758" s="1772"/>
      <c r="H758" s="1773"/>
      <c r="I758" s="1773">
        <f>I757*F758</f>
        <v>519508.9529374378</v>
      </c>
    </row>
    <row r="759" spans="1:12" ht="14.25">
      <c r="B759" s="1556"/>
      <c r="C759" s="1557"/>
      <c r="D759" s="1557"/>
      <c r="E759" s="1781" t="s">
        <v>5681</v>
      </c>
      <c r="F759" s="1787"/>
      <c r="G759" s="1783"/>
      <c r="H759" s="1784"/>
      <c r="I759" s="1784">
        <f>SUM(I757:I758)</f>
        <v>5714598.482311816</v>
      </c>
    </row>
    <row r="760" spans="1:12" ht="12.75">
      <c r="B760" s="1551"/>
      <c r="C760" s="1552"/>
      <c r="D760" s="1552"/>
      <c r="E760" s="1563" t="s">
        <v>5682</v>
      </c>
      <c r="F760" s="1560">
        <f>$N$5</f>
        <v>0.01</v>
      </c>
      <c r="G760" s="1553"/>
      <c r="H760" s="1562"/>
      <c r="I760" s="1562">
        <f>I759*F760</f>
        <v>57145.98482311816</v>
      </c>
    </row>
    <row r="761" spans="1:12" ht="14.25">
      <c r="B761" s="2111"/>
      <c r="C761" s="1564"/>
      <c r="D761" s="2111"/>
      <c r="E761" s="2112" t="s">
        <v>5683</v>
      </c>
      <c r="F761" s="2113"/>
      <c r="G761" s="2112"/>
      <c r="H761" s="2114"/>
      <c r="I761" s="2110">
        <f>ROUND(I759+I760,0)</f>
        <v>5771744</v>
      </c>
    </row>
    <row r="762" spans="1:12" ht="28.5">
      <c r="A762" s="657">
        <v>1</v>
      </c>
      <c r="B762" s="1546">
        <f>IF(A762&lt;&gt;0,COUNTA(A$7:$A762),"")</f>
        <v>43</v>
      </c>
      <c r="C762" s="1550">
        <f>'8.Dgia'!C582</f>
        <v>1091</v>
      </c>
      <c r="D762" s="1550" t="str">
        <f>'8.Dgia'!D582</f>
        <v>AF.65420</v>
      </c>
      <c r="E762" s="1766" t="str">
        <f>'8.Dgia'!E582</f>
        <v>Cốt thép D&lt;=18 dầm cầu trên cạn (đổ tại chỗ)</v>
      </c>
      <c r="F762" s="1789" t="s">
        <v>557</v>
      </c>
      <c r="G762" s="1768">
        <f>'8.Dgia'!H582</f>
        <v>0</v>
      </c>
      <c r="H762" s="1769"/>
      <c r="I762" s="1769"/>
      <c r="J762" s="842">
        <f>+I763</f>
        <v>17319858.380290911</v>
      </c>
      <c r="K762" s="842">
        <f>+I767</f>
        <v>3610945.44</v>
      </c>
      <c r="L762" s="842">
        <f>+I768</f>
        <v>530362.77301090909</v>
      </c>
    </row>
    <row r="763" spans="1:12" s="658" customFormat="1" ht="15">
      <c r="B763" s="1551" t="str">
        <f>'8.Dgia'!B583</f>
        <v/>
      </c>
      <c r="C763" s="1552">
        <f>'8.Dgia'!C583</f>
        <v>0</v>
      </c>
      <c r="D763" s="1552">
        <f>'8.Dgia'!D583</f>
        <v>0</v>
      </c>
      <c r="E763" s="1770" t="str">
        <f>'8.Dgia'!E583</f>
        <v xml:space="preserve">  A - Vật liệu</v>
      </c>
      <c r="F763" s="1786">
        <f>'8.Dgia'!G583</f>
        <v>0</v>
      </c>
      <c r="G763" s="1772">
        <f>'8.Dgia'!H583</f>
        <v>0</v>
      </c>
      <c r="H763" s="1773"/>
      <c r="I763" s="1774">
        <f>SUM(I764:I766)</f>
        <v>17319858.380290911</v>
      </c>
      <c r="J763" s="850"/>
      <c r="K763" s="850"/>
      <c r="L763" s="850"/>
    </row>
    <row r="764" spans="1:12" ht="15">
      <c r="B764" s="1551" t="str">
        <f>'8.Dgia'!B584</f>
        <v/>
      </c>
      <c r="C764" s="1552">
        <f>'8.Dgia'!C584</f>
        <v>0</v>
      </c>
      <c r="D764" s="1552">
        <f>'8.Dgia'!D584</f>
        <v>0</v>
      </c>
      <c r="E764" s="1775" t="str">
        <f>'8.Dgia'!E584</f>
        <v>Thép tròn D&lt;=18</v>
      </c>
      <c r="F764" s="1786" t="str">
        <f>'8.Dgia'!G584</f>
        <v>kg</v>
      </c>
      <c r="G764" s="1964">
        <f>'8.Dgia'!H584</f>
        <v>1020</v>
      </c>
      <c r="H764" s="1773">
        <f>GVL!$I$180</f>
        <v>16604.075560000001</v>
      </c>
      <c r="I764" s="1773">
        <f>H764*G764</f>
        <v>16936157.071200002</v>
      </c>
    </row>
    <row r="765" spans="1:12" ht="15">
      <c r="B765" s="1551" t="str">
        <f>'8.Dgia'!B585</f>
        <v/>
      </c>
      <c r="C765" s="1552">
        <f>'8.Dgia'!C585</f>
        <v>0</v>
      </c>
      <c r="D765" s="1552">
        <f>'8.Dgia'!D585</f>
        <v>0</v>
      </c>
      <c r="E765" s="1775" t="str">
        <f>'8.Dgia'!E585</f>
        <v>Dây thép buộc</v>
      </c>
      <c r="F765" s="1786" t="str">
        <f>'8.Dgia'!G585</f>
        <v>kg</v>
      </c>
      <c r="G765" s="1964">
        <f>'8.Dgia'!H585</f>
        <v>14.28</v>
      </c>
      <c r="H765" s="1773">
        <f>GVL!$I$89</f>
        <v>18180</v>
      </c>
      <c r="I765" s="1773">
        <f>H765*G765</f>
        <v>259610.4</v>
      </c>
    </row>
    <row r="766" spans="1:12" ht="15">
      <c r="B766" s="1551" t="str">
        <f>'8.Dgia'!B586</f>
        <v/>
      </c>
      <c r="C766" s="1552">
        <f>'8.Dgia'!C586</f>
        <v>0</v>
      </c>
      <c r="D766" s="1552">
        <f>'8.Dgia'!D586</f>
        <v>0</v>
      </c>
      <c r="E766" s="1775" t="str">
        <f>'8.Dgia'!E586</f>
        <v>Que hàn</v>
      </c>
      <c r="F766" s="1786" t="str">
        <f>'8.Dgia'!G586</f>
        <v>kg</v>
      </c>
      <c r="G766" s="1964">
        <f>'8.Dgia'!H586</f>
        <v>6.5</v>
      </c>
      <c r="H766" s="1773">
        <f>GVL!$I$153</f>
        <v>19090.909090909088</v>
      </c>
      <c r="I766" s="1773">
        <f>H766*G766</f>
        <v>124090.90909090907</v>
      </c>
    </row>
    <row r="767" spans="1:12" s="658" customFormat="1" ht="15">
      <c r="B767" s="1551" t="str">
        <f>'8.Dgia'!B587</f>
        <v/>
      </c>
      <c r="C767" s="1552">
        <f>'8.Dgia'!C587</f>
        <v>0</v>
      </c>
      <c r="D767" s="1552">
        <f>'8.Dgia'!D587</f>
        <v>0</v>
      </c>
      <c r="E767" s="1770" t="str">
        <f>'8.Dgia'!E587</f>
        <v xml:space="preserve">  B - Nhân công 4.0/7</v>
      </c>
      <c r="F767" s="1745" t="s">
        <v>552</v>
      </c>
      <c r="G767" s="1964">
        <f>'8.Dgia'!H587</f>
        <v>14.06</v>
      </c>
      <c r="H767" s="1773">
        <f>'16.NC'!$H$18</f>
        <v>256824</v>
      </c>
      <c r="I767" s="1776">
        <f>H767*G767</f>
        <v>3610945.44</v>
      </c>
      <c r="J767" s="850"/>
      <c r="K767" s="850"/>
      <c r="L767" s="850"/>
    </row>
    <row r="768" spans="1:12" s="658" customFormat="1" ht="15">
      <c r="B768" s="1551" t="str">
        <f>'8.Dgia'!B588</f>
        <v/>
      </c>
      <c r="C768" s="1552">
        <f>'8.Dgia'!C588</f>
        <v>0</v>
      </c>
      <c r="D768" s="1552">
        <f>'8.Dgia'!D588</f>
        <v>0</v>
      </c>
      <c r="E768" s="1770" t="str">
        <f>'8.Dgia'!E588</f>
        <v xml:space="preserve">  C - Máy thi công</v>
      </c>
      <c r="F768" s="1786">
        <f>'8.Dgia'!G588</f>
        <v>0</v>
      </c>
      <c r="G768" s="1772">
        <f>'8.Dgia'!H588</f>
        <v>0</v>
      </c>
      <c r="H768" s="1773"/>
      <c r="I768" s="1777">
        <f>SUM(I769:I771)</f>
        <v>530362.77301090909</v>
      </c>
      <c r="J768" s="850"/>
      <c r="K768" s="850"/>
      <c r="L768" s="850"/>
    </row>
    <row r="769" spans="1:12" ht="15">
      <c r="B769" s="1551" t="str">
        <f>'8.Dgia'!B589</f>
        <v/>
      </c>
      <c r="C769" s="1552">
        <f>'8.Dgia'!C589</f>
        <v>0</v>
      </c>
      <c r="D769" s="1552">
        <f>'8.Dgia'!D589</f>
        <v>0</v>
      </c>
      <c r="E769" s="1775" t="str">
        <f>'8.Dgia'!E589</f>
        <v>Máy hàn 23kw</v>
      </c>
      <c r="F769" s="1745" t="s">
        <v>5493</v>
      </c>
      <c r="G769" s="1965">
        <f>'8.Dgia'!H589</f>
        <v>1.6</v>
      </c>
      <c r="H769" s="1773">
        <f>'9.may'!$P$510</f>
        <v>171649.155</v>
      </c>
      <c r="I769" s="1773">
        <f>H769*G769</f>
        <v>274638.64799999999</v>
      </c>
    </row>
    <row r="770" spans="1:12" ht="15">
      <c r="B770" s="1551" t="str">
        <f>'8.Dgia'!B590</f>
        <v/>
      </c>
      <c r="C770" s="1552">
        <f>'8.Dgia'!C590</f>
        <v>0</v>
      </c>
      <c r="D770" s="1552">
        <f>'8.Dgia'!D590</f>
        <v>0</v>
      </c>
      <c r="E770" s="1775" t="str">
        <f>'8.Dgia'!E590</f>
        <v>Máy cắt uốn</v>
      </c>
      <c r="F770" s="1745" t="s">
        <v>5493</v>
      </c>
      <c r="G770" s="1964">
        <f>'8.Dgia'!H590</f>
        <v>0.32</v>
      </c>
      <c r="H770" s="1773">
        <f>'9.may'!$P$557</f>
        <v>80291.850000000006</v>
      </c>
      <c r="I770" s="1773">
        <f>H770*G770</f>
        <v>25693.392000000003</v>
      </c>
    </row>
    <row r="771" spans="1:12" ht="15">
      <c r="B771" s="1551" t="str">
        <f>'8.Dgia'!B591</f>
        <v/>
      </c>
      <c r="C771" s="1552">
        <f>'8.Dgia'!C591</f>
        <v>0</v>
      </c>
      <c r="D771" s="1552">
        <f>'8.Dgia'!D591</f>
        <v>0</v>
      </c>
      <c r="E771" s="1775" t="str">
        <f>'8.Dgia'!E591</f>
        <v>Cần cẩu bánh xích 16T</v>
      </c>
      <c r="F771" s="1745" t="s">
        <v>5493</v>
      </c>
      <c r="G771" s="1772">
        <f>'8.Dgia'!H591</f>
        <v>0.108</v>
      </c>
      <c r="H771" s="1773">
        <f>'9.may'!$P$247</f>
        <v>2129914.1945454543</v>
      </c>
      <c r="I771" s="1773">
        <f>H771*G771</f>
        <v>230030.73301090905</v>
      </c>
    </row>
    <row r="772" spans="1:12" s="658" customFormat="1" ht="15">
      <c r="B772" s="1677"/>
      <c r="C772" s="1678"/>
      <c r="D772" s="1678"/>
      <c r="E772" s="1778" t="s">
        <v>5675</v>
      </c>
      <c r="F772" s="1786">
        <f>$J$5</f>
        <v>0.02</v>
      </c>
      <c r="G772" s="1780"/>
      <c r="H772" s="1777"/>
      <c r="I772" s="1777">
        <f>( I763+I767+I768 )*F772</f>
        <v>429223.33186603646</v>
      </c>
      <c r="J772" s="850"/>
      <c r="K772" s="850"/>
      <c r="L772" s="850"/>
    </row>
    <row r="773" spans="1:12" ht="15">
      <c r="B773" s="1556"/>
      <c r="C773" s="1557"/>
      <c r="D773" s="1557"/>
      <c r="E773" s="1781" t="s">
        <v>5676</v>
      </c>
      <c r="F773" s="1786"/>
      <c r="G773" s="1783"/>
      <c r="H773" s="1784"/>
      <c r="I773" s="1784">
        <f>I772+I772/F772</f>
        <v>21890389.925167859</v>
      </c>
    </row>
    <row r="774" spans="1:12" ht="15">
      <c r="B774" s="1551"/>
      <c r="C774" s="1552"/>
      <c r="D774" s="1552"/>
      <c r="E774" s="1785" t="s">
        <v>5677</v>
      </c>
      <c r="F774" s="1786">
        <f>$K$5</f>
        <v>5.5E-2</v>
      </c>
      <c r="G774" s="1772"/>
      <c r="H774" s="1773"/>
      <c r="I774" s="1773">
        <f>I773*F774</f>
        <v>1203971.4458842322</v>
      </c>
    </row>
    <row r="775" spans="1:12" ht="15">
      <c r="B775" s="1551"/>
      <c r="C775" s="1552"/>
      <c r="D775" s="1552"/>
      <c r="E775" s="1785" t="s">
        <v>5678</v>
      </c>
      <c r="F775" s="1786">
        <f>$L$5</f>
        <v>0.06</v>
      </c>
      <c r="G775" s="1772"/>
      <c r="H775" s="1773"/>
      <c r="I775" s="1773">
        <f>SUM(I773:I774)*F775</f>
        <v>1385661.6822631254</v>
      </c>
    </row>
    <row r="776" spans="1:12" ht="14.25">
      <c r="B776" s="1556"/>
      <c r="C776" s="1557"/>
      <c r="D776" s="1557"/>
      <c r="E776" s="1781" t="s">
        <v>5679</v>
      </c>
      <c r="F776" s="1787"/>
      <c r="G776" s="1783"/>
      <c r="H776" s="1784"/>
      <c r="I776" s="1784">
        <f>SUM(I773:I775)</f>
        <v>24480023.053315215</v>
      </c>
    </row>
    <row r="777" spans="1:12" ht="15">
      <c r="B777" s="1551"/>
      <c r="C777" s="1552"/>
      <c r="D777" s="1552"/>
      <c r="E777" s="1785" t="s">
        <v>5680</v>
      </c>
      <c r="F777" s="1788">
        <f>$M$5</f>
        <v>0.1</v>
      </c>
      <c r="G777" s="1772"/>
      <c r="H777" s="1773"/>
      <c r="I777" s="1773">
        <f>I776*F777</f>
        <v>2448002.3053315217</v>
      </c>
    </row>
    <row r="778" spans="1:12" ht="14.25">
      <c r="B778" s="1556"/>
      <c r="C778" s="1557"/>
      <c r="D778" s="1557"/>
      <c r="E778" s="1781" t="s">
        <v>5681</v>
      </c>
      <c r="F778" s="1787"/>
      <c r="G778" s="1783"/>
      <c r="H778" s="1784"/>
      <c r="I778" s="1784">
        <f>SUM(I776:I777)</f>
        <v>26928025.358646736</v>
      </c>
    </row>
    <row r="779" spans="1:12" ht="12.75">
      <c r="B779" s="1551"/>
      <c r="C779" s="1552"/>
      <c r="D779" s="1552"/>
      <c r="E779" s="1563" t="s">
        <v>5682</v>
      </c>
      <c r="F779" s="1560">
        <f>$N$5</f>
        <v>0.01</v>
      </c>
      <c r="G779" s="1553"/>
      <c r="H779" s="1562"/>
      <c r="I779" s="1562">
        <f>I778*F779</f>
        <v>269280.25358646736</v>
      </c>
    </row>
    <row r="780" spans="1:12" ht="14.25">
      <c r="B780" s="2111"/>
      <c r="C780" s="1564"/>
      <c r="D780" s="2111"/>
      <c r="E780" s="2112" t="s">
        <v>5683</v>
      </c>
      <c r="F780" s="2113"/>
      <c r="G780" s="2112"/>
      <c r="H780" s="2114"/>
      <c r="I780" s="2110">
        <f>ROUND(I778+I779,0)</f>
        <v>27197306</v>
      </c>
    </row>
    <row r="781" spans="1:12" ht="28.5">
      <c r="A781" s="657">
        <v>1</v>
      </c>
      <c r="B781" s="1546">
        <f>IF(A781&lt;&gt;0,COUNTA(A$7:$A781),"")</f>
        <v>44</v>
      </c>
      <c r="C781" s="1550">
        <f>'8.Dgia'!C592</f>
        <v>1091</v>
      </c>
      <c r="D781" s="1550" t="str">
        <f>'8.Dgia'!D592</f>
        <v>AF.65430</v>
      </c>
      <c r="E781" s="1766" t="str">
        <f>'8.Dgia'!E592</f>
        <v>Cốt thép D&gt;18 dầm cầu trên cạn (đổ tại chỗ)</v>
      </c>
      <c r="F781" s="1789" t="s">
        <v>557</v>
      </c>
      <c r="G781" s="1768">
        <f>'8.Dgia'!H592</f>
        <v>0</v>
      </c>
      <c r="H781" s="1769"/>
      <c r="I781" s="1769"/>
      <c r="J781" s="842">
        <f>+I782</f>
        <v>17328067.4712</v>
      </c>
      <c r="K781" s="842">
        <f>+I786</f>
        <v>3004840.8</v>
      </c>
      <c r="L781" s="842">
        <f>+I787</f>
        <v>514271.49682636361</v>
      </c>
    </row>
    <row r="782" spans="1:12" s="658" customFormat="1" ht="15">
      <c r="B782" s="1551" t="str">
        <f>'8.Dgia'!B593</f>
        <v/>
      </c>
      <c r="C782" s="1552">
        <f>'8.Dgia'!C593</f>
        <v>0</v>
      </c>
      <c r="D782" s="1552">
        <f>'8.Dgia'!D593</f>
        <v>0</v>
      </c>
      <c r="E782" s="1770" t="str">
        <f>'8.Dgia'!E593</f>
        <v xml:space="preserve">  A - Vật liệu</v>
      </c>
      <c r="F782" s="1786">
        <f>'8.Dgia'!G593</f>
        <v>0</v>
      </c>
      <c r="G782" s="1772">
        <f>'8.Dgia'!H593</f>
        <v>0</v>
      </c>
      <c r="H782" s="1773"/>
      <c r="I782" s="1774">
        <f>SUM(I783:I785)</f>
        <v>17328067.4712</v>
      </c>
      <c r="J782" s="850"/>
      <c r="K782" s="850"/>
      <c r="L782" s="850"/>
    </row>
    <row r="783" spans="1:12" ht="15">
      <c r="B783" s="1551" t="str">
        <f>'8.Dgia'!B594</f>
        <v/>
      </c>
      <c r="C783" s="1552">
        <f>'8.Dgia'!C594</f>
        <v>0</v>
      </c>
      <c r="D783" s="1552">
        <f>'8.Dgia'!D594</f>
        <v>0</v>
      </c>
      <c r="E783" s="1775" t="str">
        <f>'8.Dgia'!E594</f>
        <v>Thép tròn D&gt;18</v>
      </c>
      <c r="F783" s="1786" t="str">
        <f>'8.Dgia'!G594</f>
        <v>kg</v>
      </c>
      <c r="G783" s="1966">
        <f>'8.Dgia'!H594</f>
        <v>1020</v>
      </c>
      <c r="H783" s="1773">
        <f>GVL!$I$181</f>
        <v>16604.075560000001</v>
      </c>
      <c r="I783" s="1773">
        <f>H783*G783</f>
        <v>16936157.071200002</v>
      </c>
    </row>
    <row r="784" spans="1:12" ht="15">
      <c r="B784" s="1551" t="str">
        <f>'8.Dgia'!B595</f>
        <v/>
      </c>
      <c r="C784" s="1552">
        <f>'8.Dgia'!C595</f>
        <v>0</v>
      </c>
      <c r="D784" s="1552">
        <f>'8.Dgia'!D595</f>
        <v>0</v>
      </c>
      <c r="E784" s="1775" t="str">
        <f>'8.Dgia'!E595</f>
        <v>Dây thép buộc</v>
      </c>
      <c r="F784" s="1786" t="str">
        <f>'8.Dgia'!G595</f>
        <v>kg</v>
      </c>
      <c r="G784" s="1966">
        <f>'8.Dgia'!H595</f>
        <v>14.28</v>
      </c>
      <c r="H784" s="1773">
        <f>GVL!$I$89</f>
        <v>18180</v>
      </c>
      <c r="I784" s="1773">
        <f>H784*G784</f>
        <v>259610.4</v>
      </c>
    </row>
    <row r="785" spans="1:12" ht="15">
      <c r="B785" s="1551" t="str">
        <f>'8.Dgia'!B596</f>
        <v/>
      </c>
      <c r="C785" s="1552">
        <f>'8.Dgia'!C596</f>
        <v>0</v>
      </c>
      <c r="D785" s="1552">
        <f>'8.Dgia'!D596</f>
        <v>0</v>
      </c>
      <c r="E785" s="1775" t="str">
        <f>'8.Dgia'!E596</f>
        <v>Que hàn</v>
      </c>
      <c r="F785" s="1786" t="str">
        <f>'8.Dgia'!G596</f>
        <v>kg</v>
      </c>
      <c r="G785" s="1966">
        <f>'8.Dgia'!H596</f>
        <v>6.93</v>
      </c>
      <c r="H785" s="1773">
        <f>GVL!$I$153</f>
        <v>19090.909090909088</v>
      </c>
      <c r="I785" s="1773">
        <f>H785*G785</f>
        <v>132299.99999999997</v>
      </c>
    </row>
    <row r="786" spans="1:12" s="658" customFormat="1" ht="15">
      <c r="B786" s="1551" t="str">
        <f>'8.Dgia'!B597</f>
        <v/>
      </c>
      <c r="C786" s="1552">
        <f>'8.Dgia'!C597</f>
        <v>0</v>
      </c>
      <c r="D786" s="1552">
        <f>'8.Dgia'!D597</f>
        <v>0</v>
      </c>
      <c r="E786" s="1770" t="str">
        <f>'8.Dgia'!E597</f>
        <v xml:space="preserve">  B - Nhân công 4.0/7</v>
      </c>
      <c r="F786" s="1745" t="s">
        <v>552</v>
      </c>
      <c r="G786" s="1965">
        <f>'8.Dgia'!H597</f>
        <v>11.7</v>
      </c>
      <c r="H786" s="1773">
        <f>'16.NC'!$H$18</f>
        <v>256824</v>
      </c>
      <c r="I786" s="1776">
        <f>H786*G786</f>
        <v>3004840.8</v>
      </c>
      <c r="J786" s="850"/>
      <c r="K786" s="850"/>
      <c r="L786" s="850"/>
    </row>
    <row r="787" spans="1:12" s="658" customFormat="1" ht="15">
      <c r="B787" s="1551" t="str">
        <f>'8.Dgia'!B598</f>
        <v/>
      </c>
      <c r="C787" s="1552">
        <f>'8.Dgia'!C598</f>
        <v>0</v>
      </c>
      <c r="D787" s="1552">
        <f>'8.Dgia'!D598</f>
        <v>0</v>
      </c>
      <c r="E787" s="1770" t="str">
        <f>'8.Dgia'!E598</f>
        <v xml:space="preserve">  C - Máy thi công</v>
      </c>
      <c r="F787" s="1786">
        <f>'8.Dgia'!G598</f>
        <v>0</v>
      </c>
      <c r="G787" s="1772">
        <f>'8.Dgia'!H598</f>
        <v>0</v>
      </c>
      <c r="H787" s="1773"/>
      <c r="I787" s="1777">
        <f>SUM(I788:I790)</f>
        <v>514271.49682636361</v>
      </c>
      <c r="J787" s="850"/>
      <c r="K787" s="850"/>
      <c r="L787" s="850"/>
    </row>
    <row r="788" spans="1:12" ht="15">
      <c r="B788" s="1551" t="str">
        <f>'8.Dgia'!B599</f>
        <v/>
      </c>
      <c r="C788" s="1552">
        <f>'8.Dgia'!C599</f>
        <v>0</v>
      </c>
      <c r="D788" s="1552">
        <f>'8.Dgia'!D599</f>
        <v>0</v>
      </c>
      <c r="E788" s="1775" t="str">
        <f>'8.Dgia'!E599</f>
        <v>Máy hàn 23kw</v>
      </c>
      <c r="F788" s="1745" t="s">
        <v>5493</v>
      </c>
      <c r="G788" s="1964">
        <f>'8.Dgia'!H599</f>
        <v>1.73</v>
      </c>
      <c r="H788" s="1773">
        <f>'9.may'!$P$510</f>
        <v>171649.155</v>
      </c>
      <c r="I788" s="1773">
        <f>H788*G788</f>
        <v>296953.03814999998</v>
      </c>
    </row>
    <row r="789" spans="1:12" ht="15">
      <c r="B789" s="1551" t="str">
        <f>'8.Dgia'!B600</f>
        <v/>
      </c>
      <c r="C789" s="1552">
        <f>'8.Dgia'!C600</f>
        <v>0</v>
      </c>
      <c r="D789" s="1552">
        <f>'8.Dgia'!D600</f>
        <v>0</v>
      </c>
      <c r="E789" s="1775" t="str">
        <f>'8.Dgia'!E600</f>
        <v>Máy cắt uốn</v>
      </c>
      <c r="F789" s="1745" t="s">
        <v>5493</v>
      </c>
      <c r="G789" s="1964">
        <f>'8.Dgia'!H600</f>
        <v>0.16</v>
      </c>
      <c r="H789" s="1773">
        <f>'9.may'!$P$557</f>
        <v>80291.850000000006</v>
      </c>
      <c r="I789" s="1773">
        <f>H789*G789</f>
        <v>12846.696000000002</v>
      </c>
    </row>
    <row r="790" spans="1:12" ht="15">
      <c r="B790" s="1551" t="str">
        <f>'8.Dgia'!B601</f>
        <v/>
      </c>
      <c r="C790" s="1552">
        <f>'8.Dgia'!C601</f>
        <v>0</v>
      </c>
      <c r="D790" s="1552">
        <f>'8.Dgia'!D601</f>
        <v>0</v>
      </c>
      <c r="E790" s="1775" t="str">
        <f>'8.Dgia'!E601</f>
        <v>Cần cẩu bánh xích 16T</v>
      </c>
      <c r="F790" s="1745" t="s">
        <v>5493</v>
      </c>
      <c r="G790" s="1772">
        <f>'8.Dgia'!H601</f>
        <v>9.6000000000000002E-2</v>
      </c>
      <c r="H790" s="1773">
        <f>'9.may'!$P$247</f>
        <v>2129914.1945454543</v>
      </c>
      <c r="I790" s="1773">
        <f>H790*G790</f>
        <v>204471.76267636361</v>
      </c>
    </row>
    <row r="791" spans="1:12" s="658" customFormat="1" ht="15">
      <c r="B791" s="1677"/>
      <c r="C791" s="1678"/>
      <c r="D791" s="1678"/>
      <c r="E791" s="1778" t="s">
        <v>5675</v>
      </c>
      <c r="F791" s="1786">
        <f>$J$5</f>
        <v>0.02</v>
      </c>
      <c r="G791" s="1780"/>
      <c r="H791" s="1777"/>
      <c r="I791" s="1777">
        <f>( I782+I786+I787 )*F791</f>
        <v>416943.59536052728</v>
      </c>
      <c r="J791" s="850"/>
      <c r="K791" s="850"/>
      <c r="L791" s="850"/>
    </row>
    <row r="792" spans="1:12" ht="15">
      <c r="B792" s="1556"/>
      <c r="C792" s="1557"/>
      <c r="D792" s="1557"/>
      <c r="E792" s="1781" t="s">
        <v>5676</v>
      </c>
      <c r="F792" s="1786"/>
      <c r="G792" s="1783"/>
      <c r="H792" s="1784"/>
      <c r="I792" s="1784">
        <f>I791+I791/F791</f>
        <v>21264123.363386892</v>
      </c>
    </row>
    <row r="793" spans="1:12" ht="15">
      <c r="B793" s="1551"/>
      <c r="C793" s="1552"/>
      <c r="D793" s="1552"/>
      <c r="E793" s="1785" t="s">
        <v>5677</v>
      </c>
      <c r="F793" s="1786">
        <f>$K$5</f>
        <v>5.5E-2</v>
      </c>
      <c r="G793" s="1772"/>
      <c r="H793" s="1773"/>
      <c r="I793" s="1773">
        <f>I792*F793</f>
        <v>1169526.784986279</v>
      </c>
    </row>
    <row r="794" spans="1:12" ht="15">
      <c r="B794" s="1551"/>
      <c r="C794" s="1552"/>
      <c r="D794" s="1552"/>
      <c r="E794" s="1785" t="s">
        <v>5678</v>
      </c>
      <c r="F794" s="1786">
        <f>$L$5</f>
        <v>0.06</v>
      </c>
      <c r="G794" s="1772"/>
      <c r="H794" s="1773"/>
      <c r="I794" s="1773">
        <f>SUM(I792:I793)*F794</f>
        <v>1346019.0089023903</v>
      </c>
    </row>
    <row r="795" spans="1:12" ht="14.25">
      <c r="B795" s="1556"/>
      <c r="C795" s="1557"/>
      <c r="D795" s="1557"/>
      <c r="E795" s="1781" t="s">
        <v>5679</v>
      </c>
      <c r="F795" s="1787"/>
      <c r="G795" s="1783"/>
      <c r="H795" s="1784"/>
      <c r="I795" s="1784">
        <f>SUM(I792:I794)</f>
        <v>23779669.157275561</v>
      </c>
    </row>
    <row r="796" spans="1:12" ht="15">
      <c r="B796" s="1551"/>
      <c r="C796" s="1552"/>
      <c r="D796" s="1552"/>
      <c r="E796" s="1785" t="s">
        <v>5680</v>
      </c>
      <c r="F796" s="1788">
        <f>$M$5</f>
        <v>0.1</v>
      </c>
      <c r="G796" s="1772"/>
      <c r="H796" s="1773"/>
      <c r="I796" s="1773">
        <f>I795*F796</f>
        <v>2377966.9157275562</v>
      </c>
    </row>
    <row r="797" spans="1:12" ht="14.25">
      <c r="B797" s="1556"/>
      <c r="C797" s="1557"/>
      <c r="D797" s="1557"/>
      <c r="E797" s="1781" t="s">
        <v>5681</v>
      </c>
      <c r="F797" s="1787"/>
      <c r="G797" s="1783"/>
      <c r="H797" s="1784"/>
      <c r="I797" s="1784">
        <f>SUM(I795:I796)</f>
        <v>26157636.073003117</v>
      </c>
    </row>
    <row r="798" spans="1:12" ht="12.75">
      <c r="B798" s="1551"/>
      <c r="C798" s="1552"/>
      <c r="D798" s="1552"/>
      <c r="E798" s="1563" t="s">
        <v>5682</v>
      </c>
      <c r="F798" s="1560">
        <f>$N$5</f>
        <v>0.01</v>
      </c>
      <c r="G798" s="1553"/>
      <c r="H798" s="1562"/>
      <c r="I798" s="1562">
        <f>I797*F798</f>
        <v>261576.36073003119</v>
      </c>
    </row>
    <row r="799" spans="1:12" ht="14.25">
      <c r="B799" s="2111"/>
      <c r="C799" s="1564"/>
      <c r="D799" s="2111"/>
      <c r="E799" s="2112" t="s">
        <v>5683</v>
      </c>
      <c r="F799" s="2113"/>
      <c r="G799" s="2112"/>
      <c r="H799" s="2114"/>
      <c r="I799" s="2110">
        <f>ROUND(I797+I798,0)</f>
        <v>26419212</v>
      </c>
    </row>
    <row r="800" spans="1:12" s="1336" customFormat="1" ht="28.5">
      <c r="A800" s="657">
        <v>1</v>
      </c>
      <c r="B800" s="1546">
        <f>IF(A800&lt;&gt;0,COUNTA(A$7:$A800),"")</f>
        <v>45</v>
      </c>
      <c r="C800" s="1550">
        <f>'8.Dgia'!C602</f>
        <v>1091</v>
      </c>
      <c r="D800" s="1550" t="str">
        <f>'8.Dgia'!D602</f>
        <v>AF.65520</v>
      </c>
      <c r="E800" s="1766" t="str">
        <f>'8.Dgia'!E602</f>
        <v>Cốt thép D&lt;=18 dầm cầu dưới nước (đổ tại chỗ)</v>
      </c>
      <c r="F800" s="1789" t="s">
        <v>557</v>
      </c>
      <c r="G800" s="1768">
        <f>'8.Dgia'!H602</f>
        <v>0</v>
      </c>
      <c r="H800" s="1769"/>
      <c r="I800" s="1769"/>
      <c r="J800" s="1425">
        <f>+I801</f>
        <v>17319858.380290911</v>
      </c>
      <c r="K800" s="1425">
        <f>+I805</f>
        <v>4332620.88</v>
      </c>
      <c r="L800" s="1425">
        <f>+I806</f>
        <v>672314.8620054546</v>
      </c>
    </row>
    <row r="801" spans="2:12" s="658" customFormat="1" ht="15">
      <c r="B801" s="1551" t="str">
        <f>'8.Dgia'!B603</f>
        <v/>
      </c>
      <c r="C801" s="1552">
        <f>'8.Dgia'!C603</f>
        <v>0</v>
      </c>
      <c r="D801" s="1552">
        <f>'8.Dgia'!D603</f>
        <v>0</v>
      </c>
      <c r="E801" s="1770" t="str">
        <f>'8.Dgia'!E603</f>
        <v xml:space="preserve">  A - Vật liệu</v>
      </c>
      <c r="F801" s="1786">
        <f>'8.Dgia'!G603</f>
        <v>0</v>
      </c>
      <c r="G801" s="1772">
        <f>'8.Dgia'!H603</f>
        <v>0</v>
      </c>
      <c r="H801" s="1773"/>
      <c r="I801" s="1774">
        <f>SUM(I802:I804)</f>
        <v>17319858.380290911</v>
      </c>
      <c r="J801" s="850"/>
      <c r="K801" s="850"/>
      <c r="L801" s="850"/>
    </row>
    <row r="802" spans="2:12" ht="15">
      <c r="B802" s="1551" t="str">
        <f>'8.Dgia'!B604</f>
        <v/>
      </c>
      <c r="C802" s="1552">
        <f>'8.Dgia'!C604</f>
        <v>0</v>
      </c>
      <c r="D802" s="1552">
        <f>'8.Dgia'!D604</f>
        <v>0</v>
      </c>
      <c r="E802" s="1775" t="str">
        <f>'8.Dgia'!E604</f>
        <v>Thép tròn D&lt;=18</v>
      </c>
      <c r="F802" s="1786" t="str">
        <f>'8.Dgia'!G604</f>
        <v>kg</v>
      </c>
      <c r="G802" s="1965">
        <f>'8.Dgia'!H604</f>
        <v>1020</v>
      </c>
      <c r="H802" s="1773">
        <f>GVL!$I$180</f>
        <v>16604.075560000001</v>
      </c>
      <c r="I802" s="1773">
        <f>H802*G802</f>
        <v>16936157.071200002</v>
      </c>
    </row>
    <row r="803" spans="2:12" ht="15">
      <c r="B803" s="1551" t="str">
        <f>'8.Dgia'!B605</f>
        <v/>
      </c>
      <c r="C803" s="1552">
        <f>'8.Dgia'!C605</f>
        <v>0</v>
      </c>
      <c r="D803" s="1552">
        <f>'8.Dgia'!D605</f>
        <v>0</v>
      </c>
      <c r="E803" s="1775" t="str">
        <f>'8.Dgia'!E605</f>
        <v>Dây thép buộc</v>
      </c>
      <c r="F803" s="1786" t="str">
        <f>'8.Dgia'!G605</f>
        <v>kg</v>
      </c>
      <c r="G803" s="1772">
        <f>'8.Dgia'!H605</f>
        <v>14.28</v>
      </c>
      <c r="H803" s="1773">
        <f>GVL!$I$89</f>
        <v>18180</v>
      </c>
      <c r="I803" s="1773">
        <f>H803*G803</f>
        <v>259610.4</v>
      </c>
    </row>
    <row r="804" spans="2:12" ht="15">
      <c r="B804" s="1551" t="str">
        <f>'8.Dgia'!B606</f>
        <v/>
      </c>
      <c r="C804" s="1552">
        <f>'8.Dgia'!C606</f>
        <v>0</v>
      </c>
      <c r="D804" s="1552">
        <f>'8.Dgia'!D606</f>
        <v>0</v>
      </c>
      <c r="E804" s="1775" t="str">
        <f>'8.Dgia'!E606</f>
        <v>Que hàn</v>
      </c>
      <c r="F804" s="1786" t="str">
        <f>'8.Dgia'!G606</f>
        <v>kg</v>
      </c>
      <c r="G804" s="1965">
        <f>'8.Dgia'!H606</f>
        <v>6.5</v>
      </c>
      <c r="H804" s="1773">
        <f>GVL!$I$153</f>
        <v>19090.909090909088</v>
      </c>
      <c r="I804" s="1773">
        <f>H804*G804</f>
        <v>124090.90909090907</v>
      </c>
    </row>
    <row r="805" spans="2:12" s="658" customFormat="1" ht="15">
      <c r="B805" s="1551" t="str">
        <f>'8.Dgia'!B607</f>
        <v/>
      </c>
      <c r="C805" s="1552">
        <f>'8.Dgia'!C607</f>
        <v>0</v>
      </c>
      <c r="D805" s="1552">
        <f>'8.Dgia'!D607</f>
        <v>0</v>
      </c>
      <c r="E805" s="1770" t="str">
        <f>'8.Dgia'!E607</f>
        <v xml:space="preserve">  B - Nhân công 4.0/7</v>
      </c>
      <c r="F805" s="1745" t="s">
        <v>552</v>
      </c>
      <c r="G805" s="1772">
        <f>'8.Dgia'!H607</f>
        <v>16.87</v>
      </c>
      <c r="H805" s="1773">
        <f>'16.NC'!$H$18</f>
        <v>256824</v>
      </c>
      <c r="I805" s="1776">
        <f>H805*G805</f>
        <v>4332620.88</v>
      </c>
      <c r="J805" s="850"/>
      <c r="K805" s="850"/>
      <c r="L805" s="850"/>
    </row>
    <row r="806" spans="2:12" s="658" customFormat="1" ht="15">
      <c r="B806" s="1551" t="str">
        <f>'8.Dgia'!B608</f>
        <v/>
      </c>
      <c r="C806" s="1552">
        <f>'8.Dgia'!C608</f>
        <v>0</v>
      </c>
      <c r="D806" s="1552">
        <f>'8.Dgia'!D608</f>
        <v>0</v>
      </c>
      <c r="E806" s="1770" t="str">
        <f>'8.Dgia'!E608</f>
        <v xml:space="preserve">  C - Máy thi công</v>
      </c>
      <c r="F806" s="1786">
        <f>'8.Dgia'!G608</f>
        <v>0</v>
      </c>
      <c r="G806" s="1772">
        <f>'8.Dgia'!H608</f>
        <v>0</v>
      </c>
      <c r="H806" s="1773"/>
      <c r="I806" s="1777">
        <f>SUM(I807:I812)</f>
        <v>672314.8620054546</v>
      </c>
      <c r="J806" s="850"/>
      <c r="K806" s="850"/>
      <c r="L806" s="850"/>
    </row>
    <row r="807" spans="2:12" ht="15">
      <c r="B807" s="1551" t="str">
        <f>'8.Dgia'!B609</f>
        <v/>
      </c>
      <c r="C807" s="1552">
        <f>'8.Dgia'!C609</f>
        <v>0</v>
      </c>
      <c r="D807" s="1552">
        <f>'8.Dgia'!D609</f>
        <v>0</v>
      </c>
      <c r="E807" s="1775" t="str">
        <f>'8.Dgia'!E609</f>
        <v>Máy hàn 23KW</v>
      </c>
      <c r="F807" s="1745" t="s">
        <v>5493</v>
      </c>
      <c r="G807" s="1965">
        <f>'8.Dgia'!H609</f>
        <v>1.6</v>
      </c>
      <c r="H807" s="1773">
        <f>'9.may'!$P$510</f>
        <v>171649.155</v>
      </c>
      <c r="I807" s="1773">
        <f t="shared" ref="I807:I812" si="2">H807*G807</f>
        <v>274638.64799999999</v>
      </c>
    </row>
    <row r="808" spans="2:12" ht="15">
      <c r="B808" s="1551" t="str">
        <f>'8.Dgia'!B610</f>
        <v/>
      </c>
      <c r="C808" s="1552">
        <f>'8.Dgia'!C610</f>
        <v>0</v>
      </c>
      <c r="D808" s="1552">
        <f>'8.Dgia'!D610</f>
        <v>0</v>
      </c>
      <c r="E808" s="1775" t="str">
        <f>'8.Dgia'!E610</f>
        <v>Máy cắt uốn</v>
      </c>
      <c r="F808" s="1745" t="s">
        <v>5493</v>
      </c>
      <c r="G808" s="1772">
        <f>'8.Dgia'!H610</f>
        <v>0.32</v>
      </c>
      <c r="H808" s="1773">
        <f>'9.may'!$P$557</f>
        <v>80291.850000000006</v>
      </c>
      <c r="I808" s="1773">
        <f t="shared" si="2"/>
        <v>25693.392000000003</v>
      </c>
    </row>
    <row r="809" spans="2:12" ht="15">
      <c r="B809" s="1551" t="str">
        <f>'8.Dgia'!B611</f>
        <v/>
      </c>
      <c r="C809" s="1552">
        <f>'8.Dgia'!C611</f>
        <v>0</v>
      </c>
      <c r="D809" s="1552">
        <f>'8.Dgia'!D611</f>
        <v>0</v>
      </c>
      <c r="E809" s="1775" t="str">
        <f>'8.Dgia'!E611</f>
        <v>Cần cẩu bánh xích 25T</v>
      </c>
      <c r="F809" s="1745" t="s">
        <v>5493</v>
      </c>
      <c r="G809" s="1772">
        <f>'8.Dgia'!H611</f>
        <v>7.1999999999999995E-2</v>
      </c>
      <c r="H809" s="1773">
        <f>'9.may'!$P$248</f>
        <v>2787996.6736363638</v>
      </c>
      <c r="I809" s="1773">
        <f t="shared" si="2"/>
        <v>200735.76050181818</v>
      </c>
    </row>
    <row r="810" spans="2:12" ht="15">
      <c r="B810" s="1551" t="str">
        <f>'8.Dgia'!B612</f>
        <v/>
      </c>
      <c r="C810" s="1552">
        <f>'8.Dgia'!C612</f>
        <v>0</v>
      </c>
      <c r="D810" s="1552">
        <f>'8.Dgia'!D612</f>
        <v>0</v>
      </c>
      <c r="E810" s="1775" t="str">
        <f>'8.Dgia'!E612</f>
        <v>Sà lan 200T</v>
      </c>
      <c r="F810" s="1745" t="s">
        <v>5493</v>
      </c>
      <c r="G810" s="1772">
        <v>7.1999999999999995E-2</v>
      </c>
      <c r="H810" s="1773">
        <f>'9.may'!$P$652</f>
        <v>586485.6</v>
      </c>
      <c r="I810" s="1773">
        <f t="shared" si="2"/>
        <v>42226.963199999998</v>
      </c>
    </row>
    <row r="811" spans="2:12" ht="15">
      <c r="B811" s="1551" t="str">
        <f>'8.Dgia'!B613</f>
        <v/>
      </c>
      <c r="C811" s="1552">
        <f>'8.Dgia'!C613</f>
        <v>0</v>
      </c>
      <c r="D811" s="1552">
        <f>'8.Dgia'!D613</f>
        <v>0</v>
      </c>
      <c r="E811" s="1775" t="str">
        <f>'8.Dgia'!E613</f>
        <v>Sà lan 400T</v>
      </c>
      <c r="F811" s="1745" t="s">
        <v>5493</v>
      </c>
      <c r="G811" s="1772">
        <v>7.1999999999999995E-2</v>
      </c>
      <c r="H811" s="1773">
        <f>'9.may'!$P$655</f>
        <v>1144511.22</v>
      </c>
      <c r="I811" s="1773">
        <f t="shared" si="2"/>
        <v>82404.807839999994</v>
      </c>
    </row>
    <row r="812" spans="2:12" ht="15">
      <c r="B812" s="1551" t="str">
        <f>'8.Dgia'!B614</f>
        <v/>
      </c>
      <c r="C812" s="1552">
        <f>'8.Dgia'!C614</f>
        <v>0</v>
      </c>
      <c r="D812" s="1552">
        <f>'8.Dgia'!D614</f>
        <v>0</v>
      </c>
      <c r="E812" s="1775" t="str">
        <f>'8.Dgia'!E614</f>
        <v>Tàu kéo 150CV</v>
      </c>
      <c r="F812" s="1745" t="s">
        <v>5493</v>
      </c>
      <c r="G812" s="1772">
        <v>1.4E-2</v>
      </c>
      <c r="H812" s="1773">
        <f>'9.may'!$P$676</f>
        <v>3329663.6045454545</v>
      </c>
      <c r="I812" s="1773">
        <f t="shared" si="2"/>
        <v>46615.290463636367</v>
      </c>
    </row>
    <row r="813" spans="2:12" s="658" customFormat="1" ht="15">
      <c r="B813" s="1677"/>
      <c r="C813" s="1678"/>
      <c r="D813" s="1678"/>
      <c r="E813" s="1778" t="s">
        <v>5675</v>
      </c>
      <c r="F813" s="1786">
        <f>$J$5</f>
        <v>0.02</v>
      </c>
      <c r="G813" s="1780"/>
      <c r="H813" s="1777"/>
      <c r="I813" s="1777">
        <f>( I801+I805+I806 )*F813</f>
        <v>446495.88244592724</v>
      </c>
      <c r="J813" s="850"/>
      <c r="K813" s="850"/>
      <c r="L813" s="850"/>
    </row>
    <row r="814" spans="2:12" ht="15">
      <c r="B814" s="1556"/>
      <c r="C814" s="1557"/>
      <c r="D814" s="1557"/>
      <c r="E814" s="1781" t="s">
        <v>5676</v>
      </c>
      <c r="F814" s="1786"/>
      <c r="G814" s="1783"/>
      <c r="H814" s="1784"/>
      <c r="I814" s="1784">
        <f>I813+I813/F813</f>
        <v>22771290.004742291</v>
      </c>
    </row>
    <row r="815" spans="2:12" ht="15">
      <c r="B815" s="1551"/>
      <c r="C815" s="1552"/>
      <c r="D815" s="1552"/>
      <c r="E815" s="1785" t="s">
        <v>5677</v>
      </c>
      <c r="F815" s="1786">
        <f>$K$5</f>
        <v>5.5E-2</v>
      </c>
      <c r="G815" s="1772"/>
      <c r="H815" s="1773"/>
      <c r="I815" s="1773">
        <f>I814*F815</f>
        <v>1252420.9502608259</v>
      </c>
    </row>
    <row r="816" spans="2:12" ht="15">
      <c r="B816" s="1551"/>
      <c r="C816" s="1552"/>
      <c r="D816" s="1552"/>
      <c r="E816" s="1785" t="s">
        <v>5678</v>
      </c>
      <c r="F816" s="1786">
        <f>$L$5</f>
        <v>0.06</v>
      </c>
      <c r="G816" s="1772"/>
      <c r="H816" s="1773"/>
      <c r="I816" s="1773">
        <f>SUM(I814:I815)*F816</f>
        <v>1441422.6573001868</v>
      </c>
    </row>
    <row r="817" spans="1:12" ht="14.25">
      <c r="B817" s="1556"/>
      <c r="C817" s="1557"/>
      <c r="D817" s="1557"/>
      <c r="E817" s="1781" t="s">
        <v>5679</v>
      </c>
      <c r="F817" s="1787"/>
      <c r="G817" s="1783"/>
      <c r="H817" s="1784"/>
      <c r="I817" s="1784">
        <f>SUM(I814:I816)</f>
        <v>25465133.612303302</v>
      </c>
    </row>
    <row r="818" spans="1:12" ht="15">
      <c r="B818" s="1551"/>
      <c r="C818" s="1552"/>
      <c r="D818" s="1552"/>
      <c r="E818" s="1785" t="s">
        <v>5680</v>
      </c>
      <c r="F818" s="1788">
        <f>$M$5</f>
        <v>0.1</v>
      </c>
      <c r="G818" s="1772"/>
      <c r="H818" s="1773"/>
      <c r="I818" s="1773">
        <f>I817*F818</f>
        <v>2546513.3612303305</v>
      </c>
    </row>
    <row r="819" spans="1:12" ht="14.25">
      <c r="B819" s="1556"/>
      <c r="C819" s="1557"/>
      <c r="D819" s="1557"/>
      <c r="E819" s="1781" t="s">
        <v>5681</v>
      </c>
      <c r="F819" s="1787"/>
      <c r="G819" s="1783"/>
      <c r="H819" s="1784"/>
      <c r="I819" s="1784">
        <f>SUM(I817:I818)</f>
        <v>28011646.97353363</v>
      </c>
    </row>
    <row r="820" spans="1:12" ht="12.75">
      <c r="B820" s="1551"/>
      <c r="C820" s="1552"/>
      <c r="D820" s="1552"/>
      <c r="E820" s="1563" t="s">
        <v>5682</v>
      </c>
      <c r="F820" s="1560">
        <f>$N$5</f>
        <v>0.01</v>
      </c>
      <c r="G820" s="1553"/>
      <c r="H820" s="1562"/>
      <c r="I820" s="1562">
        <f>I819*F820</f>
        <v>280116.46973533632</v>
      </c>
    </row>
    <row r="821" spans="1:12" ht="14.25">
      <c r="B821" s="2111"/>
      <c r="C821" s="1564"/>
      <c r="D821" s="2111"/>
      <c r="E821" s="2112" t="s">
        <v>5683</v>
      </c>
      <c r="F821" s="2113"/>
      <c r="G821" s="2112"/>
      <c r="H821" s="2114"/>
      <c r="I821" s="2110">
        <f>ROUND(I819+I820,0)</f>
        <v>28291763</v>
      </c>
    </row>
    <row r="822" spans="1:12" s="1336" customFormat="1" ht="28.5">
      <c r="A822" s="657">
        <v>1</v>
      </c>
      <c r="B822" s="1546">
        <f>IF(A822&lt;&gt;0,COUNTA(A$7:$A822),"")</f>
        <v>46</v>
      </c>
      <c r="C822" s="1550">
        <f>'8.Dgia'!C615</f>
        <v>1091</v>
      </c>
      <c r="D822" s="1550" t="str">
        <f>'8.Dgia'!D615</f>
        <v>AF.65530</v>
      </c>
      <c r="E822" s="1766" t="str">
        <f>'8.Dgia'!E615</f>
        <v>Cốt thép D&gt;18 dầm cầu dưới nước (đổ tại chỗ)</v>
      </c>
      <c r="F822" s="1789" t="s">
        <v>557</v>
      </c>
      <c r="G822" s="1768">
        <f>'8.Dgia'!H615</f>
        <v>0</v>
      </c>
      <c r="H822" s="1769"/>
      <c r="I822" s="1769"/>
      <c r="J822" s="1425">
        <f>+I823</f>
        <v>17328067.4712</v>
      </c>
      <c r="K822" s="1425">
        <f>+I827</f>
        <v>3605808.96</v>
      </c>
      <c r="L822" s="1425">
        <f>+I828</f>
        <v>566667.38509909087</v>
      </c>
    </row>
    <row r="823" spans="1:12" s="658" customFormat="1" ht="15">
      <c r="B823" s="1551" t="str">
        <f>'8.Dgia'!B616</f>
        <v/>
      </c>
      <c r="C823" s="1552">
        <f>'8.Dgia'!C616</f>
        <v>0</v>
      </c>
      <c r="D823" s="1552">
        <f>'8.Dgia'!D616</f>
        <v>0</v>
      </c>
      <c r="E823" s="1770" t="str">
        <f>'8.Dgia'!E616</f>
        <v xml:space="preserve">  A - Vật liệu</v>
      </c>
      <c r="F823" s="1786">
        <f>'8.Dgia'!G616</f>
        <v>0</v>
      </c>
      <c r="G823" s="1772">
        <f>'8.Dgia'!H616</f>
        <v>0</v>
      </c>
      <c r="H823" s="1773"/>
      <c r="I823" s="1774">
        <f>SUM(I824:I826)</f>
        <v>17328067.4712</v>
      </c>
      <c r="J823" s="850"/>
      <c r="K823" s="850"/>
      <c r="L823" s="850"/>
    </row>
    <row r="824" spans="1:12" ht="15">
      <c r="B824" s="1551" t="str">
        <f>'8.Dgia'!B617</f>
        <v/>
      </c>
      <c r="C824" s="1552">
        <f>'8.Dgia'!C617</f>
        <v>0</v>
      </c>
      <c r="D824" s="1552">
        <f>'8.Dgia'!D617</f>
        <v>0</v>
      </c>
      <c r="E824" s="1775" t="str">
        <f>'8.Dgia'!E617</f>
        <v>Thép tròn D&gt;18</v>
      </c>
      <c r="F824" s="1786" t="str">
        <f>'8.Dgia'!G617</f>
        <v>kg</v>
      </c>
      <c r="G824" s="1965">
        <f>'8.Dgia'!H617</f>
        <v>1020</v>
      </c>
      <c r="H824" s="1773">
        <f>GVL!$I$181</f>
        <v>16604.075560000001</v>
      </c>
      <c r="I824" s="1773">
        <f>H824*G824</f>
        <v>16936157.071200002</v>
      </c>
    </row>
    <row r="825" spans="1:12" ht="15">
      <c r="B825" s="1551" t="str">
        <f>'8.Dgia'!B618</f>
        <v/>
      </c>
      <c r="C825" s="1552">
        <f>'8.Dgia'!C618</f>
        <v>0</v>
      </c>
      <c r="D825" s="1552">
        <f>'8.Dgia'!D618</f>
        <v>0</v>
      </c>
      <c r="E825" s="1775" t="str">
        <f>'8.Dgia'!E618</f>
        <v>Dây thép buộc</v>
      </c>
      <c r="F825" s="1786" t="str">
        <f>'8.Dgia'!G618</f>
        <v>kg</v>
      </c>
      <c r="G825" s="1965">
        <f>'8.Dgia'!H618</f>
        <v>14.28</v>
      </c>
      <c r="H825" s="1773">
        <f>GVL!$I$89</f>
        <v>18180</v>
      </c>
      <c r="I825" s="1773">
        <f>H825*G825</f>
        <v>259610.4</v>
      </c>
    </row>
    <row r="826" spans="1:12" ht="15">
      <c r="B826" s="1551" t="str">
        <f>'8.Dgia'!B619</f>
        <v/>
      </c>
      <c r="C826" s="1552">
        <f>'8.Dgia'!C619</f>
        <v>0</v>
      </c>
      <c r="D826" s="1552">
        <f>'8.Dgia'!D619</f>
        <v>0</v>
      </c>
      <c r="E826" s="1775" t="str">
        <f>'8.Dgia'!E619</f>
        <v>Que hàn</v>
      </c>
      <c r="F826" s="1786" t="str">
        <f>'8.Dgia'!G619</f>
        <v>kg</v>
      </c>
      <c r="G826" s="1965">
        <f>'8.Dgia'!H619</f>
        <v>6.93</v>
      </c>
      <c r="H826" s="1773">
        <f>GVL!$I$153</f>
        <v>19090.909090909088</v>
      </c>
      <c r="I826" s="1773">
        <f>H826*G826</f>
        <v>132299.99999999997</v>
      </c>
    </row>
    <row r="827" spans="1:12" s="658" customFormat="1" ht="15">
      <c r="B827" s="1551" t="str">
        <f>'8.Dgia'!B620</f>
        <v/>
      </c>
      <c r="C827" s="1552">
        <f>'8.Dgia'!C620</f>
        <v>0</v>
      </c>
      <c r="D827" s="1552">
        <f>'8.Dgia'!D620</f>
        <v>0</v>
      </c>
      <c r="E827" s="1770" t="str">
        <f>'8.Dgia'!E620</f>
        <v xml:space="preserve">  B - Nhân công 4.0/7</v>
      </c>
      <c r="F827" s="1745" t="s">
        <v>552</v>
      </c>
      <c r="G827" s="1965">
        <f>'8.Dgia'!H620</f>
        <v>14.04</v>
      </c>
      <c r="H827" s="1773">
        <f>'16.NC'!$H$18</f>
        <v>256824</v>
      </c>
      <c r="I827" s="1776">
        <f>H827*G827</f>
        <v>3605808.96</v>
      </c>
      <c r="J827" s="850"/>
      <c r="K827" s="850"/>
      <c r="L827" s="850"/>
    </row>
    <row r="828" spans="1:12" s="658" customFormat="1" ht="15">
      <c r="B828" s="1551" t="str">
        <f>'8.Dgia'!B621</f>
        <v/>
      </c>
      <c r="C828" s="1552">
        <f>'8.Dgia'!C621</f>
        <v>0</v>
      </c>
      <c r="D828" s="1552">
        <f>'8.Dgia'!D621</f>
        <v>0</v>
      </c>
      <c r="E828" s="1770" t="str">
        <f>'8.Dgia'!E621</f>
        <v xml:space="preserve">  C - Máy thi công</v>
      </c>
      <c r="F828" s="1786">
        <f>'8.Dgia'!G621</f>
        <v>0</v>
      </c>
      <c r="G828" s="1772">
        <f>'8.Dgia'!H621</f>
        <v>0</v>
      </c>
      <c r="H828" s="1773"/>
      <c r="I828" s="1777">
        <f>SUM(I829:I834)</f>
        <v>566667.38509909087</v>
      </c>
      <c r="J828" s="850"/>
      <c r="K828" s="850"/>
      <c r="L828" s="850"/>
    </row>
    <row r="829" spans="1:12" ht="15">
      <c r="B829" s="1551" t="str">
        <f>'8.Dgia'!B622</f>
        <v/>
      </c>
      <c r="C829" s="1552">
        <f>'8.Dgia'!C622</f>
        <v>0</v>
      </c>
      <c r="D829" s="1552">
        <f>'8.Dgia'!D622</f>
        <v>0</v>
      </c>
      <c r="E829" s="1775" t="str">
        <f>'8.Dgia'!E622</f>
        <v>Máy hàn 23KW</v>
      </c>
      <c r="F829" s="1745" t="s">
        <v>5493</v>
      </c>
      <c r="G829" s="1964">
        <f>'8.Dgia'!H622</f>
        <v>1.73</v>
      </c>
      <c r="H829" s="1773">
        <f>'9.may'!$P$510</f>
        <v>171649.155</v>
      </c>
      <c r="I829" s="1773">
        <f t="shared" ref="I829:I834" si="3">H829*G829</f>
        <v>296953.03814999998</v>
      </c>
    </row>
    <row r="830" spans="1:12" ht="15">
      <c r="B830" s="1551" t="str">
        <f>'8.Dgia'!B623</f>
        <v/>
      </c>
      <c r="C830" s="1552">
        <f>'8.Dgia'!C623</f>
        <v>0</v>
      </c>
      <c r="D830" s="1552">
        <f>'8.Dgia'!D623</f>
        <v>0</v>
      </c>
      <c r="E830" s="1775" t="str">
        <f>'8.Dgia'!E623</f>
        <v>Máy cắt uốn</v>
      </c>
      <c r="F830" s="1745" t="s">
        <v>5493</v>
      </c>
      <c r="G830" s="1964">
        <f>'8.Dgia'!H623</f>
        <v>0.16</v>
      </c>
      <c r="H830" s="1773">
        <f>'9.may'!$P$557</f>
        <v>80291.850000000006</v>
      </c>
      <c r="I830" s="1773">
        <f t="shared" si="3"/>
        <v>12846.696000000002</v>
      </c>
    </row>
    <row r="831" spans="1:12" ht="15">
      <c r="B831" s="1551" t="str">
        <f>'8.Dgia'!B624</f>
        <v/>
      </c>
      <c r="C831" s="1552">
        <f>'8.Dgia'!C624</f>
        <v>0</v>
      </c>
      <c r="D831" s="1552">
        <f>'8.Dgia'!D624</f>
        <v>0</v>
      </c>
      <c r="E831" s="1775" t="str">
        <f>'8.Dgia'!E624</f>
        <v>Cần cẩu bánh xích 25T</v>
      </c>
      <c r="F831" s="1745" t="s">
        <v>5493</v>
      </c>
      <c r="G831" s="1772">
        <f>'8.Dgia'!H624</f>
        <v>4.8000000000000001E-2</v>
      </c>
      <c r="H831" s="1773">
        <f>'9.may'!$P$248</f>
        <v>2787996.6736363638</v>
      </c>
      <c r="I831" s="1773">
        <f t="shared" si="3"/>
        <v>133823.84033454547</v>
      </c>
    </row>
    <row r="832" spans="1:12" ht="15">
      <c r="B832" s="1551" t="str">
        <f>'8.Dgia'!B625</f>
        <v/>
      </c>
      <c r="C832" s="1552">
        <f>'8.Dgia'!C625</f>
        <v>0</v>
      </c>
      <c r="D832" s="1552">
        <f>'8.Dgia'!D625</f>
        <v>0</v>
      </c>
      <c r="E832" s="1775" t="str">
        <f>'8.Dgia'!E625</f>
        <v>Sà lan 200T</v>
      </c>
      <c r="F832" s="1745" t="s">
        <v>5493</v>
      </c>
      <c r="G832" s="1772">
        <v>4.8000000000000001E-2</v>
      </c>
      <c r="H832" s="1773">
        <f>'9.may'!$P$652</f>
        <v>586485.6</v>
      </c>
      <c r="I832" s="1773">
        <f t="shared" si="3"/>
        <v>28151.308799999999</v>
      </c>
    </row>
    <row r="833" spans="1:12" ht="15">
      <c r="B833" s="1551" t="str">
        <f>'8.Dgia'!B626</f>
        <v/>
      </c>
      <c r="C833" s="1552">
        <f>'8.Dgia'!C626</f>
        <v>0</v>
      </c>
      <c r="D833" s="1552">
        <f>'8.Dgia'!D626</f>
        <v>0</v>
      </c>
      <c r="E833" s="1775" t="str">
        <f>'8.Dgia'!E626</f>
        <v>Sà lan 400T</v>
      </c>
      <c r="F833" s="1745" t="s">
        <v>5493</v>
      </c>
      <c r="G833" s="1772">
        <v>4.8000000000000001E-2</v>
      </c>
      <c r="H833" s="1773">
        <f>'9.may'!$P$655</f>
        <v>1144511.22</v>
      </c>
      <c r="I833" s="1773">
        <f t="shared" si="3"/>
        <v>54936.538560000001</v>
      </c>
    </row>
    <row r="834" spans="1:12" ht="15">
      <c r="B834" s="1551" t="str">
        <f>'8.Dgia'!B627</f>
        <v/>
      </c>
      <c r="C834" s="1552">
        <f>'8.Dgia'!C627</f>
        <v>0</v>
      </c>
      <c r="D834" s="1552">
        <f>'8.Dgia'!D627</f>
        <v>0</v>
      </c>
      <c r="E834" s="1775" t="str">
        <f>'8.Dgia'!E627</f>
        <v>Tàu kéo 150CV</v>
      </c>
      <c r="F834" s="1745" t="s">
        <v>5493</v>
      </c>
      <c r="G834" s="1772">
        <v>1.2E-2</v>
      </c>
      <c r="H834" s="1773">
        <f>'9.may'!$P$676</f>
        <v>3329663.6045454545</v>
      </c>
      <c r="I834" s="1773">
        <f t="shared" si="3"/>
        <v>39955.963254545451</v>
      </c>
    </row>
    <row r="835" spans="1:12" s="658" customFormat="1" ht="15">
      <c r="B835" s="1677"/>
      <c r="C835" s="1678"/>
      <c r="D835" s="1678"/>
      <c r="E835" s="1778" t="s">
        <v>5675</v>
      </c>
      <c r="F835" s="1786">
        <f>$J$5</f>
        <v>0.02</v>
      </c>
      <c r="G835" s="1780"/>
      <c r="H835" s="1777"/>
      <c r="I835" s="1777">
        <f>( I823+I827+I828 )*F835</f>
        <v>430010.87632598187</v>
      </c>
      <c r="J835" s="850"/>
      <c r="K835" s="850"/>
      <c r="L835" s="850"/>
    </row>
    <row r="836" spans="1:12" ht="15">
      <c r="B836" s="1556"/>
      <c r="C836" s="1557"/>
      <c r="D836" s="1557"/>
      <c r="E836" s="1781" t="s">
        <v>5676</v>
      </c>
      <c r="F836" s="1786"/>
      <c r="G836" s="1783"/>
      <c r="H836" s="1784"/>
      <c r="I836" s="1784">
        <f>I835+I835/F835</f>
        <v>21930554.692625076</v>
      </c>
    </row>
    <row r="837" spans="1:12" ht="15">
      <c r="B837" s="1551"/>
      <c r="C837" s="1552"/>
      <c r="D837" s="1552"/>
      <c r="E837" s="1785" t="s">
        <v>5677</v>
      </c>
      <c r="F837" s="1786">
        <f>$K$5</f>
        <v>5.5E-2</v>
      </c>
      <c r="G837" s="1772"/>
      <c r="H837" s="1773"/>
      <c r="I837" s="1773">
        <f>I836*F837</f>
        <v>1206180.5080943792</v>
      </c>
    </row>
    <row r="838" spans="1:12" ht="15">
      <c r="B838" s="1551"/>
      <c r="C838" s="1552"/>
      <c r="D838" s="1552"/>
      <c r="E838" s="1785" t="s">
        <v>5678</v>
      </c>
      <c r="F838" s="1786">
        <f>$L$5</f>
        <v>0.06</v>
      </c>
      <c r="G838" s="1772"/>
      <c r="H838" s="1773"/>
      <c r="I838" s="1773">
        <f>SUM(I836:I837)*F838</f>
        <v>1388204.1120431672</v>
      </c>
    </row>
    <row r="839" spans="1:12" ht="14.25">
      <c r="B839" s="1556"/>
      <c r="C839" s="1557"/>
      <c r="D839" s="1557"/>
      <c r="E839" s="1781" t="s">
        <v>5679</v>
      </c>
      <c r="F839" s="1787"/>
      <c r="G839" s="1783"/>
      <c r="H839" s="1784"/>
      <c r="I839" s="1784">
        <f>SUM(I836:I838)</f>
        <v>24524939.312762622</v>
      </c>
    </row>
    <row r="840" spans="1:12" ht="15">
      <c r="B840" s="1551"/>
      <c r="C840" s="1552"/>
      <c r="D840" s="1552"/>
      <c r="E840" s="1785" t="s">
        <v>5680</v>
      </c>
      <c r="F840" s="1788">
        <f>$M$5</f>
        <v>0.1</v>
      </c>
      <c r="G840" s="1772"/>
      <c r="H840" s="1773"/>
      <c r="I840" s="1773">
        <f>I839*F840</f>
        <v>2452493.9312762623</v>
      </c>
    </row>
    <row r="841" spans="1:12" ht="14.25">
      <c r="B841" s="1556"/>
      <c r="C841" s="1557"/>
      <c r="D841" s="1557"/>
      <c r="E841" s="1781" t="s">
        <v>5681</v>
      </c>
      <c r="F841" s="1787"/>
      <c r="G841" s="1783"/>
      <c r="H841" s="1784"/>
      <c r="I841" s="1784">
        <f>SUM(I839:I840)</f>
        <v>26977433.244038884</v>
      </c>
    </row>
    <row r="842" spans="1:12" ht="12.75">
      <c r="B842" s="1551"/>
      <c r="C842" s="1552"/>
      <c r="D842" s="1552"/>
      <c r="E842" s="1563" t="s">
        <v>5682</v>
      </c>
      <c r="F842" s="1560">
        <f>$N$5</f>
        <v>0.01</v>
      </c>
      <c r="G842" s="1553"/>
      <c r="H842" s="1562"/>
      <c r="I842" s="1562">
        <f>I841*F842</f>
        <v>269774.33244038885</v>
      </c>
    </row>
    <row r="843" spans="1:12" ht="14.25">
      <c r="B843" s="2111"/>
      <c r="C843" s="1564"/>
      <c r="D843" s="2111"/>
      <c r="E843" s="2112" t="s">
        <v>5683</v>
      </c>
      <c r="F843" s="2113"/>
      <c r="G843" s="2112"/>
      <c r="H843" s="2114"/>
      <c r="I843" s="2110">
        <f>ROUND(I841+I842,0)</f>
        <v>27247208</v>
      </c>
    </row>
    <row r="844" spans="1:12" ht="15" customHeight="1">
      <c r="A844" s="657">
        <v>1</v>
      </c>
      <c r="B844" s="1546">
        <f>IF(A844&lt;&gt;0,COUNTA(A$7:$A844),"")</f>
        <v>47</v>
      </c>
      <c r="C844" s="1550">
        <f>'8.Dgia'!C628</f>
        <v>1091</v>
      </c>
      <c r="D844" s="1550" t="str">
        <f>'8.Dgia'!D628</f>
        <v>AF.87310</v>
      </c>
      <c r="E844" s="1766" t="str">
        <f>'8.Dgia'!E628</f>
        <v>Ván khuôn dầm cầu đúc trên đà giáo</v>
      </c>
      <c r="F844" s="1794" t="str">
        <f>'8.Dgia'!G628</f>
        <v>m2</v>
      </c>
      <c r="G844" s="1768">
        <f>'8.Dgia'!H628</f>
        <v>0</v>
      </c>
      <c r="H844" s="1769"/>
      <c r="I844" s="1769"/>
      <c r="J844" s="842">
        <f>+I845</f>
        <v>59584.766875326495</v>
      </c>
      <c r="K844" s="842">
        <f>+I850</f>
        <v>300591.48000000004</v>
      </c>
      <c r="L844" s="842">
        <f>+I851</f>
        <v>45836.175593249995</v>
      </c>
    </row>
    <row r="845" spans="1:12" s="658" customFormat="1" ht="15">
      <c r="B845" s="1551" t="str">
        <f>'8.Dgia'!B629</f>
        <v/>
      </c>
      <c r="C845" s="1552">
        <f>'8.Dgia'!C629</f>
        <v>0</v>
      </c>
      <c r="D845" s="1552">
        <f>'8.Dgia'!D629</f>
        <v>0</v>
      </c>
      <c r="E845" s="1770" t="str">
        <f>'8.Dgia'!E629</f>
        <v xml:space="preserve">  A - Vật liệu</v>
      </c>
      <c r="F845" s="1786">
        <f>'8.Dgia'!G629</f>
        <v>0</v>
      </c>
      <c r="G845" s="1772">
        <f>'8.Dgia'!H629</f>
        <v>0</v>
      </c>
      <c r="H845" s="1773"/>
      <c r="I845" s="1774">
        <f>SUM(I846:I849)</f>
        <v>59584.766875326495</v>
      </c>
      <c r="J845" s="850"/>
      <c r="K845" s="850"/>
      <c r="L845" s="850"/>
    </row>
    <row r="846" spans="1:12" ht="15">
      <c r="B846" s="1551" t="str">
        <f>'8.Dgia'!B630</f>
        <v/>
      </c>
      <c r="C846" s="1552">
        <f>'8.Dgia'!C630</f>
        <v>0</v>
      </c>
      <c r="D846" s="1552">
        <f>'8.Dgia'!D630</f>
        <v>0</v>
      </c>
      <c r="E846" s="1775" t="str">
        <f>'8.Dgia'!E630</f>
        <v>Thép tấm</v>
      </c>
      <c r="F846" s="1786" t="str">
        <f>'8.Dgia'!G630</f>
        <v>kg</v>
      </c>
      <c r="G846" s="1772">
        <f>'8.Dgia'!H630</f>
        <v>1.25</v>
      </c>
      <c r="H846" s="1773">
        <f>GVL!$I$175</f>
        <v>12871.348287272725</v>
      </c>
      <c r="I846" s="1773">
        <f>H846*G846</f>
        <v>16089.185359090907</v>
      </c>
    </row>
    <row r="847" spans="1:12" ht="15">
      <c r="B847" s="1551" t="str">
        <f>'8.Dgia'!B631</f>
        <v/>
      </c>
      <c r="C847" s="1552">
        <f>'8.Dgia'!C631</f>
        <v>0</v>
      </c>
      <c r="D847" s="1552">
        <f>'8.Dgia'!D631</f>
        <v>0</v>
      </c>
      <c r="E847" s="1775" t="str">
        <f>'8.Dgia'!E631</f>
        <v>Thép hình</v>
      </c>
      <c r="F847" s="1786" t="str">
        <f>'8.Dgia'!G631</f>
        <v>kg</v>
      </c>
      <c r="G847" s="1772">
        <f>'8.Dgia'!H631</f>
        <v>0.97199999999999998</v>
      </c>
      <c r="H847" s="1773">
        <f>GVL!$I$170</f>
        <v>16703.248369172808</v>
      </c>
      <c r="I847" s="1773">
        <f>H847*G847</f>
        <v>16235.55741483597</v>
      </c>
    </row>
    <row r="848" spans="1:12" ht="15">
      <c r="B848" s="1551" t="str">
        <f>'8.Dgia'!B632</f>
        <v/>
      </c>
      <c r="C848" s="1552">
        <f>'8.Dgia'!C632</f>
        <v>0</v>
      </c>
      <c r="D848" s="1552">
        <f>'8.Dgia'!D632</f>
        <v>0</v>
      </c>
      <c r="E848" s="1775" t="str">
        <f>'8.Dgia'!E632</f>
        <v>Que hàn</v>
      </c>
      <c r="F848" s="1786" t="str">
        <f>'8.Dgia'!G632</f>
        <v>kg</v>
      </c>
      <c r="G848" s="1772">
        <f>'8.Dgia'!H632</f>
        <v>1.337</v>
      </c>
      <c r="H848" s="1773">
        <f>GVL!$I$153</f>
        <v>19090.909090909088</v>
      </c>
      <c r="I848" s="1773">
        <f>H848*G848</f>
        <v>25524.545454545449</v>
      </c>
    </row>
    <row r="849" spans="2:12" ht="15">
      <c r="B849" s="1551" t="str">
        <f>'8.Dgia'!B633</f>
        <v/>
      </c>
      <c r="C849" s="1552">
        <f>'8.Dgia'!C633</f>
        <v>0</v>
      </c>
      <c r="D849" s="1552">
        <f>'8.Dgia'!D633</f>
        <v>0</v>
      </c>
      <c r="E849" s="1775" t="str">
        <f>'8.Dgia'!E633</f>
        <v>Vật liệu khác</v>
      </c>
      <c r="F849" s="1786" t="str">
        <f>'8.Dgia'!G633</f>
        <v>%</v>
      </c>
      <c r="G849" s="1965">
        <f>'8.Dgia'!H633</f>
        <v>3</v>
      </c>
      <c r="H849" s="1773">
        <f>SUM(I846:I848)</f>
        <v>57849.288228472324</v>
      </c>
      <c r="I849" s="1773">
        <f>H849*G849%</f>
        <v>1735.4786468541697</v>
      </c>
    </row>
    <row r="850" spans="2:12" s="658" customFormat="1" ht="15">
      <c r="B850" s="1551" t="str">
        <f>'8.Dgia'!B634</f>
        <v/>
      </c>
      <c r="C850" s="1552">
        <f>'8.Dgia'!C634</f>
        <v>0</v>
      </c>
      <c r="D850" s="1552">
        <f>'8.Dgia'!D634</f>
        <v>0</v>
      </c>
      <c r="E850" s="1770" t="str">
        <f>'8.Dgia'!E634</f>
        <v xml:space="preserve">  B - Nhân công 4.5/7</v>
      </c>
      <c r="F850" s="1745" t="s">
        <v>552</v>
      </c>
      <c r="G850" s="1772">
        <f>'8.Dgia'!H634</f>
        <v>1.0900000000000001</v>
      </c>
      <c r="H850" s="1773">
        <f>'16.NC'!$H$20</f>
        <v>275772</v>
      </c>
      <c r="I850" s="1776">
        <f>H850*G850</f>
        <v>300591.48000000004</v>
      </c>
      <c r="J850" s="850"/>
      <c r="K850" s="850"/>
      <c r="L850" s="850"/>
    </row>
    <row r="851" spans="2:12" s="658" customFormat="1" ht="15">
      <c r="B851" s="1551" t="str">
        <f>'8.Dgia'!B635</f>
        <v/>
      </c>
      <c r="C851" s="1552">
        <f>'8.Dgia'!C635</f>
        <v>0</v>
      </c>
      <c r="D851" s="1552">
        <f>'8.Dgia'!D635</f>
        <v>0</v>
      </c>
      <c r="E851" s="1770" t="str">
        <f>'8.Dgia'!E635</f>
        <v xml:space="preserve">  C - Máy thi công</v>
      </c>
      <c r="F851" s="1786">
        <f>'8.Dgia'!G635</f>
        <v>0</v>
      </c>
      <c r="G851" s="1772">
        <f>'8.Dgia'!H635</f>
        <v>0</v>
      </c>
      <c r="H851" s="1773"/>
      <c r="I851" s="1777">
        <f>SUM(I852:I855)</f>
        <v>45836.175593249995</v>
      </c>
      <c r="J851" s="850"/>
      <c r="K851" s="850"/>
      <c r="L851" s="850"/>
    </row>
    <row r="852" spans="2:12" ht="15">
      <c r="B852" s="1551" t="str">
        <f>'8.Dgia'!B636</f>
        <v/>
      </c>
      <c r="C852" s="1552">
        <f>'8.Dgia'!C636</f>
        <v>0</v>
      </c>
      <c r="D852" s="1552">
        <f>'8.Dgia'!D636</f>
        <v>0</v>
      </c>
      <c r="E852" s="1775" t="str">
        <f>'8.Dgia'!E636</f>
        <v>Máy hàn 23kw</v>
      </c>
      <c r="F852" s="1745" t="s">
        <v>5493</v>
      </c>
      <c r="G852" s="1772">
        <f>'8.Dgia'!H636</f>
        <v>0.125</v>
      </c>
      <c r="H852" s="1773">
        <f>'9.may'!$P$510</f>
        <v>171649.155</v>
      </c>
      <c r="I852" s="1773">
        <f>H852*G852</f>
        <v>21456.144375</v>
      </c>
    </row>
    <row r="853" spans="2:12" ht="15">
      <c r="B853" s="1551" t="str">
        <f>'8.Dgia'!B637</f>
        <v/>
      </c>
      <c r="C853" s="1552">
        <f>'8.Dgia'!C637</f>
        <v>0</v>
      </c>
      <c r="D853" s="1552">
        <f>'8.Dgia'!D637</f>
        <v>0</v>
      </c>
      <c r="E853" s="1775" t="str">
        <f>'8.Dgia'!E637</f>
        <v>Máy cắt thép</v>
      </c>
      <c r="F853" s="1745" t="s">
        <v>5493</v>
      </c>
      <c r="G853" s="1772">
        <f>'8.Dgia'!H637</f>
        <v>1.7000000000000001E-2</v>
      </c>
      <c r="H853" s="1773">
        <f>'9.may'!$P$764</f>
        <v>115584.57</v>
      </c>
      <c r="I853" s="1773">
        <f>H853*G853</f>
        <v>1964.9376900000002</v>
      </c>
    </row>
    <row r="854" spans="2:12" ht="15">
      <c r="B854" s="1551" t="str">
        <f>'8.Dgia'!B638</f>
        <v/>
      </c>
      <c r="C854" s="1552">
        <f>'8.Dgia'!C638</f>
        <v>0</v>
      </c>
      <c r="D854" s="1552">
        <f>'8.Dgia'!D638</f>
        <v>0</v>
      </c>
      <c r="E854" s="1775" t="str">
        <f>'8.Dgia'!E638</f>
        <v>Cần cẩu bánh hơi 16T</v>
      </c>
      <c r="F854" s="1745" t="s">
        <v>5493</v>
      </c>
      <c r="G854" s="1964">
        <f>'8.Dgia'!H638</f>
        <v>0.01</v>
      </c>
      <c r="H854" s="1773">
        <f>'9.may'!$P$235</f>
        <v>2023241.85</v>
      </c>
      <c r="I854" s="1773">
        <f>H854*G854</f>
        <v>20232.4185</v>
      </c>
    </row>
    <row r="855" spans="2:12" ht="15">
      <c r="B855" s="1551" t="str">
        <f>'8.Dgia'!B639</f>
        <v/>
      </c>
      <c r="C855" s="1552">
        <f>'8.Dgia'!C639</f>
        <v>0</v>
      </c>
      <c r="D855" s="1552">
        <f>'8.Dgia'!D639</f>
        <v>0</v>
      </c>
      <c r="E855" s="1775" t="str">
        <f>'8.Dgia'!E639</f>
        <v>Máy khác</v>
      </c>
      <c r="F855" s="1786" t="str">
        <f>'8.Dgia'!G639</f>
        <v>%</v>
      </c>
      <c r="G855" s="1965">
        <f>'8.Dgia'!H639</f>
        <v>5</v>
      </c>
      <c r="H855" s="1773">
        <f>SUM(I852:I854)</f>
        <v>43653.500564999995</v>
      </c>
      <c r="I855" s="1773">
        <f>H855*G855%</f>
        <v>2182.6750282499997</v>
      </c>
    </row>
    <row r="856" spans="2:12" s="658" customFormat="1" ht="15">
      <c r="B856" s="1677"/>
      <c r="C856" s="1678"/>
      <c r="D856" s="1678"/>
      <c r="E856" s="1778" t="s">
        <v>5675</v>
      </c>
      <c r="F856" s="1786">
        <f>$J$5</f>
        <v>0.02</v>
      </c>
      <c r="G856" s="1780"/>
      <c r="H856" s="1777"/>
      <c r="I856" s="1777">
        <f>( I845+I850+I851 )*F856</f>
        <v>8120.2484493715319</v>
      </c>
      <c r="J856" s="850"/>
      <c r="K856" s="850"/>
      <c r="L856" s="850"/>
    </row>
    <row r="857" spans="2:12" ht="15">
      <c r="B857" s="1556"/>
      <c r="C857" s="1557"/>
      <c r="D857" s="1557"/>
      <c r="E857" s="1781" t="s">
        <v>5676</v>
      </c>
      <c r="F857" s="1786"/>
      <c r="G857" s="1783"/>
      <c r="H857" s="1784"/>
      <c r="I857" s="1784">
        <f>I856+I856/F856</f>
        <v>414132.67091794813</v>
      </c>
    </row>
    <row r="858" spans="2:12" ht="15">
      <c r="B858" s="1551"/>
      <c r="C858" s="1552"/>
      <c r="D858" s="1552"/>
      <c r="E858" s="1785" t="s">
        <v>5677</v>
      </c>
      <c r="F858" s="1786">
        <f>$K$5</f>
        <v>5.5E-2</v>
      </c>
      <c r="G858" s="1772"/>
      <c r="H858" s="1773"/>
      <c r="I858" s="1773">
        <f>I857*F858</f>
        <v>22777.296900487148</v>
      </c>
    </row>
    <row r="859" spans="2:12" ht="15">
      <c r="B859" s="1551"/>
      <c r="C859" s="1552"/>
      <c r="D859" s="1552"/>
      <c r="E859" s="1785" t="s">
        <v>5678</v>
      </c>
      <c r="F859" s="1786">
        <f>$L$5</f>
        <v>0.06</v>
      </c>
      <c r="G859" s="1772"/>
      <c r="H859" s="1773"/>
      <c r="I859" s="1773">
        <f>SUM(I857:I858)*F859</f>
        <v>26214.598069106116</v>
      </c>
    </row>
    <row r="860" spans="2:12" ht="14.25">
      <c r="B860" s="1556"/>
      <c r="C860" s="1557"/>
      <c r="D860" s="1557"/>
      <c r="E860" s="1781" t="s">
        <v>5679</v>
      </c>
      <c r="F860" s="1787"/>
      <c r="G860" s="1783"/>
      <c r="H860" s="1784"/>
      <c r="I860" s="1784">
        <f>SUM(I857:I859)</f>
        <v>463124.56588754139</v>
      </c>
    </row>
    <row r="861" spans="2:12" ht="15">
      <c r="B861" s="1551"/>
      <c r="C861" s="1552"/>
      <c r="D861" s="1552"/>
      <c r="E861" s="1785" t="s">
        <v>5680</v>
      </c>
      <c r="F861" s="1788">
        <f>$M$5</f>
        <v>0.1</v>
      </c>
      <c r="G861" s="1772"/>
      <c r="H861" s="1773"/>
      <c r="I861" s="1773">
        <f>I860*F861</f>
        <v>46312.456588754139</v>
      </c>
    </row>
    <row r="862" spans="2:12" ht="14.25">
      <c r="B862" s="1556"/>
      <c r="C862" s="1557"/>
      <c r="D862" s="1557"/>
      <c r="E862" s="1781" t="s">
        <v>5681</v>
      </c>
      <c r="F862" s="1787"/>
      <c r="G862" s="1783"/>
      <c r="H862" s="1784"/>
      <c r="I862" s="1784">
        <f>SUM(I860:I861)</f>
        <v>509437.02247629553</v>
      </c>
    </row>
    <row r="863" spans="2:12" ht="12.75">
      <c r="B863" s="1551"/>
      <c r="C863" s="1552"/>
      <c r="D863" s="1552"/>
      <c r="E863" s="1563" t="s">
        <v>5682</v>
      </c>
      <c r="F863" s="1560">
        <f>$N$5</f>
        <v>0.01</v>
      </c>
      <c r="G863" s="1553"/>
      <c r="H863" s="1562"/>
      <c r="I863" s="1562">
        <f>I862*F863</f>
        <v>5094.3702247629553</v>
      </c>
    </row>
    <row r="864" spans="2:12" ht="14.25">
      <c r="B864" s="2111"/>
      <c r="C864" s="1564"/>
      <c r="D864" s="2111"/>
      <c r="E864" s="2112" t="s">
        <v>5683</v>
      </c>
      <c r="F864" s="2113"/>
      <c r="G864" s="2112"/>
      <c r="H864" s="2114"/>
      <c r="I864" s="2110">
        <f>ROUND(I862+I863,0)</f>
        <v>514531</v>
      </c>
    </row>
    <row r="865" spans="1:12" ht="28.5">
      <c r="A865" s="657">
        <v>1</v>
      </c>
      <c r="B865" s="1546">
        <f>IF(A865&lt;&gt;0,COUNTA(A$7:$A865),"")</f>
        <v>48</v>
      </c>
      <c r="C865" s="1550">
        <f>'8.Dgia'!C640</f>
        <v>1776</v>
      </c>
      <c r="D865" s="1550" t="str">
        <f>'8.Dgia'!D640</f>
        <v>AF.88410</v>
      </c>
      <c r="E865" s="1766" t="str">
        <f>'8.Dgia'!E640</f>
        <v>Sản xuất ván khuôn, hệ treo đỡ ván khuôn dầm cầu đúc hẫng</v>
      </c>
      <c r="F865" s="1794" t="str">
        <f>'8.Dgia'!G640</f>
        <v>m2</v>
      </c>
      <c r="G865" s="1768">
        <f>'8.Dgia'!H640</f>
        <v>0</v>
      </c>
      <c r="H865" s="1769"/>
      <c r="I865" s="1769"/>
      <c r="J865" s="842">
        <f>+I866</f>
        <v>197197.78890525457</v>
      </c>
      <c r="K865" s="842">
        <f>+I873</f>
        <v>344715</v>
      </c>
      <c r="L865" s="842">
        <f>+I874</f>
        <v>43720.378159499996</v>
      </c>
    </row>
    <row r="866" spans="1:12" s="658" customFormat="1" ht="15">
      <c r="B866" s="1551" t="str">
        <f>'8.Dgia'!B641</f>
        <v/>
      </c>
      <c r="C866" s="1552">
        <f>'8.Dgia'!C641</f>
        <v>0</v>
      </c>
      <c r="D866" s="1552">
        <f>'8.Dgia'!D641</f>
        <v>0</v>
      </c>
      <c r="E866" s="1770" t="str">
        <f>'8.Dgia'!E641</f>
        <v xml:space="preserve">  A - Vật liệu</v>
      </c>
      <c r="F866" s="1786">
        <f>'8.Dgia'!G641</f>
        <v>0</v>
      </c>
      <c r="G866" s="1772">
        <f>'8.Dgia'!H641</f>
        <v>0</v>
      </c>
      <c r="H866" s="1773"/>
      <c r="I866" s="1774">
        <f>SUM(I867:I872)</f>
        <v>197197.78890525457</v>
      </c>
      <c r="J866" s="850"/>
      <c r="K866" s="850"/>
      <c r="L866" s="850"/>
    </row>
    <row r="867" spans="1:12" ht="15">
      <c r="B867" s="1551" t="str">
        <f>'8.Dgia'!B642</f>
        <v/>
      </c>
      <c r="C867" s="1552">
        <f>'8.Dgia'!C642</f>
        <v>0</v>
      </c>
      <c r="D867" s="1552">
        <f>'8.Dgia'!D642</f>
        <v>0</v>
      </c>
      <c r="E867" s="1775" t="str">
        <f>'8.Dgia'!E642</f>
        <v>Thép hình hệ khung treo đỡ</v>
      </c>
      <c r="F867" s="1786" t="str">
        <f>'8.Dgia'!G642</f>
        <v>kg</v>
      </c>
      <c r="G867" s="1964">
        <f>'8.Dgia'!H642</f>
        <v>6.25</v>
      </c>
      <c r="H867" s="1773">
        <f>GVL!$I$171</f>
        <v>16703.248369172808</v>
      </c>
      <c r="I867" s="1773">
        <f>H867*G867</f>
        <v>104395.30230733006</v>
      </c>
    </row>
    <row r="868" spans="1:12" ht="15">
      <c r="B868" s="1551" t="str">
        <f>'8.Dgia'!B643</f>
        <v/>
      </c>
      <c r="C868" s="1552">
        <f>'8.Dgia'!C643</f>
        <v>0</v>
      </c>
      <c r="D868" s="1552">
        <f>'8.Dgia'!D643</f>
        <v>0</v>
      </c>
      <c r="E868" s="1775" t="str">
        <f>'8.Dgia'!E643</f>
        <v>Thép tấm hệ khung treo đỡ</v>
      </c>
      <c r="F868" s="1786" t="str">
        <f>'8.Dgia'!G643</f>
        <v>kg</v>
      </c>
      <c r="G868" s="1964">
        <f>'8.Dgia'!H643</f>
        <v>2.25</v>
      </c>
      <c r="H868" s="1773">
        <f>GVL!$I$176</f>
        <v>12871.348287272725</v>
      </c>
      <c r="I868" s="1773">
        <f>H868*G868</f>
        <v>28960.533646363634</v>
      </c>
    </row>
    <row r="869" spans="1:12" ht="15">
      <c r="B869" s="1551" t="str">
        <f>'8.Dgia'!B644</f>
        <v/>
      </c>
      <c r="C869" s="1552">
        <f>'8.Dgia'!C644</f>
        <v>0</v>
      </c>
      <c r="D869" s="1552">
        <f>'8.Dgia'!D644</f>
        <v>0</v>
      </c>
      <c r="E869" s="1775" t="str">
        <f>'8.Dgia'!E644</f>
        <v>Thép hình hệ ván khuôn</v>
      </c>
      <c r="F869" s="1786" t="str">
        <f>'8.Dgia'!G644</f>
        <v>kg</v>
      </c>
      <c r="G869" s="1964">
        <f>'8.Dgia'!H644</f>
        <v>0.97</v>
      </c>
      <c r="H869" s="1773">
        <f>GVL!$I$172</f>
        <v>16703.248369172808</v>
      </c>
      <c r="I869" s="1773">
        <f>H869*G869</f>
        <v>16202.150918097625</v>
      </c>
    </row>
    <row r="870" spans="1:12" ht="15">
      <c r="B870" s="1551" t="str">
        <f>'8.Dgia'!B645</f>
        <v/>
      </c>
      <c r="C870" s="1552">
        <f>'8.Dgia'!C645</f>
        <v>0</v>
      </c>
      <c r="D870" s="1552">
        <f>'8.Dgia'!D645</f>
        <v>0</v>
      </c>
      <c r="E870" s="1775" t="str">
        <f>'8.Dgia'!E645</f>
        <v>Thép tấm hệ ván khuôn</v>
      </c>
      <c r="F870" s="1786" t="str">
        <f>'8.Dgia'!G645</f>
        <v>kg</v>
      </c>
      <c r="G870" s="1964">
        <f>'8.Dgia'!H645</f>
        <v>1.25</v>
      </c>
      <c r="H870" s="1773">
        <f>GVL!$I$177</f>
        <v>12871.348287272725</v>
      </c>
      <c r="I870" s="1773">
        <f>H870*G870</f>
        <v>16089.185359090907</v>
      </c>
    </row>
    <row r="871" spans="1:12" ht="15">
      <c r="B871" s="1551" t="str">
        <f>'8.Dgia'!B646</f>
        <v/>
      </c>
      <c r="C871" s="1552">
        <f>'8.Dgia'!C646</f>
        <v>0</v>
      </c>
      <c r="D871" s="1552">
        <f>'8.Dgia'!D646</f>
        <v>0</v>
      </c>
      <c r="E871" s="1775" t="str">
        <f>'8.Dgia'!E646</f>
        <v>Que hàn</v>
      </c>
      <c r="F871" s="1786" t="str">
        <f>'8.Dgia'!G646</f>
        <v>kg</v>
      </c>
      <c r="G871" s="1964">
        <f>'8.Dgia'!H646</f>
        <v>1.5</v>
      </c>
      <c r="H871" s="1773">
        <f>GVL!$I$153</f>
        <v>19090.909090909088</v>
      </c>
      <c r="I871" s="1773">
        <f>H871*G871</f>
        <v>28636.363636363632</v>
      </c>
    </row>
    <row r="872" spans="1:12" ht="15">
      <c r="B872" s="1551" t="str">
        <f>'8.Dgia'!B647</f>
        <v/>
      </c>
      <c r="C872" s="1552">
        <f>'8.Dgia'!C647</f>
        <v>0</v>
      </c>
      <c r="D872" s="1552">
        <f>'8.Dgia'!D647</f>
        <v>0</v>
      </c>
      <c r="E872" s="1775" t="str">
        <f>'8.Dgia'!E647</f>
        <v>Vật liệu khác</v>
      </c>
      <c r="F872" s="1786" t="str">
        <f>'8.Dgia'!G647</f>
        <v>%</v>
      </c>
      <c r="G872" s="1964">
        <f>'8.Dgia'!H647</f>
        <v>1.5</v>
      </c>
      <c r="H872" s="1773">
        <f>SUM(I867:I871)</f>
        <v>194283.53586724587</v>
      </c>
      <c r="I872" s="1773">
        <f>H872*G872%</f>
        <v>2914.2530380086878</v>
      </c>
    </row>
    <row r="873" spans="1:12" s="658" customFormat="1" ht="15">
      <c r="B873" s="1551" t="str">
        <f>'8.Dgia'!B648</f>
        <v/>
      </c>
      <c r="C873" s="1552">
        <f>'8.Dgia'!C648</f>
        <v>0</v>
      </c>
      <c r="D873" s="1552">
        <f>'8.Dgia'!D648</f>
        <v>0</v>
      </c>
      <c r="E873" s="1770" t="str">
        <f>'8.Dgia'!E648</f>
        <v xml:space="preserve">  B - Nhân công 4.5/7</v>
      </c>
      <c r="F873" s="1745" t="s">
        <v>552</v>
      </c>
      <c r="G873" s="1964">
        <f>'8.Dgia'!H648</f>
        <v>1.25</v>
      </c>
      <c r="H873" s="1773">
        <f>'16.NC'!$H$20</f>
        <v>275772</v>
      </c>
      <c r="I873" s="1776">
        <f>H873*G873</f>
        <v>344715</v>
      </c>
      <c r="J873" s="850"/>
      <c r="K873" s="850"/>
      <c r="L873" s="850"/>
    </row>
    <row r="874" spans="1:12" s="658" customFormat="1" ht="15">
      <c r="B874" s="1551" t="str">
        <f>'8.Dgia'!B649</f>
        <v/>
      </c>
      <c r="C874" s="1552">
        <f>'8.Dgia'!C649</f>
        <v>0</v>
      </c>
      <c r="D874" s="1552">
        <f>'8.Dgia'!D649</f>
        <v>0</v>
      </c>
      <c r="E874" s="1770" t="str">
        <f>'8.Dgia'!E649</f>
        <v xml:space="preserve">  C - Máy thi công</v>
      </c>
      <c r="F874" s="1786">
        <f>'8.Dgia'!G649</f>
        <v>0</v>
      </c>
      <c r="G874" s="1772">
        <f>'8.Dgia'!H649</f>
        <v>0</v>
      </c>
      <c r="H874" s="1773"/>
      <c r="I874" s="1777">
        <f>SUM(I875:I880)</f>
        <v>43720.378159499996</v>
      </c>
      <c r="J874" s="850"/>
      <c r="K874" s="850"/>
      <c r="L874" s="850"/>
    </row>
    <row r="875" spans="1:12" ht="15">
      <c r="B875" s="1551" t="str">
        <f>'8.Dgia'!B650</f>
        <v/>
      </c>
      <c r="C875" s="1552">
        <f>'8.Dgia'!C650</f>
        <v>0</v>
      </c>
      <c r="D875" s="1552">
        <f>'8.Dgia'!D650</f>
        <v>0</v>
      </c>
      <c r="E875" s="1775" t="str">
        <f>'8.Dgia'!E650</f>
        <v>Máy hàn 23kw</v>
      </c>
      <c r="F875" s="1745" t="s">
        <v>5493</v>
      </c>
      <c r="G875" s="1964">
        <f>'8.Dgia'!H650</f>
        <v>0.15</v>
      </c>
      <c r="H875" s="1773">
        <f>'9.may'!$P$510</f>
        <v>171649.155</v>
      </c>
      <c r="I875" s="1773">
        <f>H875*G875</f>
        <v>25747.373250000001</v>
      </c>
    </row>
    <row r="876" spans="1:12" ht="15">
      <c r="B876" s="1551" t="str">
        <f>'8.Dgia'!B651</f>
        <v/>
      </c>
      <c r="C876" s="1552">
        <f>'8.Dgia'!C651</f>
        <v>0</v>
      </c>
      <c r="D876" s="1552">
        <f>'8.Dgia'!D651</f>
        <v>0</v>
      </c>
      <c r="E876" s="1775" t="str">
        <f>'8.Dgia'!E651</f>
        <v>Máy cắt uốn</v>
      </c>
      <c r="F876" s="1745" t="s">
        <v>5493</v>
      </c>
      <c r="G876" s="1964">
        <f>'8.Dgia'!H651</f>
        <v>0.02</v>
      </c>
      <c r="H876" s="1773">
        <f>'9.may'!$P$557</f>
        <v>80291.850000000006</v>
      </c>
      <c r="I876" s="1773">
        <f>H876*G876</f>
        <v>1605.8370000000002</v>
      </c>
    </row>
    <row r="877" spans="1:12" ht="15">
      <c r="B877" s="1551" t="str">
        <f>'8.Dgia'!B652</f>
        <v/>
      </c>
      <c r="C877" s="1552">
        <f>'8.Dgia'!C652</f>
        <v>0</v>
      </c>
      <c r="D877" s="1552">
        <f>'8.Dgia'!D652</f>
        <v>0</v>
      </c>
      <c r="E877" s="1775" t="str">
        <f>'8.Dgia'!E652</f>
        <v>Máy khoan 4.5kw</v>
      </c>
      <c r="F877" s="1745" t="s">
        <v>5493</v>
      </c>
      <c r="G877" s="1964">
        <f>'8.Dgia'!H652</f>
        <v>0.02</v>
      </c>
      <c r="H877" s="1773">
        <f>'9.may'!$P$529</f>
        <v>108158.5425</v>
      </c>
      <c r="I877" s="1773">
        <f>H877*G877</f>
        <v>2163.17085</v>
      </c>
    </row>
    <row r="878" spans="1:12" ht="15">
      <c r="B878" s="1551" t="str">
        <f>'8.Dgia'!B653</f>
        <v/>
      </c>
      <c r="C878" s="1552">
        <f>'8.Dgia'!C653</f>
        <v>0</v>
      </c>
      <c r="D878" s="1552">
        <f>'8.Dgia'!D653</f>
        <v>0</v>
      </c>
      <c r="E878" s="1775" t="s">
        <v>5889</v>
      </c>
      <c r="F878" s="1745" t="s">
        <v>5493</v>
      </c>
      <c r="G878" s="1964">
        <f>'8.Dgia'!H653</f>
        <v>0.02</v>
      </c>
      <c r="H878" s="1773">
        <f>'9.may'!$P$501</f>
        <v>561449.38199999998</v>
      </c>
      <c r="I878" s="1773">
        <f>H878*G878</f>
        <v>11228.987639999999</v>
      </c>
    </row>
    <row r="879" spans="1:12" ht="15">
      <c r="B879" s="1551" t="str">
        <f>'8.Dgia'!B654</f>
        <v/>
      </c>
      <c r="C879" s="1552">
        <f>'8.Dgia'!C654</f>
        <v>0</v>
      </c>
      <c r="D879" s="1552">
        <f>'8.Dgia'!D654</f>
        <v>0</v>
      </c>
      <c r="E879" s="1775" t="str">
        <f>'8.Dgia'!E654</f>
        <v>Máy mài 1kw</v>
      </c>
      <c r="F879" s="1745" t="s">
        <v>5493</v>
      </c>
      <c r="G879" s="1964">
        <f>'8.Dgia'!H654</f>
        <v>1.4999999999999999E-2</v>
      </c>
      <c r="H879" s="1773">
        <f>'9.may'!$P$563</f>
        <v>59539.11</v>
      </c>
      <c r="I879" s="1773">
        <f>H879*G879</f>
        <v>893.08664999999996</v>
      </c>
    </row>
    <row r="880" spans="1:12" ht="15">
      <c r="B880" s="1551" t="str">
        <f>'8.Dgia'!B655</f>
        <v/>
      </c>
      <c r="C880" s="1552">
        <f>'8.Dgia'!C655</f>
        <v>0</v>
      </c>
      <c r="D880" s="1552">
        <f>'8.Dgia'!D655</f>
        <v>0</v>
      </c>
      <c r="E880" s="1775" t="str">
        <f>'8.Dgia'!E655</f>
        <v>Máy khác</v>
      </c>
      <c r="F880" s="1786" t="str">
        <f>'8.Dgia'!G655</f>
        <v>%</v>
      </c>
      <c r="G880" s="1965">
        <f>'8.Dgia'!H655</f>
        <v>5</v>
      </c>
      <c r="H880" s="1773">
        <f>SUM(I875:I879)</f>
        <v>41638.455389999996</v>
      </c>
      <c r="I880" s="1773">
        <f>H880*G880%</f>
        <v>2081.9227695</v>
      </c>
    </row>
    <row r="881" spans="1:12" s="658" customFormat="1" ht="15">
      <c r="B881" s="1677"/>
      <c r="C881" s="1678"/>
      <c r="D881" s="1678"/>
      <c r="E881" s="1778" t="s">
        <v>5675</v>
      </c>
      <c r="F881" s="1786">
        <f>$J$5</f>
        <v>0.02</v>
      </c>
      <c r="G881" s="1780"/>
      <c r="H881" s="1777"/>
      <c r="I881" s="1777">
        <f>( I866+I873+I874 )*F881</f>
        <v>11712.663341295091</v>
      </c>
      <c r="J881" s="850"/>
      <c r="K881" s="850"/>
      <c r="L881" s="850"/>
    </row>
    <row r="882" spans="1:12" ht="15">
      <c r="B882" s="1556"/>
      <c r="C882" s="1557"/>
      <c r="D882" s="1557"/>
      <c r="E882" s="1781" t="s">
        <v>5676</v>
      </c>
      <c r="F882" s="1786"/>
      <c r="G882" s="1783"/>
      <c r="H882" s="1784"/>
      <c r="I882" s="1784">
        <f>I881+I881/F881</f>
        <v>597345.83040604962</v>
      </c>
    </row>
    <row r="883" spans="1:12" ht="15">
      <c r="B883" s="1551"/>
      <c r="C883" s="1552"/>
      <c r="D883" s="1552"/>
      <c r="E883" s="1785" t="s">
        <v>5677</v>
      </c>
      <c r="F883" s="1786">
        <f>$K$5</f>
        <v>5.5E-2</v>
      </c>
      <c r="G883" s="1772"/>
      <c r="H883" s="1773"/>
      <c r="I883" s="1773">
        <f>I882*F883</f>
        <v>32854.020672332728</v>
      </c>
    </row>
    <row r="884" spans="1:12" ht="15">
      <c r="B884" s="1551"/>
      <c r="C884" s="1552"/>
      <c r="D884" s="1552"/>
      <c r="E884" s="1785" t="s">
        <v>5678</v>
      </c>
      <c r="F884" s="1786">
        <f>$L$5</f>
        <v>0.06</v>
      </c>
      <c r="G884" s="1772"/>
      <c r="H884" s="1773"/>
      <c r="I884" s="1773">
        <f>SUM(I882:I883)*F884</f>
        <v>37811.991064702939</v>
      </c>
    </row>
    <row r="885" spans="1:12" ht="14.25">
      <c r="B885" s="1556"/>
      <c r="C885" s="1557"/>
      <c r="D885" s="1557"/>
      <c r="E885" s="1781" t="s">
        <v>5679</v>
      </c>
      <c r="F885" s="1787"/>
      <c r="G885" s="1783"/>
      <c r="H885" s="1784"/>
      <c r="I885" s="1784">
        <f>SUM(I882:I884)</f>
        <v>668011.84214308532</v>
      </c>
    </row>
    <row r="886" spans="1:12" ht="15">
      <c r="B886" s="1551"/>
      <c r="C886" s="1552"/>
      <c r="D886" s="1552"/>
      <c r="E886" s="1785" t="s">
        <v>5680</v>
      </c>
      <c r="F886" s="1788">
        <f>$M$5</f>
        <v>0.1</v>
      </c>
      <c r="G886" s="1772"/>
      <c r="H886" s="1773"/>
      <c r="I886" s="1773">
        <f>I885*F886</f>
        <v>66801.184214308538</v>
      </c>
    </row>
    <row r="887" spans="1:12" ht="14.25">
      <c r="B887" s="1556"/>
      <c r="C887" s="1557"/>
      <c r="D887" s="1557"/>
      <c r="E887" s="1781" t="s">
        <v>5681</v>
      </c>
      <c r="F887" s="1787"/>
      <c r="G887" s="1783"/>
      <c r="H887" s="1784"/>
      <c r="I887" s="1784">
        <f>SUM(I885:I886)</f>
        <v>734813.02635739383</v>
      </c>
    </row>
    <row r="888" spans="1:12" ht="12.75">
      <c r="B888" s="1551"/>
      <c r="C888" s="1552"/>
      <c r="D888" s="1552"/>
      <c r="E888" s="1563" t="s">
        <v>5682</v>
      </c>
      <c r="F888" s="1560">
        <f>$N$5</f>
        <v>0.01</v>
      </c>
      <c r="G888" s="1553"/>
      <c r="H888" s="1562"/>
      <c r="I888" s="1562">
        <f>I887*F888</f>
        <v>7348.1302635739385</v>
      </c>
    </row>
    <row r="889" spans="1:12" ht="14.25">
      <c r="B889" s="2111"/>
      <c r="C889" s="1564"/>
      <c r="D889" s="2111"/>
      <c r="E889" s="2112" t="s">
        <v>5683</v>
      </c>
      <c r="F889" s="2113"/>
      <c r="G889" s="2112"/>
      <c r="H889" s="2114"/>
      <c r="I889" s="2110">
        <f>ROUND(I887+I888,0)</f>
        <v>742161</v>
      </c>
    </row>
    <row r="890" spans="1:12" ht="26.25" customHeight="1">
      <c r="A890" s="657">
        <v>1</v>
      </c>
      <c r="B890" s="1546">
        <f>IF(A890&lt;&gt;0,COUNTA(A$7:$A890),"")</f>
        <v>49</v>
      </c>
      <c r="C890" s="1547">
        <f>'8.Dgia'!C2497</f>
        <v>1776</v>
      </c>
      <c r="D890" s="1547" t="str">
        <f>'8.Dgia'!D2497</f>
        <v>AF.88421</v>
      </c>
      <c r="E890" s="1740" t="s">
        <v>171</v>
      </c>
      <c r="F890" s="1985" t="s">
        <v>5963</v>
      </c>
      <c r="G890" s="1742">
        <f>'8.Dgia'!H2497</f>
        <v>0</v>
      </c>
      <c r="H890" s="1795"/>
      <c r="I890" s="1795"/>
      <c r="J890" s="842">
        <f>+I891</f>
        <v>177205.07856840483</v>
      </c>
      <c r="K890" s="842">
        <f>+I897</f>
        <v>485358.72000000003</v>
      </c>
      <c r="L890" s="842">
        <f>+I898</f>
        <v>163543.33196488637</v>
      </c>
    </row>
    <row r="891" spans="1:12" s="658" customFormat="1" ht="15">
      <c r="B891" s="1536" t="str">
        <f>'8.Dgia'!B2498</f>
        <v/>
      </c>
      <c r="C891" s="1537">
        <f>'8.Dgia'!C2498</f>
        <v>0</v>
      </c>
      <c r="D891" s="1537">
        <f>'8.Dgia'!D2498</f>
        <v>0</v>
      </c>
      <c r="E891" s="1744" t="str">
        <f>'8.Dgia'!E2498</f>
        <v xml:space="preserve">  A - Vật liệu</v>
      </c>
      <c r="F891" s="1763">
        <f>'8.Dgia'!G2498</f>
        <v>0</v>
      </c>
      <c r="G891" s="1746">
        <f>'8.Dgia'!H2498</f>
        <v>0</v>
      </c>
      <c r="H891" s="1796"/>
      <c r="I891" s="1797">
        <f>SUM(I892:I896)</f>
        <v>177205.07856840483</v>
      </c>
      <c r="J891" s="850"/>
      <c r="K891" s="850"/>
      <c r="L891" s="850"/>
    </row>
    <row r="892" spans="1:12" ht="15">
      <c r="B892" s="1536" t="str">
        <f>'8.Dgia'!B2499</f>
        <v/>
      </c>
      <c r="C892" s="1537">
        <f>'8.Dgia'!C2499</f>
        <v>0</v>
      </c>
      <c r="D892" s="1537">
        <f>'8.Dgia'!D2499</f>
        <v>0</v>
      </c>
      <c r="E892" s="1749" t="str">
        <f>'8.Dgia'!E2499</f>
        <v>Thanh cường độ cao D36 (kg)</v>
      </c>
      <c r="F892" s="1763" t="str">
        <f>'8.Dgia'!G2499</f>
        <v>kg</v>
      </c>
      <c r="G892" s="1981">
        <f>'8.Dgia'!H2499</f>
        <v>0.73</v>
      </c>
      <c r="H892" s="1796">
        <f>GVL!$I$168</f>
        <v>86980.172563393309</v>
      </c>
      <c r="I892" s="1796">
        <f>H892*G892</f>
        <v>63495.525971277115</v>
      </c>
    </row>
    <row r="893" spans="1:12" ht="15">
      <c r="B893" s="1536" t="str">
        <f>'8.Dgia'!B2500</f>
        <v/>
      </c>
      <c r="C893" s="1537">
        <f>'8.Dgia'!C2500</f>
        <v>0</v>
      </c>
      <c r="D893" s="1537">
        <f>'8.Dgia'!D2500</f>
        <v>0</v>
      </c>
      <c r="E893" s="1749" t="str">
        <f>'8.Dgia'!E2500</f>
        <v>Bulông D22mm</v>
      </c>
      <c r="F893" s="1763" t="s">
        <v>567</v>
      </c>
      <c r="G893" s="1981">
        <f>'8.Dgia'!H2500</f>
        <v>0.42</v>
      </c>
      <c r="H893" s="1796">
        <f>GVL!$I$31</f>
        <v>10000</v>
      </c>
      <c r="I893" s="1796">
        <f>H893*G893</f>
        <v>4200</v>
      </c>
    </row>
    <row r="894" spans="1:12" ht="15">
      <c r="B894" s="1536" t="str">
        <f>'8.Dgia'!B2501</f>
        <v/>
      </c>
      <c r="C894" s="1537">
        <f>'8.Dgia'!C2501</f>
        <v>0</v>
      </c>
      <c r="D894" s="1537">
        <f>'8.Dgia'!D2501</f>
        <v>0</v>
      </c>
      <c r="E894" s="1749" t="str">
        <f>'8.Dgia'!E2501</f>
        <v>Tăng đơ D38mm dài 7m</v>
      </c>
      <c r="F894" s="1763" t="s">
        <v>567</v>
      </c>
      <c r="G894" s="1981">
        <f>'8.Dgia'!H2501</f>
        <v>0.05</v>
      </c>
      <c r="H894" s="1796">
        <f>GVL!$I$167</f>
        <v>68000</v>
      </c>
      <c r="I894" s="1796">
        <f>H894*G894</f>
        <v>3400</v>
      </c>
    </row>
    <row r="895" spans="1:12" ht="15">
      <c r="B895" s="1536" t="str">
        <f>'8.Dgia'!B2502</f>
        <v/>
      </c>
      <c r="C895" s="1537">
        <f>'8.Dgia'!C2502</f>
        <v>0</v>
      </c>
      <c r="D895" s="1537">
        <f>'8.Dgia'!D2502</f>
        <v>0</v>
      </c>
      <c r="E895" s="1749" t="str">
        <f>'8.Dgia'!E2502</f>
        <v>Gỗ</v>
      </c>
      <c r="F895" s="1763" t="str">
        <f>'8.Dgia'!G2502</f>
        <v>m3</v>
      </c>
      <c r="G895" s="1981">
        <f>'8.Dgia'!H2502</f>
        <v>1.4999999999999999E-2</v>
      </c>
      <c r="H895" s="1796">
        <f>GVL!$I$96</f>
        <v>6000000</v>
      </c>
      <c r="I895" s="1796">
        <f>H895*G895</f>
        <v>90000</v>
      </c>
    </row>
    <row r="896" spans="1:12" ht="15">
      <c r="B896" s="1536" t="str">
        <f>'8.Dgia'!B2503</f>
        <v/>
      </c>
      <c r="C896" s="1537">
        <f>'8.Dgia'!C2503</f>
        <v>0</v>
      </c>
      <c r="D896" s="1537">
        <f>'8.Dgia'!D2503</f>
        <v>0</v>
      </c>
      <c r="E896" s="1749" t="str">
        <f>'8.Dgia'!E2503</f>
        <v>Vật liệu khác</v>
      </c>
      <c r="F896" s="1763" t="str">
        <f>'8.Dgia'!G2503</f>
        <v>%</v>
      </c>
      <c r="G896" s="1954">
        <f>'8.Dgia'!H2503</f>
        <v>10</v>
      </c>
      <c r="H896" s="1796">
        <f>SUM(I892:I895)</f>
        <v>161095.52597127712</v>
      </c>
      <c r="I896" s="1796">
        <f>H896*G896%</f>
        <v>16109.552597127713</v>
      </c>
    </row>
    <row r="897" spans="1:12" s="658" customFormat="1" ht="15">
      <c r="B897" s="1536" t="str">
        <f>'8.Dgia'!B2504</f>
        <v/>
      </c>
      <c r="C897" s="1537">
        <f>'8.Dgia'!C2504</f>
        <v>0</v>
      </c>
      <c r="D897" s="1537">
        <f>'8.Dgia'!D2504</f>
        <v>0</v>
      </c>
      <c r="E897" s="1744" t="str">
        <f>'8.Dgia'!E2504</f>
        <v xml:space="preserve">  B - Nhân công 4.5/7</v>
      </c>
      <c r="F897" s="1745" t="s">
        <v>552</v>
      </c>
      <c r="G897" s="1981">
        <f>'8.Dgia'!H2504</f>
        <v>1.76</v>
      </c>
      <c r="H897" s="1796">
        <f>'16.NC'!$H$20</f>
        <v>275772</v>
      </c>
      <c r="I897" s="1798">
        <f>H897*G897</f>
        <v>485358.72000000003</v>
      </c>
      <c r="J897" s="850"/>
      <c r="K897" s="850"/>
      <c r="L897" s="850"/>
    </row>
    <row r="898" spans="1:12" s="658" customFormat="1" ht="15">
      <c r="B898" s="1536" t="str">
        <f>'8.Dgia'!B2505</f>
        <v/>
      </c>
      <c r="C898" s="1537">
        <f>'8.Dgia'!C2505</f>
        <v>0</v>
      </c>
      <c r="D898" s="1537">
        <f>'8.Dgia'!D2505</f>
        <v>0</v>
      </c>
      <c r="E898" s="1744" t="str">
        <f>'8.Dgia'!E2505</f>
        <v xml:space="preserve">  C - Máy thi công</v>
      </c>
      <c r="F898" s="1763">
        <f>'8.Dgia'!G2505</f>
        <v>0</v>
      </c>
      <c r="G898" s="1981">
        <f>'8.Dgia'!H2505</f>
        <v>0</v>
      </c>
      <c r="H898" s="1796"/>
      <c r="I898" s="1799">
        <f>SUM(I899:I902)</f>
        <v>163543.33196488637</v>
      </c>
      <c r="J898" s="850"/>
      <c r="K898" s="850"/>
      <c r="L898" s="850"/>
    </row>
    <row r="899" spans="1:12" ht="15">
      <c r="B899" s="1536" t="str">
        <f>'8.Dgia'!B2506</f>
        <v/>
      </c>
      <c r="C899" s="1537">
        <f>'8.Dgia'!C2506</f>
        <v>0</v>
      </c>
      <c r="D899" s="1537">
        <f>'8.Dgia'!D2506</f>
        <v>0</v>
      </c>
      <c r="E899" s="1749" t="str">
        <f>'8.Dgia'!E2506</f>
        <v>Bộ kích 50T</v>
      </c>
      <c r="F899" s="1745" t="s">
        <v>5493</v>
      </c>
      <c r="G899" s="1981">
        <f>'8.Dgia'!H2506</f>
        <v>0.25</v>
      </c>
      <c r="H899" s="1796">
        <f>'9.may'!$P$738</f>
        <v>209878.78500000003</v>
      </c>
      <c r="I899" s="1796">
        <f>H899*G899</f>
        <v>52469.696250000008</v>
      </c>
    </row>
    <row r="900" spans="1:12" ht="15">
      <c r="B900" s="1536" t="str">
        <f>'8.Dgia'!B2507</f>
        <v/>
      </c>
      <c r="C900" s="1537">
        <f>'8.Dgia'!C2507</f>
        <v>0</v>
      </c>
      <c r="D900" s="1537">
        <f>'8.Dgia'!D2507</f>
        <v>0</v>
      </c>
      <c r="E900" s="1749" t="str">
        <f>'8.Dgia'!E2507</f>
        <v>Cần cẩu bánh xích 50T</v>
      </c>
      <c r="F900" s="1745" t="s">
        <v>5493</v>
      </c>
      <c r="G900" s="1981">
        <f>'8.Dgia'!H2507</f>
        <v>1.4999999999999999E-2</v>
      </c>
      <c r="H900" s="1796">
        <f>'9.may'!$P$251</f>
        <v>3833693.9468181818</v>
      </c>
      <c r="I900" s="1796">
        <f>H900*G900</f>
        <v>57505.409202272727</v>
      </c>
    </row>
    <row r="901" spans="1:12" ht="15">
      <c r="B901" s="1536" t="str">
        <f>'8.Dgia'!B2508</f>
        <v/>
      </c>
      <c r="C901" s="1537">
        <f>'8.Dgia'!C2508</f>
        <v>0</v>
      </c>
      <c r="D901" s="1537">
        <f>'8.Dgia'!D2508</f>
        <v>0</v>
      </c>
      <c r="E901" s="1749" t="str">
        <f>'8.Dgia'!E2508</f>
        <v>Sà lan 400T</v>
      </c>
      <c r="F901" s="1745" t="s">
        <v>5493</v>
      </c>
      <c r="G901" s="1981">
        <f>'8.Dgia'!H2508</f>
        <v>0.04</v>
      </c>
      <c r="H901" s="1796">
        <f>'9.may'!$P$655</f>
        <v>1144511.22</v>
      </c>
      <c r="I901" s="1796">
        <f>H901*G901</f>
        <v>45780.448799999998</v>
      </c>
    </row>
    <row r="902" spans="1:12" ht="15">
      <c r="B902" s="1536" t="str">
        <f>'8.Dgia'!B2509</f>
        <v/>
      </c>
      <c r="C902" s="1537">
        <f>'8.Dgia'!C2509</f>
        <v>0</v>
      </c>
      <c r="D902" s="1537">
        <f>'8.Dgia'!D2509</f>
        <v>0</v>
      </c>
      <c r="E902" s="1749" t="str">
        <f>'8.Dgia'!E2509</f>
        <v>Máy khác</v>
      </c>
      <c r="F902" s="1763" t="str">
        <f>'8.Dgia'!G2509</f>
        <v>%</v>
      </c>
      <c r="G902" s="1981">
        <f>'8.Dgia'!H2509</f>
        <v>5</v>
      </c>
      <c r="H902" s="1796">
        <f>SUM(I899:I901)</f>
        <v>155755.55425227273</v>
      </c>
      <c r="I902" s="1796">
        <f>H902*G902%</f>
        <v>7787.777712613637</v>
      </c>
    </row>
    <row r="903" spans="1:12" s="658" customFormat="1" ht="15">
      <c r="B903" s="1675"/>
      <c r="C903" s="1676"/>
      <c r="D903" s="1676"/>
      <c r="E903" s="1800" t="s">
        <v>5675</v>
      </c>
      <c r="F903" s="1763">
        <f>$J$5</f>
        <v>0.02</v>
      </c>
      <c r="G903" s="1754"/>
      <c r="H903" s="1799"/>
      <c r="I903" s="1799">
        <f>( I891+I897+I898 )*F903</f>
        <v>16522.142610665825</v>
      </c>
      <c r="J903" s="850"/>
      <c r="K903" s="850"/>
      <c r="L903" s="850"/>
    </row>
    <row r="904" spans="1:12" ht="15">
      <c r="B904" s="1540"/>
      <c r="C904" s="1541"/>
      <c r="D904" s="1541"/>
      <c r="E904" s="1801" t="s">
        <v>5676</v>
      </c>
      <c r="F904" s="1763"/>
      <c r="G904" s="1759"/>
      <c r="H904" s="1802"/>
      <c r="I904" s="1802">
        <f>I903+I903/F903</f>
        <v>842629.27314395714</v>
      </c>
    </row>
    <row r="905" spans="1:12" ht="15">
      <c r="B905" s="1536"/>
      <c r="C905" s="1537"/>
      <c r="D905" s="1537"/>
      <c r="E905" s="1803" t="s">
        <v>5677</v>
      </c>
      <c r="F905" s="1763">
        <f>$K$5</f>
        <v>5.5E-2</v>
      </c>
      <c r="G905" s="1746"/>
      <c r="H905" s="1796"/>
      <c r="I905" s="1796">
        <f>I904*F905</f>
        <v>46344.610022917645</v>
      </c>
    </row>
    <row r="906" spans="1:12" ht="15">
      <c r="B906" s="1536"/>
      <c r="C906" s="1537"/>
      <c r="D906" s="1537"/>
      <c r="E906" s="1803" t="s">
        <v>5678</v>
      </c>
      <c r="F906" s="1763">
        <f>$L$5</f>
        <v>0.06</v>
      </c>
      <c r="G906" s="1746"/>
      <c r="H906" s="1796"/>
      <c r="I906" s="1796">
        <f>SUM(I904:I905)*F906</f>
        <v>53338.432990012487</v>
      </c>
    </row>
    <row r="907" spans="1:12" ht="14.25">
      <c r="B907" s="1540"/>
      <c r="C907" s="1541"/>
      <c r="D907" s="1541"/>
      <c r="E907" s="1801" t="s">
        <v>5679</v>
      </c>
      <c r="F907" s="1791"/>
      <c r="G907" s="1759"/>
      <c r="H907" s="1802"/>
      <c r="I907" s="1802">
        <f>SUM(I904:I906)</f>
        <v>942312.31615688722</v>
      </c>
    </row>
    <row r="908" spans="1:12" ht="15">
      <c r="B908" s="1536"/>
      <c r="C908" s="1537"/>
      <c r="D908" s="1537"/>
      <c r="E908" s="1803" t="s">
        <v>5680</v>
      </c>
      <c r="F908" s="1765">
        <f>$M$5</f>
        <v>0.1</v>
      </c>
      <c r="G908" s="1746"/>
      <c r="H908" s="1796"/>
      <c r="I908" s="1796">
        <f>I907*F908</f>
        <v>94231.231615688725</v>
      </c>
    </row>
    <row r="909" spans="1:12" ht="14.25">
      <c r="B909" s="1540"/>
      <c r="C909" s="1541"/>
      <c r="D909" s="1541"/>
      <c r="E909" s="1801" t="s">
        <v>5681</v>
      </c>
      <c r="F909" s="1791"/>
      <c r="G909" s="1759"/>
      <c r="H909" s="1802"/>
      <c r="I909" s="1802">
        <f>SUM(I907:I908)</f>
        <v>1036543.547772576</v>
      </c>
    </row>
    <row r="910" spans="1:12" ht="12.75">
      <c r="B910" s="1536"/>
      <c r="C910" s="1537"/>
      <c r="D910" s="1537"/>
      <c r="E910" s="1464" t="s">
        <v>5682</v>
      </c>
      <c r="F910" s="1535">
        <f>$N$5</f>
        <v>0.01</v>
      </c>
      <c r="G910" s="1538"/>
      <c r="H910" s="1539"/>
      <c r="I910" s="1539">
        <f>I909*F910</f>
        <v>10365.435477725759</v>
      </c>
    </row>
    <row r="911" spans="1:12" ht="14.25">
      <c r="B911" s="2116"/>
      <c r="C911" s="1544"/>
      <c r="D911" s="2116"/>
      <c r="E911" s="2117" t="s">
        <v>5683</v>
      </c>
      <c r="F911" s="2115"/>
      <c r="G911" s="2117"/>
      <c r="H911" s="2118"/>
      <c r="I911" s="2110">
        <f>ROUND(I909+I910,0)</f>
        <v>1046909</v>
      </c>
    </row>
    <row r="912" spans="1:12" ht="42">
      <c r="A912" s="657">
        <v>1</v>
      </c>
      <c r="B912" s="1546">
        <f>IF(A912&lt;&gt;0,COUNTA(A$7:$A912),"")</f>
        <v>50</v>
      </c>
      <c r="C912" s="1547">
        <f>'8.Dgia'!C2510</f>
        <v>1776</v>
      </c>
      <c r="D912" s="1547" t="str">
        <f>'8.Dgia'!D2510</f>
        <v>AF.88431</v>
      </c>
      <c r="E912" s="1740" t="s">
        <v>174</v>
      </c>
      <c r="F912" s="2098" t="s">
        <v>5964</v>
      </c>
      <c r="G912" s="1742">
        <f>'8.Dgia'!H2510</f>
        <v>0</v>
      </c>
      <c r="H912" s="1795"/>
      <c r="I912" s="1795"/>
      <c r="J912" s="842">
        <f>+I913</f>
        <v>150076.60449070265</v>
      </c>
      <c r="K912" s="842">
        <f>+I921</f>
        <v>344715</v>
      </c>
      <c r="L912" s="842">
        <f>+I922</f>
        <v>233188.25210386363</v>
      </c>
    </row>
    <row r="913" spans="2:12" s="658" customFormat="1" ht="15">
      <c r="B913" s="1536" t="str">
        <f>'8.Dgia'!B2511</f>
        <v/>
      </c>
      <c r="C913" s="1537">
        <f>'8.Dgia'!C2511</f>
        <v>0</v>
      </c>
      <c r="D913" s="1537">
        <f>'8.Dgia'!D2511</f>
        <v>0</v>
      </c>
      <c r="E913" s="1744" t="str">
        <f>'8.Dgia'!E2511</f>
        <v xml:space="preserve">  A - Vật liệu</v>
      </c>
      <c r="F913" s="1763">
        <f>'8.Dgia'!G2511</f>
        <v>0</v>
      </c>
      <c r="G913" s="1746">
        <f>'8.Dgia'!H2511</f>
        <v>0</v>
      </c>
      <c r="H913" s="1796"/>
      <c r="I913" s="1797">
        <f>SUM(I914:I920)</f>
        <v>150076.60449070265</v>
      </c>
      <c r="J913" s="850"/>
      <c r="K913" s="850"/>
      <c r="L913" s="850"/>
    </row>
    <row r="914" spans="2:12" ht="15">
      <c r="B914" s="1536" t="str">
        <f>'8.Dgia'!B2512</f>
        <v/>
      </c>
      <c r="C914" s="1537">
        <f>'8.Dgia'!C2512</f>
        <v>0</v>
      </c>
      <c r="D914" s="1537">
        <f>'8.Dgia'!D2512</f>
        <v>0</v>
      </c>
      <c r="E914" s="1749" t="str">
        <f>'8.Dgia'!E2512</f>
        <v>Thanh cường độ cao D36 (kg)</v>
      </c>
      <c r="F914" s="1763" t="str">
        <f>'8.Dgia'!G2512</f>
        <v>kg</v>
      </c>
      <c r="G914" s="1981">
        <f>'8.Dgia'!H2512</f>
        <v>0.73</v>
      </c>
      <c r="H914" s="1796">
        <f>GVL!$I$168</f>
        <v>86980.172563393309</v>
      </c>
      <c r="I914" s="1796">
        <f t="shared" ref="I914:I919" si="4">H914*G914</f>
        <v>63495.525971277115</v>
      </c>
    </row>
    <row r="915" spans="2:12" ht="15">
      <c r="B915" s="1536" t="str">
        <f>'8.Dgia'!B2513</f>
        <v/>
      </c>
      <c r="C915" s="1537">
        <f>'8.Dgia'!C2513</f>
        <v>0</v>
      </c>
      <c r="D915" s="1537">
        <f>'8.Dgia'!D2513</f>
        <v>0</v>
      </c>
      <c r="E915" s="1749" t="str">
        <f>'8.Dgia'!E2513</f>
        <v>Bulông D22mm</v>
      </c>
      <c r="F915" s="1763" t="s">
        <v>567</v>
      </c>
      <c r="G915" s="1981">
        <f>'8.Dgia'!H2513</f>
        <v>0.11</v>
      </c>
      <c r="H915" s="1796">
        <f>GVL!$I$31</f>
        <v>10000</v>
      </c>
      <c r="I915" s="1796">
        <f t="shared" si="4"/>
        <v>1100</v>
      </c>
    </row>
    <row r="916" spans="2:12" ht="15">
      <c r="B916" s="1536" t="str">
        <f>'8.Dgia'!B2514</f>
        <v/>
      </c>
      <c r="C916" s="1537">
        <f>'8.Dgia'!C2514</f>
        <v>0</v>
      </c>
      <c r="D916" s="1537">
        <f>'8.Dgia'!D2514</f>
        <v>0</v>
      </c>
      <c r="E916" s="1749" t="str">
        <f>'8.Dgia'!E2514</f>
        <v>Tăng đơ D38mm dài 7m</v>
      </c>
      <c r="F916" s="1763" t="s">
        <v>567</v>
      </c>
      <c r="G916" s="1981">
        <f>'8.Dgia'!H2514</f>
        <v>0.05</v>
      </c>
      <c r="H916" s="1796">
        <f>GVL!$I$167</f>
        <v>68000</v>
      </c>
      <c r="I916" s="1796">
        <f t="shared" si="4"/>
        <v>3400</v>
      </c>
    </row>
    <row r="917" spans="2:12" ht="15">
      <c r="B917" s="1536" t="str">
        <f>'8.Dgia'!B2515</f>
        <v/>
      </c>
      <c r="C917" s="1537">
        <f>'8.Dgia'!C2515</f>
        <v>0</v>
      </c>
      <c r="D917" s="1537">
        <f>'8.Dgia'!D2515</f>
        <v>0</v>
      </c>
      <c r="E917" s="1749" t="str">
        <f>'8.Dgia'!E2515</f>
        <v>Dầu CS46</v>
      </c>
      <c r="F917" s="1763" t="str">
        <f>'8.Dgia'!G2515</f>
        <v>kg</v>
      </c>
      <c r="G917" s="1981">
        <f>'8.Dgia'!H2515</f>
        <v>0.15</v>
      </c>
      <c r="H917" s="1796">
        <f>GVL!$I$72</f>
        <v>34000</v>
      </c>
      <c r="I917" s="1796">
        <f t="shared" si="4"/>
        <v>5100</v>
      </c>
    </row>
    <row r="918" spans="2:12" ht="15">
      <c r="B918" s="1536" t="str">
        <f>'8.Dgia'!B2516</f>
        <v/>
      </c>
      <c r="C918" s="1537">
        <f>'8.Dgia'!C2516</f>
        <v>0</v>
      </c>
      <c r="D918" s="1537">
        <f>'8.Dgia'!D2516</f>
        <v>0</v>
      </c>
      <c r="E918" s="1749" t="str">
        <f>'8.Dgia'!E2516</f>
        <v>Mỡ bôi trơn</v>
      </c>
      <c r="F918" s="1763" t="str">
        <f>'8.Dgia'!G2516</f>
        <v>kg</v>
      </c>
      <c r="G918" s="1981">
        <f>'8.Dgia'!H2516</f>
        <v>0.14000000000000001</v>
      </c>
      <c r="H918" s="1796">
        <f>GVL!$I$119</f>
        <v>14560</v>
      </c>
      <c r="I918" s="1796">
        <f t="shared" si="4"/>
        <v>2038.4</v>
      </c>
    </row>
    <row r="919" spans="2:12" ht="15">
      <c r="B919" s="1536" t="str">
        <f>'8.Dgia'!B2517</f>
        <v/>
      </c>
      <c r="C919" s="1537">
        <f>'8.Dgia'!C2517</f>
        <v>0</v>
      </c>
      <c r="D919" s="1537">
        <f>'8.Dgia'!D2517</f>
        <v>0</v>
      </c>
      <c r="E919" s="1749" t="str">
        <f>'8.Dgia'!E2517</f>
        <v>Gỗ</v>
      </c>
      <c r="F919" s="1763" t="str">
        <f>'8.Dgia'!G2517</f>
        <v>m3</v>
      </c>
      <c r="G919" s="1746">
        <f>'8.Dgia'!H2517</f>
        <v>1.2E-2</v>
      </c>
      <c r="H919" s="1796">
        <f>GVL!$I$96</f>
        <v>6000000</v>
      </c>
      <c r="I919" s="1796">
        <f t="shared" si="4"/>
        <v>72000</v>
      </c>
    </row>
    <row r="920" spans="2:12" ht="15">
      <c r="B920" s="1536" t="str">
        <f>'8.Dgia'!B2518</f>
        <v/>
      </c>
      <c r="C920" s="1537">
        <f>'8.Dgia'!C2518</f>
        <v>0</v>
      </c>
      <c r="D920" s="1537">
        <f>'8.Dgia'!D2518</f>
        <v>0</v>
      </c>
      <c r="E920" s="1749" t="str">
        <f>'8.Dgia'!E2518</f>
        <v>Vật liệu khác</v>
      </c>
      <c r="F920" s="1763" t="str">
        <f>'8.Dgia'!G2518</f>
        <v>%</v>
      </c>
      <c r="G920" s="1954">
        <f>'8.Dgia'!H2518</f>
        <v>2</v>
      </c>
      <c r="H920" s="1796">
        <f>SUM(I914:I919)</f>
        <v>147133.92597127712</v>
      </c>
      <c r="I920" s="1796">
        <f>H920*G920%</f>
        <v>2942.6785194255422</v>
      </c>
    </row>
    <row r="921" spans="2:12" s="658" customFormat="1" ht="15">
      <c r="B921" s="1536" t="str">
        <f>'8.Dgia'!B2519</f>
        <v/>
      </c>
      <c r="C921" s="1537">
        <f>'8.Dgia'!C2519</f>
        <v>0</v>
      </c>
      <c r="D921" s="1537">
        <f>'8.Dgia'!D2519</f>
        <v>0</v>
      </c>
      <c r="E921" s="1744" t="str">
        <f>'8.Dgia'!E2519</f>
        <v xml:space="preserve">  B - Nhân công 4.5/7</v>
      </c>
      <c r="F921" s="1745" t="s">
        <v>552</v>
      </c>
      <c r="G921" s="1981">
        <f>'8.Dgia'!H2519</f>
        <v>1.25</v>
      </c>
      <c r="H921" s="1796">
        <f>'16.NC'!$H$20</f>
        <v>275772</v>
      </c>
      <c r="I921" s="1798">
        <f>H921*G921</f>
        <v>344715</v>
      </c>
      <c r="J921" s="850"/>
      <c r="K921" s="850"/>
      <c r="L921" s="850"/>
    </row>
    <row r="922" spans="2:12" s="658" customFormat="1" ht="15">
      <c r="B922" s="1536" t="str">
        <f>'8.Dgia'!B2520</f>
        <v/>
      </c>
      <c r="C922" s="1537">
        <f>'8.Dgia'!C2520</f>
        <v>0</v>
      </c>
      <c r="D922" s="1537">
        <f>'8.Dgia'!D2520</f>
        <v>0</v>
      </c>
      <c r="E922" s="1744" t="str">
        <f>'8.Dgia'!E2520</f>
        <v xml:space="preserve">  C - Máy thi công</v>
      </c>
      <c r="F922" s="1763">
        <f>'8.Dgia'!G2520</f>
        <v>0</v>
      </c>
      <c r="G922" s="1746">
        <f>'8.Dgia'!H2520</f>
        <v>0</v>
      </c>
      <c r="H922" s="1796"/>
      <c r="I922" s="1799">
        <f>SUM(I923:I926)</f>
        <v>233188.25210386363</v>
      </c>
      <c r="J922" s="850"/>
      <c r="K922" s="850"/>
      <c r="L922" s="850"/>
    </row>
    <row r="923" spans="2:12" ht="15">
      <c r="B923" s="1536" t="str">
        <f>'8.Dgia'!B2521</f>
        <v/>
      </c>
      <c r="C923" s="1537">
        <f>'8.Dgia'!C2521</f>
        <v>0</v>
      </c>
      <c r="D923" s="1537">
        <f>'8.Dgia'!D2521</f>
        <v>0</v>
      </c>
      <c r="E923" s="1749" t="str">
        <f>'8.Dgia'!E2521</f>
        <v>Bộ kích 50T</v>
      </c>
      <c r="F923" s="1745" t="s">
        <v>5493</v>
      </c>
      <c r="G923" s="1981">
        <f>'8.Dgia'!H2521</f>
        <v>0.25</v>
      </c>
      <c r="H923" s="1796">
        <f>'9.may'!$P$738</f>
        <v>209878.78500000003</v>
      </c>
      <c r="I923" s="1796">
        <f>H923*G923</f>
        <v>52469.696250000008</v>
      </c>
    </row>
    <row r="924" spans="2:12" ht="15">
      <c r="B924" s="1536" t="str">
        <f>'8.Dgia'!B2522</f>
        <v/>
      </c>
      <c r="C924" s="1537">
        <f>'8.Dgia'!C2522</f>
        <v>0</v>
      </c>
      <c r="D924" s="1537">
        <f>'8.Dgia'!D2522</f>
        <v>0</v>
      </c>
      <c r="E924" s="1749" t="str">
        <f>'8.Dgia'!E2522</f>
        <v>Tời điện 3T</v>
      </c>
      <c r="F924" s="1745" t="s">
        <v>5493</v>
      </c>
      <c r="G924" s="1981">
        <f>'8.Dgia'!H2522</f>
        <v>0.15</v>
      </c>
      <c r="H924" s="1796">
        <f>'9.may'!$P$305</f>
        <v>108443.97000000002</v>
      </c>
      <c r="I924" s="1796">
        <f>H924*G924</f>
        <v>16266.595500000001</v>
      </c>
    </row>
    <row r="925" spans="2:12" ht="15">
      <c r="B925" s="1536" t="str">
        <f>'8.Dgia'!B2523</f>
        <v/>
      </c>
      <c r="C925" s="1537">
        <f>'8.Dgia'!C2523</f>
        <v>0</v>
      </c>
      <c r="D925" s="1537">
        <f>'8.Dgia'!D2523</f>
        <v>0</v>
      </c>
      <c r="E925" s="1749" t="str">
        <f>'8.Dgia'!E2523</f>
        <v>Cần cẩu bánh xích 50T</v>
      </c>
      <c r="F925" s="1745" t="s">
        <v>5493</v>
      </c>
      <c r="G925" s="1981">
        <f>'8.Dgia'!H2523</f>
        <v>0.04</v>
      </c>
      <c r="H925" s="1796">
        <f>'9.may'!$P$251</f>
        <v>3833693.9468181818</v>
      </c>
      <c r="I925" s="1796">
        <f>H925*G925</f>
        <v>153347.75787272726</v>
      </c>
    </row>
    <row r="926" spans="2:12" ht="15">
      <c r="B926" s="1536" t="str">
        <f>'8.Dgia'!B2524</f>
        <v/>
      </c>
      <c r="C926" s="1537">
        <f>'8.Dgia'!C2524</f>
        <v>0</v>
      </c>
      <c r="D926" s="1537">
        <f>'8.Dgia'!D2524</f>
        <v>0</v>
      </c>
      <c r="E926" s="1749" t="str">
        <f>'8.Dgia'!E2524</f>
        <v>Máy khác</v>
      </c>
      <c r="F926" s="1763" t="str">
        <f>'8.Dgia'!G2524</f>
        <v>%</v>
      </c>
      <c r="G926" s="1982">
        <f>'8.Dgia'!H2524</f>
        <v>5</v>
      </c>
      <c r="H926" s="1796">
        <f>SUM(I923:I925)</f>
        <v>222084.04962272727</v>
      </c>
      <c r="I926" s="1796">
        <f>H926*G926%</f>
        <v>11104.202481136364</v>
      </c>
    </row>
    <row r="927" spans="2:12" s="658" customFormat="1" ht="15">
      <c r="B927" s="1675"/>
      <c r="C927" s="1676"/>
      <c r="D927" s="1676"/>
      <c r="E927" s="1800" t="s">
        <v>5675</v>
      </c>
      <c r="F927" s="1763">
        <f>$J$5</f>
        <v>0.02</v>
      </c>
      <c r="G927" s="1754"/>
      <c r="H927" s="1799"/>
      <c r="I927" s="1799">
        <f>( I913+I921+I922 )*F927</f>
        <v>14559.597131891325</v>
      </c>
      <c r="J927" s="850"/>
      <c r="K927" s="850"/>
      <c r="L927" s="850"/>
    </row>
    <row r="928" spans="2:12" ht="15">
      <c r="B928" s="1540"/>
      <c r="C928" s="1541"/>
      <c r="D928" s="1541"/>
      <c r="E928" s="1801" t="s">
        <v>5676</v>
      </c>
      <c r="F928" s="1763"/>
      <c r="G928" s="1759"/>
      <c r="H928" s="1802"/>
      <c r="I928" s="1802">
        <f>I927+I927/F927</f>
        <v>742539.45372645755</v>
      </c>
    </row>
    <row r="929" spans="1:12" ht="15">
      <c r="B929" s="1536"/>
      <c r="C929" s="1537"/>
      <c r="D929" s="1537"/>
      <c r="E929" s="1803" t="s">
        <v>5677</v>
      </c>
      <c r="F929" s="1763">
        <f>$K$5</f>
        <v>5.5E-2</v>
      </c>
      <c r="G929" s="1746"/>
      <c r="H929" s="1796"/>
      <c r="I929" s="1796">
        <f>I928*F929</f>
        <v>40839.669954955163</v>
      </c>
    </row>
    <row r="930" spans="1:12" ht="15">
      <c r="B930" s="1536"/>
      <c r="C930" s="1537"/>
      <c r="D930" s="1537"/>
      <c r="E930" s="1803" t="s">
        <v>5678</v>
      </c>
      <c r="F930" s="1763">
        <f>$L$5</f>
        <v>0.06</v>
      </c>
      <c r="G930" s="1746"/>
      <c r="H930" s="1796"/>
      <c r="I930" s="1796">
        <f>SUM(I928:I929)*F930</f>
        <v>47002.747420884756</v>
      </c>
    </row>
    <row r="931" spans="1:12" ht="14.25">
      <c r="B931" s="1540"/>
      <c r="C931" s="1541"/>
      <c r="D931" s="1541"/>
      <c r="E931" s="1801" t="s">
        <v>5679</v>
      </c>
      <c r="F931" s="1791"/>
      <c r="G931" s="1759"/>
      <c r="H931" s="1802"/>
      <c r="I931" s="1802">
        <f>SUM(I928:I930)</f>
        <v>830381.87110229745</v>
      </c>
    </row>
    <row r="932" spans="1:12" ht="15">
      <c r="B932" s="1536"/>
      <c r="C932" s="1537"/>
      <c r="D932" s="1537"/>
      <c r="E932" s="1803" t="s">
        <v>5680</v>
      </c>
      <c r="F932" s="1765">
        <f>$M$5</f>
        <v>0.1</v>
      </c>
      <c r="G932" s="1746"/>
      <c r="H932" s="1796"/>
      <c r="I932" s="1796">
        <f>I931*F932</f>
        <v>83038.187110229745</v>
      </c>
    </row>
    <row r="933" spans="1:12" ht="14.25">
      <c r="B933" s="1540"/>
      <c r="C933" s="1541"/>
      <c r="D933" s="1541"/>
      <c r="E933" s="1801" t="s">
        <v>5681</v>
      </c>
      <c r="F933" s="1791"/>
      <c r="G933" s="1759"/>
      <c r="H933" s="1802"/>
      <c r="I933" s="1802">
        <f>SUM(I931:I932)</f>
        <v>913420.05821252719</v>
      </c>
    </row>
    <row r="934" spans="1:12" ht="12.75">
      <c r="B934" s="1536"/>
      <c r="C934" s="1537"/>
      <c r="D934" s="1537"/>
      <c r="E934" s="1464" t="s">
        <v>5682</v>
      </c>
      <c r="F934" s="1535">
        <f>$N$5</f>
        <v>0.01</v>
      </c>
      <c r="G934" s="1538"/>
      <c r="H934" s="1539"/>
      <c r="I934" s="1539">
        <f>I933*F934</f>
        <v>9134.2005821252715</v>
      </c>
    </row>
    <row r="935" spans="1:12" ht="14.25">
      <c r="B935" s="2116"/>
      <c r="C935" s="1544"/>
      <c r="D935" s="2116"/>
      <c r="E935" s="2117" t="s">
        <v>5683</v>
      </c>
      <c r="F935" s="2115"/>
      <c r="G935" s="2117"/>
      <c r="H935" s="2118"/>
      <c r="I935" s="2110">
        <f>ROUND(I933+I934,0)</f>
        <v>922554</v>
      </c>
    </row>
    <row r="936" spans="1:12" s="1336" customFormat="1" ht="30" customHeight="1">
      <c r="A936" s="657">
        <v>1</v>
      </c>
      <c r="B936" s="1546">
        <f>IF(A936&lt;&gt;0,COUNTA(A$7:$A936),"")</f>
        <v>51</v>
      </c>
      <c r="C936" s="1550">
        <f>'8.Dgia'!C656</f>
        <v>1776</v>
      </c>
      <c r="D936" s="1550" t="str">
        <f>'8.Dgia'!D656</f>
        <v>AF.88422</v>
      </c>
      <c r="E936" s="1766" t="str">
        <f>'8.Dgia'!E656</f>
        <v>Tổ hợp LD ván khuôn, hệ treo đỡ ván khuôn dầm cầu đúc hẫng dưới nước</v>
      </c>
      <c r="F936" s="2099" t="s">
        <v>5962</v>
      </c>
      <c r="G936" s="1768">
        <f>'8.Dgia'!H656</f>
        <v>0</v>
      </c>
      <c r="H936" s="1769"/>
      <c r="I936" s="1769"/>
      <c r="J936" s="1425">
        <f>+I937</f>
        <v>177205.07856840483</v>
      </c>
      <c r="K936" s="1425">
        <f>+I943</f>
        <v>584636.64</v>
      </c>
      <c r="L936" s="1425">
        <f>+I944</f>
        <v>506979.09343963634</v>
      </c>
    </row>
    <row r="937" spans="1:12" s="658" customFormat="1" ht="15">
      <c r="B937" s="1551" t="str">
        <f>'8.Dgia'!B657</f>
        <v/>
      </c>
      <c r="C937" s="1552">
        <f>'8.Dgia'!C657</f>
        <v>0</v>
      </c>
      <c r="D937" s="1552">
        <f>'8.Dgia'!D657</f>
        <v>0</v>
      </c>
      <c r="E937" s="1770" t="str">
        <f>'8.Dgia'!E657</f>
        <v xml:space="preserve">  A - Vật liệu</v>
      </c>
      <c r="F937" s="1786">
        <f>'8.Dgia'!G657</f>
        <v>0</v>
      </c>
      <c r="G937" s="1772">
        <f>'8.Dgia'!H657</f>
        <v>0</v>
      </c>
      <c r="H937" s="1773"/>
      <c r="I937" s="1774">
        <f>SUM(I938:I942)</f>
        <v>177205.07856840483</v>
      </c>
      <c r="J937" s="850"/>
      <c r="K937" s="850"/>
      <c r="L937" s="850"/>
    </row>
    <row r="938" spans="1:12" ht="15">
      <c r="B938" s="1551" t="str">
        <f>'8.Dgia'!B658</f>
        <v/>
      </c>
      <c r="C938" s="1552">
        <f>'8.Dgia'!C658</f>
        <v>0</v>
      </c>
      <c r="D938" s="1552">
        <f>'8.Dgia'!D658</f>
        <v>0</v>
      </c>
      <c r="E938" s="1775" t="str">
        <f>'8.Dgia'!E658</f>
        <v>Thanh cường độ cao D36 (kg)</v>
      </c>
      <c r="F938" s="1786" t="str">
        <f>'8.Dgia'!G658</f>
        <v>kg</v>
      </c>
      <c r="G938" s="1964">
        <f>'8.Dgia'!H658</f>
        <v>0.73</v>
      </c>
      <c r="H938" s="1773">
        <f>GVL!$I$168</f>
        <v>86980.172563393309</v>
      </c>
      <c r="I938" s="1773">
        <f>H938*G938</f>
        <v>63495.525971277115</v>
      </c>
    </row>
    <row r="939" spans="1:12" ht="15">
      <c r="B939" s="1551" t="str">
        <f>'8.Dgia'!B659</f>
        <v/>
      </c>
      <c r="C939" s="1552">
        <f>'8.Dgia'!C659</f>
        <v>0</v>
      </c>
      <c r="D939" s="1552">
        <f>'8.Dgia'!D659</f>
        <v>0</v>
      </c>
      <c r="E939" s="1775" t="str">
        <f>'8.Dgia'!E659</f>
        <v>Bulông D22mm</v>
      </c>
      <c r="F939" s="1763" t="s">
        <v>567</v>
      </c>
      <c r="G939" s="1964">
        <f>'8.Dgia'!H659</f>
        <v>0.42</v>
      </c>
      <c r="H939" s="1773">
        <f>GVL!$I$31</f>
        <v>10000</v>
      </c>
      <c r="I939" s="1773">
        <f>H939*G939</f>
        <v>4200</v>
      </c>
    </row>
    <row r="940" spans="1:12" ht="15">
      <c r="B940" s="1551" t="str">
        <f>'8.Dgia'!B660</f>
        <v/>
      </c>
      <c r="C940" s="1552">
        <f>'8.Dgia'!C660</f>
        <v>0</v>
      </c>
      <c r="D940" s="1552">
        <f>'8.Dgia'!D660</f>
        <v>0</v>
      </c>
      <c r="E940" s="1775" t="str">
        <f>'8.Dgia'!E660</f>
        <v>Tăng đơ D38mm dài 7m</v>
      </c>
      <c r="F940" s="1763" t="s">
        <v>567</v>
      </c>
      <c r="G940" s="1964">
        <f>'8.Dgia'!H660</f>
        <v>0.05</v>
      </c>
      <c r="H940" s="1773">
        <f>GVL!$I$167</f>
        <v>68000</v>
      </c>
      <c r="I940" s="1773">
        <f>H940*G940</f>
        <v>3400</v>
      </c>
    </row>
    <row r="941" spans="1:12" ht="15">
      <c r="B941" s="1551" t="str">
        <f>'8.Dgia'!B661</f>
        <v/>
      </c>
      <c r="C941" s="1552">
        <f>'8.Dgia'!C661</f>
        <v>0</v>
      </c>
      <c r="D941" s="1552">
        <f>'8.Dgia'!D661</f>
        <v>0</v>
      </c>
      <c r="E941" s="1775" t="str">
        <f>'8.Dgia'!E661</f>
        <v>Gỗ</v>
      </c>
      <c r="F941" s="1786" t="str">
        <f>'8.Dgia'!G661</f>
        <v>m3</v>
      </c>
      <c r="G941" s="1772">
        <f>'8.Dgia'!H661</f>
        <v>1.4999999999999999E-2</v>
      </c>
      <c r="H941" s="1773">
        <f>GVL!$I$96</f>
        <v>6000000</v>
      </c>
      <c r="I941" s="1773">
        <f>H941*G941</f>
        <v>90000</v>
      </c>
    </row>
    <row r="942" spans="1:12" ht="15">
      <c r="B942" s="1551" t="str">
        <f>'8.Dgia'!B662</f>
        <v/>
      </c>
      <c r="C942" s="1552">
        <f>'8.Dgia'!C662</f>
        <v>0</v>
      </c>
      <c r="D942" s="1552">
        <f>'8.Dgia'!D662</f>
        <v>0</v>
      </c>
      <c r="E942" s="1775" t="str">
        <f>'8.Dgia'!E662</f>
        <v>Vật liệu khác</v>
      </c>
      <c r="F942" s="1786" t="str">
        <f>'8.Dgia'!G662</f>
        <v>%</v>
      </c>
      <c r="G942" s="1965">
        <f>'8.Dgia'!H662</f>
        <v>10</v>
      </c>
      <c r="H942" s="1773">
        <f>SUM(I938:I941)</f>
        <v>161095.52597127712</v>
      </c>
      <c r="I942" s="1773">
        <f>H942*G942%</f>
        <v>16109.552597127713</v>
      </c>
    </row>
    <row r="943" spans="1:12" s="658" customFormat="1" ht="15">
      <c r="B943" s="1551" t="str">
        <f>'8.Dgia'!B663</f>
        <v/>
      </c>
      <c r="C943" s="1552">
        <f>'8.Dgia'!C663</f>
        <v>0</v>
      </c>
      <c r="D943" s="1552">
        <f>'8.Dgia'!D663</f>
        <v>0</v>
      </c>
      <c r="E943" s="1770" t="str">
        <f>'8.Dgia'!E663</f>
        <v xml:space="preserve">  B - Nhân công 4.5/7</v>
      </c>
      <c r="F943" s="1745" t="s">
        <v>552</v>
      </c>
      <c r="G943" s="1772">
        <f>'8.Dgia'!H663</f>
        <v>2.12</v>
      </c>
      <c r="H943" s="1773">
        <f>'16.NC'!$H$20</f>
        <v>275772</v>
      </c>
      <c r="I943" s="1776">
        <f>H943*G943</f>
        <v>584636.64</v>
      </c>
      <c r="J943" s="850"/>
      <c r="K943" s="850"/>
      <c r="L943" s="850"/>
    </row>
    <row r="944" spans="1:12" s="658" customFormat="1" ht="15">
      <c r="B944" s="1551" t="str">
        <f>'8.Dgia'!B664</f>
        <v/>
      </c>
      <c r="C944" s="1552">
        <f>'8.Dgia'!C664</f>
        <v>0</v>
      </c>
      <c r="D944" s="1552">
        <f>'8.Dgia'!D664</f>
        <v>0</v>
      </c>
      <c r="E944" s="1770" t="str">
        <f>'8.Dgia'!E664</f>
        <v xml:space="preserve">  C - Máy thi công</v>
      </c>
      <c r="F944" s="1786">
        <f>'8.Dgia'!G664</f>
        <v>0</v>
      </c>
      <c r="G944" s="1772">
        <f>'8.Dgia'!H664</f>
        <v>0</v>
      </c>
      <c r="H944" s="1773"/>
      <c r="I944" s="1777">
        <f>SUM(I945:I950)</f>
        <v>506979.09343963634</v>
      </c>
      <c r="J944" s="850"/>
      <c r="K944" s="850"/>
      <c r="L944" s="850"/>
    </row>
    <row r="945" spans="1:12" ht="15">
      <c r="B945" s="1551" t="str">
        <f>'8.Dgia'!B665</f>
        <v/>
      </c>
      <c r="C945" s="1552">
        <f>'8.Dgia'!C665</f>
        <v>0</v>
      </c>
      <c r="D945" s="1552">
        <f>'8.Dgia'!D665</f>
        <v>0</v>
      </c>
      <c r="E945" s="1775" t="str">
        <f>'8.Dgia'!E665</f>
        <v>Bộ kích 50T</v>
      </c>
      <c r="F945" s="1745" t="s">
        <v>5493</v>
      </c>
      <c r="G945" s="1964">
        <f>'8.Dgia'!H665</f>
        <v>0.35</v>
      </c>
      <c r="H945" s="1773">
        <f>'9.may'!$P$738</f>
        <v>209878.78500000003</v>
      </c>
      <c r="I945" s="1773">
        <f>H945*G945</f>
        <v>73457.57475</v>
      </c>
    </row>
    <row r="946" spans="1:12" ht="15">
      <c r="B946" s="1551" t="str">
        <f>'8.Dgia'!B666</f>
        <v/>
      </c>
      <c r="C946" s="1552">
        <f>'8.Dgia'!C666</f>
        <v>0</v>
      </c>
      <c r="D946" s="1552">
        <f>'8.Dgia'!D666</f>
        <v>0</v>
      </c>
      <c r="E946" s="1775" t="str">
        <f>'8.Dgia'!E666</f>
        <v>Cần cẩu bánh xích 50T</v>
      </c>
      <c r="F946" s="1745" t="s">
        <v>5493</v>
      </c>
      <c r="G946" s="1772">
        <f>'8.Dgia'!H666</f>
        <v>1.7999999999999999E-2</v>
      </c>
      <c r="H946" s="1773">
        <f>'9.may'!$P$251</f>
        <v>3833693.9468181818</v>
      </c>
      <c r="I946" s="1773">
        <f>H946*G946</f>
        <v>69006.49104272727</v>
      </c>
    </row>
    <row r="947" spans="1:12" ht="15">
      <c r="B947" s="1551" t="str">
        <f>'8.Dgia'!B667</f>
        <v/>
      </c>
      <c r="C947" s="1552">
        <f>'8.Dgia'!C667</f>
        <v>0</v>
      </c>
      <c r="D947" s="1552">
        <f>'8.Dgia'!D667</f>
        <v>0</v>
      </c>
      <c r="E947" s="1775" t="str">
        <f>'8.Dgia'!E667</f>
        <v>Sà lan 400T</v>
      </c>
      <c r="F947" s="1745" t="s">
        <v>5493</v>
      </c>
      <c r="G947" s="1772">
        <v>0.08</v>
      </c>
      <c r="H947" s="1773">
        <f>'9.may'!$P$655</f>
        <v>1144511.22</v>
      </c>
      <c r="I947" s="1773">
        <f>H947*G947</f>
        <v>91560.897599999997</v>
      </c>
    </row>
    <row r="948" spans="1:12" ht="15">
      <c r="B948" s="1551" t="str">
        <f>'8.Dgia'!B668</f>
        <v/>
      </c>
      <c r="C948" s="1552">
        <f>'8.Dgia'!C668</f>
        <v>0</v>
      </c>
      <c r="D948" s="1552">
        <f>'8.Dgia'!D668</f>
        <v>0</v>
      </c>
      <c r="E948" s="1775" t="str">
        <f>'8.Dgia'!E668</f>
        <v>Sà lan 200T</v>
      </c>
      <c r="F948" s="1745" t="s">
        <v>5493</v>
      </c>
      <c r="G948" s="1772">
        <v>0.08</v>
      </c>
      <c r="H948" s="1773">
        <f>'9.may'!$P$652</f>
        <v>586485.6</v>
      </c>
      <c r="I948" s="1773">
        <f>H948*G948</f>
        <v>46918.847999999998</v>
      </c>
    </row>
    <row r="949" spans="1:12" ht="15">
      <c r="B949" s="1551" t="str">
        <f>'8.Dgia'!B669</f>
        <v/>
      </c>
      <c r="C949" s="1552">
        <f>'8.Dgia'!C669</f>
        <v>0</v>
      </c>
      <c r="D949" s="1552">
        <f>'8.Dgia'!D669</f>
        <v>0</v>
      </c>
      <c r="E949" s="1775" t="str">
        <f>'8.Dgia'!E669</f>
        <v>Canô 120cv</v>
      </c>
      <c r="F949" s="1745" t="s">
        <v>5493</v>
      </c>
      <c r="G949" s="1772">
        <v>0.25</v>
      </c>
      <c r="H949" s="1773">
        <f>'9.may'!$P$673</f>
        <v>807573.68181818177</v>
      </c>
      <c r="I949" s="1773">
        <f>H949*G949</f>
        <v>201893.42045454544</v>
      </c>
    </row>
    <row r="950" spans="1:12" ht="15">
      <c r="B950" s="1551" t="str">
        <f>'8.Dgia'!B670</f>
        <v/>
      </c>
      <c r="C950" s="1552">
        <f>'8.Dgia'!C670</f>
        <v>0</v>
      </c>
      <c r="D950" s="1552">
        <f>'8.Dgia'!D670</f>
        <v>0</v>
      </c>
      <c r="E950" s="1775" t="str">
        <f>'8.Dgia'!E670</f>
        <v>Máy khác</v>
      </c>
      <c r="F950" s="1786" t="str">
        <f>'8.Dgia'!G670</f>
        <v>%</v>
      </c>
      <c r="G950" s="1965">
        <f>'8.Dgia'!H670</f>
        <v>5</v>
      </c>
      <c r="H950" s="1773">
        <f>SUM(I945:I949)</f>
        <v>482837.23184727272</v>
      </c>
      <c r="I950" s="1773">
        <f>H950*G950%</f>
        <v>24141.861592363639</v>
      </c>
    </row>
    <row r="951" spans="1:12" s="658" customFormat="1" ht="15">
      <c r="B951" s="1677"/>
      <c r="C951" s="1678"/>
      <c r="D951" s="1678"/>
      <c r="E951" s="1778" t="s">
        <v>5675</v>
      </c>
      <c r="F951" s="1786">
        <f>$J$5</f>
        <v>0.02</v>
      </c>
      <c r="G951" s="1780"/>
      <c r="H951" s="1777"/>
      <c r="I951" s="1777">
        <f>( I937+I943+I944 )*F951</f>
        <v>25376.416240160823</v>
      </c>
      <c r="J951" s="850"/>
      <c r="K951" s="850"/>
      <c r="L951" s="850"/>
    </row>
    <row r="952" spans="1:12" ht="15">
      <c r="B952" s="1556"/>
      <c r="C952" s="1557"/>
      <c r="D952" s="1557"/>
      <c r="E952" s="1781" t="s">
        <v>5676</v>
      </c>
      <c r="F952" s="1786"/>
      <c r="G952" s="1783"/>
      <c r="H952" s="1784"/>
      <c r="I952" s="1784">
        <f>I951+I951/F951</f>
        <v>1294197.228248202</v>
      </c>
    </row>
    <row r="953" spans="1:12" ht="15">
      <c r="B953" s="1551"/>
      <c r="C953" s="1552"/>
      <c r="D953" s="1552"/>
      <c r="E953" s="1785" t="s">
        <v>5677</v>
      </c>
      <c r="F953" s="1786">
        <f>$K$5</f>
        <v>5.5E-2</v>
      </c>
      <c r="G953" s="1772"/>
      <c r="H953" s="1773"/>
      <c r="I953" s="1773">
        <f>I952*F953</f>
        <v>71180.847553651111</v>
      </c>
    </row>
    <row r="954" spans="1:12" ht="15">
      <c r="B954" s="1551"/>
      <c r="C954" s="1552"/>
      <c r="D954" s="1552"/>
      <c r="E954" s="1785" t="s">
        <v>5678</v>
      </c>
      <c r="F954" s="1786">
        <f>$L$5</f>
        <v>0.06</v>
      </c>
      <c r="G954" s="1772"/>
      <c r="H954" s="1773"/>
      <c r="I954" s="1773">
        <f>SUM(I952:I953)*F954</f>
        <v>81922.684548111181</v>
      </c>
    </row>
    <row r="955" spans="1:12" ht="14.25">
      <c r="B955" s="1556"/>
      <c r="C955" s="1557"/>
      <c r="D955" s="1557"/>
      <c r="E955" s="1781" t="s">
        <v>5679</v>
      </c>
      <c r="F955" s="1787"/>
      <c r="G955" s="1783"/>
      <c r="H955" s="1784"/>
      <c r="I955" s="1784">
        <f>SUM(I952:I954)</f>
        <v>1447300.7603499643</v>
      </c>
    </row>
    <row r="956" spans="1:12" ht="15">
      <c r="B956" s="1551"/>
      <c r="C956" s="1552"/>
      <c r="D956" s="1552"/>
      <c r="E956" s="1785" t="s">
        <v>5680</v>
      </c>
      <c r="F956" s="1788">
        <f>$M$5</f>
        <v>0.1</v>
      </c>
      <c r="G956" s="1772"/>
      <c r="H956" s="1773"/>
      <c r="I956" s="1773">
        <f>I955*F956</f>
        <v>144730.07603499643</v>
      </c>
    </row>
    <row r="957" spans="1:12" ht="14.25">
      <c r="B957" s="1556"/>
      <c r="C957" s="1557"/>
      <c r="D957" s="1557"/>
      <c r="E957" s="1781" t="s">
        <v>5681</v>
      </c>
      <c r="F957" s="1787"/>
      <c r="G957" s="1783"/>
      <c r="H957" s="1784"/>
      <c r="I957" s="1784">
        <f>SUM(I955:I956)</f>
        <v>1592030.8363849607</v>
      </c>
    </row>
    <row r="958" spans="1:12" ht="12.75">
      <c r="B958" s="1551"/>
      <c r="C958" s="1552"/>
      <c r="D958" s="1552"/>
      <c r="E958" s="1563" t="s">
        <v>5682</v>
      </c>
      <c r="F958" s="1560">
        <f>$N$5</f>
        <v>0.01</v>
      </c>
      <c r="G958" s="1553"/>
      <c r="H958" s="1562"/>
      <c r="I958" s="1562">
        <f>I957*F958</f>
        <v>15920.308363849606</v>
      </c>
    </row>
    <row r="959" spans="1:12" ht="14.25">
      <c r="B959" s="2111"/>
      <c r="C959" s="1564"/>
      <c r="D959" s="2111"/>
      <c r="E959" s="2112" t="s">
        <v>5683</v>
      </c>
      <c r="F959" s="2113"/>
      <c r="G959" s="2112"/>
      <c r="H959" s="2114"/>
      <c r="I959" s="2110">
        <f>ROUND(I957+I958,0)</f>
        <v>1607951</v>
      </c>
    </row>
    <row r="960" spans="1:12" s="1336" customFormat="1" ht="42.75">
      <c r="A960" s="657">
        <v>1</v>
      </c>
      <c r="B960" s="1546">
        <f>IF(A960&lt;&gt;0,COUNTA(A$7:$A960),"")</f>
        <v>52</v>
      </c>
      <c r="C960" s="1550">
        <f>'8.Dgia'!C671</f>
        <v>1776</v>
      </c>
      <c r="D960" s="1550" t="str">
        <f>'8.Dgia'!D671</f>
        <v>AF.88432</v>
      </c>
      <c r="E960" s="1766" t="s">
        <v>428</v>
      </c>
      <c r="F960" s="2100" t="s">
        <v>5971</v>
      </c>
      <c r="G960" s="1768">
        <f>'8.Dgia'!H671</f>
        <v>0</v>
      </c>
      <c r="H960" s="1769"/>
      <c r="I960" s="1769"/>
      <c r="J960" s="1425">
        <f>+I961</f>
        <v>168436.60449070265</v>
      </c>
      <c r="K960" s="1425">
        <f>+I969</f>
        <v>455023.8</v>
      </c>
      <c r="L960" s="1425">
        <f>+I970</f>
        <v>536994.40697795455</v>
      </c>
    </row>
    <row r="961" spans="2:12" s="658" customFormat="1" ht="15">
      <c r="B961" s="1551" t="str">
        <f>'8.Dgia'!B672</f>
        <v/>
      </c>
      <c r="C961" s="1552">
        <f>'8.Dgia'!C672</f>
        <v>0</v>
      </c>
      <c r="D961" s="1552">
        <f>'8.Dgia'!D672</f>
        <v>0</v>
      </c>
      <c r="E961" s="1770" t="str">
        <f>'8.Dgia'!E672</f>
        <v xml:space="preserve">  A - Vật liệu</v>
      </c>
      <c r="F961" s="1786">
        <f>'8.Dgia'!G672</f>
        <v>0</v>
      </c>
      <c r="G961" s="1772">
        <f>'8.Dgia'!H672</f>
        <v>0</v>
      </c>
      <c r="H961" s="1773"/>
      <c r="I961" s="1774">
        <f>SUM(I962:I968)</f>
        <v>168436.60449070265</v>
      </c>
      <c r="J961" s="850"/>
      <c r="K961" s="850"/>
      <c r="L961" s="850"/>
    </row>
    <row r="962" spans="2:12" ht="15">
      <c r="B962" s="1551" t="str">
        <f>'8.Dgia'!B673</f>
        <v/>
      </c>
      <c r="C962" s="1552">
        <f>'8.Dgia'!C673</f>
        <v>0</v>
      </c>
      <c r="D962" s="1552">
        <f>'8.Dgia'!D673</f>
        <v>0</v>
      </c>
      <c r="E962" s="1775" t="str">
        <f>'8.Dgia'!E673</f>
        <v>Thanh cường độ cao D36 (kg)</v>
      </c>
      <c r="F962" s="1786" t="str">
        <f>'8.Dgia'!G673</f>
        <v>kg</v>
      </c>
      <c r="G962" s="1964">
        <f>'8.Dgia'!H673</f>
        <v>0.73</v>
      </c>
      <c r="H962" s="1773">
        <f>GVL!$I$168</f>
        <v>86980.172563393309</v>
      </c>
      <c r="I962" s="1773">
        <f t="shared" ref="I962:I967" si="5">H962*G962</f>
        <v>63495.525971277115</v>
      </c>
    </row>
    <row r="963" spans="2:12" ht="15">
      <c r="B963" s="1551" t="str">
        <f>'8.Dgia'!B674</f>
        <v/>
      </c>
      <c r="C963" s="1552">
        <f>'8.Dgia'!C674</f>
        <v>0</v>
      </c>
      <c r="D963" s="1552">
        <f>'8.Dgia'!D674</f>
        <v>0</v>
      </c>
      <c r="E963" s="1775" t="str">
        <f>'8.Dgia'!E674</f>
        <v>Bulông D22mm</v>
      </c>
      <c r="F963" s="1763" t="s">
        <v>567</v>
      </c>
      <c r="G963" s="1964">
        <f>'8.Dgia'!H674</f>
        <v>0.11</v>
      </c>
      <c r="H963" s="1773">
        <f>GVL!$I$31</f>
        <v>10000</v>
      </c>
      <c r="I963" s="1773">
        <f t="shared" si="5"/>
        <v>1100</v>
      </c>
    </row>
    <row r="964" spans="2:12" ht="15">
      <c r="B964" s="1551" t="str">
        <f>'8.Dgia'!B675</f>
        <v/>
      </c>
      <c r="C964" s="1552">
        <f>'8.Dgia'!C675</f>
        <v>0</v>
      </c>
      <c r="D964" s="1552">
        <f>'8.Dgia'!D675</f>
        <v>0</v>
      </c>
      <c r="E964" s="1775" t="str">
        <f>'8.Dgia'!E675</f>
        <v>Tăng đơ D38mm dài 7m</v>
      </c>
      <c r="F964" s="1763" t="s">
        <v>567</v>
      </c>
      <c r="G964" s="1964">
        <f>'8.Dgia'!H675</f>
        <v>0.05</v>
      </c>
      <c r="H964" s="1773">
        <f>GVL!$I$167</f>
        <v>68000</v>
      </c>
      <c r="I964" s="1773">
        <f t="shared" si="5"/>
        <v>3400</v>
      </c>
    </row>
    <row r="965" spans="2:12" ht="15">
      <c r="B965" s="1551" t="str">
        <f>'8.Dgia'!B676</f>
        <v/>
      </c>
      <c r="C965" s="1552">
        <f>'8.Dgia'!C676</f>
        <v>0</v>
      </c>
      <c r="D965" s="1552">
        <f>'8.Dgia'!D676</f>
        <v>0</v>
      </c>
      <c r="E965" s="1775" t="str">
        <f>'8.Dgia'!E676</f>
        <v>Dầu CS46</v>
      </c>
      <c r="F965" s="1786" t="str">
        <f>'8.Dgia'!G676</f>
        <v>kg</v>
      </c>
      <c r="G965" s="1964">
        <f>'8.Dgia'!H676</f>
        <v>0.15</v>
      </c>
      <c r="H965" s="1773">
        <f>GVL!$I$72</f>
        <v>34000</v>
      </c>
      <c r="I965" s="1773">
        <f t="shared" si="5"/>
        <v>5100</v>
      </c>
    </row>
    <row r="966" spans="2:12" ht="15">
      <c r="B966" s="1551" t="str">
        <f>'8.Dgia'!B677</f>
        <v/>
      </c>
      <c r="C966" s="1552">
        <f>'8.Dgia'!C677</f>
        <v>0</v>
      </c>
      <c r="D966" s="1552">
        <f>'8.Dgia'!D677</f>
        <v>0</v>
      </c>
      <c r="E966" s="1775" t="str">
        <f>'8.Dgia'!E677</f>
        <v>Mỡ bôi trơn</v>
      </c>
      <c r="F966" s="1786" t="str">
        <f>'8.Dgia'!G677</f>
        <v>kg</v>
      </c>
      <c r="G966" s="1964">
        <f>'8.Dgia'!H677</f>
        <v>0.14000000000000001</v>
      </c>
      <c r="H966" s="1773">
        <f>GVL!$I$119</f>
        <v>14560</v>
      </c>
      <c r="I966" s="1773">
        <f t="shared" si="5"/>
        <v>2038.4</v>
      </c>
    </row>
    <row r="967" spans="2:12" ht="15">
      <c r="B967" s="1551" t="str">
        <f>'8.Dgia'!B678</f>
        <v/>
      </c>
      <c r="C967" s="1552">
        <f>'8.Dgia'!C678</f>
        <v>0</v>
      </c>
      <c r="D967" s="1552">
        <f>'8.Dgia'!D678</f>
        <v>0</v>
      </c>
      <c r="E967" s="1775" t="str">
        <f>'8.Dgia'!E678</f>
        <v>Gỗ</v>
      </c>
      <c r="F967" s="1786" t="str">
        <f>'8.Dgia'!G678</f>
        <v>m3</v>
      </c>
      <c r="G967" s="1772">
        <f>'8.Dgia'!H678</f>
        <v>1.4999999999999999E-2</v>
      </c>
      <c r="H967" s="1773">
        <f>GVL!$I$96</f>
        <v>6000000</v>
      </c>
      <c r="I967" s="1773">
        <f t="shared" si="5"/>
        <v>90000</v>
      </c>
    </row>
    <row r="968" spans="2:12" ht="15">
      <c r="B968" s="1551" t="str">
        <f>'8.Dgia'!B679</f>
        <v/>
      </c>
      <c r="C968" s="1552">
        <f>'8.Dgia'!C679</f>
        <v>0</v>
      </c>
      <c r="D968" s="1552">
        <f>'8.Dgia'!D679</f>
        <v>0</v>
      </c>
      <c r="E968" s="1775" t="str">
        <f>'8.Dgia'!E679</f>
        <v>Vật liệu khác</v>
      </c>
      <c r="F968" s="1786" t="str">
        <f>'8.Dgia'!G679</f>
        <v>%</v>
      </c>
      <c r="G968" s="1965">
        <f>'8.Dgia'!H679</f>
        <v>2</v>
      </c>
      <c r="H968" s="1773">
        <f>SUM(I962:I967)</f>
        <v>165133.92597127712</v>
      </c>
      <c r="I968" s="1773">
        <f>H968*G968%</f>
        <v>3302.6785194255426</v>
      </c>
    </row>
    <row r="969" spans="2:12" s="658" customFormat="1" ht="15">
      <c r="B969" s="1551" t="str">
        <f>'8.Dgia'!B680</f>
        <v/>
      </c>
      <c r="C969" s="1552">
        <f>'8.Dgia'!C680</f>
        <v>0</v>
      </c>
      <c r="D969" s="1552">
        <f>'8.Dgia'!D680</f>
        <v>0</v>
      </c>
      <c r="E969" s="1770" t="str">
        <f>'8.Dgia'!E680</f>
        <v xml:space="preserve">  B - Nhân công 4.5/7</v>
      </c>
      <c r="F969" s="1745" t="s">
        <v>552</v>
      </c>
      <c r="G969" s="1964">
        <f>'8.Dgia'!H680</f>
        <v>1.65</v>
      </c>
      <c r="H969" s="1773">
        <f>'16.NC'!$H$20</f>
        <v>275772</v>
      </c>
      <c r="I969" s="1776">
        <f>H969*G969</f>
        <v>455023.8</v>
      </c>
      <c r="J969" s="850"/>
      <c r="K969" s="850"/>
      <c r="L969" s="850"/>
    </row>
    <row r="970" spans="2:12" s="658" customFormat="1" ht="15">
      <c r="B970" s="1551" t="str">
        <f>'8.Dgia'!B681</f>
        <v/>
      </c>
      <c r="C970" s="1552">
        <f>'8.Dgia'!C681</f>
        <v>0</v>
      </c>
      <c r="D970" s="1552">
        <f>'8.Dgia'!D681</f>
        <v>0</v>
      </c>
      <c r="E970" s="1770" t="str">
        <f>'8.Dgia'!E681</f>
        <v xml:space="preserve">  C - Máy thi công</v>
      </c>
      <c r="F970" s="1786">
        <f>'8.Dgia'!G681</f>
        <v>0</v>
      </c>
      <c r="G970" s="1964">
        <f>'8.Dgia'!H681</f>
        <v>0</v>
      </c>
      <c r="H970" s="1773"/>
      <c r="I970" s="1777">
        <f>SUM(I971:I976)</f>
        <v>536994.40697795455</v>
      </c>
      <c r="J970" s="850"/>
      <c r="K970" s="850"/>
      <c r="L970" s="850"/>
    </row>
    <row r="971" spans="2:12" ht="15">
      <c r="B971" s="1551" t="str">
        <f>'8.Dgia'!B682</f>
        <v/>
      </c>
      <c r="C971" s="1552">
        <f>'8.Dgia'!C682</f>
        <v>0</v>
      </c>
      <c r="D971" s="1552">
        <f>'8.Dgia'!D682</f>
        <v>0</v>
      </c>
      <c r="E971" s="1775" t="str">
        <f>'8.Dgia'!E682</f>
        <v>Bộ kích 50T</v>
      </c>
      <c r="F971" s="1745" t="s">
        <v>5493</v>
      </c>
      <c r="G971" s="1964">
        <f>'8.Dgia'!H682</f>
        <v>0.35</v>
      </c>
      <c r="H971" s="1773">
        <f>'9.may'!$P$738</f>
        <v>209878.78500000003</v>
      </c>
      <c r="I971" s="1773">
        <f>H971*G971</f>
        <v>73457.57475</v>
      </c>
    </row>
    <row r="972" spans="2:12" ht="15">
      <c r="B972" s="1551" t="str">
        <f>'8.Dgia'!B683</f>
        <v/>
      </c>
      <c r="C972" s="1552">
        <f>'8.Dgia'!C683</f>
        <v>0</v>
      </c>
      <c r="D972" s="1552">
        <f>'8.Dgia'!D683</f>
        <v>0</v>
      </c>
      <c r="E972" s="1775" t="str">
        <f>'8.Dgia'!E683</f>
        <v>Tời điện 3T</v>
      </c>
      <c r="F972" s="1745" t="s">
        <v>5493</v>
      </c>
      <c r="G972" s="1964">
        <f>'8.Dgia'!H683</f>
        <v>0.18</v>
      </c>
      <c r="H972" s="1773">
        <f>'9.may'!$P$305</f>
        <v>108443.97000000002</v>
      </c>
      <c r="I972" s="1773">
        <f>H972*G972</f>
        <v>19519.914600000004</v>
      </c>
    </row>
    <row r="973" spans="2:12" ht="15">
      <c r="B973" s="1551" t="str">
        <f>'8.Dgia'!B684</f>
        <v/>
      </c>
      <c r="C973" s="1552">
        <f>'8.Dgia'!C684</f>
        <v>0</v>
      </c>
      <c r="D973" s="1552">
        <f>'8.Dgia'!D684</f>
        <v>0</v>
      </c>
      <c r="E973" s="1775" t="str">
        <f>'8.Dgia'!E684</f>
        <v>Cần cẩu bánh xích 50T</v>
      </c>
      <c r="F973" s="1745" t="s">
        <v>5493</v>
      </c>
      <c r="G973" s="1964">
        <f>'8.Dgia'!H684</f>
        <v>0.08</v>
      </c>
      <c r="H973" s="1773">
        <f>'9.may'!$P$251</f>
        <v>3833693.9468181818</v>
      </c>
      <c r="I973" s="1773">
        <f>H973*G973</f>
        <v>306695.51574545453</v>
      </c>
    </row>
    <row r="974" spans="2:12" ht="15">
      <c r="B974" s="1551" t="str">
        <f>'8.Dgia'!B685</f>
        <v/>
      </c>
      <c r="C974" s="1552">
        <f>'8.Dgia'!C685</f>
        <v>0</v>
      </c>
      <c r="D974" s="1552">
        <f>'8.Dgia'!D685</f>
        <v>0</v>
      </c>
      <c r="E974" s="1775" t="str">
        <f>'8.Dgia'!E685</f>
        <v>Sà lan 400T</v>
      </c>
      <c r="F974" s="1745" t="s">
        <v>5493</v>
      </c>
      <c r="G974" s="1772">
        <v>0.08</v>
      </c>
      <c r="H974" s="1773">
        <f>'9.may'!$P$655</f>
        <v>1144511.22</v>
      </c>
      <c r="I974" s="1773">
        <f>H974*G974</f>
        <v>91560.897599999997</v>
      </c>
    </row>
    <row r="975" spans="2:12" ht="15">
      <c r="B975" s="1551" t="str">
        <f>'8.Dgia'!B686</f>
        <v/>
      </c>
      <c r="C975" s="1552">
        <f>'8.Dgia'!C686</f>
        <v>0</v>
      </c>
      <c r="D975" s="1552">
        <f>'8.Dgia'!D686</f>
        <v>0</v>
      </c>
      <c r="E975" s="1775" t="str">
        <f>'8.Dgia'!E686</f>
        <v>Canô 120cv</v>
      </c>
      <c r="F975" s="1745" t="s">
        <v>5493</v>
      </c>
      <c r="G975" s="1772">
        <v>2.5000000000000001E-2</v>
      </c>
      <c r="H975" s="1773">
        <f>'9.may'!$P$673</f>
        <v>807573.68181818177</v>
      </c>
      <c r="I975" s="1773">
        <f>H975*G975</f>
        <v>20189.342045454545</v>
      </c>
    </row>
    <row r="976" spans="2:12" ht="15">
      <c r="B976" s="1551" t="str">
        <f>'8.Dgia'!B687</f>
        <v/>
      </c>
      <c r="C976" s="1552">
        <f>'8.Dgia'!C687</f>
        <v>0</v>
      </c>
      <c r="D976" s="1552">
        <f>'8.Dgia'!D687</f>
        <v>0</v>
      </c>
      <c r="E976" s="1775" t="str">
        <f>'8.Dgia'!E687</f>
        <v>Máy khác</v>
      </c>
      <c r="F976" s="1786" t="str">
        <f>'8.Dgia'!G687</f>
        <v>%</v>
      </c>
      <c r="G976" s="1965">
        <f>'8.Dgia'!H687</f>
        <v>5</v>
      </c>
      <c r="H976" s="1773">
        <f>SUM(I971:I975)</f>
        <v>511423.24474090908</v>
      </c>
      <c r="I976" s="1773">
        <f>H976*G976%</f>
        <v>25571.162237045457</v>
      </c>
    </row>
    <row r="977" spans="1:12" s="658" customFormat="1" ht="15">
      <c r="B977" s="1677"/>
      <c r="C977" s="1678"/>
      <c r="D977" s="1678"/>
      <c r="E977" s="1778" t="s">
        <v>5675</v>
      </c>
      <c r="F977" s="1786">
        <f>$J$5</f>
        <v>0.02</v>
      </c>
      <c r="G977" s="1780"/>
      <c r="H977" s="1777"/>
      <c r="I977" s="1777">
        <f>( I961+I969+I970 )*F977</f>
        <v>23209.096229373143</v>
      </c>
      <c r="J977" s="850"/>
      <c r="K977" s="850"/>
      <c r="L977" s="850"/>
    </row>
    <row r="978" spans="1:12" ht="15">
      <c r="B978" s="1556"/>
      <c r="C978" s="1557"/>
      <c r="D978" s="1557"/>
      <c r="E978" s="1781" t="s">
        <v>5676</v>
      </c>
      <c r="F978" s="1786"/>
      <c r="G978" s="1783"/>
      <c r="H978" s="1784"/>
      <c r="I978" s="1784">
        <f>I977+I977/F977</f>
        <v>1183663.9076980304</v>
      </c>
    </row>
    <row r="979" spans="1:12" ht="15">
      <c r="B979" s="1551"/>
      <c r="C979" s="1552"/>
      <c r="D979" s="1552"/>
      <c r="E979" s="1785" t="s">
        <v>5677</v>
      </c>
      <c r="F979" s="1786">
        <f>$K$5</f>
        <v>5.5E-2</v>
      </c>
      <c r="G979" s="1772"/>
      <c r="H979" s="1773"/>
      <c r="I979" s="1773">
        <f>I978*F979</f>
        <v>65101.514923391667</v>
      </c>
    </row>
    <row r="980" spans="1:12" ht="15">
      <c r="B980" s="1551"/>
      <c r="C980" s="1552"/>
      <c r="D980" s="1552"/>
      <c r="E980" s="1785" t="s">
        <v>5678</v>
      </c>
      <c r="F980" s="1786">
        <f>$L$5</f>
        <v>0.06</v>
      </c>
      <c r="G980" s="1772"/>
      <c r="H980" s="1773"/>
      <c r="I980" s="1773">
        <f>SUM(I978:I979)*F980</f>
        <v>74925.925357285319</v>
      </c>
    </row>
    <row r="981" spans="1:12" ht="14.25">
      <c r="B981" s="1556"/>
      <c r="C981" s="1557"/>
      <c r="D981" s="1557"/>
      <c r="E981" s="1781" t="s">
        <v>5679</v>
      </c>
      <c r="F981" s="1787"/>
      <c r="G981" s="1783"/>
      <c r="H981" s="1784"/>
      <c r="I981" s="1784">
        <f>SUM(I978:I980)</f>
        <v>1323691.3479787074</v>
      </c>
    </row>
    <row r="982" spans="1:12" ht="15">
      <c r="B982" s="1551"/>
      <c r="C982" s="1552"/>
      <c r="D982" s="1552"/>
      <c r="E982" s="1785" t="s">
        <v>5680</v>
      </c>
      <c r="F982" s="1788">
        <f>$M$5</f>
        <v>0.1</v>
      </c>
      <c r="G982" s="1772"/>
      <c r="H982" s="1773"/>
      <c r="I982" s="1773">
        <f>I981*F982</f>
        <v>132369.13479787073</v>
      </c>
    </row>
    <row r="983" spans="1:12" ht="14.25">
      <c r="B983" s="1556"/>
      <c r="C983" s="1557"/>
      <c r="D983" s="1557"/>
      <c r="E983" s="1781" t="s">
        <v>5681</v>
      </c>
      <c r="F983" s="1787"/>
      <c r="G983" s="1783"/>
      <c r="H983" s="1784"/>
      <c r="I983" s="1784">
        <f>SUM(I981:I982)</f>
        <v>1456060.4827765781</v>
      </c>
    </row>
    <row r="984" spans="1:12" ht="12.75">
      <c r="B984" s="1551"/>
      <c r="C984" s="1552"/>
      <c r="D984" s="1552"/>
      <c r="E984" s="1563" t="s">
        <v>5682</v>
      </c>
      <c r="F984" s="1560">
        <f>$N$5</f>
        <v>0.01</v>
      </c>
      <c r="G984" s="1553"/>
      <c r="H984" s="1562"/>
      <c r="I984" s="1562">
        <f>I983*F984</f>
        <v>14560.604827765781</v>
      </c>
    </row>
    <row r="985" spans="1:12" ht="14.25">
      <c r="B985" s="2111"/>
      <c r="C985" s="1564"/>
      <c r="D985" s="2111"/>
      <c r="E985" s="2112" t="s">
        <v>5683</v>
      </c>
      <c r="F985" s="2113"/>
      <c r="G985" s="2112"/>
      <c r="H985" s="2114"/>
      <c r="I985" s="2110">
        <f>ROUND(I983+I984,0)</f>
        <v>1470621</v>
      </c>
    </row>
    <row r="986" spans="1:12" ht="15" customHeight="1">
      <c r="A986" s="657">
        <v>1</v>
      </c>
      <c r="B986" s="1546">
        <f>IF(A986&lt;&gt;0,COUNTA(A$7:$A986),"")</f>
        <v>53</v>
      </c>
      <c r="C986" s="1547">
        <f>'8.Dgia'!C688</f>
        <v>1776</v>
      </c>
      <c r="D986" s="1547" t="str">
        <f>'8.Dgia'!D688</f>
        <v>AF.66110</v>
      </c>
      <c r="E986" s="1740" t="str">
        <f>'8.Dgia'!E688</f>
        <v>Cáp dự ứng lực dầm đúc hẫng trên cạn</v>
      </c>
      <c r="F986" s="1789" t="s">
        <v>557</v>
      </c>
      <c r="G986" s="1742">
        <f>'8.Dgia'!H688</f>
        <v>0</v>
      </c>
      <c r="H986" s="1795"/>
      <c r="I986" s="1795"/>
      <c r="J986" s="842">
        <f>+I987</f>
        <v>26851917.272727273</v>
      </c>
      <c r="K986" s="842">
        <f>+I991</f>
        <v>7721616</v>
      </c>
      <c r="L986" s="842">
        <f>+I992</f>
        <v>7187113.0471254541</v>
      </c>
    </row>
    <row r="987" spans="1:12" s="658" customFormat="1" ht="15">
      <c r="B987" s="1536" t="str">
        <f>'8.Dgia'!B689</f>
        <v/>
      </c>
      <c r="C987" s="1537">
        <f>'8.Dgia'!C689</f>
        <v>0</v>
      </c>
      <c r="D987" s="1537">
        <f>'8.Dgia'!D689</f>
        <v>0</v>
      </c>
      <c r="E987" s="1744" t="str">
        <f>'8.Dgia'!E689</f>
        <v xml:space="preserve">  A - Vật liệu</v>
      </c>
      <c r="F987" s="1763">
        <f>'8.Dgia'!G689</f>
        <v>0</v>
      </c>
      <c r="G987" s="1746">
        <f>'8.Dgia'!H689</f>
        <v>0</v>
      </c>
      <c r="H987" s="1796"/>
      <c r="I987" s="1797">
        <f>SUM(I988:I990)</f>
        <v>26851917.272727273</v>
      </c>
      <c r="J987" s="850"/>
      <c r="K987" s="850"/>
      <c r="L987" s="850"/>
    </row>
    <row r="988" spans="1:12" ht="15">
      <c r="B988" s="1536" t="str">
        <f>'8.Dgia'!B690</f>
        <v/>
      </c>
      <c r="C988" s="1537">
        <f>'8.Dgia'!C690</f>
        <v>0</v>
      </c>
      <c r="D988" s="1537">
        <f>'8.Dgia'!D690</f>
        <v>0</v>
      </c>
      <c r="E988" s="1749" t="str">
        <f>'8.Dgia'!E690</f>
        <v xml:space="preserve">Thép cường độ cao </v>
      </c>
      <c r="F988" s="1763" t="str">
        <f>'8.Dgia'!G690</f>
        <v>kg</v>
      </c>
      <c r="G988" s="1954">
        <f>'8.Dgia'!H690</f>
        <v>1025</v>
      </c>
      <c r="H988" s="1796">
        <f>GVL!$I$169</f>
        <v>25454.545454545452</v>
      </c>
      <c r="I988" s="1796">
        <f>H988*G988</f>
        <v>26090909.09090909</v>
      </c>
    </row>
    <row r="989" spans="1:12" ht="15">
      <c r="B989" s="1536" t="str">
        <f>'8.Dgia'!B691</f>
        <v/>
      </c>
      <c r="C989" s="1537">
        <f>'8.Dgia'!C691</f>
        <v>0</v>
      </c>
      <c r="D989" s="1537">
        <f>'8.Dgia'!D691</f>
        <v>0</v>
      </c>
      <c r="E989" s="1749" t="str">
        <f>'8.Dgia'!E691</f>
        <v xml:space="preserve">Đá cắt </v>
      </c>
      <c r="F989" s="1763" t="str">
        <f>'8.Dgia'!G691</f>
        <v>viên</v>
      </c>
      <c r="G989" s="1954">
        <f>'8.Dgia'!H691</f>
        <v>6.7</v>
      </c>
      <c r="H989" s="1796">
        <f>GVL!$I$61</f>
        <v>35000</v>
      </c>
      <c r="I989" s="1796">
        <f>H989*G989</f>
        <v>234500</v>
      </c>
    </row>
    <row r="990" spans="1:12" ht="15">
      <c r="B990" s="1536" t="str">
        <f>'8.Dgia'!B692</f>
        <v/>
      </c>
      <c r="C990" s="1537">
        <f>'8.Dgia'!C692</f>
        <v>0</v>
      </c>
      <c r="D990" s="1537">
        <f>'8.Dgia'!D692</f>
        <v>0</v>
      </c>
      <c r="E990" s="1749" t="str">
        <f>'8.Dgia'!E692</f>
        <v>Vật liệu khác</v>
      </c>
      <c r="F990" s="1763" t="str">
        <f>'8.Dgia'!G692</f>
        <v>%</v>
      </c>
      <c r="G990" s="1954">
        <f>'8.Dgia'!H692</f>
        <v>2</v>
      </c>
      <c r="H990" s="1796">
        <f>SUM(I988:I989)</f>
        <v>26325409.09090909</v>
      </c>
      <c r="I990" s="1796">
        <f>H990*G990%</f>
        <v>526508.18181818177</v>
      </c>
    </row>
    <row r="991" spans="1:12" s="658" customFormat="1" ht="15">
      <c r="B991" s="1536" t="str">
        <f>'8.Dgia'!B693</f>
        <v/>
      </c>
      <c r="C991" s="1537">
        <f>'8.Dgia'!C693</f>
        <v>0</v>
      </c>
      <c r="D991" s="1537">
        <f>'8.Dgia'!D693</f>
        <v>0</v>
      </c>
      <c r="E991" s="1744" t="str">
        <f>'8.Dgia'!E693</f>
        <v xml:space="preserve">  B - Nhân công 4.5/7</v>
      </c>
      <c r="F991" s="1745" t="s">
        <v>552</v>
      </c>
      <c r="G991" s="1982">
        <f>'8.Dgia'!H693</f>
        <v>28</v>
      </c>
      <c r="H991" s="1796">
        <f>'16.NC'!$H$20</f>
        <v>275772</v>
      </c>
      <c r="I991" s="1798">
        <f>H991*G991</f>
        <v>7721616</v>
      </c>
      <c r="J991" s="850"/>
      <c r="K991" s="850"/>
      <c r="L991" s="850"/>
    </row>
    <row r="992" spans="1:12" s="658" customFormat="1" ht="15">
      <c r="B992" s="1536" t="str">
        <f>'8.Dgia'!B694</f>
        <v/>
      </c>
      <c r="C992" s="1537">
        <f>'8.Dgia'!C694</f>
        <v>0</v>
      </c>
      <c r="D992" s="1537">
        <f>'8.Dgia'!D694</f>
        <v>0</v>
      </c>
      <c r="E992" s="1744" t="str">
        <f>'8.Dgia'!E694</f>
        <v xml:space="preserve">  C - Máy thi công</v>
      </c>
      <c r="F992" s="1763">
        <f>'8.Dgia'!G694</f>
        <v>0</v>
      </c>
      <c r="G992" s="1981">
        <f>'8.Dgia'!H694</f>
        <v>0</v>
      </c>
      <c r="H992" s="1796"/>
      <c r="I992" s="1799">
        <f>SUM(I993:I1002)</f>
        <v>7187113.0471254541</v>
      </c>
      <c r="J992" s="850"/>
      <c r="K992" s="850"/>
      <c r="L992" s="850"/>
    </row>
    <row r="993" spans="2:12" ht="15">
      <c r="B993" s="1536" t="str">
        <f>'8.Dgia'!B695</f>
        <v/>
      </c>
      <c r="C993" s="1537">
        <f>'8.Dgia'!C695</f>
        <v>0</v>
      </c>
      <c r="D993" s="1537">
        <f>'8.Dgia'!D695</f>
        <v>0</v>
      </c>
      <c r="E993" s="1749" t="str">
        <f>'8.Dgia'!E695</f>
        <v>Cần cẩu bánh xích 25T</v>
      </c>
      <c r="F993" s="1745" t="s">
        <v>5493</v>
      </c>
      <c r="G993" s="1981">
        <f>'8.Dgia'!H695</f>
        <v>0.17</v>
      </c>
      <c r="H993" s="1796">
        <f>'9.may'!$P$248</f>
        <v>2787996.6736363638</v>
      </c>
      <c r="I993" s="1796">
        <f t="shared" ref="I993:I1001" si="6">H993*G993</f>
        <v>473959.43451818189</v>
      </c>
    </row>
    <row r="994" spans="2:12" ht="15">
      <c r="B994" s="1536" t="str">
        <f>'8.Dgia'!B696</f>
        <v/>
      </c>
      <c r="C994" s="1537">
        <f>'8.Dgia'!C696</f>
        <v>0</v>
      </c>
      <c r="D994" s="1537">
        <f>'8.Dgia'!D696</f>
        <v>0</v>
      </c>
      <c r="E994" s="1749" t="str">
        <f>'8.Dgia'!E696</f>
        <v>Tời điện 5T</v>
      </c>
      <c r="F994" s="1745" t="s">
        <v>5493</v>
      </c>
      <c r="G994" s="1981">
        <f>'8.Dgia'!H696</f>
        <v>0.42</v>
      </c>
      <c r="H994" s="1796">
        <f>'9.may'!$P$307</f>
        <v>135809.41500000001</v>
      </c>
      <c r="I994" s="1796">
        <f t="shared" si="6"/>
        <v>57039.954300000005</v>
      </c>
    </row>
    <row r="995" spans="2:12" ht="15">
      <c r="B995" s="1536" t="str">
        <f>'8.Dgia'!B697</f>
        <v/>
      </c>
      <c r="C995" s="1537">
        <f>'8.Dgia'!C697</f>
        <v>0</v>
      </c>
      <c r="D995" s="1537">
        <f>'8.Dgia'!D697</f>
        <v>0</v>
      </c>
      <c r="E995" s="1749" t="str">
        <f>'8.Dgia'!E697</f>
        <v>Máy cắt cáp 10kw</v>
      </c>
      <c r="F995" s="1745" t="s">
        <v>5493</v>
      </c>
      <c r="G995" s="1981">
        <f>'8.Dgia'!H697</f>
        <v>3.3</v>
      </c>
      <c r="H995" s="1796">
        <f>'9.may'!$P$779</f>
        <v>93919.01999999999</v>
      </c>
      <c r="I995" s="1796">
        <f t="shared" si="6"/>
        <v>309932.76599999995</v>
      </c>
    </row>
    <row r="996" spans="2:12" ht="15">
      <c r="B996" s="1536" t="str">
        <f>'8.Dgia'!B698</f>
        <v/>
      </c>
      <c r="C996" s="1537">
        <f>'8.Dgia'!C698</f>
        <v>0</v>
      </c>
      <c r="D996" s="1537">
        <f>'8.Dgia'!D698</f>
        <v>0</v>
      </c>
      <c r="E996" s="1749" t="str">
        <f>'8.Dgia'!E698</f>
        <v>Máy luồn cáp 15kw</v>
      </c>
      <c r="F996" s="1745" t="s">
        <v>5493</v>
      </c>
      <c r="G996" s="1981">
        <f>'8.Dgia'!H698</f>
        <v>9</v>
      </c>
      <c r="H996" s="1796">
        <f>'9.may'!$P$316</f>
        <v>399767.43</v>
      </c>
      <c r="I996" s="1796">
        <f t="shared" si="6"/>
        <v>3597906.87</v>
      </c>
    </row>
    <row r="997" spans="2:12" ht="15">
      <c r="B997" s="1536" t="str">
        <f>'8.Dgia'!B699</f>
        <v/>
      </c>
      <c r="C997" s="1537">
        <f>'8.Dgia'!C699</f>
        <v>0</v>
      </c>
      <c r="D997" s="1537">
        <f>'8.Dgia'!D699</f>
        <v>0</v>
      </c>
      <c r="E997" s="1749" t="str">
        <f>'8.Dgia'!E699</f>
        <v>Máy bơm nước 20kw</v>
      </c>
      <c r="F997" s="1745" t="s">
        <v>5493</v>
      </c>
      <c r="G997" s="1981">
        <f>'8.Dgia'!H699</f>
        <v>1.3</v>
      </c>
      <c r="H997" s="1796">
        <f>'9.may'!$P$425</f>
        <v>203092.83000000002</v>
      </c>
      <c r="I997" s="1796">
        <f t="shared" si="6"/>
        <v>264020.679</v>
      </c>
    </row>
    <row r="998" spans="2:12" ht="15">
      <c r="B998" s="1536" t="str">
        <f>'8.Dgia'!B700</f>
        <v/>
      </c>
      <c r="C998" s="1537">
        <f>'8.Dgia'!C700</f>
        <v>0</v>
      </c>
      <c r="D998" s="1537">
        <f>'8.Dgia'!D700</f>
        <v>0</v>
      </c>
      <c r="E998" s="1749" t="str">
        <f>'8.Dgia'!E700</f>
        <v>Máy nén khí 600m3/h</v>
      </c>
      <c r="F998" s="1745" t="s">
        <v>5493</v>
      </c>
      <c r="G998" s="1981">
        <f>'8.Dgia'!H700</f>
        <v>0.99</v>
      </c>
      <c r="H998" s="1796">
        <f>'9.may'!$P$488</f>
        <v>1323272.1545454543</v>
      </c>
      <c r="I998" s="1796">
        <f t="shared" si="6"/>
        <v>1310039.4329999997</v>
      </c>
    </row>
    <row r="999" spans="2:12" ht="15">
      <c r="B999" s="1536" t="str">
        <f>'8.Dgia'!B701</f>
        <v/>
      </c>
      <c r="C999" s="1537">
        <f>'8.Dgia'!C701</f>
        <v>0</v>
      </c>
      <c r="D999" s="1537">
        <f>'8.Dgia'!D701</f>
        <v>0</v>
      </c>
      <c r="E999" s="1749" t="str">
        <f>'8.Dgia'!E701</f>
        <v>Kích 250T</v>
      </c>
      <c r="F999" s="1745" t="s">
        <v>5493</v>
      </c>
      <c r="G999" s="1981">
        <f>'8.Dgia'!H701</f>
        <v>3.3</v>
      </c>
      <c r="H999" s="1796">
        <f>'9.may'!$P$746</f>
        <v>95119.44</v>
      </c>
      <c r="I999" s="1796">
        <f t="shared" si="6"/>
        <v>313894.152</v>
      </c>
    </row>
    <row r="1000" spans="2:12" ht="15">
      <c r="B1000" s="1536" t="str">
        <f>'8.Dgia'!B702</f>
        <v/>
      </c>
      <c r="C1000" s="1537">
        <f>'8.Dgia'!C702</f>
        <v>0</v>
      </c>
      <c r="D1000" s="1537">
        <f>'8.Dgia'!D702</f>
        <v>0</v>
      </c>
      <c r="E1000" s="1749" t="str">
        <f>'8.Dgia'!E702</f>
        <v>Kích 500T</v>
      </c>
      <c r="F1000" s="1745" t="s">
        <v>5493</v>
      </c>
      <c r="G1000" s="1981">
        <f>'8.Dgia'!H702</f>
        <v>3.3</v>
      </c>
      <c r="H1000" s="1796">
        <f>'9.may'!$P$747</f>
        <v>132935.79</v>
      </c>
      <c r="I1000" s="1796">
        <f t="shared" si="6"/>
        <v>438688.10700000002</v>
      </c>
    </row>
    <row r="1001" spans="2:12" ht="15">
      <c r="B1001" s="1536" t="str">
        <f>'8.Dgia'!B703</f>
        <v/>
      </c>
      <c r="C1001" s="1537">
        <f>'8.Dgia'!C703</f>
        <v>0</v>
      </c>
      <c r="D1001" s="1537">
        <f>'8.Dgia'!D703</f>
        <v>0</v>
      </c>
      <c r="E1001" s="1749" t="str">
        <f>'8.Dgia'!E703</f>
        <v>Palăng xích 3T</v>
      </c>
      <c r="F1001" s="1745" t="s">
        <v>5493</v>
      </c>
      <c r="G1001" s="1981">
        <f>'8.Dgia'!H703</f>
        <v>5.3</v>
      </c>
      <c r="H1001" s="1796">
        <f>'9.may'!$P$734</f>
        <v>59512.86</v>
      </c>
      <c r="I1001" s="1796">
        <f t="shared" si="6"/>
        <v>315418.158</v>
      </c>
    </row>
    <row r="1002" spans="2:12" ht="15">
      <c r="B1002" s="1536" t="str">
        <f>'8.Dgia'!B704</f>
        <v/>
      </c>
      <c r="C1002" s="1537">
        <f>'8.Dgia'!C704</f>
        <v>0</v>
      </c>
      <c r="D1002" s="1537">
        <f>'8.Dgia'!D704</f>
        <v>0</v>
      </c>
      <c r="E1002" s="1749" t="str">
        <f>'8.Dgia'!E704</f>
        <v>Máy khác</v>
      </c>
      <c r="F1002" s="1763" t="str">
        <f>'8.Dgia'!G704</f>
        <v>%</v>
      </c>
      <c r="G1002" s="1981">
        <f>'8.Dgia'!H704</f>
        <v>1.5</v>
      </c>
      <c r="H1002" s="1796">
        <f>SUM(I993:I1001)</f>
        <v>7080899.5538181812</v>
      </c>
      <c r="I1002" s="1796">
        <f>H1002*G1002%</f>
        <v>106213.49330727271</v>
      </c>
    </row>
    <row r="1003" spans="2:12" s="658" customFormat="1" ht="15">
      <c r="B1003" s="1675"/>
      <c r="C1003" s="1676"/>
      <c r="D1003" s="1676"/>
      <c r="E1003" s="1800" t="s">
        <v>5675</v>
      </c>
      <c r="F1003" s="1763">
        <f>$J$5</f>
        <v>0.02</v>
      </c>
      <c r="G1003" s="1754"/>
      <c r="H1003" s="1799"/>
      <c r="I1003" s="1799">
        <f>( I987+I991+I992 )*F1003</f>
        <v>835212.92639705446</v>
      </c>
      <c r="J1003" s="850"/>
      <c r="K1003" s="850"/>
      <c r="L1003" s="850"/>
    </row>
    <row r="1004" spans="2:12" ht="15">
      <c r="B1004" s="1540"/>
      <c r="C1004" s="1541"/>
      <c r="D1004" s="1541"/>
      <c r="E1004" s="1801" t="s">
        <v>5676</v>
      </c>
      <c r="F1004" s="1763"/>
      <c r="G1004" s="1759"/>
      <c r="H1004" s="1802"/>
      <c r="I1004" s="1802">
        <f>I1003+I1003/F1003</f>
        <v>42595859.24624978</v>
      </c>
    </row>
    <row r="1005" spans="2:12" ht="15">
      <c r="B1005" s="1536"/>
      <c r="C1005" s="1537"/>
      <c r="D1005" s="1537"/>
      <c r="E1005" s="1803" t="s">
        <v>5677</v>
      </c>
      <c r="F1005" s="1763">
        <f>$K$5</f>
        <v>5.5E-2</v>
      </c>
      <c r="G1005" s="1746"/>
      <c r="H1005" s="1796"/>
      <c r="I1005" s="1796">
        <f>I1004*F1005</f>
        <v>2342772.2585437377</v>
      </c>
    </row>
    <row r="1006" spans="2:12" ht="15">
      <c r="B1006" s="1536"/>
      <c r="C1006" s="1537"/>
      <c r="D1006" s="1537"/>
      <c r="E1006" s="1803" t="s">
        <v>5678</v>
      </c>
      <c r="F1006" s="1763">
        <f>$L$5</f>
        <v>0.06</v>
      </c>
      <c r="G1006" s="1746"/>
      <c r="H1006" s="1796"/>
      <c r="I1006" s="1796">
        <f>SUM(I1004:I1005)*F1006</f>
        <v>2696317.8902876112</v>
      </c>
    </row>
    <row r="1007" spans="2:12" ht="14.25">
      <c r="B1007" s="1540"/>
      <c r="C1007" s="1541"/>
      <c r="D1007" s="1541"/>
      <c r="E1007" s="1801" t="s">
        <v>5679</v>
      </c>
      <c r="F1007" s="1791"/>
      <c r="G1007" s="1759"/>
      <c r="H1007" s="1802"/>
      <c r="I1007" s="1802">
        <f>SUM(I1004:I1006)</f>
        <v>47634949.395081125</v>
      </c>
    </row>
    <row r="1008" spans="2:12" ht="15">
      <c r="B1008" s="1536"/>
      <c r="C1008" s="1537"/>
      <c r="D1008" s="1537"/>
      <c r="E1008" s="1803" t="s">
        <v>5680</v>
      </c>
      <c r="F1008" s="1765">
        <f>$M$5</f>
        <v>0.1</v>
      </c>
      <c r="G1008" s="1746"/>
      <c r="H1008" s="1796"/>
      <c r="I1008" s="1796">
        <f>I1007*F1008</f>
        <v>4763494.9395081131</v>
      </c>
    </row>
    <row r="1009" spans="1:12" ht="14.25">
      <c r="B1009" s="1540"/>
      <c r="C1009" s="1541"/>
      <c r="D1009" s="1541"/>
      <c r="E1009" s="1801" t="s">
        <v>5681</v>
      </c>
      <c r="F1009" s="1791"/>
      <c r="G1009" s="1759"/>
      <c r="H1009" s="1802"/>
      <c r="I1009" s="1802">
        <f>SUM(I1007:I1008)</f>
        <v>52398444.334589235</v>
      </c>
    </row>
    <row r="1010" spans="1:12" ht="12.75">
      <c r="B1010" s="1536"/>
      <c r="C1010" s="1537"/>
      <c r="D1010" s="1537"/>
      <c r="E1010" s="1464" t="s">
        <v>5682</v>
      </c>
      <c r="F1010" s="1535">
        <f>$N$5</f>
        <v>0.01</v>
      </c>
      <c r="G1010" s="1538"/>
      <c r="H1010" s="1539"/>
      <c r="I1010" s="1539">
        <f>I1009*F1010</f>
        <v>523984.44334589236</v>
      </c>
    </row>
    <row r="1011" spans="1:12" ht="14.25">
      <c r="B1011" s="2116"/>
      <c r="C1011" s="1544"/>
      <c r="D1011" s="2116"/>
      <c r="E1011" s="2117" t="s">
        <v>5683</v>
      </c>
      <c r="F1011" s="2115"/>
      <c r="G1011" s="2117"/>
      <c r="H1011" s="2118"/>
      <c r="I1011" s="2110">
        <f>ROUND(I1009+I1010,0)</f>
        <v>52922429</v>
      </c>
    </row>
    <row r="1012" spans="1:12" s="1336" customFormat="1" ht="28.5">
      <c r="A1012" s="657">
        <v>1</v>
      </c>
      <c r="B1012" s="1546">
        <f>IF(A1012&lt;&gt;0,COUNTA(A$7:$A1012),"")</f>
        <v>54</v>
      </c>
      <c r="C1012" s="1547">
        <f>'8.Dgia'!C705</f>
        <v>1776</v>
      </c>
      <c r="D1012" s="1547" t="str">
        <f>'8.Dgia'!D705</f>
        <v>AF.66120</v>
      </c>
      <c r="E1012" s="1740" t="str">
        <f>'8.Dgia'!E705</f>
        <v>Cáp dự ứng lực dầm đúc hẫng trên mặt nước</v>
      </c>
      <c r="F1012" s="1789" t="s">
        <v>557</v>
      </c>
      <c r="G1012" s="1742">
        <f>'8.Dgia'!H705</f>
        <v>0</v>
      </c>
      <c r="H1012" s="1795"/>
      <c r="I1012" s="1795"/>
      <c r="J1012" s="1425">
        <f>+I1013</f>
        <v>26851917.272727273</v>
      </c>
      <c r="K1012" s="1425">
        <f>+I1017</f>
        <v>8824704</v>
      </c>
      <c r="L1012" s="1425">
        <f>+I1018</f>
        <v>9387595.0991635919</v>
      </c>
    </row>
    <row r="1013" spans="1:12" s="658" customFormat="1" ht="15">
      <c r="B1013" s="1536" t="str">
        <f>'8.Dgia'!B706</f>
        <v/>
      </c>
      <c r="C1013" s="1537">
        <f>'8.Dgia'!C706</f>
        <v>0</v>
      </c>
      <c r="D1013" s="1537">
        <f>'8.Dgia'!D706</f>
        <v>0</v>
      </c>
      <c r="E1013" s="1744" t="str">
        <f>'8.Dgia'!E706</f>
        <v xml:space="preserve">  A - Vật liệu</v>
      </c>
      <c r="F1013" s="1763">
        <f>'8.Dgia'!G706</f>
        <v>0</v>
      </c>
      <c r="G1013" s="1746">
        <f>'8.Dgia'!H706</f>
        <v>0</v>
      </c>
      <c r="H1013" s="1796"/>
      <c r="I1013" s="1797">
        <f>SUM(I1014:I1016)</f>
        <v>26851917.272727273</v>
      </c>
      <c r="J1013" s="850"/>
      <c r="K1013" s="850"/>
      <c r="L1013" s="850"/>
    </row>
    <row r="1014" spans="1:12" ht="15">
      <c r="B1014" s="1536" t="str">
        <f>'8.Dgia'!B707</f>
        <v/>
      </c>
      <c r="C1014" s="1537">
        <f>'8.Dgia'!C707</f>
        <v>0</v>
      </c>
      <c r="D1014" s="1537">
        <f>'8.Dgia'!D707</f>
        <v>0</v>
      </c>
      <c r="E1014" s="1749" t="str">
        <f>'8.Dgia'!E707</f>
        <v xml:space="preserve">Thép cường độ cao </v>
      </c>
      <c r="F1014" s="1763" t="str">
        <f>'8.Dgia'!G707</f>
        <v>kg</v>
      </c>
      <c r="G1014" s="1954">
        <f>'8.Dgia'!H707</f>
        <v>1025</v>
      </c>
      <c r="H1014" s="1796">
        <f>GVL!$I$169</f>
        <v>25454.545454545452</v>
      </c>
      <c r="I1014" s="1796">
        <f>H1014*G1014</f>
        <v>26090909.09090909</v>
      </c>
    </row>
    <row r="1015" spans="1:12" ht="15">
      <c r="B1015" s="1536" t="str">
        <f>'8.Dgia'!B708</f>
        <v/>
      </c>
      <c r="C1015" s="1537">
        <f>'8.Dgia'!C708</f>
        <v>0</v>
      </c>
      <c r="D1015" s="1537">
        <f>'8.Dgia'!D708</f>
        <v>0</v>
      </c>
      <c r="E1015" s="1749" t="str">
        <f>'8.Dgia'!E708</f>
        <v xml:space="preserve">Đá cắt </v>
      </c>
      <c r="F1015" s="1763" t="str">
        <f>'8.Dgia'!G708</f>
        <v>viên</v>
      </c>
      <c r="G1015" s="1954">
        <f>'8.Dgia'!H708</f>
        <v>6.7</v>
      </c>
      <c r="H1015" s="1796">
        <f>GVL!$I$61</f>
        <v>35000</v>
      </c>
      <c r="I1015" s="1796">
        <f>H1015*G1015</f>
        <v>234500</v>
      </c>
    </row>
    <row r="1016" spans="1:12" ht="15">
      <c r="B1016" s="1536" t="str">
        <f>'8.Dgia'!B709</f>
        <v/>
      </c>
      <c r="C1016" s="1537">
        <f>'8.Dgia'!C709</f>
        <v>0</v>
      </c>
      <c r="D1016" s="1537">
        <f>'8.Dgia'!D709</f>
        <v>0</v>
      </c>
      <c r="E1016" s="1749" t="str">
        <f>'8.Dgia'!E709</f>
        <v>Vật liệu khác</v>
      </c>
      <c r="F1016" s="1763" t="str">
        <f>'8.Dgia'!G709</f>
        <v>%</v>
      </c>
      <c r="G1016" s="1954">
        <f>'8.Dgia'!H709</f>
        <v>2</v>
      </c>
      <c r="H1016" s="1796">
        <f>SUM(I1014:I1015)</f>
        <v>26325409.09090909</v>
      </c>
      <c r="I1016" s="1796">
        <f>H1016*G1016%</f>
        <v>526508.18181818177</v>
      </c>
    </row>
    <row r="1017" spans="1:12" s="658" customFormat="1" ht="15">
      <c r="B1017" s="1536" t="str">
        <f>'8.Dgia'!B710</f>
        <v/>
      </c>
      <c r="C1017" s="1537">
        <f>'8.Dgia'!C710</f>
        <v>0</v>
      </c>
      <c r="D1017" s="1537">
        <f>'8.Dgia'!D710</f>
        <v>0</v>
      </c>
      <c r="E1017" s="1744" t="str">
        <f>'8.Dgia'!E710</f>
        <v xml:space="preserve">  B - Nhân công 4.5/7</v>
      </c>
      <c r="F1017" s="1745" t="s">
        <v>552</v>
      </c>
      <c r="G1017" s="1954">
        <f>'8.Dgia'!H710</f>
        <v>32</v>
      </c>
      <c r="H1017" s="1796">
        <f>'16.NC'!$H$20</f>
        <v>275772</v>
      </c>
      <c r="I1017" s="1798">
        <f>H1017*G1017</f>
        <v>8824704</v>
      </c>
      <c r="J1017" s="850"/>
      <c r="K1017" s="850"/>
      <c r="L1017" s="850"/>
    </row>
    <row r="1018" spans="1:12" s="658" customFormat="1" ht="15">
      <c r="B1018" s="1536" t="str">
        <f>'8.Dgia'!B711</f>
        <v/>
      </c>
      <c r="C1018" s="1537">
        <f>'8.Dgia'!C711</f>
        <v>0</v>
      </c>
      <c r="D1018" s="1537">
        <f>'8.Dgia'!D711</f>
        <v>0</v>
      </c>
      <c r="E1018" s="1744" t="str">
        <f>'8.Dgia'!E711</f>
        <v xml:space="preserve">  C - Máy thi công</v>
      </c>
      <c r="F1018" s="1763">
        <f>'8.Dgia'!G711</f>
        <v>0</v>
      </c>
      <c r="G1018" s="1954">
        <f>'8.Dgia'!H711</f>
        <v>0</v>
      </c>
      <c r="H1018" s="1796"/>
      <c r="I1018" s="1799">
        <f>SUM(I1019:I1030)</f>
        <v>9387595.0991635919</v>
      </c>
      <c r="J1018" s="850"/>
      <c r="K1018" s="850"/>
      <c r="L1018" s="850"/>
    </row>
    <row r="1019" spans="1:12" ht="15">
      <c r="B1019" s="1536" t="str">
        <f>'8.Dgia'!B712</f>
        <v/>
      </c>
      <c r="C1019" s="1537">
        <f>'8.Dgia'!C712</f>
        <v>0</v>
      </c>
      <c r="D1019" s="1537">
        <f>'8.Dgia'!D712</f>
        <v>0</v>
      </c>
      <c r="E1019" s="1749" t="str">
        <f>'8.Dgia'!E712</f>
        <v>Cần cẩu bánh xích 25T</v>
      </c>
      <c r="F1019" s="1745" t="s">
        <v>5493</v>
      </c>
      <c r="G1019" s="1954">
        <f>'8.Dgia'!H712</f>
        <v>0.25</v>
      </c>
      <c r="H1019" s="1796">
        <f>'9.may'!$P$248</f>
        <v>2787996.6736363638</v>
      </c>
      <c r="I1019" s="1796">
        <f t="shared" ref="I1019:I1029" si="7">H1019*G1019</f>
        <v>696999.16840909095</v>
      </c>
    </row>
    <row r="1020" spans="1:12" ht="15">
      <c r="B1020" s="1536" t="str">
        <f>'8.Dgia'!B713</f>
        <v/>
      </c>
      <c r="C1020" s="1537">
        <f>'8.Dgia'!C713</f>
        <v>0</v>
      </c>
      <c r="D1020" s="1537">
        <f>'8.Dgia'!D713</f>
        <v>0</v>
      </c>
      <c r="E1020" s="1749" t="str">
        <f>'8.Dgia'!E713</f>
        <v>Tời điện 5T</v>
      </c>
      <c r="F1020" s="1745" t="s">
        <v>5493</v>
      </c>
      <c r="G1020" s="1954">
        <f>'8.Dgia'!H713</f>
        <v>0.62</v>
      </c>
      <c r="H1020" s="1796">
        <f>'9.may'!$P$307</f>
        <v>135809.41500000001</v>
      </c>
      <c r="I1020" s="1796">
        <f t="shared" si="7"/>
        <v>84201.837299999999</v>
      </c>
    </row>
    <row r="1021" spans="1:12" ht="15">
      <c r="B1021" s="1536" t="str">
        <f>'8.Dgia'!B714</f>
        <v/>
      </c>
      <c r="C1021" s="1537">
        <f>'8.Dgia'!C714</f>
        <v>0</v>
      </c>
      <c r="D1021" s="1537">
        <f>'8.Dgia'!D714</f>
        <v>0</v>
      </c>
      <c r="E1021" s="1749" t="str">
        <f>'8.Dgia'!E714</f>
        <v>Máy cắt cáp 10kw</v>
      </c>
      <c r="F1021" s="1745" t="s">
        <v>5493</v>
      </c>
      <c r="G1021" s="1954">
        <f>'8.Dgia'!H714</f>
        <v>3.3</v>
      </c>
      <c r="H1021" s="1796">
        <f>'9.may'!$P$779</f>
        <v>93919.01999999999</v>
      </c>
      <c r="I1021" s="1796">
        <f t="shared" si="7"/>
        <v>309932.76599999995</v>
      </c>
    </row>
    <row r="1022" spans="1:12" ht="15">
      <c r="B1022" s="1536" t="str">
        <f>'8.Dgia'!B715</f>
        <v/>
      </c>
      <c r="C1022" s="1537">
        <f>'8.Dgia'!C715</f>
        <v>0</v>
      </c>
      <c r="D1022" s="1537">
        <f>'8.Dgia'!D715</f>
        <v>0</v>
      </c>
      <c r="E1022" s="1749" t="str">
        <f>'8.Dgia'!E715</f>
        <v>Máy luồn cáp 15kw</v>
      </c>
      <c r="F1022" s="1745" t="s">
        <v>5493</v>
      </c>
      <c r="G1022" s="1954">
        <f>'8.Dgia'!H715</f>
        <v>9.1</v>
      </c>
      <c r="H1022" s="1796">
        <f>'9.may'!$P$316</f>
        <v>399767.43</v>
      </c>
      <c r="I1022" s="1796">
        <f t="shared" si="7"/>
        <v>3637883.6129999999</v>
      </c>
    </row>
    <row r="1023" spans="1:12" ht="15">
      <c r="B1023" s="1536" t="str">
        <f>'8.Dgia'!B716</f>
        <v/>
      </c>
      <c r="C1023" s="1537">
        <f>'8.Dgia'!C716</f>
        <v>0</v>
      </c>
      <c r="D1023" s="1537">
        <f>'8.Dgia'!D716</f>
        <v>0</v>
      </c>
      <c r="E1023" s="1749" t="str">
        <f>'8.Dgia'!E716</f>
        <v>Máy bơm nước 20kw</v>
      </c>
      <c r="F1023" s="1745" t="s">
        <v>5493</v>
      </c>
      <c r="G1023" s="1954">
        <f>'8.Dgia'!H716</f>
        <v>1.3</v>
      </c>
      <c r="H1023" s="1796">
        <f>'9.may'!$P$425</f>
        <v>203092.83000000002</v>
      </c>
      <c r="I1023" s="1796">
        <f t="shared" si="7"/>
        <v>264020.679</v>
      </c>
    </row>
    <row r="1024" spans="1:12" ht="15">
      <c r="B1024" s="1536" t="str">
        <f>'8.Dgia'!B717</f>
        <v/>
      </c>
      <c r="C1024" s="1537">
        <f>'8.Dgia'!C717</f>
        <v>0</v>
      </c>
      <c r="D1024" s="1537">
        <f>'8.Dgia'!D717</f>
        <v>0</v>
      </c>
      <c r="E1024" s="1749" t="str">
        <f>'8.Dgia'!E717</f>
        <v>Máy nén khí 600m3/h</v>
      </c>
      <c r="F1024" s="1745" t="s">
        <v>5493</v>
      </c>
      <c r="G1024" s="1954">
        <f>'8.Dgia'!H717</f>
        <v>1.2</v>
      </c>
      <c r="H1024" s="1796">
        <f>'9.may'!$P$488</f>
        <v>1323272.1545454543</v>
      </c>
      <c r="I1024" s="1796">
        <f t="shared" si="7"/>
        <v>1587926.5854545452</v>
      </c>
    </row>
    <row r="1025" spans="1:12" ht="15">
      <c r="B1025" s="1536" t="str">
        <f>'8.Dgia'!B718</f>
        <v/>
      </c>
      <c r="C1025" s="1537">
        <f>'8.Dgia'!C718</f>
        <v>0</v>
      </c>
      <c r="D1025" s="1537">
        <f>'8.Dgia'!D718</f>
        <v>0</v>
      </c>
      <c r="E1025" s="1749" t="str">
        <f>'8.Dgia'!E718</f>
        <v>Sà lan 200T</v>
      </c>
      <c r="F1025" s="1745" t="s">
        <v>5493</v>
      </c>
      <c r="G1025" s="1954">
        <v>0.66</v>
      </c>
      <c r="H1025" s="1796">
        <f>'9.may'!$P$652</f>
        <v>586485.6</v>
      </c>
      <c r="I1025" s="1796">
        <f t="shared" si="7"/>
        <v>387080.49599999998</v>
      </c>
    </row>
    <row r="1026" spans="1:12" ht="15">
      <c r="B1026" s="1536" t="str">
        <f>'8.Dgia'!B719</f>
        <v/>
      </c>
      <c r="C1026" s="1537">
        <f>'8.Dgia'!C719</f>
        <v>0</v>
      </c>
      <c r="D1026" s="1537">
        <f>'8.Dgia'!D719</f>
        <v>0</v>
      </c>
      <c r="E1026" s="1749" t="str">
        <f>'8.Dgia'!E719</f>
        <v>Tàu kéo 150cv</v>
      </c>
      <c r="F1026" s="1745" t="s">
        <v>5493</v>
      </c>
      <c r="G1026" s="1954">
        <v>0.33</v>
      </c>
      <c r="H1026" s="1796">
        <f>'9.may'!$P$676</f>
        <v>3329663.6045454545</v>
      </c>
      <c r="I1026" s="1796">
        <f t="shared" si="7"/>
        <v>1098788.9895000001</v>
      </c>
    </row>
    <row r="1027" spans="1:12" ht="15">
      <c r="B1027" s="1536" t="str">
        <f>'8.Dgia'!B720</f>
        <v/>
      </c>
      <c r="C1027" s="1537">
        <f>'8.Dgia'!C720</f>
        <v>0</v>
      </c>
      <c r="D1027" s="1537">
        <f>'8.Dgia'!D720</f>
        <v>0</v>
      </c>
      <c r="E1027" s="1749" t="str">
        <f>'8.Dgia'!E720</f>
        <v>Kích 250T</v>
      </c>
      <c r="F1027" s="1745" t="s">
        <v>5493</v>
      </c>
      <c r="G1027" s="1954">
        <f>'8.Dgia'!H720</f>
        <v>3.8</v>
      </c>
      <c r="H1027" s="1796">
        <f>'9.may'!$P$746</f>
        <v>95119.44</v>
      </c>
      <c r="I1027" s="1796">
        <f t="shared" si="7"/>
        <v>361453.87199999997</v>
      </c>
    </row>
    <row r="1028" spans="1:12" ht="15">
      <c r="B1028" s="1536" t="str">
        <f>'8.Dgia'!B721</f>
        <v/>
      </c>
      <c r="C1028" s="1537">
        <f>'8.Dgia'!C721</f>
        <v>0</v>
      </c>
      <c r="D1028" s="1537">
        <f>'8.Dgia'!D721</f>
        <v>0</v>
      </c>
      <c r="E1028" s="1749" t="str">
        <f>'8.Dgia'!E721</f>
        <v>Kích 500T</v>
      </c>
      <c r="F1028" s="1745" t="s">
        <v>5493</v>
      </c>
      <c r="G1028" s="1954">
        <f>'8.Dgia'!H721</f>
        <v>3.8</v>
      </c>
      <c r="H1028" s="1796">
        <f>'9.may'!$P$747</f>
        <v>132935.79</v>
      </c>
      <c r="I1028" s="1796">
        <f t="shared" si="7"/>
        <v>505156.00199999998</v>
      </c>
    </row>
    <row r="1029" spans="1:12" ht="15">
      <c r="B1029" s="1536" t="str">
        <f>'8.Dgia'!B722</f>
        <v/>
      </c>
      <c r="C1029" s="1537">
        <f>'8.Dgia'!C722</f>
        <v>0</v>
      </c>
      <c r="D1029" s="1537">
        <f>'8.Dgia'!D722</f>
        <v>0</v>
      </c>
      <c r="E1029" s="1749" t="str">
        <f>'8.Dgia'!E722</f>
        <v>Palăng xích 3T</v>
      </c>
      <c r="F1029" s="1745" t="s">
        <v>5493</v>
      </c>
      <c r="G1029" s="1954">
        <f>'8.Dgia'!H722</f>
        <v>5.3</v>
      </c>
      <c r="H1029" s="1796">
        <f>'9.may'!$P$734</f>
        <v>59512.86</v>
      </c>
      <c r="I1029" s="1796">
        <f t="shared" si="7"/>
        <v>315418.158</v>
      </c>
    </row>
    <row r="1030" spans="1:12" ht="15">
      <c r="B1030" s="1536" t="str">
        <f>'8.Dgia'!B723</f>
        <v/>
      </c>
      <c r="C1030" s="1537">
        <f>'8.Dgia'!C723</f>
        <v>0</v>
      </c>
      <c r="D1030" s="1537">
        <f>'8.Dgia'!D723</f>
        <v>0</v>
      </c>
      <c r="E1030" s="1749" t="str">
        <f>'8.Dgia'!E723</f>
        <v>Máy khác</v>
      </c>
      <c r="F1030" s="1763" t="str">
        <f>'8.Dgia'!G723</f>
        <v>%</v>
      </c>
      <c r="G1030" s="1954">
        <f>'8.Dgia'!H723</f>
        <v>1.5</v>
      </c>
      <c r="H1030" s="1796">
        <f>SUM(I1019:I1029)</f>
        <v>9248862.1666636374</v>
      </c>
      <c r="I1030" s="1796">
        <f>H1030*G1030%</f>
        <v>138732.93249995456</v>
      </c>
    </row>
    <row r="1031" spans="1:12" s="658" customFormat="1" ht="15">
      <c r="B1031" s="1675"/>
      <c r="C1031" s="1676"/>
      <c r="D1031" s="1676"/>
      <c r="E1031" s="1800" t="s">
        <v>5675</v>
      </c>
      <c r="F1031" s="1763">
        <f>$J$5</f>
        <v>0.02</v>
      </c>
      <c r="G1031" s="1754"/>
      <c r="H1031" s="1799"/>
      <c r="I1031" s="1799">
        <f>( I1013+I1017+I1018 )*F1031</f>
        <v>901284.32743781735</v>
      </c>
      <c r="J1031" s="850"/>
      <c r="K1031" s="850"/>
      <c r="L1031" s="850"/>
    </row>
    <row r="1032" spans="1:12" ht="15">
      <c r="B1032" s="1540"/>
      <c r="C1032" s="1541"/>
      <c r="D1032" s="1541"/>
      <c r="E1032" s="1801" t="s">
        <v>5676</v>
      </c>
      <c r="F1032" s="1763"/>
      <c r="G1032" s="1759"/>
      <c r="H1032" s="1802"/>
      <c r="I1032" s="1802">
        <f>I1031+I1031/F1031</f>
        <v>45965500.699328683</v>
      </c>
    </row>
    <row r="1033" spans="1:12" ht="15">
      <c r="B1033" s="1536"/>
      <c r="C1033" s="1537"/>
      <c r="D1033" s="1537"/>
      <c r="E1033" s="1803" t="s">
        <v>5677</v>
      </c>
      <c r="F1033" s="1763">
        <f>$K$5</f>
        <v>5.5E-2</v>
      </c>
      <c r="G1033" s="1746"/>
      <c r="H1033" s="1796"/>
      <c r="I1033" s="1796">
        <f>I1032*F1033</f>
        <v>2528102.5384630775</v>
      </c>
    </row>
    <row r="1034" spans="1:12" ht="15">
      <c r="B1034" s="1536"/>
      <c r="C1034" s="1537"/>
      <c r="D1034" s="1537"/>
      <c r="E1034" s="1803" t="s">
        <v>5678</v>
      </c>
      <c r="F1034" s="1763">
        <f>$L$5</f>
        <v>0.06</v>
      </c>
      <c r="G1034" s="1746"/>
      <c r="H1034" s="1796"/>
      <c r="I1034" s="1796">
        <f>SUM(I1032:I1033)*F1034</f>
        <v>2909616.1942675058</v>
      </c>
    </row>
    <row r="1035" spans="1:12" ht="14.25">
      <c r="B1035" s="1540"/>
      <c r="C1035" s="1541"/>
      <c r="D1035" s="1541"/>
      <c r="E1035" s="1801" t="s">
        <v>5679</v>
      </c>
      <c r="F1035" s="1791"/>
      <c r="G1035" s="1759"/>
      <c r="H1035" s="1802"/>
      <c r="I1035" s="1802">
        <f>SUM(I1032:I1034)</f>
        <v>51403219.432059266</v>
      </c>
    </row>
    <row r="1036" spans="1:12" ht="15">
      <c r="B1036" s="1536"/>
      <c r="C1036" s="1537"/>
      <c r="D1036" s="1537"/>
      <c r="E1036" s="1803" t="s">
        <v>5680</v>
      </c>
      <c r="F1036" s="1765">
        <f>$M$5</f>
        <v>0.1</v>
      </c>
      <c r="G1036" s="1746"/>
      <c r="H1036" s="1796"/>
      <c r="I1036" s="1796">
        <f>I1035*F1036</f>
        <v>5140321.9432059266</v>
      </c>
    </row>
    <row r="1037" spans="1:12" ht="14.25">
      <c r="B1037" s="1540"/>
      <c r="C1037" s="1541"/>
      <c r="D1037" s="1541"/>
      <c r="E1037" s="1801" t="s">
        <v>5681</v>
      </c>
      <c r="F1037" s="1791"/>
      <c r="G1037" s="1759"/>
      <c r="H1037" s="1802"/>
      <c r="I1037" s="1802">
        <f>SUM(I1035:I1036)</f>
        <v>56543541.375265196</v>
      </c>
    </row>
    <row r="1038" spans="1:12" ht="12.75">
      <c r="B1038" s="1536"/>
      <c r="C1038" s="1537"/>
      <c r="D1038" s="1537"/>
      <c r="E1038" s="1464" t="s">
        <v>5682</v>
      </c>
      <c r="F1038" s="1535">
        <f>$N$5</f>
        <v>0.01</v>
      </c>
      <c r="G1038" s="1538"/>
      <c r="H1038" s="1539"/>
      <c r="I1038" s="1539">
        <f>I1037*F1038</f>
        <v>565435.41375265201</v>
      </c>
    </row>
    <row r="1039" spans="1:12" ht="14.25">
      <c r="B1039" s="2116"/>
      <c r="C1039" s="1544"/>
      <c r="D1039" s="2116"/>
      <c r="E1039" s="2117" t="s">
        <v>5683</v>
      </c>
      <c r="F1039" s="2115"/>
      <c r="G1039" s="2117"/>
      <c r="H1039" s="2118"/>
      <c r="I1039" s="2110">
        <f>ROUND(I1037+I1038,0)</f>
        <v>57108977</v>
      </c>
    </row>
    <row r="1040" spans="1:12" ht="28.5">
      <c r="A1040" s="657">
        <v>1</v>
      </c>
      <c r="B1040" s="1546">
        <f>IF(A1040&lt;&gt;0,COUNTA(A$7:$A1040),"")</f>
        <v>55</v>
      </c>
      <c r="C1040" s="1547">
        <f>'8.Dgia'!C724</f>
        <v>1091</v>
      </c>
      <c r="D1040" s="1547" t="str">
        <f>'8.Dgia'!D724</f>
        <v>AF.66210</v>
      </c>
      <c r="E1040" s="1740" t="str">
        <f>'8.Dgia'!E724</f>
        <v>Thép dự ứng lực kéo sau dầm cầu đổ tại chỗ</v>
      </c>
      <c r="F1040" s="1789" t="s">
        <v>557</v>
      </c>
      <c r="G1040" s="1742">
        <f>'8.Dgia'!H724</f>
        <v>0</v>
      </c>
      <c r="H1040" s="1795"/>
      <c r="I1040" s="1795"/>
      <c r="J1040" s="842">
        <f>+I1041</f>
        <v>26851917.272727273</v>
      </c>
      <c r="K1040" s="842">
        <f>+I1045</f>
        <v>6949454.3999999994</v>
      </c>
      <c r="L1040" s="842">
        <f>+I1046</f>
        <v>6524729.0402435577</v>
      </c>
    </row>
    <row r="1041" spans="2:12" s="658" customFormat="1" ht="15">
      <c r="B1041" s="1536" t="str">
        <f>'8.Dgia'!B725</f>
        <v/>
      </c>
      <c r="C1041" s="1537">
        <f>'8.Dgia'!C725</f>
        <v>0</v>
      </c>
      <c r="D1041" s="1537">
        <f>'8.Dgia'!D725</f>
        <v>0</v>
      </c>
      <c r="E1041" s="1744" t="str">
        <f>'8.Dgia'!E725</f>
        <v xml:space="preserve">  A - Vật liệu</v>
      </c>
      <c r="F1041" s="1763">
        <f>'8.Dgia'!G725</f>
        <v>0</v>
      </c>
      <c r="G1041" s="1746">
        <f>'8.Dgia'!H725</f>
        <v>0</v>
      </c>
      <c r="H1041" s="1796"/>
      <c r="I1041" s="1797">
        <f>SUM(I1042:I1044)</f>
        <v>26851917.272727273</v>
      </c>
      <c r="J1041" s="850"/>
      <c r="K1041" s="850"/>
      <c r="L1041" s="850"/>
    </row>
    <row r="1042" spans="2:12" ht="15">
      <c r="B1042" s="1536" t="str">
        <f>'8.Dgia'!B726</f>
        <v/>
      </c>
      <c r="C1042" s="1537">
        <f>'8.Dgia'!C726</f>
        <v>0</v>
      </c>
      <c r="D1042" s="1537">
        <f>'8.Dgia'!D726</f>
        <v>0</v>
      </c>
      <c r="E1042" s="1749" t="str">
        <f>'8.Dgia'!E726</f>
        <v xml:space="preserve">Thép cường độ cao </v>
      </c>
      <c r="F1042" s="1763" t="str">
        <f>'8.Dgia'!G726</f>
        <v>kg</v>
      </c>
      <c r="G1042" s="1954">
        <f>'8.Dgia'!H726</f>
        <v>1025</v>
      </c>
      <c r="H1042" s="1796">
        <f>GVL!$I$169</f>
        <v>25454.545454545452</v>
      </c>
      <c r="I1042" s="1796">
        <f>H1042*G1042</f>
        <v>26090909.09090909</v>
      </c>
    </row>
    <row r="1043" spans="2:12" ht="15">
      <c r="B1043" s="1536" t="str">
        <f>'8.Dgia'!B727</f>
        <v/>
      </c>
      <c r="C1043" s="1537">
        <f>'8.Dgia'!C727</f>
        <v>0</v>
      </c>
      <c r="D1043" s="1537">
        <f>'8.Dgia'!D727</f>
        <v>0</v>
      </c>
      <c r="E1043" s="1749" t="str">
        <f>'8.Dgia'!E727</f>
        <v xml:space="preserve">Đá cắt </v>
      </c>
      <c r="F1043" s="1763" t="str">
        <f>'8.Dgia'!G727</f>
        <v>viên</v>
      </c>
      <c r="G1043" s="1954">
        <f>'8.Dgia'!H727</f>
        <v>6.7</v>
      </c>
      <c r="H1043" s="1796">
        <f>GVL!$I$61</f>
        <v>35000</v>
      </c>
      <c r="I1043" s="1796">
        <f>H1043*G1043</f>
        <v>234500</v>
      </c>
    </row>
    <row r="1044" spans="2:12" ht="15">
      <c r="B1044" s="1536" t="str">
        <f>'8.Dgia'!B728</f>
        <v/>
      </c>
      <c r="C1044" s="1537">
        <f>'8.Dgia'!C728</f>
        <v>0</v>
      </c>
      <c r="D1044" s="1537">
        <f>'8.Dgia'!D728</f>
        <v>0</v>
      </c>
      <c r="E1044" s="1749" t="str">
        <f>'8.Dgia'!E728</f>
        <v>Vật liệu khác</v>
      </c>
      <c r="F1044" s="1763" t="str">
        <f>'8.Dgia'!G728</f>
        <v>%</v>
      </c>
      <c r="G1044" s="1954">
        <f>'8.Dgia'!H728</f>
        <v>2</v>
      </c>
      <c r="H1044" s="1796">
        <f>SUM(I1042:I1043)</f>
        <v>26325409.09090909</v>
      </c>
      <c r="I1044" s="1796">
        <f>H1044*G1044%</f>
        <v>526508.18181818177</v>
      </c>
    </row>
    <row r="1045" spans="2:12" s="658" customFormat="1" ht="15">
      <c r="B1045" s="1536" t="str">
        <f>'8.Dgia'!B729</f>
        <v/>
      </c>
      <c r="C1045" s="1537">
        <f>'8.Dgia'!C729</f>
        <v>0</v>
      </c>
      <c r="D1045" s="1537">
        <f>'8.Dgia'!D729</f>
        <v>0</v>
      </c>
      <c r="E1045" s="1744" t="str">
        <f>'8.Dgia'!E729</f>
        <v xml:space="preserve">  B - Nhân công 4.5/7</v>
      </c>
      <c r="F1045" s="1745" t="s">
        <v>552</v>
      </c>
      <c r="G1045" s="1954">
        <f>'8.Dgia'!H729</f>
        <v>25.2</v>
      </c>
      <c r="H1045" s="1796">
        <f>'16.NC'!$H$20</f>
        <v>275772</v>
      </c>
      <c r="I1045" s="1798">
        <f>H1045*G1045</f>
        <v>6949454.3999999994</v>
      </c>
      <c r="J1045" s="850"/>
      <c r="K1045" s="850"/>
      <c r="L1045" s="850"/>
    </row>
    <row r="1046" spans="2:12" s="658" customFormat="1" ht="15">
      <c r="B1046" s="1536" t="str">
        <f>'8.Dgia'!B730</f>
        <v/>
      </c>
      <c r="C1046" s="1537">
        <f>'8.Dgia'!C730</f>
        <v>0</v>
      </c>
      <c r="D1046" s="1537">
        <f>'8.Dgia'!D730</f>
        <v>0</v>
      </c>
      <c r="E1046" s="1744" t="str">
        <f>'8.Dgia'!E730</f>
        <v xml:space="preserve">  C - Máy thi công</v>
      </c>
      <c r="F1046" s="1763">
        <f>'8.Dgia'!G730</f>
        <v>0</v>
      </c>
      <c r="G1046" s="1954">
        <f>'8.Dgia'!H730</f>
        <v>0</v>
      </c>
      <c r="H1046" s="1796"/>
      <c r="I1046" s="1799">
        <f>SUM(I1047:I1056)</f>
        <v>6524729.0402435577</v>
      </c>
      <c r="J1046" s="850"/>
      <c r="K1046" s="850"/>
      <c r="L1046" s="850"/>
    </row>
    <row r="1047" spans="2:12" ht="15">
      <c r="B1047" s="1536" t="str">
        <f>'8.Dgia'!B731</f>
        <v/>
      </c>
      <c r="C1047" s="1537">
        <f>'8.Dgia'!C731</f>
        <v>0</v>
      </c>
      <c r="D1047" s="1537">
        <f>'8.Dgia'!D731</f>
        <v>0</v>
      </c>
      <c r="E1047" s="1749" t="str">
        <f>'8.Dgia'!E731</f>
        <v>Cần cẩu bánh hơi 25T</v>
      </c>
      <c r="F1047" s="1745" t="s">
        <v>5493</v>
      </c>
      <c r="G1047" s="1954">
        <f>'8.Dgia'!H731</f>
        <v>0.153</v>
      </c>
      <c r="H1047" s="1796">
        <f>'9.may'!$P$236</f>
        <v>2658824.4436363634</v>
      </c>
      <c r="I1047" s="1796">
        <f t="shared" ref="I1047:I1055" si="8">H1047*G1047</f>
        <v>406800.13987636357</v>
      </c>
    </row>
    <row r="1048" spans="2:12" ht="15">
      <c r="B1048" s="1536" t="str">
        <f>'8.Dgia'!B732</f>
        <v/>
      </c>
      <c r="C1048" s="1537">
        <f>'8.Dgia'!C732</f>
        <v>0</v>
      </c>
      <c r="D1048" s="1537">
        <f>'8.Dgia'!D732</f>
        <v>0</v>
      </c>
      <c r="E1048" s="1749" t="str">
        <f>'8.Dgia'!E732</f>
        <v>Tời điện 5T</v>
      </c>
      <c r="F1048" s="1745" t="s">
        <v>5493</v>
      </c>
      <c r="G1048" s="1954">
        <f>'8.Dgia'!H732</f>
        <v>0.378</v>
      </c>
      <c r="H1048" s="1796">
        <f>'9.may'!$P$307</f>
        <v>135809.41500000001</v>
      </c>
      <c r="I1048" s="1796">
        <f t="shared" si="8"/>
        <v>51335.958870000002</v>
      </c>
    </row>
    <row r="1049" spans="2:12" ht="15">
      <c r="B1049" s="1536" t="str">
        <f>'8.Dgia'!B733</f>
        <v/>
      </c>
      <c r="C1049" s="1537">
        <f>'8.Dgia'!C733</f>
        <v>0</v>
      </c>
      <c r="D1049" s="1537">
        <f>'8.Dgia'!D733</f>
        <v>0</v>
      </c>
      <c r="E1049" s="1749" t="str">
        <f>'8.Dgia'!E733</f>
        <v>Máy cắt cáp 10KW</v>
      </c>
      <c r="F1049" s="1745" t="s">
        <v>5493</v>
      </c>
      <c r="G1049" s="1954">
        <f>'8.Dgia'!H733</f>
        <v>2.97</v>
      </c>
      <c r="H1049" s="1796">
        <f>'9.may'!$P$779</f>
        <v>93919.01999999999</v>
      </c>
      <c r="I1049" s="1796">
        <f t="shared" si="8"/>
        <v>278939.48939999996</v>
      </c>
    </row>
    <row r="1050" spans="2:12" ht="15">
      <c r="B1050" s="1536" t="str">
        <f>'8.Dgia'!B734</f>
        <v/>
      </c>
      <c r="C1050" s="1537">
        <f>'8.Dgia'!C734</f>
        <v>0</v>
      </c>
      <c r="D1050" s="1537">
        <f>'8.Dgia'!D734</f>
        <v>0</v>
      </c>
      <c r="E1050" s="1749" t="str">
        <f>'8.Dgia'!E734</f>
        <v>Máy luồn cáp 15KW</v>
      </c>
      <c r="F1050" s="1745" t="s">
        <v>5493</v>
      </c>
      <c r="G1050" s="1954">
        <f>'8.Dgia'!H734</f>
        <v>8.1</v>
      </c>
      <c r="H1050" s="1796">
        <f>'9.may'!$P$316</f>
        <v>399767.43</v>
      </c>
      <c r="I1050" s="1796">
        <f t="shared" si="8"/>
        <v>3238116.1829999997</v>
      </c>
    </row>
    <row r="1051" spans="2:12" ht="15">
      <c r="B1051" s="1536" t="str">
        <f>'8.Dgia'!B735</f>
        <v/>
      </c>
      <c r="C1051" s="1537">
        <f>'8.Dgia'!C735</f>
        <v>0</v>
      </c>
      <c r="D1051" s="1537">
        <f>'8.Dgia'!D735</f>
        <v>0</v>
      </c>
      <c r="E1051" s="1749" t="str">
        <f>'8.Dgia'!E735</f>
        <v>Máy bơm nước 20KW</v>
      </c>
      <c r="F1051" s="1745" t="s">
        <v>5493</v>
      </c>
      <c r="G1051" s="1954">
        <f>'8.Dgia'!H735</f>
        <v>1.17</v>
      </c>
      <c r="H1051" s="1796">
        <f>'9.may'!$P$425</f>
        <v>203092.83000000002</v>
      </c>
      <c r="I1051" s="1796">
        <f t="shared" si="8"/>
        <v>237618.61110000001</v>
      </c>
    </row>
    <row r="1052" spans="2:12" ht="15">
      <c r="B1052" s="1536" t="str">
        <f>'8.Dgia'!B736</f>
        <v/>
      </c>
      <c r="C1052" s="1537">
        <f>'8.Dgia'!C736</f>
        <v>0</v>
      </c>
      <c r="D1052" s="1537">
        <f>'8.Dgia'!D736</f>
        <v>0</v>
      </c>
      <c r="E1052" s="1749" t="str">
        <f>'8.Dgia'!E736</f>
        <v>Máy nén khí 600m3/h</v>
      </c>
      <c r="F1052" s="1745" t="s">
        <v>5493</v>
      </c>
      <c r="G1052" s="1954">
        <f>'8.Dgia'!H736</f>
        <v>0.89100000000000001</v>
      </c>
      <c r="H1052" s="1796">
        <f>'9.may'!$P$488</f>
        <v>1323272.1545454543</v>
      </c>
      <c r="I1052" s="1796">
        <f t="shared" si="8"/>
        <v>1179035.4896999998</v>
      </c>
    </row>
    <row r="1053" spans="2:12" ht="15">
      <c r="B1053" s="1536" t="str">
        <f>'8.Dgia'!B737</f>
        <v/>
      </c>
      <c r="C1053" s="1537">
        <f>'8.Dgia'!C737</f>
        <v>0</v>
      </c>
      <c r="D1053" s="1537">
        <f>'8.Dgia'!D737</f>
        <v>0</v>
      </c>
      <c r="E1053" s="1749" t="str">
        <f>'8.Dgia'!E737</f>
        <v>Kích 250T</v>
      </c>
      <c r="F1053" s="1745" t="s">
        <v>5493</v>
      </c>
      <c r="G1053" s="1954">
        <f>'8.Dgia'!H737</f>
        <v>3.3</v>
      </c>
      <c r="H1053" s="1796">
        <f>'9.may'!$P$746</f>
        <v>95119.44</v>
      </c>
      <c r="I1053" s="1796">
        <f t="shared" si="8"/>
        <v>313894.152</v>
      </c>
    </row>
    <row r="1054" spans="2:12" ht="15">
      <c r="B1054" s="1536" t="str">
        <f>'8.Dgia'!B738</f>
        <v/>
      </c>
      <c r="C1054" s="1537">
        <f>'8.Dgia'!C738</f>
        <v>0</v>
      </c>
      <c r="D1054" s="1537">
        <f>'8.Dgia'!D738</f>
        <v>0</v>
      </c>
      <c r="E1054" s="1749" t="str">
        <f>'8.Dgia'!E738</f>
        <v>Kích 500T</v>
      </c>
      <c r="F1054" s="1745" t="s">
        <v>5493</v>
      </c>
      <c r="G1054" s="1954">
        <f>'8.Dgia'!H738</f>
        <v>3.3</v>
      </c>
      <c r="H1054" s="1796">
        <f>'9.may'!$P$747</f>
        <v>132935.79</v>
      </c>
      <c r="I1054" s="1796">
        <f t="shared" si="8"/>
        <v>438688.10700000002</v>
      </c>
    </row>
    <row r="1055" spans="2:12" ht="15">
      <c r="B1055" s="1536" t="str">
        <f>'8.Dgia'!B739</f>
        <v/>
      </c>
      <c r="C1055" s="1537">
        <f>'8.Dgia'!C739</f>
        <v>0</v>
      </c>
      <c r="D1055" s="1537">
        <f>'8.Dgia'!D739</f>
        <v>0</v>
      </c>
      <c r="E1055" s="1749" t="str">
        <f>'8.Dgia'!E739</f>
        <v>Palăng xích 3T</v>
      </c>
      <c r="F1055" s="1745" t="s">
        <v>5493</v>
      </c>
      <c r="G1055" s="1954">
        <f>'8.Dgia'!H739</f>
        <v>4.7699999999999996</v>
      </c>
      <c r="H1055" s="1796">
        <f>'9.may'!$P$734</f>
        <v>59512.86</v>
      </c>
      <c r="I1055" s="1796">
        <f t="shared" si="8"/>
        <v>283876.34219999996</v>
      </c>
    </row>
    <row r="1056" spans="2:12" ht="15">
      <c r="B1056" s="1536" t="str">
        <f>'8.Dgia'!B740</f>
        <v/>
      </c>
      <c r="C1056" s="1537">
        <f>'8.Dgia'!C740</f>
        <v>0</v>
      </c>
      <c r="D1056" s="1537">
        <f>'8.Dgia'!D740</f>
        <v>0</v>
      </c>
      <c r="E1056" s="1749" t="str">
        <f>'8.Dgia'!E740</f>
        <v>Máy khác</v>
      </c>
      <c r="F1056" s="1763" t="str">
        <f>'8.Dgia'!G740</f>
        <v>%</v>
      </c>
      <c r="G1056" s="1954">
        <f>'8.Dgia'!H740</f>
        <v>1.5</v>
      </c>
      <c r="H1056" s="1796">
        <f>SUM(I1047:I1055)</f>
        <v>6428304.4731463622</v>
      </c>
      <c r="I1056" s="1796">
        <f>H1056*G1056%</f>
        <v>96424.567097195424</v>
      </c>
    </row>
    <row r="1057" spans="1:12" s="658" customFormat="1" ht="15">
      <c r="B1057" s="1675"/>
      <c r="C1057" s="1676"/>
      <c r="D1057" s="1676"/>
      <c r="E1057" s="1800" t="s">
        <v>5675</v>
      </c>
      <c r="F1057" s="1763">
        <f>$J$5</f>
        <v>0.02</v>
      </c>
      <c r="G1057" s="1754"/>
      <c r="H1057" s="1799"/>
      <c r="I1057" s="1799">
        <f>( I1041+I1045+I1046 )*F1057</f>
        <v>806522.01425941661</v>
      </c>
      <c r="J1057" s="850"/>
      <c r="K1057" s="850"/>
      <c r="L1057" s="850"/>
    </row>
    <row r="1058" spans="1:12" ht="15">
      <c r="B1058" s="1540"/>
      <c r="C1058" s="1541"/>
      <c r="D1058" s="1541"/>
      <c r="E1058" s="1801" t="s">
        <v>5676</v>
      </c>
      <c r="F1058" s="1763"/>
      <c r="G1058" s="1759"/>
      <c r="H1058" s="1802"/>
      <c r="I1058" s="1802">
        <f>I1057+I1057/F1057</f>
        <v>41132622.727230251</v>
      </c>
    </row>
    <row r="1059" spans="1:12" ht="15">
      <c r="B1059" s="1536"/>
      <c r="C1059" s="1537"/>
      <c r="D1059" s="1537"/>
      <c r="E1059" s="1803" t="s">
        <v>5677</v>
      </c>
      <c r="F1059" s="1763">
        <f>$K$5</f>
        <v>5.5E-2</v>
      </c>
      <c r="G1059" s="1746"/>
      <c r="H1059" s="1796"/>
      <c r="I1059" s="1796">
        <f>I1058*F1059</f>
        <v>2262294.2499976638</v>
      </c>
    </row>
    <row r="1060" spans="1:12" ht="15">
      <c r="B1060" s="1536"/>
      <c r="C1060" s="1537"/>
      <c r="D1060" s="1537"/>
      <c r="E1060" s="1803" t="s">
        <v>5678</v>
      </c>
      <c r="F1060" s="1763">
        <f>$L$5</f>
        <v>0.06</v>
      </c>
      <c r="G1060" s="1746"/>
      <c r="H1060" s="1796"/>
      <c r="I1060" s="1796">
        <f>SUM(I1058:I1059)*F1060</f>
        <v>2603695.0186336744</v>
      </c>
    </row>
    <row r="1061" spans="1:12" ht="14.25">
      <c r="B1061" s="1540"/>
      <c r="C1061" s="1541"/>
      <c r="D1061" s="1541"/>
      <c r="E1061" s="1801" t="s">
        <v>5679</v>
      </c>
      <c r="F1061" s="1791"/>
      <c r="G1061" s="1759"/>
      <c r="H1061" s="1802"/>
      <c r="I1061" s="1802">
        <f>SUM(I1058:I1060)</f>
        <v>45998611.995861582</v>
      </c>
    </row>
    <row r="1062" spans="1:12" ht="15">
      <c r="B1062" s="1536"/>
      <c r="C1062" s="1537"/>
      <c r="D1062" s="1537"/>
      <c r="E1062" s="1803" t="s">
        <v>5680</v>
      </c>
      <c r="F1062" s="1765">
        <f>$M$5</f>
        <v>0.1</v>
      </c>
      <c r="G1062" s="1746"/>
      <c r="H1062" s="1796"/>
      <c r="I1062" s="1796">
        <f>I1061*F1062</f>
        <v>4599861.1995861586</v>
      </c>
    </row>
    <row r="1063" spans="1:12" ht="14.25">
      <c r="B1063" s="1540"/>
      <c r="C1063" s="1541"/>
      <c r="D1063" s="1541"/>
      <c r="E1063" s="1801" t="s">
        <v>5681</v>
      </c>
      <c r="F1063" s="1791"/>
      <c r="G1063" s="1759"/>
      <c r="H1063" s="1802"/>
      <c r="I1063" s="1802">
        <f>SUM(I1061:I1062)</f>
        <v>50598473.195447743</v>
      </c>
    </row>
    <row r="1064" spans="1:12" ht="12.75">
      <c r="B1064" s="1536"/>
      <c r="C1064" s="1537"/>
      <c r="D1064" s="1537"/>
      <c r="E1064" s="1464" t="s">
        <v>5682</v>
      </c>
      <c r="F1064" s="1535">
        <f>$N$5</f>
        <v>0.01</v>
      </c>
      <c r="G1064" s="1538"/>
      <c r="H1064" s="1539"/>
      <c r="I1064" s="1539">
        <f>I1063*F1064</f>
        <v>505984.73195447744</v>
      </c>
    </row>
    <row r="1065" spans="1:12" ht="14.25">
      <c r="B1065" s="2116"/>
      <c r="C1065" s="1544"/>
      <c r="D1065" s="2116"/>
      <c r="E1065" s="2117" t="s">
        <v>5683</v>
      </c>
      <c r="F1065" s="2115"/>
      <c r="G1065" s="2117"/>
      <c r="H1065" s="2118"/>
      <c r="I1065" s="2110">
        <f>ROUND(I1063+I1064,0)</f>
        <v>51104458</v>
      </c>
    </row>
    <row r="1066" spans="1:12" ht="14.25">
      <c r="A1066" s="657">
        <v>1</v>
      </c>
      <c r="B1066" s="1546">
        <f>IF(A1066&lt;&gt;0,COUNTA(A$7:$A1066),"")</f>
        <v>56</v>
      </c>
      <c r="C1066" s="1547">
        <f>'8.Dgia'!C741</f>
        <v>1776</v>
      </c>
      <c r="D1066" s="1547" t="str">
        <f>'8.Dgia'!D741</f>
        <v>AG.13531</v>
      </c>
      <c r="E1066" s="1740" t="str">
        <f>'8.Dgia'!E741</f>
        <v>Lắp đặt neo chủ động 27S 15.2mm</v>
      </c>
      <c r="F1066" s="1789" t="s">
        <v>307</v>
      </c>
      <c r="G1066" s="1742">
        <f>'8.Dgia'!H741</f>
        <v>0</v>
      </c>
      <c r="H1066" s="1795"/>
      <c r="I1066" s="1795"/>
      <c r="J1066" s="842">
        <f>+I1067</f>
        <v>3205560.8538791486</v>
      </c>
      <c r="K1066" s="842">
        <f>+I1074</f>
        <v>68943</v>
      </c>
    </row>
    <row r="1067" spans="1:12" s="658" customFormat="1" ht="15">
      <c r="B1067" s="1536" t="str">
        <f>'8.Dgia'!B742</f>
        <v/>
      </c>
      <c r="C1067" s="1537">
        <f>'8.Dgia'!C742</f>
        <v>0</v>
      </c>
      <c r="D1067" s="1537">
        <f>'8.Dgia'!D742</f>
        <v>0</v>
      </c>
      <c r="E1067" s="1744" t="str">
        <f>'8.Dgia'!E742</f>
        <v xml:space="preserve">  A - Vật liệu</v>
      </c>
      <c r="F1067" s="1763">
        <f>'8.Dgia'!G742</f>
        <v>0</v>
      </c>
      <c r="G1067" s="1746">
        <f>'8.Dgia'!H742</f>
        <v>0</v>
      </c>
      <c r="H1067" s="1796"/>
      <c r="I1067" s="1797">
        <f>SUM(I1068:I1073)</f>
        <v>3205560.8538791486</v>
      </c>
      <c r="J1067" s="850"/>
      <c r="K1067" s="850"/>
      <c r="L1067" s="850"/>
    </row>
    <row r="1068" spans="1:12" ht="15">
      <c r="B1068" s="1536" t="str">
        <f>'8.Dgia'!B743</f>
        <v/>
      </c>
      <c r="C1068" s="1537">
        <f>'8.Dgia'!C743</f>
        <v>0</v>
      </c>
      <c r="D1068" s="1537">
        <f>'8.Dgia'!D743</f>
        <v>0</v>
      </c>
      <c r="E1068" s="1749" t="str">
        <f>'8.Dgia'!E743</f>
        <v>Neo chủ động 27S 15.2mm</v>
      </c>
      <c r="F1068" s="1763" t="s">
        <v>567</v>
      </c>
      <c r="G1068" s="1954">
        <f>'8.Dgia'!H743</f>
        <v>1</v>
      </c>
      <c r="H1068" s="1796">
        <f>GVL!$I$124</f>
        <v>3137989.9999999995</v>
      </c>
      <c r="I1068" s="1796">
        <f>H1068*G1068</f>
        <v>3137989.9999999995</v>
      </c>
    </row>
    <row r="1069" spans="1:12" ht="15">
      <c r="B1069" s="1536" t="str">
        <f>'8.Dgia'!B744</f>
        <v/>
      </c>
      <c r="C1069" s="1537">
        <f>'8.Dgia'!C744</f>
        <v>0</v>
      </c>
      <c r="D1069" s="1537">
        <f>'8.Dgia'!D744</f>
        <v>0</v>
      </c>
      <c r="E1069" s="1749" t="str">
        <f>'8.Dgia'!E744</f>
        <v>Côn nhựa</v>
      </c>
      <c r="F1069" s="1763" t="s">
        <v>567</v>
      </c>
      <c r="G1069" s="1954">
        <f>'8.Dgia'!H744</f>
        <v>1</v>
      </c>
      <c r="H1069" s="1796">
        <f>GVL!$I$43</f>
        <v>1000</v>
      </c>
      <c r="I1069" s="1796">
        <f>H1069*G1069</f>
        <v>1000</v>
      </c>
    </row>
    <row r="1070" spans="1:12" ht="15">
      <c r="B1070" s="1536" t="str">
        <f>'8.Dgia'!B745</f>
        <v/>
      </c>
      <c r="C1070" s="1537">
        <f>'8.Dgia'!C745</f>
        <v>0</v>
      </c>
      <c r="D1070" s="1537">
        <f>'8.Dgia'!D745</f>
        <v>0</v>
      </c>
      <c r="E1070" s="1749" t="str">
        <f>'8.Dgia'!E745</f>
        <v>Cốc nhựa</v>
      </c>
      <c r="F1070" s="1763" t="s">
        <v>567</v>
      </c>
      <c r="G1070" s="1954">
        <f>'8.Dgia'!H745</f>
        <v>1</v>
      </c>
      <c r="H1070" s="1796">
        <f>GVL!$I$42</f>
        <v>1000</v>
      </c>
      <c r="I1070" s="1796">
        <f>H1070*G1070</f>
        <v>1000</v>
      </c>
    </row>
    <row r="1071" spans="1:12" ht="15">
      <c r="B1071" s="1536" t="str">
        <f>'8.Dgia'!B746</f>
        <v/>
      </c>
      <c r="C1071" s="1537">
        <f>'8.Dgia'!C746</f>
        <v>0</v>
      </c>
      <c r="D1071" s="1537">
        <f>'8.Dgia'!D746</f>
        <v>0</v>
      </c>
      <c r="E1071" s="1749" t="str">
        <f>'8.Dgia'!E746</f>
        <v>Mỡ bôi trơn</v>
      </c>
      <c r="F1071" s="1763" t="str">
        <f>'8.Dgia'!G746</f>
        <v>kg</v>
      </c>
      <c r="G1071" s="1954">
        <f>'8.Dgia'!H746</f>
        <v>0.05</v>
      </c>
      <c r="H1071" s="1796">
        <f>GVL!$I$119</f>
        <v>14560</v>
      </c>
      <c r="I1071" s="1796">
        <f>H1071*G1071</f>
        <v>728</v>
      </c>
    </row>
    <row r="1072" spans="1:12" ht="15">
      <c r="B1072" s="1536" t="str">
        <f>'8.Dgia'!B747</f>
        <v/>
      </c>
      <c r="C1072" s="1537">
        <f>'8.Dgia'!C747</f>
        <v>0</v>
      </c>
      <c r="D1072" s="1537" t="str">
        <f>'8.Dgia'!D747</f>
        <v>VD</v>
      </c>
      <c r="E1072" s="1749" t="str">
        <f>'8.Dgia'!E747</f>
        <v>Vữa không co ngót (kg)</v>
      </c>
      <c r="F1072" s="1763" t="str">
        <f>'8.Dgia'!G747</f>
        <v>kg</v>
      </c>
      <c r="G1072" s="1954">
        <f>'8.Dgia'!H747</f>
        <v>0.22</v>
      </c>
      <c r="H1072" s="1796">
        <f>GVL!$I$204</f>
        <v>9039.6340425531907</v>
      </c>
      <c r="I1072" s="1796">
        <f>H1072*G1072</f>
        <v>1988.719489361702</v>
      </c>
    </row>
    <row r="1073" spans="1:12" ht="15">
      <c r="B1073" s="1536" t="str">
        <f>'8.Dgia'!B748</f>
        <v/>
      </c>
      <c r="C1073" s="1537">
        <f>'8.Dgia'!C748</f>
        <v>0</v>
      </c>
      <c r="D1073" s="1537">
        <f>'8.Dgia'!D748</f>
        <v>0</v>
      </c>
      <c r="E1073" s="1749" t="str">
        <f>'8.Dgia'!E748</f>
        <v>Vật liệu khác</v>
      </c>
      <c r="F1073" s="1763" t="str">
        <f>'8.Dgia'!G748</f>
        <v>%</v>
      </c>
      <c r="G1073" s="1954">
        <f>'8.Dgia'!H748</f>
        <v>2</v>
      </c>
      <c r="H1073" s="1796">
        <f>SUM(I1068:I1072)</f>
        <v>3142706.7194893612</v>
      </c>
      <c r="I1073" s="1796">
        <f>H1073*G1073%</f>
        <v>62854.134389787221</v>
      </c>
    </row>
    <row r="1074" spans="1:12" s="658" customFormat="1" ht="15">
      <c r="B1074" s="1536" t="str">
        <f>'8.Dgia'!B749</f>
        <v/>
      </c>
      <c r="C1074" s="1537">
        <f>'8.Dgia'!C749</f>
        <v>0</v>
      </c>
      <c r="D1074" s="1537">
        <f>'8.Dgia'!D749</f>
        <v>0</v>
      </c>
      <c r="E1074" s="1744" t="str">
        <f>'8.Dgia'!E749</f>
        <v xml:space="preserve">  B - Nhân công 4.5/7</v>
      </c>
      <c r="F1074" s="1745" t="s">
        <v>552</v>
      </c>
      <c r="G1074" s="1954">
        <f>'8.Dgia'!H749</f>
        <v>0.25</v>
      </c>
      <c r="H1074" s="1796">
        <f>'16.NC'!$H$20</f>
        <v>275772</v>
      </c>
      <c r="I1074" s="1798">
        <f>H1074*G1074</f>
        <v>68943</v>
      </c>
      <c r="J1074" s="850"/>
      <c r="K1074" s="850"/>
      <c r="L1074" s="850"/>
    </row>
    <row r="1075" spans="1:12" s="658" customFormat="1" ht="15">
      <c r="B1075" s="1675"/>
      <c r="C1075" s="1676"/>
      <c r="D1075" s="1676"/>
      <c r="E1075" s="1800" t="s">
        <v>5675</v>
      </c>
      <c r="F1075" s="1763">
        <f>$J$5</f>
        <v>0.02</v>
      </c>
      <c r="G1075" s="1754"/>
      <c r="H1075" s="1799"/>
      <c r="I1075" s="1799">
        <f>( I1067+I1074 )*F1075</f>
        <v>65490.077077582973</v>
      </c>
      <c r="J1075" s="850"/>
      <c r="K1075" s="850"/>
      <c r="L1075" s="850"/>
    </row>
    <row r="1076" spans="1:12" ht="15">
      <c r="B1076" s="1540"/>
      <c r="C1076" s="1541"/>
      <c r="D1076" s="1541"/>
      <c r="E1076" s="1801" t="s">
        <v>5676</v>
      </c>
      <c r="F1076" s="1763"/>
      <c r="G1076" s="1759"/>
      <c r="H1076" s="1802"/>
      <c r="I1076" s="1802">
        <f>I1075+I1075/F1075</f>
        <v>3339993.9309567316</v>
      </c>
    </row>
    <row r="1077" spans="1:12" ht="15">
      <c r="B1077" s="1536"/>
      <c r="C1077" s="1537"/>
      <c r="D1077" s="1537"/>
      <c r="E1077" s="1803" t="s">
        <v>5677</v>
      </c>
      <c r="F1077" s="1763">
        <f>$K$5</f>
        <v>5.5E-2</v>
      </c>
      <c r="G1077" s="1746"/>
      <c r="H1077" s="1796"/>
      <c r="I1077" s="1796">
        <f>I1076*F1077</f>
        <v>183699.66620262022</v>
      </c>
    </row>
    <row r="1078" spans="1:12" ht="15">
      <c r="B1078" s="1536"/>
      <c r="C1078" s="1537"/>
      <c r="D1078" s="1537"/>
      <c r="E1078" s="1803" t="s">
        <v>5678</v>
      </c>
      <c r="F1078" s="1763">
        <f>$L$5</f>
        <v>0.06</v>
      </c>
      <c r="G1078" s="1746"/>
      <c r="H1078" s="1796"/>
      <c r="I1078" s="1796">
        <f>SUM(I1076:I1077)*F1078</f>
        <v>211421.61582956108</v>
      </c>
    </row>
    <row r="1079" spans="1:12" ht="14.25">
      <c r="B1079" s="1540"/>
      <c r="C1079" s="1541"/>
      <c r="D1079" s="1541"/>
      <c r="E1079" s="1801" t="s">
        <v>5679</v>
      </c>
      <c r="F1079" s="1791"/>
      <c r="G1079" s="1759"/>
      <c r="H1079" s="1802"/>
      <c r="I1079" s="1802">
        <f>SUM(I1076:I1078)</f>
        <v>3735115.2129889126</v>
      </c>
    </row>
    <row r="1080" spans="1:12" ht="15">
      <c r="B1080" s="1536"/>
      <c r="C1080" s="1537"/>
      <c r="D1080" s="1537"/>
      <c r="E1080" s="1803" t="s">
        <v>5680</v>
      </c>
      <c r="F1080" s="1765">
        <f>$M$5</f>
        <v>0.1</v>
      </c>
      <c r="G1080" s="1746"/>
      <c r="H1080" s="1796"/>
      <c r="I1080" s="1796">
        <f>I1079*F1080</f>
        <v>373511.52129889128</v>
      </c>
    </row>
    <row r="1081" spans="1:12" ht="14.25">
      <c r="B1081" s="1540"/>
      <c r="C1081" s="1541"/>
      <c r="D1081" s="1541"/>
      <c r="E1081" s="1801" t="s">
        <v>5681</v>
      </c>
      <c r="F1081" s="1791"/>
      <c r="G1081" s="1759"/>
      <c r="H1081" s="1802"/>
      <c r="I1081" s="1802">
        <f>SUM(I1079:I1080)</f>
        <v>4108626.734287804</v>
      </c>
    </row>
    <row r="1082" spans="1:12" ht="12.75">
      <c r="B1082" s="1536"/>
      <c r="C1082" s="1537"/>
      <c r="D1082" s="1537"/>
      <c r="E1082" s="1464" t="s">
        <v>5682</v>
      </c>
      <c r="F1082" s="1535">
        <f>$N$5</f>
        <v>0.01</v>
      </c>
      <c r="G1082" s="1538"/>
      <c r="H1082" s="1539"/>
      <c r="I1082" s="1539">
        <f>I1081*F1082</f>
        <v>41086.26734287804</v>
      </c>
    </row>
    <row r="1083" spans="1:12" ht="14.25">
      <c r="B1083" s="2116"/>
      <c r="C1083" s="1544"/>
      <c r="D1083" s="2116"/>
      <c r="E1083" s="2117" t="s">
        <v>5683</v>
      </c>
      <c r="F1083" s="2115"/>
      <c r="G1083" s="2117"/>
      <c r="H1083" s="2118"/>
      <c r="I1083" s="2110">
        <f>ROUND(I1081+I1082,0)</f>
        <v>4149713</v>
      </c>
    </row>
    <row r="1084" spans="1:12" ht="14.25">
      <c r="A1084" s="657">
        <v>1</v>
      </c>
      <c r="B1084" s="1546">
        <f>IF(A1084&lt;&gt;0,COUNTA(A$7:$A1084),"")</f>
        <v>57</v>
      </c>
      <c r="C1084" s="1547">
        <f>'8.Dgia'!C750</f>
        <v>1776</v>
      </c>
      <c r="D1084" s="1547" t="str">
        <f>'8.Dgia'!D750</f>
        <v>AG.13531</v>
      </c>
      <c r="E1084" s="1740" t="str">
        <f>'8.Dgia'!E750</f>
        <v>Lắp đặt neo chủ động 12S 15.2mm</v>
      </c>
      <c r="F1084" s="1789" t="s">
        <v>307</v>
      </c>
      <c r="G1084" s="1742">
        <f>'8.Dgia'!H750</f>
        <v>0</v>
      </c>
      <c r="H1084" s="1795"/>
      <c r="I1084" s="1795"/>
      <c r="J1084" s="842">
        <f>+I1085</f>
        <v>1830611.0538791488</v>
      </c>
      <c r="K1084" s="842">
        <f>+I1092</f>
        <v>68943</v>
      </c>
    </row>
    <row r="1085" spans="1:12" s="658" customFormat="1" ht="15">
      <c r="B1085" s="1536" t="str">
        <f>'8.Dgia'!B751</f>
        <v/>
      </c>
      <c r="C1085" s="1537">
        <f>'8.Dgia'!C751</f>
        <v>0</v>
      </c>
      <c r="D1085" s="1537">
        <f>'8.Dgia'!D751</f>
        <v>0</v>
      </c>
      <c r="E1085" s="1744" t="str">
        <f>'8.Dgia'!E751</f>
        <v xml:space="preserve">  A - Vật liệu</v>
      </c>
      <c r="F1085" s="1763">
        <f>'8.Dgia'!G751</f>
        <v>0</v>
      </c>
      <c r="G1085" s="1746">
        <f>'8.Dgia'!H751</f>
        <v>0</v>
      </c>
      <c r="H1085" s="1796"/>
      <c r="I1085" s="1797">
        <f>SUM(I1086:I1091)</f>
        <v>1830611.0538791488</v>
      </c>
      <c r="J1085" s="850"/>
      <c r="K1085" s="850"/>
      <c r="L1085" s="850"/>
    </row>
    <row r="1086" spans="1:12" ht="15">
      <c r="B1086" s="1536" t="str">
        <f>'8.Dgia'!B752</f>
        <v/>
      </c>
      <c r="C1086" s="1537">
        <f>'8.Dgia'!C752</f>
        <v>0</v>
      </c>
      <c r="D1086" s="1537">
        <f>'8.Dgia'!D752</f>
        <v>0</v>
      </c>
      <c r="E1086" s="1749" t="str">
        <f>'8.Dgia'!E752</f>
        <v>Neo chủ động 12 sợi D15.2</v>
      </c>
      <c r="F1086" s="1763" t="s">
        <v>567</v>
      </c>
      <c r="G1086" s="1954">
        <f>'8.Dgia'!H752</f>
        <v>1</v>
      </c>
      <c r="H1086" s="1796">
        <f>GVL!$I$123</f>
        <v>1790000</v>
      </c>
      <c r="I1086" s="1796">
        <f>H1086*G1086</f>
        <v>1790000</v>
      </c>
    </row>
    <row r="1087" spans="1:12" ht="15">
      <c r="B1087" s="1536" t="str">
        <f>'8.Dgia'!B753</f>
        <v/>
      </c>
      <c r="C1087" s="1537">
        <f>'8.Dgia'!C753</f>
        <v>0</v>
      </c>
      <c r="D1087" s="1537">
        <f>'8.Dgia'!D753</f>
        <v>0</v>
      </c>
      <c r="E1087" s="1749" t="str">
        <f>'8.Dgia'!E753</f>
        <v>Côn nhựa</v>
      </c>
      <c r="F1087" s="1763" t="s">
        <v>567</v>
      </c>
      <c r="G1087" s="1954">
        <f>'8.Dgia'!H753</f>
        <v>1</v>
      </c>
      <c r="H1087" s="1796">
        <f>GVL!$I$43</f>
        <v>1000</v>
      </c>
      <c r="I1087" s="1796">
        <f>H1087*G1087</f>
        <v>1000</v>
      </c>
    </row>
    <row r="1088" spans="1:12" ht="15">
      <c r="B1088" s="1536" t="str">
        <f>'8.Dgia'!B754</f>
        <v/>
      </c>
      <c r="C1088" s="1537">
        <f>'8.Dgia'!C754</f>
        <v>0</v>
      </c>
      <c r="D1088" s="1537">
        <f>'8.Dgia'!D754</f>
        <v>0</v>
      </c>
      <c r="E1088" s="1749" t="str">
        <f>'8.Dgia'!E754</f>
        <v>Cốc nhựa</v>
      </c>
      <c r="F1088" s="1763" t="s">
        <v>567</v>
      </c>
      <c r="G1088" s="1954">
        <f>'8.Dgia'!H754</f>
        <v>1</v>
      </c>
      <c r="H1088" s="1796">
        <f>GVL!$I$42</f>
        <v>1000</v>
      </c>
      <c r="I1088" s="1796">
        <f>H1088*G1088</f>
        <v>1000</v>
      </c>
    </row>
    <row r="1089" spans="1:12" ht="15">
      <c r="B1089" s="1536" t="str">
        <f>'8.Dgia'!B755</f>
        <v/>
      </c>
      <c r="C1089" s="1537">
        <f>'8.Dgia'!C755</f>
        <v>0</v>
      </c>
      <c r="D1089" s="1537">
        <f>'8.Dgia'!D755</f>
        <v>0</v>
      </c>
      <c r="E1089" s="1749" t="str">
        <f>'8.Dgia'!E755</f>
        <v>Mỡ bôi trơn</v>
      </c>
      <c r="F1089" s="1763" t="str">
        <f>'8.Dgia'!G755</f>
        <v>kg</v>
      </c>
      <c r="G1089" s="1954">
        <f>'8.Dgia'!H755</f>
        <v>0.05</v>
      </c>
      <c r="H1089" s="1796">
        <f>GVL!$I$119</f>
        <v>14560</v>
      </c>
      <c r="I1089" s="1796">
        <f>H1089*G1089</f>
        <v>728</v>
      </c>
    </row>
    <row r="1090" spans="1:12" ht="15">
      <c r="B1090" s="1536" t="str">
        <f>'8.Dgia'!B756</f>
        <v/>
      </c>
      <c r="C1090" s="1537">
        <f>'8.Dgia'!C756</f>
        <v>0</v>
      </c>
      <c r="D1090" s="1537" t="str">
        <f>'8.Dgia'!D756</f>
        <v>VD</v>
      </c>
      <c r="E1090" s="1749" t="str">
        <f>'8.Dgia'!E756</f>
        <v>Vữa không co ngót (kg)</v>
      </c>
      <c r="F1090" s="1763" t="str">
        <f>'8.Dgia'!G756</f>
        <v>kg</v>
      </c>
      <c r="G1090" s="1954">
        <f>'8.Dgia'!H756</f>
        <v>0.22</v>
      </c>
      <c r="H1090" s="1796">
        <f>GVL!$I$204</f>
        <v>9039.6340425531907</v>
      </c>
      <c r="I1090" s="1796">
        <f>H1090*G1090</f>
        <v>1988.719489361702</v>
      </c>
    </row>
    <row r="1091" spans="1:12" ht="15">
      <c r="B1091" s="1536" t="str">
        <f>'8.Dgia'!B757</f>
        <v/>
      </c>
      <c r="C1091" s="1537">
        <f>'8.Dgia'!C757</f>
        <v>0</v>
      </c>
      <c r="D1091" s="1537">
        <f>'8.Dgia'!D757</f>
        <v>0</v>
      </c>
      <c r="E1091" s="1749" t="str">
        <f>'8.Dgia'!E757</f>
        <v>Vật liệu khác</v>
      </c>
      <c r="F1091" s="1763" t="str">
        <f>'8.Dgia'!G757</f>
        <v>%</v>
      </c>
      <c r="G1091" s="1954">
        <f>'8.Dgia'!H757</f>
        <v>2</v>
      </c>
      <c r="H1091" s="1796">
        <f>SUM(I1086:I1090)</f>
        <v>1794716.7194893616</v>
      </c>
      <c r="I1091" s="1796">
        <f>H1091*G1091%</f>
        <v>35894.334389787233</v>
      </c>
    </row>
    <row r="1092" spans="1:12" s="658" customFormat="1" ht="15">
      <c r="B1092" s="1536" t="str">
        <f>'8.Dgia'!B758</f>
        <v/>
      </c>
      <c r="C1092" s="1537">
        <f>'8.Dgia'!C758</f>
        <v>0</v>
      </c>
      <c r="D1092" s="1537">
        <f>'8.Dgia'!D758</f>
        <v>0</v>
      </c>
      <c r="E1092" s="1744" t="str">
        <f>'8.Dgia'!E758</f>
        <v xml:space="preserve">  B - Nhân công 4.5/7</v>
      </c>
      <c r="F1092" s="1745" t="s">
        <v>552</v>
      </c>
      <c r="G1092" s="1954">
        <f>'8.Dgia'!H758</f>
        <v>0.25</v>
      </c>
      <c r="H1092" s="1796">
        <f>'16.NC'!$H$20</f>
        <v>275772</v>
      </c>
      <c r="I1092" s="1798">
        <f>H1092*G1092</f>
        <v>68943</v>
      </c>
      <c r="J1092" s="850"/>
      <c r="K1092" s="850"/>
      <c r="L1092" s="850"/>
    </row>
    <row r="1093" spans="1:12" s="658" customFormat="1" ht="15">
      <c r="B1093" s="1675"/>
      <c r="C1093" s="1676"/>
      <c r="D1093" s="1676"/>
      <c r="E1093" s="1800" t="s">
        <v>5675</v>
      </c>
      <c r="F1093" s="1763">
        <f>$J$5</f>
        <v>0.02</v>
      </c>
      <c r="G1093" s="1754"/>
      <c r="H1093" s="1799"/>
      <c r="I1093" s="1799">
        <f>( I1085+I1092 )*F1093</f>
        <v>37991.081077582974</v>
      </c>
      <c r="J1093" s="850"/>
      <c r="K1093" s="850"/>
      <c r="L1093" s="850"/>
    </row>
    <row r="1094" spans="1:12" ht="15">
      <c r="B1094" s="1540"/>
      <c r="C1094" s="1541"/>
      <c r="D1094" s="1541"/>
      <c r="E1094" s="1801" t="s">
        <v>5676</v>
      </c>
      <c r="F1094" s="1763"/>
      <c r="G1094" s="1759"/>
      <c r="H1094" s="1802"/>
      <c r="I1094" s="1802">
        <f>I1093+I1093/F1093</f>
        <v>1937545.1349567315</v>
      </c>
    </row>
    <row r="1095" spans="1:12" ht="15">
      <c r="B1095" s="1536"/>
      <c r="C1095" s="1537"/>
      <c r="D1095" s="1537"/>
      <c r="E1095" s="1803" t="s">
        <v>5677</v>
      </c>
      <c r="F1095" s="1763">
        <f>$K$5</f>
        <v>5.5E-2</v>
      </c>
      <c r="G1095" s="1746"/>
      <c r="H1095" s="1796"/>
      <c r="I1095" s="1796">
        <f>I1094*F1095</f>
        <v>106564.98242262023</v>
      </c>
    </row>
    <row r="1096" spans="1:12" ht="15">
      <c r="B1096" s="1536"/>
      <c r="C1096" s="1537"/>
      <c r="D1096" s="1537"/>
      <c r="E1096" s="1803" t="s">
        <v>5678</v>
      </c>
      <c r="F1096" s="1763">
        <f>$L$5</f>
        <v>0.06</v>
      </c>
      <c r="G1096" s="1746"/>
      <c r="H1096" s="1796"/>
      <c r="I1096" s="1796">
        <f>SUM(I1094:I1095)*F1096</f>
        <v>122646.6070427611</v>
      </c>
    </row>
    <row r="1097" spans="1:12" ht="14.25">
      <c r="B1097" s="1540"/>
      <c r="C1097" s="1541"/>
      <c r="D1097" s="1541"/>
      <c r="E1097" s="1801" t="s">
        <v>5679</v>
      </c>
      <c r="F1097" s="1791"/>
      <c r="G1097" s="1759"/>
      <c r="H1097" s="1802"/>
      <c r="I1097" s="1802">
        <f>SUM(I1094:I1096)</f>
        <v>2166756.724422113</v>
      </c>
    </row>
    <row r="1098" spans="1:12" ht="15">
      <c r="B1098" s="1536"/>
      <c r="C1098" s="1537"/>
      <c r="D1098" s="1537"/>
      <c r="E1098" s="1803" t="s">
        <v>5680</v>
      </c>
      <c r="F1098" s="1765">
        <f>$M$5</f>
        <v>0.1</v>
      </c>
      <c r="G1098" s="1746"/>
      <c r="H1098" s="1796"/>
      <c r="I1098" s="1796">
        <f>I1097*F1098</f>
        <v>216675.6724422113</v>
      </c>
    </row>
    <row r="1099" spans="1:12" ht="14.25">
      <c r="B1099" s="1540"/>
      <c r="C1099" s="1541"/>
      <c r="D1099" s="1541"/>
      <c r="E1099" s="1801" t="s">
        <v>5681</v>
      </c>
      <c r="F1099" s="1791"/>
      <c r="G1099" s="1759"/>
      <c r="H1099" s="1802"/>
      <c r="I1099" s="1802">
        <f>SUM(I1097:I1098)</f>
        <v>2383432.3968643243</v>
      </c>
    </row>
    <row r="1100" spans="1:12" ht="12.75">
      <c r="B1100" s="1536"/>
      <c r="C1100" s="1537"/>
      <c r="D1100" s="1537"/>
      <c r="E1100" s="1464" t="s">
        <v>5682</v>
      </c>
      <c r="F1100" s="1535">
        <f>$N$5</f>
        <v>0.01</v>
      </c>
      <c r="G1100" s="1538"/>
      <c r="H1100" s="1539"/>
      <c r="I1100" s="1539">
        <f>I1099*F1100</f>
        <v>23834.323968643243</v>
      </c>
    </row>
    <row r="1101" spans="1:12" ht="14.25">
      <c r="B1101" s="2116"/>
      <c r="C1101" s="1544"/>
      <c r="D1101" s="2116"/>
      <c r="E1101" s="2117" t="s">
        <v>5683</v>
      </c>
      <c r="F1101" s="2115"/>
      <c r="G1101" s="2117"/>
      <c r="H1101" s="2118"/>
      <c r="I1101" s="2110">
        <f>ROUND(I1099+I1100,0)</f>
        <v>2407267</v>
      </c>
    </row>
    <row r="1102" spans="1:12" ht="14.25">
      <c r="A1102" s="657">
        <v>1</v>
      </c>
      <c r="B1102" s="1546">
        <f>IF(A1102&lt;&gt;0,COUNTA(A$7:$A1102),"")</f>
        <v>58</v>
      </c>
      <c r="C1102" s="1547">
        <f>'8.Dgia'!C759</f>
        <v>1776</v>
      </c>
      <c r="D1102" s="1547" t="str">
        <f>'8.Dgia'!D759</f>
        <v>AG.13531</v>
      </c>
      <c r="E1102" s="1740" t="str">
        <f>'8.Dgia'!E759</f>
        <v>Lắp đặt neo chủ động 5S 12.7mm</v>
      </c>
      <c r="F1102" s="1789" t="s">
        <v>307</v>
      </c>
      <c r="G1102" s="1742">
        <f>'8.Dgia'!H759</f>
        <v>0</v>
      </c>
      <c r="H1102" s="1795"/>
      <c r="I1102" s="1795"/>
      <c r="J1102" s="842">
        <f>+I1103</f>
        <v>588992.87206096714</v>
      </c>
      <c r="K1102" s="842">
        <f>+I1110</f>
        <v>68943</v>
      </c>
    </row>
    <row r="1103" spans="1:12" s="658" customFormat="1" ht="15">
      <c r="B1103" s="1536" t="str">
        <f>'8.Dgia'!B760</f>
        <v/>
      </c>
      <c r="C1103" s="1537">
        <f>'8.Dgia'!C760</f>
        <v>0</v>
      </c>
      <c r="D1103" s="1537">
        <f>'8.Dgia'!D760</f>
        <v>0</v>
      </c>
      <c r="E1103" s="1744" t="str">
        <f>'8.Dgia'!E760</f>
        <v xml:space="preserve">  A - Vật liệu</v>
      </c>
      <c r="F1103" s="1763">
        <f>'8.Dgia'!G760</f>
        <v>0</v>
      </c>
      <c r="G1103" s="1746">
        <f>'8.Dgia'!H760</f>
        <v>0</v>
      </c>
      <c r="H1103" s="1796"/>
      <c r="I1103" s="1797">
        <f>SUM(I1104:I1109)</f>
        <v>588992.87206096714</v>
      </c>
      <c r="J1103" s="850"/>
      <c r="K1103" s="850"/>
      <c r="L1103" s="850"/>
    </row>
    <row r="1104" spans="1:12" ht="15">
      <c r="B1104" s="1536" t="str">
        <f>'8.Dgia'!B761</f>
        <v/>
      </c>
      <c r="C1104" s="1537">
        <f>'8.Dgia'!C761</f>
        <v>0</v>
      </c>
      <c r="D1104" s="1537">
        <f>'8.Dgia'!D761</f>
        <v>0</v>
      </c>
      <c r="E1104" s="1749" t="str">
        <f>'8.Dgia'!E761</f>
        <v>Neo chủ động 5S 12.7mm</v>
      </c>
      <c r="F1104" s="1763" t="s">
        <v>567</v>
      </c>
      <c r="G1104" s="1954">
        <f>'8.Dgia'!H761</f>
        <v>1</v>
      </c>
      <c r="H1104" s="1796">
        <f>GVL!$I$125</f>
        <v>572727.27272727271</v>
      </c>
      <c r="I1104" s="1796">
        <f>H1104*G1104</f>
        <v>572727.27272727271</v>
      </c>
    </row>
    <row r="1105" spans="1:12" ht="15">
      <c r="B1105" s="1536" t="str">
        <f>'8.Dgia'!B762</f>
        <v/>
      </c>
      <c r="C1105" s="1537">
        <f>'8.Dgia'!C762</f>
        <v>0</v>
      </c>
      <c r="D1105" s="1537">
        <f>'8.Dgia'!D762</f>
        <v>0</v>
      </c>
      <c r="E1105" s="1749" t="str">
        <f>'8.Dgia'!E762</f>
        <v>Côn nhựa</v>
      </c>
      <c r="F1105" s="1763" t="s">
        <v>567</v>
      </c>
      <c r="G1105" s="1954">
        <f>'8.Dgia'!H762</f>
        <v>1</v>
      </c>
      <c r="H1105" s="1796">
        <f>GVL!$I$43</f>
        <v>1000</v>
      </c>
      <c r="I1105" s="1796">
        <f>H1105*G1105</f>
        <v>1000</v>
      </c>
    </row>
    <row r="1106" spans="1:12" ht="15">
      <c r="B1106" s="1536" t="str">
        <f>'8.Dgia'!B763</f>
        <v/>
      </c>
      <c r="C1106" s="1537">
        <f>'8.Dgia'!C763</f>
        <v>0</v>
      </c>
      <c r="D1106" s="1537">
        <f>'8.Dgia'!D763</f>
        <v>0</v>
      </c>
      <c r="E1106" s="1749" t="str">
        <f>'8.Dgia'!E763</f>
        <v>Cốc nhựa</v>
      </c>
      <c r="F1106" s="1763" t="s">
        <v>567</v>
      </c>
      <c r="G1106" s="1954">
        <f>'8.Dgia'!H763</f>
        <v>1</v>
      </c>
      <c r="H1106" s="1796">
        <f>GVL!$I$42</f>
        <v>1000</v>
      </c>
      <c r="I1106" s="1796">
        <f>H1106*G1106</f>
        <v>1000</v>
      </c>
    </row>
    <row r="1107" spans="1:12" ht="15">
      <c r="B1107" s="1536" t="str">
        <f>'8.Dgia'!B764</f>
        <v/>
      </c>
      <c r="C1107" s="1537">
        <f>'8.Dgia'!C764</f>
        <v>0</v>
      </c>
      <c r="D1107" s="1537">
        <f>'8.Dgia'!D764</f>
        <v>0</v>
      </c>
      <c r="E1107" s="1749" t="str">
        <f>'8.Dgia'!E764</f>
        <v>Mỡ bôi trơn</v>
      </c>
      <c r="F1107" s="1763" t="str">
        <f>'8.Dgia'!G764</f>
        <v>kg</v>
      </c>
      <c r="G1107" s="1954">
        <f>'8.Dgia'!H764</f>
        <v>0.05</v>
      </c>
      <c r="H1107" s="1796">
        <f>GVL!$I$119</f>
        <v>14560</v>
      </c>
      <c r="I1107" s="1796">
        <f>H1107*G1107</f>
        <v>728</v>
      </c>
    </row>
    <row r="1108" spans="1:12" ht="15">
      <c r="B1108" s="1536" t="str">
        <f>'8.Dgia'!B765</f>
        <v/>
      </c>
      <c r="C1108" s="1537">
        <f>'8.Dgia'!C765</f>
        <v>0</v>
      </c>
      <c r="D1108" s="1537" t="s">
        <v>5869</v>
      </c>
      <c r="E1108" s="1749" t="str">
        <f>'8.Dgia'!E765</f>
        <v>Vữa không co ngót (kg)</v>
      </c>
      <c r="F1108" s="1763" t="str">
        <f>'8.Dgia'!G765</f>
        <v>kg</v>
      </c>
      <c r="G1108" s="1954">
        <f>'8.Dgia'!H765</f>
        <v>0.22</v>
      </c>
      <c r="H1108" s="1796">
        <f>GVL!$I$204</f>
        <v>9039.6340425531907</v>
      </c>
      <c r="I1108" s="1796">
        <f>H1108*G1108</f>
        <v>1988.719489361702</v>
      </c>
    </row>
    <row r="1109" spans="1:12" ht="15">
      <c r="B1109" s="1536" t="str">
        <f>'8.Dgia'!B766</f>
        <v/>
      </c>
      <c r="C1109" s="1537">
        <f>'8.Dgia'!C766</f>
        <v>0</v>
      </c>
      <c r="D1109" s="1537">
        <f>'8.Dgia'!D766</f>
        <v>0</v>
      </c>
      <c r="E1109" s="1749" t="str">
        <f>'8.Dgia'!E766</f>
        <v>Vật liệu khác</v>
      </c>
      <c r="F1109" s="1763" t="str">
        <f>'8.Dgia'!G766</f>
        <v>%</v>
      </c>
      <c r="G1109" s="1954">
        <f>'8.Dgia'!H766</f>
        <v>2</v>
      </c>
      <c r="H1109" s="1796">
        <f>SUM(I1104:I1108)</f>
        <v>577443.99221663445</v>
      </c>
      <c r="I1109" s="1796">
        <f>H1109*G1109%</f>
        <v>11548.879844332689</v>
      </c>
    </row>
    <row r="1110" spans="1:12" s="658" customFormat="1" ht="15">
      <c r="B1110" s="1536" t="str">
        <f>'8.Dgia'!B767</f>
        <v/>
      </c>
      <c r="C1110" s="1537">
        <f>'8.Dgia'!C767</f>
        <v>0</v>
      </c>
      <c r="D1110" s="1537">
        <f>'8.Dgia'!D767</f>
        <v>0</v>
      </c>
      <c r="E1110" s="1744" t="str">
        <f>'8.Dgia'!E767</f>
        <v xml:space="preserve">  B - Nhân công 4.5/7</v>
      </c>
      <c r="F1110" s="1745" t="s">
        <v>552</v>
      </c>
      <c r="G1110" s="1954">
        <f>'8.Dgia'!H767</f>
        <v>0.25</v>
      </c>
      <c r="H1110" s="1796">
        <f>'16.NC'!$H$20</f>
        <v>275772</v>
      </c>
      <c r="I1110" s="1798">
        <f>H1110*G1110</f>
        <v>68943</v>
      </c>
      <c r="J1110" s="850"/>
      <c r="K1110" s="850"/>
      <c r="L1110" s="850"/>
    </row>
    <row r="1111" spans="1:12" s="658" customFormat="1" ht="15">
      <c r="B1111" s="1675"/>
      <c r="C1111" s="1676"/>
      <c r="D1111" s="1676"/>
      <c r="E1111" s="1800" t="s">
        <v>5675</v>
      </c>
      <c r="F1111" s="1763">
        <f>$J$5</f>
        <v>0.02</v>
      </c>
      <c r="G1111" s="1754"/>
      <c r="H1111" s="1799"/>
      <c r="I1111" s="1799">
        <f>( I1103+I1110 )*F1111</f>
        <v>13158.717441219344</v>
      </c>
      <c r="J1111" s="850"/>
      <c r="K1111" s="850"/>
      <c r="L1111" s="850"/>
    </row>
    <row r="1112" spans="1:12" ht="15">
      <c r="B1112" s="1540"/>
      <c r="C1112" s="1541"/>
      <c r="D1112" s="1541"/>
      <c r="E1112" s="1801" t="s">
        <v>5676</v>
      </c>
      <c r="F1112" s="1763"/>
      <c r="G1112" s="1759"/>
      <c r="H1112" s="1802"/>
      <c r="I1112" s="1802">
        <f>I1111+I1111/F1111</f>
        <v>671094.58950218651</v>
      </c>
    </row>
    <row r="1113" spans="1:12" ht="15">
      <c r="B1113" s="1536"/>
      <c r="C1113" s="1537"/>
      <c r="D1113" s="1537"/>
      <c r="E1113" s="1803" t="s">
        <v>5677</v>
      </c>
      <c r="F1113" s="1763">
        <f>$K$5</f>
        <v>5.5E-2</v>
      </c>
      <c r="G1113" s="1746"/>
      <c r="H1113" s="1796"/>
      <c r="I1113" s="1796">
        <f>I1112*F1113</f>
        <v>36910.202422620256</v>
      </c>
    </row>
    <row r="1114" spans="1:12" ht="15">
      <c r="B1114" s="1536"/>
      <c r="C1114" s="1537"/>
      <c r="D1114" s="1537"/>
      <c r="E1114" s="1803" t="s">
        <v>5678</v>
      </c>
      <c r="F1114" s="1763">
        <f>$L$5</f>
        <v>0.06</v>
      </c>
      <c r="G1114" s="1746"/>
      <c r="H1114" s="1796"/>
      <c r="I1114" s="1796">
        <f>SUM(I1112:I1113)*F1114</f>
        <v>42480.287515488402</v>
      </c>
    </row>
    <row r="1115" spans="1:12" ht="14.25">
      <c r="B1115" s="1540"/>
      <c r="C1115" s="1541"/>
      <c r="D1115" s="1541"/>
      <c r="E1115" s="1801" t="s">
        <v>5679</v>
      </c>
      <c r="F1115" s="1791"/>
      <c r="G1115" s="1759"/>
      <c r="H1115" s="1802"/>
      <c r="I1115" s="1802">
        <f>SUM(I1112:I1114)</f>
        <v>750485.07944029523</v>
      </c>
    </row>
    <row r="1116" spans="1:12" ht="15">
      <c r="B1116" s="1536"/>
      <c r="C1116" s="1537"/>
      <c r="D1116" s="1537"/>
      <c r="E1116" s="1803" t="s">
        <v>5680</v>
      </c>
      <c r="F1116" s="1765">
        <f>$M$5</f>
        <v>0.1</v>
      </c>
      <c r="G1116" s="1746"/>
      <c r="H1116" s="1796"/>
      <c r="I1116" s="1796">
        <f>I1115*F1116</f>
        <v>75048.507944029523</v>
      </c>
    </row>
    <row r="1117" spans="1:12" ht="14.25">
      <c r="B1117" s="1540"/>
      <c r="C1117" s="1541"/>
      <c r="D1117" s="1541"/>
      <c r="E1117" s="1801" t="s">
        <v>5681</v>
      </c>
      <c r="F1117" s="1791"/>
      <c r="G1117" s="1759"/>
      <c r="H1117" s="1802"/>
      <c r="I1117" s="1802">
        <f>SUM(I1115:I1116)</f>
        <v>825533.58738432475</v>
      </c>
    </row>
    <row r="1118" spans="1:12" ht="12.75">
      <c r="B1118" s="1536"/>
      <c r="C1118" s="1537"/>
      <c r="D1118" s="1537"/>
      <c r="E1118" s="1464" t="s">
        <v>5682</v>
      </c>
      <c r="F1118" s="1535">
        <f>$N$5</f>
        <v>0.01</v>
      </c>
      <c r="G1118" s="1538"/>
      <c r="H1118" s="1539"/>
      <c r="I1118" s="1539">
        <f>I1117*F1118</f>
        <v>8255.3358738432471</v>
      </c>
    </row>
    <row r="1119" spans="1:12" ht="14.25">
      <c r="B1119" s="2116"/>
      <c r="C1119" s="1544"/>
      <c r="D1119" s="2116"/>
      <c r="E1119" s="2117" t="s">
        <v>5683</v>
      </c>
      <c r="F1119" s="2115"/>
      <c r="G1119" s="2117"/>
      <c r="H1119" s="2118"/>
      <c r="I1119" s="2110">
        <f>ROUND(I1117+I1118,0)</f>
        <v>833789</v>
      </c>
    </row>
    <row r="1120" spans="1:12" ht="18.75" customHeight="1">
      <c r="A1120" s="657">
        <v>1</v>
      </c>
      <c r="B1120" s="1546">
        <f>IF(A1120&lt;&gt;0,COUNTA(A$7:$A1120),"")</f>
        <v>59</v>
      </c>
      <c r="C1120" s="1547">
        <f>'8.Dgia'!C777</f>
        <v>1776</v>
      </c>
      <c r="D1120" s="1547" t="str">
        <f>'8.Dgia'!D777</f>
        <v>AI.64121</v>
      </c>
      <c r="E1120" s="1740" t="str">
        <f>'8.Dgia'!E777</f>
        <v>Lắp dựng ống thép xoắn tạo lỗ D110/117</v>
      </c>
      <c r="F1120" s="1789" t="str">
        <f>'8.Dgia'!G777</f>
        <v>m</v>
      </c>
      <c r="G1120" s="1742">
        <f>'8.Dgia'!H777</f>
        <v>0</v>
      </c>
      <c r="H1120" s="1795"/>
      <c r="I1120" s="1795"/>
      <c r="J1120" s="842">
        <f>+I1121</f>
        <v>50100.88637269126</v>
      </c>
      <c r="K1120" s="842">
        <f>+I1128</f>
        <v>57912.119999999995</v>
      </c>
      <c r="L1120" s="842">
        <f>+I1129</f>
        <v>2226.8748757500002</v>
      </c>
    </row>
    <row r="1121" spans="2:12" s="658" customFormat="1" ht="15">
      <c r="B1121" s="1536" t="str">
        <f>'8.Dgia'!B778</f>
        <v/>
      </c>
      <c r="C1121" s="1537">
        <f>'8.Dgia'!C778</f>
        <v>0</v>
      </c>
      <c r="D1121" s="1537">
        <f>'8.Dgia'!D778</f>
        <v>0</v>
      </c>
      <c r="E1121" s="1744" t="str">
        <f>'8.Dgia'!E778</f>
        <v xml:space="preserve">  A - Vật liệu</v>
      </c>
      <c r="F1121" s="1763">
        <f>'8.Dgia'!G778</f>
        <v>0</v>
      </c>
      <c r="G1121" s="1746">
        <f>'8.Dgia'!H778</f>
        <v>0</v>
      </c>
      <c r="H1121" s="1796"/>
      <c r="I1121" s="1797">
        <f>SUM(I1122:I1127)</f>
        <v>50100.88637269126</v>
      </c>
      <c r="J1121" s="850"/>
      <c r="K1121" s="850"/>
      <c r="L1121" s="850"/>
    </row>
    <row r="1122" spans="2:12" ht="15">
      <c r="B1122" s="1536" t="str">
        <f>'8.Dgia'!B779</f>
        <v/>
      </c>
      <c r="C1122" s="1537">
        <f>'8.Dgia'!C779</f>
        <v>0</v>
      </c>
      <c r="D1122" s="1537">
        <f>'8.Dgia'!D779</f>
        <v>0</v>
      </c>
      <c r="E1122" s="1749" t="str">
        <f>'8.Dgia'!E779</f>
        <v>Ống thép luồn cáp D110/117</v>
      </c>
      <c r="F1122" s="1763" t="str">
        <f>'8.Dgia'!G779</f>
        <v>m</v>
      </c>
      <c r="G1122" s="1746">
        <f>'8.Dgia'!H779</f>
        <v>1.02</v>
      </c>
      <c r="H1122" s="1796">
        <f>GVL!$I$149</f>
        <v>42727.272727272721</v>
      </c>
      <c r="I1122" s="1796">
        <f>H1122*G1122</f>
        <v>43581.818181818177</v>
      </c>
    </row>
    <row r="1123" spans="2:12" ht="15">
      <c r="B1123" s="1536" t="str">
        <f>'8.Dgia'!B780</f>
        <v/>
      </c>
      <c r="C1123" s="1537">
        <f>'8.Dgia'!C780</f>
        <v>0</v>
      </c>
      <c r="D1123" s="1537">
        <f>'8.Dgia'!D780</f>
        <v>0</v>
      </c>
      <c r="E1123" s="1749" t="str">
        <f>'8.Dgia'!E780</f>
        <v>Ống nối D110/117</v>
      </c>
      <c r="F1123" s="1763" t="str">
        <f>'8.Dgia'!G780</f>
        <v>m</v>
      </c>
      <c r="G1123" s="1746">
        <f>'8.Dgia'!H780</f>
        <v>0.06</v>
      </c>
      <c r="H1123" s="1796">
        <f>GVL!$I$139</f>
        <v>40909.090909090904</v>
      </c>
      <c r="I1123" s="1796">
        <f>H1123*G1123</f>
        <v>2454.545454545454</v>
      </c>
    </row>
    <row r="1124" spans="2:12" ht="15">
      <c r="B1124" s="1536" t="str">
        <f>'8.Dgia'!B781</f>
        <v/>
      </c>
      <c r="C1124" s="1537">
        <f>'8.Dgia'!C781</f>
        <v>0</v>
      </c>
      <c r="D1124" s="1537">
        <f>'8.Dgia'!D781</f>
        <v>0</v>
      </c>
      <c r="E1124" s="1749" t="str">
        <f>'8.Dgia'!E781</f>
        <v>Thép tròn D&lt;=10</v>
      </c>
      <c r="F1124" s="1763" t="str">
        <f>'8.Dgia'!G781</f>
        <v>kg</v>
      </c>
      <c r="G1124" s="1746">
        <f>'8.Dgia'!H781</f>
        <v>0.19</v>
      </c>
      <c r="H1124" s="1796">
        <f>GVL!$I$179</f>
        <v>16754.075560000001</v>
      </c>
      <c r="I1124" s="1796">
        <f>H1124*G1124</f>
        <v>3183.2743564000002</v>
      </c>
    </row>
    <row r="1125" spans="2:12" ht="15">
      <c r="B1125" s="1536" t="str">
        <f>'8.Dgia'!B782</f>
        <v/>
      </c>
      <c r="C1125" s="1537">
        <f>'8.Dgia'!C782</f>
        <v>0</v>
      </c>
      <c r="D1125" s="1537">
        <f>'8.Dgia'!D782</f>
        <v>0</v>
      </c>
      <c r="E1125" s="1749" t="str">
        <f>'8.Dgia'!E782</f>
        <v>Dây thép buộc</v>
      </c>
      <c r="F1125" s="1763" t="str">
        <f>'8.Dgia'!G782</f>
        <v>kg</v>
      </c>
      <c r="G1125" s="1746">
        <f>'8.Dgia'!H782</f>
        <v>1.4999999999999999E-2</v>
      </c>
      <c r="H1125" s="1796">
        <f>GVL!$I$89</f>
        <v>18180</v>
      </c>
      <c r="I1125" s="1796">
        <f>H1125*G1125</f>
        <v>272.7</v>
      </c>
    </row>
    <row r="1126" spans="2:12" ht="15">
      <c r="B1126" s="1536" t="str">
        <f>'8.Dgia'!B783</f>
        <v/>
      </c>
      <c r="C1126" s="1537">
        <f>'8.Dgia'!C783</f>
        <v>0</v>
      </c>
      <c r="D1126" s="1537">
        <f>'8.Dgia'!D783</f>
        <v>0</v>
      </c>
      <c r="E1126" s="1749" t="str">
        <f>'8.Dgia'!E783</f>
        <v xml:space="preserve">Lưỡi cưa cắt </v>
      </c>
      <c r="F1126" s="1763" t="s">
        <v>567</v>
      </c>
      <c r="G1126" s="1746">
        <f>'8.Dgia'!H783</f>
        <v>2.5000000000000001E-2</v>
      </c>
      <c r="H1126" s="1796">
        <f>GVL!$I$115</f>
        <v>4500</v>
      </c>
      <c r="I1126" s="1796">
        <f>H1126*G1126</f>
        <v>112.5</v>
      </c>
    </row>
    <row r="1127" spans="2:12" ht="15">
      <c r="B1127" s="1536" t="str">
        <f>'8.Dgia'!B784</f>
        <v/>
      </c>
      <c r="C1127" s="1537">
        <f>'8.Dgia'!C784</f>
        <v>0</v>
      </c>
      <c r="D1127" s="1537">
        <f>'8.Dgia'!D784</f>
        <v>0</v>
      </c>
      <c r="E1127" s="1749" t="str">
        <f>'8.Dgia'!E784</f>
        <v>Vật liệu khác</v>
      </c>
      <c r="F1127" s="1763" t="str">
        <f>'8.Dgia'!G784</f>
        <v>%</v>
      </c>
      <c r="G1127" s="1954">
        <f>'8.Dgia'!H784</f>
        <v>1</v>
      </c>
      <c r="H1127" s="1796">
        <f>SUM(I1122:I1126)</f>
        <v>49604.837992763627</v>
      </c>
      <c r="I1127" s="1796">
        <f>H1127*G1127%</f>
        <v>496.04837992763629</v>
      </c>
    </row>
    <row r="1128" spans="2:12" s="658" customFormat="1" ht="15">
      <c r="B1128" s="1536" t="str">
        <f>'8.Dgia'!B785</f>
        <v/>
      </c>
      <c r="C1128" s="1537">
        <f>'8.Dgia'!C785</f>
        <v>0</v>
      </c>
      <c r="D1128" s="1537">
        <f>'8.Dgia'!D785</f>
        <v>0</v>
      </c>
      <c r="E1128" s="1744" t="str">
        <f>'8.Dgia'!E785</f>
        <v xml:space="preserve">  B - Nhân công 4.5/7</v>
      </c>
      <c r="F1128" s="1745" t="s">
        <v>552</v>
      </c>
      <c r="G1128" s="1746">
        <f>'8.Dgia'!H785</f>
        <v>0.21</v>
      </c>
      <c r="H1128" s="1796">
        <f>'16.NC'!$H$20</f>
        <v>275772</v>
      </c>
      <c r="I1128" s="1798">
        <f>H1128*G1128</f>
        <v>57912.119999999995</v>
      </c>
      <c r="J1128" s="850"/>
      <c r="K1128" s="850"/>
      <c r="L1128" s="850"/>
    </row>
    <row r="1129" spans="2:12" s="658" customFormat="1" ht="15">
      <c r="B1129" s="1536" t="str">
        <f>'8.Dgia'!B786</f>
        <v/>
      </c>
      <c r="C1129" s="1537">
        <f>'8.Dgia'!C786</f>
        <v>0</v>
      </c>
      <c r="D1129" s="1537">
        <f>'8.Dgia'!D786</f>
        <v>0</v>
      </c>
      <c r="E1129" s="1744" t="str">
        <f>'8.Dgia'!E786</f>
        <v xml:space="preserve">  C - Máy thi công</v>
      </c>
      <c r="F1129" s="1763">
        <f>'8.Dgia'!G786</f>
        <v>0</v>
      </c>
      <c r="G1129" s="1746">
        <f>'8.Dgia'!H786</f>
        <v>0</v>
      </c>
      <c r="H1129" s="1796"/>
      <c r="I1129" s="1799">
        <f>SUM(I1130:I1131)</f>
        <v>2226.8748757500002</v>
      </c>
      <c r="J1129" s="850"/>
      <c r="K1129" s="850"/>
      <c r="L1129" s="850"/>
    </row>
    <row r="1130" spans="2:12" ht="15">
      <c r="B1130" s="1536" t="str">
        <f>'8.Dgia'!B787</f>
        <v/>
      </c>
      <c r="C1130" s="1537">
        <f>'8.Dgia'!C787</f>
        <v>0</v>
      </c>
      <c r="D1130" s="1537">
        <f>'8.Dgia'!D787</f>
        <v>0</v>
      </c>
      <c r="E1130" s="1749" t="str">
        <f>'8.Dgia'!E787</f>
        <v>Máy cưa kim loại 1.7kW</v>
      </c>
      <c r="F1130" s="1745" t="s">
        <v>5493</v>
      </c>
      <c r="G1130" s="1746">
        <f>'8.Dgia'!H787</f>
        <v>0.03</v>
      </c>
      <c r="H1130" s="1796">
        <f>'9.may'!$P$559</f>
        <v>70694.440500000012</v>
      </c>
      <c r="I1130" s="1796">
        <f>H1130*G1130</f>
        <v>2120.8332150000001</v>
      </c>
    </row>
    <row r="1131" spans="2:12" ht="15">
      <c r="B1131" s="1536" t="str">
        <f>'8.Dgia'!B788</f>
        <v/>
      </c>
      <c r="C1131" s="1537">
        <f>'8.Dgia'!C788</f>
        <v>0</v>
      </c>
      <c r="D1131" s="1537">
        <f>'8.Dgia'!D788</f>
        <v>0</v>
      </c>
      <c r="E1131" s="1749" t="str">
        <f>'8.Dgia'!E788</f>
        <v>Máy khác</v>
      </c>
      <c r="F1131" s="1763" t="str">
        <f>'8.Dgia'!G788</f>
        <v>%</v>
      </c>
      <c r="G1131" s="1954">
        <f>'8.Dgia'!H788</f>
        <v>5</v>
      </c>
      <c r="H1131" s="1796">
        <f>I1130</f>
        <v>2120.8332150000001</v>
      </c>
      <c r="I1131" s="1796">
        <f>H1131*G1131%</f>
        <v>106.04166075000001</v>
      </c>
    </row>
    <row r="1132" spans="2:12" s="658" customFormat="1" ht="15">
      <c r="B1132" s="1675"/>
      <c r="C1132" s="1676"/>
      <c r="D1132" s="1676"/>
      <c r="E1132" s="1800" t="s">
        <v>5675</v>
      </c>
      <c r="F1132" s="1763">
        <f>$J$5</f>
        <v>0.02</v>
      </c>
      <c r="G1132" s="1754"/>
      <c r="H1132" s="1799"/>
      <c r="I1132" s="1799">
        <f>( I1121+I1128+I1129 )*F1132</f>
        <v>2204.7976249688249</v>
      </c>
      <c r="J1132" s="850"/>
      <c r="K1132" s="850"/>
      <c r="L1132" s="850"/>
    </row>
    <row r="1133" spans="2:12" ht="15">
      <c r="B1133" s="1540"/>
      <c r="C1133" s="1541"/>
      <c r="D1133" s="1541"/>
      <c r="E1133" s="1801" t="s">
        <v>5676</v>
      </c>
      <c r="F1133" s="1763"/>
      <c r="G1133" s="1759"/>
      <c r="H1133" s="1802"/>
      <c r="I1133" s="1802">
        <f>I1132+I1132/F1132</f>
        <v>112444.67887341007</v>
      </c>
    </row>
    <row r="1134" spans="2:12" ht="15">
      <c r="B1134" s="1536"/>
      <c r="C1134" s="1537"/>
      <c r="D1134" s="1537"/>
      <c r="E1134" s="1803" t="s">
        <v>5677</v>
      </c>
      <c r="F1134" s="1763">
        <f>$K$5</f>
        <v>5.5E-2</v>
      </c>
      <c r="G1134" s="1746"/>
      <c r="H1134" s="1796"/>
      <c r="I1134" s="1796">
        <f>I1133*F1134</f>
        <v>6184.4573380375541</v>
      </c>
    </row>
    <row r="1135" spans="2:12" ht="15">
      <c r="B1135" s="1536"/>
      <c r="C1135" s="1537"/>
      <c r="D1135" s="1537"/>
      <c r="E1135" s="1803" t="s">
        <v>5678</v>
      </c>
      <c r="F1135" s="1763">
        <f>$L$5</f>
        <v>0.06</v>
      </c>
      <c r="G1135" s="1746"/>
      <c r="H1135" s="1796"/>
      <c r="I1135" s="1796">
        <f>SUM(I1133:I1134)*F1135</f>
        <v>7117.7481726868573</v>
      </c>
    </row>
    <row r="1136" spans="2:12" ht="14.25">
      <c r="B1136" s="1540"/>
      <c r="C1136" s="1541"/>
      <c r="D1136" s="1541"/>
      <c r="E1136" s="1801" t="s">
        <v>5679</v>
      </c>
      <c r="F1136" s="1791"/>
      <c r="G1136" s="1759"/>
      <c r="H1136" s="1802"/>
      <c r="I1136" s="1802">
        <f>SUM(I1133:I1135)</f>
        <v>125746.88438413448</v>
      </c>
    </row>
    <row r="1137" spans="1:12" ht="15">
      <c r="B1137" s="1536"/>
      <c r="C1137" s="1537"/>
      <c r="D1137" s="1537"/>
      <c r="E1137" s="1803" t="s">
        <v>5680</v>
      </c>
      <c r="F1137" s="1765">
        <f>$M$5</f>
        <v>0.1</v>
      </c>
      <c r="G1137" s="1746"/>
      <c r="H1137" s="1796"/>
      <c r="I1137" s="1796">
        <f>I1136*F1137</f>
        <v>12574.688438413448</v>
      </c>
    </row>
    <row r="1138" spans="1:12" ht="14.25">
      <c r="B1138" s="1540"/>
      <c r="C1138" s="1541"/>
      <c r="D1138" s="1541"/>
      <c r="E1138" s="1801" t="s">
        <v>5681</v>
      </c>
      <c r="F1138" s="1791"/>
      <c r="G1138" s="1759"/>
      <c r="H1138" s="1802"/>
      <c r="I1138" s="1802">
        <f>SUM(I1136:I1137)</f>
        <v>138321.57282254793</v>
      </c>
    </row>
    <row r="1139" spans="1:12" ht="12.75">
      <c r="B1139" s="1536"/>
      <c r="C1139" s="1537"/>
      <c r="D1139" s="1537"/>
      <c r="E1139" s="1464" t="s">
        <v>5682</v>
      </c>
      <c r="F1139" s="1535">
        <f>$N$5</f>
        <v>0.01</v>
      </c>
      <c r="G1139" s="1538"/>
      <c r="H1139" s="1539"/>
      <c r="I1139" s="1539">
        <f>I1138*F1139</f>
        <v>1383.2157282254793</v>
      </c>
    </row>
    <row r="1140" spans="1:12" ht="14.25">
      <c r="B1140" s="2116"/>
      <c r="C1140" s="1544"/>
      <c r="D1140" s="2116"/>
      <c r="E1140" s="2117" t="s">
        <v>5683</v>
      </c>
      <c r="F1140" s="2115"/>
      <c r="G1140" s="2117"/>
      <c r="H1140" s="2118"/>
      <c r="I1140" s="2110">
        <f>ROUND(I1138+I1139,0)</f>
        <v>139705</v>
      </c>
    </row>
    <row r="1141" spans="1:12" ht="15" customHeight="1">
      <c r="A1141" s="657">
        <v>1</v>
      </c>
      <c r="B1141" s="1546">
        <f>IF(A1141&lt;&gt;0,COUNTA(A$7:$A1141),"")</f>
        <v>60</v>
      </c>
      <c r="C1141" s="1547">
        <f>'8.Dgia'!C789</f>
        <v>1776</v>
      </c>
      <c r="D1141" s="1547" t="str">
        <f>'8.Dgia'!D789</f>
        <v>AI.64111</v>
      </c>
      <c r="E1141" s="1740" t="str">
        <f>'8.Dgia'!E789</f>
        <v>Lắp dựng ống thép xoắn tạo lỗ D80/87</v>
      </c>
      <c r="F1141" s="1789" t="str">
        <f>'8.Dgia'!G789</f>
        <v>m</v>
      </c>
      <c r="G1141" s="1742">
        <f>'8.Dgia'!H789</f>
        <v>0</v>
      </c>
      <c r="H1141" s="1795"/>
      <c r="I1141" s="1795"/>
      <c r="J1141" s="842">
        <f>+I1142</f>
        <v>44679.257790873089</v>
      </c>
      <c r="K1141" s="842">
        <f>+I1149</f>
        <v>52396.68</v>
      </c>
      <c r="L1141" s="842">
        <f>+I1150</f>
        <v>1855.7290631250005</v>
      </c>
    </row>
    <row r="1142" spans="1:12" s="658" customFormat="1" ht="15">
      <c r="B1142" s="1536" t="str">
        <f>'8.Dgia'!B790</f>
        <v/>
      </c>
      <c r="C1142" s="1537">
        <f>'8.Dgia'!C790</f>
        <v>0</v>
      </c>
      <c r="D1142" s="1537">
        <f>'8.Dgia'!D790</f>
        <v>0</v>
      </c>
      <c r="E1142" s="1744" t="str">
        <f>'8.Dgia'!E790</f>
        <v xml:space="preserve">  A - Vật liệu</v>
      </c>
      <c r="F1142" s="1763">
        <f>'8.Dgia'!G790</f>
        <v>0</v>
      </c>
      <c r="G1142" s="1746">
        <f>'8.Dgia'!H790</f>
        <v>0</v>
      </c>
      <c r="H1142" s="1796"/>
      <c r="I1142" s="1797">
        <f>SUM(I1143:I1148)</f>
        <v>44679.257790873089</v>
      </c>
      <c r="J1142" s="850"/>
      <c r="K1142" s="850"/>
      <c r="L1142" s="850"/>
    </row>
    <row r="1143" spans="1:12" ht="15">
      <c r="B1143" s="1536" t="str">
        <f>'8.Dgia'!B791</f>
        <v/>
      </c>
      <c r="C1143" s="1537">
        <f>'8.Dgia'!C791</f>
        <v>0</v>
      </c>
      <c r="D1143" s="1537">
        <f>'8.Dgia'!D791</f>
        <v>0</v>
      </c>
      <c r="E1143" s="1749" t="str">
        <f>'8.Dgia'!E791</f>
        <v>Ống thép luồn cáp D80/87</v>
      </c>
      <c r="F1143" s="1763" t="str">
        <f>'8.Dgia'!G791</f>
        <v>m</v>
      </c>
      <c r="G1143" s="1746">
        <f>'8.Dgia'!H791</f>
        <v>1.02</v>
      </c>
      <c r="H1143" s="1796">
        <f>GVL!$I$150</f>
        <v>38181.818181818177</v>
      </c>
      <c r="I1143" s="1796">
        <f>H1143*G1143</f>
        <v>38945.454545454544</v>
      </c>
    </row>
    <row r="1144" spans="1:12" ht="15">
      <c r="B1144" s="1536" t="str">
        <f>'8.Dgia'!B792</f>
        <v/>
      </c>
      <c r="C1144" s="1537">
        <f>'8.Dgia'!C792</f>
        <v>0</v>
      </c>
      <c r="D1144" s="1537">
        <f>'8.Dgia'!D792</f>
        <v>0</v>
      </c>
      <c r="E1144" s="1749" t="str">
        <f>'8.Dgia'!E792</f>
        <v>Ống nối D80/87</v>
      </c>
      <c r="F1144" s="1763" t="str">
        <f>'8.Dgia'!G792</f>
        <v>m</v>
      </c>
      <c r="G1144" s="1746">
        <f>'8.Dgia'!H792</f>
        <v>0.06</v>
      </c>
      <c r="H1144" s="1796">
        <f>GVL!$I$142</f>
        <v>29999.999999999996</v>
      </c>
      <c r="I1144" s="1796">
        <f>H1144*G1144</f>
        <v>1799.9999999999998</v>
      </c>
    </row>
    <row r="1145" spans="1:12" ht="15">
      <c r="B1145" s="1536" t="str">
        <f>'8.Dgia'!B793</f>
        <v/>
      </c>
      <c r="C1145" s="1537">
        <f>'8.Dgia'!C793</f>
        <v>0</v>
      </c>
      <c r="D1145" s="1537">
        <f>'8.Dgia'!D793</f>
        <v>0</v>
      </c>
      <c r="E1145" s="1749" t="str">
        <f>'8.Dgia'!E793</f>
        <v>Thép tròn D&lt;=10</v>
      </c>
      <c r="F1145" s="1763" t="str">
        <f>'8.Dgia'!G793</f>
        <v>kg</v>
      </c>
      <c r="G1145" s="1746">
        <f>'8.Dgia'!H793</f>
        <v>0.19</v>
      </c>
      <c r="H1145" s="1796">
        <f>GVL!$I$179</f>
        <v>16754.075560000001</v>
      </c>
      <c r="I1145" s="1796">
        <f>H1145*G1145</f>
        <v>3183.2743564000002</v>
      </c>
    </row>
    <row r="1146" spans="1:12" ht="15">
      <c r="B1146" s="1536" t="str">
        <f>'8.Dgia'!B794</f>
        <v/>
      </c>
      <c r="C1146" s="1537">
        <f>'8.Dgia'!C794</f>
        <v>0</v>
      </c>
      <c r="D1146" s="1537">
        <f>'8.Dgia'!D794</f>
        <v>0</v>
      </c>
      <c r="E1146" s="1749" t="str">
        <f>'8.Dgia'!E794</f>
        <v>Dây thép buộc</v>
      </c>
      <c r="F1146" s="1763" t="str">
        <f>'8.Dgia'!G794</f>
        <v>kg</v>
      </c>
      <c r="G1146" s="1746">
        <f>'8.Dgia'!H794</f>
        <v>1.2E-2</v>
      </c>
      <c r="H1146" s="1796">
        <f>GVL!$I$89</f>
        <v>18180</v>
      </c>
      <c r="I1146" s="1796">
        <f>H1146*G1146</f>
        <v>218.16</v>
      </c>
    </row>
    <row r="1147" spans="1:12" ht="15">
      <c r="B1147" s="1536" t="str">
        <f>'8.Dgia'!B795</f>
        <v/>
      </c>
      <c r="C1147" s="1537">
        <f>'8.Dgia'!C795</f>
        <v>0</v>
      </c>
      <c r="D1147" s="1537">
        <f>'8.Dgia'!D795</f>
        <v>0</v>
      </c>
      <c r="E1147" s="1749" t="str">
        <f>'8.Dgia'!E795</f>
        <v xml:space="preserve">Lưỡi cưa cắt </v>
      </c>
      <c r="F1147" s="1763" t="s">
        <v>567</v>
      </c>
      <c r="G1147" s="1746">
        <f>'8.Dgia'!H795</f>
        <v>0.02</v>
      </c>
      <c r="H1147" s="1796">
        <f>GVL!$I$115</f>
        <v>4500</v>
      </c>
      <c r="I1147" s="1796">
        <f>H1147*G1147</f>
        <v>90</v>
      </c>
    </row>
    <row r="1148" spans="1:12" ht="15">
      <c r="B1148" s="1536" t="str">
        <f>'8.Dgia'!B796</f>
        <v/>
      </c>
      <c r="C1148" s="1537">
        <f>'8.Dgia'!C796</f>
        <v>0</v>
      </c>
      <c r="D1148" s="1537">
        <f>'8.Dgia'!D796</f>
        <v>0</v>
      </c>
      <c r="E1148" s="1749" t="str">
        <f>'8.Dgia'!E796</f>
        <v>Vật liệu khác</v>
      </c>
      <c r="F1148" s="1763" t="str">
        <f>'8.Dgia'!G796</f>
        <v>%</v>
      </c>
      <c r="G1148" s="1746">
        <f>'8.Dgia'!H796</f>
        <v>1</v>
      </c>
      <c r="H1148" s="1796">
        <f>SUM(I1143:I1147)</f>
        <v>44236.888901854545</v>
      </c>
      <c r="I1148" s="1796">
        <f>H1148*G1148%</f>
        <v>442.36888901854547</v>
      </c>
    </row>
    <row r="1149" spans="1:12" s="658" customFormat="1" ht="15">
      <c r="B1149" s="1536" t="str">
        <f>'8.Dgia'!B797</f>
        <v/>
      </c>
      <c r="C1149" s="1537">
        <f>'8.Dgia'!C797</f>
        <v>0</v>
      </c>
      <c r="D1149" s="1537">
        <f>'8.Dgia'!D797</f>
        <v>0</v>
      </c>
      <c r="E1149" s="1744" t="str">
        <f>'8.Dgia'!E797</f>
        <v xml:space="preserve">  B - Nhân công 4.5/7</v>
      </c>
      <c r="F1149" s="1745" t="s">
        <v>552</v>
      </c>
      <c r="G1149" s="1746">
        <f>'8.Dgia'!H797</f>
        <v>0.19</v>
      </c>
      <c r="H1149" s="1796">
        <f>'16.NC'!$H$20</f>
        <v>275772</v>
      </c>
      <c r="I1149" s="1798">
        <f>H1149*G1149</f>
        <v>52396.68</v>
      </c>
      <c r="J1149" s="850"/>
      <c r="K1149" s="850"/>
      <c r="L1149" s="850"/>
    </row>
    <row r="1150" spans="1:12" s="658" customFormat="1" ht="15">
      <c r="B1150" s="1536" t="str">
        <f>'8.Dgia'!B798</f>
        <v/>
      </c>
      <c r="C1150" s="1537">
        <f>'8.Dgia'!C798</f>
        <v>0</v>
      </c>
      <c r="D1150" s="1537">
        <f>'8.Dgia'!D798</f>
        <v>0</v>
      </c>
      <c r="E1150" s="1744" t="str">
        <f>'8.Dgia'!E798</f>
        <v xml:space="preserve">  C - Máy thi công</v>
      </c>
      <c r="F1150" s="1763">
        <f>'8.Dgia'!G798</f>
        <v>0</v>
      </c>
      <c r="G1150" s="1746">
        <f>'8.Dgia'!H798</f>
        <v>0</v>
      </c>
      <c r="H1150" s="1796"/>
      <c r="I1150" s="1799">
        <f>SUM(I1151:I1152)</f>
        <v>1855.7290631250005</v>
      </c>
      <c r="J1150" s="850"/>
      <c r="K1150" s="850"/>
      <c r="L1150" s="850"/>
    </row>
    <row r="1151" spans="1:12" ht="15">
      <c r="B1151" s="1536" t="str">
        <f>'8.Dgia'!B799</f>
        <v/>
      </c>
      <c r="C1151" s="1537">
        <f>'8.Dgia'!C799</f>
        <v>0</v>
      </c>
      <c r="D1151" s="1537">
        <f>'8.Dgia'!D799</f>
        <v>0</v>
      </c>
      <c r="E1151" s="1749" t="str">
        <f>'8.Dgia'!E799</f>
        <v>Máy cưa kim loại 1.7kW</v>
      </c>
      <c r="F1151" s="1745" t="s">
        <v>5493</v>
      </c>
      <c r="G1151" s="1746">
        <f>'8.Dgia'!H799</f>
        <v>2.5000000000000001E-2</v>
      </c>
      <c r="H1151" s="1796">
        <f>'9.may'!$P$559</f>
        <v>70694.440500000012</v>
      </c>
      <c r="I1151" s="1796">
        <f>H1151*G1151</f>
        <v>1767.3610125000005</v>
      </c>
    </row>
    <row r="1152" spans="1:12" ht="15">
      <c r="B1152" s="1536" t="str">
        <f>'8.Dgia'!B800</f>
        <v/>
      </c>
      <c r="C1152" s="1537">
        <f>'8.Dgia'!C800</f>
        <v>0</v>
      </c>
      <c r="D1152" s="1537">
        <f>'8.Dgia'!D800</f>
        <v>0</v>
      </c>
      <c r="E1152" s="1749" t="str">
        <f>'8.Dgia'!E800</f>
        <v>Máy khác</v>
      </c>
      <c r="F1152" s="1763" t="str">
        <f>'8.Dgia'!G800</f>
        <v>%</v>
      </c>
      <c r="G1152" s="1954">
        <f>'8.Dgia'!H800</f>
        <v>5</v>
      </c>
      <c r="H1152" s="1796">
        <f>I1151</f>
        <v>1767.3610125000005</v>
      </c>
      <c r="I1152" s="1796">
        <f>H1152*G1152%</f>
        <v>88.368050625000024</v>
      </c>
    </row>
    <row r="1153" spans="1:12" s="658" customFormat="1" ht="15">
      <c r="B1153" s="1675"/>
      <c r="C1153" s="1676"/>
      <c r="D1153" s="1676"/>
      <c r="E1153" s="1800" t="s">
        <v>5675</v>
      </c>
      <c r="F1153" s="1763">
        <f>$J$5</f>
        <v>0.02</v>
      </c>
      <c r="G1153" s="1754"/>
      <c r="H1153" s="1799"/>
      <c r="I1153" s="1799">
        <f>( I1142+I1149+I1150 )*F1153</f>
        <v>1978.6333370799618</v>
      </c>
      <c r="J1153" s="850"/>
      <c r="K1153" s="850"/>
      <c r="L1153" s="850"/>
    </row>
    <row r="1154" spans="1:12" ht="15">
      <c r="B1154" s="1540"/>
      <c r="C1154" s="1541"/>
      <c r="D1154" s="1541"/>
      <c r="E1154" s="1801" t="s">
        <v>5676</v>
      </c>
      <c r="F1154" s="1763"/>
      <c r="G1154" s="1759"/>
      <c r="H1154" s="1802"/>
      <c r="I1154" s="1802">
        <f>I1153+I1153/F1153</f>
        <v>100910.30019107804</v>
      </c>
    </row>
    <row r="1155" spans="1:12" ht="15">
      <c r="B1155" s="1536"/>
      <c r="C1155" s="1537"/>
      <c r="D1155" s="1537"/>
      <c r="E1155" s="1803" t="s">
        <v>5677</v>
      </c>
      <c r="F1155" s="1763">
        <f>$K$5</f>
        <v>5.5E-2</v>
      </c>
      <c r="G1155" s="1746"/>
      <c r="H1155" s="1796"/>
      <c r="I1155" s="1796">
        <f>I1154*F1155</f>
        <v>5550.0665105092921</v>
      </c>
    </row>
    <row r="1156" spans="1:12" ht="15">
      <c r="B1156" s="1536"/>
      <c r="C1156" s="1537"/>
      <c r="D1156" s="1537"/>
      <c r="E1156" s="1803" t="s">
        <v>5678</v>
      </c>
      <c r="F1156" s="1763">
        <f>$L$5</f>
        <v>0.06</v>
      </c>
      <c r="G1156" s="1746"/>
      <c r="H1156" s="1796"/>
      <c r="I1156" s="1796">
        <f>SUM(I1154:I1155)*F1156</f>
        <v>6387.6220020952396</v>
      </c>
    </row>
    <row r="1157" spans="1:12" ht="14.25">
      <c r="B1157" s="1540"/>
      <c r="C1157" s="1541"/>
      <c r="D1157" s="1541"/>
      <c r="E1157" s="1801" t="s">
        <v>5679</v>
      </c>
      <c r="F1157" s="1791"/>
      <c r="G1157" s="1759"/>
      <c r="H1157" s="1802"/>
      <c r="I1157" s="1802">
        <f>SUM(I1154:I1156)</f>
        <v>112847.98870368258</v>
      </c>
    </row>
    <row r="1158" spans="1:12" ht="15">
      <c r="B1158" s="1536"/>
      <c r="C1158" s="1537"/>
      <c r="D1158" s="1537"/>
      <c r="E1158" s="1803" t="s">
        <v>5680</v>
      </c>
      <c r="F1158" s="1765">
        <f>$M$5</f>
        <v>0.1</v>
      </c>
      <c r="G1158" s="1746"/>
      <c r="H1158" s="1796"/>
      <c r="I1158" s="1796">
        <f>I1157*F1158</f>
        <v>11284.798870368259</v>
      </c>
    </row>
    <row r="1159" spans="1:12" ht="14.25">
      <c r="B1159" s="1540"/>
      <c r="C1159" s="1541"/>
      <c r="D1159" s="1541"/>
      <c r="E1159" s="1801" t="s">
        <v>5681</v>
      </c>
      <c r="F1159" s="1791"/>
      <c r="G1159" s="1759"/>
      <c r="H1159" s="1802"/>
      <c r="I1159" s="1802">
        <f>SUM(I1157:I1158)</f>
        <v>124132.78757405085</v>
      </c>
    </row>
    <row r="1160" spans="1:12" ht="12.75">
      <c r="B1160" s="1536"/>
      <c r="C1160" s="1537"/>
      <c r="D1160" s="1537"/>
      <c r="E1160" s="1464" t="s">
        <v>5682</v>
      </c>
      <c r="F1160" s="1535">
        <f>$N$5</f>
        <v>0.01</v>
      </c>
      <c r="G1160" s="1538"/>
      <c r="H1160" s="1539"/>
      <c r="I1160" s="1539">
        <f>I1159*F1160</f>
        <v>1241.3278757405085</v>
      </c>
    </row>
    <row r="1161" spans="1:12" ht="14.25">
      <c r="B1161" s="2116"/>
      <c r="C1161" s="1544"/>
      <c r="D1161" s="2116"/>
      <c r="E1161" s="2117" t="s">
        <v>5683</v>
      </c>
      <c r="F1161" s="2115"/>
      <c r="G1161" s="2117"/>
      <c r="H1161" s="2118"/>
      <c r="I1161" s="2110">
        <f>ROUND(I1159+I1160,0)</f>
        <v>125374</v>
      </c>
    </row>
    <row r="1162" spans="1:12" ht="15" customHeight="1">
      <c r="A1162" s="657">
        <v>1</v>
      </c>
      <c r="B1162" s="1546">
        <f>IF(A1162&lt;&gt;0,COUNTA(A$7:$A1162),"")</f>
        <v>61</v>
      </c>
      <c r="C1162" s="1547">
        <f>'8.Dgia'!C801</f>
        <v>1776</v>
      </c>
      <c r="D1162" s="1547" t="str">
        <f>'8.Dgia'!D801</f>
        <v>AF.37410</v>
      </c>
      <c r="E1162" s="1740" t="str">
        <f>'8.Dgia'!E801</f>
        <v>Bơm vữa xi măng trong ống luồn cáp</v>
      </c>
      <c r="F1162" s="1789" t="str">
        <f>'8.Dgia'!G801</f>
        <v>m3</v>
      </c>
      <c r="G1162" s="1742">
        <f>'8.Dgia'!H801</f>
        <v>0</v>
      </c>
      <c r="H1162" s="1795"/>
      <c r="I1162" s="1795"/>
      <c r="J1162" s="842">
        <f>+I1163</f>
        <v>6354651.7440000009</v>
      </c>
      <c r="K1162" s="842">
        <f>+I1167</f>
        <v>9168616.8000000007</v>
      </c>
      <c r="L1162" s="842">
        <f>+I1168</f>
        <v>3158212.6998435273</v>
      </c>
    </row>
    <row r="1163" spans="1:12" s="658" customFormat="1" ht="15">
      <c r="B1163" s="1536" t="str">
        <f>'8.Dgia'!B802</f>
        <v/>
      </c>
      <c r="C1163" s="1537">
        <f>'8.Dgia'!C802</f>
        <v>0</v>
      </c>
      <c r="D1163" s="1537">
        <f>'8.Dgia'!D802</f>
        <v>0</v>
      </c>
      <c r="E1163" s="1744" t="str">
        <f>'8.Dgia'!E802</f>
        <v xml:space="preserve">  A - Vật liệu</v>
      </c>
      <c r="F1163" s="1763">
        <f>'8.Dgia'!G802</f>
        <v>0</v>
      </c>
      <c r="G1163" s="1746">
        <f>'8.Dgia'!H802</f>
        <v>0</v>
      </c>
      <c r="H1163" s="1796"/>
      <c r="I1163" s="1797">
        <f>SUM(I1164:I1166)</f>
        <v>6354651.7440000009</v>
      </c>
      <c r="J1163" s="850"/>
      <c r="K1163" s="850"/>
      <c r="L1163" s="850"/>
    </row>
    <row r="1164" spans="1:12" ht="15">
      <c r="B1164" s="1536" t="str">
        <f>'8.Dgia'!B803</f>
        <v/>
      </c>
      <c r="C1164" s="1537">
        <f>'8.Dgia'!C803</f>
        <v>0</v>
      </c>
      <c r="D1164" s="1537">
        <f>'8.Dgia'!D803</f>
        <v>0</v>
      </c>
      <c r="E1164" s="1749" t="str">
        <f>'8.Dgia'!E803</f>
        <v>Xi măng PC40</v>
      </c>
      <c r="F1164" s="1763" t="str">
        <f>'8.Dgia'!G803</f>
        <v>kg</v>
      </c>
      <c r="G1164" s="1982">
        <f>'8.Dgia'!H803</f>
        <v>1824</v>
      </c>
      <c r="H1164" s="1796">
        <f>GVL!$I$208</f>
        <v>1535</v>
      </c>
      <c r="I1164" s="1796">
        <f>H1164*G1164</f>
        <v>2799840</v>
      </c>
    </row>
    <row r="1165" spans="1:12" ht="15">
      <c r="B1165" s="1536" t="str">
        <f>'8.Dgia'!B804</f>
        <v/>
      </c>
      <c r="C1165" s="1537">
        <f>'8.Dgia'!C804</f>
        <v>0</v>
      </c>
      <c r="D1165" s="1537">
        <f>'8.Dgia'!D804</f>
        <v>0</v>
      </c>
      <c r="E1165" s="1749" t="str">
        <f>'8.Dgia'!E804</f>
        <v>Sika IntraplastZ</v>
      </c>
      <c r="F1165" s="1763" t="str">
        <f>'8.Dgia'!G804</f>
        <v>kg</v>
      </c>
      <c r="G1165" s="1954">
        <f>'8.Dgia'!H804</f>
        <v>40.56</v>
      </c>
      <c r="H1165" s="1796">
        <f>GVL!$I$156</f>
        <v>83080</v>
      </c>
      <c r="I1165" s="1796">
        <f>H1165*G1165</f>
        <v>3369724.8000000003</v>
      </c>
    </row>
    <row r="1166" spans="1:12" ht="15">
      <c r="B1166" s="1536" t="str">
        <f>'8.Dgia'!B805</f>
        <v/>
      </c>
      <c r="C1166" s="1537">
        <f>'8.Dgia'!C805</f>
        <v>0</v>
      </c>
      <c r="D1166" s="1537">
        <f>'8.Dgia'!D805</f>
        <v>0</v>
      </c>
      <c r="E1166" s="1749" t="str">
        <f>'8.Dgia'!E805</f>
        <v>Vật liệu khác</v>
      </c>
      <c r="F1166" s="1763" t="str">
        <f>'8.Dgia'!G805</f>
        <v>%</v>
      </c>
      <c r="G1166" s="1954">
        <f>'8.Dgia'!H805</f>
        <v>3</v>
      </c>
      <c r="H1166" s="1796">
        <f>SUM(I1164:I1165)</f>
        <v>6169564.8000000007</v>
      </c>
      <c r="I1166" s="1796">
        <f>H1166*G1166%</f>
        <v>185086.94400000002</v>
      </c>
    </row>
    <row r="1167" spans="1:12" s="658" customFormat="1" ht="15">
      <c r="B1167" s="1536" t="str">
        <f>'8.Dgia'!B806</f>
        <v/>
      </c>
      <c r="C1167" s="1537">
        <f>'8.Dgia'!C806</f>
        <v>0</v>
      </c>
      <c r="D1167" s="1537">
        <f>'8.Dgia'!D806</f>
        <v>0</v>
      </c>
      <c r="E1167" s="1744" t="str">
        <f>'8.Dgia'!E806</f>
        <v xml:space="preserve">  B - Nhân công 4.0/7</v>
      </c>
      <c r="F1167" s="1745" t="s">
        <v>552</v>
      </c>
      <c r="G1167" s="1954">
        <f>'8.Dgia'!H806</f>
        <v>35.700000000000003</v>
      </c>
      <c r="H1167" s="1796">
        <f>'16.NC'!$H$18</f>
        <v>256824</v>
      </c>
      <c r="I1167" s="1798">
        <f>H1167*G1167</f>
        <v>9168616.8000000007</v>
      </c>
      <c r="J1167" s="850"/>
      <c r="K1167" s="850"/>
      <c r="L1167" s="850"/>
    </row>
    <row r="1168" spans="1:12" s="658" customFormat="1" ht="15">
      <c r="B1168" s="1536" t="str">
        <f>'8.Dgia'!B807</f>
        <v/>
      </c>
      <c r="C1168" s="1537">
        <f>'8.Dgia'!C807</f>
        <v>0</v>
      </c>
      <c r="D1168" s="1537">
        <f>'8.Dgia'!D807</f>
        <v>0</v>
      </c>
      <c r="E1168" s="1744" t="str">
        <f>'8.Dgia'!E807</f>
        <v xml:space="preserve">  C - Máy thi công</v>
      </c>
      <c r="F1168" s="1763">
        <f>'8.Dgia'!G807</f>
        <v>0</v>
      </c>
      <c r="G1168" s="1954">
        <f>'8.Dgia'!H807</f>
        <v>0</v>
      </c>
      <c r="H1168" s="1796"/>
      <c r="I1168" s="1799">
        <f>SUM(I1169:I1173)</f>
        <v>3158212.6998435273</v>
      </c>
      <c r="J1168" s="850"/>
      <c r="K1168" s="850"/>
      <c r="L1168" s="850"/>
    </row>
    <row r="1169" spans="1:12" ht="15">
      <c r="B1169" s="1536" t="str">
        <f>'8.Dgia'!B808</f>
        <v/>
      </c>
      <c r="C1169" s="1537">
        <f>'8.Dgia'!C808</f>
        <v>0</v>
      </c>
      <c r="D1169" s="1537">
        <f>'8.Dgia'!D808</f>
        <v>0</v>
      </c>
      <c r="E1169" s="1749" t="str">
        <f>'8.Dgia'!E808</f>
        <v>Máy trộn vữa 80l</v>
      </c>
      <c r="F1169" s="1745" t="s">
        <v>5493</v>
      </c>
      <c r="G1169" s="1954">
        <f>'8.Dgia'!H808</f>
        <v>1.83</v>
      </c>
      <c r="H1169" s="1796">
        <f>'9.may'!$P$340</f>
        <v>85162.991999999998</v>
      </c>
      <c r="I1169" s="1796">
        <f>H1169*G1169</f>
        <v>155848.27536</v>
      </c>
    </row>
    <row r="1170" spans="1:12" ht="15">
      <c r="B1170" s="1536" t="str">
        <f>'8.Dgia'!B809</f>
        <v/>
      </c>
      <c r="C1170" s="1537">
        <f>'8.Dgia'!C809</f>
        <v>0</v>
      </c>
      <c r="D1170" s="1537">
        <f>'8.Dgia'!D809</f>
        <v>0</v>
      </c>
      <c r="E1170" s="1749" t="str">
        <f>'8.Dgia'!E809</f>
        <v>Máy nén khí 600m3/h</v>
      </c>
      <c r="F1170" s="1745" t="s">
        <v>5493</v>
      </c>
      <c r="G1170" s="1954">
        <f>'8.Dgia'!H809</f>
        <v>1.83</v>
      </c>
      <c r="H1170" s="1796">
        <f>'9.may'!$P$488</f>
        <v>1323272.1545454543</v>
      </c>
      <c r="I1170" s="1796">
        <f>H1170*G1170</f>
        <v>2421588.0428181817</v>
      </c>
    </row>
    <row r="1171" spans="1:12" ht="15">
      <c r="B1171" s="1536" t="str">
        <f>'8.Dgia'!B810</f>
        <v/>
      </c>
      <c r="C1171" s="1537">
        <f>'8.Dgia'!C810</f>
        <v>0</v>
      </c>
      <c r="D1171" s="1537">
        <f>'8.Dgia'!D810</f>
        <v>0</v>
      </c>
      <c r="E1171" s="1749" t="str">
        <f>'8.Dgia'!E810</f>
        <v>Máy bơm vữa ximăng</v>
      </c>
      <c r="F1171" s="1745" t="s">
        <v>5493</v>
      </c>
      <c r="G1171" s="1954">
        <f>'8.Dgia'!H810</f>
        <v>1.83</v>
      </c>
      <c r="H1171" s="1796">
        <f>'9.may'!$P$356</f>
        <v>211608.30000000002</v>
      </c>
      <c r="I1171" s="1796">
        <f>H1171*G1171</f>
        <v>387243.18900000007</v>
      </c>
    </row>
    <row r="1172" spans="1:12" ht="15">
      <c r="B1172" s="1536" t="str">
        <f>'8.Dgia'!B811</f>
        <v/>
      </c>
      <c r="C1172" s="1537">
        <f>'8.Dgia'!C811</f>
        <v>0</v>
      </c>
      <c r="D1172" s="1537">
        <f>'8.Dgia'!D811</f>
        <v>0</v>
      </c>
      <c r="E1172" s="1749" t="str">
        <f>'8.Dgia'!E811</f>
        <v>Máy bơm nước 20kw</v>
      </c>
      <c r="F1172" s="1745" t="s">
        <v>5493</v>
      </c>
      <c r="G1172" s="1954">
        <f>'8.Dgia'!H811</f>
        <v>0.5</v>
      </c>
      <c r="H1172" s="1796">
        <f>'9.may'!$P$425</f>
        <v>203092.83000000002</v>
      </c>
      <c r="I1172" s="1796">
        <f>H1172*G1172</f>
        <v>101546.41500000001</v>
      </c>
    </row>
    <row r="1173" spans="1:12" ht="15">
      <c r="B1173" s="1536" t="str">
        <f>'8.Dgia'!B812</f>
        <v/>
      </c>
      <c r="C1173" s="1537">
        <f>'8.Dgia'!C812</f>
        <v>0</v>
      </c>
      <c r="D1173" s="1537">
        <f>'8.Dgia'!D812</f>
        <v>0</v>
      </c>
      <c r="E1173" s="1749" t="str">
        <f>'8.Dgia'!E812</f>
        <v>Máy khác</v>
      </c>
      <c r="F1173" s="1763" t="str">
        <f>'8.Dgia'!G812</f>
        <v>%</v>
      </c>
      <c r="G1173" s="1954">
        <f>'8.Dgia'!H812</f>
        <v>3</v>
      </c>
      <c r="H1173" s="1796">
        <f>SUM(I1169:I1172)</f>
        <v>3066225.9221781818</v>
      </c>
      <c r="I1173" s="1796">
        <f>H1173*G1173%</f>
        <v>91986.777665345449</v>
      </c>
    </row>
    <row r="1174" spans="1:12" s="658" customFormat="1" ht="15">
      <c r="B1174" s="1675"/>
      <c r="C1174" s="1676"/>
      <c r="D1174" s="1676"/>
      <c r="E1174" s="1800" t="s">
        <v>5675</v>
      </c>
      <c r="F1174" s="1763">
        <f>$J$5</f>
        <v>0.02</v>
      </c>
      <c r="G1174" s="1754"/>
      <c r="H1174" s="1799"/>
      <c r="I1174" s="1799">
        <f>( I1163+I1167+I1168 )*F1174</f>
        <v>373629.6248768706</v>
      </c>
      <c r="J1174" s="850"/>
      <c r="K1174" s="850"/>
      <c r="L1174" s="850"/>
    </row>
    <row r="1175" spans="1:12" ht="15">
      <c r="B1175" s="1540"/>
      <c r="C1175" s="1541"/>
      <c r="D1175" s="1541"/>
      <c r="E1175" s="1801" t="s">
        <v>5676</v>
      </c>
      <c r="F1175" s="1763"/>
      <c r="G1175" s="1759"/>
      <c r="H1175" s="1802"/>
      <c r="I1175" s="1802">
        <f>I1174+I1174/F1174</f>
        <v>19055110.868720401</v>
      </c>
    </row>
    <row r="1176" spans="1:12" ht="15">
      <c r="B1176" s="1536"/>
      <c r="C1176" s="1537"/>
      <c r="D1176" s="1537"/>
      <c r="E1176" s="1803" t="s">
        <v>5677</v>
      </c>
      <c r="F1176" s="1763">
        <f>$K$5</f>
        <v>5.5E-2</v>
      </c>
      <c r="G1176" s="1746"/>
      <c r="H1176" s="1796"/>
      <c r="I1176" s="1796">
        <f>I1175*F1176</f>
        <v>1048031.0977796221</v>
      </c>
    </row>
    <row r="1177" spans="1:12" ht="15">
      <c r="B1177" s="1536"/>
      <c r="C1177" s="1537"/>
      <c r="D1177" s="1537"/>
      <c r="E1177" s="1803" t="s">
        <v>5678</v>
      </c>
      <c r="F1177" s="1763">
        <f>$L$5</f>
        <v>0.06</v>
      </c>
      <c r="G1177" s="1746"/>
      <c r="H1177" s="1796"/>
      <c r="I1177" s="1796">
        <f>SUM(I1175:I1176)*F1177</f>
        <v>1206188.5179900012</v>
      </c>
    </row>
    <row r="1178" spans="1:12" ht="14.25">
      <c r="B1178" s="1540"/>
      <c r="C1178" s="1541"/>
      <c r="D1178" s="1541"/>
      <c r="E1178" s="1801" t="s">
        <v>5679</v>
      </c>
      <c r="F1178" s="1791"/>
      <c r="G1178" s="1759"/>
      <c r="H1178" s="1802"/>
      <c r="I1178" s="1802">
        <f>SUM(I1175:I1177)</f>
        <v>21309330.484490022</v>
      </c>
    </row>
    <row r="1179" spans="1:12" ht="15">
      <c r="B1179" s="1536"/>
      <c r="C1179" s="1537"/>
      <c r="D1179" s="1537"/>
      <c r="E1179" s="1803" t="s">
        <v>5680</v>
      </c>
      <c r="F1179" s="1765">
        <f>$M$5</f>
        <v>0.1</v>
      </c>
      <c r="G1179" s="1746"/>
      <c r="H1179" s="1796"/>
      <c r="I1179" s="1796">
        <f>I1178*F1179</f>
        <v>2130933.0484490022</v>
      </c>
    </row>
    <row r="1180" spans="1:12" ht="14.25">
      <c r="B1180" s="1540"/>
      <c r="C1180" s="1541"/>
      <c r="D1180" s="1541"/>
      <c r="E1180" s="1801" t="s">
        <v>5681</v>
      </c>
      <c r="F1180" s="1791"/>
      <c r="G1180" s="1759"/>
      <c r="H1180" s="1802"/>
      <c r="I1180" s="1802">
        <f>SUM(I1178:I1179)</f>
        <v>23440263.532939024</v>
      </c>
    </row>
    <row r="1181" spans="1:12" ht="12.75">
      <c r="B1181" s="1536"/>
      <c r="C1181" s="1537"/>
      <c r="D1181" s="1537"/>
      <c r="E1181" s="1464" t="s">
        <v>5682</v>
      </c>
      <c r="F1181" s="1535">
        <f>$N$5</f>
        <v>0.01</v>
      </c>
      <c r="G1181" s="1538"/>
      <c r="H1181" s="1539"/>
      <c r="I1181" s="1539">
        <f>I1180*F1181</f>
        <v>234402.63532939024</v>
      </c>
    </row>
    <row r="1182" spans="1:12" ht="14.25">
      <c r="B1182" s="2116"/>
      <c r="C1182" s="1544"/>
      <c r="D1182" s="2116"/>
      <c r="E1182" s="2117" t="s">
        <v>5683</v>
      </c>
      <c r="F1182" s="2115"/>
      <c r="G1182" s="2117"/>
      <c r="H1182" s="2118"/>
      <c r="I1182" s="2110">
        <f>ROUND(I1180+I1181,0)</f>
        <v>23674666</v>
      </c>
    </row>
    <row r="1183" spans="1:12" ht="14.25">
      <c r="A1183" s="657">
        <v>1</v>
      </c>
      <c r="B1183" s="1546">
        <f>IF(A1183&lt;&gt;0,COUNTA(A$7:$A1183),"")</f>
        <v>62</v>
      </c>
      <c r="C1183" s="1547">
        <f>'8.Dgia'!C813</f>
        <v>1776</v>
      </c>
      <c r="D1183" s="1547" t="str">
        <f>'8.Dgia'!D813</f>
        <v>AL.25111</v>
      </c>
      <c r="E1183" s="1740" t="str">
        <f>'8.Dgia'!E813</f>
        <v>Lắp đặt gối cố định 4000T</v>
      </c>
      <c r="F1183" s="1789" t="s">
        <v>307</v>
      </c>
      <c r="G1183" s="1742">
        <f>'8.Dgia'!H813</f>
        <v>0</v>
      </c>
      <c r="H1183" s="1795"/>
      <c r="I1183" s="1795"/>
      <c r="J1183" s="842">
        <f>+I1184</f>
        <v>634280000</v>
      </c>
      <c r="K1183" s="842">
        <f>+I1187</f>
        <v>1412532</v>
      </c>
    </row>
    <row r="1184" spans="1:12" s="658" customFormat="1" ht="15">
      <c r="B1184" s="1536" t="str">
        <f>'8.Dgia'!B814</f>
        <v/>
      </c>
      <c r="C1184" s="1537">
        <f>'8.Dgia'!C814</f>
        <v>0</v>
      </c>
      <c r="D1184" s="1537">
        <f>'8.Dgia'!D814</f>
        <v>0</v>
      </c>
      <c r="E1184" s="1744" t="str">
        <f>'8.Dgia'!E814</f>
        <v xml:space="preserve">  A - Vật liệu</v>
      </c>
      <c r="F1184" s="1763">
        <f>'8.Dgia'!G814</f>
        <v>0</v>
      </c>
      <c r="G1184" s="1746">
        <f>'8.Dgia'!H814</f>
        <v>0</v>
      </c>
      <c r="H1184" s="1796"/>
      <c r="I1184" s="1797">
        <f>SUM(I1185:I1186)</f>
        <v>634280000</v>
      </c>
      <c r="J1184" s="850"/>
      <c r="K1184" s="850"/>
      <c r="L1184" s="850"/>
    </row>
    <row r="1185" spans="1:12" ht="15">
      <c r="B1185" s="1536" t="str">
        <f>'8.Dgia'!B815</f>
        <v/>
      </c>
      <c r="C1185" s="1537">
        <f>'8.Dgia'!C815</f>
        <v>0</v>
      </c>
      <c r="D1185" s="1537">
        <f>'8.Dgia'!D815</f>
        <v>0</v>
      </c>
      <c r="E1185" s="1749" t="str">
        <f>'8.Dgia'!E815</f>
        <v>Gối chậu cố định 40GD</v>
      </c>
      <c r="F1185" s="1763" t="s">
        <v>307</v>
      </c>
      <c r="G1185" s="1954">
        <f>'8.Dgia'!H815</f>
        <v>1</v>
      </c>
      <c r="H1185" s="1796">
        <f>GVL!$I$99</f>
        <v>628000000</v>
      </c>
      <c r="I1185" s="1796">
        <f>H1185*G1185</f>
        <v>628000000</v>
      </c>
    </row>
    <row r="1186" spans="1:12" ht="15">
      <c r="B1186" s="1536" t="str">
        <f>'8.Dgia'!B816</f>
        <v/>
      </c>
      <c r="C1186" s="1537">
        <f>'8.Dgia'!C816</f>
        <v>0</v>
      </c>
      <c r="D1186" s="1537">
        <f>'8.Dgia'!D816</f>
        <v>0</v>
      </c>
      <c r="E1186" s="1749" t="str">
        <f>'8.Dgia'!E816</f>
        <v>Vật liệu khác</v>
      </c>
      <c r="F1186" s="1763" t="str">
        <f>'8.Dgia'!G816</f>
        <v>%</v>
      </c>
      <c r="G1186" s="1954">
        <f>'8.Dgia'!H816</f>
        <v>1</v>
      </c>
      <c r="H1186" s="1796">
        <f>H1185</f>
        <v>628000000</v>
      </c>
      <c r="I1186" s="1796">
        <f>H1186*G1186%</f>
        <v>6280000</v>
      </c>
    </row>
    <row r="1187" spans="1:12" s="658" customFormat="1" ht="15">
      <c r="B1187" s="1536" t="str">
        <f>'8.Dgia'!B817</f>
        <v/>
      </c>
      <c r="C1187" s="1537">
        <f>'8.Dgia'!C817</f>
        <v>0</v>
      </c>
      <c r="D1187" s="1537">
        <f>'8.Dgia'!D817</f>
        <v>0</v>
      </c>
      <c r="E1187" s="1744" t="str">
        <f>'8.Dgia'!E817</f>
        <v xml:space="preserve">  B - Nhân công 4.0/7</v>
      </c>
      <c r="F1187" s="1745" t="s">
        <v>552</v>
      </c>
      <c r="G1187" s="1954">
        <f>'8.Dgia'!H817</f>
        <v>5.5</v>
      </c>
      <c r="H1187" s="1796">
        <f>'16.NC'!$H$18</f>
        <v>256824</v>
      </c>
      <c r="I1187" s="1798">
        <f>H1187*G1187</f>
        <v>1412532</v>
      </c>
      <c r="J1187" s="850"/>
      <c r="K1187" s="850"/>
      <c r="L1187" s="850"/>
    </row>
    <row r="1188" spans="1:12" s="658" customFormat="1" ht="15">
      <c r="B1188" s="1675"/>
      <c r="C1188" s="1676"/>
      <c r="D1188" s="1676"/>
      <c r="E1188" s="1800" t="s">
        <v>5675</v>
      </c>
      <c r="F1188" s="1763">
        <f>$J$5</f>
        <v>0.02</v>
      </c>
      <c r="G1188" s="1754"/>
      <c r="H1188" s="1799"/>
      <c r="I1188" s="1799">
        <f>( I1184+I1187 )*F1188</f>
        <v>12713850.640000001</v>
      </c>
      <c r="J1188" s="850"/>
      <c r="K1188" s="850"/>
      <c r="L1188" s="850"/>
    </row>
    <row r="1189" spans="1:12" ht="15">
      <c r="B1189" s="1540"/>
      <c r="C1189" s="1541"/>
      <c r="D1189" s="1541"/>
      <c r="E1189" s="1801" t="s">
        <v>5676</v>
      </c>
      <c r="F1189" s="1763"/>
      <c r="G1189" s="1759"/>
      <c r="H1189" s="1802"/>
      <c r="I1189" s="1802">
        <f>I1188+I1188/F1188</f>
        <v>648406382.63999999</v>
      </c>
    </row>
    <row r="1190" spans="1:12" ht="15">
      <c r="B1190" s="1536"/>
      <c r="C1190" s="1537"/>
      <c r="D1190" s="1537"/>
      <c r="E1190" s="1803" t="s">
        <v>5677</v>
      </c>
      <c r="F1190" s="1763">
        <f>$K$5</f>
        <v>5.5E-2</v>
      </c>
      <c r="G1190" s="1746"/>
      <c r="H1190" s="1796"/>
      <c r="I1190" s="1796">
        <f>I1189*F1190</f>
        <v>35662351.045199998</v>
      </c>
    </row>
    <row r="1191" spans="1:12" ht="15">
      <c r="B1191" s="1536"/>
      <c r="C1191" s="1537"/>
      <c r="D1191" s="1537"/>
      <c r="E1191" s="1803" t="s">
        <v>5678</v>
      </c>
      <c r="F1191" s="1763">
        <f>$L$5</f>
        <v>0.06</v>
      </c>
      <c r="G1191" s="1746"/>
      <c r="H1191" s="1796"/>
      <c r="I1191" s="1796">
        <f>SUM(I1189:I1190)*F1191</f>
        <v>41044124.021111995</v>
      </c>
    </row>
    <row r="1192" spans="1:12" ht="14.25">
      <c r="B1192" s="1540"/>
      <c r="C1192" s="1541"/>
      <c r="D1192" s="1541"/>
      <c r="E1192" s="1801" t="s">
        <v>5679</v>
      </c>
      <c r="F1192" s="1791"/>
      <c r="G1192" s="1759"/>
      <c r="H1192" s="1802"/>
      <c r="I1192" s="1802">
        <f>SUM(I1189:I1191)</f>
        <v>725112857.70631194</v>
      </c>
    </row>
    <row r="1193" spans="1:12" ht="15">
      <c r="B1193" s="1536"/>
      <c r="C1193" s="1537"/>
      <c r="D1193" s="1537"/>
      <c r="E1193" s="1803" t="s">
        <v>5680</v>
      </c>
      <c r="F1193" s="1765">
        <f>$M$5</f>
        <v>0.1</v>
      </c>
      <c r="G1193" s="1746"/>
      <c r="H1193" s="1796"/>
      <c r="I1193" s="1796">
        <f>I1192*F1193</f>
        <v>72511285.770631194</v>
      </c>
    </row>
    <row r="1194" spans="1:12" ht="14.25">
      <c r="B1194" s="1540"/>
      <c r="C1194" s="1541"/>
      <c r="D1194" s="1541"/>
      <c r="E1194" s="1801" t="s">
        <v>5681</v>
      </c>
      <c r="F1194" s="1791"/>
      <c r="G1194" s="1759"/>
      <c r="H1194" s="1802"/>
      <c r="I1194" s="1802">
        <f>SUM(I1192:I1193)</f>
        <v>797624143.47694314</v>
      </c>
    </row>
    <row r="1195" spans="1:12" ht="12.75">
      <c r="B1195" s="1536"/>
      <c r="C1195" s="1537"/>
      <c r="D1195" s="1537"/>
      <c r="E1195" s="1464" t="s">
        <v>5682</v>
      </c>
      <c r="F1195" s="1535">
        <f>$N$5</f>
        <v>0.01</v>
      </c>
      <c r="G1195" s="1538"/>
      <c r="H1195" s="1539"/>
      <c r="I1195" s="1539">
        <f>I1194*F1195</f>
        <v>7976241.4347694311</v>
      </c>
    </row>
    <row r="1196" spans="1:12" ht="14.25">
      <c r="B1196" s="2116"/>
      <c r="C1196" s="1544"/>
      <c r="D1196" s="2116"/>
      <c r="E1196" s="2117" t="s">
        <v>5683</v>
      </c>
      <c r="F1196" s="2115"/>
      <c r="G1196" s="2117"/>
      <c r="H1196" s="2118"/>
      <c r="I1196" s="2110">
        <f>ROUND(I1194+I1195,0)</f>
        <v>805600385</v>
      </c>
    </row>
    <row r="1197" spans="1:12" ht="28.5">
      <c r="A1197" s="657">
        <v>1</v>
      </c>
      <c r="B1197" s="1546">
        <f>IF(A1197&lt;&gt;0,COUNTA(A$7:$A1197),"")</f>
        <v>63</v>
      </c>
      <c r="C1197" s="1547">
        <f>'8.Dgia'!C818</f>
        <v>1776</v>
      </c>
      <c r="D1197" s="1547" t="str">
        <f>'8.Dgia'!D818</f>
        <v>AL.25111</v>
      </c>
      <c r="E1197" s="1740" t="str">
        <f>'8.Dgia'!E818</f>
        <v>Lắp đặt gối di động đơn hướng 4000T (P3)</v>
      </c>
      <c r="F1197" s="1789" t="s">
        <v>307</v>
      </c>
      <c r="G1197" s="1742">
        <f>'8.Dgia'!H818</f>
        <v>0</v>
      </c>
      <c r="H1197" s="1795"/>
      <c r="I1197" s="1795"/>
      <c r="J1197" s="842">
        <f>+I1198</f>
        <v>858500000</v>
      </c>
      <c r="K1197" s="842">
        <f>+I1201</f>
        <v>1412532</v>
      </c>
    </row>
    <row r="1198" spans="1:12" s="658" customFormat="1" ht="15">
      <c r="B1198" s="1536" t="str">
        <f>'8.Dgia'!B819</f>
        <v/>
      </c>
      <c r="C1198" s="1537">
        <f>'8.Dgia'!C819</f>
        <v>0</v>
      </c>
      <c r="D1198" s="1537">
        <f>'8.Dgia'!D819</f>
        <v>0</v>
      </c>
      <c r="E1198" s="1744" t="str">
        <f>'8.Dgia'!E819</f>
        <v xml:space="preserve">  A - Vật liệu</v>
      </c>
      <c r="F1198" s="1763">
        <f>'8.Dgia'!G819</f>
        <v>0</v>
      </c>
      <c r="G1198" s="1746">
        <f>'8.Dgia'!H819</f>
        <v>0</v>
      </c>
      <c r="H1198" s="1796"/>
      <c r="I1198" s="1797">
        <f>SUM(I1199:I1200)</f>
        <v>858500000</v>
      </c>
      <c r="J1198" s="850"/>
      <c r="K1198" s="850"/>
      <c r="L1198" s="850"/>
    </row>
    <row r="1199" spans="1:12" ht="15" customHeight="1">
      <c r="B1199" s="1536" t="str">
        <f>'8.Dgia'!B820</f>
        <v/>
      </c>
      <c r="C1199" s="1537">
        <f>'8.Dgia'!C820</f>
        <v>0</v>
      </c>
      <c r="D1199" s="1537">
        <f>'8.Dgia'!D820</f>
        <v>0</v>
      </c>
      <c r="E1199" s="1749" t="str">
        <f>'8.Dgia'!E820</f>
        <v>Gối chậu di động đơn hướng 40DX (P3)</v>
      </c>
      <c r="F1199" s="1763" t="s">
        <v>307</v>
      </c>
      <c r="G1199" s="1954">
        <f>'8.Dgia'!H820</f>
        <v>1</v>
      </c>
      <c r="H1199" s="1796">
        <f>GVL!$I$100</f>
        <v>850000000</v>
      </c>
      <c r="I1199" s="1796">
        <f>H1199*G1199</f>
        <v>850000000</v>
      </c>
    </row>
    <row r="1200" spans="1:12" ht="15">
      <c r="B1200" s="1536" t="str">
        <f>'8.Dgia'!B821</f>
        <v/>
      </c>
      <c r="C1200" s="1537">
        <f>'8.Dgia'!C821</f>
        <v>0</v>
      </c>
      <c r="D1200" s="1537">
        <f>'8.Dgia'!D821</f>
        <v>0</v>
      </c>
      <c r="E1200" s="1749" t="str">
        <f>'8.Dgia'!E821</f>
        <v>Vật liệu khác</v>
      </c>
      <c r="F1200" s="1763" t="str">
        <f>'8.Dgia'!G821</f>
        <v>%</v>
      </c>
      <c r="G1200" s="1954">
        <f>'8.Dgia'!H821</f>
        <v>1</v>
      </c>
      <c r="H1200" s="1796">
        <f>H1199</f>
        <v>850000000</v>
      </c>
      <c r="I1200" s="1796">
        <f>H1200*G1200%</f>
        <v>8500000</v>
      </c>
    </row>
    <row r="1201" spans="1:12" s="658" customFormat="1" ht="15">
      <c r="B1201" s="1536" t="str">
        <f>'8.Dgia'!B822</f>
        <v/>
      </c>
      <c r="C1201" s="1537">
        <f>'8.Dgia'!C822</f>
        <v>0</v>
      </c>
      <c r="D1201" s="1537">
        <f>'8.Dgia'!D822</f>
        <v>0</v>
      </c>
      <c r="E1201" s="1744" t="str">
        <f>'8.Dgia'!E822</f>
        <v xml:space="preserve">  B - Nhân công 4.0/7</v>
      </c>
      <c r="F1201" s="1745" t="s">
        <v>552</v>
      </c>
      <c r="G1201" s="1954">
        <f>'8.Dgia'!H822</f>
        <v>5.5</v>
      </c>
      <c r="H1201" s="1796">
        <f>'16.NC'!$H$18</f>
        <v>256824</v>
      </c>
      <c r="I1201" s="1798">
        <f>H1201*G1201</f>
        <v>1412532</v>
      </c>
      <c r="J1201" s="850"/>
      <c r="K1201" s="850"/>
      <c r="L1201" s="850"/>
    </row>
    <row r="1202" spans="1:12" s="658" customFormat="1" ht="15">
      <c r="B1202" s="1675"/>
      <c r="C1202" s="1676"/>
      <c r="D1202" s="1676"/>
      <c r="E1202" s="1800" t="s">
        <v>5675</v>
      </c>
      <c r="F1202" s="1763">
        <f>$J$5</f>
        <v>0.02</v>
      </c>
      <c r="G1202" s="1754"/>
      <c r="H1202" s="1799"/>
      <c r="I1202" s="1799">
        <f>( I1198+I1201 )*F1202</f>
        <v>17198250.640000001</v>
      </c>
      <c r="J1202" s="850"/>
      <c r="K1202" s="850"/>
      <c r="L1202" s="850"/>
    </row>
    <row r="1203" spans="1:12" ht="15">
      <c r="B1203" s="1540"/>
      <c r="C1203" s="1541"/>
      <c r="D1203" s="1541"/>
      <c r="E1203" s="1801" t="s">
        <v>5676</v>
      </c>
      <c r="F1203" s="1763"/>
      <c r="G1203" s="1759"/>
      <c r="H1203" s="1802"/>
      <c r="I1203" s="1802">
        <f>I1202+I1202/F1202</f>
        <v>877110782.63999999</v>
      </c>
    </row>
    <row r="1204" spans="1:12" ht="15">
      <c r="B1204" s="1536"/>
      <c r="C1204" s="1537"/>
      <c r="D1204" s="1537"/>
      <c r="E1204" s="1803" t="s">
        <v>5677</v>
      </c>
      <c r="F1204" s="1763">
        <f>$K$5</f>
        <v>5.5E-2</v>
      </c>
      <c r="G1204" s="1746"/>
      <c r="H1204" s="1796"/>
      <c r="I1204" s="1796">
        <f>I1203*F1204</f>
        <v>48241093.045199998</v>
      </c>
    </row>
    <row r="1205" spans="1:12" ht="15">
      <c r="B1205" s="1536"/>
      <c r="C1205" s="1537"/>
      <c r="D1205" s="1537"/>
      <c r="E1205" s="1803" t="s">
        <v>5678</v>
      </c>
      <c r="F1205" s="1763">
        <f>$L$5</f>
        <v>0.06</v>
      </c>
      <c r="G1205" s="1746"/>
      <c r="H1205" s="1796"/>
      <c r="I1205" s="1796">
        <f>SUM(I1203:I1204)*F1205</f>
        <v>55521112.541111998</v>
      </c>
    </row>
    <row r="1206" spans="1:12" ht="14.25">
      <c r="B1206" s="1540"/>
      <c r="C1206" s="1541"/>
      <c r="D1206" s="1541"/>
      <c r="E1206" s="1801" t="s">
        <v>5679</v>
      </c>
      <c r="F1206" s="1791"/>
      <c r="G1206" s="1759"/>
      <c r="H1206" s="1802"/>
      <c r="I1206" s="1802">
        <f>SUM(I1203:I1205)</f>
        <v>980872988.22631192</v>
      </c>
    </row>
    <row r="1207" spans="1:12" ht="15">
      <c r="B1207" s="1536"/>
      <c r="C1207" s="1537"/>
      <c r="D1207" s="1537"/>
      <c r="E1207" s="1803" t="s">
        <v>5680</v>
      </c>
      <c r="F1207" s="1765">
        <f>$M$5</f>
        <v>0.1</v>
      </c>
      <c r="G1207" s="1746"/>
      <c r="H1207" s="1796"/>
      <c r="I1207" s="1796">
        <f>I1206*F1207</f>
        <v>98087298.822631195</v>
      </c>
    </row>
    <row r="1208" spans="1:12" ht="14.25">
      <c r="B1208" s="1540"/>
      <c r="C1208" s="1541"/>
      <c r="D1208" s="1541"/>
      <c r="E1208" s="1801" t="s">
        <v>5681</v>
      </c>
      <c r="F1208" s="1791"/>
      <c r="G1208" s="1759"/>
      <c r="H1208" s="1802"/>
      <c r="I1208" s="1802">
        <f>SUM(I1206:I1207)</f>
        <v>1078960287.048943</v>
      </c>
    </row>
    <row r="1209" spans="1:12" ht="12.75">
      <c r="B1209" s="1536"/>
      <c r="C1209" s="1537"/>
      <c r="D1209" s="1537"/>
      <c r="E1209" s="1464" t="s">
        <v>5682</v>
      </c>
      <c r="F1209" s="1535">
        <f>$N$5</f>
        <v>0.01</v>
      </c>
      <c r="G1209" s="1538"/>
      <c r="H1209" s="1539"/>
      <c r="I1209" s="1539">
        <f>I1208*F1209</f>
        <v>10789602.870489432</v>
      </c>
    </row>
    <row r="1210" spans="1:12" ht="14.25">
      <c r="B1210" s="2116"/>
      <c r="C1210" s="1544"/>
      <c r="D1210" s="2116"/>
      <c r="E1210" s="2117" t="s">
        <v>5683</v>
      </c>
      <c r="F1210" s="2115"/>
      <c r="G1210" s="2117"/>
      <c r="H1210" s="2118"/>
      <c r="I1210" s="2110">
        <f>ROUND(I1208+I1209,0)</f>
        <v>1089749890</v>
      </c>
    </row>
    <row r="1211" spans="1:12" ht="28.5">
      <c r="A1211" s="657">
        <v>1</v>
      </c>
      <c r="B1211" s="1546">
        <f>IF(A1211&lt;&gt;0,COUNTA(A$7:$A1211),"")</f>
        <v>64</v>
      </c>
      <c r="C1211" s="1548">
        <f>'8.Dgia'!C828</f>
        <v>1776</v>
      </c>
      <c r="D1211" s="1548" t="str">
        <f>'8.Dgia'!D828</f>
        <v>AL.25111</v>
      </c>
      <c r="E1211" s="1804" t="str">
        <f>'8.Dgia'!E828</f>
        <v>Lắp đặt gối di động song hướng 4000T (P4)</v>
      </c>
      <c r="F1211" s="1789" t="s">
        <v>307</v>
      </c>
      <c r="G1211" s="1805">
        <f>'8.Dgia'!H828</f>
        <v>0</v>
      </c>
      <c r="H1211" s="1806"/>
      <c r="I1211" s="1807"/>
      <c r="J1211" s="842">
        <f>+I1212</f>
        <v>838300000</v>
      </c>
      <c r="K1211" s="842">
        <f>+I1215</f>
        <v>1412532</v>
      </c>
    </row>
    <row r="1212" spans="1:12" s="658" customFormat="1" ht="15">
      <c r="B1212" s="362" t="str">
        <f>'8.Dgia'!B829</f>
        <v/>
      </c>
      <c r="C1212" s="1482">
        <f>'8.Dgia'!C829</f>
        <v>0</v>
      </c>
      <c r="D1212" s="1482">
        <f>'8.Dgia'!D829</f>
        <v>0</v>
      </c>
      <c r="E1212" s="1808" t="str">
        <f>'8.Dgia'!E829</f>
        <v xml:space="preserve">  A - Vật liệu</v>
      </c>
      <c r="F1212" s="1763">
        <f>'8.Dgia'!G829</f>
        <v>0</v>
      </c>
      <c r="G1212" s="1809">
        <f>'8.Dgia'!H829</f>
        <v>0</v>
      </c>
      <c r="H1212" s="1792"/>
      <c r="I1212" s="1810">
        <f>SUM(I1213:I1214)</f>
        <v>838300000</v>
      </c>
      <c r="J1212" s="850"/>
      <c r="K1212" s="850"/>
      <c r="L1212" s="850"/>
    </row>
    <row r="1213" spans="1:12" ht="15" customHeight="1">
      <c r="B1213" s="362" t="str">
        <f>'8.Dgia'!B830</f>
        <v/>
      </c>
      <c r="C1213" s="1482">
        <f>'8.Dgia'!C830</f>
        <v>0</v>
      </c>
      <c r="D1213" s="1482">
        <f>'8.Dgia'!D830</f>
        <v>0</v>
      </c>
      <c r="E1213" s="1811" t="str">
        <f>'8.Dgia'!E830</f>
        <v>Gối chậu di động song hướng 40SX (P4)</v>
      </c>
      <c r="F1213" s="1763" t="s">
        <v>307</v>
      </c>
      <c r="G1213" s="2084">
        <f>'8.Dgia'!H830</f>
        <v>1</v>
      </c>
      <c r="H1213" s="1792">
        <f>GVL!$I$104</f>
        <v>830000000</v>
      </c>
      <c r="I1213" s="1792">
        <f>H1213*G1213</f>
        <v>830000000</v>
      </c>
    </row>
    <row r="1214" spans="1:12" ht="15">
      <c r="B1214" s="362" t="str">
        <f>'8.Dgia'!B831</f>
        <v/>
      </c>
      <c r="C1214" s="1482">
        <f>'8.Dgia'!C831</f>
        <v>0</v>
      </c>
      <c r="D1214" s="1482">
        <f>'8.Dgia'!D831</f>
        <v>0</v>
      </c>
      <c r="E1214" s="1811" t="str">
        <f>'8.Dgia'!E831</f>
        <v>Vật liệu khác</v>
      </c>
      <c r="F1214" s="1763" t="str">
        <f>'8.Dgia'!G831</f>
        <v>%</v>
      </c>
      <c r="G1214" s="2084">
        <f>'8.Dgia'!H831</f>
        <v>1</v>
      </c>
      <c r="H1214" s="1792">
        <f>SUM(I1213:I1213)</f>
        <v>830000000</v>
      </c>
      <c r="I1214" s="1792">
        <f>H1214*G1214%</f>
        <v>8300000</v>
      </c>
    </row>
    <row r="1215" spans="1:12" s="658" customFormat="1" ht="15">
      <c r="B1215" s="362" t="str">
        <f>'8.Dgia'!B832</f>
        <v/>
      </c>
      <c r="C1215" s="1482">
        <f>'8.Dgia'!C832</f>
        <v>0</v>
      </c>
      <c r="D1215" s="1482">
        <f>'8.Dgia'!D832</f>
        <v>0</v>
      </c>
      <c r="E1215" s="1808" t="str">
        <f>'8.Dgia'!E832</f>
        <v xml:space="preserve">  B - Nhân công 4.0/7</v>
      </c>
      <c r="F1215" s="1745" t="s">
        <v>552</v>
      </c>
      <c r="G1215" s="2084">
        <f>'8.Dgia'!H832</f>
        <v>5.5</v>
      </c>
      <c r="H1215" s="1747">
        <f>'16.NC'!$H$18</f>
        <v>256824</v>
      </c>
      <c r="I1215" s="1812">
        <f>H1215*G1215</f>
        <v>1412532</v>
      </c>
      <c r="J1215" s="850"/>
      <c r="K1215" s="850"/>
      <c r="L1215" s="850"/>
    </row>
    <row r="1216" spans="1:12" s="658" customFormat="1" ht="15">
      <c r="B1216" s="846"/>
      <c r="C1216" s="1528"/>
      <c r="D1216" s="1528"/>
      <c r="E1216" s="1813" t="s">
        <v>5675</v>
      </c>
      <c r="F1216" s="1763">
        <f>$J$5</f>
        <v>0.02</v>
      </c>
      <c r="G1216" s="1814"/>
      <c r="H1216" s="1815"/>
      <c r="I1216" s="1816">
        <f>( I1212+I1215 )*F1216</f>
        <v>16794250.640000001</v>
      </c>
      <c r="J1216" s="850"/>
      <c r="K1216" s="850"/>
      <c r="L1216" s="850"/>
    </row>
    <row r="1217" spans="1:12" ht="15">
      <c r="B1217" s="856"/>
      <c r="C1217" s="1527"/>
      <c r="D1217" s="1527"/>
      <c r="E1217" s="1817" t="s">
        <v>5676</v>
      </c>
      <c r="F1217" s="1763"/>
      <c r="G1217" s="1818"/>
      <c r="H1217" s="1819"/>
      <c r="I1217" s="1820">
        <f>I1216+I1216/F1216</f>
        <v>856506782.63999999</v>
      </c>
    </row>
    <row r="1218" spans="1:12" ht="15">
      <c r="B1218" s="362"/>
      <c r="C1218" s="1482"/>
      <c r="D1218" s="1482"/>
      <c r="E1218" s="1821" t="s">
        <v>5677</v>
      </c>
      <c r="F1218" s="1763">
        <f>$K$5</f>
        <v>5.5E-2</v>
      </c>
      <c r="G1218" s="1809"/>
      <c r="H1218" s="1792"/>
      <c r="I1218" s="1822">
        <f>I1217*F1218</f>
        <v>47107873.045199998</v>
      </c>
    </row>
    <row r="1219" spans="1:12" ht="15">
      <c r="B1219" s="362"/>
      <c r="C1219" s="1482"/>
      <c r="D1219" s="1482"/>
      <c r="E1219" s="1821" t="s">
        <v>5678</v>
      </c>
      <c r="F1219" s="1763">
        <f>$L$5</f>
        <v>0.06</v>
      </c>
      <c r="G1219" s="1809"/>
      <c r="H1219" s="1792"/>
      <c r="I1219" s="1822">
        <f>SUM(I1217:I1218)*F1219</f>
        <v>54216879.341111995</v>
      </c>
    </row>
    <row r="1220" spans="1:12" ht="14.25">
      <c r="B1220" s="856"/>
      <c r="C1220" s="1527"/>
      <c r="D1220" s="1527"/>
      <c r="E1220" s="1817" t="s">
        <v>5679</v>
      </c>
      <c r="F1220" s="1791"/>
      <c r="G1220" s="1818"/>
      <c r="H1220" s="1819"/>
      <c r="I1220" s="1820">
        <f>SUM(I1217:I1219)</f>
        <v>957831535.02631199</v>
      </c>
    </row>
    <row r="1221" spans="1:12" ht="15">
      <c r="B1221" s="362"/>
      <c r="C1221" s="1482"/>
      <c r="D1221" s="1482"/>
      <c r="E1221" s="1821" t="s">
        <v>5680</v>
      </c>
      <c r="F1221" s="1765">
        <f>$M$5</f>
        <v>0.1</v>
      </c>
      <c r="G1221" s="1809"/>
      <c r="H1221" s="1792"/>
      <c r="I1221" s="1822">
        <f>I1220*F1221</f>
        <v>95783153.502631202</v>
      </c>
    </row>
    <row r="1222" spans="1:12" ht="14.25">
      <c r="B1222" s="856"/>
      <c r="C1222" s="1527"/>
      <c r="D1222" s="1527"/>
      <c r="E1222" s="1817" t="s">
        <v>5681</v>
      </c>
      <c r="F1222" s="1791"/>
      <c r="G1222" s="1818"/>
      <c r="H1222" s="1819"/>
      <c r="I1222" s="1820">
        <f>SUM(I1220:I1221)</f>
        <v>1053614688.5289432</v>
      </c>
    </row>
    <row r="1223" spans="1:12" ht="12.75">
      <c r="B1223" s="362"/>
      <c r="C1223" s="1482"/>
      <c r="D1223" s="1482"/>
      <c r="E1223" s="1475" t="s">
        <v>5682</v>
      </c>
      <c r="F1223" s="1535">
        <f>$N$5</f>
        <v>0.01</v>
      </c>
      <c r="G1223" s="1483"/>
      <c r="H1223" s="853"/>
      <c r="I1223" s="1476">
        <f>I1222*F1223</f>
        <v>10536146.885289432</v>
      </c>
    </row>
    <row r="1224" spans="1:12" ht="14.25">
      <c r="B1224" s="2119"/>
      <c r="C1224" s="1545"/>
      <c r="D1224" s="2120"/>
      <c r="E1224" s="2117" t="s">
        <v>5683</v>
      </c>
      <c r="F1224" s="2115"/>
      <c r="G1224" s="2121"/>
      <c r="H1224" s="2122"/>
      <c r="I1224" s="2110">
        <f>ROUND(I1222+I1223,0)</f>
        <v>1064150835</v>
      </c>
    </row>
    <row r="1225" spans="1:12" ht="14.25">
      <c r="A1225" s="657">
        <v>1</v>
      </c>
      <c r="B1225" s="1546">
        <f>IF(A1225&lt;&gt;0,COUNTA(A$7:$A1225),"")</f>
        <v>65</v>
      </c>
      <c r="C1225" s="1547">
        <f>'8.Dgia'!C833</f>
        <v>1776</v>
      </c>
      <c r="D1225" s="1547" t="str">
        <f>'8.Dgia'!D833</f>
        <v>AL.25111</v>
      </c>
      <c r="E1225" s="1740" t="str">
        <f>'8.Dgia'!E833</f>
        <v>Lắp đặt gối di động đơn hướng 900T (P2)</v>
      </c>
      <c r="F1225" s="1789" t="s">
        <v>307</v>
      </c>
      <c r="G1225" s="1742">
        <f>'8.Dgia'!H833</f>
        <v>0</v>
      </c>
      <c r="H1225" s="1795"/>
      <c r="I1225" s="1795"/>
      <c r="J1225" s="842">
        <f>+I1226</f>
        <v>207050000</v>
      </c>
      <c r="K1225" s="842">
        <f>+I1229</f>
        <v>1412532</v>
      </c>
    </row>
    <row r="1226" spans="1:12" s="658" customFormat="1" ht="15">
      <c r="B1226" s="1536" t="str">
        <f>'8.Dgia'!B834</f>
        <v/>
      </c>
      <c r="C1226" s="1537">
        <f>'8.Dgia'!C834</f>
        <v>0</v>
      </c>
      <c r="D1226" s="1537">
        <f>'8.Dgia'!D834</f>
        <v>0</v>
      </c>
      <c r="E1226" s="1744" t="str">
        <f>'8.Dgia'!E834</f>
        <v xml:space="preserve">  A - Vật liệu</v>
      </c>
      <c r="F1226" s="1763">
        <f>'8.Dgia'!G834</f>
        <v>0</v>
      </c>
      <c r="G1226" s="1746">
        <f>'8.Dgia'!H834</f>
        <v>0</v>
      </c>
      <c r="H1226" s="1796"/>
      <c r="I1226" s="1797">
        <f>SUM(I1227:I1228)</f>
        <v>207050000</v>
      </c>
      <c r="J1226" s="850"/>
      <c r="K1226" s="850"/>
      <c r="L1226" s="850"/>
    </row>
    <row r="1227" spans="1:12" ht="15">
      <c r="B1227" s="1536" t="str">
        <f>'8.Dgia'!B835</f>
        <v/>
      </c>
      <c r="C1227" s="1537">
        <f>'8.Dgia'!C835</f>
        <v>0</v>
      </c>
      <c r="D1227" s="1537">
        <f>'8.Dgia'!D835</f>
        <v>0</v>
      </c>
      <c r="E1227" s="1749" t="str">
        <f>'8.Dgia'!E835</f>
        <v>Gối chậu di động đơn hướng 9DX (P2)</v>
      </c>
      <c r="F1227" s="1763" t="s">
        <v>307</v>
      </c>
      <c r="G1227" s="1954">
        <f>'8.Dgia'!H835</f>
        <v>1</v>
      </c>
      <c r="H1227" s="1796">
        <f>GVL!$I$102</f>
        <v>205000000</v>
      </c>
      <c r="I1227" s="1792">
        <f>H1227*G1227</f>
        <v>205000000</v>
      </c>
    </row>
    <row r="1228" spans="1:12" ht="15">
      <c r="B1228" s="1536" t="str">
        <f>'8.Dgia'!B836</f>
        <v/>
      </c>
      <c r="C1228" s="1537">
        <f>'8.Dgia'!C836</f>
        <v>0</v>
      </c>
      <c r="D1228" s="1537">
        <f>'8.Dgia'!D836</f>
        <v>0</v>
      </c>
      <c r="E1228" s="1749" t="str">
        <f>'8.Dgia'!E836</f>
        <v>Vật liệu khác</v>
      </c>
      <c r="F1228" s="1763" t="str">
        <f>'8.Dgia'!G836</f>
        <v>%</v>
      </c>
      <c r="G1228" s="1954">
        <f>'8.Dgia'!H836</f>
        <v>1</v>
      </c>
      <c r="H1228" s="1796">
        <f>H1227</f>
        <v>205000000</v>
      </c>
      <c r="I1228" s="1796">
        <f>H1228*G1228%</f>
        <v>2050000</v>
      </c>
    </row>
    <row r="1229" spans="1:12" s="872" customFormat="1" ht="15">
      <c r="B1229" s="1536" t="str">
        <f>'8.Dgia'!B837</f>
        <v/>
      </c>
      <c r="C1229" s="1537">
        <f>'8.Dgia'!C837</f>
        <v>0</v>
      </c>
      <c r="D1229" s="1537">
        <f>'8.Dgia'!D837</f>
        <v>0</v>
      </c>
      <c r="E1229" s="1744" t="str">
        <f>'8.Dgia'!E837</f>
        <v xml:space="preserve">  B - Nhân công 4.0/7</v>
      </c>
      <c r="F1229" s="1745" t="s">
        <v>552</v>
      </c>
      <c r="G1229" s="1954">
        <f>'8.Dgia'!H837</f>
        <v>5.5</v>
      </c>
      <c r="H1229" s="1796">
        <f>'16.NC'!$H$18</f>
        <v>256824</v>
      </c>
      <c r="I1229" s="1798">
        <f>H1229*G1229</f>
        <v>1412532</v>
      </c>
      <c r="J1229" s="842"/>
      <c r="K1229" s="842"/>
      <c r="L1229" s="842"/>
    </row>
    <row r="1230" spans="1:12" s="658" customFormat="1" ht="15">
      <c r="B1230" s="1675"/>
      <c r="C1230" s="1676"/>
      <c r="D1230" s="1676"/>
      <c r="E1230" s="1800" t="s">
        <v>5675</v>
      </c>
      <c r="F1230" s="1763">
        <f>$J$5</f>
        <v>0.02</v>
      </c>
      <c r="G1230" s="1754"/>
      <c r="H1230" s="1799"/>
      <c r="I1230" s="1799">
        <f>( I1226+I1229 )*F1230</f>
        <v>4169250.64</v>
      </c>
      <c r="J1230" s="850"/>
      <c r="K1230" s="850"/>
      <c r="L1230" s="850"/>
    </row>
    <row r="1231" spans="1:12" ht="15">
      <c r="B1231" s="1540"/>
      <c r="C1231" s="1541"/>
      <c r="D1231" s="1541"/>
      <c r="E1231" s="1801" t="s">
        <v>5676</v>
      </c>
      <c r="F1231" s="1763"/>
      <c r="G1231" s="1759"/>
      <c r="H1231" s="1802"/>
      <c r="I1231" s="1802">
        <f>I1230+I1230/F1230</f>
        <v>212631782.63999999</v>
      </c>
    </row>
    <row r="1232" spans="1:12" ht="15">
      <c r="B1232" s="1536"/>
      <c r="C1232" s="1537"/>
      <c r="D1232" s="1537"/>
      <c r="E1232" s="1803" t="s">
        <v>5677</v>
      </c>
      <c r="F1232" s="1763">
        <f>$K$5</f>
        <v>5.5E-2</v>
      </c>
      <c r="G1232" s="1746"/>
      <c r="H1232" s="1796"/>
      <c r="I1232" s="1796">
        <f>I1231*F1232</f>
        <v>11694748.0452</v>
      </c>
    </row>
    <row r="1233" spans="1:12" ht="15">
      <c r="B1233" s="1536"/>
      <c r="C1233" s="1537"/>
      <c r="D1233" s="1537"/>
      <c r="E1233" s="1803" t="s">
        <v>5678</v>
      </c>
      <c r="F1233" s="1763">
        <f>$L$5</f>
        <v>0.06</v>
      </c>
      <c r="G1233" s="1746"/>
      <c r="H1233" s="1796"/>
      <c r="I1233" s="1796">
        <f>SUM(I1231:I1232)*F1233</f>
        <v>13459591.841111997</v>
      </c>
    </row>
    <row r="1234" spans="1:12" ht="14.25">
      <c r="B1234" s="1540"/>
      <c r="C1234" s="1541"/>
      <c r="D1234" s="1541"/>
      <c r="E1234" s="1801" t="s">
        <v>5679</v>
      </c>
      <c r="F1234" s="1791"/>
      <c r="G1234" s="1759"/>
      <c r="H1234" s="1802"/>
      <c r="I1234" s="1802">
        <f>SUM(I1231:I1233)</f>
        <v>237786122.52631196</v>
      </c>
    </row>
    <row r="1235" spans="1:12" ht="15">
      <c r="B1235" s="1536"/>
      <c r="C1235" s="1537"/>
      <c r="D1235" s="1537"/>
      <c r="E1235" s="1803" t="s">
        <v>5680</v>
      </c>
      <c r="F1235" s="1765">
        <f>$M$5</f>
        <v>0.1</v>
      </c>
      <c r="G1235" s="1746"/>
      <c r="H1235" s="1796"/>
      <c r="I1235" s="1796">
        <f>I1234*F1235</f>
        <v>23778612.252631199</v>
      </c>
    </row>
    <row r="1236" spans="1:12" ht="14.25">
      <c r="B1236" s="1540"/>
      <c r="C1236" s="1541"/>
      <c r="D1236" s="1541"/>
      <c r="E1236" s="1801" t="s">
        <v>5681</v>
      </c>
      <c r="F1236" s="1791"/>
      <c r="G1236" s="1759"/>
      <c r="H1236" s="1802"/>
      <c r="I1236" s="1802">
        <f>SUM(I1234:I1235)</f>
        <v>261564734.77894315</v>
      </c>
    </row>
    <row r="1237" spans="1:12" ht="12.75">
      <c r="B1237" s="1536"/>
      <c r="C1237" s="1537"/>
      <c r="D1237" s="1537"/>
      <c r="E1237" s="1464" t="s">
        <v>5682</v>
      </c>
      <c r="F1237" s="1535">
        <f>$N$5</f>
        <v>0.01</v>
      </c>
      <c r="G1237" s="1538"/>
      <c r="H1237" s="1539"/>
      <c r="I1237" s="1539">
        <f>I1236*F1237</f>
        <v>2615647.3477894315</v>
      </c>
    </row>
    <row r="1238" spans="1:12" ht="14.25">
      <c r="B1238" s="2116"/>
      <c r="C1238" s="1544"/>
      <c r="D1238" s="2116"/>
      <c r="E1238" s="2117" t="s">
        <v>5683</v>
      </c>
      <c r="F1238" s="2115"/>
      <c r="G1238" s="2117"/>
      <c r="H1238" s="2118"/>
      <c r="I1238" s="2110">
        <f>ROUND(I1236+I1237,0)</f>
        <v>264180382</v>
      </c>
    </row>
    <row r="1239" spans="1:12" ht="28.5">
      <c r="A1239" s="657">
        <v>1</v>
      </c>
      <c r="B1239" s="1546">
        <f>IF(A1239&lt;&gt;0,COUNTA(A$7:$A1239),"")</f>
        <v>66</v>
      </c>
      <c r="C1239" s="1547">
        <f>'8.Dgia'!C843</f>
        <v>1776</v>
      </c>
      <c r="D1239" s="1547" t="str">
        <f>'8.Dgia'!D843</f>
        <v>AL.25111</v>
      </c>
      <c r="E1239" s="1740" t="str">
        <f>'8.Dgia'!E843</f>
        <v>Lắp đặt gối di động song hướng 900T (P2)</v>
      </c>
      <c r="F1239" s="1789" t="s">
        <v>307</v>
      </c>
      <c r="G1239" s="1742">
        <f>'8.Dgia'!H843</f>
        <v>0</v>
      </c>
      <c r="H1239" s="1795"/>
      <c r="I1239" s="1795"/>
      <c r="J1239" s="842">
        <f>+I1240</f>
        <v>181800000</v>
      </c>
      <c r="K1239" s="842">
        <f>+I1243</f>
        <v>1412532</v>
      </c>
    </row>
    <row r="1240" spans="1:12" s="658" customFormat="1" ht="15">
      <c r="B1240" s="1536" t="str">
        <f>'8.Dgia'!B844</f>
        <v/>
      </c>
      <c r="C1240" s="1537">
        <f>'8.Dgia'!C844</f>
        <v>0</v>
      </c>
      <c r="D1240" s="1537">
        <f>'8.Dgia'!D844</f>
        <v>0</v>
      </c>
      <c r="E1240" s="1744" t="str">
        <f>'8.Dgia'!E844</f>
        <v xml:space="preserve">  A - Vật liệu</v>
      </c>
      <c r="F1240" s="1763">
        <f>'8.Dgia'!G844</f>
        <v>0</v>
      </c>
      <c r="G1240" s="1746">
        <f>'8.Dgia'!H844</f>
        <v>0</v>
      </c>
      <c r="H1240" s="1796"/>
      <c r="I1240" s="1797">
        <f>SUM(I1241:I1242)</f>
        <v>181800000</v>
      </c>
      <c r="J1240" s="850"/>
      <c r="K1240" s="850"/>
      <c r="L1240" s="850"/>
    </row>
    <row r="1241" spans="1:12" ht="15">
      <c r="B1241" s="1536" t="str">
        <f>'8.Dgia'!B845</f>
        <v/>
      </c>
      <c r="C1241" s="1537">
        <f>'8.Dgia'!C845</f>
        <v>0</v>
      </c>
      <c r="D1241" s="1537">
        <f>'8.Dgia'!D845</f>
        <v>0</v>
      </c>
      <c r="E1241" s="1749" t="str">
        <f>'8.Dgia'!E845</f>
        <v>Gối chậu di động song hướng 9SX (P2)</v>
      </c>
      <c r="F1241" s="1763" t="s">
        <v>307</v>
      </c>
      <c r="G1241" s="1954">
        <f>'8.Dgia'!H845</f>
        <v>1</v>
      </c>
      <c r="H1241" s="1796">
        <f>GVL!$I$105</f>
        <v>180000000</v>
      </c>
      <c r="I1241" s="1792">
        <f>H1241*G1241</f>
        <v>180000000</v>
      </c>
    </row>
    <row r="1242" spans="1:12" ht="15">
      <c r="B1242" s="1536" t="str">
        <f>'8.Dgia'!B846</f>
        <v/>
      </c>
      <c r="C1242" s="1537">
        <f>'8.Dgia'!C846</f>
        <v>0</v>
      </c>
      <c r="D1242" s="1537">
        <f>'8.Dgia'!D846</f>
        <v>0</v>
      </c>
      <c r="E1242" s="1749" t="str">
        <f>'8.Dgia'!E846</f>
        <v>Vật liệu khác</v>
      </c>
      <c r="F1242" s="1763" t="str">
        <f>'8.Dgia'!G846</f>
        <v>%</v>
      </c>
      <c r="G1242" s="1954">
        <f>'8.Dgia'!H846</f>
        <v>1</v>
      </c>
      <c r="H1242" s="1796">
        <f>H1241</f>
        <v>180000000</v>
      </c>
      <c r="I1242" s="1796">
        <f>H1242*G1242%</f>
        <v>1800000</v>
      </c>
    </row>
    <row r="1243" spans="1:12" s="658" customFormat="1" ht="15">
      <c r="B1243" s="1536" t="str">
        <f>'8.Dgia'!B847</f>
        <v/>
      </c>
      <c r="C1243" s="1537">
        <f>'8.Dgia'!C847</f>
        <v>0</v>
      </c>
      <c r="D1243" s="1537">
        <f>'8.Dgia'!D847</f>
        <v>0</v>
      </c>
      <c r="E1243" s="1744" t="str">
        <f>'8.Dgia'!E847</f>
        <v xml:space="preserve">  B - Nhân công 4.0/7</v>
      </c>
      <c r="F1243" s="1745" t="s">
        <v>552</v>
      </c>
      <c r="G1243" s="1954">
        <f>'8.Dgia'!H847</f>
        <v>5.5</v>
      </c>
      <c r="H1243" s="1796">
        <f>'16.NC'!$H$18</f>
        <v>256824</v>
      </c>
      <c r="I1243" s="1798">
        <f>H1243*G1243</f>
        <v>1412532</v>
      </c>
      <c r="J1243" s="850"/>
      <c r="K1243" s="850"/>
      <c r="L1243" s="850"/>
    </row>
    <row r="1244" spans="1:12" s="658" customFormat="1" ht="15">
      <c r="B1244" s="1675"/>
      <c r="C1244" s="1676"/>
      <c r="D1244" s="1676"/>
      <c r="E1244" s="1800" t="s">
        <v>5675</v>
      </c>
      <c r="F1244" s="1763">
        <f>$J$5</f>
        <v>0.02</v>
      </c>
      <c r="G1244" s="1754"/>
      <c r="H1244" s="1799"/>
      <c r="I1244" s="1799">
        <f>( I1240+I1243 )*F1244</f>
        <v>3664250.64</v>
      </c>
      <c r="J1244" s="850"/>
      <c r="K1244" s="850"/>
      <c r="L1244" s="850"/>
    </row>
    <row r="1245" spans="1:12" ht="15">
      <c r="B1245" s="1540"/>
      <c r="C1245" s="1541"/>
      <c r="D1245" s="1541"/>
      <c r="E1245" s="1801" t="s">
        <v>5676</v>
      </c>
      <c r="F1245" s="1763"/>
      <c r="G1245" s="1759"/>
      <c r="H1245" s="1802"/>
      <c r="I1245" s="1802">
        <f>I1244+I1244/F1244</f>
        <v>186876782.63999999</v>
      </c>
    </row>
    <row r="1246" spans="1:12" ht="15">
      <c r="B1246" s="1536"/>
      <c r="C1246" s="1537"/>
      <c r="D1246" s="1537"/>
      <c r="E1246" s="1803" t="s">
        <v>5677</v>
      </c>
      <c r="F1246" s="1763">
        <f>$K$5</f>
        <v>5.5E-2</v>
      </c>
      <c r="G1246" s="1746"/>
      <c r="H1246" s="1796"/>
      <c r="I1246" s="1796">
        <f>I1245*F1246</f>
        <v>10278223.0452</v>
      </c>
    </row>
    <row r="1247" spans="1:12" ht="15">
      <c r="B1247" s="1536"/>
      <c r="C1247" s="1537"/>
      <c r="D1247" s="1537"/>
      <c r="E1247" s="1803" t="s">
        <v>5678</v>
      </c>
      <c r="F1247" s="1763">
        <f>$L$5</f>
        <v>0.06</v>
      </c>
      <c r="G1247" s="1746"/>
      <c r="H1247" s="1796"/>
      <c r="I1247" s="1796">
        <f>SUM(I1245:I1246)*F1247</f>
        <v>11829300.341111999</v>
      </c>
    </row>
    <row r="1248" spans="1:12" ht="14.25">
      <c r="B1248" s="1540"/>
      <c r="C1248" s="1541"/>
      <c r="D1248" s="1541"/>
      <c r="E1248" s="1801" t="s">
        <v>5679</v>
      </c>
      <c r="F1248" s="1791"/>
      <c r="G1248" s="1759"/>
      <c r="H1248" s="1802"/>
      <c r="I1248" s="1802">
        <f>SUM(I1245:I1247)</f>
        <v>208984306.02631196</v>
      </c>
    </row>
    <row r="1249" spans="1:12" ht="15">
      <c r="B1249" s="1536"/>
      <c r="C1249" s="1537"/>
      <c r="D1249" s="1537"/>
      <c r="E1249" s="1803" t="s">
        <v>5680</v>
      </c>
      <c r="F1249" s="1765">
        <f>$M$5</f>
        <v>0.1</v>
      </c>
      <c r="G1249" s="1746"/>
      <c r="H1249" s="1796"/>
      <c r="I1249" s="1796">
        <f>I1248*F1249</f>
        <v>20898430.602631196</v>
      </c>
    </row>
    <row r="1250" spans="1:12" ht="14.25">
      <c r="B1250" s="1540"/>
      <c r="C1250" s="1541"/>
      <c r="D1250" s="1541"/>
      <c r="E1250" s="1801" t="s">
        <v>5681</v>
      </c>
      <c r="F1250" s="1791"/>
      <c r="G1250" s="1759"/>
      <c r="H1250" s="1802"/>
      <c r="I1250" s="1802">
        <f>SUM(I1248:I1249)</f>
        <v>229882736.62894315</v>
      </c>
    </row>
    <row r="1251" spans="1:12" ht="12.75">
      <c r="B1251" s="1536"/>
      <c r="C1251" s="1537"/>
      <c r="D1251" s="1537"/>
      <c r="E1251" s="1464" t="s">
        <v>5682</v>
      </c>
      <c r="F1251" s="1535">
        <f>$N$5</f>
        <v>0.01</v>
      </c>
      <c r="G1251" s="1538"/>
      <c r="H1251" s="1539"/>
      <c r="I1251" s="1539">
        <f>I1250*F1251</f>
        <v>2298827.3662894317</v>
      </c>
    </row>
    <row r="1252" spans="1:12" ht="14.25">
      <c r="B1252" s="2116"/>
      <c r="C1252" s="1544"/>
      <c r="D1252" s="2116"/>
      <c r="E1252" s="2117" t="s">
        <v>5683</v>
      </c>
      <c r="F1252" s="2115"/>
      <c r="G1252" s="2117"/>
      <c r="H1252" s="2118"/>
      <c r="I1252" s="2110">
        <f>ROUND(I1250+I1251,0)</f>
        <v>232181564</v>
      </c>
    </row>
    <row r="1253" spans="1:12" ht="15" customHeight="1">
      <c r="A1253" s="657">
        <v>1</v>
      </c>
      <c r="B1253" s="1546">
        <f>IF(A1253&lt;&gt;0,COUNTA(A$7:$A1253),"")</f>
        <v>67</v>
      </c>
      <c r="C1253" s="1547">
        <f>'8.Dgia'!C853</f>
        <v>1776</v>
      </c>
      <c r="D1253" s="1547" t="s">
        <v>395</v>
      </c>
      <c r="E1253" s="1740" t="str">
        <f>'8.Dgia'!E853</f>
        <v>Lắp đặt bộ nối thanh cường độ cao D36</v>
      </c>
      <c r="F1253" s="1789" t="s">
        <v>307</v>
      </c>
      <c r="G1253" s="1742">
        <f>'8.Dgia'!H853</f>
        <v>0</v>
      </c>
      <c r="H1253" s="1795"/>
      <c r="I1253" s="1795"/>
      <c r="J1253" s="842">
        <f>+I1254</f>
        <v>879000</v>
      </c>
      <c r="K1253" s="842">
        <f>+I1256</f>
        <v>68943</v>
      </c>
    </row>
    <row r="1254" spans="1:12" s="658" customFormat="1" ht="15">
      <c r="B1254" s="1536" t="str">
        <f>'8.Dgia'!B854</f>
        <v/>
      </c>
      <c r="C1254" s="1537">
        <f>'8.Dgia'!C854</f>
        <v>0</v>
      </c>
      <c r="D1254" s="1537">
        <f>'8.Dgia'!D854</f>
        <v>0</v>
      </c>
      <c r="E1254" s="1744" t="str">
        <f>'8.Dgia'!E854</f>
        <v xml:space="preserve">  A - Vật liệu</v>
      </c>
      <c r="F1254" s="1763">
        <f>'8.Dgia'!G854</f>
        <v>0</v>
      </c>
      <c r="G1254" s="1746">
        <f>'8.Dgia'!H854</f>
        <v>0</v>
      </c>
      <c r="H1254" s="1796"/>
      <c r="I1254" s="1797">
        <f>SUM(I1255:I1255)</f>
        <v>879000</v>
      </c>
      <c r="J1254" s="850"/>
      <c r="K1254" s="850"/>
      <c r="L1254" s="850"/>
    </row>
    <row r="1255" spans="1:12" ht="15">
      <c r="B1255" s="1536" t="str">
        <f>'8.Dgia'!B855</f>
        <v/>
      </c>
      <c r="C1255" s="1537">
        <f>'8.Dgia'!C855</f>
        <v>0</v>
      </c>
      <c r="D1255" s="1537">
        <f>'8.Dgia'!D855</f>
        <v>0</v>
      </c>
      <c r="E1255" s="1749" t="str">
        <f>'8.Dgia'!E855</f>
        <v>Coupler D36</v>
      </c>
      <c r="F1255" s="1763" t="s">
        <v>307</v>
      </c>
      <c r="G1255" s="1981">
        <f>'8.Dgia'!H855</f>
        <v>1</v>
      </c>
      <c r="H1255" s="1796">
        <f>GVL!$I$47</f>
        <v>879000</v>
      </c>
      <c r="I1255" s="1796">
        <f>H1255*G1255</f>
        <v>879000</v>
      </c>
    </row>
    <row r="1256" spans="1:12" s="658" customFormat="1" ht="15">
      <c r="B1256" s="1536" t="str">
        <f>'8.Dgia'!B856</f>
        <v/>
      </c>
      <c r="C1256" s="1537">
        <f>'8.Dgia'!C856</f>
        <v>0</v>
      </c>
      <c r="D1256" s="1537" t="s">
        <v>5869</v>
      </c>
      <c r="E1256" s="1744" t="str">
        <f>'8.Dgia'!E856</f>
        <v xml:space="preserve">  B - Nhân công 4.5/7</v>
      </c>
      <c r="F1256" s="1745" t="s">
        <v>552</v>
      </c>
      <c r="G1256" s="1981">
        <f>'8.Dgia'!H856</f>
        <v>0.25</v>
      </c>
      <c r="H1256" s="1796">
        <f>'16.NC'!$H$20</f>
        <v>275772</v>
      </c>
      <c r="I1256" s="1798">
        <f>H1256*G1256</f>
        <v>68943</v>
      </c>
      <c r="J1256" s="850"/>
      <c r="K1256" s="850"/>
      <c r="L1256" s="850"/>
    </row>
    <row r="1257" spans="1:12" s="658" customFormat="1" ht="15">
      <c r="B1257" s="1675"/>
      <c r="C1257" s="1676"/>
      <c r="D1257" s="1676"/>
      <c r="E1257" s="1800" t="s">
        <v>5675</v>
      </c>
      <c r="F1257" s="1763">
        <f>$J$5</f>
        <v>0.02</v>
      </c>
      <c r="G1257" s="1754"/>
      <c r="H1257" s="1799"/>
      <c r="I1257" s="1799">
        <f>( I1254+I1256 )*F1257</f>
        <v>18958.86</v>
      </c>
      <c r="J1257" s="850"/>
      <c r="K1257" s="850"/>
      <c r="L1257" s="850"/>
    </row>
    <row r="1258" spans="1:12" ht="15">
      <c r="B1258" s="1540"/>
      <c r="C1258" s="1541"/>
      <c r="D1258" s="1541"/>
      <c r="E1258" s="1801" t="s">
        <v>5676</v>
      </c>
      <c r="F1258" s="1763"/>
      <c r="G1258" s="1759"/>
      <c r="H1258" s="1802"/>
      <c r="I1258" s="1802">
        <f>I1257+I1257/F1257</f>
        <v>966901.86</v>
      </c>
    </row>
    <row r="1259" spans="1:12" ht="15">
      <c r="B1259" s="1536"/>
      <c r="C1259" s="1537"/>
      <c r="D1259" s="1537"/>
      <c r="E1259" s="1803" t="s">
        <v>5677</v>
      </c>
      <c r="F1259" s="1763">
        <f>$K$5</f>
        <v>5.5E-2</v>
      </c>
      <c r="G1259" s="1746"/>
      <c r="H1259" s="1796"/>
      <c r="I1259" s="1796">
        <f>I1258*F1259</f>
        <v>53179.602299999999</v>
      </c>
    </row>
    <row r="1260" spans="1:12" ht="15">
      <c r="B1260" s="1536"/>
      <c r="C1260" s="1537"/>
      <c r="D1260" s="1537"/>
      <c r="E1260" s="1803" t="s">
        <v>5678</v>
      </c>
      <c r="F1260" s="1763">
        <f>$L$5</f>
        <v>0.06</v>
      </c>
      <c r="G1260" s="1746"/>
      <c r="H1260" s="1796"/>
      <c r="I1260" s="1796">
        <f>SUM(I1258:I1259)*F1260</f>
        <v>61204.887737999998</v>
      </c>
    </row>
    <row r="1261" spans="1:12" ht="14.25">
      <c r="B1261" s="1540"/>
      <c r="C1261" s="1541"/>
      <c r="D1261" s="1541"/>
      <c r="E1261" s="1801" t="s">
        <v>5679</v>
      </c>
      <c r="F1261" s="1791"/>
      <c r="G1261" s="1759"/>
      <c r="H1261" s="1802"/>
      <c r="I1261" s="1802">
        <f>SUM(I1258:I1260)</f>
        <v>1081286.3500379999</v>
      </c>
    </row>
    <row r="1262" spans="1:12" ht="15">
      <c r="B1262" s="1536"/>
      <c r="C1262" s="1537"/>
      <c r="D1262" s="1537"/>
      <c r="E1262" s="1803" t="s">
        <v>5680</v>
      </c>
      <c r="F1262" s="1765">
        <f>$M$5</f>
        <v>0.1</v>
      </c>
      <c r="G1262" s="1746"/>
      <c r="H1262" s="1796"/>
      <c r="I1262" s="1796">
        <f>I1261*F1262</f>
        <v>108128.63500379999</v>
      </c>
    </row>
    <row r="1263" spans="1:12" ht="14.25">
      <c r="B1263" s="1540"/>
      <c r="C1263" s="1541"/>
      <c r="D1263" s="1541"/>
      <c r="E1263" s="1801" t="s">
        <v>5681</v>
      </c>
      <c r="F1263" s="1791"/>
      <c r="G1263" s="1759"/>
      <c r="H1263" s="1802"/>
      <c r="I1263" s="1802">
        <f>SUM(I1261:I1262)</f>
        <v>1189414.9850418</v>
      </c>
    </row>
    <row r="1264" spans="1:12" ht="12.75">
      <c r="B1264" s="1536"/>
      <c r="C1264" s="1537"/>
      <c r="D1264" s="1537"/>
      <c r="E1264" s="1464" t="s">
        <v>5682</v>
      </c>
      <c r="F1264" s="1535">
        <f>$N$5</f>
        <v>0.01</v>
      </c>
      <c r="G1264" s="1538"/>
      <c r="H1264" s="1539"/>
      <c r="I1264" s="1539">
        <f>I1263*F1264</f>
        <v>11894.149850418</v>
      </c>
    </row>
    <row r="1265" spans="1:12" ht="14.25">
      <c r="B1265" s="2116"/>
      <c r="C1265" s="1544"/>
      <c r="D1265" s="2116"/>
      <c r="E1265" s="2117" t="s">
        <v>5683</v>
      </c>
      <c r="F1265" s="2115"/>
      <c r="G1265" s="2117"/>
      <c r="H1265" s="2118"/>
      <c r="I1265" s="2110">
        <f>ROUND(I1263+I1264,0)</f>
        <v>1201309</v>
      </c>
    </row>
    <row r="1266" spans="1:12" ht="15" customHeight="1">
      <c r="A1266" s="657">
        <v>1</v>
      </c>
      <c r="B1266" s="1546">
        <f>IF(A1266&lt;&gt;0,COUNTA(A$7:$A1266),"")</f>
        <v>68</v>
      </c>
      <c r="C1266" s="1547">
        <f>'8.Dgia'!C857</f>
        <v>1776</v>
      </c>
      <c r="D1266" s="1547" t="str">
        <f>'8.Dgia'!D857</f>
        <v>AF.65220</v>
      </c>
      <c r="E1266" s="1740" t="str">
        <f>'8.Dgia'!E857</f>
        <v>Cốt thép mố trụ cầu dưới nước các loại</v>
      </c>
      <c r="F1266" s="1789" t="s">
        <v>557</v>
      </c>
      <c r="G1266" s="1742">
        <f>'8.Dgia'!H857</f>
        <v>0</v>
      </c>
      <c r="H1266" s="1795"/>
      <c r="I1266" s="1795"/>
      <c r="J1266" s="842">
        <f>+I1267</f>
        <v>17319858.380290911</v>
      </c>
      <c r="K1266" s="842">
        <f>+I1271</f>
        <v>3610945.44</v>
      </c>
      <c r="L1266" s="842">
        <f>+I1272</f>
        <v>611427.61287272722</v>
      </c>
    </row>
    <row r="1267" spans="1:12" s="658" customFormat="1" ht="15">
      <c r="B1267" s="1536" t="str">
        <f>'8.Dgia'!B858</f>
        <v/>
      </c>
      <c r="C1267" s="1537">
        <f>'8.Dgia'!C858</f>
        <v>0</v>
      </c>
      <c r="D1267" s="1537">
        <f>'8.Dgia'!D858</f>
        <v>0</v>
      </c>
      <c r="E1267" s="1744" t="str">
        <f>'8.Dgia'!E858</f>
        <v xml:space="preserve">  A - Vật liệu</v>
      </c>
      <c r="F1267" s="1763">
        <f>'8.Dgia'!G858</f>
        <v>0</v>
      </c>
      <c r="G1267" s="1746">
        <f>'8.Dgia'!H858</f>
        <v>0</v>
      </c>
      <c r="H1267" s="1796"/>
      <c r="I1267" s="1797">
        <f>SUM(I1268:I1270)</f>
        <v>17319858.380290911</v>
      </c>
      <c r="J1267" s="850"/>
      <c r="K1267" s="850"/>
      <c r="L1267" s="850"/>
    </row>
    <row r="1268" spans="1:12" ht="15">
      <c r="B1268" s="1536" t="str">
        <f>'8.Dgia'!B859</f>
        <v/>
      </c>
      <c r="C1268" s="1537">
        <f>'8.Dgia'!C859</f>
        <v>0</v>
      </c>
      <c r="D1268" s="1537">
        <f>'8.Dgia'!D859</f>
        <v>0</v>
      </c>
      <c r="E1268" s="1749" t="str">
        <f>'8.Dgia'!E859</f>
        <v>Thép tròn D&lt;=18</v>
      </c>
      <c r="F1268" s="1763" t="str">
        <f>'8.Dgia'!G859</f>
        <v>kg</v>
      </c>
      <c r="G1268" s="1982">
        <f>'8.Dgia'!H859</f>
        <v>1020</v>
      </c>
      <c r="H1268" s="1796">
        <f>GVL!$I$180</f>
        <v>16604.075560000001</v>
      </c>
      <c r="I1268" s="1796">
        <f>H1268*G1268</f>
        <v>16936157.071200002</v>
      </c>
    </row>
    <row r="1269" spans="1:12" ht="15">
      <c r="B1269" s="1536" t="str">
        <f>'8.Dgia'!B860</f>
        <v/>
      </c>
      <c r="C1269" s="1537">
        <f>'8.Dgia'!C860</f>
        <v>0</v>
      </c>
      <c r="D1269" s="1537">
        <f>'8.Dgia'!D860</f>
        <v>0</v>
      </c>
      <c r="E1269" s="1749" t="str">
        <f>'8.Dgia'!E860</f>
        <v>Dây thép buộc</v>
      </c>
      <c r="F1269" s="1763" t="str">
        <f>'8.Dgia'!G860</f>
        <v>kg</v>
      </c>
      <c r="G1269" s="1746">
        <f>'8.Dgia'!H860</f>
        <v>14.28</v>
      </c>
      <c r="H1269" s="1796">
        <f>GVL!$I$89</f>
        <v>18180</v>
      </c>
      <c r="I1269" s="1796">
        <f>H1269*G1269</f>
        <v>259610.4</v>
      </c>
    </row>
    <row r="1270" spans="1:12" ht="15">
      <c r="B1270" s="1536" t="str">
        <f>'8.Dgia'!B861</f>
        <v/>
      </c>
      <c r="C1270" s="1537">
        <f>'8.Dgia'!C861</f>
        <v>0</v>
      </c>
      <c r="D1270" s="1537">
        <f>'8.Dgia'!D861</f>
        <v>0</v>
      </c>
      <c r="E1270" s="1749" t="str">
        <f>'8.Dgia'!E861</f>
        <v>Que hàn</v>
      </c>
      <c r="F1270" s="1763" t="str">
        <f>'8.Dgia'!G861</f>
        <v>kg</v>
      </c>
      <c r="G1270" s="1954">
        <f>'8.Dgia'!H861</f>
        <v>6.5</v>
      </c>
      <c r="H1270" s="1796">
        <f>GVL!$I$153</f>
        <v>19090.909090909088</v>
      </c>
      <c r="I1270" s="1796">
        <f>H1270*G1270</f>
        <v>124090.90909090907</v>
      </c>
    </row>
    <row r="1271" spans="1:12" s="658" customFormat="1" ht="15">
      <c r="B1271" s="1536" t="str">
        <f>'8.Dgia'!B862</f>
        <v/>
      </c>
      <c r="C1271" s="1537">
        <f>'8.Dgia'!C862</f>
        <v>0</v>
      </c>
      <c r="D1271" s="1537">
        <f>'8.Dgia'!D862</f>
        <v>0</v>
      </c>
      <c r="E1271" s="1744" t="str">
        <f>'8.Dgia'!E862</f>
        <v xml:space="preserve">  B - Nhân công 4.0/7</v>
      </c>
      <c r="F1271" s="1745" t="s">
        <v>552</v>
      </c>
      <c r="G1271" s="1746">
        <f>'8.Dgia'!H862</f>
        <v>14.06</v>
      </c>
      <c r="H1271" s="1796">
        <f>'16.NC'!$H$18</f>
        <v>256824</v>
      </c>
      <c r="I1271" s="1798">
        <f>H1271*G1271</f>
        <v>3610945.44</v>
      </c>
      <c r="J1271" s="850"/>
      <c r="K1271" s="850"/>
      <c r="L1271" s="850"/>
    </row>
    <row r="1272" spans="1:12" s="658" customFormat="1" ht="15">
      <c r="B1272" s="1536" t="str">
        <f>'8.Dgia'!B863</f>
        <v/>
      </c>
      <c r="C1272" s="1537">
        <f>'8.Dgia'!C863</f>
        <v>0</v>
      </c>
      <c r="D1272" s="1537">
        <f>'8.Dgia'!D863</f>
        <v>0</v>
      </c>
      <c r="E1272" s="1744" t="str">
        <f>'8.Dgia'!E863</f>
        <v xml:space="preserve">  C - Máy thi công</v>
      </c>
      <c r="F1272" s="1763">
        <f>'8.Dgia'!G863</f>
        <v>0</v>
      </c>
      <c r="G1272" s="1746">
        <f>'8.Dgia'!H863</f>
        <v>0</v>
      </c>
      <c r="H1272" s="1796"/>
      <c r="I1272" s="1799">
        <f>SUM(I1273:I1278)</f>
        <v>611427.61287272722</v>
      </c>
      <c r="J1272" s="850"/>
      <c r="K1272" s="850"/>
      <c r="L1272" s="850"/>
    </row>
    <row r="1273" spans="1:12" ht="15">
      <c r="B1273" s="1536" t="str">
        <f>'8.Dgia'!B864</f>
        <v/>
      </c>
      <c r="C1273" s="1537">
        <f>'8.Dgia'!C864</f>
        <v>0</v>
      </c>
      <c r="D1273" s="1537">
        <f>'8.Dgia'!D864</f>
        <v>0</v>
      </c>
      <c r="E1273" s="1749" t="str">
        <f>'8.Dgia'!E864</f>
        <v>Máy hàn 23kw</v>
      </c>
      <c r="F1273" s="1745" t="s">
        <v>5493</v>
      </c>
      <c r="G1273" s="1954">
        <f>'8.Dgia'!H864</f>
        <v>1.6</v>
      </c>
      <c r="H1273" s="1796">
        <f>'9.may'!$P$510</f>
        <v>171649.155</v>
      </c>
      <c r="I1273" s="1796">
        <f t="shared" ref="I1273:I1278" si="9">H1273*G1273</f>
        <v>274638.64799999999</v>
      </c>
    </row>
    <row r="1274" spans="1:12" ht="15">
      <c r="B1274" s="1536" t="str">
        <f>'8.Dgia'!B865</f>
        <v/>
      </c>
      <c r="C1274" s="1537">
        <f>'8.Dgia'!C865</f>
        <v>0</v>
      </c>
      <c r="D1274" s="1537">
        <f>'8.Dgia'!D865</f>
        <v>0</v>
      </c>
      <c r="E1274" s="1749" t="str">
        <f>'8.Dgia'!E865</f>
        <v>Máy cắt uốn</v>
      </c>
      <c r="F1274" s="1745" t="s">
        <v>5493</v>
      </c>
      <c r="G1274" s="1746">
        <f>'8.Dgia'!H865</f>
        <v>0.32</v>
      </c>
      <c r="H1274" s="1796">
        <f>'9.may'!$P$557</f>
        <v>80291.850000000006</v>
      </c>
      <c r="I1274" s="1796">
        <f t="shared" si="9"/>
        <v>25693.392000000003</v>
      </c>
    </row>
    <row r="1275" spans="1:12" ht="15">
      <c r="B1275" s="1536" t="str">
        <f>'8.Dgia'!B866</f>
        <v/>
      </c>
      <c r="C1275" s="1537">
        <f>'8.Dgia'!C866</f>
        <v>0</v>
      </c>
      <c r="D1275" s="1537">
        <f>'8.Dgia'!D866</f>
        <v>0</v>
      </c>
      <c r="E1275" s="1749" t="str">
        <f>'8.Dgia'!E866</f>
        <v>Cần cẩu bánh xích 25T</v>
      </c>
      <c r="F1275" s="1745" t="s">
        <v>5493</v>
      </c>
      <c r="G1275" s="1746">
        <f>'8.Dgia'!H866</f>
        <v>0.06</v>
      </c>
      <c r="H1275" s="1796">
        <f>'9.may'!$P$248</f>
        <v>2787996.6736363638</v>
      </c>
      <c r="I1275" s="1796">
        <f t="shared" si="9"/>
        <v>167279.80041818181</v>
      </c>
    </row>
    <row r="1276" spans="1:12" ht="15">
      <c r="B1276" s="1536" t="str">
        <f>'8.Dgia'!B867</f>
        <v/>
      </c>
      <c r="C1276" s="1537">
        <f>'8.Dgia'!C867</f>
        <v>0</v>
      </c>
      <c r="D1276" s="1537">
        <f>'8.Dgia'!D867</f>
        <v>0</v>
      </c>
      <c r="E1276" s="1749" t="str">
        <f>'8.Dgia'!E867</f>
        <v>Sà lan 200T</v>
      </c>
      <c r="F1276" s="1745" t="s">
        <v>5493</v>
      </c>
      <c r="G1276" s="1746">
        <f>'8.Dgia'!H867</f>
        <v>0.06</v>
      </c>
      <c r="H1276" s="1796">
        <f>'9.may'!$P$652</f>
        <v>586485.6</v>
      </c>
      <c r="I1276" s="1796">
        <f t="shared" si="9"/>
        <v>35189.135999999999</v>
      </c>
    </row>
    <row r="1277" spans="1:12" ht="15">
      <c r="B1277" s="1536" t="str">
        <f>'8.Dgia'!B868</f>
        <v/>
      </c>
      <c r="C1277" s="1537">
        <f>'8.Dgia'!C868</f>
        <v>0</v>
      </c>
      <c r="D1277" s="1537">
        <f>'8.Dgia'!D868</f>
        <v>0</v>
      </c>
      <c r="E1277" s="1749" t="str">
        <f>'8.Dgia'!E868</f>
        <v>Sà lan 400T</v>
      </c>
      <c r="F1277" s="1745" t="s">
        <v>5493</v>
      </c>
      <c r="G1277" s="1746">
        <f>'8.Dgia'!H868</f>
        <v>0.06</v>
      </c>
      <c r="H1277" s="1796">
        <f>'9.may'!$P$655</f>
        <v>1144511.22</v>
      </c>
      <c r="I1277" s="1796">
        <f t="shared" si="9"/>
        <v>68670.67319999999</v>
      </c>
    </row>
    <row r="1278" spans="1:12" ht="15">
      <c r="B1278" s="1536" t="str">
        <f>'8.Dgia'!B869</f>
        <v/>
      </c>
      <c r="C1278" s="1537">
        <f>'8.Dgia'!C869</f>
        <v>0</v>
      </c>
      <c r="D1278" s="1537">
        <f>'8.Dgia'!D869</f>
        <v>0</v>
      </c>
      <c r="E1278" s="1749" t="str">
        <f>'8.Dgia'!E869</f>
        <v>Tàu kéo 150cv</v>
      </c>
      <c r="F1278" s="1745" t="s">
        <v>5493</v>
      </c>
      <c r="G1278" s="1746">
        <f>'8.Dgia'!H869</f>
        <v>1.2E-2</v>
      </c>
      <c r="H1278" s="1796">
        <f>'9.may'!$P$676</f>
        <v>3329663.6045454545</v>
      </c>
      <c r="I1278" s="1796">
        <f t="shared" si="9"/>
        <v>39955.963254545451</v>
      </c>
    </row>
    <row r="1279" spans="1:12" s="658" customFormat="1" ht="15">
      <c r="B1279" s="1675"/>
      <c r="C1279" s="1676"/>
      <c r="D1279" s="1676"/>
      <c r="E1279" s="1800" t="s">
        <v>5675</v>
      </c>
      <c r="F1279" s="1763">
        <f>$J$5</f>
        <v>0.02</v>
      </c>
      <c r="G1279" s="1754"/>
      <c r="H1279" s="1799"/>
      <c r="I1279" s="1799">
        <f>( I1267+I1271+I1272 )*F1279</f>
        <v>430844.62866327277</v>
      </c>
      <c r="J1279" s="850"/>
      <c r="K1279" s="850"/>
      <c r="L1279" s="850"/>
    </row>
    <row r="1280" spans="1:12" ht="15">
      <c r="B1280" s="1540"/>
      <c r="C1280" s="1541"/>
      <c r="D1280" s="1541"/>
      <c r="E1280" s="1801" t="s">
        <v>5676</v>
      </c>
      <c r="F1280" s="1763"/>
      <c r="G1280" s="1759"/>
      <c r="H1280" s="1802"/>
      <c r="I1280" s="1802">
        <f>I1279+I1279/F1279</f>
        <v>21973076.061826911</v>
      </c>
    </row>
    <row r="1281" spans="1:12" ht="15">
      <c r="B1281" s="1536"/>
      <c r="C1281" s="1537"/>
      <c r="D1281" s="1537"/>
      <c r="E1281" s="1803" t="s">
        <v>5677</v>
      </c>
      <c r="F1281" s="1763">
        <f>$K$5</f>
        <v>5.5E-2</v>
      </c>
      <c r="G1281" s="1746"/>
      <c r="H1281" s="1796"/>
      <c r="I1281" s="1796">
        <f>I1280*F1281</f>
        <v>1208519.1834004801</v>
      </c>
    </row>
    <row r="1282" spans="1:12" ht="15">
      <c r="B1282" s="1536"/>
      <c r="C1282" s="1537"/>
      <c r="D1282" s="1537"/>
      <c r="E1282" s="1803" t="s">
        <v>5678</v>
      </c>
      <c r="F1282" s="1763">
        <f>$L$5</f>
        <v>0.06</v>
      </c>
      <c r="G1282" s="1746"/>
      <c r="H1282" s="1796"/>
      <c r="I1282" s="1796">
        <f>SUM(I1280:I1281)*F1282</f>
        <v>1390895.7147136433</v>
      </c>
    </row>
    <row r="1283" spans="1:12" ht="14.25">
      <c r="B1283" s="1540"/>
      <c r="C1283" s="1541"/>
      <c r="D1283" s="1541"/>
      <c r="E1283" s="1801" t="s">
        <v>5679</v>
      </c>
      <c r="F1283" s="1791"/>
      <c r="G1283" s="1759"/>
      <c r="H1283" s="1802"/>
      <c r="I1283" s="1802">
        <f>SUM(I1280:I1282)</f>
        <v>24572490.959941033</v>
      </c>
    </row>
    <row r="1284" spans="1:12" ht="15">
      <c r="B1284" s="1536"/>
      <c r="C1284" s="1537"/>
      <c r="D1284" s="1537"/>
      <c r="E1284" s="1803" t="s">
        <v>5680</v>
      </c>
      <c r="F1284" s="1765">
        <f>$M$5</f>
        <v>0.1</v>
      </c>
      <c r="G1284" s="1746"/>
      <c r="H1284" s="1796"/>
      <c r="I1284" s="1796">
        <f>I1283*F1284</f>
        <v>2457249.0959941032</v>
      </c>
    </row>
    <row r="1285" spans="1:12" ht="14.25">
      <c r="B1285" s="1540"/>
      <c r="C1285" s="1541"/>
      <c r="D1285" s="1541"/>
      <c r="E1285" s="1801" t="s">
        <v>5681</v>
      </c>
      <c r="F1285" s="1791"/>
      <c r="G1285" s="1759"/>
      <c r="H1285" s="1802"/>
      <c r="I1285" s="1802">
        <f>SUM(I1283:I1284)</f>
        <v>27029740.055935137</v>
      </c>
    </row>
    <row r="1286" spans="1:12" ht="12.75">
      <c r="B1286" s="1536"/>
      <c r="C1286" s="1537"/>
      <c r="D1286" s="1537"/>
      <c r="E1286" s="1464" t="s">
        <v>5682</v>
      </c>
      <c r="F1286" s="1535">
        <f>$N$5</f>
        <v>0.01</v>
      </c>
      <c r="G1286" s="1538"/>
      <c r="H1286" s="1539"/>
      <c r="I1286" s="1539">
        <f>I1285*F1286</f>
        <v>270297.40055935137</v>
      </c>
    </row>
    <row r="1287" spans="1:12" ht="14.25">
      <c r="B1287" s="2116"/>
      <c r="C1287" s="1544"/>
      <c r="D1287" s="2116"/>
      <c r="E1287" s="2117" t="s">
        <v>5683</v>
      </c>
      <c r="F1287" s="2115"/>
      <c r="G1287" s="2117"/>
      <c r="H1287" s="2118"/>
      <c r="I1287" s="2110">
        <f>ROUND(I1285+I1286,0)</f>
        <v>27300037</v>
      </c>
    </row>
    <row r="1288" spans="1:12" ht="14.25">
      <c r="A1288" s="657">
        <v>1</v>
      </c>
      <c r="B1288" s="1546">
        <f>IF(A1288&lt;&gt;0,COUNTA(A$7:$A1288),"")</f>
        <v>69</v>
      </c>
      <c r="C1288" s="1547">
        <f>'8.Dgia'!C870</f>
        <v>1776</v>
      </c>
      <c r="D1288" s="1547" t="str">
        <f>'8.Dgia'!D870</f>
        <v>AI.64111</v>
      </c>
      <c r="E1288" s="1740" t="str">
        <f>'8.Dgia'!E870</f>
        <v>Lắp dựng ống thép tạo lỗ D69/72</v>
      </c>
      <c r="F1288" s="1789" t="str">
        <f>'8.Dgia'!G870</f>
        <v>m</v>
      </c>
      <c r="G1288" s="1742">
        <f>'8.Dgia'!H870</f>
        <v>0</v>
      </c>
      <c r="H1288" s="1795"/>
      <c r="I1288" s="1795"/>
      <c r="J1288" s="842">
        <f>+I1289</f>
        <v>73297.148699964004</v>
      </c>
      <c r="K1288" s="842">
        <f>+I1296</f>
        <v>52396.68</v>
      </c>
      <c r="L1288" s="842">
        <f>+I1297</f>
        <v>1855.7290631250005</v>
      </c>
    </row>
    <row r="1289" spans="1:12" s="658" customFormat="1" ht="15">
      <c r="B1289" s="1536" t="str">
        <f>'8.Dgia'!B871</f>
        <v/>
      </c>
      <c r="C1289" s="1537">
        <f>'8.Dgia'!C871</f>
        <v>0</v>
      </c>
      <c r="D1289" s="1537">
        <f>'8.Dgia'!D871</f>
        <v>0</v>
      </c>
      <c r="E1289" s="1744" t="str">
        <f>'8.Dgia'!E871</f>
        <v xml:space="preserve">  A - Vật liệu</v>
      </c>
      <c r="F1289" s="1763">
        <f>'8.Dgia'!G871</f>
        <v>0</v>
      </c>
      <c r="G1289" s="1746">
        <f>'8.Dgia'!H871</f>
        <v>0</v>
      </c>
      <c r="H1289" s="1796"/>
      <c r="I1289" s="1797">
        <f>SUM(I1290:I1295)</f>
        <v>73297.148699964004</v>
      </c>
      <c r="J1289" s="850"/>
      <c r="K1289" s="850"/>
      <c r="L1289" s="850"/>
    </row>
    <row r="1290" spans="1:12" ht="15">
      <c r="B1290" s="1536" t="str">
        <f>'8.Dgia'!B872</f>
        <v/>
      </c>
      <c r="C1290" s="1537">
        <f>'8.Dgia'!C872</f>
        <v>0</v>
      </c>
      <c r="D1290" s="1537">
        <f>'8.Dgia'!D872</f>
        <v>0</v>
      </c>
      <c r="E1290" s="1749" t="str">
        <f>'8.Dgia'!E872</f>
        <v>Ống thép D69/72</v>
      </c>
      <c r="F1290" s="1763" t="str">
        <f>'8.Dgia'!G872</f>
        <v>m</v>
      </c>
      <c r="G1290" s="1746">
        <f>'8.Dgia'!H872</f>
        <v>1.02</v>
      </c>
      <c r="H1290" s="1796">
        <f>GVL!$I$146</f>
        <v>66666.666666666672</v>
      </c>
      <c r="I1290" s="1796">
        <f>H1290*G1290</f>
        <v>68000</v>
      </c>
    </row>
    <row r="1291" spans="1:12" ht="15">
      <c r="B1291" s="1536" t="str">
        <f>'8.Dgia'!B873</f>
        <v/>
      </c>
      <c r="C1291" s="1537">
        <f>'8.Dgia'!C873</f>
        <v>0</v>
      </c>
      <c r="D1291" s="1537">
        <f>'8.Dgia'!D873</f>
        <v>0</v>
      </c>
      <c r="E1291" s="1749" t="str">
        <f>'8.Dgia'!E873</f>
        <v>Ống nối D69/72</v>
      </c>
      <c r="F1291" s="1763" t="str">
        <f>'8.Dgia'!G873</f>
        <v>m</v>
      </c>
      <c r="G1291" s="1746">
        <f>'8.Dgia'!H873</f>
        <v>0.06</v>
      </c>
      <c r="H1291" s="1796">
        <f>GVL!$I$140</f>
        <v>18000</v>
      </c>
      <c r="I1291" s="1796">
        <f>H1291*G1291</f>
        <v>1080</v>
      </c>
    </row>
    <row r="1292" spans="1:12" ht="15">
      <c r="B1292" s="1536" t="str">
        <f>'8.Dgia'!B874</f>
        <v/>
      </c>
      <c r="C1292" s="1537">
        <f>'8.Dgia'!C874</f>
        <v>0</v>
      </c>
      <c r="D1292" s="1537">
        <f>'8.Dgia'!D874</f>
        <v>0</v>
      </c>
      <c r="E1292" s="1749" t="str">
        <f>'8.Dgia'!E874</f>
        <v>Thép tròn D&lt;=10</v>
      </c>
      <c r="F1292" s="1763" t="str">
        <f>'8.Dgia'!G874</f>
        <v>kg</v>
      </c>
      <c r="G1292" s="1746">
        <f>'8.Dgia'!H874</f>
        <v>0.19</v>
      </c>
      <c r="H1292" s="1796">
        <f>GVL!$I$179</f>
        <v>16754.075560000001</v>
      </c>
      <c r="I1292" s="1796">
        <f>H1292*G1292</f>
        <v>3183.2743564000002</v>
      </c>
    </row>
    <row r="1293" spans="1:12" ht="15">
      <c r="B1293" s="1536" t="str">
        <f>'8.Dgia'!B875</f>
        <v/>
      </c>
      <c r="C1293" s="1537">
        <f>'8.Dgia'!C875</f>
        <v>0</v>
      </c>
      <c r="D1293" s="1537">
        <f>'8.Dgia'!D875</f>
        <v>0</v>
      </c>
      <c r="E1293" s="1749" t="str">
        <f>'8.Dgia'!E875</f>
        <v>Dây thép buộc</v>
      </c>
      <c r="F1293" s="1763" t="str">
        <f>'8.Dgia'!G875</f>
        <v>kg</v>
      </c>
      <c r="G1293" s="1746">
        <f>'8.Dgia'!H875</f>
        <v>1.2E-2</v>
      </c>
      <c r="H1293" s="1796">
        <f>GVL!$I$89</f>
        <v>18180</v>
      </c>
      <c r="I1293" s="1796">
        <f>H1293*G1293</f>
        <v>218.16</v>
      </c>
    </row>
    <row r="1294" spans="1:12" ht="15">
      <c r="B1294" s="1536" t="str">
        <f>'8.Dgia'!B876</f>
        <v/>
      </c>
      <c r="C1294" s="1537">
        <f>'8.Dgia'!C876</f>
        <v>0</v>
      </c>
      <c r="D1294" s="1537">
        <f>'8.Dgia'!D876</f>
        <v>0</v>
      </c>
      <c r="E1294" s="1749" t="str">
        <f>'8.Dgia'!E876</f>
        <v xml:space="preserve">Lưỡi cưa cắt </v>
      </c>
      <c r="F1294" s="1763" t="s">
        <v>567</v>
      </c>
      <c r="G1294" s="1746">
        <f>'8.Dgia'!H876</f>
        <v>0.02</v>
      </c>
      <c r="H1294" s="1796">
        <f>GVL!$I$115</f>
        <v>4500</v>
      </c>
      <c r="I1294" s="1796">
        <f>H1294*G1294</f>
        <v>90</v>
      </c>
    </row>
    <row r="1295" spans="1:12" ht="15">
      <c r="B1295" s="1536" t="str">
        <f>'8.Dgia'!B877</f>
        <v/>
      </c>
      <c r="C1295" s="1537">
        <f>'8.Dgia'!C877</f>
        <v>0</v>
      </c>
      <c r="D1295" s="1537">
        <f>'8.Dgia'!D877</f>
        <v>0</v>
      </c>
      <c r="E1295" s="1749" t="str">
        <f>'8.Dgia'!E877</f>
        <v>Vật liệu khác</v>
      </c>
      <c r="F1295" s="1763" t="str">
        <f>'8.Dgia'!G877</f>
        <v>%</v>
      </c>
      <c r="G1295" s="1954">
        <f>'8.Dgia'!H877</f>
        <v>1</v>
      </c>
      <c r="H1295" s="1796">
        <f>SUM(I1290:I1294)</f>
        <v>72571.434356400001</v>
      </c>
      <c r="I1295" s="1796">
        <f>H1295*G1295%</f>
        <v>725.71434356400005</v>
      </c>
    </row>
    <row r="1296" spans="1:12" s="658" customFormat="1" ht="15">
      <c r="B1296" s="1536" t="str">
        <f>'8.Dgia'!B878</f>
        <v/>
      </c>
      <c r="C1296" s="1537">
        <f>'8.Dgia'!C878</f>
        <v>0</v>
      </c>
      <c r="D1296" s="1537">
        <f>'8.Dgia'!D878</f>
        <v>0</v>
      </c>
      <c r="E1296" s="1744" t="str">
        <f>'8.Dgia'!E878</f>
        <v xml:space="preserve">  B - Nhân công 4.5/7</v>
      </c>
      <c r="F1296" s="1745" t="s">
        <v>552</v>
      </c>
      <c r="G1296" s="1746">
        <f>'8.Dgia'!H878</f>
        <v>0.19</v>
      </c>
      <c r="H1296" s="1796">
        <f>'16.NC'!$H$20</f>
        <v>275772</v>
      </c>
      <c r="I1296" s="1798">
        <f>H1296*G1296</f>
        <v>52396.68</v>
      </c>
      <c r="J1296" s="850"/>
      <c r="K1296" s="850"/>
      <c r="L1296" s="850"/>
    </row>
    <row r="1297" spans="1:12" s="658" customFormat="1" ht="15">
      <c r="B1297" s="1536" t="str">
        <f>'8.Dgia'!B879</f>
        <v/>
      </c>
      <c r="C1297" s="1537">
        <f>'8.Dgia'!C879</f>
        <v>0</v>
      </c>
      <c r="D1297" s="1537">
        <f>'8.Dgia'!D879</f>
        <v>0</v>
      </c>
      <c r="E1297" s="1744" t="str">
        <f>'8.Dgia'!E879</f>
        <v xml:space="preserve">  C - Máy thi công</v>
      </c>
      <c r="F1297" s="1763">
        <f>'8.Dgia'!G879</f>
        <v>0</v>
      </c>
      <c r="G1297" s="1746">
        <f>'8.Dgia'!H879</f>
        <v>0</v>
      </c>
      <c r="H1297" s="1796"/>
      <c r="I1297" s="1799">
        <f>SUM(I1298:I1299)</f>
        <v>1855.7290631250005</v>
      </c>
      <c r="J1297" s="850"/>
      <c r="K1297" s="850"/>
      <c r="L1297" s="850"/>
    </row>
    <row r="1298" spans="1:12" ht="15">
      <c r="B1298" s="1536" t="str">
        <f>'8.Dgia'!B880</f>
        <v/>
      </c>
      <c r="C1298" s="1537">
        <f>'8.Dgia'!C880</f>
        <v>0</v>
      </c>
      <c r="D1298" s="1537">
        <f>'8.Dgia'!D880</f>
        <v>0</v>
      </c>
      <c r="E1298" s="1749" t="str">
        <f>'8.Dgia'!E880</f>
        <v>Máy cưa kim loại 1.7kW</v>
      </c>
      <c r="F1298" s="1745" t="s">
        <v>5493</v>
      </c>
      <c r="G1298" s="1746">
        <f>'8.Dgia'!H880</f>
        <v>2.5000000000000001E-2</v>
      </c>
      <c r="H1298" s="1796">
        <f>'9.may'!$P$559</f>
        <v>70694.440500000012</v>
      </c>
      <c r="I1298" s="1796">
        <f>H1298*G1298</f>
        <v>1767.3610125000005</v>
      </c>
    </row>
    <row r="1299" spans="1:12" ht="15">
      <c r="B1299" s="1536" t="str">
        <f>'8.Dgia'!B881</f>
        <v/>
      </c>
      <c r="C1299" s="1537">
        <f>'8.Dgia'!C881</f>
        <v>0</v>
      </c>
      <c r="D1299" s="1537">
        <f>'8.Dgia'!D881</f>
        <v>0</v>
      </c>
      <c r="E1299" s="1749" t="str">
        <f>'8.Dgia'!E881</f>
        <v>Máy khác</v>
      </c>
      <c r="F1299" s="1763" t="str">
        <f>'8.Dgia'!G881</f>
        <v>%</v>
      </c>
      <c r="G1299" s="1954">
        <f>'8.Dgia'!H881</f>
        <v>5</v>
      </c>
      <c r="H1299" s="1796">
        <f>I1298</f>
        <v>1767.3610125000005</v>
      </c>
      <c r="I1299" s="1796">
        <f>H1299*G1299%</f>
        <v>88.368050625000024</v>
      </c>
    </row>
    <row r="1300" spans="1:12" s="658" customFormat="1" ht="15">
      <c r="B1300" s="1675"/>
      <c r="C1300" s="1676"/>
      <c r="D1300" s="1676"/>
      <c r="E1300" s="1800" t="s">
        <v>5675</v>
      </c>
      <c r="F1300" s="1763">
        <f>$J$5</f>
        <v>0.02</v>
      </c>
      <c r="G1300" s="1754"/>
      <c r="H1300" s="1799"/>
      <c r="I1300" s="1799">
        <f>( I1289+I1296+I1297 )*F1300</f>
        <v>2550.9911552617805</v>
      </c>
      <c r="J1300" s="850"/>
      <c r="K1300" s="850"/>
      <c r="L1300" s="850"/>
    </row>
    <row r="1301" spans="1:12" ht="15">
      <c r="B1301" s="1540"/>
      <c r="C1301" s="1541"/>
      <c r="D1301" s="1541"/>
      <c r="E1301" s="1801" t="s">
        <v>5676</v>
      </c>
      <c r="F1301" s="1763"/>
      <c r="G1301" s="1759"/>
      <c r="H1301" s="1802"/>
      <c r="I1301" s="1802">
        <f>I1300+I1300/F1300</f>
        <v>130100.5489183508</v>
      </c>
    </row>
    <row r="1302" spans="1:12" ht="15">
      <c r="B1302" s="1536"/>
      <c r="C1302" s="1537"/>
      <c r="D1302" s="1537"/>
      <c r="E1302" s="1803" t="s">
        <v>5677</v>
      </c>
      <c r="F1302" s="1763">
        <f>$K$5</f>
        <v>5.5E-2</v>
      </c>
      <c r="G1302" s="1746"/>
      <c r="H1302" s="1796"/>
      <c r="I1302" s="1796">
        <f>I1301*F1302</f>
        <v>7155.5301905092938</v>
      </c>
    </row>
    <row r="1303" spans="1:12" ht="15">
      <c r="B1303" s="1536"/>
      <c r="C1303" s="1537"/>
      <c r="D1303" s="1537"/>
      <c r="E1303" s="1803" t="s">
        <v>5678</v>
      </c>
      <c r="F1303" s="1763">
        <f>$L$5</f>
        <v>0.06</v>
      </c>
      <c r="G1303" s="1746"/>
      <c r="H1303" s="1796"/>
      <c r="I1303" s="1796">
        <f>SUM(I1301:I1302)*F1303</f>
        <v>8235.3647465316062</v>
      </c>
    </row>
    <row r="1304" spans="1:12" ht="14.25">
      <c r="B1304" s="1540"/>
      <c r="C1304" s="1541"/>
      <c r="D1304" s="1541"/>
      <c r="E1304" s="1801" t="s">
        <v>5679</v>
      </c>
      <c r="F1304" s="1791"/>
      <c r="G1304" s="1759"/>
      <c r="H1304" s="1802"/>
      <c r="I1304" s="1802">
        <f>SUM(I1301:I1303)</f>
        <v>145491.44385539173</v>
      </c>
    </row>
    <row r="1305" spans="1:12" ht="15">
      <c r="B1305" s="1536"/>
      <c r="C1305" s="1537"/>
      <c r="D1305" s="1537"/>
      <c r="E1305" s="1803" t="s">
        <v>5680</v>
      </c>
      <c r="F1305" s="1765">
        <f>$M$5</f>
        <v>0.1</v>
      </c>
      <c r="G1305" s="1746"/>
      <c r="H1305" s="1796"/>
      <c r="I1305" s="1796">
        <f>I1304*F1305</f>
        <v>14549.144385539174</v>
      </c>
    </row>
    <row r="1306" spans="1:12" ht="14.25">
      <c r="B1306" s="1540"/>
      <c r="C1306" s="1541"/>
      <c r="D1306" s="1541"/>
      <c r="E1306" s="1801" t="s">
        <v>5681</v>
      </c>
      <c r="F1306" s="1791"/>
      <c r="G1306" s="1759"/>
      <c r="H1306" s="1802"/>
      <c r="I1306" s="1802">
        <f>SUM(I1304:I1305)</f>
        <v>160040.5882409309</v>
      </c>
    </row>
    <row r="1307" spans="1:12" ht="12.75">
      <c r="B1307" s="1536"/>
      <c r="C1307" s="1537"/>
      <c r="D1307" s="1537"/>
      <c r="E1307" s="1464" t="s">
        <v>5682</v>
      </c>
      <c r="F1307" s="1535">
        <f>$N$5</f>
        <v>0.01</v>
      </c>
      <c r="G1307" s="1538"/>
      <c r="H1307" s="1539"/>
      <c r="I1307" s="1539">
        <f>I1306*F1307</f>
        <v>1600.405882409309</v>
      </c>
    </row>
    <row r="1308" spans="1:12" ht="14.25">
      <c r="B1308" s="2116"/>
      <c r="C1308" s="1544"/>
      <c r="D1308" s="2116"/>
      <c r="E1308" s="2117" t="s">
        <v>5683</v>
      </c>
      <c r="F1308" s="2115"/>
      <c r="G1308" s="2117"/>
      <c r="H1308" s="2118"/>
      <c r="I1308" s="2110">
        <f>ROUND(I1306+I1307,0)</f>
        <v>161641</v>
      </c>
    </row>
    <row r="1309" spans="1:12" ht="14.25">
      <c r="A1309" s="657">
        <v>1</v>
      </c>
      <c r="B1309" s="1546">
        <f>IF(A1309&lt;&gt;0,COUNTA(A$7:$A1309),"")</f>
        <v>70</v>
      </c>
      <c r="C1309" s="1547">
        <f>'8.Dgia'!C882</f>
        <v>1776</v>
      </c>
      <c r="D1309" s="1547" t="str">
        <f>'8.Dgia'!D882</f>
        <v>AI.64121</v>
      </c>
      <c r="E1309" s="1740" t="str">
        <f>'8.Dgia'!E882</f>
        <v>Lắp dựng ống thép tạo lỗ D84/89</v>
      </c>
      <c r="F1309" s="1789" t="str">
        <f>'8.Dgia'!G882</f>
        <v>m</v>
      </c>
      <c r="G1309" s="1742">
        <f>'8.Dgia'!H882</f>
        <v>0</v>
      </c>
      <c r="H1309" s="1795"/>
      <c r="I1309" s="1795"/>
      <c r="J1309" s="842">
        <f>+I1310</f>
        <v>98382.559099963997</v>
      </c>
      <c r="K1309" s="842">
        <f>+I1317</f>
        <v>57912.119999999995</v>
      </c>
      <c r="L1309" s="842">
        <f>+I1318</f>
        <v>2226.8748757500002</v>
      </c>
    </row>
    <row r="1310" spans="1:12" s="658" customFormat="1" ht="15">
      <c r="B1310" s="1536" t="str">
        <f>'8.Dgia'!B883</f>
        <v/>
      </c>
      <c r="C1310" s="1537">
        <f>'8.Dgia'!C883</f>
        <v>0</v>
      </c>
      <c r="D1310" s="1537">
        <f>'8.Dgia'!D883</f>
        <v>0</v>
      </c>
      <c r="E1310" s="1744" t="str">
        <f>'8.Dgia'!E883</f>
        <v xml:space="preserve">  A - Vật liệu</v>
      </c>
      <c r="F1310" s="1763">
        <f>'8.Dgia'!G883</f>
        <v>0</v>
      </c>
      <c r="G1310" s="1746">
        <f>'8.Dgia'!H883</f>
        <v>0</v>
      </c>
      <c r="H1310" s="1796"/>
      <c r="I1310" s="1797">
        <f>SUM(I1311:I1316)</f>
        <v>98382.559099963997</v>
      </c>
      <c r="J1310" s="850"/>
      <c r="K1310" s="850"/>
      <c r="L1310" s="850"/>
    </row>
    <row r="1311" spans="1:12" ht="15">
      <c r="B1311" s="1536" t="str">
        <f>'8.Dgia'!B884</f>
        <v/>
      </c>
      <c r="C1311" s="1537">
        <f>'8.Dgia'!C884</f>
        <v>0</v>
      </c>
      <c r="D1311" s="1537">
        <f>'8.Dgia'!D884</f>
        <v>0</v>
      </c>
      <c r="E1311" s="1749" t="str">
        <f>'8.Dgia'!E884</f>
        <v>Ống thép D84/89</v>
      </c>
      <c r="F1311" s="1763" t="str">
        <f>'8.Dgia'!G884</f>
        <v>m</v>
      </c>
      <c r="G1311" s="1746">
        <f>'8.Dgia'!H884</f>
        <v>1.02</v>
      </c>
      <c r="H1311" s="1796">
        <f>GVL!$I$148</f>
        <v>90000</v>
      </c>
      <c r="I1311" s="1796">
        <f>H1311*G1311</f>
        <v>91800</v>
      </c>
    </row>
    <row r="1312" spans="1:12" ht="15">
      <c r="B1312" s="1536" t="str">
        <f>'8.Dgia'!B885</f>
        <v/>
      </c>
      <c r="C1312" s="1537">
        <f>'8.Dgia'!C885</f>
        <v>0</v>
      </c>
      <c r="D1312" s="1537">
        <f>'8.Dgia'!D885</f>
        <v>0</v>
      </c>
      <c r="E1312" s="1749" t="str">
        <f>'8.Dgia'!E885</f>
        <v>Ống nối D84/89</v>
      </c>
      <c r="F1312" s="1763" t="str">
        <f>'8.Dgia'!G885</f>
        <v>m</v>
      </c>
      <c r="G1312" s="1746">
        <f>'8.Dgia'!H885</f>
        <v>0.06</v>
      </c>
      <c r="H1312" s="1796">
        <f>GVL!$I$143</f>
        <v>34000</v>
      </c>
      <c r="I1312" s="1796">
        <f>H1312*G1312</f>
        <v>2040</v>
      </c>
    </row>
    <row r="1313" spans="2:12" ht="15">
      <c r="B1313" s="1536" t="str">
        <f>'8.Dgia'!B886</f>
        <v/>
      </c>
      <c r="C1313" s="1537">
        <f>'8.Dgia'!C886</f>
        <v>0</v>
      </c>
      <c r="D1313" s="1537">
        <f>'8.Dgia'!D886</f>
        <v>0</v>
      </c>
      <c r="E1313" s="1749" t="str">
        <f>'8.Dgia'!E886</f>
        <v>Thép tròn D&lt;=10</v>
      </c>
      <c r="F1313" s="1763" t="str">
        <f>'8.Dgia'!G886</f>
        <v>kg</v>
      </c>
      <c r="G1313" s="1746">
        <f>'8.Dgia'!H886</f>
        <v>0.19</v>
      </c>
      <c r="H1313" s="1796">
        <f>GVL!$I$179</f>
        <v>16754.075560000001</v>
      </c>
      <c r="I1313" s="1796">
        <f>H1313*G1313</f>
        <v>3183.2743564000002</v>
      </c>
    </row>
    <row r="1314" spans="2:12" ht="15">
      <c r="B1314" s="1536" t="str">
        <f>'8.Dgia'!B887</f>
        <v/>
      </c>
      <c r="C1314" s="1537">
        <f>'8.Dgia'!C887</f>
        <v>0</v>
      </c>
      <c r="D1314" s="1537">
        <f>'8.Dgia'!D887</f>
        <v>0</v>
      </c>
      <c r="E1314" s="1749" t="str">
        <f>'8.Dgia'!E887</f>
        <v>Dây thép buộc</v>
      </c>
      <c r="F1314" s="1763" t="str">
        <f>'8.Dgia'!G887</f>
        <v>kg</v>
      </c>
      <c r="G1314" s="1746">
        <f>'8.Dgia'!H887</f>
        <v>1.4999999999999999E-2</v>
      </c>
      <c r="H1314" s="1796">
        <f>GVL!$I$89</f>
        <v>18180</v>
      </c>
      <c r="I1314" s="1796">
        <f>H1314*G1314</f>
        <v>272.7</v>
      </c>
    </row>
    <row r="1315" spans="2:12" ht="15">
      <c r="B1315" s="1536" t="str">
        <f>'8.Dgia'!B888</f>
        <v/>
      </c>
      <c r="C1315" s="1537">
        <f>'8.Dgia'!C888</f>
        <v>0</v>
      </c>
      <c r="D1315" s="1537">
        <f>'8.Dgia'!D888</f>
        <v>0</v>
      </c>
      <c r="E1315" s="1749" t="str">
        <f>'8.Dgia'!E888</f>
        <v xml:space="preserve">Lưỡi cưa cắt </v>
      </c>
      <c r="F1315" s="1763" t="s">
        <v>567</v>
      </c>
      <c r="G1315" s="1746">
        <f>'8.Dgia'!H888</f>
        <v>2.5000000000000001E-2</v>
      </c>
      <c r="H1315" s="1796">
        <f>GVL!$I$115</f>
        <v>4500</v>
      </c>
      <c r="I1315" s="1796">
        <f>H1315*G1315</f>
        <v>112.5</v>
      </c>
    </row>
    <row r="1316" spans="2:12" ht="15">
      <c r="B1316" s="1536" t="str">
        <f>'8.Dgia'!B889</f>
        <v/>
      </c>
      <c r="C1316" s="1537">
        <f>'8.Dgia'!C889</f>
        <v>0</v>
      </c>
      <c r="D1316" s="1537">
        <f>'8.Dgia'!D889</f>
        <v>0</v>
      </c>
      <c r="E1316" s="1749" t="str">
        <f>'8.Dgia'!E889</f>
        <v>Vật liệu khác</v>
      </c>
      <c r="F1316" s="1763" t="str">
        <f>'8.Dgia'!G889</f>
        <v>%</v>
      </c>
      <c r="G1316" s="1954">
        <f>'8.Dgia'!H889</f>
        <v>1</v>
      </c>
      <c r="H1316" s="1796">
        <f>SUM(I1311:I1315)</f>
        <v>97408.474356399995</v>
      </c>
      <c r="I1316" s="1796">
        <f>H1316*G1316%</f>
        <v>974.08474356399995</v>
      </c>
    </row>
    <row r="1317" spans="2:12" s="658" customFormat="1" ht="15">
      <c r="B1317" s="1536" t="str">
        <f>'8.Dgia'!B890</f>
        <v/>
      </c>
      <c r="C1317" s="1537">
        <f>'8.Dgia'!C890</f>
        <v>0</v>
      </c>
      <c r="D1317" s="1537">
        <f>'8.Dgia'!D890</f>
        <v>0</v>
      </c>
      <c r="E1317" s="1744" t="str">
        <f>'8.Dgia'!E890</f>
        <v xml:space="preserve">  B - Nhân công 4.5/7</v>
      </c>
      <c r="F1317" s="1745" t="s">
        <v>552</v>
      </c>
      <c r="G1317" s="1746">
        <f>'8.Dgia'!H890</f>
        <v>0.21</v>
      </c>
      <c r="H1317" s="1796">
        <f>'16.NC'!$H$20</f>
        <v>275772</v>
      </c>
      <c r="I1317" s="1798">
        <f>H1317*G1317</f>
        <v>57912.119999999995</v>
      </c>
      <c r="J1317" s="850"/>
      <c r="K1317" s="850"/>
      <c r="L1317" s="850"/>
    </row>
    <row r="1318" spans="2:12" s="658" customFormat="1" ht="15">
      <c r="B1318" s="1536" t="str">
        <f>'8.Dgia'!B891</f>
        <v/>
      </c>
      <c r="C1318" s="1537">
        <f>'8.Dgia'!C891</f>
        <v>0</v>
      </c>
      <c r="D1318" s="1537">
        <f>'8.Dgia'!D891</f>
        <v>0</v>
      </c>
      <c r="E1318" s="1744" t="str">
        <f>'8.Dgia'!E891</f>
        <v xml:space="preserve">  C - Máy thi công</v>
      </c>
      <c r="F1318" s="1763">
        <f>'8.Dgia'!G891</f>
        <v>0</v>
      </c>
      <c r="G1318" s="1746">
        <f>'8.Dgia'!H891</f>
        <v>0</v>
      </c>
      <c r="H1318" s="1796"/>
      <c r="I1318" s="1799">
        <f>SUM(I1319:I1320)</f>
        <v>2226.8748757500002</v>
      </c>
      <c r="J1318" s="850"/>
      <c r="K1318" s="850"/>
      <c r="L1318" s="850"/>
    </row>
    <row r="1319" spans="2:12" ht="15">
      <c r="B1319" s="1536" t="str">
        <f>'8.Dgia'!B892</f>
        <v/>
      </c>
      <c r="C1319" s="1537">
        <f>'8.Dgia'!C892</f>
        <v>0</v>
      </c>
      <c r="D1319" s="1537">
        <f>'8.Dgia'!D892</f>
        <v>0</v>
      </c>
      <c r="E1319" s="1749" t="str">
        <f>'8.Dgia'!E892</f>
        <v>Máy cưa kim loại 1.7kW</v>
      </c>
      <c r="F1319" s="1745" t="s">
        <v>5493</v>
      </c>
      <c r="G1319" s="1746">
        <f>'8.Dgia'!H892</f>
        <v>0.03</v>
      </c>
      <c r="H1319" s="1796">
        <f>'9.may'!$P$559</f>
        <v>70694.440500000012</v>
      </c>
      <c r="I1319" s="1796">
        <f>H1319*G1319</f>
        <v>2120.8332150000001</v>
      </c>
    </row>
    <row r="1320" spans="2:12" ht="15">
      <c r="B1320" s="1536" t="str">
        <f>'8.Dgia'!B893</f>
        <v/>
      </c>
      <c r="C1320" s="1537">
        <f>'8.Dgia'!C893</f>
        <v>0</v>
      </c>
      <c r="D1320" s="1537">
        <f>'8.Dgia'!D893</f>
        <v>0</v>
      </c>
      <c r="E1320" s="1749" t="str">
        <f>'8.Dgia'!E893</f>
        <v>Máy khác</v>
      </c>
      <c r="F1320" s="1763" t="str">
        <f>'8.Dgia'!G893</f>
        <v>%</v>
      </c>
      <c r="G1320" s="1954">
        <f>'8.Dgia'!H893</f>
        <v>5</v>
      </c>
      <c r="H1320" s="1796">
        <f>I1319</f>
        <v>2120.8332150000001</v>
      </c>
      <c r="I1320" s="1796">
        <f>H1320*G1320%</f>
        <v>106.04166075000001</v>
      </c>
    </row>
    <row r="1321" spans="2:12" s="658" customFormat="1" ht="15">
      <c r="B1321" s="1675"/>
      <c r="C1321" s="1676"/>
      <c r="D1321" s="1676"/>
      <c r="E1321" s="1800" t="s">
        <v>5675</v>
      </c>
      <c r="F1321" s="1763">
        <f>$J$5</f>
        <v>0.02</v>
      </c>
      <c r="G1321" s="1754"/>
      <c r="H1321" s="1799"/>
      <c r="I1321" s="1799">
        <f>( I1310+I1317+I1318 )*F1321</f>
        <v>3170.4310795142801</v>
      </c>
      <c r="J1321" s="850"/>
      <c r="K1321" s="850"/>
      <c r="L1321" s="850"/>
    </row>
    <row r="1322" spans="2:12" ht="15">
      <c r="B1322" s="1540"/>
      <c r="C1322" s="1541"/>
      <c r="D1322" s="1541"/>
      <c r="E1322" s="1801" t="s">
        <v>5676</v>
      </c>
      <c r="F1322" s="1763"/>
      <c r="G1322" s="1759"/>
      <c r="H1322" s="1802"/>
      <c r="I1322" s="1802">
        <f>I1321+I1321/F1321</f>
        <v>161691.98505522826</v>
      </c>
    </row>
    <row r="1323" spans="2:12" ht="15">
      <c r="B1323" s="1536"/>
      <c r="C1323" s="1537"/>
      <c r="D1323" s="1537"/>
      <c r="E1323" s="1803" t="s">
        <v>5677</v>
      </c>
      <c r="F1323" s="1763">
        <f>$K$5</f>
        <v>5.5E-2</v>
      </c>
      <c r="G1323" s="1746"/>
      <c r="H1323" s="1796"/>
      <c r="I1323" s="1796">
        <f>I1322*F1323</f>
        <v>8893.0591780375544</v>
      </c>
    </row>
    <row r="1324" spans="2:12" ht="15">
      <c r="B1324" s="1536"/>
      <c r="C1324" s="1537"/>
      <c r="D1324" s="1537"/>
      <c r="E1324" s="1803" t="s">
        <v>5678</v>
      </c>
      <c r="F1324" s="1763">
        <f>$L$5</f>
        <v>0.06</v>
      </c>
      <c r="G1324" s="1746"/>
      <c r="H1324" s="1796"/>
      <c r="I1324" s="1796">
        <f>SUM(I1322:I1323)*F1324</f>
        <v>10235.102653995948</v>
      </c>
    </row>
    <row r="1325" spans="2:12" ht="14.25">
      <c r="B1325" s="1540"/>
      <c r="C1325" s="1541"/>
      <c r="D1325" s="1541"/>
      <c r="E1325" s="1801" t="s">
        <v>5679</v>
      </c>
      <c r="F1325" s="1791"/>
      <c r="G1325" s="1759"/>
      <c r="H1325" s="1802"/>
      <c r="I1325" s="1802">
        <f>SUM(I1322:I1324)</f>
        <v>180820.14688726174</v>
      </c>
    </row>
    <row r="1326" spans="2:12" ht="15">
      <c r="B1326" s="1536"/>
      <c r="C1326" s="1537"/>
      <c r="D1326" s="1537"/>
      <c r="E1326" s="1803" t="s">
        <v>5680</v>
      </c>
      <c r="F1326" s="1765">
        <f>$M$5</f>
        <v>0.1</v>
      </c>
      <c r="G1326" s="1746"/>
      <c r="H1326" s="1796"/>
      <c r="I1326" s="1796">
        <f>I1325*F1326</f>
        <v>18082.014688726176</v>
      </c>
    </row>
    <row r="1327" spans="2:12" ht="14.25">
      <c r="B1327" s="1540"/>
      <c r="C1327" s="1541"/>
      <c r="D1327" s="1541"/>
      <c r="E1327" s="1801" t="s">
        <v>5681</v>
      </c>
      <c r="F1327" s="1791"/>
      <c r="G1327" s="1759"/>
      <c r="H1327" s="1802"/>
      <c r="I1327" s="1802">
        <f>SUM(I1325:I1326)</f>
        <v>198902.16157598791</v>
      </c>
    </row>
    <row r="1328" spans="2:12" ht="12.75">
      <c r="B1328" s="1536"/>
      <c r="C1328" s="1537"/>
      <c r="D1328" s="1537"/>
      <c r="E1328" s="1464" t="s">
        <v>5682</v>
      </c>
      <c r="F1328" s="1535">
        <f>$N$5</f>
        <v>0.01</v>
      </c>
      <c r="G1328" s="1538"/>
      <c r="H1328" s="1539"/>
      <c r="I1328" s="1539">
        <f>I1327*F1328</f>
        <v>1989.0216157598791</v>
      </c>
    </row>
    <row r="1329" spans="1:12" ht="14.25">
      <c r="B1329" s="2116"/>
      <c r="C1329" s="1544"/>
      <c r="D1329" s="2116"/>
      <c r="E1329" s="2117" t="s">
        <v>5683</v>
      </c>
      <c r="F1329" s="2115"/>
      <c r="G1329" s="2117"/>
      <c r="H1329" s="2118"/>
      <c r="I1329" s="2110">
        <f>ROUND(I1327+I1328,0)</f>
        <v>200891</v>
      </c>
    </row>
    <row r="1330" spans="1:12" ht="14.25">
      <c r="A1330" s="657">
        <v>1</v>
      </c>
      <c r="B1330" s="1546">
        <f>IF(A1330&lt;&gt;0,COUNTA(A$7:$A1330),"")</f>
        <v>71</v>
      </c>
      <c r="C1330" s="1547">
        <f>'8.Dgia'!C894</f>
        <v>1776</v>
      </c>
      <c r="D1330" s="1547" t="str">
        <f>'8.Dgia'!D894</f>
        <v>AI.64111</v>
      </c>
      <c r="E1330" s="1740" t="str">
        <f>'8.Dgia'!E894</f>
        <v>Lắp dựng ống thép tạo lỗ D75/80</v>
      </c>
      <c r="F1330" s="1789" t="str">
        <f>'8.Dgia'!G894</f>
        <v>m</v>
      </c>
      <c r="G1330" s="1742">
        <f>'8.Dgia'!H894</f>
        <v>0</v>
      </c>
      <c r="H1330" s="1795"/>
      <c r="I1330" s="1795"/>
      <c r="J1330" s="842">
        <f>+I1331</f>
        <v>89638.948699964007</v>
      </c>
      <c r="K1330" s="842">
        <f>+I1338</f>
        <v>52396.68</v>
      </c>
      <c r="L1330" s="842">
        <f>+I1339</f>
        <v>1855.7290631250005</v>
      </c>
    </row>
    <row r="1331" spans="1:12" s="658" customFormat="1" ht="15">
      <c r="B1331" s="1536" t="str">
        <f>'8.Dgia'!B895</f>
        <v/>
      </c>
      <c r="C1331" s="1537">
        <f>'8.Dgia'!C895</f>
        <v>0</v>
      </c>
      <c r="D1331" s="1537">
        <f>'8.Dgia'!D895</f>
        <v>0</v>
      </c>
      <c r="E1331" s="1744" t="str">
        <f>'8.Dgia'!E895</f>
        <v xml:space="preserve">  A - Vật liệu</v>
      </c>
      <c r="F1331" s="1763">
        <f>'8.Dgia'!G895</f>
        <v>0</v>
      </c>
      <c r="G1331" s="1746">
        <f>'8.Dgia'!H895</f>
        <v>0</v>
      </c>
      <c r="H1331" s="1796"/>
      <c r="I1331" s="1797">
        <f>SUM(I1332:I1337)</f>
        <v>89638.948699964007</v>
      </c>
      <c r="J1331" s="850"/>
      <c r="K1331" s="850"/>
      <c r="L1331" s="850"/>
    </row>
    <row r="1332" spans="1:12" ht="15">
      <c r="B1332" s="1536" t="str">
        <f>'8.Dgia'!B896</f>
        <v/>
      </c>
      <c r="C1332" s="1537">
        <f>'8.Dgia'!C896</f>
        <v>0</v>
      </c>
      <c r="D1332" s="1537">
        <f>'8.Dgia'!D896</f>
        <v>0</v>
      </c>
      <c r="E1332" s="1749" t="str">
        <f>'8.Dgia'!E896</f>
        <v>Ống thép D75/80</v>
      </c>
      <c r="F1332" s="1763" t="str">
        <f>'8.Dgia'!G896</f>
        <v>m</v>
      </c>
      <c r="G1332" s="1746">
        <f>'8.Dgia'!H896</f>
        <v>1.02</v>
      </c>
      <c r="H1332" s="1796">
        <f>GVL!$I$147</f>
        <v>82000</v>
      </c>
      <c r="I1332" s="1796">
        <f>H1332*G1332</f>
        <v>83640</v>
      </c>
    </row>
    <row r="1333" spans="1:12" ht="15">
      <c r="B1333" s="1536" t="str">
        <f>'8.Dgia'!B897</f>
        <v/>
      </c>
      <c r="C1333" s="1537">
        <f>'8.Dgia'!C897</f>
        <v>0</v>
      </c>
      <c r="D1333" s="1537">
        <f>'8.Dgia'!D897</f>
        <v>0</v>
      </c>
      <c r="E1333" s="1749" t="str">
        <f>'8.Dgia'!E897</f>
        <v>Ống nối D75/80</v>
      </c>
      <c r="F1333" s="1763" t="str">
        <f>'8.Dgia'!G897</f>
        <v>m</v>
      </c>
      <c r="G1333" s="1746">
        <f>'8.Dgia'!H897</f>
        <v>0.06</v>
      </c>
      <c r="H1333" s="1796">
        <f>GVL!$I$141</f>
        <v>27000</v>
      </c>
      <c r="I1333" s="1796">
        <f>H1333*G1333</f>
        <v>1620</v>
      </c>
    </row>
    <row r="1334" spans="1:12" ht="15">
      <c r="B1334" s="1536" t="str">
        <f>'8.Dgia'!B898</f>
        <v/>
      </c>
      <c r="C1334" s="1537">
        <f>'8.Dgia'!C898</f>
        <v>0</v>
      </c>
      <c r="D1334" s="1537">
        <f>'8.Dgia'!D898</f>
        <v>0</v>
      </c>
      <c r="E1334" s="1749" t="str">
        <f>'8.Dgia'!E898</f>
        <v>Thép tròn D&lt;=10</v>
      </c>
      <c r="F1334" s="1763" t="str">
        <f>'8.Dgia'!G898</f>
        <v>kg</v>
      </c>
      <c r="G1334" s="1746">
        <f>'8.Dgia'!H898</f>
        <v>0.19</v>
      </c>
      <c r="H1334" s="1796">
        <f>GVL!$I$179</f>
        <v>16754.075560000001</v>
      </c>
      <c r="I1334" s="1796">
        <f>H1334*G1334</f>
        <v>3183.2743564000002</v>
      </c>
    </row>
    <row r="1335" spans="1:12" ht="15">
      <c r="B1335" s="1536" t="str">
        <f>'8.Dgia'!B899</f>
        <v/>
      </c>
      <c r="C1335" s="1537">
        <f>'8.Dgia'!C899</f>
        <v>0</v>
      </c>
      <c r="D1335" s="1537">
        <f>'8.Dgia'!D899</f>
        <v>0</v>
      </c>
      <c r="E1335" s="1749" t="str">
        <f>'8.Dgia'!E899</f>
        <v>Dây thép buộc</v>
      </c>
      <c r="F1335" s="1763" t="str">
        <f>'8.Dgia'!G899</f>
        <v>kg</v>
      </c>
      <c r="G1335" s="1746">
        <f>'8.Dgia'!H899</f>
        <v>1.2E-2</v>
      </c>
      <c r="H1335" s="1796">
        <f>GVL!$I$89</f>
        <v>18180</v>
      </c>
      <c r="I1335" s="1796">
        <f>H1335*G1335</f>
        <v>218.16</v>
      </c>
    </row>
    <row r="1336" spans="1:12" ht="15">
      <c r="B1336" s="1536" t="str">
        <f>'8.Dgia'!B900</f>
        <v/>
      </c>
      <c r="C1336" s="1537">
        <f>'8.Dgia'!C900</f>
        <v>0</v>
      </c>
      <c r="D1336" s="1537">
        <f>'8.Dgia'!D900</f>
        <v>0</v>
      </c>
      <c r="E1336" s="1749" t="str">
        <f>'8.Dgia'!E900</f>
        <v xml:space="preserve">Lưỡi cưa cắt </v>
      </c>
      <c r="F1336" s="1763" t="s">
        <v>567</v>
      </c>
      <c r="G1336" s="1746">
        <f>'8.Dgia'!H900</f>
        <v>0.02</v>
      </c>
      <c r="H1336" s="1796">
        <f>GVL!$I$115</f>
        <v>4500</v>
      </c>
      <c r="I1336" s="1796">
        <f>H1336*G1336</f>
        <v>90</v>
      </c>
    </row>
    <row r="1337" spans="1:12" ht="15">
      <c r="B1337" s="1536" t="str">
        <f>'8.Dgia'!B901</f>
        <v/>
      </c>
      <c r="C1337" s="1537">
        <f>'8.Dgia'!C901</f>
        <v>0</v>
      </c>
      <c r="D1337" s="1537">
        <f>'8.Dgia'!D901</f>
        <v>0</v>
      </c>
      <c r="E1337" s="1749" t="str">
        <f>'8.Dgia'!E901</f>
        <v>Vật liệu khác</v>
      </c>
      <c r="F1337" s="1763" t="str">
        <f>'8.Dgia'!G901</f>
        <v>%</v>
      </c>
      <c r="G1337" s="1954">
        <f>'8.Dgia'!H901</f>
        <v>1</v>
      </c>
      <c r="H1337" s="1796">
        <f>SUM(I1332:I1336)</f>
        <v>88751.434356400001</v>
      </c>
      <c r="I1337" s="1796">
        <f>H1337*G1337%</f>
        <v>887.514343564</v>
      </c>
    </row>
    <row r="1338" spans="1:12" s="658" customFormat="1" ht="15">
      <c r="B1338" s="1536" t="str">
        <f>'8.Dgia'!B902</f>
        <v/>
      </c>
      <c r="C1338" s="1537">
        <f>'8.Dgia'!C902</f>
        <v>0</v>
      </c>
      <c r="D1338" s="1537">
        <f>'8.Dgia'!D902</f>
        <v>0</v>
      </c>
      <c r="E1338" s="1744" t="str">
        <f>'8.Dgia'!E902</f>
        <v xml:space="preserve">  B - Nhân công 4.5/7</v>
      </c>
      <c r="F1338" s="1745" t="s">
        <v>552</v>
      </c>
      <c r="G1338" s="1746">
        <f>'8.Dgia'!H902</f>
        <v>0.19</v>
      </c>
      <c r="H1338" s="1796">
        <f>'16.NC'!$H$20</f>
        <v>275772</v>
      </c>
      <c r="I1338" s="1798">
        <f>H1338*G1338</f>
        <v>52396.68</v>
      </c>
      <c r="J1338" s="850"/>
      <c r="K1338" s="850"/>
      <c r="L1338" s="850"/>
    </row>
    <row r="1339" spans="1:12" s="658" customFormat="1" ht="15">
      <c r="B1339" s="1536" t="str">
        <f>'8.Dgia'!B903</f>
        <v/>
      </c>
      <c r="C1339" s="1537">
        <f>'8.Dgia'!C903</f>
        <v>0</v>
      </c>
      <c r="D1339" s="1537">
        <f>'8.Dgia'!D903</f>
        <v>0</v>
      </c>
      <c r="E1339" s="1744" t="str">
        <f>'8.Dgia'!E903</f>
        <v xml:space="preserve">  C - Máy thi công</v>
      </c>
      <c r="F1339" s="1763">
        <f>'8.Dgia'!G903</f>
        <v>0</v>
      </c>
      <c r="G1339" s="1746">
        <f>'8.Dgia'!H903</f>
        <v>0</v>
      </c>
      <c r="H1339" s="1796"/>
      <c r="I1339" s="1799">
        <f>SUM(I1340:I1341)</f>
        <v>1855.7290631250005</v>
      </c>
      <c r="J1339" s="850"/>
      <c r="K1339" s="850"/>
      <c r="L1339" s="850"/>
    </row>
    <row r="1340" spans="1:12" ht="15">
      <c r="B1340" s="1536" t="str">
        <f>'8.Dgia'!B904</f>
        <v/>
      </c>
      <c r="C1340" s="1537">
        <f>'8.Dgia'!C904</f>
        <v>0</v>
      </c>
      <c r="D1340" s="1537">
        <f>'8.Dgia'!D904</f>
        <v>0</v>
      </c>
      <c r="E1340" s="1749" t="str">
        <f>'8.Dgia'!E904</f>
        <v>Máy cưa kim loại 1.7kW</v>
      </c>
      <c r="F1340" s="1745" t="s">
        <v>5493</v>
      </c>
      <c r="G1340" s="1746">
        <f>'8.Dgia'!H904</f>
        <v>2.5000000000000001E-2</v>
      </c>
      <c r="H1340" s="1796">
        <f>'9.may'!$P$559</f>
        <v>70694.440500000012</v>
      </c>
      <c r="I1340" s="1796">
        <f>H1340*G1340</f>
        <v>1767.3610125000005</v>
      </c>
    </row>
    <row r="1341" spans="1:12" ht="15">
      <c r="B1341" s="1536" t="str">
        <f>'8.Dgia'!B905</f>
        <v/>
      </c>
      <c r="C1341" s="1537">
        <f>'8.Dgia'!C905</f>
        <v>0</v>
      </c>
      <c r="D1341" s="1537">
        <f>'8.Dgia'!D905</f>
        <v>0</v>
      </c>
      <c r="E1341" s="1749" t="str">
        <f>'8.Dgia'!E905</f>
        <v>Máy khác</v>
      </c>
      <c r="F1341" s="1763" t="str">
        <f>'8.Dgia'!G905</f>
        <v>%</v>
      </c>
      <c r="G1341" s="1954">
        <f>'8.Dgia'!H905</f>
        <v>5</v>
      </c>
      <c r="H1341" s="1796">
        <f>I1340</f>
        <v>1767.3610125000005</v>
      </c>
      <c r="I1341" s="1796">
        <f>H1341*G1341%</f>
        <v>88.368050625000024</v>
      </c>
    </row>
    <row r="1342" spans="1:12" s="658" customFormat="1" ht="15">
      <c r="B1342" s="1675"/>
      <c r="C1342" s="1676"/>
      <c r="D1342" s="1676"/>
      <c r="E1342" s="1800" t="s">
        <v>5675</v>
      </c>
      <c r="F1342" s="1763">
        <f>$J$5</f>
        <v>0.02</v>
      </c>
      <c r="G1342" s="1754"/>
      <c r="H1342" s="1799"/>
      <c r="I1342" s="1799">
        <f>( I1331+I1338+I1339 )*F1342</f>
        <v>2877.8271552617803</v>
      </c>
      <c r="J1342" s="850"/>
      <c r="K1342" s="850"/>
      <c r="L1342" s="850"/>
    </row>
    <row r="1343" spans="1:12" ht="15">
      <c r="B1343" s="1540"/>
      <c r="C1343" s="1541"/>
      <c r="D1343" s="1541"/>
      <c r="E1343" s="1801" t="s">
        <v>5676</v>
      </c>
      <c r="F1343" s="1763"/>
      <c r="G1343" s="1759"/>
      <c r="H1343" s="1802"/>
      <c r="I1343" s="1802">
        <f>I1342+I1342/F1342</f>
        <v>146769.18491835077</v>
      </c>
    </row>
    <row r="1344" spans="1:12" ht="15">
      <c r="B1344" s="1536"/>
      <c r="C1344" s="1537"/>
      <c r="D1344" s="1537"/>
      <c r="E1344" s="1803" t="s">
        <v>5677</v>
      </c>
      <c r="F1344" s="1763">
        <f>$K$5</f>
        <v>5.5E-2</v>
      </c>
      <c r="G1344" s="1746"/>
      <c r="H1344" s="1796"/>
      <c r="I1344" s="1796">
        <f>I1343*F1344</f>
        <v>8072.3051705092921</v>
      </c>
    </row>
    <row r="1345" spans="1:12" ht="15">
      <c r="B1345" s="1536"/>
      <c r="C1345" s="1537"/>
      <c r="D1345" s="1537"/>
      <c r="E1345" s="1803" t="s">
        <v>5678</v>
      </c>
      <c r="F1345" s="1763">
        <f>$L$5</f>
        <v>0.06</v>
      </c>
      <c r="G1345" s="1746"/>
      <c r="H1345" s="1796"/>
      <c r="I1345" s="1796">
        <f>SUM(I1343:I1344)*F1345</f>
        <v>9290.4894053316038</v>
      </c>
    </row>
    <row r="1346" spans="1:12" ht="14.25">
      <c r="B1346" s="1540"/>
      <c r="C1346" s="1541"/>
      <c r="D1346" s="1541"/>
      <c r="E1346" s="1801" t="s">
        <v>5679</v>
      </c>
      <c r="F1346" s="1791"/>
      <c r="G1346" s="1759"/>
      <c r="H1346" s="1802"/>
      <c r="I1346" s="1802">
        <f>SUM(I1343:I1345)</f>
        <v>164131.97949419168</v>
      </c>
    </row>
    <row r="1347" spans="1:12" ht="15">
      <c r="B1347" s="1536"/>
      <c r="C1347" s="1537"/>
      <c r="D1347" s="1537"/>
      <c r="E1347" s="1803" t="s">
        <v>5680</v>
      </c>
      <c r="F1347" s="1765">
        <f>$M$5</f>
        <v>0.1</v>
      </c>
      <c r="G1347" s="1746"/>
      <c r="H1347" s="1796"/>
      <c r="I1347" s="1796">
        <f>I1346*F1347</f>
        <v>16413.197949419169</v>
      </c>
    </row>
    <row r="1348" spans="1:12" ht="14.25">
      <c r="B1348" s="1540"/>
      <c r="C1348" s="1541"/>
      <c r="D1348" s="1541"/>
      <c r="E1348" s="1801" t="s">
        <v>5681</v>
      </c>
      <c r="F1348" s="1791"/>
      <c r="G1348" s="1759"/>
      <c r="H1348" s="1802"/>
      <c r="I1348" s="1802">
        <f>SUM(I1346:I1347)</f>
        <v>180545.17744361085</v>
      </c>
    </row>
    <row r="1349" spans="1:12" ht="12.75">
      <c r="B1349" s="1536"/>
      <c r="C1349" s="1537"/>
      <c r="D1349" s="1537"/>
      <c r="E1349" s="1464" t="s">
        <v>5682</v>
      </c>
      <c r="F1349" s="1535">
        <f>$N$5</f>
        <v>0.01</v>
      </c>
      <c r="G1349" s="1538"/>
      <c r="H1349" s="1539"/>
      <c r="I1349" s="1539">
        <f>I1348*F1349</f>
        <v>1805.4517744361085</v>
      </c>
    </row>
    <row r="1350" spans="1:12" ht="14.25">
      <c r="B1350" s="2116"/>
      <c r="C1350" s="1544"/>
      <c r="D1350" s="2116"/>
      <c r="E1350" s="2117" t="s">
        <v>5683</v>
      </c>
      <c r="F1350" s="2115"/>
      <c r="G1350" s="2117"/>
      <c r="H1350" s="2118"/>
      <c r="I1350" s="2110">
        <f>ROUND(I1348+I1349,0)</f>
        <v>182351</v>
      </c>
    </row>
    <row r="1351" spans="1:12" ht="14.25">
      <c r="A1351" s="657">
        <v>1</v>
      </c>
      <c r="B1351" s="1546">
        <f>IF(A1351&lt;&gt;0,COUNTA(A$7:$A1351),"")</f>
        <v>72</v>
      </c>
      <c r="C1351" s="1547">
        <f>'8.Dgia'!C906</f>
        <v>1776</v>
      </c>
      <c r="D1351" s="1547" t="str">
        <f>'8.Dgia'!D906</f>
        <v>AA.22211</v>
      </c>
      <c r="E1351" s="1740" t="str">
        <f>'8.Dgia'!E906</f>
        <v>Đục bỏ bê tông gối tạm</v>
      </c>
      <c r="F1351" s="1789" t="str">
        <f>'8.Dgia'!G906</f>
        <v>m3</v>
      </c>
      <c r="G1351" s="1742">
        <f>'8.Dgia'!H906</f>
        <v>0</v>
      </c>
      <c r="H1351" s="1795"/>
      <c r="I1351" s="1795"/>
      <c r="J1351" s="842">
        <f>+I1352</f>
        <v>28636.363636363632</v>
      </c>
      <c r="K1351" s="842">
        <f>+I1354</f>
        <v>476348.32</v>
      </c>
      <c r="L1351" s="842">
        <f>+I1355</f>
        <v>113871.74527499999</v>
      </c>
    </row>
    <row r="1352" spans="1:12" s="658" customFormat="1" ht="15">
      <c r="B1352" s="1536" t="str">
        <f>'8.Dgia'!B907</f>
        <v/>
      </c>
      <c r="C1352" s="1537">
        <f>'8.Dgia'!C907</f>
        <v>0</v>
      </c>
      <c r="D1352" s="1537">
        <f>'8.Dgia'!D907</f>
        <v>0</v>
      </c>
      <c r="E1352" s="1744" t="str">
        <f>'8.Dgia'!E907</f>
        <v xml:space="preserve">  A - Vật liệu</v>
      </c>
      <c r="F1352" s="1763">
        <f>'8.Dgia'!G907</f>
        <v>0</v>
      </c>
      <c r="G1352" s="1746">
        <f>'8.Dgia'!H907</f>
        <v>0</v>
      </c>
      <c r="H1352" s="1796"/>
      <c r="I1352" s="1797">
        <f>SUM(I1353)</f>
        <v>28636.363636363632</v>
      </c>
      <c r="J1352" s="850"/>
      <c r="K1352" s="850"/>
      <c r="L1352" s="850"/>
    </row>
    <row r="1353" spans="1:12" ht="15">
      <c r="B1353" s="1536" t="str">
        <f>'8.Dgia'!B908</f>
        <v/>
      </c>
      <c r="C1353" s="1537">
        <f>'8.Dgia'!C908</f>
        <v>0</v>
      </c>
      <c r="D1353" s="1537">
        <f>'8.Dgia'!D908</f>
        <v>0</v>
      </c>
      <c r="E1353" s="1749" t="str">
        <f>'8.Dgia'!E908</f>
        <v>Que hàn</v>
      </c>
      <c r="F1353" s="1763" t="str">
        <f>'8.Dgia'!G908</f>
        <v>kg</v>
      </c>
      <c r="G1353" s="1954">
        <f>'8.Dgia'!H908</f>
        <v>1.5</v>
      </c>
      <c r="H1353" s="1796">
        <f>GVL!$I$153</f>
        <v>19090.909090909088</v>
      </c>
      <c r="I1353" s="1796">
        <f>H1353*G1353</f>
        <v>28636.363636363632</v>
      </c>
    </row>
    <row r="1354" spans="1:12" s="658" customFormat="1" ht="15">
      <c r="B1354" s="1536" t="str">
        <f>'8.Dgia'!B909</f>
        <v/>
      </c>
      <c r="C1354" s="1537">
        <f>'8.Dgia'!C909</f>
        <v>0</v>
      </c>
      <c r="D1354" s="1537">
        <f>'8.Dgia'!D909</f>
        <v>0</v>
      </c>
      <c r="E1354" s="1744" t="str">
        <f>'8.Dgia'!E909</f>
        <v xml:space="preserve">  B - Nhân công 3.5/7</v>
      </c>
      <c r="F1354" s="1745" t="s">
        <v>552</v>
      </c>
      <c r="G1354" s="1746">
        <f>'8.Dgia'!H909</f>
        <v>2.02</v>
      </c>
      <c r="H1354" s="1796">
        <f>'16.NC'!$H$16</f>
        <v>235816</v>
      </c>
      <c r="I1354" s="1798">
        <f>H1354*G1354</f>
        <v>476348.32</v>
      </c>
      <c r="J1354" s="850"/>
      <c r="K1354" s="850"/>
      <c r="L1354" s="850"/>
    </row>
    <row r="1355" spans="1:12" s="658" customFormat="1" ht="15">
      <c r="B1355" s="1536" t="str">
        <f>'8.Dgia'!B910</f>
        <v/>
      </c>
      <c r="C1355" s="1537">
        <f>'8.Dgia'!C910</f>
        <v>0</v>
      </c>
      <c r="D1355" s="1537">
        <f>'8.Dgia'!D910</f>
        <v>0</v>
      </c>
      <c r="E1355" s="1744" t="str">
        <f>'8.Dgia'!E910</f>
        <v xml:space="preserve">  C - Máy thi công</v>
      </c>
      <c r="F1355" s="1763">
        <f>'8.Dgia'!G910</f>
        <v>0</v>
      </c>
      <c r="G1355" s="1746">
        <f>'8.Dgia'!H910</f>
        <v>0</v>
      </c>
      <c r="H1355" s="1796"/>
      <c r="I1355" s="1799">
        <f>SUM(I1356:I1357)</f>
        <v>113871.74527499999</v>
      </c>
      <c r="J1355" s="850"/>
      <c r="K1355" s="850"/>
      <c r="L1355" s="850"/>
    </row>
    <row r="1356" spans="1:12" ht="15">
      <c r="B1356" s="1536" t="str">
        <f>'8.Dgia'!B911</f>
        <v/>
      </c>
      <c r="C1356" s="1537">
        <f>'8.Dgia'!C911</f>
        <v>0</v>
      </c>
      <c r="D1356" s="1537">
        <f>'8.Dgia'!D911</f>
        <v>0</v>
      </c>
      <c r="E1356" s="1749" t="s">
        <v>5890</v>
      </c>
      <c r="F1356" s="1745" t="s">
        <v>5493</v>
      </c>
      <c r="G1356" s="1954">
        <f>'8.Dgia'!H911</f>
        <v>1.05</v>
      </c>
      <c r="H1356" s="1796">
        <f>'9.may'!$P$539</f>
        <v>70849.94249999999</v>
      </c>
      <c r="I1356" s="1796">
        <f>H1356*G1356</f>
        <v>74392.439624999999</v>
      </c>
    </row>
    <row r="1357" spans="1:12" ht="15">
      <c r="B1357" s="1536" t="str">
        <f>'8.Dgia'!B912</f>
        <v/>
      </c>
      <c r="C1357" s="1537">
        <f>'8.Dgia'!C912</f>
        <v>0</v>
      </c>
      <c r="D1357" s="1537">
        <f>'8.Dgia'!D912</f>
        <v>0</v>
      </c>
      <c r="E1357" s="1749" t="str">
        <f>'8.Dgia'!E912</f>
        <v>Máy hàn 23kw</v>
      </c>
      <c r="F1357" s="1745" t="s">
        <v>5493</v>
      </c>
      <c r="G1357" s="1954">
        <f>'8.Dgia'!H912</f>
        <v>0.23</v>
      </c>
      <c r="H1357" s="1796">
        <f>'9.may'!$P$510</f>
        <v>171649.155</v>
      </c>
      <c r="I1357" s="1796">
        <f>H1357*G1357</f>
        <v>39479.305650000002</v>
      </c>
    </row>
    <row r="1358" spans="1:12" s="658" customFormat="1" ht="15">
      <c r="B1358" s="1675"/>
      <c r="C1358" s="1676"/>
      <c r="D1358" s="1676"/>
      <c r="E1358" s="1800" t="s">
        <v>5675</v>
      </c>
      <c r="F1358" s="1763">
        <f>$J$5</f>
        <v>0.02</v>
      </c>
      <c r="G1358" s="1754"/>
      <c r="H1358" s="1799"/>
      <c r="I1358" s="1799">
        <f>( I1352+I1354+I1355 )*F1358</f>
        <v>12377.128578227275</v>
      </c>
      <c r="J1358" s="850"/>
      <c r="K1358" s="850"/>
      <c r="L1358" s="850"/>
    </row>
    <row r="1359" spans="1:12" ht="15">
      <c r="B1359" s="1540"/>
      <c r="C1359" s="1541"/>
      <c r="D1359" s="1541"/>
      <c r="E1359" s="1801" t="s">
        <v>5676</v>
      </c>
      <c r="F1359" s="1763"/>
      <c r="G1359" s="1759"/>
      <c r="H1359" s="1802"/>
      <c r="I1359" s="1802">
        <f>I1358+I1358/F1358</f>
        <v>631233.55748959095</v>
      </c>
    </row>
    <row r="1360" spans="1:12" ht="15">
      <c r="B1360" s="1536"/>
      <c r="C1360" s="1537"/>
      <c r="D1360" s="1537"/>
      <c r="E1360" s="1803" t="s">
        <v>5677</v>
      </c>
      <c r="F1360" s="1763">
        <f>$K$5</f>
        <v>5.5E-2</v>
      </c>
      <c r="G1360" s="1746"/>
      <c r="H1360" s="1796"/>
      <c r="I1360" s="1796">
        <f>I1359*F1360</f>
        <v>34717.845661927502</v>
      </c>
    </row>
    <row r="1361" spans="1:12" ht="15">
      <c r="B1361" s="1536"/>
      <c r="C1361" s="1537"/>
      <c r="D1361" s="1537"/>
      <c r="E1361" s="1803" t="s">
        <v>5678</v>
      </c>
      <c r="F1361" s="1763">
        <f>$L$5</f>
        <v>0.06</v>
      </c>
      <c r="G1361" s="1746"/>
      <c r="H1361" s="1796"/>
      <c r="I1361" s="1796">
        <f>SUM(I1359:I1360)*F1361</f>
        <v>39957.084189091103</v>
      </c>
    </row>
    <row r="1362" spans="1:12" ht="14.25">
      <c r="B1362" s="1540"/>
      <c r="C1362" s="1541"/>
      <c r="D1362" s="1541"/>
      <c r="E1362" s="1801" t="s">
        <v>5679</v>
      </c>
      <c r="F1362" s="1791"/>
      <c r="G1362" s="1759"/>
      <c r="H1362" s="1802"/>
      <c r="I1362" s="1802">
        <f>SUM(I1359:I1361)</f>
        <v>705908.48734060954</v>
      </c>
    </row>
    <row r="1363" spans="1:12" ht="15">
      <c r="B1363" s="1536"/>
      <c r="C1363" s="1537"/>
      <c r="D1363" s="1537"/>
      <c r="E1363" s="1803" t="s">
        <v>5680</v>
      </c>
      <c r="F1363" s="1765">
        <f>$M$5</f>
        <v>0.1</v>
      </c>
      <c r="G1363" s="1746"/>
      <c r="H1363" s="1796"/>
      <c r="I1363" s="1796">
        <f>I1362*F1363</f>
        <v>70590.848734060957</v>
      </c>
    </row>
    <row r="1364" spans="1:12" ht="14.25">
      <c r="B1364" s="1540"/>
      <c r="C1364" s="1541"/>
      <c r="D1364" s="1541"/>
      <c r="E1364" s="1801" t="s">
        <v>5681</v>
      </c>
      <c r="F1364" s="1791"/>
      <c r="G1364" s="1759"/>
      <c r="H1364" s="1802"/>
      <c r="I1364" s="1802">
        <f>SUM(I1362:I1363)</f>
        <v>776499.33607467054</v>
      </c>
    </row>
    <row r="1365" spans="1:12" ht="12.75">
      <c r="B1365" s="1536"/>
      <c r="C1365" s="1537"/>
      <c r="D1365" s="1537"/>
      <c r="E1365" s="1464" t="s">
        <v>5682</v>
      </c>
      <c r="F1365" s="1535">
        <f>$N$5</f>
        <v>0.01</v>
      </c>
      <c r="G1365" s="1538"/>
      <c r="H1365" s="1539"/>
      <c r="I1365" s="1539">
        <f>I1364*F1365</f>
        <v>7764.9933607467055</v>
      </c>
    </row>
    <row r="1366" spans="1:12" ht="14.25">
      <c r="B1366" s="2116"/>
      <c r="C1366" s="1544"/>
      <c r="D1366" s="2116"/>
      <c r="E1366" s="2117" t="s">
        <v>5683</v>
      </c>
      <c r="F1366" s="2115"/>
      <c r="G1366" s="2117"/>
      <c r="H1366" s="2118"/>
      <c r="I1366" s="2110">
        <f>ROUND(I1364+I1365,0)</f>
        <v>784264</v>
      </c>
    </row>
    <row r="1367" spans="1:12" ht="28.5">
      <c r="A1367" s="657">
        <v>1</v>
      </c>
      <c r="B1367" s="1546">
        <f>IF(A1367&lt;&gt;0,COUNTA(A$7:$A1367),"")</f>
        <v>73</v>
      </c>
      <c r="C1367" s="1547">
        <f>'8.Dgia'!C1063</f>
        <v>1091</v>
      </c>
      <c r="D1367" s="1547" t="s">
        <v>2251</v>
      </c>
      <c r="E1367" s="1740" t="s">
        <v>5874</v>
      </c>
      <c r="F1367" s="1789" t="s">
        <v>740</v>
      </c>
      <c r="G1367" s="2095">
        <f>'8.Dgia'!H1063</f>
        <v>0.3</v>
      </c>
      <c r="H1367" s="1795"/>
      <c r="I1367" s="1795"/>
      <c r="K1367" s="842">
        <f>+I1368</f>
        <v>756166.82400000002</v>
      </c>
      <c r="L1367" s="842">
        <f>+I1369</f>
        <v>2595250.0183434547</v>
      </c>
    </row>
    <row r="1368" spans="1:12" ht="15">
      <c r="B1368" s="1536" t="str">
        <f>'8.Dgia'!B1064</f>
        <v/>
      </c>
      <c r="C1368" s="1537">
        <f>'8.Dgia'!C1064</f>
        <v>0</v>
      </c>
      <c r="D1368" s="1537">
        <f>'8.Dgia'!D1064</f>
        <v>0</v>
      </c>
      <c r="E1368" s="1744" t="str">
        <f>'8.Dgia'!E1064</f>
        <v xml:space="preserve">  B - Nhân công 4.5/7</v>
      </c>
      <c r="F1368" s="1745" t="s">
        <v>552</v>
      </c>
      <c r="G1368" s="1746">
        <f>'8.Dgia'!H1064</f>
        <v>2.742</v>
      </c>
      <c r="H1368" s="1796">
        <f>'16.NC'!$H$20</f>
        <v>275772</v>
      </c>
      <c r="I1368" s="1798">
        <f>H1368*G1368</f>
        <v>756166.82400000002</v>
      </c>
    </row>
    <row r="1369" spans="1:12" ht="15">
      <c r="B1369" s="1536" t="str">
        <f>'8.Dgia'!B1065</f>
        <v/>
      </c>
      <c r="C1369" s="1537">
        <f>'8.Dgia'!C1065</f>
        <v>0</v>
      </c>
      <c r="D1369" s="1537" t="s">
        <v>5869</v>
      </c>
      <c r="E1369" s="1744" t="str">
        <f>'8.Dgia'!E1065</f>
        <v xml:space="preserve">  C - Máy thi công</v>
      </c>
      <c r="F1369" s="1763">
        <f>'8.Dgia'!G1065</f>
        <v>0</v>
      </c>
      <c r="G1369" s="1746">
        <f>'8.Dgia'!H1065</f>
        <v>0</v>
      </c>
      <c r="H1369" s="1796"/>
      <c r="I1369" s="1799">
        <f>SUM(I1370:I1370)</f>
        <v>2595250.0183434547</v>
      </c>
    </row>
    <row r="1370" spans="1:12" ht="15">
      <c r="B1370" s="1536" t="str">
        <f>'8.Dgia'!B1066</f>
        <v/>
      </c>
      <c r="C1370" s="1537">
        <f>'8.Dgia'!C1066</f>
        <v>0</v>
      </c>
      <c r="D1370" s="1537">
        <f>'8.Dgia'!D1066</f>
        <v>0</v>
      </c>
      <c r="E1370" s="1749" t="str">
        <f>'8.Dgia'!E1066</f>
        <v>Cần cẩu bánh xích 80T</v>
      </c>
      <c r="F1370" s="1745" t="s">
        <v>5493</v>
      </c>
      <c r="G1370" s="1746">
        <f>'8.Dgia'!H1066</f>
        <v>0.3957</v>
      </c>
      <c r="H1370" s="1796">
        <f>'9.may'!$P$1027</f>
        <v>6558630.3218181822</v>
      </c>
      <c r="I1370" s="1796">
        <f>H1370*G1370</f>
        <v>2595250.0183434547</v>
      </c>
    </row>
    <row r="1371" spans="1:12" s="658" customFormat="1" ht="15">
      <c r="B1371" s="1675"/>
      <c r="C1371" s="1676"/>
      <c r="D1371" s="1676"/>
      <c r="E1371" s="1800" t="s">
        <v>5675</v>
      </c>
      <c r="F1371" s="1763">
        <f>$J$5</f>
        <v>0.02</v>
      </c>
      <c r="G1371" s="1754"/>
      <c r="H1371" s="1799"/>
      <c r="I1371" s="1799">
        <f>( I1368+I1369 )*F1371</f>
        <v>67028.33684686909</v>
      </c>
      <c r="J1371" s="850"/>
      <c r="K1371" s="850"/>
      <c r="L1371" s="850"/>
    </row>
    <row r="1372" spans="1:12" ht="15">
      <c r="B1372" s="1540"/>
      <c r="C1372" s="1541"/>
      <c r="D1372" s="1541"/>
      <c r="E1372" s="1801" t="s">
        <v>5676</v>
      </c>
      <c r="F1372" s="1763"/>
      <c r="G1372" s="1759"/>
      <c r="H1372" s="1802"/>
      <c r="I1372" s="1802">
        <f>I1371+I1371/F1371</f>
        <v>3418445.1791903232</v>
      </c>
    </row>
    <row r="1373" spans="1:12" ht="15">
      <c r="B1373" s="1536"/>
      <c r="C1373" s="1537"/>
      <c r="D1373" s="1537"/>
      <c r="E1373" s="1803" t="s">
        <v>5677</v>
      </c>
      <c r="F1373" s="1763">
        <f>$K$5</f>
        <v>5.5E-2</v>
      </c>
      <c r="G1373" s="1746"/>
      <c r="H1373" s="1796"/>
      <c r="I1373" s="1796">
        <f>I1372*F1373</f>
        <v>188014.48485546777</v>
      </c>
    </row>
    <row r="1374" spans="1:12" ht="15">
      <c r="B1374" s="1536"/>
      <c r="C1374" s="1537"/>
      <c r="D1374" s="1537"/>
      <c r="E1374" s="1803" t="s">
        <v>5678</v>
      </c>
      <c r="F1374" s="1763">
        <f>$L$5</f>
        <v>0.06</v>
      </c>
      <c r="G1374" s="1746"/>
      <c r="H1374" s="1796"/>
      <c r="I1374" s="1796">
        <f>SUM(I1372:I1373)*F1374</f>
        <v>216387.57984274745</v>
      </c>
    </row>
    <row r="1375" spans="1:12" ht="14.25">
      <c r="B1375" s="1540"/>
      <c r="C1375" s="1541"/>
      <c r="D1375" s="1541"/>
      <c r="E1375" s="1801" t="s">
        <v>5679</v>
      </c>
      <c r="F1375" s="1791"/>
      <c r="G1375" s="1759"/>
      <c r="H1375" s="1802"/>
      <c r="I1375" s="1802">
        <f>SUM(I1372:I1374)</f>
        <v>3822847.2438885388</v>
      </c>
    </row>
    <row r="1376" spans="1:12" ht="15">
      <c r="B1376" s="1536"/>
      <c r="C1376" s="1537"/>
      <c r="D1376" s="1537"/>
      <c r="E1376" s="1803" t="s">
        <v>5680</v>
      </c>
      <c r="F1376" s="1765">
        <f>$M$5</f>
        <v>0.1</v>
      </c>
      <c r="G1376" s="1746"/>
      <c r="H1376" s="1796"/>
      <c r="I1376" s="1796">
        <f>I1375*F1376</f>
        <v>382284.72438885388</v>
      </c>
    </row>
    <row r="1377" spans="1:12" ht="14.25">
      <c r="B1377" s="1540"/>
      <c r="C1377" s="1541"/>
      <c r="D1377" s="1541"/>
      <c r="E1377" s="1801" t="s">
        <v>5681</v>
      </c>
      <c r="F1377" s="1791"/>
      <c r="G1377" s="1759"/>
      <c r="H1377" s="1802"/>
      <c r="I1377" s="1802">
        <f>SUM(I1375:I1376)</f>
        <v>4205131.9682773929</v>
      </c>
    </row>
    <row r="1378" spans="1:12" ht="12.75">
      <c r="B1378" s="1536"/>
      <c r="C1378" s="1537"/>
      <c r="D1378" s="1537"/>
      <c r="E1378" s="1464" t="s">
        <v>5682</v>
      </c>
      <c r="F1378" s="1535">
        <f>$N$5</f>
        <v>0.01</v>
      </c>
      <c r="G1378" s="1538"/>
      <c r="H1378" s="1539"/>
      <c r="I1378" s="1539">
        <f>I1377*F1378</f>
        <v>42051.31968277393</v>
      </c>
    </row>
    <row r="1379" spans="1:12" ht="14.25">
      <c r="B1379" s="2116"/>
      <c r="C1379" s="1544"/>
      <c r="D1379" s="2116"/>
      <c r="E1379" s="2117" t="s">
        <v>5683</v>
      </c>
      <c r="F1379" s="2115"/>
      <c r="G1379" s="2117"/>
      <c r="H1379" s="2118"/>
      <c r="I1379" s="2110">
        <f>ROUND(I1377+I1378,0)</f>
        <v>4247183</v>
      </c>
    </row>
    <row r="1380" spans="1:12" ht="28.5">
      <c r="A1380" s="657">
        <v>1</v>
      </c>
      <c r="B1380" s="1546">
        <f>IF(A1380&lt;&gt;0,COUNTA(A$7:$A1380),"")</f>
        <v>74</v>
      </c>
      <c r="C1380" s="1547">
        <f>'8.Dgia'!C1067</f>
        <v>1091</v>
      </c>
      <c r="D1380" s="1547" t="s">
        <v>5883</v>
      </c>
      <c r="E1380" s="1740" t="s">
        <v>5882</v>
      </c>
      <c r="F1380" s="1789" t="s">
        <v>740</v>
      </c>
      <c r="G1380" s="1742">
        <f>'8.Dgia'!H1067</f>
        <v>0</v>
      </c>
      <c r="H1380" s="1795"/>
      <c r="I1380" s="1795"/>
      <c r="J1380" s="842">
        <f>+I1381</f>
        <v>362199.74080385448</v>
      </c>
      <c r="K1380" s="842">
        <f>+I1384</f>
        <v>3761530.08</v>
      </c>
      <c r="L1380" s="842">
        <f>+I1385</f>
        <v>8701182.9722740911</v>
      </c>
    </row>
    <row r="1381" spans="1:12" ht="15">
      <c r="B1381" s="1536" t="str">
        <f>'8.Dgia'!B1068</f>
        <v/>
      </c>
      <c r="C1381" s="1537">
        <f>'8.Dgia'!C1068</f>
        <v>0</v>
      </c>
      <c r="D1381" s="1537">
        <f>'8.Dgia'!D1068</f>
        <v>0</v>
      </c>
      <c r="E1381" s="1744" t="str">
        <f>'8.Dgia'!E1068</f>
        <v xml:space="preserve">  A - Vật liệu</v>
      </c>
      <c r="F1381" s="1763">
        <f>'8.Dgia'!G1068</f>
        <v>0</v>
      </c>
      <c r="G1381" s="1746">
        <f>'8.Dgia'!H1068</f>
        <v>0</v>
      </c>
      <c r="H1381" s="1796"/>
      <c r="I1381" s="1797">
        <f>SUM(I1382:I1383)</f>
        <v>362199.74080385448</v>
      </c>
    </row>
    <row r="1382" spans="1:12" ht="15">
      <c r="B1382" s="1536" t="str">
        <f>'8.Dgia'!B1069</f>
        <v/>
      </c>
      <c r="C1382" s="1537">
        <f>'8.Dgia'!C1069</f>
        <v>0</v>
      </c>
      <c r="D1382" s="1537" t="s">
        <v>5869</v>
      </c>
      <c r="E1382" s="1749" t="s">
        <v>562</v>
      </c>
      <c r="F1382" s="1763" t="s">
        <v>558</v>
      </c>
      <c r="G1382" s="1954">
        <v>26.8</v>
      </c>
      <c r="H1382" s="1796">
        <f>GVL!$I$175</f>
        <v>12871.348287272725</v>
      </c>
      <c r="I1382" s="1796">
        <f>H1382*G1382</f>
        <v>344952.13409890904</v>
      </c>
    </row>
    <row r="1383" spans="1:12" ht="15">
      <c r="B1383" s="1536" t="str">
        <f>'8.Dgia'!B1070</f>
        <v/>
      </c>
      <c r="C1383" s="1537">
        <f>'8.Dgia'!C1070</f>
        <v>0</v>
      </c>
      <c r="D1383" s="1537">
        <f>'8.Dgia'!D1070</f>
        <v>0</v>
      </c>
      <c r="E1383" s="1749" t="str">
        <f>'8.Dgia'!E1070</f>
        <v>Vật liệu khác</v>
      </c>
      <c r="F1383" s="1763" t="str">
        <f>'8.Dgia'!G1070</f>
        <v>%</v>
      </c>
      <c r="G1383" s="1954">
        <v>5</v>
      </c>
      <c r="H1383" s="1796">
        <f>+I1382</f>
        <v>344952.13409890904</v>
      </c>
      <c r="I1383" s="1796">
        <f>H1383*G1383%</f>
        <v>17247.606704945454</v>
      </c>
    </row>
    <row r="1384" spans="1:12" ht="15">
      <c r="B1384" s="1536" t="str">
        <f>'8.Dgia'!B1071</f>
        <v/>
      </c>
      <c r="C1384" s="1537">
        <f>'8.Dgia'!C1071</f>
        <v>0</v>
      </c>
      <c r="D1384" s="1537">
        <f>'8.Dgia'!D1071</f>
        <v>0</v>
      </c>
      <c r="E1384" s="1744" t="str">
        <f>'8.Dgia'!E1071</f>
        <v xml:space="preserve">  B - Nhân công 4.5/7</v>
      </c>
      <c r="F1384" s="1745" t="s">
        <v>552</v>
      </c>
      <c r="G1384" s="1954">
        <v>13.64</v>
      </c>
      <c r="H1384" s="1796">
        <f>'16.NC'!$H$20</f>
        <v>275772</v>
      </c>
      <c r="I1384" s="1798">
        <f>H1384*G1384</f>
        <v>3761530.08</v>
      </c>
    </row>
    <row r="1385" spans="1:12" ht="15">
      <c r="B1385" s="1536" t="str">
        <f>'8.Dgia'!B1072</f>
        <v/>
      </c>
      <c r="C1385" s="1537">
        <f>'8.Dgia'!C1072</f>
        <v>0</v>
      </c>
      <c r="D1385" s="1537">
        <f>'8.Dgia'!D1072</f>
        <v>0</v>
      </c>
      <c r="E1385" s="1744" t="str">
        <f>'8.Dgia'!E1072</f>
        <v xml:space="preserve">  C - Máy thi công</v>
      </c>
      <c r="F1385" s="1763">
        <f>'8.Dgia'!G1072</f>
        <v>0</v>
      </c>
      <c r="G1385" s="1746">
        <f>'8.Dgia'!H1072</f>
        <v>0</v>
      </c>
      <c r="H1385" s="1796"/>
      <c r="I1385" s="1799">
        <f>SUM(I1386:I1388)</f>
        <v>8701182.9722740911</v>
      </c>
    </row>
    <row r="1386" spans="1:12" ht="15">
      <c r="B1386" s="1536" t="str">
        <f>'8.Dgia'!B1073</f>
        <v/>
      </c>
      <c r="C1386" s="1537">
        <f>'8.Dgia'!C1073</f>
        <v>0</v>
      </c>
      <c r="D1386" s="1537">
        <f>'8.Dgia'!D1073</f>
        <v>0</v>
      </c>
      <c r="E1386" s="1749" t="s">
        <v>5884</v>
      </c>
      <c r="F1386" s="1745" t="s">
        <v>5493</v>
      </c>
      <c r="G1386" s="1746">
        <v>1.6950000000000001</v>
      </c>
      <c r="H1386" s="1796">
        <f>'9.may'!$P$252</f>
        <v>4640265.8931818185</v>
      </c>
      <c r="I1386" s="1796">
        <f>H1386*G1386</f>
        <v>7865250.688943183</v>
      </c>
    </row>
    <row r="1387" spans="1:12" ht="15">
      <c r="B1387" s="1536" t="str">
        <f>'8.Dgia'!B1074</f>
        <v/>
      </c>
      <c r="C1387" s="1537">
        <f>'8.Dgia'!C1074</f>
        <v>0</v>
      </c>
      <c r="D1387" s="1537">
        <f>'8.Dgia'!D1074</f>
        <v>0</v>
      </c>
      <c r="E1387" s="1749" t="s">
        <v>5885</v>
      </c>
      <c r="F1387" s="1745" t="s">
        <v>5493</v>
      </c>
      <c r="G1387" s="1746">
        <v>0.32800000000000001</v>
      </c>
      <c r="H1387" s="1796">
        <f>'9.may'!$P$165</f>
        <v>2241005.7845454542</v>
      </c>
      <c r="I1387" s="1796">
        <f>H1387*G1387</f>
        <v>735049.89733090904</v>
      </c>
    </row>
    <row r="1388" spans="1:12" ht="15">
      <c r="B1388" s="1536"/>
      <c r="C1388" s="1537"/>
      <c r="D1388" s="1537"/>
      <c r="E1388" s="1749" t="s">
        <v>5888</v>
      </c>
      <c r="F1388" s="1745" t="s">
        <v>5493</v>
      </c>
      <c r="G1388" s="1746">
        <v>0.32800000000000001</v>
      </c>
      <c r="H1388" s="1796">
        <f>'9.may'!$P$191</f>
        <v>307568.25</v>
      </c>
      <c r="I1388" s="1796">
        <f>H1388*G1388</f>
        <v>100882.386</v>
      </c>
    </row>
    <row r="1389" spans="1:12" s="658" customFormat="1" ht="15">
      <c r="B1389" s="1675"/>
      <c r="C1389" s="1676"/>
      <c r="D1389" s="1676"/>
      <c r="E1389" s="1800" t="s">
        <v>5675</v>
      </c>
      <c r="F1389" s="1763">
        <f>$J$5</f>
        <v>0.02</v>
      </c>
      <c r="G1389" s="1754"/>
      <c r="H1389" s="1799"/>
      <c r="I1389" s="1799">
        <f>( I1381+I1384+I1385 )*F1389</f>
        <v>256498.25586155892</v>
      </c>
      <c r="J1389" s="850"/>
      <c r="K1389" s="850"/>
      <c r="L1389" s="850"/>
    </row>
    <row r="1390" spans="1:12" ht="15">
      <c r="B1390" s="1540"/>
      <c r="C1390" s="1541"/>
      <c r="D1390" s="1541"/>
      <c r="E1390" s="1801" t="s">
        <v>5676</v>
      </c>
      <c r="F1390" s="1763"/>
      <c r="G1390" s="1759"/>
      <c r="H1390" s="1802"/>
      <c r="I1390" s="1802">
        <f>I1389+I1389/F1389</f>
        <v>13081411.048939504</v>
      </c>
    </row>
    <row r="1391" spans="1:12" ht="15">
      <c r="B1391" s="1536"/>
      <c r="C1391" s="1537"/>
      <c r="D1391" s="1537"/>
      <c r="E1391" s="1803" t="s">
        <v>5677</v>
      </c>
      <c r="F1391" s="1763">
        <f>$K$5</f>
        <v>5.5E-2</v>
      </c>
      <c r="G1391" s="1746"/>
      <c r="H1391" s="1796"/>
      <c r="I1391" s="1796">
        <f>I1390*F1391</f>
        <v>719477.60769167275</v>
      </c>
    </row>
    <row r="1392" spans="1:12" ht="15">
      <c r="B1392" s="1536"/>
      <c r="C1392" s="1537"/>
      <c r="D1392" s="1537"/>
      <c r="E1392" s="1803" t="s">
        <v>5678</v>
      </c>
      <c r="F1392" s="1763">
        <f>$L$5</f>
        <v>0.06</v>
      </c>
      <c r="G1392" s="1746"/>
      <c r="H1392" s="1796"/>
      <c r="I1392" s="1796">
        <f>SUM(I1390:I1391)*F1392</f>
        <v>828053.31939787057</v>
      </c>
    </row>
    <row r="1393" spans="1:12" ht="14.25">
      <c r="B1393" s="1540"/>
      <c r="C1393" s="1541"/>
      <c r="D1393" s="1541"/>
      <c r="E1393" s="1801" t="s">
        <v>5679</v>
      </c>
      <c r="F1393" s="1791"/>
      <c r="G1393" s="1759"/>
      <c r="H1393" s="1802"/>
      <c r="I1393" s="1802">
        <f>SUM(I1390:I1392)</f>
        <v>14628941.976029048</v>
      </c>
    </row>
    <row r="1394" spans="1:12" ht="15">
      <c r="B1394" s="1536"/>
      <c r="C1394" s="1537"/>
      <c r="D1394" s="1537"/>
      <c r="E1394" s="1803" t="s">
        <v>5680</v>
      </c>
      <c r="F1394" s="1765">
        <f>$M$5</f>
        <v>0.1</v>
      </c>
      <c r="G1394" s="1746"/>
      <c r="H1394" s="1796"/>
      <c r="I1394" s="1796">
        <f>I1393*F1394</f>
        <v>1462894.1976029049</v>
      </c>
    </row>
    <row r="1395" spans="1:12" ht="14.25">
      <c r="B1395" s="1540"/>
      <c r="C1395" s="1541"/>
      <c r="D1395" s="1541"/>
      <c r="E1395" s="1801" t="s">
        <v>5681</v>
      </c>
      <c r="F1395" s="1791"/>
      <c r="G1395" s="1759"/>
      <c r="H1395" s="1802"/>
      <c r="I1395" s="1802">
        <f>SUM(I1393:I1394)</f>
        <v>16091836.173631953</v>
      </c>
    </row>
    <row r="1396" spans="1:12" ht="12.75">
      <c r="B1396" s="1536"/>
      <c r="C1396" s="1537"/>
      <c r="D1396" s="1537"/>
      <c r="E1396" s="1464" t="s">
        <v>5682</v>
      </c>
      <c r="F1396" s="1535">
        <f>$N$5</f>
        <v>0.01</v>
      </c>
      <c r="G1396" s="1538"/>
      <c r="H1396" s="1539"/>
      <c r="I1396" s="1539">
        <f>I1395*F1396</f>
        <v>160918.36173631952</v>
      </c>
    </row>
    <row r="1397" spans="1:12" ht="14.25">
      <c r="B1397" s="2116"/>
      <c r="C1397" s="1544"/>
      <c r="D1397" s="2116"/>
      <c r="E1397" s="2117" t="s">
        <v>5683</v>
      </c>
      <c r="F1397" s="2115"/>
      <c r="G1397" s="2117"/>
      <c r="H1397" s="2118"/>
      <c r="I1397" s="2110">
        <f>ROUND(I1395+I1396,0)</f>
        <v>16252755</v>
      </c>
    </row>
    <row r="1398" spans="1:12" ht="14.25">
      <c r="A1398" s="657">
        <v>1</v>
      </c>
      <c r="B1398" s="1546">
        <f>IF(A1398&lt;&gt;0,COUNTA(A$7:$A1398),"")</f>
        <v>75</v>
      </c>
      <c r="C1398" s="1547">
        <f>'8.Dgia'!C1076</f>
        <v>1776</v>
      </c>
      <c r="D1398" s="1547" t="str">
        <f>'8.Dgia'!D1076</f>
        <v>AL.25112</v>
      </c>
      <c r="E1398" s="1740" t="str">
        <f>'8.Dgia'!E1076</f>
        <v>Lắp đặt gối cao su dầm Super-T</v>
      </c>
      <c r="F1398" s="1789" t="s">
        <v>307</v>
      </c>
      <c r="G1398" s="1742">
        <f>'8.Dgia'!H1076</f>
        <v>0</v>
      </c>
      <c r="H1398" s="1795"/>
      <c r="I1398" s="1795"/>
      <c r="J1398" s="842">
        <f>+I1399</f>
        <v>7575000</v>
      </c>
      <c r="K1398" s="842">
        <f>+I1402</f>
        <v>898884</v>
      </c>
    </row>
    <row r="1399" spans="1:12" s="658" customFormat="1" ht="15">
      <c r="B1399" s="1536" t="str">
        <f>'8.Dgia'!B1077</f>
        <v/>
      </c>
      <c r="C1399" s="1537">
        <f>'8.Dgia'!C1077</f>
        <v>0</v>
      </c>
      <c r="D1399" s="1537">
        <f>'8.Dgia'!D1077</f>
        <v>0</v>
      </c>
      <c r="E1399" s="1744" t="str">
        <f>'8.Dgia'!E1077</f>
        <v xml:space="preserve">  A - Vật liệu</v>
      </c>
      <c r="F1399" s="1763">
        <f>'8.Dgia'!G1077</f>
        <v>0</v>
      </c>
      <c r="G1399" s="1746">
        <f>'8.Dgia'!H1077</f>
        <v>0</v>
      </c>
      <c r="H1399" s="1796"/>
      <c r="I1399" s="1797">
        <f>SUM(I1400:I1401)</f>
        <v>7575000</v>
      </c>
      <c r="J1399" s="850"/>
      <c r="K1399" s="850"/>
      <c r="L1399" s="850"/>
    </row>
    <row r="1400" spans="1:12" ht="15">
      <c r="B1400" s="1536" t="str">
        <f>'8.Dgia'!B1078</f>
        <v/>
      </c>
      <c r="C1400" s="1537">
        <f>'8.Dgia'!C1078</f>
        <v>0</v>
      </c>
      <c r="D1400" s="1537">
        <f>'8.Dgia'!D1078</f>
        <v>0</v>
      </c>
      <c r="E1400" s="1749" t="str">
        <f>'8.Dgia'!E1078</f>
        <v>Gối cao su dầm 350x450x84mm</v>
      </c>
      <c r="F1400" s="1763" t="s">
        <v>307</v>
      </c>
      <c r="G1400" s="1954">
        <f>'8.Dgia'!H1078</f>
        <v>1</v>
      </c>
      <c r="H1400" s="1796">
        <f>GVL!$I$98</f>
        <v>7500000</v>
      </c>
      <c r="I1400" s="1796">
        <f>H1400*G1400</f>
        <v>7500000</v>
      </c>
    </row>
    <row r="1401" spans="1:12" ht="15">
      <c r="B1401" s="1536" t="str">
        <f>'8.Dgia'!B1079</f>
        <v/>
      </c>
      <c r="C1401" s="1537">
        <f>'8.Dgia'!C1079</f>
        <v>0</v>
      </c>
      <c r="D1401" s="1537">
        <f>'8.Dgia'!D1079</f>
        <v>0</v>
      </c>
      <c r="E1401" s="1749" t="str">
        <f>'8.Dgia'!E1079</f>
        <v>Vật liệu khác</v>
      </c>
      <c r="F1401" s="1763" t="str">
        <f>'8.Dgia'!G1079</f>
        <v>%</v>
      </c>
      <c r="G1401" s="1954">
        <f>'8.Dgia'!H1079</f>
        <v>1</v>
      </c>
      <c r="H1401" s="1796">
        <f>H1400</f>
        <v>7500000</v>
      </c>
      <c r="I1401" s="1796">
        <f>H1401*G1401%</f>
        <v>75000</v>
      </c>
    </row>
    <row r="1402" spans="1:12" s="658" customFormat="1" ht="15">
      <c r="B1402" s="1536" t="str">
        <f>'8.Dgia'!B1080</f>
        <v/>
      </c>
      <c r="C1402" s="1537">
        <f>'8.Dgia'!C1080</f>
        <v>0</v>
      </c>
      <c r="D1402" s="1537">
        <f>'8.Dgia'!D1080</f>
        <v>0</v>
      </c>
      <c r="E1402" s="1744" t="str">
        <f>'8.Dgia'!E1080</f>
        <v xml:space="preserve">  B - Nhân công 4.0/7</v>
      </c>
      <c r="F1402" s="1745" t="s">
        <v>552</v>
      </c>
      <c r="G1402" s="1954">
        <f>'8.Dgia'!H1080</f>
        <v>3.5</v>
      </c>
      <c r="H1402" s="1796">
        <f>'16.NC'!$H$18</f>
        <v>256824</v>
      </c>
      <c r="I1402" s="1798">
        <f>H1402*G1402</f>
        <v>898884</v>
      </c>
      <c r="J1402" s="850"/>
      <c r="K1402" s="850"/>
      <c r="L1402" s="850"/>
    </row>
    <row r="1403" spans="1:12" s="658" customFormat="1" ht="15">
      <c r="B1403" s="1675"/>
      <c r="C1403" s="1676"/>
      <c r="D1403" s="1676"/>
      <c r="E1403" s="1800" t="s">
        <v>5675</v>
      </c>
      <c r="F1403" s="1763">
        <f>$J$5</f>
        <v>0.02</v>
      </c>
      <c r="G1403" s="1754"/>
      <c r="H1403" s="1799"/>
      <c r="I1403" s="1799">
        <f>( I1399+I1402 )*F1403</f>
        <v>169477.68</v>
      </c>
      <c r="J1403" s="850"/>
      <c r="K1403" s="850"/>
      <c r="L1403" s="850"/>
    </row>
    <row r="1404" spans="1:12" ht="15">
      <c r="B1404" s="1540"/>
      <c r="C1404" s="1541"/>
      <c r="D1404" s="1541"/>
      <c r="E1404" s="1801" t="s">
        <v>5676</v>
      </c>
      <c r="F1404" s="1763"/>
      <c r="G1404" s="1759"/>
      <c r="H1404" s="1802"/>
      <c r="I1404" s="1802">
        <f>I1403+I1403/F1403</f>
        <v>8643361.6799999997</v>
      </c>
    </row>
    <row r="1405" spans="1:12" ht="15">
      <c r="B1405" s="1536"/>
      <c r="C1405" s="1537"/>
      <c r="D1405" s="1537"/>
      <c r="E1405" s="1803" t="s">
        <v>5677</v>
      </c>
      <c r="F1405" s="1763">
        <f>$K$5</f>
        <v>5.5E-2</v>
      </c>
      <c r="G1405" s="1746"/>
      <c r="H1405" s="1796"/>
      <c r="I1405" s="1796">
        <f>I1404*F1405</f>
        <v>475384.89240000001</v>
      </c>
    </row>
    <row r="1406" spans="1:12" ht="15">
      <c r="B1406" s="1536"/>
      <c r="C1406" s="1537"/>
      <c r="D1406" s="1537"/>
      <c r="E1406" s="1803" t="s">
        <v>5678</v>
      </c>
      <c r="F1406" s="1763">
        <f>$L$5</f>
        <v>0.06</v>
      </c>
      <c r="G1406" s="1746"/>
      <c r="H1406" s="1796"/>
      <c r="I1406" s="1796">
        <f>SUM(I1404:I1405)*F1406</f>
        <v>547124.79434399994</v>
      </c>
    </row>
    <row r="1407" spans="1:12" ht="14.25">
      <c r="B1407" s="1540"/>
      <c r="C1407" s="1541"/>
      <c r="D1407" s="1541"/>
      <c r="E1407" s="1801" t="s">
        <v>5679</v>
      </c>
      <c r="F1407" s="1791"/>
      <c r="G1407" s="1759"/>
      <c r="H1407" s="1802"/>
      <c r="I1407" s="1802">
        <f>SUM(I1404:I1406)</f>
        <v>9665871.3667440005</v>
      </c>
    </row>
    <row r="1408" spans="1:12" ht="15">
      <c r="B1408" s="1536"/>
      <c r="C1408" s="1537"/>
      <c r="D1408" s="1537"/>
      <c r="E1408" s="1803" t="s">
        <v>5680</v>
      </c>
      <c r="F1408" s="1765">
        <f>$M$5</f>
        <v>0.1</v>
      </c>
      <c r="G1408" s="1746"/>
      <c r="H1408" s="1796"/>
      <c r="I1408" s="1796">
        <f>I1407*F1408</f>
        <v>966587.13667440007</v>
      </c>
    </row>
    <row r="1409" spans="1:12" ht="14.25">
      <c r="B1409" s="1540"/>
      <c r="C1409" s="1541"/>
      <c r="D1409" s="1541"/>
      <c r="E1409" s="1801" t="s">
        <v>5681</v>
      </c>
      <c r="F1409" s="1791"/>
      <c r="G1409" s="1759"/>
      <c r="H1409" s="1802"/>
      <c r="I1409" s="1802">
        <f>SUM(I1407:I1408)</f>
        <v>10632458.503418401</v>
      </c>
    </row>
    <row r="1410" spans="1:12" ht="12.75">
      <c r="B1410" s="1536"/>
      <c r="C1410" s="1537"/>
      <c r="D1410" s="1537"/>
      <c r="E1410" s="1464" t="s">
        <v>5682</v>
      </c>
      <c r="F1410" s="1535">
        <f>$N$5</f>
        <v>0.01</v>
      </c>
      <c r="G1410" s="1538"/>
      <c r="H1410" s="1539"/>
      <c r="I1410" s="1539">
        <f>I1409*F1410</f>
        <v>106324.58503418401</v>
      </c>
    </row>
    <row r="1411" spans="1:12" ht="14.25">
      <c r="B1411" s="2116"/>
      <c r="C1411" s="1544"/>
      <c r="D1411" s="2116"/>
      <c r="E1411" s="2117" t="s">
        <v>5683</v>
      </c>
      <c r="F1411" s="2115"/>
      <c r="G1411" s="2117"/>
      <c r="H1411" s="2118"/>
      <c r="I1411" s="2110">
        <f>ROUND(I1409+I1410,0)</f>
        <v>10738783</v>
      </c>
    </row>
    <row r="1412" spans="1:12" ht="14.25">
      <c r="A1412" s="657">
        <v>1</v>
      </c>
      <c r="B1412" s="1546">
        <f>IF(A1412&lt;&gt;0,COUNTA(A$7:$A1412),"")</f>
        <v>76</v>
      </c>
      <c r="C1412" s="1547">
        <f>'8.Dgia'!C1081</f>
        <v>1776</v>
      </c>
      <c r="D1412" s="1547" t="str">
        <f>'8.Dgia'!D1081</f>
        <v>AF.32310</v>
      </c>
      <c r="E1412" s="1740" t="str">
        <f>'8.Dgia'!E1081</f>
        <v>Bê tông C35 (dầm, bản mặt cầu …)</v>
      </c>
      <c r="F1412" s="1789" t="str">
        <f>'8.Dgia'!G1081</f>
        <v>m3</v>
      </c>
      <c r="G1412" s="1742">
        <f>'8.Dgia'!H1081</f>
        <v>0</v>
      </c>
      <c r="H1412" s="1795"/>
      <c r="I1412" s="1795"/>
      <c r="J1412" s="842">
        <f>+I1413</f>
        <v>1196576.2226612167</v>
      </c>
      <c r="K1412" s="842">
        <f>+I1416</f>
        <v>603688.95999999996</v>
      </c>
      <c r="L1412" s="842">
        <f>+I1417</f>
        <v>128461.15041840001</v>
      </c>
    </row>
    <row r="1413" spans="1:12" s="658" customFormat="1" ht="15">
      <c r="B1413" s="1536" t="str">
        <f>'8.Dgia'!B1082</f>
        <v/>
      </c>
      <c r="C1413" s="1537">
        <f>'8.Dgia'!C1082</f>
        <v>0</v>
      </c>
      <c r="D1413" s="1537">
        <f>'8.Dgia'!D1082</f>
        <v>0</v>
      </c>
      <c r="E1413" s="1744" t="str">
        <f>'8.Dgia'!E1082</f>
        <v xml:space="preserve">  A - Vật liệu</v>
      </c>
      <c r="F1413" s="1763">
        <f>'8.Dgia'!G1082</f>
        <v>0</v>
      </c>
      <c r="G1413" s="1746">
        <f>'8.Dgia'!H1082</f>
        <v>0</v>
      </c>
      <c r="H1413" s="1796"/>
      <c r="I1413" s="1797">
        <f>SUM(I1414:I1415)</f>
        <v>1196576.2226612167</v>
      </c>
      <c r="J1413" s="850"/>
      <c r="K1413" s="850"/>
      <c r="L1413" s="850"/>
    </row>
    <row r="1414" spans="1:12" ht="15" customHeight="1">
      <c r="B1414" s="1536" t="str">
        <f>'8.Dgia'!B1083</f>
        <v/>
      </c>
      <c r="C1414" s="1537">
        <f>'8.Dgia'!C1083</f>
        <v>0</v>
      </c>
      <c r="D1414" s="1537" t="str">
        <f>'8.Dgia'!D1083</f>
        <v>C3327</v>
      </c>
      <c r="E1414" s="1749" t="str">
        <f>'8.Dgia'!E1083</f>
        <v>Vữa bê tông đá 1x2 C35 (độ sụt 14-17cm)</v>
      </c>
      <c r="F1414" s="1763" t="str">
        <f>'8.Dgia'!G1083</f>
        <v>m3</v>
      </c>
      <c r="G1414" s="1746">
        <f>'8.Dgia'!H1083</f>
        <v>1.0149999999999999</v>
      </c>
      <c r="H1414" s="1796">
        <f>GVL!$I$199</f>
        <v>1167220.6239684112</v>
      </c>
      <c r="I1414" s="1796">
        <f>H1414*G1414</f>
        <v>1184728.9333279373</v>
      </c>
    </row>
    <row r="1415" spans="1:12" ht="15">
      <c r="B1415" s="1536" t="str">
        <f>'8.Dgia'!B1084</f>
        <v/>
      </c>
      <c r="C1415" s="1537">
        <f>'8.Dgia'!C1084</f>
        <v>0</v>
      </c>
      <c r="D1415" s="1537">
        <f>'8.Dgia'!D1084</f>
        <v>0</v>
      </c>
      <c r="E1415" s="1749" t="str">
        <f>'8.Dgia'!E1084</f>
        <v>Vật liệu khác</v>
      </c>
      <c r="F1415" s="1763" t="str">
        <f>'8.Dgia'!G1084</f>
        <v>%</v>
      </c>
      <c r="G1415" s="1954">
        <f>'8.Dgia'!H1084</f>
        <v>1</v>
      </c>
      <c r="H1415" s="1796">
        <f>SUM(I1414:I1414)</f>
        <v>1184728.9333279373</v>
      </c>
      <c r="I1415" s="1796">
        <f>H1415*G1415%</f>
        <v>11847.289333279374</v>
      </c>
    </row>
    <row r="1416" spans="1:12" s="658" customFormat="1" ht="15">
      <c r="B1416" s="1536" t="str">
        <f>'8.Dgia'!B1085</f>
        <v/>
      </c>
      <c r="C1416" s="1537">
        <f>'8.Dgia'!C1085</f>
        <v>0</v>
      </c>
      <c r="D1416" s="1537">
        <f>'8.Dgia'!D1085</f>
        <v>0</v>
      </c>
      <c r="E1416" s="1744" t="str">
        <f>'8.Dgia'!E1085</f>
        <v xml:space="preserve">  B - Nhân công 3.5/7</v>
      </c>
      <c r="F1416" s="1745" t="s">
        <v>552</v>
      </c>
      <c r="G1416" s="1954">
        <f>'8.Dgia'!H1085</f>
        <v>2.56</v>
      </c>
      <c r="H1416" s="1796">
        <f>'16.NC'!$H$16</f>
        <v>235816</v>
      </c>
      <c r="I1416" s="1798">
        <f>H1416*G1416</f>
        <v>603688.95999999996</v>
      </c>
      <c r="J1416" s="850"/>
      <c r="K1416" s="850"/>
      <c r="L1416" s="850"/>
    </row>
    <row r="1417" spans="1:12" s="658" customFormat="1" ht="15">
      <c r="B1417" s="1536" t="str">
        <f>'8.Dgia'!B1086</f>
        <v/>
      </c>
      <c r="C1417" s="1537">
        <f>'8.Dgia'!C1086</f>
        <v>0</v>
      </c>
      <c r="D1417" s="1537">
        <f>'8.Dgia'!D1086</f>
        <v>0</v>
      </c>
      <c r="E1417" s="1744" t="str">
        <f>'8.Dgia'!E1086</f>
        <v xml:space="preserve">  C - Máy thi công</v>
      </c>
      <c r="F1417" s="1763">
        <f>'8.Dgia'!G1086</f>
        <v>0</v>
      </c>
      <c r="G1417" s="1746">
        <f>'8.Dgia'!H1086</f>
        <v>0</v>
      </c>
      <c r="H1417" s="1796"/>
      <c r="I1417" s="1799">
        <f>SUM(I1418:I1420)</f>
        <v>128461.15041840001</v>
      </c>
      <c r="J1417" s="850"/>
      <c r="K1417" s="850"/>
      <c r="L1417" s="850"/>
    </row>
    <row r="1418" spans="1:12" ht="15">
      <c r="B1418" s="1536" t="str">
        <f>'8.Dgia'!B1087</f>
        <v/>
      </c>
      <c r="C1418" s="1537">
        <f>'8.Dgia'!C1087</f>
        <v>0</v>
      </c>
      <c r="D1418" s="1537">
        <f>'8.Dgia'!D1087</f>
        <v>0</v>
      </c>
      <c r="E1418" s="1749" t="str">
        <f>'8.Dgia'!E1087</f>
        <v>Máy bơm BT 50m3/h</v>
      </c>
      <c r="F1418" s="1745" t="s">
        <v>5493</v>
      </c>
      <c r="G1418" s="1746">
        <f>'8.Dgia'!H1087</f>
        <v>3.3000000000000002E-2</v>
      </c>
      <c r="H1418" s="1796">
        <f>'9.may'!$P$362</f>
        <v>3446390.13</v>
      </c>
      <c r="I1418" s="1796">
        <f>H1418*G1418</f>
        <v>113730.87429000001</v>
      </c>
    </row>
    <row r="1419" spans="1:12" ht="15">
      <c r="B1419" s="1536" t="str">
        <f>'8.Dgia'!B1088</f>
        <v/>
      </c>
      <c r="C1419" s="1537">
        <f>'8.Dgia'!C1088</f>
        <v>0</v>
      </c>
      <c r="D1419" s="1537">
        <f>'8.Dgia'!D1088</f>
        <v>0</v>
      </c>
      <c r="E1419" s="1749" t="str">
        <f>'8.Dgia'!E1088</f>
        <v>Máy đầm dùi 1.5kw</v>
      </c>
      <c r="F1419" s="1745" t="s">
        <v>5493</v>
      </c>
      <c r="G1419" s="1746">
        <f>'8.Dgia'!H1088</f>
        <v>0.18</v>
      </c>
      <c r="H1419" s="1796">
        <f>'9.may'!$P$382</f>
        <v>74768.797500000001</v>
      </c>
      <c r="I1419" s="1796">
        <f>H1419*G1419</f>
        <v>13458.38355</v>
      </c>
    </row>
    <row r="1420" spans="1:12" ht="15">
      <c r="B1420" s="1536" t="str">
        <f>'8.Dgia'!B1089</f>
        <v/>
      </c>
      <c r="C1420" s="1537">
        <f>'8.Dgia'!C1089</f>
        <v>0</v>
      </c>
      <c r="D1420" s="1537">
        <f>'8.Dgia'!D1089</f>
        <v>0</v>
      </c>
      <c r="E1420" s="1749" t="str">
        <f>'8.Dgia'!E1089</f>
        <v>Máy khác</v>
      </c>
      <c r="F1420" s="1763" t="str">
        <f>'8.Dgia'!G1089</f>
        <v>%</v>
      </c>
      <c r="G1420" s="1954">
        <f>'8.Dgia'!H1089</f>
        <v>1</v>
      </c>
      <c r="H1420" s="1796">
        <f>SUM(I1418:I1419)</f>
        <v>127189.25784000001</v>
      </c>
      <c r="I1420" s="1796">
        <f>H1420*G1420%</f>
        <v>1271.8925784</v>
      </c>
    </row>
    <row r="1421" spans="1:12" s="658" customFormat="1" ht="15">
      <c r="B1421" s="1675"/>
      <c r="C1421" s="1676"/>
      <c r="D1421" s="1676"/>
      <c r="E1421" s="1800" t="s">
        <v>5675</v>
      </c>
      <c r="F1421" s="1763">
        <f>$J$5</f>
        <v>0.02</v>
      </c>
      <c r="G1421" s="1754"/>
      <c r="H1421" s="1799"/>
      <c r="I1421" s="1799">
        <f>( I1413+I1416+I1417 )*F1421</f>
        <v>38574.526661592339</v>
      </c>
      <c r="J1421" s="850"/>
      <c r="K1421" s="850"/>
      <c r="L1421" s="850"/>
    </row>
    <row r="1422" spans="1:12" ht="15">
      <c r="B1422" s="1540"/>
      <c r="C1422" s="1541"/>
      <c r="D1422" s="1541"/>
      <c r="E1422" s="1801" t="s">
        <v>5676</v>
      </c>
      <c r="F1422" s="1763"/>
      <c r="G1422" s="1759"/>
      <c r="H1422" s="1802"/>
      <c r="I1422" s="1802">
        <f>I1421+I1421/F1421</f>
        <v>1967300.8597412093</v>
      </c>
    </row>
    <row r="1423" spans="1:12" ht="15">
      <c r="B1423" s="1536"/>
      <c r="C1423" s="1537"/>
      <c r="D1423" s="1537"/>
      <c r="E1423" s="1803" t="s">
        <v>5677</v>
      </c>
      <c r="F1423" s="1763">
        <f>$K$5</f>
        <v>5.5E-2</v>
      </c>
      <c r="G1423" s="1746"/>
      <c r="H1423" s="1796"/>
      <c r="I1423" s="1796">
        <f>I1422*F1423</f>
        <v>108201.54728576652</v>
      </c>
    </row>
    <row r="1424" spans="1:12" ht="15">
      <c r="B1424" s="1536"/>
      <c r="C1424" s="1537"/>
      <c r="D1424" s="1537"/>
      <c r="E1424" s="1803" t="s">
        <v>5678</v>
      </c>
      <c r="F1424" s="1763">
        <f>$L$5</f>
        <v>0.06</v>
      </c>
      <c r="G1424" s="1746"/>
      <c r="H1424" s="1796"/>
      <c r="I1424" s="1796">
        <f>SUM(I1422:I1423)*F1424</f>
        <v>124530.14442161855</v>
      </c>
    </row>
    <row r="1425" spans="1:12" ht="14.25">
      <c r="B1425" s="1540"/>
      <c r="C1425" s="1541"/>
      <c r="D1425" s="1541"/>
      <c r="E1425" s="1801" t="s">
        <v>5679</v>
      </c>
      <c r="F1425" s="1791"/>
      <c r="G1425" s="1759"/>
      <c r="H1425" s="1802"/>
      <c r="I1425" s="1802">
        <f>SUM(I1422:I1424)</f>
        <v>2200032.5514485943</v>
      </c>
    </row>
    <row r="1426" spans="1:12" ht="15">
      <c r="B1426" s="1536"/>
      <c r="C1426" s="1537"/>
      <c r="D1426" s="1537"/>
      <c r="E1426" s="1803" t="s">
        <v>5680</v>
      </c>
      <c r="F1426" s="1765">
        <f>$M$5</f>
        <v>0.1</v>
      </c>
      <c r="G1426" s="1746"/>
      <c r="H1426" s="1796"/>
      <c r="I1426" s="1796">
        <f>I1425*F1426</f>
        <v>220003.25514485943</v>
      </c>
    </row>
    <row r="1427" spans="1:12" ht="14.25">
      <c r="B1427" s="1540"/>
      <c r="C1427" s="1541"/>
      <c r="D1427" s="1541"/>
      <c r="E1427" s="1801" t="s">
        <v>5681</v>
      </c>
      <c r="F1427" s="1791"/>
      <c r="G1427" s="1759"/>
      <c r="H1427" s="1802"/>
      <c r="I1427" s="1802">
        <f>SUM(I1425:I1426)</f>
        <v>2420035.8065934535</v>
      </c>
    </row>
    <row r="1428" spans="1:12" ht="12.75">
      <c r="B1428" s="1536"/>
      <c r="C1428" s="1537"/>
      <c r="D1428" s="1537"/>
      <c r="E1428" s="1464" t="s">
        <v>5682</v>
      </c>
      <c r="F1428" s="1535">
        <f>$N$5</f>
        <v>0.01</v>
      </c>
      <c r="G1428" s="1538"/>
      <c r="H1428" s="1539"/>
      <c r="I1428" s="1539">
        <f>I1427*F1428</f>
        <v>24200.358065934535</v>
      </c>
    </row>
    <row r="1429" spans="1:12" ht="14.25">
      <c r="B1429" s="2116"/>
      <c r="C1429" s="1544"/>
      <c r="D1429" s="2116"/>
      <c r="E1429" s="2117" t="s">
        <v>5683</v>
      </c>
      <c r="F1429" s="2115"/>
      <c r="G1429" s="2117"/>
      <c r="H1429" s="2118"/>
      <c r="I1429" s="2110">
        <f>ROUND(I1427+I1428,0)</f>
        <v>2444236</v>
      </c>
    </row>
    <row r="1430" spans="1:12" ht="14.25">
      <c r="A1430" s="657">
        <v>1</v>
      </c>
      <c r="B1430" s="1546">
        <f>IF(A1430&lt;&gt;0,COUNTA(A$7:$A1430),"")</f>
        <v>77</v>
      </c>
      <c r="C1430" s="1547">
        <f>'8.Dgia'!C1090</f>
        <v>1776</v>
      </c>
      <c r="D1430" s="1547" t="str">
        <f>'8.Dgia'!D1090</f>
        <v>AF.61521</v>
      </c>
      <c r="E1430" s="1740" t="str">
        <f>'8.Dgia'!E1090</f>
        <v>Cốt thép D&lt;=18 dầm, giằng</v>
      </c>
      <c r="F1430" s="1789" t="s">
        <v>557</v>
      </c>
      <c r="G1430" s="1742">
        <f>'8.Dgia'!H1090</f>
        <v>0</v>
      </c>
      <c r="H1430" s="1795"/>
      <c r="I1430" s="1795"/>
      <c r="J1430" s="842">
        <f>+I1431</f>
        <v>17285494.743927274</v>
      </c>
      <c r="K1430" s="842">
        <f>+I1435</f>
        <v>2367592.6399999997</v>
      </c>
      <c r="L1430" s="842">
        <f>+I1436</f>
        <v>220171.88461499999</v>
      </c>
    </row>
    <row r="1431" spans="1:12" s="658" customFormat="1" ht="15">
      <c r="B1431" s="1536" t="str">
        <f>'8.Dgia'!B1091</f>
        <v/>
      </c>
      <c r="C1431" s="1537">
        <f>'8.Dgia'!C1091</f>
        <v>0</v>
      </c>
      <c r="D1431" s="1537">
        <f>'8.Dgia'!D1091</f>
        <v>0</v>
      </c>
      <c r="E1431" s="1744" t="str">
        <f>'8.Dgia'!E1091</f>
        <v xml:space="preserve">  A - Vật liệu</v>
      </c>
      <c r="F1431" s="1763">
        <f>'8.Dgia'!G1091</f>
        <v>0</v>
      </c>
      <c r="G1431" s="1746">
        <f>'8.Dgia'!H1091</f>
        <v>0</v>
      </c>
      <c r="H1431" s="1796"/>
      <c r="I1431" s="1797">
        <f>SUM(I1432:I1434)</f>
        <v>17285494.743927274</v>
      </c>
      <c r="J1431" s="850"/>
      <c r="K1431" s="850"/>
      <c r="L1431" s="850"/>
    </row>
    <row r="1432" spans="1:12" ht="15">
      <c r="B1432" s="1536" t="str">
        <f>'8.Dgia'!B1092</f>
        <v/>
      </c>
      <c r="C1432" s="1537">
        <f>'8.Dgia'!C1092</f>
        <v>0</v>
      </c>
      <c r="D1432" s="1537">
        <f>'8.Dgia'!D1092</f>
        <v>0</v>
      </c>
      <c r="E1432" s="1749" t="str">
        <f>'8.Dgia'!E1092</f>
        <v>Thép tròn D&lt;=18</v>
      </c>
      <c r="F1432" s="1763" t="str">
        <f>'8.Dgia'!G1092</f>
        <v>kg</v>
      </c>
      <c r="G1432" s="1954">
        <f>'8.Dgia'!H1092</f>
        <v>1020</v>
      </c>
      <c r="H1432" s="1796">
        <f>GVL!$I$180</f>
        <v>16604.075560000001</v>
      </c>
      <c r="I1432" s="1796">
        <f>H1432*G1432</f>
        <v>16936157.071200002</v>
      </c>
    </row>
    <row r="1433" spans="1:12" ht="15">
      <c r="B1433" s="1536" t="str">
        <f>'8.Dgia'!B1093</f>
        <v/>
      </c>
      <c r="C1433" s="1537">
        <f>'8.Dgia'!C1093</f>
        <v>0</v>
      </c>
      <c r="D1433" s="1537">
        <f>'8.Dgia'!D1093</f>
        <v>0</v>
      </c>
      <c r="E1433" s="1749" t="str">
        <f>'8.Dgia'!E1093</f>
        <v>Dây thép buộc</v>
      </c>
      <c r="F1433" s="1763" t="str">
        <f>'8.Dgia'!G1093</f>
        <v>kg</v>
      </c>
      <c r="G1433" s="1746">
        <f>'8.Dgia'!H1093</f>
        <v>14.28</v>
      </c>
      <c r="H1433" s="1796">
        <f>GVL!$I$89</f>
        <v>18180</v>
      </c>
      <c r="I1433" s="1796">
        <f>H1433*G1433</f>
        <v>259610.4</v>
      </c>
    </row>
    <row r="1434" spans="1:12" ht="15">
      <c r="B1434" s="1536" t="str">
        <f>'8.Dgia'!B1094</f>
        <v/>
      </c>
      <c r="C1434" s="1537">
        <f>'8.Dgia'!C1094</f>
        <v>0</v>
      </c>
      <c r="D1434" s="1537">
        <f>'8.Dgia'!D1094</f>
        <v>0</v>
      </c>
      <c r="E1434" s="1749" t="str">
        <f>'8.Dgia'!E1094</f>
        <v>Que hàn</v>
      </c>
      <c r="F1434" s="1763" t="str">
        <f>'8.Dgia'!G1094</f>
        <v>kg</v>
      </c>
      <c r="G1434" s="1954">
        <f>'8.Dgia'!H1094</f>
        <v>4.7</v>
      </c>
      <c r="H1434" s="1796">
        <f>GVL!$I$153</f>
        <v>19090.909090909088</v>
      </c>
      <c r="I1434" s="1796">
        <f>H1434*G1434</f>
        <v>89727.272727272721</v>
      </c>
    </row>
    <row r="1435" spans="1:12" s="658" customFormat="1" ht="15">
      <c r="B1435" s="1536" t="str">
        <f>'8.Dgia'!B1095</f>
        <v/>
      </c>
      <c r="C1435" s="1537">
        <f>'8.Dgia'!C1095</f>
        <v>0</v>
      </c>
      <c r="D1435" s="1537">
        <f>'8.Dgia'!D1095</f>
        <v>0</v>
      </c>
      <c r="E1435" s="1744" t="str">
        <f>'8.Dgia'!E1095</f>
        <v xml:space="preserve">  B - Nhân công 3.5/7</v>
      </c>
      <c r="F1435" s="1745" t="s">
        <v>552</v>
      </c>
      <c r="G1435" s="1746">
        <f>'8.Dgia'!H1095</f>
        <v>10.039999999999999</v>
      </c>
      <c r="H1435" s="1796">
        <f>'16.NC'!$H$16</f>
        <v>235816</v>
      </c>
      <c r="I1435" s="1798">
        <f>H1435*G1435</f>
        <v>2367592.6399999997</v>
      </c>
      <c r="J1435" s="850"/>
      <c r="K1435" s="850"/>
      <c r="L1435" s="850"/>
    </row>
    <row r="1436" spans="1:12" s="658" customFormat="1" ht="15">
      <c r="B1436" s="1536" t="str">
        <f>'8.Dgia'!B1096</f>
        <v/>
      </c>
      <c r="C1436" s="1537">
        <f>'8.Dgia'!C1096</f>
        <v>0</v>
      </c>
      <c r="D1436" s="1537">
        <f>'8.Dgia'!D1096</f>
        <v>0</v>
      </c>
      <c r="E1436" s="1744" t="str">
        <f>'8.Dgia'!E1096</f>
        <v xml:space="preserve">  C - Máy thi công</v>
      </c>
      <c r="F1436" s="1763">
        <f>'8.Dgia'!G1096</f>
        <v>0</v>
      </c>
      <c r="G1436" s="1746">
        <f>'8.Dgia'!H1096</f>
        <v>0</v>
      </c>
      <c r="H1436" s="1796"/>
      <c r="I1436" s="1799">
        <f>SUM(I1437:I1438)</f>
        <v>220171.88461499999</v>
      </c>
      <c r="J1436" s="850"/>
      <c r="K1436" s="850"/>
      <c r="L1436" s="850"/>
    </row>
    <row r="1437" spans="1:12" ht="15">
      <c r="B1437" s="1536" t="str">
        <f>'8.Dgia'!B1097</f>
        <v/>
      </c>
      <c r="C1437" s="1537">
        <f>'8.Dgia'!C1097</f>
        <v>0</v>
      </c>
      <c r="D1437" s="1537">
        <f>'8.Dgia'!D1097</f>
        <v>0</v>
      </c>
      <c r="E1437" s="1749" t="str">
        <f>'8.Dgia'!E1097</f>
        <v>Máy hàn 23kw</v>
      </c>
      <c r="F1437" s="1745" t="s">
        <v>5493</v>
      </c>
      <c r="G1437" s="1746">
        <f>'8.Dgia'!H1097</f>
        <v>1.133</v>
      </c>
      <c r="H1437" s="1796">
        <f>'9.may'!$P$510</f>
        <v>171649.155</v>
      </c>
      <c r="I1437" s="1796">
        <f>H1437*G1437</f>
        <v>194478.492615</v>
      </c>
    </row>
    <row r="1438" spans="1:12" ht="15">
      <c r="B1438" s="1536" t="str">
        <f>'8.Dgia'!B1098</f>
        <v/>
      </c>
      <c r="C1438" s="1537">
        <f>'8.Dgia'!C1098</f>
        <v>0</v>
      </c>
      <c r="D1438" s="1537">
        <f>'8.Dgia'!D1098</f>
        <v>0</v>
      </c>
      <c r="E1438" s="1749" t="str">
        <f>'8.Dgia'!E1098</f>
        <v>Máy cắt uốn</v>
      </c>
      <c r="F1438" s="1745" t="s">
        <v>5493</v>
      </c>
      <c r="G1438" s="1746">
        <f>'8.Dgia'!H1098</f>
        <v>0.32</v>
      </c>
      <c r="H1438" s="1796">
        <f>'9.may'!$P$557</f>
        <v>80291.850000000006</v>
      </c>
      <c r="I1438" s="1796">
        <f>H1438*G1438</f>
        <v>25693.392000000003</v>
      </c>
    </row>
    <row r="1439" spans="1:12" s="658" customFormat="1" ht="15">
      <c r="B1439" s="1675"/>
      <c r="C1439" s="1676"/>
      <c r="D1439" s="1676"/>
      <c r="E1439" s="1800" t="s">
        <v>5675</v>
      </c>
      <c r="F1439" s="1763">
        <f>$J$5</f>
        <v>0.02</v>
      </c>
      <c r="G1439" s="1754"/>
      <c r="H1439" s="1799"/>
      <c r="I1439" s="1799">
        <f>( I1431+I1435+I1436)*F1439</f>
        <v>397465.18537084549</v>
      </c>
      <c r="J1439" s="850"/>
      <c r="K1439" s="850"/>
      <c r="L1439" s="850"/>
    </row>
    <row r="1440" spans="1:12" ht="15">
      <c r="B1440" s="1540"/>
      <c r="C1440" s="1541"/>
      <c r="D1440" s="1541"/>
      <c r="E1440" s="1801" t="s">
        <v>5676</v>
      </c>
      <c r="F1440" s="1763"/>
      <c r="G1440" s="1759"/>
      <c r="H1440" s="1802"/>
      <c r="I1440" s="1802">
        <f>I1439+I1439/F1439</f>
        <v>20270724.453913119</v>
      </c>
    </row>
    <row r="1441" spans="1:12" ht="15">
      <c r="B1441" s="1536"/>
      <c r="C1441" s="1537"/>
      <c r="D1441" s="1537"/>
      <c r="E1441" s="1803" t="s">
        <v>5677</v>
      </c>
      <c r="F1441" s="1763">
        <f>$K$5</f>
        <v>5.5E-2</v>
      </c>
      <c r="G1441" s="1746"/>
      <c r="H1441" s="1796"/>
      <c r="I1441" s="1796">
        <f>I1440*F1441</f>
        <v>1114889.8449652216</v>
      </c>
    </row>
    <row r="1442" spans="1:12" ht="15">
      <c r="B1442" s="1536"/>
      <c r="C1442" s="1537"/>
      <c r="D1442" s="1537"/>
      <c r="E1442" s="1803" t="s">
        <v>5678</v>
      </c>
      <c r="F1442" s="1763">
        <f>$L$5</f>
        <v>0.06</v>
      </c>
      <c r="G1442" s="1746"/>
      <c r="H1442" s="1796"/>
      <c r="I1442" s="1796">
        <f>SUM(I1440:I1441)*F1442</f>
        <v>1283136.8579327005</v>
      </c>
    </row>
    <row r="1443" spans="1:12" ht="14.25">
      <c r="B1443" s="1540"/>
      <c r="C1443" s="1541"/>
      <c r="D1443" s="1541"/>
      <c r="E1443" s="1801" t="s">
        <v>5679</v>
      </c>
      <c r="F1443" s="1791"/>
      <c r="G1443" s="1759"/>
      <c r="H1443" s="1802"/>
      <c r="I1443" s="1802">
        <f>SUM(I1440:I1442)</f>
        <v>22668751.156811044</v>
      </c>
    </row>
    <row r="1444" spans="1:12" ht="15">
      <c r="B1444" s="1536"/>
      <c r="C1444" s="1537"/>
      <c r="D1444" s="1537"/>
      <c r="E1444" s="1803" t="s">
        <v>5680</v>
      </c>
      <c r="F1444" s="1765">
        <f>$M$5</f>
        <v>0.1</v>
      </c>
      <c r="G1444" s="1746"/>
      <c r="H1444" s="1796"/>
      <c r="I1444" s="1796">
        <f>I1443*F1444</f>
        <v>2266875.1156811044</v>
      </c>
    </row>
    <row r="1445" spans="1:12" ht="14.25">
      <c r="B1445" s="1540"/>
      <c r="C1445" s="1541"/>
      <c r="D1445" s="1541"/>
      <c r="E1445" s="1801" t="s">
        <v>5681</v>
      </c>
      <c r="F1445" s="1791"/>
      <c r="G1445" s="1759"/>
      <c r="H1445" s="1802"/>
      <c r="I1445" s="1802">
        <f>SUM(I1443:I1444)</f>
        <v>24935626.272492148</v>
      </c>
    </row>
    <row r="1446" spans="1:12" ht="12.75">
      <c r="B1446" s="1536"/>
      <c r="C1446" s="1537"/>
      <c r="D1446" s="1537"/>
      <c r="E1446" s="1464" t="s">
        <v>5682</v>
      </c>
      <c r="F1446" s="1535">
        <f>$N$5</f>
        <v>0.01</v>
      </c>
      <c r="G1446" s="1538"/>
      <c r="H1446" s="1539"/>
      <c r="I1446" s="1539">
        <f>I1445*F1446</f>
        <v>249356.26272492149</v>
      </c>
    </row>
    <row r="1447" spans="1:12" ht="14.25">
      <c r="B1447" s="2116"/>
      <c r="C1447" s="1544"/>
      <c r="D1447" s="2116"/>
      <c r="E1447" s="2117" t="s">
        <v>5683</v>
      </c>
      <c r="F1447" s="2115"/>
      <c r="G1447" s="2117"/>
      <c r="H1447" s="2118"/>
      <c r="I1447" s="2110">
        <f>ROUND(I1445+I1446,0)</f>
        <v>25184983</v>
      </c>
    </row>
    <row r="1448" spans="1:12" ht="14.25">
      <c r="A1448" s="657">
        <v>1</v>
      </c>
      <c r="B1448" s="1546">
        <f>IF(A1448&lt;&gt;0,COUNTA(A$7:$A1448),"")</f>
        <v>78</v>
      </c>
      <c r="C1448" s="1547">
        <f>'8.Dgia'!C1099</f>
        <v>1776</v>
      </c>
      <c r="D1448" s="1547" t="str">
        <f>'8.Dgia'!D1099</f>
        <v>AF.61511</v>
      </c>
      <c r="E1448" s="1740" t="str">
        <f>'8.Dgia'!E1099</f>
        <v>Cốt thép D&lt;=10 dầm, giằng</v>
      </c>
      <c r="F1448" s="1789" t="s">
        <v>557</v>
      </c>
      <c r="G1448" s="1742">
        <f>'8.Dgia'!H1099</f>
        <v>0</v>
      </c>
      <c r="H1448" s="1795"/>
      <c r="I1448" s="1795"/>
      <c r="J1448" s="842">
        <f>+I1449</f>
        <v>17227261.537800003</v>
      </c>
      <c r="K1448" s="842">
        <f>+I1452</f>
        <v>3820219.1999999997</v>
      </c>
      <c r="L1448" s="842">
        <f>+I1453</f>
        <v>32116.740000000005</v>
      </c>
    </row>
    <row r="1449" spans="1:12" s="658" customFormat="1" ht="15">
      <c r="B1449" s="1536" t="str">
        <f>'8.Dgia'!B1100</f>
        <v/>
      </c>
      <c r="C1449" s="1537">
        <f>'8.Dgia'!C1100</f>
        <v>0</v>
      </c>
      <c r="D1449" s="1537">
        <f>'8.Dgia'!D1100</f>
        <v>0</v>
      </c>
      <c r="E1449" s="1744" t="str">
        <f>'8.Dgia'!E1100</f>
        <v xml:space="preserve">  A - Vật liệu</v>
      </c>
      <c r="F1449" s="1763">
        <f>'8.Dgia'!G1100</f>
        <v>0</v>
      </c>
      <c r="G1449" s="1746">
        <f>'8.Dgia'!H1100</f>
        <v>0</v>
      </c>
      <c r="H1449" s="1796"/>
      <c r="I1449" s="1797">
        <f>SUM(I1450:I1451)</f>
        <v>17227261.537800003</v>
      </c>
      <c r="J1449" s="850"/>
      <c r="K1449" s="850"/>
      <c r="L1449" s="850"/>
    </row>
    <row r="1450" spans="1:12" ht="15">
      <c r="B1450" s="1536" t="str">
        <f>'8.Dgia'!B1101</f>
        <v/>
      </c>
      <c r="C1450" s="1537">
        <f>'8.Dgia'!C1101</f>
        <v>0</v>
      </c>
      <c r="D1450" s="1537">
        <f>'8.Dgia'!D1101</f>
        <v>0</v>
      </c>
      <c r="E1450" s="1749" t="str">
        <f>'8.Dgia'!E1101</f>
        <v>Thép tròn D&lt;=10</v>
      </c>
      <c r="F1450" s="1763" t="str">
        <f>'8.Dgia'!G1101</f>
        <v>kg</v>
      </c>
      <c r="G1450" s="1982">
        <f>'8.Dgia'!H1101</f>
        <v>1005</v>
      </c>
      <c r="H1450" s="1796">
        <f>GVL!$I$179</f>
        <v>16754.075560000001</v>
      </c>
      <c r="I1450" s="1796">
        <f>H1450*G1450</f>
        <v>16837845.937800001</v>
      </c>
    </row>
    <row r="1451" spans="1:12" ht="15">
      <c r="B1451" s="1536" t="str">
        <f>'8.Dgia'!B1102</f>
        <v/>
      </c>
      <c r="C1451" s="1537">
        <f>'8.Dgia'!C1102</f>
        <v>0</v>
      </c>
      <c r="D1451" s="1537">
        <f>'8.Dgia'!D1102</f>
        <v>0</v>
      </c>
      <c r="E1451" s="1749" t="str">
        <f>'8.Dgia'!E1102</f>
        <v>Dây thép buộc</v>
      </c>
      <c r="F1451" s="1763" t="str">
        <f>'8.Dgia'!G1102</f>
        <v>kg</v>
      </c>
      <c r="G1451" s="1746">
        <f>'8.Dgia'!H1102</f>
        <v>21.42</v>
      </c>
      <c r="H1451" s="1796">
        <f>GVL!$I$89</f>
        <v>18180</v>
      </c>
      <c r="I1451" s="1796">
        <f>H1451*G1451</f>
        <v>389415.60000000003</v>
      </c>
    </row>
    <row r="1452" spans="1:12" s="658" customFormat="1" ht="15">
      <c r="B1452" s="1536" t="str">
        <f>'8.Dgia'!B1103</f>
        <v/>
      </c>
      <c r="C1452" s="1537">
        <f>'8.Dgia'!C1103</f>
        <v>0</v>
      </c>
      <c r="D1452" s="1537">
        <f>'8.Dgia'!D1103</f>
        <v>0</v>
      </c>
      <c r="E1452" s="1744" t="str">
        <f>'8.Dgia'!E1103</f>
        <v xml:space="preserve">  B - Nhân công 3.5/7</v>
      </c>
      <c r="F1452" s="1745" t="s">
        <v>552</v>
      </c>
      <c r="G1452" s="1954">
        <f>'8.Dgia'!H1103</f>
        <v>16.2</v>
      </c>
      <c r="H1452" s="1796">
        <f>'16.NC'!$H$16</f>
        <v>235816</v>
      </c>
      <c r="I1452" s="1798">
        <f>H1452*G1452</f>
        <v>3820219.1999999997</v>
      </c>
      <c r="J1452" s="850"/>
      <c r="K1452" s="850"/>
      <c r="L1452" s="850"/>
    </row>
    <row r="1453" spans="1:12" s="658" customFormat="1" ht="15">
      <c r="B1453" s="1536" t="str">
        <f>'8.Dgia'!B1104</f>
        <v/>
      </c>
      <c r="C1453" s="1537">
        <f>'8.Dgia'!C1104</f>
        <v>0</v>
      </c>
      <c r="D1453" s="1537">
        <f>'8.Dgia'!D1104</f>
        <v>0</v>
      </c>
      <c r="E1453" s="1744" t="str">
        <f>'8.Dgia'!E1104</f>
        <v xml:space="preserve">  C - Máy thi công</v>
      </c>
      <c r="F1453" s="1763">
        <f>'8.Dgia'!G1104</f>
        <v>0</v>
      </c>
      <c r="G1453" s="1746">
        <f>'8.Dgia'!H1104</f>
        <v>0</v>
      </c>
      <c r="H1453" s="1796"/>
      <c r="I1453" s="1799">
        <f>SUM(I1454:I1454)</f>
        <v>32116.740000000005</v>
      </c>
      <c r="J1453" s="850"/>
      <c r="K1453" s="850"/>
      <c r="L1453" s="850"/>
    </row>
    <row r="1454" spans="1:12" ht="15">
      <c r="B1454" s="1536" t="str">
        <f>'8.Dgia'!B1105</f>
        <v/>
      </c>
      <c r="C1454" s="1537">
        <f>'8.Dgia'!C1105</f>
        <v>0</v>
      </c>
      <c r="D1454" s="1537">
        <f>'8.Dgia'!D1105</f>
        <v>0</v>
      </c>
      <c r="E1454" s="1749" t="str">
        <f>'8.Dgia'!E1105</f>
        <v>Máy cắt uốn</v>
      </c>
      <c r="F1454" s="1745" t="s">
        <v>5493</v>
      </c>
      <c r="G1454" s="1954">
        <f>'8.Dgia'!H1105</f>
        <v>0.4</v>
      </c>
      <c r="H1454" s="1796">
        <f>'9.may'!$P$557</f>
        <v>80291.850000000006</v>
      </c>
      <c r="I1454" s="1796">
        <f>H1454*G1454</f>
        <v>32116.740000000005</v>
      </c>
    </row>
    <row r="1455" spans="1:12" s="658" customFormat="1" ht="15">
      <c r="B1455" s="1675"/>
      <c r="C1455" s="1676"/>
      <c r="D1455" s="1676"/>
      <c r="E1455" s="1800" t="s">
        <v>5675</v>
      </c>
      <c r="F1455" s="1763">
        <f>$J$5</f>
        <v>0.02</v>
      </c>
      <c r="G1455" s="1754"/>
      <c r="H1455" s="1799"/>
      <c r="I1455" s="1799">
        <f>( I1449+I1452+I1453 )*F1455</f>
        <v>421591.94955600001</v>
      </c>
      <c r="J1455" s="850"/>
      <c r="K1455" s="850"/>
      <c r="L1455" s="850"/>
    </row>
    <row r="1456" spans="1:12" ht="15">
      <c r="B1456" s="1540"/>
      <c r="C1456" s="1541"/>
      <c r="D1456" s="1541"/>
      <c r="E1456" s="1801" t="s">
        <v>5676</v>
      </c>
      <c r="F1456" s="1763"/>
      <c r="G1456" s="1759"/>
      <c r="H1456" s="1802"/>
      <c r="I1456" s="1802">
        <f>I1455+I1455/F1455</f>
        <v>21501189.427356001</v>
      </c>
    </row>
    <row r="1457" spans="1:12" ht="15">
      <c r="B1457" s="1536"/>
      <c r="C1457" s="1537"/>
      <c r="D1457" s="1537"/>
      <c r="E1457" s="1803" t="s">
        <v>5677</v>
      </c>
      <c r="F1457" s="1763">
        <f>$K$5</f>
        <v>5.5E-2</v>
      </c>
      <c r="G1457" s="1746"/>
      <c r="H1457" s="1796"/>
      <c r="I1457" s="1796">
        <f>I1456*F1457</f>
        <v>1182565.4185045802</v>
      </c>
    </row>
    <row r="1458" spans="1:12" ht="15">
      <c r="B1458" s="1536"/>
      <c r="C1458" s="1537"/>
      <c r="D1458" s="1537"/>
      <c r="E1458" s="1803" t="s">
        <v>5678</v>
      </c>
      <c r="F1458" s="1763">
        <f>$L$5</f>
        <v>0.06</v>
      </c>
      <c r="G1458" s="1746"/>
      <c r="H1458" s="1796"/>
      <c r="I1458" s="1796">
        <f>SUM(I1456:I1457)*F1458</f>
        <v>1361025.2907516349</v>
      </c>
    </row>
    <row r="1459" spans="1:12" ht="14.25">
      <c r="B1459" s="1540"/>
      <c r="C1459" s="1541"/>
      <c r="D1459" s="1541"/>
      <c r="E1459" s="1801" t="s">
        <v>5679</v>
      </c>
      <c r="F1459" s="1791"/>
      <c r="G1459" s="1759"/>
      <c r="H1459" s="1802"/>
      <c r="I1459" s="1802">
        <f>SUM(I1456:I1458)</f>
        <v>24044780.136612218</v>
      </c>
    </row>
    <row r="1460" spans="1:12" ht="15">
      <c r="B1460" s="1536"/>
      <c r="C1460" s="1537"/>
      <c r="D1460" s="1537"/>
      <c r="E1460" s="1803" t="s">
        <v>5680</v>
      </c>
      <c r="F1460" s="1765">
        <f>$M$5</f>
        <v>0.1</v>
      </c>
      <c r="G1460" s="1746"/>
      <c r="H1460" s="1796"/>
      <c r="I1460" s="1796">
        <f>I1459*F1460</f>
        <v>2404478.0136612221</v>
      </c>
    </row>
    <row r="1461" spans="1:12" ht="14.25">
      <c r="B1461" s="1540"/>
      <c r="C1461" s="1541"/>
      <c r="D1461" s="1541"/>
      <c r="E1461" s="1801" t="s">
        <v>5681</v>
      </c>
      <c r="F1461" s="1791"/>
      <c r="G1461" s="1759"/>
      <c r="H1461" s="1802"/>
      <c r="I1461" s="1802">
        <f>SUM(I1459:I1460)</f>
        <v>26449258.150273439</v>
      </c>
    </row>
    <row r="1462" spans="1:12" ht="12.75">
      <c r="B1462" s="1536"/>
      <c r="C1462" s="1537"/>
      <c r="D1462" s="1537"/>
      <c r="E1462" s="1464" t="s">
        <v>5682</v>
      </c>
      <c r="F1462" s="1535">
        <f>$N$5</f>
        <v>0.01</v>
      </c>
      <c r="G1462" s="1538"/>
      <c r="H1462" s="1539"/>
      <c r="I1462" s="1539">
        <f>I1461*F1462</f>
        <v>264492.58150273439</v>
      </c>
    </row>
    <row r="1463" spans="1:12" ht="14.25">
      <c r="B1463" s="2116"/>
      <c r="C1463" s="1544"/>
      <c r="D1463" s="2116"/>
      <c r="E1463" s="2117" t="s">
        <v>5683</v>
      </c>
      <c r="F1463" s="2115"/>
      <c r="G1463" s="2117"/>
      <c r="H1463" s="2118"/>
      <c r="I1463" s="2110">
        <f>ROUND(I1461+I1462,0)</f>
        <v>26713751</v>
      </c>
    </row>
    <row r="1464" spans="1:12" ht="14.25">
      <c r="A1464" s="657">
        <v>1</v>
      </c>
      <c r="B1464" s="1546">
        <f>IF(A1464&lt;&gt;0,COUNTA(A$7:$A1464),"")</f>
        <v>79</v>
      </c>
      <c r="C1464" s="1547">
        <f>'8.Dgia'!C1106</f>
        <v>1776</v>
      </c>
      <c r="D1464" s="1547" t="str">
        <f>'8.Dgia'!D1106</f>
        <v>AF.61531</v>
      </c>
      <c r="E1464" s="1740" t="str">
        <f>'8.Dgia'!E1106</f>
        <v>Cốt thép D&gt;18 dầm, giằng</v>
      </c>
      <c r="F1464" s="1789" t="s">
        <v>557</v>
      </c>
      <c r="G1464" s="1742">
        <f>'8.Dgia'!H1106</f>
        <v>0</v>
      </c>
      <c r="H1464" s="1795"/>
      <c r="I1464" s="1795"/>
      <c r="J1464" s="842">
        <f>+I1465</f>
        <v>17311076.56210909</v>
      </c>
      <c r="K1464" s="842">
        <f>+I1469</f>
        <v>2145925.6</v>
      </c>
      <c r="L1464" s="842">
        <f>+I1470</f>
        <v>262767.86567999999</v>
      </c>
    </row>
    <row r="1465" spans="1:12" s="658" customFormat="1" ht="15">
      <c r="B1465" s="1536" t="str">
        <f>'8.Dgia'!B1107</f>
        <v/>
      </c>
      <c r="C1465" s="1537">
        <f>'8.Dgia'!C1107</f>
        <v>0</v>
      </c>
      <c r="D1465" s="1537">
        <f>'8.Dgia'!D1107</f>
        <v>0</v>
      </c>
      <c r="E1465" s="1744" t="str">
        <f>'8.Dgia'!E1107</f>
        <v xml:space="preserve">  A - Vật liệu</v>
      </c>
      <c r="F1465" s="1763">
        <f>'8.Dgia'!G1107</f>
        <v>0</v>
      </c>
      <c r="G1465" s="1746">
        <f>'8.Dgia'!H1107</f>
        <v>0</v>
      </c>
      <c r="H1465" s="1796"/>
      <c r="I1465" s="1797">
        <f>SUM(I1466:I1468)</f>
        <v>17311076.56210909</v>
      </c>
      <c r="J1465" s="850"/>
      <c r="K1465" s="850"/>
      <c r="L1465" s="850"/>
    </row>
    <row r="1466" spans="1:12" ht="15">
      <c r="B1466" s="1536" t="str">
        <f>'8.Dgia'!B1108</f>
        <v/>
      </c>
      <c r="C1466" s="1537">
        <f>'8.Dgia'!C1108</f>
        <v>0</v>
      </c>
      <c r="D1466" s="1537">
        <f>'8.Dgia'!D1108</f>
        <v>0</v>
      </c>
      <c r="E1466" s="1749" t="str">
        <f>'8.Dgia'!E1108</f>
        <v>Thép tròn D&gt;18</v>
      </c>
      <c r="F1466" s="1763" t="str">
        <f>'8.Dgia'!G1108</f>
        <v>kg</v>
      </c>
      <c r="G1466" s="1981">
        <f>'8.Dgia'!H1108</f>
        <v>1020</v>
      </c>
      <c r="H1466" s="1796">
        <f>GVL!$I$181</f>
        <v>16604.075560000001</v>
      </c>
      <c r="I1466" s="1796">
        <f>H1466*G1466</f>
        <v>16936157.071200002</v>
      </c>
    </row>
    <row r="1467" spans="1:12" ht="15">
      <c r="B1467" s="1536" t="str">
        <f>'8.Dgia'!B1109</f>
        <v/>
      </c>
      <c r="C1467" s="1537">
        <f>'8.Dgia'!C1109</f>
        <v>0</v>
      </c>
      <c r="D1467" s="1537">
        <f>'8.Dgia'!D1109</f>
        <v>0</v>
      </c>
      <c r="E1467" s="1749" t="str">
        <f>'8.Dgia'!E1109</f>
        <v>Dây thép buộc</v>
      </c>
      <c r="F1467" s="1763" t="str">
        <f>'8.Dgia'!G1109</f>
        <v>kg</v>
      </c>
      <c r="G1467" s="1981">
        <f>'8.Dgia'!H1109</f>
        <v>14.28</v>
      </c>
      <c r="H1467" s="1796">
        <f>GVL!$I$89</f>
        <v>18180</v>
      </c>
      <c r="I1467" s="1796">
        <f>H1467*G1467</f>
        <v>259610.4</v>
      </c>
    </row>
    <row r="1468" spans="1:12" ht="15">
      <c r="B1468" s="1536" t="str">
        <f>'8.Dgia'!B1110</f>
        <v/>
      </c>
      <c r="C1468" s="1537">
        <f>'8.Dgia'!C1110</f>
        <v>0</v>
      </c>
      <c r="D1468" s="1537">
        <f>'8.Dgia'!D1110</f>
        <v>0</v>
      </c>
      <c r="E1468" s="1749" t="str">
        <f>'8.Dgia'!E1110</f>
        <v>Que hàn</v>
      </c>
      <c r="F1468" s="1763" t="str">
        <f>'8.Dgia'!G1110</f>
        <v>kg</v>
      </c>
      <c r="G1468" s="1981">
        <f>'8.Dgia'!H1110</f>
        <v>6.04</v>
      </c>
      <c r="H1468" s="1796">
        <f>GVL!$I$153</f>
        <v>19090.909090909088</v>
      </c>
      <c r="I1468" s="1796">
        <f>H1468*G1468</f>
        <v>115309.0909090909</v>
      </c>
    </row>
    <row r="1469" spans="1:12" s="658" customFormat="1" ht="15">
      <c r="B1469" s="1536" t="str">
        <f>'8.Dgia'!B1111</f>
        <v/>
      </c>
      <c r="C1469" s="1537">
        <f>'8.Dgia'!C1111</f>
        <v>0</v>
      </c>
      <c r="D1469" s="1537">
        <f>'8.Dgia'!D1111</f>
        <v>0</v>
      </c>
      <c r="E1469" s="1744" t="str">
        <f>'8.Dgia'!E1111</f>
        <v xml:space="preserve">  B - Nhân công 3.5/7</v>
      </c>
      <c r="F1469" s="1745" t="s">
        <v>552</v>
      </c>
      <c r="G1469" s="1954">
        <f>'8.Dgia'!H1111</f>
        <v>9.1</v>
      </c>
      <c r="H1469" s="1796">
        <f>'16.NC'!$H$16</f>
        <v>235816</v>
      </c>
      <c r="I1469" s="1798">
        <f>H1469*G1469</f>
        <v>2145925.6</v>
      </c>
      <c r="J1469" s="850"/>
      <c r="K1469" s="850"/>
      <c r="L1469" s="850"/>
    </row>
    <row r="1470" spans="1:12" s="658" customFormat="1" ht="15">
      <c r="B1470" s="1536" t="str">
        <f>'8.Dgia'!B1112</f>
        <v/>
      </c>
      <c r="C1470" s="1537">
        <f>'8.Dgia'!C1112</f>
        <v>0</v>
      </c>
      <c r="D1470" s="1537">
        <f>'8.Dgia'!D1112</f>
        <v>0</v>
      </c>
      <c r="E1470" s="1744" t="str">
        <f>'8.Dgia'!E1112</f>
        <v xml:space="preserve">  C - Máy thi công</v>
      </c>
      <c r="F1470" s="1763">
        <f>'8.Dgia'!G1112</f>
        <v>0</v>
      </c>
      <c r="G1470" s="1746">
        <f>'8.Dgia'!H1112</f>
        <v>0</v>
      </c>
      <c r="H1470" s="1796"/>
      <c r="I1470" s="1799">
        <f>SUM(I1471:I1472)</f>
        <v>262767.86567999999</v>
      </c>
      <c r="J1470" s="850"/>
      <c r="K1470" s="850"/>
      <c r="L1470" s="850"/>
    </row>
    <row r="1471" spans="1:12" ht="15">
      <c r="B1471" s="1536" t="str">
        <f>'8.Dgia'!B1113</f>
        <v/>
      </c>
      <c r="C1471" s="1537">
        <f>'8.Dgia'!C1113</f>
        <v>0</v>
      </c>
      <c r="D1471" s="1537">
        <f>'8.Dgia'!D1113</f>
        <v>0</v>
      </c>
      <c r="E1471" s="1749" t="str">
        <f>'8.Dgia'!E1113</f>
        <v>Máy hàn 23kw</v>
      </c>
      <c r="F1471" s="1745" t="s">
        <v>5493</v>
      </c>
      <c r="G1471" s="1746">
        <f>'8.Dgia'!H1113</f>
        <v>1.456</v>
      </c>
      <c r="H1471" s="1796">
        <f>'9.may'!$P$510</f>
        <v>171649.155</v>
      </c>
      <c r="I1471" s="1796">
        <f>H1471*G1471</f>
        <v>249921.16967999999</v>
      </c>
    </row>
    <row r="1472" spans="1:12" ht="15">
      <c r="B1472" s="1536" t="str">
        <f>'8.Dgia'!B1114</f>
        <v/>
      </c>
      <c r="C1472" s="1537">
        <f>'8.Dgia'!C1114</f>
        <v>0</v>
      </c>
      <c r="D1472" s="1537">
        <f>'8.Dgia'!D1114</f>
        <v>0</v>
      </c>
      <c r="E1472" s="1749" t="str">
        <f>'8.Dgia'!E1114</f>
        <v>Máy cắt uốn</v>
      </c>
      <c r="F1472" s="1745" t="s">
        <v>5493</v>
      </c>
      <c r="G1472" s="1954">
        <f>'8.Dgia'!H1114</f>
        <v>0.16</v>
      </c>
      <c r="H1472" s="1796">
        <f>'9.may'!$P$557</f>
        <v>80291.850000000006</v>
      </c>
      <c r="I1472" s="1796">
        <f>H1472*G1472</f>
        <v>12846.696000000002</v>
      </c>
    </row>
    <row r="1473" spans="1:12" s="658" customFormat="1" ht="15">
      <c r="B1473" s="1675"/>
      <c r="C1473" s="1676"/>
      <c r="D1473" s="1676"/>
      <c r="E1473" s="1800" t="s">
        <v>5675</v>
      </c>
      <c r="F1473" s="1763">
        <f>$J$5</f>
        <v>0.02</v>
      </c>
      <c r="G1473" s="1754"/>
      <c r="H1473" s="1799"/>
      <c r="I1473" s="1799">
        <f>( I1465+I1469+I1470 )*F1473</f>
        <v>394395.4005557819</v>
      </c>
      <c r="J1473" s="850"/>
      <c r="K1473" s="850"/>
      <c r="L1473" s="850"/>
    </row>
    <row r="1474" spans="1:12" ht="15">
      <c r="B1474" s="1540"/>
      <c r="C1474" s="1541"/>
      <c r="D1474" s="1541"/>
      <c r="E1474" s="1801" t="s">
        <v>5676</v>
      </c>
      <c r="F1474" s="1763"/>
      <c r="G1474" s="1759"/>
      <c r="H1474" s="1802"/>
      <c r="I1474" s="1802">
        <f>I1473+I1473/F1473</f>
        <v>20114165.428344876</v>
      </c>
    </row>
    <row r="1475" spans="1:12" ht="15">
      <c r="B1475" s="1536"/>
      <c r="C1475" s="1537"/>
      <c r="D1475" s="1537"/>
      <c r="E1475" s="1803" t="s">
        <v>5677</v>
      </c>
      <c r="F1475" s="1763">
        <f>$K$5</f>
        <v>5.5E-2</v>
      </c>
      <c r="G1475" s="1746"/>
      <c r="H1475" s="1796"/>
      <c r="I1475" s="1796">
        <f>I1474*F1475</f>
        <v>1106279.0985589682</v>
      </c>
    </row>
    <row r="1476" spans="1:12" ht="15">
      <c r="B1476" s="1536"/>
      <c r="C1476" s="1537"/>
      <c r="D1476" s="1537"/>
      <c r="E1476" s="1803" t="s">
        <v>5678</v>
      </c>
      <c r="F1476" s="1763">
        <f>$L$5</f>
        <v>0.06</v>
      </c>
      <c r="G1476" s="1746"/>
      <c r="H1476" s="1796"/>
      <c r="I1476" s="1796">
        <f>SUM(I1474:I1475)*F1476</f>
        <v>1273226.6716142306</v>
      </c>
    </row>
    <row r="1477" spans="1:12" ht="14.25">
      <c r="B1477" s="1540"/>
      <c r="C1477" s="1541"/>
      <c r="D1477" s="1541"/>
      <c r="E1477" s="1801" t="s">
        <v>5679</v>
      </c>
      <c r="F1477" s="1791"/>
      <c r="G1477" s="1759"/>
      <c r="H1477" s="1802"/>
      <c r="I1477" s="1802">
        <f>SUM(I1474:I1476)</f>
        <v>22493671.198518075</v>
      </c>
    </row>
    <row r="1478" spans="1:12" ht="15">
      <c r="B1478" s="1536"/>
      <c r="C1478" s="1537"/>
      <c r="D1478" s="1537"/>
      <c r="E1478" s="1803" t="s">
        <v>5680</v>
      </c>
      <c r="F1478" s="1765">
        <f>$M$5</f>
        <v>0.1</v>
      </c>
      <c r="G1478" s="1746"/>
      <c r="H1478" s="1796"/>
      <c r="I1478" s="1796">
        <f>I1477*F1478</f>
        <v>2249367.1198518076</v>
      </c>
    </row>
    <row r="1479" spans="1:12" ht="14.25">
      <c r="B1479" s="1540"/>
      <c r="C1479" s="1541"/>
      <c r="D1479" s="1541"/>
      <c r="E1479" s="1801" t="s">
        <v>5681</v>
      </c>
      <c r="F1479" s="1791"/>
      <c r="G1479" s="1759"/>
      <c r="H1479" s="1802"/>
      <c r="I1479" s="1802">
        <f>SUM(I1477:I1478)</f>
        <v>24743038.318369884</v>
      </c>
    </row>
    <row r="1480" spans="1:12" ht="12.75">
      <c r="B1480" s="1536"/>
      <c r="C1480" s="1537"/>
      <c r="D1480" s="1537"/>
      <c r="E1480" s="1464" t="s">
        <v>5682</v>
      </c>
      <c r="F1480" s="1535">
        <f>$N$5</f>
        <v>0.01</v>
      </c>
      <c r="G1480" s="1538"/>
      <c r="H1480" s="1539"/>
      <c r="I1480" s="1539">
        <f>I1479*F1480</f>
        <v>247430.38318369884</v>
      </c>
    </row>
    <row r="1481" spans="1:12" ht="14.25">
      <c r="B1481" s="2116"/>
      <c r="C1481" s="1544"/>
      <c r="D1481" s="2116"/>
      <c r="E1481" s="2117" t="s">
        <v>5683</v>
      </c>
      <c r="F1481" s="2115"/>
      <c r="G1481" s="2117"/>
      <c r="H1481" s="2118"/>
      <c r="I1481" s="2110">
        <f>ROUND(I1479+I1480,0)</f>
        <v>24990469</v>
      </c>
    </row>
    <row r="1482" spans="1:12" ht="15" customHeight="1">
      <c r="A1482" s="657">
        <v>1</v>
      </c>
      <c r="B1482" s="1546">
        <f>IF(A1482&lt;&gt;0,COUNTA(A$7:$A1482),"")</f>
        <v>80</v>
      </c>
      <c r="C1482" s="1547">
        <f>'8.Dgia'!C1115</f>
        <v>1776</v>
      </c>
      <c r="D1482" s="1547" t="str">
        <f>'8.Dgia'!D1115</f>
        <v>AF.82111</v>
      </c>
      <c r="E1482" s="1740" t="str">
        <f>'8.Dgia'!E1115</f>
        <v>Ván khuôn (tường, cột, dầm, giằng…)</v>
      </c>
      <c r="F1482" s="1789" t="str">
        <f>'8.Dgia'!G1115</f>
        <v>100m2</v>
      </c>
      <c r="G1482" s="1742">
        <f>'8.Dgia'!H1115</f>
        <v>0</v>
      </c>
      <c r="H1482" s="1795"/>
      <c r="I1482" s="1795"/>
      <c r="J1482" s="842">
        <f>+I1483</f>
        <v>4793838.3108242452</v>
      </c>
      <c r="K1482" s="842">
        <f>+I1489</f>
        <v>9831222.7200000007</v>
      </c>
      <c r="L1482" s="842">
        <f>+I1490</f>
        <v>294440.26094999997</v>
      </c>
    </row>
    <row r="1483" spans="1:12" s="658" customFormat="1" ht="15">
      <c r="B1483" s="1536" t="str">
        <f>'8.Dgia'!B1116</f>
        <v/>
      </c>
      <c r="C1483" s="1537">
        <f>'8.Dgia'!C1116</f>
        <v>0</v>
      </c>
      <c r="D1483" s="1537">
        <f>'8.Dgia'!D1116</f>
        <v>0</v>
      </c>
      <c r="E1483" s="1744" t="str">
        <f>'8.Dgia'!E1116</f>
        <v xml:space="preserve">  A - Vật liệu</v>
      </c>
      <c r="F1483" s="1763">
        <f>'8.Dgia'!G1116</f>
        <v>0</v>
      </c>
      <c r="G1483" s="1746">
        <f>'8.Dgia'!H1116</f>
        <v>0</v>
      </c>
      <c r="H1483" s="1796"/>
      <c r="I1483" s="1797">
        <f>SUM(I1484:I1488)</f>
        <v>4793838.3108242452</v>
      </c>
      <c r="J1483" s="850"/>
      <c r="K1483" s="850"/>
      <c r="L1483" s="850"/>
    </row>
    <row r="1484" spans="1:12" ht="15">
      <c r="B1484" s="1536" t="str">
        <f>'8.Dgia'!B1117</f>
        <v/>
      </c>
      <c r="C1484" s="1537">
        <f>'8.Dgia'!C1117</f>
        <v>0</v>
      </c>
      <c r="D1484" s="1537">
        <f>'8.Dgia'!D1117</f>
        <v>0</v>
      </c>
      <c r="E1484" s="1749" t="str">
        <f>'8.Dgia'!E1117</f>
        <v>Thép tấm</v>
      </c>
      <c r="F1484" s="1763" t="str">
        <f>'8.Dgia'!G1117</f>
        <v>kg</v>
      </c>
      <c r="G1484" s="1981">
        <f>'8.Dgia'!H1117</f>
        <v>51.81</v>
      </c>
      <c r="H1484" s="1796">
        <f>GVL!$I$175</f>
        <v>12871.348287272725</v>
      </c>
      <c r="I1484" s="1796">
        <f>H1484*G1484</f>
        <v>666864.55476359988</v>
      </c>
    </row>
    <row r="1485" spans="1:12" ht="15">
      <c r="B1485" s="1536" t="str">
        <f>'8.Dgia'!B1118</f>
        <v/>
      </c>
      <c r="C1485" s="1537">
        <f>'8.Dgia'!C1118</f>
        <v>0</v>
      </c>
      <c r="D1485" s="1537">
        <f>'8.Dgia'!D1118</f>
        <v>0</v>
      </c>
      <c r="E1485" s="1749" t="str">
        <f>'8.Dgia'!E1118</f>
        <v>Thép hình</v>
      </c>
      <c r="F1485" s="1763" t="str">
        <f>'8.Dgia'!G1118</f>
        <v>kg</v>
      </c>
      <c r="G1485" s="1981">
        <f>'8.Dgia'!H1118</f>
        <v>48.84</v>
      </c>
      <c r="H1485" s="1796">
        <f>GVL!$I$170</f>
        <v>16703.248369172808</v>
      </c>
      <c r="I1485" s="1796">
        <f>H1485*G1485</f>
        <v>815786.65035040001</v>
      </c>
    </row>
    <row r="1486" spans="1:12" ht="15">
      <c r="B1486" s="1536" t="str">
        <f>'8.Dgia'!B1119</f>
        <v/>
      </c>
      <c r="C1486" s="1537">
        <f>'8.Dgia'!C1119</f>
        <v>0</v>
      </c>
      <c r="D1486" s="1537">
        <f>'8.Dgia'!D1119</f>
        <v>0</v>
      </c>
      <c r="E1486" s="1749" t="str">
        <f>'8.Dgia'!E1119</f>
        <v>Gỗ</v>
      </c>
      <c r="F1486" s="1763" t="str">
        <f>'8.Dgia'!G1119</f>
        <v>m3</v>
      </c>
      <c r="G1486" s="1746">
        <f>'8.Dgia'!H1119</f>
        <v>0.496</v>
      </c>
      <c r="H1486" s="1796">
        <f>GVL!$I$96</f>
        <v>6000000</v>
      </c>
      <c r="I1486" s="1796">
        <f>H1486*G1486</f>
        <v>2976000</v>
      </c>
    </row>
    <row r="1487" spans="1:12" ht="15">
      <c r="B1487" s="1536" t="str">
        <f>'8.Dgia'!B1120</f>
        <v/>
      </c>
      <c r="C1487" s="1537">
        <f>'8.Dgia'!C1120</f>
        <v>0</v>
      </c>
      <c r="D1487" s="1537">
        <f>'8.Dgia'!D1120</f>
        <v>0</v>
      </c>
      <c r="E1487" s="1749" t="str">
        <f>'8.Dgia'!E1120</f>
        <v>Que hàn</v>
      </c>
      <c r="F1487" s="1763" t="str">
        <f>'8.Dgia'!G1120</f>
        <v>kg</v>
      </c>
      <c r="G1487" s="1954">
        <f>'8.Dgia'!H1120</f>
        <v>5.6</v>
      </c>
      <c r="H1487" s="1796">
        <f>GVL!$I$153</f>
        <v>19090.909090909088</v>
      </c>
      <c r="I1487" s="1796">
        <f>H1487*G1487</f>
        <v>106909.09090909088</v>
      </c>
    </row>
    <row r="1488" spans="1:12" ht="15">
      <c r="B1488" s="1536" t="str">
        <f>'8.Dgia'!B1121</f>
        <v/>
      </c>
      <c r="C1488" s="1537">
        <f>'8.Dgia'!C1121</f>
        <v>0</v>
      </c>
      <c r="D1488" s="1537">
        <f>'8.Dgia'!D1121</f>
        <v>0</v>
      </c>
      <c r="E1488" s="1749" t="str">
        <f>'8.Dgia'!E1121</f>
        <v>Vật liệu khác</v>
      </c>
      <c r="F1488" s="1763" t="str">
        <f>'8.Dgia'!G1121</f>
        <v>%</v>
      </c>
      <c r="G1488" s="1954">
        <f>'8.Dgia'!H1121</f>
        <v>5</v>
      </c>
      <c r="H1488" s="1796">
        <f>SUM(I1484:I1487)</f>
        <v>4565560.2960230904</v>
      </c>
      <c r="I1488" s="1796">
        <f>H1488*G1488%</f>
        <v>228278.01480115452</v>
      </c>
    </row>
    <row r="1489" spans="1:12" s="658" customFormat="1" ht="15">
      <c r="B1489" s="1536" t="str">
        <f>'8.Dgia'!B1122</f>
        <v/>
      </c>
      <c r="C1489" s="1537">
        <f>'8.Dgia'!C1122</f>
        <v>0</v>
      </c>
      <c r="D1489" s="1537">
        <f>'8.Dgia'!D1122</f>
        <v>0</v>
      </c>
      <c r="E1489" s="1744" t="str">
        <f>'8.Dgia'!E1122</f>
        <v xml:space="preserve">  B - Nhân công 4.0/7</v>
      </c>
      <c r="F1489" s="1745" t="s">
        <v>552</v>
      </c>
      <c r="G1489" s="1981">
        <f>'8.Dgia'!H1122</f>
        <v>38.28</v>
      </c>
      <c r="H1489" s="1796">
        <f>'16.NC'!$H$18</f>
        <v>256824</v>
      </c>
      <c r="I1489" s="1798">
        <f>H1489*G1489</f>
        <v>9831222.7200000007</v>
      </c>
      <c r="J1489" s="850"/>
      <c r="K1489" s="850"/>
      <c r="L1489" s="850"/>
    </row>
    <row r="1490" spans="1:12" s="658" customFormat="1" ht="15">
      <c r="B1490" s="1536" t="str">
        <f>'8.Dgia'!B1123</f>
        <v/>
      </c>
      <c r="C1490" s="1537">
        <f>'8.Dgia'!C1123</f>
        <v>0</v>
      </c>
      <c r="D1490" s="1537">
        <f>'8.Dgia'!D1123</f>
        <v>0</v>
      </c>
      <c r="E1490" s="1744" t="str">
        <f>'8.Dgia'!E1123</f>
        <v xml:space="preserve">  C - Máy thi công</v>
      </c>
      <c r="F1490" s="1763">
        <f>'8.Dgia'!G1123</f>
        <v>0</v>
      </c>
      <c r="G1490" s="1981">
        <f>'8.Dgia'!H1123</f>
        <v>0</v>
      </c>
      <c r="H1490" s="1796"/>
      <c r="I1490" s="1799">
        <f>SUM(I1491:I1493)</f>
        <v>294440.26094999997</v>
      </c>
      <c r="J1490" s="850"/>
      <c r="K1490" s="850"/>
      <c r="L1490" s="850"/>
    </row>
    <row r="1491" spans="1:12" ht="15">
      <c r="B1491" s="1536" t="str">
        <f>'8.Dgia'!B1124</f>
        <v/>
      </c>
      <c r="C1491" s="1537">
        <f>'8.Dgia'!C1124</f>
        <v>0</v>
      </c>
      <c r="D1491" s="1537">
        <f>'8.Dgia'!D1124</f>
        <v>0</v>
      </c>
      <c r="E1491" s="1749" t="str">
        <f>'8.Dgia'!E1124</f>
        <v>Máy hàn 23kw</v>
      </c>
      <c r="F1491" s="1745" t="s">
        <v>5493</v>
      </c>
      <c r="G1491" s="1981">
        <f>'8.Dgia'!H1124</f>
        <v>1.5</v>
      </c>
      <c r="H1491" s="1796">
        <f>'9.may'!$P$510</f>
        <v>171649.155</v>
      </c>
      <c r="I1491" s="1796">
        <f>H1491*G1491</f>
        <v>257473.73249999998</v>
      </c>
    </row>
    <row r="1492" spans="1:12" ht="15">
      <c r="B1492" s="1536" t="str">
        <f>'8.Dgia'!B1125</f>
        <v/>
      </c>
      <c r="C1492" s="1537">
        <f>'8.Dgia'!C1125</f>
        <v>0</v>
      </c>
      <c r="D1492" s="1537">
        <f>'8.Dgia'!D1125</f>
        <v>0</v>
      </c>
      <c r="E1492" s="1749" t="str">
        <f>'8.Dgia'!E1125</f>
        <v>Vận thăng 0.8T</v>
      </c>
      <c r="F1492" s="1745" t="s">
        <v>5493</v>
      </c>
      <c r="G1492" s="1981">
        <f>'8.Dgia'!H1125</f>
        <v>0.25</v>
      </c>
      <c r="H1492" s="1796">
        <f>'9.may'!$P$295</f>
        <v>124772.76000000001</v>
      </c>
      <c r="I1492" s="1796">
        <f>H1492*G1492</f>
        <v>31193.190000000002</v>
      </c>
    </row>
    <row r="1493" spans="1:12" ht="15">
      <c r="B1493" s="1536" t="str">
        <f>'8.Dgia'!B1126</f>
        <v/>
      </c>
      <c r="C1493" s="1537">
        <f>'8.Dgia'!C1126</f>
        <v>0</v>
      </c>
      <c r="D1493" s="1537">
        <f>'8.Dgia'!D1126</f>
        <v>0</v>
      </c>
      <c r="E1493" s="1749" t="str">
        <f>'8.Dgia'!E1126</f>
        <v>Máy khác</v>
      </c>
      <c r="F1493" s="1763" t="str">
        <f>'8.Dgia'!G1126</f>
        <v>%</v>
      </c>
      <c r="G1493" s="1954">
        <f>'8.Dgia'!H1126</f>
        <v>2</v>
      </c>
      <c r="H1493" s="1796">
        <f>SUM(I1491:I1492)</f>
        <v>288666.92249999999</v>
      </c>
      <c r="I1493" s="1796">
        <f>H1493*G1493%</f>
        <v>5773.3384500000002</v>
      </c>
    </row>
    <row r="1494" spans="1:12" s="658" customFormat="1" ht="15">
      <c r="B1494" s="1675"/>
      <c r="C1494" s="1676"/>
      <c r="D1494" s="1676"/>
      <c r="E1494" s="1800" t="s">
        <v>5675</v>
      </c>
      <c r="F1494" s="1763">
        <f>$J$5</f>
        <v>0.02</v>
      </c>
      <c r="G1494" s="1754"/>
      <c r="H1494" s="1799"/>
      <c r="I1494" s="1799">
        <f>( I1483+I1489+I1490 )*F1494</f>
        <v>298390.02583548491</v>
      </c>
      <c r="J1494" s="850"/>
      <c r="K1494" s="850"/>
      <c r="L1494" s="850"/>
    </row>
    <row r="1495" spans="1:12" ht="15">
      <c r="B1495" s="1540"/>
      <c r="C1495" s="1541"/>
      <c r="D1495" s="1541"/>
      <c r="E1495" s="1801" t="s">
        <v>5676</v>
      </c>
      <c r="F1495" s="1763"/>
      <c r="G1495" s="1759"/>
      <c r="H1495" s="1802"/>
      <c r="I1495" s="1802">
        <f>I1494+I1494/F1494</f>
        <v>15217891.317609729</v>
      </c>
    </row>
    <row r="1496" spans="1:12" ht="15">
      <c r="B1496" s="1536"/>
      <c r="C1496" s="1537"/>
      <c r="D1496" s="1537"/>
      <c r="E1496" s="1803" t="s">
        <v>5677</v>
      </c>
      <c r="F1496" s="1763">
        <f>$K$5</f>
        <v>5.5E-2</v>
      </c>
      <c r="G1496" s="1746"/>
      <c r="H1496" s="1796"/>
      <c r="I1496" s="1796">
        <f>I1495*F1496</f>
        <v>836984.02246853511</v>
      </c>
    </row>
    <row r="1497" spans="1:12" ht="15">
      <c r="B1497" s="1536"/>
      <c r="C1497" s="1537"/>
      <c r="D1497" s="1537"/>
      <c r="E1497" s="1803" t="s">
        <v>5678</v>
      </c>
      <c r="F1497" s="1763">
        <f>$L$5</f>
        <v>0.06</v>
      </c>
      <c r="G1497" s="1746"/>
      <c r="H1497" s="1796"/>
      <c r="I1497" s="1796">
        <f>SUM(I1495:I1496)*F1497</f>
        <v>963292.52040469588</v>
      </c>
    </row>
    <row r="1498" spans="1:12" ht="14.25">
      <c r="B1498" s="1540"/>
      <c r="C1498" s="1541"/>
      <c r="D1498" s="1541"/>
      <c r="E1498" s="1801" t="s">
        <v>5679</v>
      </c>
      <c r="F1498" s="1791"/>
      <c r="G1498" s="1759"/>
      <c r="H1498" s="1802"/>
      <c r="I1498" s="1802">
        <f>SUM(I1495:I1497)</f>
        <v>17018167.860482961</v>
      </c>
    </row>
    <row r="1499" spans="1:12" ht="15">
      <c r="B1499" s="1536"/>
      <c r="C1499" s="1537"/>
      <c r="D1499" s="1537"/>
      <c r="E1499" s="1803" t="s">
        <v>5680</v>
      </c>
      <c r="F1499" s="1765">
        <f>$M$5</f>
        <v>0.1</v>
      </c>
      <c r="G1499" s="1746"/>
      <c r="H1499" s="1796"/>
      <c r="I1499" s="1796">
        <f>I1498*F1499</f>
        <v>1701816.7860482961</v>
      </c>
    </row>
    <row r="1500" spans="1:12" ht="14.25">
      <c r="B1500" s="1540"/>
      <c r="C1500" s="1541"/>
      <c r="D1500" s="1541"/>
      <c r="E1500" s="1801" t="s">
        <v>5681</v>
      </c>
      <c r="F1500" s="1791"/>
      <c r="G1500" s="1759"/>
      <c r="H1500" s="1802"/>
      <c r="I1500" s="1802">
        <f>SUM(I1498:I1499)</f>
        <v>18719984.646531258</v>
      </c>
    </row>
    <row r="1501" spans="1:12" ht="12.75">
      <c r="B1501" s="1536"/>
      <c r="C1501" s="1537"/>
      <c r="D1501" s="1537"/>
      <c r="E1501" s="1464" t="s">
        <v>5682</v>
      </c>
      <c r="F1501" s="1535">
        <f>$N$5</f>
        <v>0.01</v>
      </c>
      <c r="G1501" s="1538"/>
      <c r="H1501" s="1539"/>
      <c r="I1501" s="1539">
        <f>I1500*F1501</f>
        <v>187199.84646531258</v>
      </c>
    </row>
    <row r="1502" spans="1:12" ht="14.25">
      <c r="B1502" s="2116"/>
      <c r="C1502" s="1544"/>
      <c r="D1502" s="2116"/>
      <c r="E1502" s="2117" t="s">
        <v>5683</v>
      </c>
      <c r="F1502" s="2115"/>
      <c r="G1502" s="2117"/>
      <c r="H1502" s="2118"/>
      <c r="I1502" s="2110">
        <f>ROUND(I1500+I1501,0)</f>
        <v>18907184</v>
      </c>
    </row>
    <row r="1503" spans="1:12" ht="14.25">
      <c r="A1503" s="657">
        <v>1</v>
      </c>
      <c r="B1503" s="1546">
        <f>IF(A1503&lt;&gt;0,COUNTA(A$7:$A1503),"")</f>
        <v>81</v>
      </c>
      <c r="C1503" s="1547">
        <f>'8.Dgia'!C1127</f>
        <v>1776</v>
      </c>
      <c r="D1503" s="1547" t="str">
        <f>'8.Dgia'!D1127</f>
        <v>AF.61711</v>
      </c>
      <c r="E1503" s="1740" t="str">
        <f>'8.Dgia'!E1127</f>
        <v>Cốt thép D&lt;=10 bản mặt cầu</v>
      </c>
      <c r="F1503" s="1789" t="s">
        <v>557</v>
      </c>
      <c r="G1503" s="1742">
        <f>'8.Dgia'!H1127</f>
        <v>0</v>
      </c>
      <c r="H1503" s="1795"/>
      <c r="I1503" s="1795"/>
      <c r="J1503" s="842">
        <f>+I1504</f>
        <v>17227261.537800003</v>
      </c>
      <c r="K1503" s="842">
        <f>+I1507</f>
        <v>3449988.08</v>
      </c>
      <c r="L1503" s="842">
        <f>+I1508</f>
        <v>32759.074800000006</v>
      </c>
    </row>
    <row r="1504" spans="1:12" s="658" customFormat="1" ht="15">
      <c r="B1504" s="1536" t="str">
        <f>'8.Dgia'!B1128</f>
        <v/>
      </c>
      <c r="C1504" s="1537">
        <f>'8.Dgia'!C1128</f>
        <v>0</v>
      </c>
      <c r="D1504" s="1537">
        <f>'8.Dgia'!D1128</f>
        <v>0</v>
      </c>
      <c r="E1504" s="1744" t="str">
        <f>'8.Dgia'!E1128</f>
        <v xml:space="preserve">  A - Vật liệu</v>
      </c>
      <c r="F1504" s="1763">
        <f>'8.Dgia'!G1128</f>
        <v>0</v>
      </c>
      <c r="G1504" s="1746">
        <f>'8.Dgia'!H1128</f>
        <v>0</v>
      </c>
      <c r="H1504" s="1796"/>
      <c r="I1504" s="1797">
        <f>SUM(I1505:I1506)</f>
        <v>17227261.537800003</v>
      </c>
      <c r="J1504" s="850"/>
      <c r="K1504" s="850"/>
      <c r="L1504" s="850"/>
    </row>
    <row r="1505" spans="1:12" ht="15">
      <c r="B1505" s="1536" t="str">
        <f>'8.Dgia'!B1129</f>
        <v/>
      </c>
      <c r="C1505" s="1537">
        <f>'8.Dgia'!C1129</f>
        <v>0</v>
      </c>
      <c r="D1505" s="1537">
        <f>'8.Dgia'!D1129</f>
        <v>0</v>
      </c>
      <c r="E1505" s="1749" t="str">
        <f>'8.Dgia'!E1129</f>
        <v>Thép tròn D&lt;=10</v>
      </c>
      <c r="F1505" s="1763" t="str">
        <f>'8.Dgia'!G1129</f>
        <v>kg</v>
      </c>
      <c r="G1505" s="1954">
        <f>'8.Dgia'!H1129</f>
        <v>1005</v>
      </c>
      <c r="H1505" s="1796">
        <f>GVL!$I$179</f>
        <v>16754.075560000001</v>
      </c>
      <c r="I1505" s="1796">
        <f>H1505*G1505</f>
        <v>16837845.937800001</v>
      </c>
    </row>
    <row r="1506" spans="1:12" ht="15">
      <c r="B1506" s="1536" t="str">
        <f>'8.Dgia'!B1130</f>
        <v/>
      </c>
      <c r="C1506" s="1537">
        <f>'8.Dgia'!C1130</f>
        <v>0</v>
      </c>
      <c r="D1506" s="1537">
        <f>'8.Dgia'!D1130</f>
        <v>0</v>
      </c>
      <c r="E1506" s="1749" t="str">
        <f>'8.Dgia'!E1130</f>
        <v>Dây thép buộc</v>
      </c>
      <c r="F1506" s="1763" t="str">
        <f>'8.Dgia'!G1130</f>
        <v>kg</v>
      </c>
      <c r="G1506" s="1746">
        <f>'8.Dgia'!H1130</f>
        <v>21.42</v>
      </c>
      <c r="H1506" s="1796">
        <f>GVL!$I$89</f>
        <v>18180</v>
      </c>
      <c r="I1506" s="1796">
        <f>H1506*G1506</f>
        <v>389415.60000000003</v>
      </c>
    </row>
    <row r="1507" spans="1:12" s="658" customFormat="1" ht="15">
      <c r="B1507" s="1536" t="str">
        <f>'8.Dgia'!B1131</f>
        <v/>
      </c>
      <c r="C1507" s="1537">
        <f>'8.Dgia'!C1131</f>
        <v>0</v>
      </c>
      <c r="D1507" s="1537">
        <f>'8.Dgia'!D1131</f>
        <v>0</v>
      </c>
      <c r="E1507" s="1744" t="str">
        <f>'8.Dgia'!E1131</f>
        <v xml:space="preserve">  B - Nhân công 3.5/7</v>
      </c>
      <c r="F1507" s="1745" t="s">
        <v>552</v>
      </c>
      <c r="G1507" s="1746">
        <f>'8.Dgia'!H1131</f>
        <v>14.63</v>
      </c>
      <c r="H1507" s="1796">
        <f>'16.NC'!$H$16</f>
        <v>235816</v>
      </c>
      <c r="I1507" s="1798">
        <f>H1507*G1507</f>
        <v>3449988.08</v>
      </c>
      <c r="J1507" s="850"/>
      <c r="K1507" s="850"/>
      <c r="L1507" s="850"/>
    </row>
    <row r="1508" spans="1:12" s="658" customFormat="1" ht="15">
      <c r="B1508" s="1536" t="str">
        <f>'8.Dgia'!B1132</f>
        <v/>
      </c>
      <c r="C1508" s="1537">
        <f>'8.Dgia'!C1132</f>
        <v>0</v>
      </c>
      <c r="D1508" s="1537">
        <f>'8.Dgia'!D1132</f>
        <v>0</v>
      </c>
      <c r="E1508" s="1744" t="str">
        <f>'8.Dgia'!E1132</f>
        <v xml:space="preserve">  C - Máy thi công</v>
      </c>
      <c r="F1508" s="1763">
        <f>'8.Dgia'!G1132</f>
        <v>0</v>
      </c>
      <c r="G1508" s="1746">
        <f>'8.Dgia'!H1132</f>
        <v>0</v>
      </c>
      <c r="H1508" s="1796"/>
      <c r="I1508" s="1799">
        <f>SUM(I1509:I1510)</f>
        <v>32759.074800000006</v>
      </c>
      <c r="J1508" s="850"/>
      <c r="K1508" s="850"/>
      <c r="L1508" s="850"/>
    </row>
    <row r="1509" spans="1:12" ht="15">
      <c r="B1509" s="1536" t="str">
        <f>'8.Dgia'!B1133</f>
        <v/>
      </c>
      <c r="C1509" s="1537">
        <f>'8.Dgia'!C1133</f>
        <v>0</v>
      </c>
      <c r="D1509" s="1537">
        <f>'8.Dgia'!D1133</f>
        <v>0</v>
      </c>
      <c r="E1509" s="1749" t="str">
        <f>'8.Dgia'!E1133</f>
        <v>Máy cắt uốn</v>
      </c>
      <c r="F1509" s="1745" t="s">
        <v>5493</v>
      </c>
      <c r="G1509" s="1954">
        <f>'8.Dgia'!H1133</f>
        <v>0.4</v>
      </c>
      <c r="H1509" s="1796">
        <f>'9.may'!$P$557</f>
        <v>80291.850000000006</v>
      </c>
      <c r="I1509" s="1796">
        <f>H1509*G1509</f>
        <v>32116.740000000005</v>
      </c>
    </row>
    <row r="1510" spans="1:12" ht="15">
      <c r="B1510" s="1536" t="str">
        <f>'8.Dgia'!B1134</f>
        <v/>
      </c>
      <c r="C1510" s="1537">
        <f>'8.Dgia'!C1134</f>
        <v>0</v>
      </c>
      <c r="D1510" s="1537">
        <f>'8.Dgia'!D1134</f>
        <v>0</v>
      </c>
      <c r="E1510" s="1749" t="str">
        <f>'8.Dgia'!E1134</f>
        <v>Máy khác</v>
      </c>
      <c r="F1510" s="1763" t="str">
        <f>'8.Dgia'!G1134</f>
        <v>%</v>
      </c>
      <c r="G1510" s="1954">
        <f>'8.Dgia'!H1134</f>
        <v>2</v>
      </c>
      <c r="H1510" s="1796">
        <f>SUM(I1509:I1509)</f>
        <v>32116.740000000005</v>
      </c>
      <c r="I1510" s="1796">
        <f>H1510*G1510%</f>
        <v>642.33480000000009</v>
      </c>
    </row>
    <row r="1511" spans="1:12" s="658" customFormat="1" ht="15">
      <c r="B1511" s="1675"/>
      <c r="C1511" s="1676"/>
      <c r="D1511" s="1676"/>
      <c r="E1511" s="1800" t="s">
        <v>5675</v>
      </c>
      <c r="F1511" s="1763">
        <f>$J$5</f>
        <v>0.02</v>
      </c>
      <c r="G1511" s="1754"/>
      <c r="H1511" s="1799"/>
      <c r="I1511" s="1799">
        <f>( I1504+I1507+I1508 )*F1511</f>
        <v>414200.17385200009</v>
      </c>
      <c r="J1511" s="850"/>
      <c r="K1511" s="850"/>
      <c r="L1511" s="850"/>
    </row>
    <row r="1512" spans="1:12" ht="15">
      <c r="B1512" s="1540"/>
      <c r="C1512" s="1541"/>
      <c r="D1512" s="1541"/>
      <c r="E1512" s="1801" t="s">
        <v>5676</v>
      </c>
      <c r="F1512" s="1763"/>
      <c r="G1512" s="1759"/>
      <c r="H1512" s="1802"/>
      <c r="I1512" s="1802">
        <f>I1511+I1511/F1511</f>
        <v>21124208.866452005</v>
      </c>
    </row>
    <row r="1513" spans="1:12" ht="15">
      <c r="B1513" s="1536"/>
      <c r="C1513" s="1537"/>
      <c r="D1513" s="1537"/>
      <c r="E1513" s="1803" t="s">
        <v>5677</v>
      </c>
      <c r="F1513" s="1763">
        <f>$K$5</f>
        <v>5.5E-2</v>
      </c>
      <c r="G1513" s="1746"/>
      <c r="H1513" s="1796"/>
      <c r="I1513" s="1796">
        <f>I1512*F1513</f>
        <v>1161831.4876548604</v>
      </c>
    </row>
    <row r="1514" spans="1:12" ht="15">
      <c r="B1514" s="1536"/>
      <c r="C1514" s="1537"/>
      <c r="D1514" s="1537"/>
      <c r="E1514" s="1803" t="s">
        <v>5678</v>
      </c>
      <c r="F1514" s="1763">
        <f>$L$5</f>
        <v>0.06</v>
      </c>
      <c r="G1514" s="1746"/>
      <c r="H1514" s="1796"/>
      <c r="I1514" s="1796">
        <f>SUM(I1512:I1513)*F1514</f>
        <v>1337162.421246412</v>
      </c>
    </row>
    <row r="1515" spans="1:12" ht="14.25">
      <c r="B1515" s="1540"/>
      <c r="C1515" s="1541"/>
      <c r="D1515" s="1541"/>
      <c r="E1515" s="1801" t="s">
        <v>5679</v>
      </c>
      <c r="F1515" s="1791"/>
      <c r="G1515" s="1759"/>
      <c r="H1515" s="1802"/>
      <c r="I1515" s="1802">
        <f>SUM(I1512:I1514)</f>
        <v>23623202.775353279</v>
      </c>
    </row>
    <row r="1516" spans="1:12" ht="15">
      <c r="B1516" s="1536"/>
      <c r="C1516" s="1537"/>
      <c r="D1516" s="1537"/>
      <c r="E1516" s="1803" t="s">
        <v>5680</v>
      </c>
      <c r="F1516" s="1765">
        <f>$M$5</f>
        <v>0.1</v>
      </c>
      <c r="G1516" s="1746"/>
      <c r="H1516" s="1796"/>
      <c r="I1516" s="1796">
        <f>I1515*F1516</f>
        <v>2362320.2775353282</v>
      </c>
    </row>
    <row r="1517" spans="1:12" ht="14.25">
      <c r="B1517" s="1540"/>
      <c r="C1517" s="1541"/>
      <c r="D1517" s="1541"/>
      <c r="E1517" s="1801" t="s">
        <v>5681</v>
      </c>
      <c r="F1517" s="1791"/>
      <c r="G1517" s="1759"/>
      <c r="H1517" s="1802"/>
      <c r="I1517" s="1802">
        <f>SUM(I1515:I1516)</f>
        <v>25985523.052888606</v>
      </c>
    </row>
    <row r="1518" spans="1:12" ht="12.75">
      <c r="B1518" s="1536"/>
      <c r="C1518" s="1537"/>
      <c r="D1518" s="1537"/>
      <c r="E1518" s="1464" t="s">
        <v>5682</v>
      </c>
      <c r="F1518" s="1535">
        <f>$N$5</f>
        <v>0.01</v>
      </c>
      <c r="G1518" s="1538"/>
      <c r="H1518" s="1539"/>
      <c r="I1518" s="1539">
        <f>I1517*F1518</f>
        <v>259855.23052888605</v>
      </c>
    </row>
    <row r="1519" spans="1:12" ht="14.25">
      <c r="B1519" s="2116"/>
      <c r="C1519" s="1544"/>
      <c r="D1519" s="2116"/>
      <c r="E1519" s="2117" t="s">
        <v>5683</v>
      </c>
      <c r="F1519" s="2115"/>
      <c r="G1519" s="2117"/>
      <c r="H1519" s="2118"/>
      <c r="I1519" s="2110">
        <f>ROUND(I1517+I1518,0)</f>
        <v>26245378</v>
      </c>
    </row>
    <row r="1520" spans="1:12" ht="14.25">
      <c r="A1520" s="657">
        <v>1</v>
      </c>
      <c r="B1520" s="1546">
        <f>IF(A1520&lt;&gt;0,COUNTA(A$7:$A1520),"")</f>
        <v>82</v>
      </c>
      <c r="C1520" s="1547">
        <f>'8.Dgia'!C1135</f>
        <v>1776</v>
      </c>
      <c r="D1520" s="1547" t="str">
        <f>'8.Dgia'!D1135</f>
        <v>AF.61721</v>
      </c>
      <c r="E1520" s="1740" t="str">
        <f>'8.Dgia'!E1135</f>
        <v>Cốt thép D&lt;=18 bản mặt cầu</v>
      </c>
      <c r="F1520" s="1789" t="s">
        <v>557</v>
      </c>
      <c r="G1520" s="1742">
        <f>'8.Dgia'!H1135</f>
        <v>0</v>
      </c>
      <c r="H1520" s="1795"/>
      <c r="I1520" s="1795"/>
      <c r="J1520" s="842">
        <f>+I1521</f>
        <v>17283910.198472727</v>
      </c>
      <c r="K1520" s="842">
        <f>+I1525</f>
        <v>2572752.56</v>
      </c>
      <c r="L1520" s="842">
        <f>+I1526</f>
        <v>227915.22953429999</v>
      </c>
    </row>
    <row r="1521" spans="2:12" s="658" customFormat="1" ht="15">
      <c r="B1521" s="1536" t="str">
        <f>'8.Dgia'!B1136</f>
        <v/>
      </c>
      <c r="C1521" s="1537">
        <f>'8.Dgia'!C1136</f>
        <v>0</v>
      </c>
      <c r="D1521" s="1537">
        <f>'8.Dgia'!D1136</f>
        <v>0</v>
      </c>
      <c r="E1521" s="1744" t="str">
        <f>'8.Dgia'!E1136</f>
        <v xml:space="preserve">  A - Vật liệu</v>
      </c>
      <c r="F1521" s="1763">
        <f>'8.Dgia'!G1136</f>
        <v>0</v>
      </c>
      <c r="G1521" s="1746">
        <f>'8.Dgia'!H1136</f>
        <v>0</v>
      </c>
      <c r="H1521" s="1796"/>
      <c r="I1521" s="1797">
        <f>SUM(I1522:I1524)</f>
        <v>17283910.198472727</v>
      </c>
      <c r="J1521" s="850"/>
      <c r="K1521" s="850"/>
      <c r="L1521" s="850"/>
    </row>
    <row r="1522" spans="2:12" ht="15">
      <c r="B1522" s="1536" t="str">
        <f>'8.Dgia'!B1137</f>
        <v/>
      </c>
      <c r="C1522" s="1537">
        <f>'8.Dgia'!C1137</f>
        <v>0</v>
      </c>
      <c r="D1522" s="1537">
        <f>'8.Dgia'!D1137</f>
        <v>0</v>
      </c>
      <c r="E1522" s="1749" t="str">
        <f>'8.Dgia'!E1137</f>
        <v>Thép tròn D&lt;=18</v>
      </c>
      <c r="F1522" s="1763" t="str">
        <f>'8.Dgia'!G1137</f>
        <v>kg</v>
      </c>
      <c r="G1522" s="1954">
        <f>'8.Dgia'!H1137</f>
        <v>1020</v>
      </c>
      <c r="H1522" s="1796">
        <f>GVL!$I$180</f>
        <v>16604.075560000001</v>
      </c>
      <c r="I1522" s="1796">
        <f>H1522*G1522</f>
        <v>16936157.071200002</v>
      </c>
    </row>
    <row r="1523" spans="2:12" ht="15">
      <c r="B1523" s="1536" t="str">
        <f>'8.Dgia'!B1138</f>
        <v/>
      </c>
      <c r="C1523" s="1537">
        <f>'8.Dgia'!C1138</f>
        <v>0</v>
      </c>
      <c r="D1523" s="1537">
        <f>'8.Dgia'!D1138</f>
        <v>0</v>
      </c>
      <c r="E1523" s="1749" t="str">
        <f>'8.Dgia'!E1138</f>
        <v>Dây thép buộc</v>
      </c>
      <c r="F1523" s="1763" t="str">
        <f>'8.Dgia'!G1138</f>
        <v>kg</v>
      </c>
      <c r="G1523" s="1746">
        <f>'8.Dgia'!H1138</f>
        <v>14.28</v>
      </c>
      <c r="H1523" s="1796">
        <f>GVL!$I$89</f>
        <v>18180</v>
      </c>
      <c r="I1523" s="1796">
        <f>H1523*G1523</f>
        <v>259610.4</v>
      </c>
    </row>
    <row r="1524" spans="2:12" ht="15">
      <c r="B1524" s="1536" t="str">
        <f>'8.Dgia'!B1139</f>
        <v/>
      </c>
      <c r="C1524" s="1537">
        <f>'8.Dgia'!C1139</f>
        <v>0</v>
      </c>
      <c r="D1524" s="1537">
        <f>'8.Dgia'!D1139</f>
        <v>0</v>
      </c>
      <c r="E1524" s="1749" t="str">
        <f>'8.Dgia'!E1139</f>
        <v>Que hàn</v>
      </c>
      <c r="F1524" s="1763" t="str">
        <f>'8.Dgia'!G1139</f>
        <v>kg</v>
      </c>
      <c r="G1524" s="1746">
        <f>'8.Dgia'!H1139</f>
        <v>4.617</v>
      </c>
      <c r="H1524" s="1796">
        <f>GVL!$I$153</f>
        <v>19090.909090909088</v>
      </c>
      <c r="I1524" s="1796">
        <f>H1524*G1524</f>
        <v>88142.727272727265</v>
      </c>
    </row>
    <row r="1525" spans="2:12" s="658" customFormat="1" ht="15">
      <c r="B1525" s="1536" t="str">
        <f>'8.Dgia'!B1140</f>
        <v/>
      </c>
      <c r="C1525" s="1537">
        <f>'8.Dgia'!C1140</f>
        <v>0</v>
      </c>
      <c r="D1525" s="1537">
        <f>'8.Dgia'!D1140</f>
        <v>0</v>
      </c>
      <c r="E1525" s="1744" t="str">
        <f>'8.Dgia'!E1140</f>
        <v xml:space="preserve">  B - Nhân công 3.5/7</v>
      </c>
      <c r="F1525" s="1745" t="s">
        <v>552</v>
      </c>
      <c r="G1525" s="1954">
        <f>'8.Dgia'!H1140</f>
        <v>10.91</v>
      </c>
      <c r="H1525" s="1796">
        <f>'16.NC'!$H$16</f>
        <v>235816</v>
      </c>
      <c r="I1525" s="1798">
        <f>H1525*G1525</f>
        <v>2572752.56</v>
      </c>
      <c r="J1525" s="850"/>
      <c r="K1525" s="850"/>
      <c r="L1525" s="850"/>
    </row>
    <row r="1526" spans="2:12" s="658" customFormat="1" ht="15">
      <c r="B1526" s="1536" t="str">
        <f>'8.Dgia'!B1141</f>
        <v/>
      </c>
      <c r="C1526" s="1537">
        <f>'8.Dgia'!C1141</f>
        <v>0</v>
      </c>
      <c r="D1526" s="1537">
        <f>'8.Dgia'!D1141</f>
        <v>0</v>
      </c>
      <c r="E1526" s="1744" t="str">
        <f>'8.Dgia'!E1141</f>
        <v xml:space="preserve">  C - Máy thi công</v>
      </c>
      <c r="F1526" s="1763">
        <f>'8.Dgia'!G1141</f>
        <v>0</v>
      </c>
      <c r="G1526" s="1746">
        <f>'8.Dgia'!H1141</f>
        <v>0</v>
      </c>
      <c r="H1526" s="1796"/>
      <c r="I1526" s="1799">
        <f>SUM(I1527:I1530)</f>
        <v>227915.22953429999</v>
      </c>
      <c r="J1526" s="850"/>
      <c r="K1526" s="850"/>
      <c r="L1526" s="850"/>
    </row>
    <row r="1527" spans="2:12" ht="15">
      <c r="B1527" s="1536" t="str">
        <f>'8.Dgia'!B1142</f>
        <v/>
      </c>
      <c r="C1527" s="1537">
        <f>'8.Dgia'!C1142</f>
        <v>0</v>
      </c>
      <c r="D1527" s="1537">
        <f>'8.Dgia'!D1142</f>
        <v>0</v>
      </c>
      <c r="E1527" s="1749" t="str">
        <f>'8.Dgia'!E1142</f>
        <v>Máy hàn 23kw</v>
      </c>
      <c r="F1527" s="1745" t="s">
        <v>5493</v>
      </c>
      <c r="G1527" s="1746">
        <f>'8.Dgia'!H1142</f>
        <v>1.123</v>
      </c>
      <c r="H1527" s="1796">
        <f>'9.may'!$P$510</f>
        <v>171649.155</v>
      </c>
      <c r="I1527" s="1796">
        <f>H1527*G1527</f>
        <v>192762.00106499999</v>
      </c>
    </row>
    <row r="1528" spans="2:12" ht="15">
      <c r="B1528" s="1536" t="str">
        <f>'8.Dgia'!B1143</f>
        <v/>
      </c>
      <c r="C1528" s="1537">
        <f>'8.Dgia'!C1143</f>
        <v>0</v>
      </c>
      <c r="D1528" s="1537">
        <f>'8.Dgia'!D1143</f>
        <v>0</v>
      </c>
      <c r="E1528" s="1749" t="str">
        <f>'8.Dgia'!E1143</f>
        <v>Máy cắt uốn</v>
      </c>
      <c r="F1528" s="1745" t="s">
        <v>5493</v>
      </c>
      <c r="G1528" s="1746">
        <f>'8.Dgia'!H1143</f>
        <v>0.32</v>
      </c>
      <c r="H1528" s="1796">
        <f>'9.may'!$P$557</f>
        <v>80291.850000000006</v>
      </c>
      <c r="I1528" s="1796">
        <f>H1528*G1528</f>
        <v>25693.392000000003</v>
      </c>
    </row>
    <row r="1529" spans="2:12" ht="15">
      <c r="B1529" s="1536" t="str">
        <f>'8.Dgia'!B1144</f>
        <v/>
      </c>
      <c r="C1529" s="1537">
        <f>'8.Dgia'!C1144</f>
        <v>0</v>
      </c>
      <c r="D1529" s="1537">
        <f>'8.Dgia'!D1144</f>
        <v>0</v>
      </c>
      <c r="E1529" s="1749" t="str">
        <f>'8.Dgia'!E1144</f>
        <v>Vận thăng 0.8T</v>
      </c>
      <c r="F1529" s="1745" t="s">
        <v>5493</v>
      </c>
      <c r="G1529" s="1746">
        <f>'8.Dgia'!H1144</f>
        <v>0.04</v>
      </c>
      <c r="H1529" s="1796">
        <f>'9.may'!$P$295</f>
        <v>124772.76000000001</v>
      </c>
      <c r="I1529" s="1796">
        <f>H1529*G1529</f>
        <v>4990.9104000000007</v>
      </c>
    </row>
    <row r="1530" spans="2:12" ht="15">
      <c r="B1530" s="1536" t="str">
        <f>'8.Dgia'!B1145</f>
        <v/>
      </c>
      <c r="C1530" s="1537">
        <f>'8.Dgia'!C1145</f>
        <v>0</v>
      </c>
      <c r="D1530" s="1537">
        <f>'8.Dgia'!D1145</f>
        <v>0</v>
      </c>
      <c r="E1530" s="1749" t="str">
        <f>'8.Dgia'!E1145</f>
        <v>Máy khác</v>
      </c>
      <c r="F1530" s="1763" t="str">
        <f>'8.Dgia'!G1145</f>
        <v>%</v>
      </c>
      <c r="G1530" s="1954">
        <f>'8.Dgia'!H1145</f>
        <v>2</v>
      </c>
      <c r="H1530" s="1796">
        <f>SUM(I1527:I1529)</f>
        <v>223446.30346499998</v>
      </c>
      <c r="I1530" s="1796">
        <f>H1530*G1530%</f>
        <v>4468.9260692999997</v>
      </c>
    </row>
    <row r="1531" spans="2:12" s="658" customFormat="1" ht="15">
      <c r="B1531" s="1675"/>
      <c r="C1531" s="1676"/>
      <c r="D1531" s="1676"/>
      <c r="E1531" s="1800" t="s">
        <v>5675</v>
      </c>
      <c r="F1531" s="1763">
        <f>$J$5</f>
        <v>0.02</v>
      </c>
      <c r="G1531" s="1754"/>
      <c r="H1531" s="1799"/>
      <c r="I1531" s="1799">
        <f>( I1521+I1525+I1526 )*F1531</f>
        <v>401691.55976014049</v>
      </c>
      <c r="J1531" s="850"/>
      <c r="K1531" s="850"/>
      <c r="L1531" s="850"/>
    </row>
    <row r="1532" spans="2:12" ht="15">
      <c r="B1532" s="1540"/>
      <c r="C1532" s="1541"/>
      <c r="D1532" s="1541"/>
      <c r="E1532" s="1801" t="s">
        <v>5676</v>
      </c>
      <c r="F1532" s="1763"/>
      <c r="G1532" s="1759"/>
      <c r="H1532" s="1802"/>
      <c r="I1532" s="1802">
        <f>I1531+I1531/F1531</f>
        <v>20486269.547767166</v>
      </c>
    </row>
    <row r="1533" spans="2:12" ht="15">
      <c r="B1533" s="1536"/>
      <c r="C1533" s="1537"/>
      <c r="D1533" s="1537"/>
      <c r="E1533" s="1803" t="s">
        <v>5677</v>
      </c>
      <c r="F1533" s="1763">
        <f>$K$5</f>
        <v>5.5E-2</v>
      </c>
      <c r="G1533" s="1746"/>
      <c r="H1533" s="1796"/>
      <c r="I1533" s="1796">
        <f>I1532*F1533</f>
        <v>1126744.8251271942</v>
      </c>
    </row>
    <row r="1534" spans="2:12" ht="15">
      <c r="B1534" s="1536"/>
      <c r="C1534" s="1537"/>
      <c r="D1534" s="1537"/>
      <c r="E1534" s="1803" t="s">
        <v>5678</v>
      </c>
      <c r="F1534" s="1763">
        <f>$L$5</f>
        <v>0.06</v>
      </c>
      <c r="G1534" s="1746"/>
      <c r="H1534" s="1796"/>
      <c r="I1534" s="1796">
        <f>SUM(I1532:I1533)*F1534</f>
        <v>1296780.8623736617</v>
      </c>
    </row>
    <row r="1535" spans="2:12" ht="14.25">
      <c r="B1535" s="1540"/>
      <c r="C1535" s="1541"/>
      <c r="D1535" s="1541"/>
      <c r="E1535" s="1801" t="s">
        <v>5679</v>
      </c>
      <c r="F1535" s="1791"/>
      <c r="G1535" s="1759"/>
      <c r="H1535" s="1802"/>
      <c r="I1535" s="1802">
        <f>SUM(I1532:I1534)</f>
        <v>22909795.235268023</v>
      </c>
    </row>
    <row r="1536" spans="2:12" ht="15">
      <c r="B1536" s="1536"/>
      <c r="C1536" s="1537"/>
      <c r="D1536" s="1537"/>
      <c r="E1536" s="1803" t="s">
        <v>5680</v>
      </c>
      <c r="F1536" s="1765">
        <f>$M$5</f>
        <v>0.1</v>
      </c>
      <c r="G1536" s="1746"/>
      <c r="H1536" s="1796"/>
      <c r="I1536" s="1796">
        <f>I1535*F1536</f>
        <v>2290979.5235268022</v>
      </c>
    </row>
    <row r="1537" spans="1:12" ht="14.25">
      <c r="B1537" s="1540"/>
      <c r="C1537" s="1541"/>
      <c r="D1537" s="1541"/>
      <c r="E1537" s="1801" t="s">
        <v>5681</v>
      </c>
      <c r="F1537" s="1791"/>
      <c r="G1537" s="1759"/>
      <c r="H1537" s="1802"/>
      <c r="I1537" s="1802">
        <f>SUM(I1535:I1536)</f>
        <v>25200774.758794826</v>
      </c>
    </row>
    <row r="1538" spans="1:12" ht="12.75">
      <c r="B1538" s="1536"/>
      <c r="C1538" s="1537"/>
      <c r="D1538" s="1537"/>
      <c r="E1538" s="1464" t="s">
        <v>5682</v>
      </c>
      <c r="F1538" s="1535">
        <f>$N$5</f>
        <v>0.01</v>
      </c>
      <c r="G1538" s="1538"/>
      <c r="H1538" s="1539"/>
      <c r="I1538" s="1539">
        <f>I1537*F1538</f>
        <v>252007.74758794825</v>
      </c>
    </row>
    <row r="1539" spans="1:12" ht="14.25">
      <c r="B1539" s="2116"/>
      <c r="C1539" s="1544"/>
      <c r="D1539" s="2116"/>
      <c r="E1539" s="2117" t="s">
        <v>5683</v>
      </c>
      <c r="F1539" s="2115"/>
      <c r="G1539" s="2117"/>
      <c r="H1539" s="2118"/>
      <c r="I1539" s="2110">
        <f>ROUND(I1537+I1538,)</f>
        <v>25452783</v>
      </c>
    </row>
    <row r="1540" spans="1:12" ht="14.25">
      <c r="A1540" s="657">
        <v>1</v>
      </c>
      <c r="B1540" s="1546">
        <f>IF(A1540&lt;&gt;0,COUNTA(A$7:$A1540),"")</f>
        <v>83</v>
      </c>
      <c r="C1540" s="1547">
        <f>'8.Dgia'!C1146</f>
        <v>1776</v>
      </c>
      <c r="D1540" s="1547" t="str">
        <f>'8.Dgia'!D1146</f>
        <v>AF.61721</v>
      </c>
      <c r="E1540" s="1740" t="str">
        <f>'8.Dgia'!E1146</f>
        <v>Cốt thép D&gt;18 bản mặt cầu</v>
      </c>
      <c r="F1540" s="1789" t="s">
        <v>557</v>
      </c>
      <c r="G1540" s="1742">
        <f>'8.Dgia'!H1146</f>
        <v>0</v>
      </c>
      <c r="H1540" s="1795"/>
      <c r="I1540" s="1795"/>
      <c r="J1540" s="842">
        <f>+I1541</f>
        <v>17283910.198472727</v>
      </c>
      <c r="K1540" s="842">
        <f>+I1545</f>
        <v>2572752.56</v>
      </c>
      <c r="L1540" s="842">
        <f>+I1546</f>
        <v>227915.22953429999</v>
      </c>
    </row>
    <row r="1541" spans="1:12" s="658" customFormat="1" ht="15">
      <c r="B1541" s="1536" t="str">
        <f>'8.Dgia'!B1147</f>
        <v/>
      </c>
      <c r="C1541" s="1537">
        <f>'8.Dgia'!C1147</f>
        <v>0</v>
      </c>
      <c r="D1541" s="1537">
        <f>'8.Dgia'!D1147</f>
        <v>0</v>
      </c>
      <c r="E1541" s="1744" t="str">
        <f>'8.Dgia'!E1147</f>
        <v xml:space="preserve">  A - Vật liệu</v>
      </c>
      <c r="F1541" s="1763">
        <f>'8.Dgia'!G1147</f>
        <v>0</v>
      </c>
      <c r="G1541" s="1746">
        <f>'8.Dgia'!H1147</f>
        <v>0</v>
      </c>
      <c r="H1541" s="1796"/>
      <c r="I1541" s="1797">
        <f>SUM(I1542:I1544)</f>
        <v>17283910.198472727</v>
      </c>
      <c r="J1541" s="850"/>
      <c r="K1541" s="850"/>
      <c r="L1541" s="850"/>
    </row>
    <row r="1542" spans="1:12" ht="15">
      <c r="B1542" s="1536" t="str">
        <f>'8.Dgia'!B1148</f>
        <v/>
      </c>
      <c r="C1542" s="1537">
        <f>'8.Dgia'!C1148</f>
        <v>0</v>
      </c>
      <c r="D1542" s="1537">
        <f>'8.Dgia'!D1148</f>
        <v>0</v>
      </c>
      <c r="E1542" s="1749" t="str">
        <f>'8.Dgia'!E1148</f>
        <v>Thép tròn D&gt;18</v>
      </c>
      <c r="F1542" s="1763" t="str">
        <f>'8.Dgia'!G1148</f>
        <v>kg</v>
      </c>
      <c r="G1542" s="1954">
        <f>'8.Dgia'!H1148</f>
        <v>1020</v>
      </c>
      <c r="H1542" s="1796">
        <f>GVL!$I$181</f>
        <v>16604.075560000001</v>
      </c>
      <c r="I1542" s="1796">
        <f>H1542*G1542</f>
        <v>16936157.071200002</v>
      </c>
    </row>
    <row r="1543" spans="1:12" ht="15">
      <c r="B1543" s="1536" t="str">
        <f>'8.Dgia'!B1149</f>
        <v/>
      </c>
      <c r="C1543" s="1537">
        <f>'8.Dgia'!C1149</f>
        <v>0</v>
      </c>
      <c r="D1543" s="1537">
        <f>'8.Dgia'!D1149</f>
        <v>0</v>
      </c>
      <c r="E1543" s="1749" t="str">
        <f>'8.Dgia'!E1149</f>
        <v>Dây thép buộc</v>
      </c>
      <c r="F1543" s="1763" t="str">
        <f>'8.Dgia'!G1149</f>
        <v>kg</v>
      </c>
      <c r="G1543" s="1746">
        <f>'8.Dgia'!H1149</f>
        <v>14.28</v>
      </c>
      <c r="H1543" s="1796">
        <f>GVL!$I$89</f>
        <v>18180</v>
      </c>
      <c r="I1543" s="1796">
        <f>H1543*G1543</f>
        <v>259610.4</v>
      </c>
    </row>
    <row r="1544" spans="1:12" ht="15">
      <c r="B1544" s="1536" t="str">
        <f>'8.Dgia'!B1150</f>
        <v/>
      </c>
      <c r="C1544" s="1537">
        <f>'8.Dgia'!C1150</f>
        <v>0</v>
      </c>
      <c r="D1544" s="1537">
        <f>'8.Dgia'!D1150</f>
        <v>0</v>
      </c>
      <c r="E1544" s="1749" t="str">
        <f>'8.Dgia'!E1150</f>
        <v>Que hàn</v>
      </c>
      <c r="F1544" s="1763" t="str">
        <f>'8.Dgia'!G1150</f>
        <v>kg</v>
      </c>
      <c r="G1544" s="1746">
        <f>'8.Dgia'!H1150</f>
        <v>4.617</v>
      </c>
      <c r="H1544" s="1796">
        <f>GVL!$I$153</f>
        <v>19090.909090909088</v>
      </c>
      <c r="I1544" s="1796">
        <f>H1544*G1544</f>
        <v>88142.727272727265</v>
      </c>
    </row>
    <row r="1545" spans="1:12" s="658" customFormat="1" ht="15">
      <c r="B1545" s="1536" t="str">
        <f>'8.Dgia'!B1151</f>
        <v/>
      </c>
      <c r="C1545" s="1537">
        <f>'8.Dgia'!C1151</f>
        <v>0</v>
      </c>
      <c r="D1545" s="1537">
        <f>'8.Dgia'!D1151</f>
        <v>0</v>
      </c>
      <c r="E1545" s="1744" t="str">
        <f>'8.Dgia'!E1151</f>
        <v xml:space="preserve">  B - Nhân công 3.5/7</v>
      </c>
      <c r="F1545" s="1745" t="s">
        <v>552</v>
      </c>
      <c r="G1545" s="1746">
        <f>'8.Dgia'!H1151</f>
        <v>10.91</v>
      </c>
      <c r="H1545" s="1796">
        <f>'16.NC'!$H$16</f>
        <v>235816</v>
      </c>
      <c r="I1545" s="1798">
        <f>H1545*G1545</f>
        <v>2572752.56</v>
      </c>
      <c r="J1545" s="850"/>
      <c r="K1545" s="850"/>
      <c r="L1545" s="850"/>
    </row>
    <row r="1546" spans="1:12" s="658" customFormat="1" ht="15">
      <c r="B1546" s="1536" t="str">
        <f>'8.Dgia'!B1152</f>
        <v/>
      </c>
      <c r="C1546" s="1537">
        <f>'8.Dgia'!C1152</f>
        <v>0</v>
      </c>
      <c r="D1546" s="1537">
        <f>'8.Dgia'!D1152</f>
        <v>0</v>
      </c>
      <c r="E1546" s="1744" t="str">
        <f>'8.Dgia'!E1152</f>
        <v xml:space="preserve">  C - Máy thi công</v>
      </c>
      <c r="F1546" s="1763">
        <f>'8.Dgia'!G1152</f>
        <v>0</v>
      </c>
      <c r="G1546" s="1746">
        <f>'8.Dgia'!H1152</f>
        <v>0</v>
      </c>
      <c r="H1546" s="1796"/>
      <c r="I1546" s="1799">
        <f>SUM(I1547:I1550)</f>
        <v>227915.22953429999</v>
      </c>
      <c r="J1546" s="850"/>
      <c r="K1546" s="850"/>
      <c r="L1546" s="850"/>
    </row>
    <row r="1547" spans="1:12" ht="15">
      <c r="B1547" s="1536" t="str">
        <f>'8.Dgia'!B1153</f>
        <v/>
      </c>
      <c r="C1547" s="1537">
        <f>'8.Dgia'!C1153</f>
        <v>0</v>
      </c>
      <c r="D1547" s="1537">
        <f>'8.Dgia'!D1153</f>
        <v>0</v>
      </c>
      <c r="E1547" s="1749" t="str">
        <f>'8.Dgia'!E1153</f>
        <v>Máy hàn 23kw</v>
      </c>
      <c r="F1547" s="1745" t="s">
        <v>5493</v>
      </c>
      <c r="G1547" s="1746">
        <f>'8.Dgia'!H1153</f>
        <v>1.123</v>
      </c>
      <c r="H1547" s="1796">
        <f>'9.may'!$P$510</f>
        <v>171649.155</v>
      </c>
      <c r="I1547" s="1796">
        <f>H1547*G1547</f>
        <v>192762.00106499999</v>
      </c>
    </row>
    <row r="1548" spans="1:12" ht="15">
      <c r="B1548" s="1536" t="str">
        <f>'8.Dgia'!B1154</f>
        <v/>
      </c>
      <c r="C1548" s="1537">
        <f>'8.Dgia'!C1154</f>
        <v>0</v>
      </c>
      <c r="D1548" s="1537">
        <f>'8.Dgia'!D1154</f>
        <v>0</v>
      </c>
      <c r="E1548" s="1749" t="str">
        <f>'8.Dgia'!E1154</f>
        <v>Máy cắt uốn</v>
      </c>
      <c r="F1548" s="1745" t="s">
        <v>5493</v>
      </c>
      <c r="G1548" s="1746">
        <f>'8.Dgia'!H1154</f>
        <v>0.32</v>
      </c>
      <c r="H1548" s="1796">
        <f>'9.may'!$P$557</f>
        <v>80291.850000000006</v>
      </c>
      <c r="I1548" s="1796">
        <f>H1548*G1548</f>
        <v>25693.392000000003</v>
      </c>
    </row>
    <row r="1549" spans="1:12" ht="15">
      <c r="B1549" s="1536" t="str">
        <f>'8.Dgia'!B1155</f>
        <v/>
      </c>
      <c r="C1549" s="1537">
        <f>'8.Dgia'!C1155</f>
        <v>0</v>
      </c>
      <c r="D1549" s="1537">
        <f>'8.Dgia'!D1155</f>
        <v>0</v>
      </c>
      <c r="E1549" s="1749" t="str">
        <f>'8.Dgia'!E1155</f>
        <v>Vận thăng 0.8T</v>
      </c>
      <c r="F1549" s="1745" t="s">
        <v>5493</v>
      </c>
      <c r="G1549" s="1746">
        <f>'8.Dgia'!H1155</f>
        <v>0.04</v>
      </c>
      <c r="H1549" s="1796">
        <f>'9.may'!$P$295</f>
        <v>124772.76000000001</v>
      </c>
      <c r="I1549" s="1796">
        <f>H1549*G1549</f>
        <v>4990.9104000000007</v>
      </c>
    </row>
    <row r="1550" spans="1:12" ht="15">
      <c r="B1550" s="1536" t="str">
        <f>'8.Dgia'!B1156</f>
        <v/>
      </c>
      <c r="C1550" s="1537">
        <f>'8.Dgia'!C1156</f>
        <v>0</v>
      </c>
      <c r="D1550" s="1537">
        <f>'8.Dgia'!D1156</f>
        <v>0</v>
      </c>
      <c r="E1550" s="1749" t="str">
        <f>'8.Dgia'!E1156</f>
        <v>Máy khác</v>
      </c>
      <c r="F1550" s="1763" t="str">
        <f>'8.Dgia'!G1156</f>
        <v>%</v>
      </c>
      <c r="G1550" s="1954">
        <f>'8.Dgia'!H1156</f>
        <v>2</v>
      </c>
      <c r="H1550" s="1796">
        <f>SUM(I1547:I1549)</f>
        <v>223446.30346499998</v>
      </c>
      <c r="I1550" s="1796">
        <f>H1550*G1550%</f>
        <v>4468.9260692999997</v>
      </c>
    </row>
    <row r="1551" spans="1:12" s="658" customFormat="1" ht="15">
      <c r="B1551" s="1675"/>
      <c r="C1551" s="1676"/>
      <c r="D1551" s="1676"/>
      <c r="E1551" s="1800" t="s">
        <v>5675</v>
      </c>
      <c r="F1551" s="1763">
        <f>$J$5</f>
        <v>0.02</v>
      </c>
      <c r="G1551" s="1754"/>
      <c r="H1551" s="1799"/>
      <c r="I1551" s="1799">
        <f>( I1541+I1545+I1546 )*F1551</f>
        <v>401691.55976014049</v>
      </c>
      <c r="J1551" s="850"/>
      <c r="K1551" s="850"/>
      <c r="L1551" s="850"/>
    </row>
    <row r="1552" spans="1:12" ht="15">
      <c r="B1552" s="1540"/>
      <c r="C1552" s="1541"/>
      <c r="D1552" s="1541"/>
      <c r="E1552" s="1801" t="s">
        <v>5676</v>
      </c>
      <c r="F1552" s="1763"/>
      <c r="G1552" s="1759"/>
      <c r="H1552" s="1802"/>
      <c r="I1552" s="1802">
        <f>I1551+I1551/F1551</f>
        <v>20486269.547767166</v>
      </c>
    </row>
    <row r="1553" spans="1:12" ht="15">
      <c r="B1553" s="1536"/>
      <c r="C1553" s="1537"/>
      <c r="D1553" s="1537"/>
      <c r="E1553" s="1803" t="s">
        <v>5677</v>
      </c>
      <c r="F1553" s="1763">
        <f>$K$5</f>
        <v>5.5E-2</v>
      </c>
      <c r="G1553" s="1746"/>
      <c r="H1553" s="1796"/>
      <c r="I1553" s="1796">
        <f>I1552*F1553</f>
        <v>1126744.8251271942</v>
      </c>
    </row>
    <row r="1554" spans="1:12" ht="15">
      <c r="B1554" s="1536"/>
      <c r="C1554" s="1537"/>
      <c r="D1554" s="1537"/>
      <c r="E1554" s="1803" t="s">
        <v>5678</v>
      </c>
      <c r="F1554" s="1763">
        <f>$L$5</f>
        <v>0.06</v>
      </c>
      <c r="G1554" s="1746"/>
      <c r="H1554" s="1796"/>
      <c r="I1554" s="1796">
        <f>SUM(I1552:I1553)*F1554</f>
        <v>1296780.8623736617</v>
      </c>
    </row>
    <row r="1555" spans="1:12" ht="14.25">
      <c r="B1555" s="1540"/>
      <c r="C1555" s="1541"/>
      <c r="D1555" s="1541"/>
      <c r="E1555" s="1801" t="s">
        <v>5679</v>
      </c>
      <c r="F1555" s="1791"/>
      <c r="G1555" s="1759"/>
      <c r="H1555" s="1802"/>
      <c r="I1555" s="1802">
        <f>SUM(I1552:I1554)</f>
        <v>22909795.235268023</v>
      </c>
    </row>
    <row r="1556" spans="1:12" ht="15">
      <c r="B1556" s="1536"/>
      <c r="C1556" s="1537"/>
      <c r="D1556" s="1537"/>
      <c r="E1556" s="1803" t="s">
        <v>5680</v>
      </c>
      <c r="F1556" s="1765">
        <f>$M$5</f>
        <v>0.1</v>
      </c>
      <c r="G1556" s="1746"/>
      <c r="H1556" s="1796"/>
      <c r="I1556" s="1796">
        <f>I1555*F1556</f>
        <v>2290979.5235268022</v>
      </c>
    </row>
    <row r="1557" spans="1:12" ht="14.25">
      <c r="B1557" s="1540"/>
      <c r="C1557" s="1541"/>
      <c r="D1557" s="1541"/>
      <c r="E1557" s="1801" t="s">
        <v>5681</v>
      </c>
      <c r="F1557" s="1791"/>
      <c r="G1557" s="1759"/>
      <c r="H1557" s="1802"/>
      <c r="I1557" s="1802">
        <f>SUM(I1555:I1556)</f>
        <v>25200774.758794826</v>
      </c>
    </row>
    <row r="1558" spans="1:12" ht="12.75">
      <c r="B1558" s="1536"/>
      <c r="C1558" s="1537"/>
      <c r="D1558" s="1537"/>
      <c r="E1558" s="1464" t="s">
        <v>5682</v>
      </c>
      <c r="F1558" s="1535">
        <f>$N$5</f>
        <v>0.01</v>
      </c>
      <c r="G1558" s="1538"/>
      <c r="H1558" s="1539"/>
      <c r="I1558" s="1539">
        <f>I1557*F1558</f>
        <v>252007.74758794825</v>
      </c>
    </row>
    <row r="1559" spans="1:12" ht="14.25">
      <c r="B1559" s="2116"/>
      <c r="C1559" s="1544"/>
      <c r="D1559" s="2116"/>
      <c r="E1559" s="2117" t="s">
        <v>5683</v>
      </c>
      <c r="F1559" s="2115"/>
      <c r="G1559" s="2117"/>
      <c r="H1559" s="2118"/>
      <c r="I1559" s="2110">
        <f>ROUND(I1557+I1558,)</f>
        <v>25452783</v>
      </c>
    </row>
    <row r="1560" spans="1:12" ht="14.25">
      <c r="A1560" s="657">
        <v>1</v>
      </c>
      <c r="B1560" s="1546">
        <f>IF(A1560&lt;&gt;0,COUNTA(A$7:$A1560),"")</f>
        <v>84</v>
      </c>
      <c r="C1560" s="1550">
        <f>'8.Dgia'!C1157</f>
        <v>1776</v>
      </c>
      <c r="D1560" s="1550" t="str">
        <f>'8.Dgia'!D1157</f>
        <v>AF.82311</v>
      </c>
      <c r="E1560" s="1766" t="str">
        <f>'8.Dgia'!E1157</f>
        <v>Ván khuôn sàn</v>
      </c>
      <c r="F1560" s="1794" t="str">
        <f>'8.Dgia'!G1157</f>
        <v>100m2</v>
      </c>
      <c r="G1560" s="1768">
        <f>'8.Dgia'!H1157</f>
        <v>0</v>
      </c>
      <c r="H1560" s="1769"/>
      <c r="I1560" s="1769"/>
      <c r="J1560" s="842">
        <f>+I1561</f>
        <v>5732671.1015583798</v>
      </c>
      <c r="K1560" s="842">
        <f>+I1567</f>
        <v>8346780</v>
      </c>
      <c r="L1560" s="842">
        <f>+I1568</f>
        <v>294440.26094999997</v>
      </c>
    </row>
    <row r="1561" spans="1:12" s="658" customFormat="1" ht="15">
      <c r="B1561" s="1551" t="str">
        <f>'8.Dgia'!B1158</f>
        <v/>
      </c>
      <c r="C1561" s="1552">
        <f>'8.Dgia'!C1158</f>
        <v>0</v>
      </c>
      <c r="D1561" s="1552">
        <f>'8.Dgia'!D1158</f>
        <v>0</v>
      </c>
      <c r="E1561" s="1770" t="str">
        <f>'8.Dgia'!E1158</f>
        <v xml:space="preserve">  A - Vật liệu</v>
      </c>
      <c r="F1561" s="1786">
        <f>'8.Dgia'!G1158</f>
        <v>0</v>
      </c>
      <c r="G1561" s="1772">
        <f>'8.Dgia'!H1158</f>
        <v>0</v>
      </c>
      <c r="H1561" s="1773"/>
      <c r="I1561" s="1774">
        <f>SUM(I1562:I1566)</f>
        <v>5732671.1015583798</v>
      </c>
      <c r="J1561" s="850"/>
      <c r="K1561" s="850"/>
      <c r="L1561" s="850"/>
    </row>
    <row r="1562" spans="1:12" ht="15">
      <c r="B1562" s="1551" t="str">
        <f>'8.Dgia'!B1159</f>
        <v/>
      </c>
      <c r="C1562" s="1552">
        <f>'8.Dgia'!C1159</f>
        <v>0</v>
      </c>
      <c r="D1562" s="1552">
        <f>'8.Dgia'!D1159</f>
        <v>0</v>
      </c>
      <c r="E1562" s="1775" t="str">
        <f>'8.Dgia'!E1159</f>
        <v>Thép tấm</v>
      </c>
      <c r="F1562" s="1786" t="str">
        <f>'8.Dgia'!G1159</f>
        <v>kg</v>
      </c>
      <c r="G1562" s="1772">
        <f>'8.Dgia'!H1159</f>
        <v>51.81</v>
      </c>
      <c r="H1562" s="1773">
        <f>GVL!$I$175</f>
        <v>12871.348287272725</v>
      </c>
      <c r="I1562" s="1773">
        <f>H1562*G1562</f>
        <v>666864.55476359988</v>
      </c>
    </row>
    <row r="1563" spans="1:12" ht="15">
      <c r="B1563" s="1551" t="str">
        <f>'8.Dgia'!B1160</f>
        <v/>
      </c>
      <c r="C1563" s="1552">
        <f>'8.Dgia'!C1160</f>
        <v>0</v>
      </c>
      <c r="D1563" s="1552">
        <f>'8.Dgia'!D1160</f>
        <v>0</v>
      </c>
      <c r="E1563" s="1775" t="str">
        <f>'8.Dgia'!E1160</f>
        <v>Thép hình</v>
      </c>
      <c r="F1563" s="1786" t="str">
        <f>'8.Dgia'!G1160</f>
        <v>kg</v>
      </c>
      <c r="G1563" s="1965">
        <f>'8.Dgia'!H1160</f>
        <v>40.700000000000003</v>
      </c>
      <c r="H1563" s="1773">
        <f>GVL!$I$170</f>
        <v>16703.248369172808</v>
      </c>
      <c r="I1563" s="1773">
        <f>H1563*G1563</f>
        <v>679822.20862533338</v>
      </c>
    </row>
    <row r="1564" spans="1:12" ht="15">
      <c r="B1564" s="1551" t="str">
        <f>'8.Dgia'!B1161</f>
        <v/>
      </c>
      <c r="C1564" s="1552">
        <f>'8.Dgia'!C1161</f>
        <v>0</v>
      </c>
      <c r="D1564" s="1552">
        <f>'8.Dgia'!D1161</f>
        <v>0</v>
      </c>
      <c r="E1564" s="1775" t="str">
        <f>'8.Dgia'!E1161</f>
        <v>Gỗ</v>
      </c>
      <c r="F1564" s="1786" t="str">
        <f>'8.Dgia'!G1161</f>
        <v>m3</v>
      </c>
      <c r="G1564" s="1772">
        <f>'8.Dgia'!H1161</f>
        <v>0.66800000000000004</v>
      </c>
      <c r="H1564" s="1773">
        <f>GVL!$I$96</f>
        <v>6000000</v>
      </c>
      <c r="I1564" s="1773">
        <f>H1564*G1564</f>
        <v>4008000</v>
      </c>
    </row>
    <row r="1565" spans="1:12" ht="15">
      <c r="B1565" s="1551" t="str">
        <f>'8.Dgia'!B1162</f>
        <v/>
      </c>
      <c r="C1565" s="1552">
        <f>'8.Dgia'!C1162</f>
        <v>0</v>
      </c>
      <c r="D1565" s="1552">
        <f>'8.Dgia'!D1162</f>
        <v>0</v>
      </c>
      <c r="E1565" s="1775" t="str">
        <f>'8.Dgia'!E1162</f>
        <v>Que hàn</v>
      </c>
      <c r="F1565" s="1786" t="str">
        <f>'8.Dgia'!G1162</f>
        <v>kg</v>
      </c>
      <c r="G1565" s="1965">
        <f>'8.Dgia'!H1162</f>
        <v>5.5</v>
      </c>
      <c r="H1565" s="1773">
        <f>GVL!$I$153</f>
        <v>19090.909090909088</v>
      </c>
      <c r="I1565" s="1773">
        <f>H1565*G1565</f>
        <v>104999.99999999999</v>
      </c>
    </row>
    <row r="1566" spans="1:12" ht="15">
      <c r="B1566" s="1551" t="str">
        <f>'8.Dgia'!B1163</f>
        <v/>
      </c>
      <c r="C1566" s="1552">
        <f>'8.Dgia'!C1163</f>
        <v>0</v>
      </c>
      <c r="D1566" s="1552">
        <f>'8.Dgia'!D1163</f>
        <v>0</v>
      </c>
      <c r="E1566" s="1775" t="str">
        <f>'8.Dgia'!E1163</f>
        <v>Vật liệu khác</v>
      </c>
      <c r="F1566" s="1786" t="str">
        <f>'8.Dgia'!G1163</f>
        <v>%</v>
      </c>
      <c r="G1566" s="1965">
        <f>'8.Dgia'!H1163</f>
        <v>5</v>
      </c>
      <c r="H1566" s="1773">
        <f>SUM(I1562:I1565)</f>
        <v>5459686.7633889336</v>
      </c>
      <c r="I1566" s="1773">
        <f>H1566*G1566%</f>
        <v>272984.33816944668</v>
      </c>
    </row>
    <row r="1567" spans="1:12" s="658" customFormat="1" ht="15">
      <c r="B1567" s="1551" t="str">
        <f>'8.Dgia'!B1164</f>
        <v/>
      </c>
      <c r="C1567" s="1552">
        <f>'8.Dgia'!C1164</f>
        <v>0</v>
      </c>
      <c r="D1567" s="1552">
        <f>'8.Dgia'!D1164</f>
        <v>0</v>
      </c>
      <c r="E1567" s="1770" t="str">
        <f>'8.Dgia'!E1164</f>
        <v xml:space="preserve">  B - Nhân công 4.0/7</v>
      </c>
      <c r="F1567" s="1745" t="s">
        <v>552</v>
      </c>
      <c r="G1567" s="1965">
        <f>'8.Dgia'!H1164</f>
        <v>32.5</v>
      </c>
      <c r="H1567" s="1773">
        <f>'16.NC'!$H$18</f>
        <v>256824</v>
      </c>
      <c r="I1567" s="1776">
        <f>H1567*G1567</f>
        <v>8346780</v>
      </c>
      <c r="J1567" s="850"/>
      <c r="K1567" s="850"/>
      <c r="L1567" s="850"/>
    </row>
    <row r="1568" spans="1:12" s="658" customFormat="1" ht="15">
      <c r="B1568" s="1551" t="str">
        <f>'8.Dgia'!B1165</f>
        <v/>
      </c>
      <c r="C1568" s="1552">
        <f>'8.Dgia'!C1165</f>
        <v>0</v>
      </c>
      <c r="D1568" s="1552">
        <f>'8.Dgia'!D1165</f>
        <v>0</v>
      </c>
      <c r="E1568" s="1770" t="str">
        <f>'8.Dgia'!E1165</f>
        <v xml:space="preserve">  C - Máy thi công</v>
      </c>
      <c r="F1568" s="1786">
        <f>'8.Dgia'!G1165</f>
        <v>0</v>
      </c>
      <c r="G1568" s="1772">
        <f>'8.Dgia'!H1165</f>
        <v>0</v>
      </c>
      <c r="H1568" s="1773"/>
      <c r="I1568" s="1777">
        <f>SUM(I1569:I1571)</f>
        <v>294440.26094999997</v>
      </c>
      <c r="J1568" s="850"/>
      <c r="K1568" s="850"/>
      <c r="L1568" s="850"/>
    </row>
    <row r="1569" spans="1:12" ht="15">
      <c r="B1569" s="1551" t="str">
        <f>'8.Dgia'!B1166</f>
        <v/>
      </c>
      <c r="C1569" s="1552">
        <f>'8.Dgia'!C1166</f>
        <v>0</v>
      </c>
      <c r="D1569" s="1552">
        <f>'8.Dgia'!D1166</f>
        <v>0</v>
      </c>
      <c r="E1569" s="1775" t="str">
        <f>'8.Dgia'!E1166</f>
        <v>Máy hàn 23kw</v>
      </c>
      <c r="F1569" s="1745" t="s">
        <v>5493</v>
      </c>
      <c r="G1569" s="1965">
        <f>'8.Dgia'!H1166</f>
        <v>1.5</v>
      </c>
      <c r="H1569" s="1773">
        <f>'9.may'!$P$510</f>
        <v>171649.155</v>
      </c>
      <c r="I1569" s="1773">
        <f>H1569*G1569</f>
        <v>257473.73249999998</v>
      </c>
    </row>
    <row r="1570" spans="1:12" ht="15">
      <c r="B1570" s="1551" t="str">
        <f>'8.Dgia'!B1167</f>
        <v/>
      </c>
      <c r="C1570" s="1552">
        <f>'8.Dgia'!C1167</f>
        <v>0</v>
      </c>
      <c r="D1570" s="1552">
        <f>'8.Dgia'!D1167</f>
        <v>0</v>
      </c>
      <c r="E1570" s="1775" t="str">
        <f>'8.Dgia'!E1167</f>
        <v>Vận thăng 0.8T</v>
      </c>
      <c r="F1570" s="1745" t="s">
        <v>5493</v>
      </c>
      <c r="G1570" s="1772">
        <f>'8.Dgia'!H1167</f>
        <v>0.25</v>
      </c>
      <c r="H1570" s="1773">
        <f>'9.may'!$P$295</f>
        <v>124772.76000000001</v>
      </c>
      <c r="I1570" s="1773">
        <f>H1570*G1570</f>
        <v>31193.190000000002</v>
      </c>
    </row>
    <row r="1571" spans="1:12" ht="15">
      <c r="B1571" s="1551" t="str">
        <f>'8.Dgia'!B1168</f>
        <v/>
      </c>
      <c r="C1571" s="1552">
        <f>'8.Dgia'!C1168</f>
        <v>0</v>
      </c>
      <c r="D1571" s="1552">
        <f>'8.Dgia'!D1168</f>
        <v>0</v>
      </c>
      <c r="E1571" s="1775" t="str">
        <f>'8.Dgia'!E1168</f>
        <v>Máy khác</v>
      </c>
      <c r="F1571" s="1786" t="str">
        <f>'8.Dgia'!G1168</f>
        <v>%</v>
      </c>
      <c r="G1571" s="1965">
        <f>'8.Dgia'!H1168</f>
        <v>2</v>
      </c>
      <c r="H1571" s="1773">
        <f>SUM(I1569:I1570)</f>
        <v>288666.92249999999</v>
      </c>
      <c r="I1571" s="1773">
        <f>H1571*G1571%</f>
        <v>5773.3384500000002</v>
      </c>
    </row>
    <row r="1572" spans="1:12" s="658" customFormat="1" ht="15">
      <c r="B1572" s="1677"/>
      <c r="C1572" s="1678"/>
      <c r="D1572" s="1678"/>
      <c r="E1572" s="1778" t="s">
        <v>5675</v>
      </c>
      <c r="F1572" s="1786">
        <f>$J$5</f>
        <v>0.02</v>
      </c>
      <c r="G1572" s="1780"/>
      <c r="H1572" s="1777"/>
      <c r="I1572" s="1777">
        <f>( I1561+I1567+I1568 )*F1572</f>
        <v>287477.82725016761</v>
      </c>
      <c r="J1572" s="850"/>
      <c r="K1572" s="850"/>
      <c r="L1572" s="850"/>
    </row>
    <row r="1573" spans="1:12" ht="15">
      <c r="B1573" s="1556"/>
      <c r="C1573" s="1557"/>
      <c r="D1573" s="1557"/>
      <c r="E1573" s="1781" t="s">
        <v>5676</v>
      </c>
      <c r="F1573" s="1786"/>
      <c r="G1573" s="1783"/>
      <c r="H1573" s="1784"/>
      <c r="I1573" s="1784">
        <f>I1572+I1572/F1572</f>
        <v>14661369.189758549</v>
      </c>
    </row>
    <row r="1574" spans="1:12" ht="15">
      <c r="B1574" s="1551"/>
      <c r="C1574" s="1552"/>
      <c r="D1574" s="1552"/>
      <c r="E1574" s="1785" t="s">
        <v>5677</v>
      </c>
      <c r="F1574" s="1786">
        <f>$K$5</f>
        <v>5.5E-2</v>
      </c>
      <c r="G1574" s="1772"/>
      <c r="H1574" s="1773"/>
      <c r="I1574" s="1773">
        <f>I1573*F1574</f>
        <v>806375.30543672014</v>
      </c>
    </row>
    <row r="1575" spans="1:12" ht="15">
      <c r="B1575" s="1551"/>
      <c r="C1575" s="1552"/>
      <c r="D1575" s="1552"/>
      <c r="E1575" s="1785" t="s">
        <v>5678</v>
      </c>
      <c r="F1575" s="1786">
        <f>$L$5</f>
        <v>0.06</v>
      </c>
      <c r="G1575" s="1772"/>
      <c r="H1575" s="1773"/>
      <c r="I1575" s="1773">
        <f>SUM(I1573:I1574)*F1575</f>
        <v>928064.66971171612</v>
      </c>
    </row>
    <row r="1576" spans="1:12" ht="14.25">
      <c r="B1576" s="1556"/>
      <c r="C1576" s="1557"/>
      <c r="D1576" s="1557"/>
      <c r="E1576" s="1781" t="s">
        <v>5679</v>
      </c>
      <c r="F1576" s="1787"/>
      <c r="G1576" s="1783"/>
      <c r="H1576" s="1784"/>
      <c r="I1576" s="1784">
        <f>SUM(I1573:I1575)</f>
        <v>16395809.164906986</v>
      </c>
    </row>
    <row r="1577" spans="1:12" ht="15">
      <c r="B1577" s="1551"/>
      <c r="C1577" s="1552"/>
      <c r="D1577" s="1552"/>
      <c r="E1577" s="1785" t="s">
        <v>5680</v>
      </c>
      <c r="F1577" s="1788">
        <f>$M$5</f>
        <v>0.1</v>
      </c>
      <c r="G1577" s="1772"/>
      <c r="H1577" s="1773"/>
      <c r="I1577" s="1773">
        <f>I1576*F1577</f>
        <v>1639580.9164906987</v>
      </c>
    </row>
    <row r="1578" spans="1:12" ht="14.25">
      <c r="B1578" s="1556"/>
      <c r="C1578" s="1557"/>
      <c r="D1578" s="1557"/>
      <c r="E1578" s="1781" t="s">
        <v>5681</v>
      </c>
      <c r="F1578" s="1787"/>
      <c r="G1578" s="1783"/>
      <c r="H1578" s="1784"/>
      <c r="I1578" s="1784">
        <f>SUM(I1576:I1577)</f>
        <v>18035390.081397686</v>
      </c>
    </row>
    <row r="1579" spans="1:12" ht="12.75">
      <c r="B1579" s="1551"/>
      <c r="C1579" s="1552"/>
      <c r="D1579" s="1552"/>
      <c r="E1579" s="1563" t="s">
        <v>5682</v>
      </c>
      <c r="F1579" s="1560">
        <f>$N$5</f>
        <v>0.01</v>
      </c>
      <c r="G1579" s="1553"/>
      <c r="H1579" s="1562"/>
      <c r="I1579" s="1562">
        <f>I1578*F1579</f>
        <v>180353.90081397686</v>
      </c>
    </row>
    <row r="1580" spans="1:12" ht="14.25">
      <c r="B1580" s="2111"/>
      <c r="C1580" s="1564"/>
      <c r="D1580" s="2111"/>
      <c r="E1580" s="2112" t="s">
        <v>5683</v>
      </c>
      <c r="F1580" s="2113"/>
      <c r="G1580" s="2112"/>
      <c r="H1580" s="2114"/>
      <c r="I1580" s="2110">
        <f>ROUND(I1578+I1579,)</f>
        <v>18215744</v>
      </c>
    </row>
    <row r="1581" spans="1:12" ht="15" customHeight="1">
      <c r="A1581" s="657">
        <v>1</v>
      </c>
      <c r="B1581" s="1546">
        <f>IF(A1581&lt;&gt;0,COUNTA(A$7:$A1581),"")</f>
        <v>85</v>
      </c>
      <c r="C1581" s="1547">
        <f>'8.Dgia'!C1169</f>
        <v>1776</v>
      </c>
      <c r="D1581" s="1547" t="str">
        <f>'8.Dgia'!D1169</f>
        <v>AG.11410</v>
      </c>
      <c r="E1581" s="1740" t="str">
        <f>'8.Dgia'!E1169</f>
        <v>Bêtông C15 đá 1x2 tấm đan đúc sẵn</v>
      </c>
      <c r="F1581" s="1789" t="str">
        <f>'8.Dgia'!G1169</f>
        <v>m3</v>
      </c>
      <c r="G1581" s="1742">
        <f>'8.Dgia'!H1169</f>
        <v>0</v>
      </c>
      <c r="H1581" s="1795"/>
      <c r="I1581" s="1795"/>
      <c r="J1581" s="842">
        <f>+I1582</f>
        <v>970030.03665324603</v>
      </c>
      <c r="K1581" s="842">
        <f>+I1585</f>
        <v>564760.06999999995</v>
      </c>
      <c r="L1581" s="842">
        <f>+I1586</f>
        <v>17142.550500000001</v>
      </c>
    </row>
    <row r="1582" spans="1:12" ht="15">
      <c r="B1582" s="1536" t="str">
        <f>'8.Dgia'!B1170</f>
        <v/>
      </c>
      <c r="C1582" s="1537">
        <f>'8.Dgia'!C1170</f>
        <v>0</v>
      </c>
      <c r="D1582" s="1537">
        <f>'8.Dgia'!D1170</f>
        <v>0</v>
      </c>
      <c r="E1582" s="1744" t="str">
        <f>'8.Dgia'!E1170</f>
        <v xml:space="preserve">  A - Vật liệu</v>
      </c>
      <c r="F1582" s="1763">
        <f>'8.Dgia'!G1170</f>
        <v>0</v>
      </c>
      <c r="G1582" s="1746">
        <f>'8.Dgia'!H1170</f>
        <v>0</v>
      </c>
      <c r="H1582" s="1796"/>
      <c r="I1582" s="1797">
        <f>SUM(I1583:I1584)</f>
        <v>970030.03665324603</v>
      </c>
    </row>
    <row r="1583" spans="1:12" ht="15">
      <c r="B1583" s="1536" t="str">
        <f>'8.Dgia'!B1171</f>
        <v/>
      </c>
      <c r="C1583" s="1537">
        <f>'8.Dgia'!C1171</f>
        <v>0</v>
      </c>
      <c r="D1583" s="1537" t="str">
        <f>'8.Dgia'!D1171</f>
        <v>C3125</v>
      </c>
      <c r="E1583" s="1749" t="str">
        <f>'8.Dgia'!E1171</f>
        <v>Vữa bê tông đá 1x2 C25 SN 2-4</v>
      </c>
      <c r="F1583" s="1763" t="str">
        <f>'8.Dgia'!G1171</f>
        <v>m3</v>
      </c>
      <c r="G1583" s="1746">
        <f>'8.Dgia'!H1171</f>
        <v>1.0149999999999999</v>
      </c>
      <c r="H1583" s="1796">
        <f>GVL!$I$196</f>
        <v>950939.91780334397</v>
      </c>
      <c r="I1583" s="1796">
        <f>H1583*G1583</f>
        <v>965204.01657039404</v>
      </c>
    </row>
    <row r="1584" spans="1:12" ht="15">
      <c r="B1584" s="1536" t="str">
        <f>'8.Dgia'!B1172</f>
        <v/>
      </c>
      <c r="C1584" s="1537">
        <f>'8.Dgia'!C1172</f>
        <v>0</v>
      </c>
      <c r="D1584" s="1537">
        <f>'8.Dgia'!D1172</f>
        <v>0</v>
      </c>
      <c r="E1584" s="1749" t="str">
        <f>'8.Dgia'!E1172</f>
        <v>Vật liệu khác</v>
      </c>
      <c r="F1584" s="1763" t="str">
        <f>'8.Dgia'!G1172</f>
        <v>%</v>
      </c>
      <c r="G1584" s="1954">
        <f>'8.Dgia'!H1172</f>
        <v>0.5</v>
      </c>
      <c r="H1584" s="1796">
        <f>+I1583</f>
        <v>965204.01657039404</v>
      </c>
      <c r="I1584" s="1796">
        <f>H1584*G1584%</f>
        <v>4826.0200828519701</v>
      </c>
    </row>
    <row r="1585" spans="1:12" ht="15">
      <c r="B1585" s="1536" t="str">
        <f>'8.Dgia'!B1173</f>
        <v/>
      </c>
      <c r="C1585" s="1537">
        <f>'8.Dgia'!C1173</f>
        <v>0</v>
      </c>
      <c r="D1585" s="1537">
        <f>'8.Dgia'!D1173</f>
        <v>0</v>
      </c>
      <c r="E1585" s="1744" t="str">
        <f>'8.Dgia'!E1173</f>
        <v xml:space="preserve">  B - Nhân công 3.0/7</v>
      </c>
      <c r="F1585" s="1745" t="s">
        <v>552</v>
      </c>
      <c r="G1585" s="1746">
        <f>'8.Dgia'!H1173</f>
        <v>2.57</v>
      </c>
      <c r="H1585" s="1796">
        <f>'16.NC'!$H$13</f>
        <v>219751</v>
      </c>
      <c r="I1585" s="1798">
        <f>H1585*G1585</f>
        <v>564760.06999999995</v>
      </c>
    </row>
    <row r="1586" spans="1:12" ht="15">
      <c r="B1586" s="1536" t="str">
        <f>'8.Dgia'!B1174</f>
        <v/>
      </c>
      <c r="C1586" s="1537">
        <f>'8.Dgia'!C1174</f>
        <v>0</v>
      </c>
      <c r="D1586" s="1537">
        <f>'8.Dgia'!D1174</f>
        <v>0</v>
      </c>
      <c r="E1586" s="1744" t="str">
        <f>'8.Dgia'!E1174</f>
        <v xml:space="preserve">  C - Máy thi công</v>
      </c>
      <c r="F1586" s="1763">
        <f>'8.Dgia'!G1174</f>
        <v>0</v>
      </c>
      <c r="G1586" s="1746">
        <f>'8.Dgia'!H1174</f>
        <v>0</v>
      </c>
      <c r="H1586" s="1796"/>
      <c r="I1586" s="1799">
        <f>+I1587</f>
        <v>17142.550500000001</v>
      </c>
    </row>
    <row r="1587" spans="1:12" ht="15">
      <c r="B1587" s="1536" t="str">
        <f>'8.Dgia'!B1175</f>
        <v/>
      </c>
      <c r="C1587" s="1537">
        <f>'8.Dgia'!C1175</f>
        <v>0</v>
      </c>
      <c r="D1587" s="1537">
        <f>'8.Dgia'!D1175</f>
        <v>0</v>
      </c>
      <c r="E1587" s="1749" t="str">
        <f>'8.Dgia'!E1175</f>
        <v>Máy trộn 250L</v>
      </c>
      <c r="F1587" s="1745" t="s">
        <v>5493</v>
      </c>
      <c r="G1587" s="1746">
        <f>'8.Dgia'!H1175</f>
        <v>9.5000000000000001E-2</v>
      </c>
      <c r="H1587" s="1796">
        <f>'9.may'!$P$333</f>
        <v>180447.90000000002</v>
      </c>
      <c r="I1587" s="1796">
        <f>H1587*G1587</f>
        <v>17142.550500000001</v>
      </c>
    </row>
    <row r="1588" spans="1:12" s="658" customFormat="1" ht="15">
      <c r="B1588" s="1675"/>
      <c r="C1588" s="1676"/>
      <c r="D1588" s="1676"/>
      <c r="E1588" s="1800" t="s">
        <v>5675</v>
      </c>
      <c r="F1588" s="1763">
        <f>$J$5</f>
        <v>0.02</v>
      </c>
      <c r="G1588" s="1754"/>
      <c r="H1588" s="1799"/>
      <c r="I1588" s="1799">
        <f>( I1582+I1585+I1586 )*F1588</f>
        <v>31038.653143064919</v>
      </c>
      <c r="J1588" s="850"/>
      <c r="K1588" s="850"/>
      <c r="L1588" s="850"/>
    </row>
    <row r="1589" spans="1:12" ht="15">
      <c r="B1589" s="1540"/>
      <c r="C1589" s="1541"/>
      <c r="D1589" s="1541"/>
      <c r="E1589" s="1801" t="s">
        <v>5676</v>
      </c>
      <c r="F1589" s="1763"/>
      <c r="G1589" s="1759"/>
      <c r="H1589" s="1802"/>
      <c r="I1589" s="1802">
        <f>I1588+I1588/F1588</f>
        <v>1582971.3102963108</v>
      </c>
    </row>
    <row r="1590" spans="1:12" ht="15">
      <c r="B1590" s="1536"/>
      <c r="C1590" s="1537"/>
      <c r="D1590" s="1537"/>
      <c r="E1590" s="1803" t="s">
        <v>5677</v>
      </c>
      <c r="F1590" s="1763">
        <f>$K$5</f>
        <v>5.5E-2</v>
      </c>
      <c r="G1590" s="1746"/>
      <c r="H1590" s="1796"/>
      <c r="I1590" s="1796">
        <f>I1589*F1590</f>
        <v>87063.422066297091</v>
      </c>
    </row>
    <row r="1591" spans="1:12" ht="15">
      <c r="B1591" s="1536"/>
      <c r="C1591" s="1537"/>
      <c r="D1591" s="1537"/>
      <c r="E1591" s="1803" t="s">
        <v>5678</v>
      </c>
      <c r="F1591" s="1763">
        <f>$L$5</f>
        <v>0.06</v>
      </c>
      <c r="G1591" s="1746"/>
      <c r="H1591" s="1796"/>
      <c r="I1591" s="1796">
        <f>SUM(I1589:I1590)*F1591</f>
        <v>100202.08394175647</v>
      </c>
    </row>
    <row r="1592" spans="1:12" ht="14.25">
      <c r="B1592" s="1540"/>
      <c r="C1592" s="1541"/>
      <c r="D1592" s="1541"/>
      <c r="E1592" s="1801" t="s">
        <v>5679</v>
      </c>
      <c r="F1592" s="1791"/>
      <c r="G1592" s="1759"/>
      <c r="H1592" s="1802"/>
      <c r="I1592" s="1802">
        <f>SUM(I1589:I1591)</f>
        <v>1770236.8163043645</v>
      </c>
    </row>
    <row r="1593" spans="1:12" ht="15">
      <c r="B1593" s="1536"/>
      <c r="C1593" s="1537"/>
      <c r="D1593" s="1537"/>
      <c r="E1593" s="1803" t="s">
        <v>5680</v>
      </c>
      <c r="F1593" s="1765">
        <f>$M$5</f>
        <v>0.1</v>
      </c>
      <c r="G1593" s="1746"/>
      <c r="H1593" s="1796"/>
      <c r="I1593" s="1796">
        <f>I1592*F1593</f>
        <v>177023.68163043645</v>
      </c>
    </row>
    <row r="1594" spans="1:12" ht="14.25">
      <c r="B1594" s="1540"/>
      <c r="C1594" s="1541"/>
      <c r="D1594" s="1541"/>
      <c r="E1594" s="1801" t="s">
        <v>5681</v>
      </c>
      <c r="F1594" s="1791"/>
      <c r="G1594" s="1759"/>
      <c r="H1594" s="1802"/>
      <c r="I1594" s="1802">
        <f>SUM(I1592:I1593)</f>
        <v>1947260.497934801</v>
      </c>
    </row>
    <row r="1595" spans="1:12" ht="12.75">
      <c r="B1595" s="1536"/>
      <c r="C1595" s="1537"/>
      <c r="D1595" s="1537"/>
      <c r="E1595" s="1464" t="s">
        <v>5682</v>
      </c>
      <c r="F1595" s="1535">
        <f>$N$5</f>
        <v>0.01</v>
      </c>
      <c r="G1595" s="1538"/>
      <c r="H1595" s="1539"/>
      <c r="I1595" s="1539">
        <f>I1594*F1595</f>
        <v>19472.604979348012</v>
      </c>
    </row>
    <row r="1596" spans="1:12" ht="14.25">
      <c r="B1596" s="2116"/>
      <c r="C1596" s="1544"/>
      <c r="D1596" s="2116"/>
      <c r="E1596" s="2117" t="s">
        <v>5683</v>
      </c>
      <c r="F1596" s="2115"/>
      <c r="G1596" s="2117"/>
      <c r="H1596" s="2118"/>
      <c r="I1596" s="2110">
        <f>ROUND(I1594+I1595,)</f>
        <v>1966733</v>
      </c>
    </row>
    <row r="1597" spans="1:12" ht="14.25">
      <c r="A1597" s="657">
        <v>1</v>
      </c>
      <c r="B1597" s="1546">
        <f>IF(A1597&lt;&gt;0,COUNTA(A$7:$A1597),"")</f>
        <v>86</v>
      </c>
      <c r="C1597" s="1547">
        <f>'8.Dgia'!C1176</f>
        <v>1776</v>
      </c>
      <c r="D1597" s="1547" t="str">
        <f>'8.Dgia'!D1176</f>
        <v>AG.13221</v>
      </c>
      <c r="E1597" s="1740" t="str">
        <f>'8.Dgia'!E1176</f>
        <v>Cốt thép D&lt;=10 đúc sẵn</v>
      </c>
      <c r="F1597" s="1789" t="s">
        <v>557</v>
      </c>
      <c r="G1597" s="1742">
        <f>'8.Dgia'!H1176</f>
        <v>0</v>
      </c>
      <c r="H1597" s="1795"/>
      <c r="I1597" s="1795"/>
      <c r="J1597" s="842">
        <f>+I1598</f>
        <v>17227261.537800003</v>
      </c>
      <c r="K1597" s="842">
        <f>+I1601</f>
        <v>4032453.6000000006</v>
      </c>
      <c r="L1597" s="842">
        <f>+I1602</f>
        <v>32116.740000000005</v>
      </c>
    </row>
    <row r="1598" spans="1:12" ht="15">
      <c r="B1598" s="1536" t="str">
        <f>'8.Dgia'!B1177</f>
        <v/>
      </c>
      <c r="C1598" s="1537">
        <f>'8.Dgia'!C1177</f>
        <v>0</v>
      </c>
      <c r="D1598" s="1537">
        <f>'8.Dgia'!D1177</f>
        <v>0</v>
      </c>
      <c r="E1598" s="1744" t="str">
        <f>'8.Dgia'!E1177</f>
        <v xml:space="preserve">  A - Vật liệu</v>
      </c>
      <c r="F1598" s="1763">
        <f>'8.Dgia'!G1177</f>
        <v>0</v>
      </c>
      <c r="G1598" s="1746">
        <f>'8.Dgia'!H1177</f>
        <v>0</v>
      </c>
      <c r="H1598" s="1796"/>
      <c r="I1598" s="1797">
        <f>SUM(I1599:I1600)</f>
        <v>17227261.537800003</v>
      </c>
    </row>
    <row r="1599" spans="1:12" ht="15">
      <c r="B1599" s="1536" t="str">
        <f>'8.Dgia'!B1178</f>
        <v/>
      </c>
      <c r="C1599" s="1537">
        <f>'8.Dgia'!C1178</f>
        <v>0</v>
      </c>
      <c r="D1599" s="1537">
        <f>'8.Dgia'!D1178</f>
        <v>0</v>
      </c>
      <c r="E1599" s="1749" t="str">
        <f>'8.Dgia'!E1178</f>
        <v>Thép tròn D&lt;=10</v>
      </c>
      <c r="F1599" s="1763" t="str">
        <f>'8.Dgia'!G1178</f>
        <v>kg</v>
      </c>
      <c r="G1599" s="1954">
        <f>'8.Dgia'!H1178</f>
        <v>1005</v>
      </c>
      <c r="H1599" s="1796">
        <f>GVL!$I$179</f>
        <v>16754.075560000001</v>
      </c>
      <c r="I1599" s="1796">
        <f>H1599*G1599</f>
        <v>16837845.937800001</v>
      </c>
    </row>
    <row r="1600" spans="1:12" ht="15">
      <c r="B1600" s="1536" t="str">
        <f>'8.Dgia'!B1179</f>
        <v/>
      </c>
      <c r="C1600" s="1537">
        <f>'8.Dgia'!C1179</f>
        <v>0</v>
      </c>
      <c r="D1600" s="1537">
        <f>'8.Dgia'!D1179</f>
        <v>0</v>
      </c>
      <c r="E1600" s="1749" t="str">
        <f>'8.Dgia'!E1179</f>
        <v>Dây thép buộc</v>
      </c>
      <c r="F1600" s="1763" t="str">
        <f>'8.Dgia'!G1179</f>
        <v>kg</v>
      </c>
      <c r="G1600" s="1746">
        <f>'8.Dgia'!H1179</f>
        <v>21.42</v>
      </c>
      <c r="H1600" s="1796">
        <f>GVL!$I$89</f>
        <v>18180</v>
      </c>
      <c r="I1600" s="1796">
        <f>H1600*G1600</f>
        <v>389415.60000000003</v>
      </c>
    </row>
    <row r="1601" spans="1:12" ht="15">
      <c r="B1601" s="1536" t="str">
        <f>'8.Dgia'!B1180</f>
        <v/>
      </c>
      <c r="C1601" s="1537">
        <f>'8.Dgia'!C1180</f>
        <v>0</v>
      </c>
      <c r="D1601" s="1537">
        <f>'8.Dgia'!D1180</f>
        <v>0</v>
      </c>
      <c r="E1601" s="1744" t="str">
        <f>'8.Dgia'!E1180</f>
        <v xml:space="preserve">  B - Nhân công 3.5/7</v>
      </c>
      <c r="F1601" s="1745" t="s">
        <v>552</v>
      </c>
      <c r="G1601" s="1954">
        <f>'8.Dgia'!H1180</f>
        <v>17.100000000000001</v>
      </c>
      <c r="H1601" s="1796">
        <f>'16.NC'!$H$16</f>
        <v>235816</v>
      </c>
      <c r="I1601" s="1798">
        <f>H1601*G1601</f>
        <v>4032453.6000000006</v>
      </c>
    </row>
    <row r="1602" spans="1:12" ht="15">
      <c r="B1602" s="1536" t="str">
        <f>'8.Dgia'!B1181</f>
        <v/>
      </c>
      <c r="C1602" s="1537">
        <f>'8.Dgia'!C1181</f>
        <v>0</v>
      </c>
      <c r="D1602" s="1537">
        <f>'8.Dgia'!D1181</f>
        <v>0</v>
      </c>
      <c r="E1602" s="1744" t="str">
        <f>'8.Dgia'!E1181</f>
        <v xml:space="preserve">  C - Máy thi công</v>
      </c>
      <c r="F1602" s="1763">
        <f>'8.Dgia'!G1181</f>
        <v>0</v>
      </c>
      <c r="G1602" s="1746">
        <f>'8.Dgia'!H1181</f>
        <v>0</v>
      </c>
      <c r="H1602" s="1796"/>
      <c r="I1602" s="1799">
        <f>+I1603</f>
        <v>32116.740000000005</v>
      </c>
    </row>
    <row r="1603" spans="1:12" ht="15">
      <c r="B1603" s="1536" t="str">
        <f>'8.Dgia'!B1182</f>
        <v/>
      </c>
      <c r="C1603" s="1537">
        <f>'8.Dgia'!C1182</f>
        <v>0</v>
      </c>
      <c r="D1603" s="1537">
        <f>'8.Dgia'!D1182</f>
        <v>0</v>
      </c>
      <c r="E1603" s="1749" t="str">
        <f>'8.Dgia'!E1182</f>
        <v>Máy cắt uốn</v>
      </c>
      <c r="F1603" s="1745" t="s">
        <v>5493</v>
      </c>
      <c r="G1603" s="1954">
        <f>'8.Dgia'!H1182</f>
        <v>0.4</v>
      </c>
      <c r="H1603" s="1796">
        <f>'9.may'!$P$557</f>
        <v>80291.850000000006</v>
      </c>
      <c r="I1603" s="1796">
        <f>H1603*G1603</f>
        <v>32116.740000000005</v>
      </c>
    </row>
    <row r="1604" spans="1:12" s="658" customFormat="1" ht="15">
      <c r="B1604" s="1675"/>
      <c r="C1604" s="1676"/>
      <c r="D1604" s="1676"/>
      <c r="E1604" s="1800" t="s">
        <v>5675</v>
      </c>
      <c r="F1604" s="1763">
        <f>$J$5</f>
        <v>0.02</v>
      </c>
      <c r="G1604" s="1754"/>
      <c r="H1604" s="1799"/>
      <c r="I1604" s="1799">
        <f>( I1598+I1601+I1602 )*F1604</f>
        <v>425836.63755600009</v>
      </c>
      <c r="J1604" s="850"/>
      <c r="K1604" s="850"/>
      <c r="L1604" s="850"/>
    </row>
    <row r="1605" spans="1:12" ht="15">
      <c r="B1605" s="1540"/>
      <c r="C1605" s="1541"/>
      <c r="D1605" s="1541"/>
      <c r="E1605" s="1801" t="s">
        <v>5676</v>
      </c>
      <c r="F1605" s="1763"/>
      <c r="G1605" s="1759"/>
      <c r="H1605" s="1802"/>
      <c r="I1605" s="1802">
        <f>I1604+I1604/F1604</f>
        <v>21717668.515356004</v>
      </c>
    </row>
    <row r="1606" spans="1:12" ht="15">
      <c r="B1606" s="1536"/>
      <c r="C1606" s="1537"/>
      <c r="D1606" s="1537"/>
      <c r="E1606" s="1803" t="s">
        <v>5677</v>
      </c>
      <c r="F1606" s="1763">
        <f>$K$5</f>
        <v>5.5E-2</v>
      </c>
      <c r="G1606" s="1746"/>
      <c r="H1606" s="1796"/>
      <c r="I1606" s="1796">
        <f>I1605*F1606</f>
        <v>1194471.7683445802</v>
      </c>
    </row>
    <row r="1607" spans="1:12" ht="15">
      <c r="B1607" s="1536"/>
      <c r="C1607" s="1537"/>
      <c r="D1607" s="1537"/>
      <c r="E1607" s="1803" t="s">
        <v>5678</v>
      </c>
      <c r="F1607" s="1763">
        <f>$L$5</f>
        <v>0.06</v>
      </c>
      <c r="G1607" s="1746"/>
      <c r="H1607" s="1796"/>
      <c r="I1607" s="1796">
        <f>SUM(I1605:I1606)*F1607</f>
        <v>1374728.417022035</v>
      </c>
    </row>
    <row r="1608" spans="1:12" ht="14.25">
      <c r="B1608" s="1540"/>
      <c r="C1608" s="1541"/>
      <c r="D1608" s="1541"/>
      <c r="E1608" s="1801" t="s">
        <v>5679</v>
      </c>
      <c r="F1608" s="1791"/>
      <c r="G1608" s="1759"/>
      <c r="H1608" s="1802"/>
      <c r="I1608" s="1802">
        <f>SUM(I1605:I1607)</f>
        <v>24286868.70072262</v>
      </c>
    </row>
    <row r="1609" spans="1:12" ht="15">
      <c r="B1609" s="1536"/>
      <c r="C1609" s="1537"/>
      <c r="D1609" s="1537"/>
      <c r="E1609" s="1803" t="s">
        <v>5680</v>
      </c>
      <c r="F1609" s="1765">
        <f>$M$5</f>
        <v>0.1</v>
      </c>
      <c r="G1609" s="1746"/>
      <c r="H1609" s="1796"/>
      <c r="I1609" s="1796">
        <f>I1608*F1609</f>
        <v>2428686.8700722619</v>
      </c>
    </row>
    <row r="1610" spans="1:12" ht="14.25">
      <c r="B1610" s="1540"/>
      <c r="C1610" s="1541"/>
      <c r="D1610" s="1541"/>
      <c r="E1610" s="1801" t="s">
        <v>5681</v>
      </c>
      <c r="F1610" s="1791"/>
      <c r="G1610" s="1759"/>
      <c r="H1610" s="1802"/>
      <c r="I1610" s="1802">
        <f>SUM(I1608:I1609)</f>
        <v>26715555.57079488</v>
      </c>
    </row>
    <row r="1611" spans="1:12" ht="12.75">
      <c r="B1611" s="1536"/>
      <c r="C1611" s="1537"/>
      <c r="D1611" s="1537"/>
      <c r="E1611" s="1464" t="s">
        <v>5682</v>
      </c>
      <c r="F1611" s="1535">
        <f>$N$5</f>
        <v>0.01</v>
      </c>
      <c r="G1611" s="1538"/>
      <c r="H1611" s="1539"/>
      <c r="I1611" s="1539">
        <f>I1610*F1611</f>
        <v>267155.55570794881</v>
      </c>
    </row>
    <row r="1612" spans="1:12" ht="14.25">
      <c r="B1612" s="2116"/>
      <c r="C1612" s="1544"/>
      <c r="D1612" s="2116"/>
      <c r="E1612" s="2117" t="s">
        <v>5683</v>
      </c>
      <c r="F1612" s="2115"/>
      <c r="G1612" s="2117"/>
      <c r="H1612" s="2118"/>
      <c r="I1612" s="2110">
        <f>ROUND(I1610+I1611,)</f>
        <v>26982711</v>
      </c>
    </row>
    <row r="1613" spans="1:12" ht="14.25">
      <c r="A1613" s="657">
        <v>1</v>
      </c>
      <c r="B1613" s="1546">
        <f>IF(A1613&lt;&gt;0,COUNTA(A$7:$A1613),"")</f>
        <v>87</v>
      </c>
      <c r="C1613" s="1547">
        <f>'8.Dgia'!C1183</f>
        <v>1776</v>
      </c>
      <c r="D1613" s="1547" t="str">
        <f>'8.Dgia'!D1183</f>
        <v>AG.32211</v>
      </c>
      <c r="E1613" s="1740" t="str">
        <f>'8.Dgia'!E1183</f>
        <v>Ván khuôn kết cấu đúc sẵn</v>
      </c>
      <c r="F1613" s="1789" t="str">
        <f>'8.Dgia'!G1183</f>
        <v>100m2</v>
      </c>
      <c r="G1613" s="1742">
        <f>'8.Dgia'!H1183</f>
        <v>0</v>
      </c>
      <c r="H1613" s="1795"/>
      <c r="I1613" s="1795"/>
      <c r="J1613" s="842">
        <f>+I1614</f>
        <v>557014.28542626358</v>
      </c>
      <c r="K1613" s="842">
        <f>+I1619</f>
        <v>8156730.2400000002</v>
      </c>
      <c r="L1613" s="842">
        <f>+I1620</f>
        <v>136203.60449249999</v>
      </c>
    </row>
    <row r="1614" spans="1:12" ht="15">
      <c r="B1614" s="1536" t="str">
        <f>'8.Dgia'!B1184</f>
        <v/>
      </c>
      <c r="C1614" s="1537">
        <f>'8.Dgia'!C1184</f>
        <v>0</v>
      </c>
      <c r="D1614" s="1537">
        <f>'8.Dgia'!D1184</f>
        <v>0</v>
      </c>
      <c r="E1614" s="1744" t="str">
        <f>'8.Dgia'!E1184</f>
        <v xml:space="preserve">  A - Vật liệu</v>
      </c>
      <c r="F1614" s="1763">
        <f>'8.Dgia'!G1184</f>
        <v>0</v>
      </c>
      <c r="G1614" s="1746">
        <f>'8.Dgia'!H1184</f>
        <v>0</v>
      </c>
      <c r="H1614" s="1796"/>
      <c r="I1614" s="1797">
        <f>SUM(I1615:I1618)</f>
        <v>557014.28542626358</v>
      </c>
    </row>
    <row r="1615" spans="1:12" ht="15">
      <c r="B1615" s="1536" t="str">
        <f>'8.Dgia'!B1185</f>
        <v/>
      </c>
      <c r="C1615" s="1537">
        <f>'8.Dgia'!C1185</f>
        <v>0</v>
      </c>
      <c r="D1615" s="1537">
        <f>'8.Dgia'!D1185</f>
        <v>0</v>
      </c>
      <c r="E1615" s="1749" t="str">
        <f>'8.Dgia'!E1185</f>
        <v>Thép tấm</v>
      </c>
      <c r="F1615" s="1763" t="str">
        <f>'8.Dgia'!G1185</f>
        <v>kg</v>
      </c>
      <c r="G1615" s="1746">
        <f>'8.Dgia'!H1185</f>
        <v>17.27</v>
      </c>
      <c r="H1615" s="1796">
        <f>GVL!$I$175</f>
        <v>12871.348287272725</v>
      </c>
      <c r="I1615" s="1796">
        <f>H1615*G1615</f>
        <v>222288.18492119995</v>
      </c>
    </row>
    <row r="1616" spans="1:12" ht="15">
      <c r="B1616" s="1536" t="str">
        <f>'8.Dgia'!B1186</f>
        <v/>
      </c>
      <c r="C1616" s="1537">
        <f>'8.Dgia'!C1186</f>
        <v>0</v>
      </c>
      <c r="D1616" s="1537">
        <f>'8.Dgia'!D1186</f>
        <v>0</v>
      </c>
      <c r="E1616" s="1749" t="str">
        <f>'8.Dgia'!E1186</f>
        <v>Thép hình</v>
      </c>
      <c r="F1616" s="1763" t="str">
        <f>'8.Dgia'!G1186</f>
        <v>kg</v>
      </c>
      <c r="G1616" s="1746">
        <f>'8.Dgia'!H1186</f>
        <v>16.28</v>
      </c>
      <c r="H1616" s="1796">
        <f>GVL!$I$170</f>
        <v>16703.248369172808</v>
      </c>
      <c r="I1616" s="1796">
        <f>H1616*G1616</f>
        <v>271928.88345013332</v>
      </c>
    </row>
    <row r="1617" spans="1:12" ht="15">
      <c r="B1617" s="1536" t="str">
        <f>'8.Dgia'!B1187</f>
        <v/>
      </c>
      <c r="C1617" s="1537">
        <f>'8.Dgia'!C1187</f>
        <v>0</v>
      </c>
      <c r="D1617" s="1537">
        <f>'8.Dgia'!D1187</f>
        <v>0</v>
      </c>
      <c r="E1617" s="1749" t="str">
        <f>'8.Dgia'!E1187</f>
        <v>Que hàn</v>
      </c>
      <c r="F1617" s="1763" t="str">
        <f>'8.Dgia'!G1187</f>
        <v>kg</v>
      </c>
      <c r="G1617" s="1954">
        <f>'8.Dgia'!H1187</f>
        <v>1.9</v>
      </c>
      <c r="H1617" s="1796">
        <f>GVL!$I$153</f>
        <v>19090.909090909088</v>
      </c>
      <c r="I1617" s="1796">
        <f>H1617*G1617</f>
        <v>36272.727272727265</v>
      </c>
    </row>
    <row r="1618" spans="1:12" ht="15">
      <c r="B1618" s="1536" t="str">
        <f>'8.Dgia'!B1188</f>
        <v/>
      </c>
      <c r="C1618" s="1537">
        <f>'8.Dgia'!C1188</f>
        <v>0</v>
      </c>
      <c r="D1618" s="1537">
        <f>'8.Dgia'!D1188</f>
        <v>0</v>
      </c>
      <c r="E1618" s="1749" t="str">
        <f>'8.Dgia'!E1188</f>
        <v>Vật liệu khác</v>
      </c>
      <c r="F1618" s="1763" t="str">
        <f>'8.Dgia'!G1188</f>
        <v>%</v>
      </c>
      <c r="G1618" s="1954">
        <f>'8.Dgia'!H1188</f>
        <v>5</v>
      </c>
      <c r="H1618" s="1796">
        <f>SUM(I1615:I1617)</f>
        <v>530489.79564406059</v>
      </c>
      <c r="I1618" s="1796">
        <f>H1618*G1618%</f>
        <v>26524.489782203033</v>
      </c>
    </row>
    <row r="1619" spans="1:12" ht="15">
      <c r="B1619" s="1536" t="str">
        <f>'8.Dgia'!B1189</f>
        <v/>
      </c>
      <c r="C1619" s="1537">
        <f>'8.Dgia'!C1189</f>
        <v>0</v>
      </c>
      <c r="D1619" s="1537">
        <f>'8.Dgia'!D1189</f>
        <v>0</v>
      </c>
      <c r="E1619" s="1744" t="str">
        <f>'8.Dgia'!E1189</f>
        <v xml:space="preserve">  B - Nhân công 4.0/7</v>
      </c>
      <c r="F1619" s="1745" t="s">
        <v>552</v>
      </c>
      <c r="G1619" s="1954">
        <f>'8.Dgia'!H1189</f>
        <v>31.76</v>
      </c>
      <c r="H1619" s="1796">
        <f>'16.NC'!$H$18</f>
        <v>256824</v>
      </c>
      <c r="I1619" s="1798">
        <f>H1619*G1619</f>
        <v>8156730.2400000002</v>
      </c>
    </row>
    <row r="1620" spans="1:12" ht="15">
      <c r="B1620" s="1536" t="str">
        <f>'8.Dgia'!B1190</f>
        <v/>
      </c>
      <c r="C1620" s="1537">
        <f>'8.Dgia'!C1190</f>
        <v>0</v>
      </c>
      <c r="D1620" s="1537">
        <f>'8.Dgia'!D1190</f>
        <v>0</v>
      </c>
      <c r="E1620" s="1744" t="str">
        <f>'8.Dgia'!E1190</f>
        <v xml:space="preserve">  C - Máy thi công</v>
      </c>
      <c r="F1620" s="1763">
        <f>'8.Dgia'!G1190</f>
        <v>0</v>
      </c>
      <c r="G1620" s="1746">
        <f>'8.Dgia'!H1190</f>
        <v>0</v>
      </c>
      <c r="H1620" s="1796"/>
      <c r="I1620" s="1799">
        <f>SUM(I1621:I1622)</f>
        <v>136203.60449249999</v>
      </c>
    </row>
    <row r="1621" spans="1:12" ht="15">
      <c r="B1621" s="1536" t="str">
        <f>'8.Dgia'!B1191</f>
        <v/>
      </c>
      <c r="C1621" s="1537">
        <f>'8.Dgia'!C1191</f>
        <v>0</v>
      </c>
      <c r="D1621" s="1537">
        <f>'8.Dgia'!D1191</f>
        <v>0</v>
      </c>
      <c r="E1621" s="1749" t="str">
        <f>'8.Dgia'!E1191</f>
        <v>Máy hàn 23kw</v>
      </c>
      <c r="F1621" s="1745" t="s">
        <v>5493</v>
      </c>
      <c r="G1621" s="1746">
        <f>'8.Dgia'!H1191</f>
        <v>0.69</v>
      </c>
      <c r="H1621" s="1796">
        <f>'9.may'!$P$510</f>
        <v>171649.155</v>
      </c>
      <c r="I1621" s="1796">
        <f>H1621*G1621</f>
        <v>118437.91694999998</v>
      </c>
    </row>
    <row r="1622" spans="1:12" ht="15">
      <c r="B1622" s="1536" t="str">
        <f>'8.Dgia'!B1192</f>
        <v/>
      </c>
      <c r="C1622" s="1537">
        <f>'8.Dgia'!C1192</f>
        <v>0</v>
      </c>
      <c r="D1622" s="1537">
        <f>'8.Dgia'!D1192</f>
        <v>0</v>
      </c>
      <c r="E1622" s="1749" t="str">
        <f>'8.Dgia'!E1192</f>
        <v>Máy khác</v>
      </c>
      <c r="F1622" s="1763" t="str">
        <f>'8.Dgia'!G1192</f>
        <v>%</v>
      </c>
      <c r="G1622" s="1954">
        <f>'8.Dgia'!H1192</f>
        <v>15</v>
      </c>
      <c r="H1622" s="1796">
        <f>I1621</f>
        <v>118437.91694999998</v>
      </c>
      <c r="I1622" s="1796">
        <f>H1622*G1622%</f>
        <v>17765.687542499996</v>
      </c>
    </row>
    <row r="1623" spans="1:12" s="658" customFormat="1" ht="15">
      <c r="B1623" s="1675"/>
      <c r="C1623" s="1676"/>
      <c r="D1623" s="1676"/>
      <c r="E1623" s="1800" t="s">
        <v>5675</v>
      </c>
      <c r="F1623" s="1763">
        <f>$J$5</f>
        <v>0.02</v>
      </c>
      <c r="G1623" s="1754"/>
      <c r="H1623" s="1799"/>
      <c r="I1623" s="1799">
        <f>( I1614+I1619+I1620 )*F1623</f>
        <v>176998.96259837528</v>
      </c>
      <c r="J1623" s="850"/>
      <c r="K1623" s="850"/>
      <c r="L1623" s="850"/>
    </row>
    <row r="1624" spans="1:12" ht="15">
      <c r="B1624" s="1540"/>
      <c r="C1624" s="1541"/>
      <c r="D1624" s="1541"/>
      <c r="E1624" s="1801" t="s">
        <v>5676</v>
      </c>
      <c r="F1624" s="1763"/>
      <c r="G1624" s="1759"/>
      <c r="H1624" s="1802"/>
      <c r="I1624" s="1802">
        <f>I1623+I1623/F1623</f>
        <v>9026947.0925171394</v>
      </c>
    </row>
    <row r="1625" spans="1:12" ht="15">
      <c r="B1625" s="1536"/>
      <c r="C1625" s="1537"/>
      <c r="D1625" s="1537"/>
      <c r="E1625" s="1803" t="s">
        <v>5677</v>
      </c>
      <c r="F1625" s="1763">
        <f>$K$5</f>
        <v>5.5E-2</v>
      </c>
      <c r="G1625" s="1746"/>
      <c r="H1625" s="1796"/>
      <c r="I1625" s="1796">
        <f>I1624*F1625</f>
        <v>496482.09008844267</v>
      </c>
    </row>
    <row r="1626" spans="1:12" ht="15">
      <c r="B1626" s="1536"/>
      <c r="C1626" s="1537"/>
      <c r="D1626" s="1537"/>
      <c r="E1626" s="1803" t="s">
        <v>5678</v>
      </c>
      <c r="F1626" s="1763">
        <f>$L$5</f>
        <v>0.06</v>
      </c>
      <c r="G1626" s="1746"/>
      <c r="H1626" s="1796"/>
      <c r="I1626" s="1796">
        <f>SUM(I1624:I1625)*F1626</f>
        <v>571405.75095633487</v>
      </c>
    </row>
    <row r="1627" spans="1:12" ht="14.25">
      <c r="B1627" s="1540"/>
      <c r="C1627" s="1541"/>
      <c r="D1627" s="1541"/>
      <c r="E1627" s="1801" t="s">
        <v>5679</v>
      </c>
      <c r="F1627" s="1791"/>
      <c r="G1627" s="1759"/>
      <c r="H1627" s="1802"/>
      <c r="I1627" s="1802">
        <f>SUM(I1624:I1626)</f>
        <v>10094834.933561916</v>
      </c>
    </row>
    <row r="1628" spans="1:12" ht="15">
      <c r="B1628" s="1536"/>
      <c r="C1628" s="1537"/>
      <c r="D1628" s="1537"/>
      <c r="E1628" s="1803" t="s">
        <v>5680</v>
      </c>
      <c r="F1628" s="1765">
        <f>$M$5</f>
        <v>0.1</v>
      </c>
      <c r="G1628" s="1746"/>
      <c r="H1628" s="1796"/>
      <c r="I1628" s="1796">
        <f>I1627*F1628</f>
        <v>1009483.4933561916</v>
      </c>
    </row>
    <row r="1629" spans="1:12" ht="14.25">
      <c r="B1629" s="1540"/>
      <c r="C1629" s="1541"/>
      <c r="D1629" s="1541"/>
      <c r="E1629" s="1801" t="s">
        <v>5681</v>
      </c>
      <c r="F1629" s="1791"/>
      <c r="G1629" s="1759"/>
      <c r="H1629" s="1802"/>
      <c r="I1629" s="1802">
        <f>SUM(I1627:I1628)</f>
        <v>11104318.426918108</v>
      </c>
    </row>
    <row r="1630" spans="1:12" ht="12.75">
      <c r="B1630" s="1536"/>
      <c r="C1630" s="1537"/>
      <c r="D1630" s="1537"/>
      <c r="E1630" s="1464" t="s">
        <v>5682</v>
      </c>
      <c r="F1630" s="1535">
        <f>$N$5</f>
        <v>0.01</v>
      </c>
      <c r="G1630" s="1538"/>
      <c r="H1630" s="1539"/>
      <c r="I1630" s="1539">
        <f>I1629*F1630</f>
        <v>111043.18426918109</v>
      </c>
    </row>
    <row r="1631" spans="1:12" ht="14.25">
      <c r="B1631" s="2116"/>
      <c r="C1631" s="1544"/>
      <c r="D1631" s="2116"/>
      <c r="E1631" s="2117" t="s">
        <v>5683</v>
      </c>
      <c r="F1631" s="2115"/>
      <c r="G1631" s="2117"/>
      <c r="H1631" s="2118"/>
      <c r="I1631" s="2110">
        <f>ROUND(I1629+I1630,)</f>
        <v>11215362</v>
      </c>
    </row>
    <row r="1632" spans="1:12" ht="15" customHeight="1">
      <c r="A1632" s="657">
        <v>1</v>
      </c>
      <c r="B1632" s="1546">
        <f>IF(A1632&lt;&gt;0,COUNTA(A$7:$A1632),"")</f>
        <v>88</v>
      </c>
      <c r="C1632" s="1547">
        <f>'8.Dgia'!C1193</f>
        <v>1776</v>
      </c>
      <c r="D1632" s="1547" t="s">
        <v>5969</v>
      </c>
      <c r="E1632" s="1740" t="str">
        <f>'8.Dgia'!E1193</f>
        <v>Lắp đặt các tấm nắp dầm (&lt;=100kg)</v>
      </c>
      <c r="F1632" s="1789" t="s">
        <v>583</v>
      </c>
      <c r="G1632" s="1742">
        <f>'8.Dgia'!H1193</f>
        <v>0</v>
      </c>
      <c r="H1632" s="1795"/>
      <c r="I1632" s="1795"/>
      <c r="K1632" s="842">
        <f>+I1633</f>
        <v>64206</v>
      </c>
    </row>
    <row r="1633" spans="1:12" s="658" customFormat="1" ht="15">
      <c r="B1633" s="1536" t="str">
        <f>'8.Dgia'!B1194</f>
        <v/>
      </c>
      <c r="C1633" s="1537">
        <f>'8.Dgia'!C1194</f>
        <v>0</v>
      </c>
      <c r="D1633" s="1537">
        <f>'8.Dgia'!D1194</f>
        <v>0</v>
      </c>
      <c r="E1633" s="1744" t="str">
        <f>'8.Dgia'!E1194</f>
        <v xml:space="preserve">  B - Nhân công 4.0/7</v>
      </c>
      <c r="F1633" s="1745" t="s">
        <v>552</v>
      </c>
      <c r="G1633" s="1746">
        <f>'8.Dgia'!H1194</f>
        <v>0.25</v>
      </c>
      <c r="H1633" s="1796">
        <f>'16.NC'!$H$18</f>
        <v>256824</v>
      </c>
      <c r="I1633" s="1798">
        <f>H1633*G1633</f>
        <v>64206</v>
      </c>
      <c r="J1633" s="850"/>
      <c r="K1633" s="850"/>
      <c r="L1633" s="850"/>
    </row>
    <row r="1634" spans="1:12" s="658" customFormat="1" ht="15">
      <c r="B1634" s="1675"/>
      <c r="C1634" s="1676"/>
      <c r="D1634" s="1676" t="s">
        <v>5869</v>
      </c>
      <c r="E1634" s="1800" t="s">
        <v>5675</v>
      </c>
      <c r="F1634" s="1763">
        <f>$J$5</f>
        <v>0.02</v>
      </c>
      <c r="G1634" s="1754"/>
      <c r="H1634" s="1799"/>
      <c r="I1634" s="1799">
        <f>( I1633 )*F1634</f>
        <v>1284.1200000000001</v>
      </c>
      <c r="J1634" s="850"/>
      <c r="K1634" s="850"/>
      <c r="L1634" s="850"/>
    </row>
    <row r="1635" spans="1:12" ht="15">
      <c r="B1635" s="1540"/>
      <c r="C1635" s="1541"/>
      <c r="D1635" s="1541"/>
      <c r="E1635" s="1801" t="s">
        <v>5676</v>
      </c>
      <c r="F1635" s="1763"/>
      <c r="G1635" s="1759"/>
      <c r="H1635" s="1802"/>
      <c r="I1635" s="1802">
        <f>I1634+I1634/F1634</f>
        <v>65490.12000000001</v>
      </c>
    </row>
    <row r="1636" spans="1:12" ht="15">
      <c r="B1636" s="1536"/>
      <c r="C1636" s="1537"/>
      <c r="D1636" s="1537"/>
      <c r="E1636" s="1803" t="s">
        <v>5677</v>
      </c>
      <c r="F1636" s="1763">
        <f>$K$5</f>
        <v>5.5E-2</v>
      </c>
      <c r="G1636" s="1746"/>
      <c r="H1636" s="1796"/>
      <c r="I1636" s="1796">
        <f>I1635*F1636</f>
        <v>3601.9566000000004</v>
      </c>
    </row>
    <row r="1637" spans="1:12" ht="15">
      <c r="B1637" s="1536"/>
      <c r="C1637" s="1537"/>
      <c r="D1637" s="1537"/>
      <c r="E1637" s="1803" t="s">
        <v>5678</v>
      </c>
      <c r="F1637" s="1763">
        <f>$L$5</f>
        <v>0.06</v>
      </c>
      <c r="G1637" s="1746"/>
      <c r="H1637" s="1796"/>
      <c r="I1637" s="1796">
        <f>SUM(I1635:I1636)*F1637</f>
        <v>4145.5245960000011</v>
      </c>
    </row>
    <row r="1638" spans="1:12" ht="14.25">
      <c r="B1638" s="1540"/>
      <c r="C1638" s="1541"/>
      <c r="D1638" s="1541"/>
      <c r="E1638" s="1801" t="s">
        <v>5679</v>
      </c>
      <c r="F1638" s="1791"/>
      <c r="G1638" s="1759"/>
      <c r="H1638" s="1802"/>
      <c r="I1638" s="1802">
        <f>SUM(I1635:I1637)</f>
        <v>73237.601196000018</v>
      </c>
    </row>
    <row r="1639" spans="1:12" ht="15">
      <c r="B1639" s="1536"/>
      <c r="C1639" s="1537"/>
      <c r="D1639" s="1537"/>
      <c r="E1639" s="1803" t="s">
        <v>5680</v>
      </c>
      <c r="F1639" s="1765">
        <f>$M$5</f>
        <v>0.1</v>
      </c>
      <c r="G1639" s="1746"/>
      <c r="H1639" s="1796"/>
      <c r="I1639" s="1796">
        <f>I1638*F1639</f>
        <v>7323.7601196000023</v>
      </c>
    </row>
    <row r="1640" spans="1:12" ht="14.25">
      <c r="B1640" s="1540"/>
      <c r="C1640" s="1541"/>
      <c r="D1640" s="1541"/>
      <c r="E1640" s="1801" t="s">
        <v>5681</v>
      </c>
      <c r="F1640" s="1791"/>
      <c r="G1640" s="1759"/>
      <c r="H1640" s="1802"/>
      <c r="I1640" s="1802">
        <f>SUM(I1638:I1639)</f>
        <v>80561.361315600021</v>
      </c>
    </row>
    <row r="1641" spans="1:12" ht="12.75">
      <c r="B1641" s="1536"/>
      <c r="C1641" s="1537"/>
      <c r="D1641" s="1537"/>
      <c r="E1641" s="1464" t="s">
        <v>5682</v>
      </c>
      <c r="F1641" s="1535">
        <f>$N$5</f>
        <v>0.01</v>
      </c>
      <c r="G1641" s="1538"/>
      <c r="H1641" s="1539"/>
      <c r="I1641" s="1539">
        <f>I1640*F1641</f>
        <v>805.61361315600027</v>
      </c>
    </row>
    <row r="1642" spans="1:12" ht="14.25">
      <c r="B1642" s="2116"/>
      <c r="C1642" s="1544"/>
      <c r="D1642" s="2116"/>
      <c r="E1642" s="2117" t="s">
        <v>5683</v>
      </c>
      <c r="F1642" s="2115"/>
      <c r="G1642" s="2117"/>
      <c r="H1642" s="2118"/>
      <c r="I1642" s="2110">
        <f>ROUND(I1640+I1641,)</f>
        <v>81367</v>
      </c>
    </row>
    <row r="1643" spans="1:12" ht="28.5">
      <c r="A1643" s="657">
        <v>1</v>
      </c>
      <c r="B1643" s="1546">
        <f>IF(A1643&lt;&gt;0,COUNTA(A$7:$A1643),"")</f>
        <v>89</v>
      </c>
      <c r="C1643" s="1547">
        <f>'8.Dgia'!C1197</f>
        <v>1776</v>
      </c>
      <c r="D1643" s="1547" t="str">
        <f>'8.Dgia'!D1197</f>
        <v>AG.41511</v>
      </c>
      <c r="E1643" s="1740" t="s">
        <v>5875</v>
      </c>
      <c r="F1643" s="1789" t="str">
        <f>'8.Dgia'!G1197</f>
        <v>cấu kiện</v>
      </c>
      <c r="G1643" s="1742">
        <f>'8.Dgia'!H1197</f>
        <v>0</v>
      </c>
      <c r="H1643" s="1795"/>
      <c r="I1643" s="1795"/>
      <c r="K1643" s="842">
        <f>+I1644</f>
        <v>23114.16</v>
      </c>
      <c r="L1643" s="842">
        <f>+I1645</f>
        <v>47994.14312727272</v>
      </c>
    </row>
    <row r="1644" spans="1:12" s="658" customFormat="1" ht="15">
      <c r="B1644" s="1536" t="str">
        <f>'8.Dgia'!B1198</f>
        <v/>
      </c>
      <c r="C1644" s="1537">
        <f>'8.Dgia'!C1198</f>
        <v>0</v>
      </c>
      <c r="D1644" s="1537">
        <f>'8.Dgia'!D1198</f>
        <v>0</v>
      </c>
      <c r="E1644" s="1744" t="str">
        <f>'8.Dgia'!E1198</f>
        <v xml:space="preserve">  B - Nhân công 4.0/7</v>
      </c>
      <c r="F1644" s="1745" t="s">
        <v>552</v>
      </c>
      <c r="G1644" s="1981">
        <f>'8.Dgia'!H1198</f>
        <v>0.09</v>
      </c>
      <c r="H1644" s="1796">
        <f>'16.NC'!$H$18</f>
        <v>256824</v>
      </c>
      <c r="I1644" s="1798">
        <f>H1644*G1644</f>
        <v>23114.16</v>
      </c>
      <c r="J1644" s="850"/>
      <c r="K1644" s="850"/>
      <c r="L1644" s="850"/>
    </row>
    <row r="1645" spans="1:12" s="658" customFormat="1" ht="15">
      <c r="B1645" s="1536" t="str">
        <f>'8.Dgia'!B1199</f>
        <v/>
      </c>
      <c r="C1645" s="1537">
        <f>'8.Dgia'!C1199</f>
        <v>0</v>
      </c>
      <c r="D1645" s="1537">
        <f>'8.Dgia'!D1199</f>
        <v>0</v>
      </c>
      <c r="E1645" s="1744" t="str">
        <f>'8.Dgia'!E1199</f>
        <v xml:space="preserve">  C - Máy thi công</v>
      </c>
      <c r="F1645" s="1763">
        <f>'8.Dgia'!G1199</f>
        <v>0</v>
      </c>
      <c r="G1645" s="1981">
        <f>'8.Dgia'!H1199</f>
        <v>0</v>
      </c>
      <c r="H1645" s="1796"/>
      <c r="I1645" s="1799">
        <f>SUM(I1646:I1647)</f>
        <v>47994.14312727272</v>
      </c>
      <c r="J1645" s="850"/>
      <c r="K1645" s="850"/>
      <c r="L1645" s="850"/>
    </row>
    <row r="1646" spans="1:12" ht="15">
      <c r="B1646" s="1536" t="str">
        <f>'8.Dgia'!B1200</f>
        <v/>
      </c>
      <c r="C1646" s="1537">
        <f>'8.Dgia'!C1200</f>
        <v>0</v>
      </c>
      <c r="D1646" s="1537">
        <f>'8.Dgia'!D1200</f>
        <v>0</v>
      </c>
      <c r="E1646" s="1749" t="str">
        <f>'8.Dgia'!E1200</f>
        <v>Cần trục ôtô 10T</v>
      </c>
      <c r="F1646" s="1745" t="s">
        <v>5493</v>
      </c>
      <c r="G1646" s="1981">
        <f>'8.Dgia'!H1200</f>
        <v>1.7999999999999999E-2</v>
      </c>
      <c r="H1646" s="1796">
        <f>'9.may'!$P$225</f>
        <v>1712734.8681818182</v>
      </c>
      <c r="I1646" s="1796">
        <f>H1646*G1646</f>
        <v>30829.227627272725</v>
      </c>
    </row>
    <row r="1647" spans="1:12" ht="15">
      <c r="B1647" s="1536" t="str">
        <f>'8.Dgia'!B1201</f>
        <v/>
      </c>
      <c r="C1647" s="1537">
        <f>'8.Dgia'!C1201</f>
        <v>0</v>
      </c>
      <c r="D1647" s="1537">
        <f>'8.Dgia'!D1201</f>
        <v>0</v>
      </c>
      <c r="E1647" s="1749" t="str">
        <f>'8.Dgia'!E1201</f>
        <v>Máy hàn 23kw</v>
      </c>
      <c r="F1647" s="1745" t="s">
        <v>5493</v>
      </c>
      <c r="G1647" s="1981">
        <f>'8.Dgia'!H1201</f>
        <v>0.1</v>
      </c>
      <c r="H1647" s="1796">
        <f>'9.may'!$P$510</f>
        <v>171649.155</v>
      </c>
      <c r="I1647" s="1796">
        <f>H1647*G1647</f>
        <v>17164.915499999999</v>
      </c>
    </row>
    <row r="1648" spans="1:12" s="658" customFormat="1" ht="15">
      <c r="B1648" s="1675"/>
      <c r="C1648" s="1676"/>
      <c r="D1648" s="1676"/>
      <c r="E1648" s="1800" t="s">
        <v>5675</v>
      </c>
      <c r="F1648" s="1763">
        <f>$J$5</f>
        <v>0.02</v>
      </c>
      <c r="G1648" s="1754"/>
      <c r="H1648" s="1799"/>
      <c r="I1648" s="1799">
        <f>( I1644+I1645 )*F1648</f>
        <v>1422.1660625454545</v>
      </c>
      <c r="J1648" s="850"/>
      <c r="K1648" s="850"/>
      <c r="L1648" s="850"/>
    </row>
    <row r="1649" spans="1:12" ht="15">
      <c r="B1649" s="1540"/>
      <c r="C1649" s="1541"/>
      <c r="D1649" s="1541"/>
      <c r="E1649" s="1801" t="s">
        <v>5676</v>
      </c>
      <c r="F1649" s="1763"/>
      <c r="G1649" s="1759"/>
      <c r="H1649" s="1802"/>
      <c r="I1649" s="1802">
        <f>I1648+I1648/F1648</f>
        <v>72530.469189818177</v>
      </c>
    </row>
    <row r="1650" spans="1:12" ht="15">
      <c r="B1650" s="1536"/>
      <c r="C1650" s="1537"/>
      <c r="D1650" s="1537"/>
      <c r="E1650" s="1803" t="s">
        <v>5677</v>
      </c>
      <c r="F1650" s="1763">
        <f>$K$5</f>
        <v>5.5E-2</v>
      </c>
      <c r="G1650" s="1746"/>
      <c r="H1650" s="1796"/>
      <c r="I1650" s="1796">
        <f>I1649*F1650</f>
        <v>3989.1758054399997</v>
      </c>
    </row>
    <row r="1651" spans="1:12" ht="15">
      <c r="B1651" s="1536"/>
      <c r="C1651" s="1537"/>
      <c r="D1651" s="1537"/>
      <c r="E1651" s="1803" t="s">
        <v>5678</v>
      </c>
      <c r="F1651" s="1763">
        <f>$L$5</f>
        <v>0.06</v>
      </c>
      <c r="G1651" s="1746"/>
      <c r="H1651" s="1796"/>
      <c r="I1651" s="1796">
        <f>SUM(I1649:I1650)*F1651</f>
        <v>4591.1786997154904</v>
      </c>
    </row>
    <row r="1652" spans="1:12" ht="14.25">
      <c r="B1652" s="1540"/>
      <c r="C1652" s="1541"/>
      <c r="D1652" s="1541"/>
      <c r="E1652" s="1801" t="s">
        <v>5679</v>
      </c>
      <c r="F1652" s="1791"/>
      <c r="G1652" s="1759"/>
      <c r="H1652" s="1802"/>
      <c r="I1652" s="1802">
        <f>SUM(I1649:I1651)</f>
        <v>81110.82369497366</v>
      </c>
    </row>
    <row r="1653" spans="1:12" ht="15">
      <c r="B1653" s="1536"/>
      <c r="C1653" s="1537"/>
      <c r="D1653" s="1537"/>
      <c r="E1653" s="1803" t="s">
        <v>5680</v>
      </c>
      <c r="F1653" s="1765">
        <f>$M$5</f>
        <v>0.1</v>
      </c>
      <c r="G1653" s="1746"/>
      <c r="H1653" s="1796"/>
      <c r="I1653" s="1796">
        <f>I1652*F1653</f>
        <v>8111.082369497366</v>
      </c>
    </row>
    <row r="1654" spans="1:12" ht="14.25">
      <c r="B1654" s="1540"/>
      <c r="C1654" s="1541"/>
      <c r="D1654" s="1541"/>
      <c r="E1654" s="1801" t="s">
        <v>5681</v>
      </c>
      <c r="F1654" s="1791"/>
      <c r="G1654" s="1759"/>
      <c r="H1654" s="1802"/>
      <c r="I1654" s="1802">
        <f>SUM(I1652:I1653)</f>
        <v>89221.906064471026</v>
      </c>
    </row>
    <row r="1655" spans="1:12" ht="12.75">
      <c r="B1655" s="1536"/>
      <c r="C1655" s="1537"/>
      <c r="D1655" s="1537"/>
      <c r="E1655" s="1464" t="s">
        <v>5682</v>
      </c>
      <c r="F1655" s="1535">
        <f>$N$5</f>
        <v>0.01</v>
      </c>
      <c r="G1655" s="1538"/>
      <c r="H1655" s="1539"/>
      <c r="I1655" s="1539">
        <f>I1654*F1655</f>
        <v>892.21906064471023</v>
      </c>
    </row>
    <row r="1656" spans="1:12" ht="14.25">
      <c r="B1656" s="2116"/>
      <c r="C1656" s="1544"/>
      <c r="D1656" s="2116"/>
      <c r="E1656" s="2117" t="s">
        <v>5683</v>
      </c>
      <c r="F1656" s="2115"/>
      <c r="G1656" s="2117"/>
      <c r="H1656" s="2118"/>
      <c r="I1656" s="2110">
        <f>ROUND(I1654+I1655,-2)</f>
        <v>90100</v>
      </c>
    </row>
    <row r="1657" spans="1:12" ht="14.25">
      <c r="A1657" s="657">
        <v>1</v>
      </c>
      <c r="B1657" s="1546">
        <f>IF(A1657&lt;&gt;0,COUNTA(A$7:$A1657),"")</f>
        <v>90</v>
      </c>
      <c r="C1657" s="1547">
        <f>'8.Dgia'!C1202</f>
        <v>1776</v>
      </c>
      <c r="D1657" s="1547" t="s">
        <v>430</v>
      </c>
      <c r="E1657" s="1740" t="str">
        <f>'8.Dgia'!E1202</f>
        <v>Cẩu lắp gối cầu</v>
      </c>
      <c r="F1657" s="1789" t="str">
        <f>'8.Dgia'!G1202</f>
        <v>cấu kiện</v>
      </c>
      <c r="G1657" s="1742">
        <f>'8.Dgia'!H1202</f>
        <v>0</v>
      </c>
      <c r="H1657" s="1795"/>
      <c r="I1657" s="1795"/>
      <c r="L1657" s="842">
        <f>+I1658</f>
        <v>34254.697363636362</v>
      </c>
    </row>
    <row r="1658" spans="1:12" s="658" customFormat="1" ht="15">
      <c r="B1658" s="1536" t="str">
        <f>'8.Dgia'!B1203</f>
        <v/>
      </c>
      <c r="C1658" s="1537">
        <f>'8.Dgia'!C1203</f>
        <v>0</v>
      </c>
      <c r="D1658" s="1537">
        <f>'8.Dgia'!D1203</f>
        <v>0</v>
      </c>
      <c r="E1658" s="1744" t="str">
        <f>'8.Dgia'!E1203</f>
        <v xml:space="preserve">  C - Máy thi công</v>
      </c>
      <c r="F1658" s="1763">
        <f>'8.Dgia'!G1203</f>
        <v>0</v>
      </c>
      <c r="G1658" s="1746">
        <f>'8.Dgia'!H1203</f>
        <v>0</v>
      </c>
      <c r="H1658" s="1796"/>
      <c r="I1658" s="1799">
        <f>SUM(I1659:I1659)</f>
        <v>34254.697363636362</v>
      </c>
      <c r="J1658" s="850"/>
      <c r="K1658" s="850"/>
      <c r="L1658" s="850"/>
    </row>
    <row r="1659" spans="1:12" ht="15">
      <c r="B1659" s="1536" t="str">
        <f>'8.Dgia'!B1204</f>
        <v/>
      </c>
      <c r="C1659" s="1537">
        <f>'8.Dgia'!C1204</f>
        <v>0</v>
      </c>
      <c r="D1659" s="1537">
        <f>'8.Dgia'!D1204</f>
        <v>0</v>
      </c>
      <c r="E1659" s="1749" t="str">
        <f>'8.Dgia'!E1204</f>
        <v>Cần trục ôtô 10T</v>
      </c>
      <c r="F1659" s="1745" t="s">
        <v>5493</v>
      </c>
      <c r="G1659" s="1981">
        <v>0.02</v>
      </c>
      <c r="H1659" s="1796">
        <f>'9.may'!$P$225</f>
        <v>1712734.8681818182</v>
      </c>
      <c r="I1659" s="1796">
        <f>H1659*G1659</f>
        <v>34254.697363636362</v>
      </c>
    </row>
    <row r="1660" spans="1:12" s="658" customFormat="1" ht="15">
      <c r="B1660" s="1675"/>
      <c r="C1660" s="1676"/>
      <c r="D1660" s="1676" t="s">
        <v>5869</v>
      </c>
      <c r="E1660" s="1800" t="s">
        <v>5675</v>
      </c>
      <c r="F1660" s="1763">
        <f>$J$5</f>
        <v>0.02</v>
      </c>
      <c r="G1660" s="1754"/>
      <c r="H1660" s="1799"/>
      <c r="I1660" s="1799">
        <f>( I1658 )*F1660</f>
        <v>685.09394727272729</v>
      </c>
      <c r="J1660" s="850"/>
      <c r="K1660" s="850"/>
      <c r="L1660" s="850"/>
    </row>
    <row r="1661" spans="1:12" ht="15">
      <c r="B1661" s="1540"/>
      <c r="C1661" s="1541"/>
      <c r="D1661" s="1541"/>
      <c r="E1661" s="1801" t="s">
        <v>5676</v>
      </c>
      <c r="F1661" s="1763"/>
      <c r="G1661" s="1759"/>
      <c r="H1661" s="1802"/>
      <c r="I1661" s="1802">
        <f>I1660+I1660/F1660</f>
        <v>34939.791310909088</v>
      </c>
    </row>
    <row r="1662" spans="1:12" ht="15">
      <c r="B1662" s="1536"/>
      <c r="C1662" s="1537"/>
      <c r="D1662" s="1537"/>
      <c r="E1662" s="1803" t="s">
        <v>5677</v>
      </c>
      <c r="F1662" s="1763">
        <f>$K$5</f>
        <v>5.5E-2</v>
      </c>
      <c r="G1662" s="1746"/>
      <c r="H1662" s="1796"/>
      <c r="I1662" s="1796">
        <f>I1661*F1662</f>
        <v>1921.6885220999998</v>
      </c>
    </row>
    <row r="1663" spans="1:12" ht="15">
      <c r="B1663" s="1536"/>
      <c r="C1663" s="1537"/>
      <c r="D1663" s="1537"/>
      <c r="E1663" s="1803" t="s">
        <v>5678</v>
      </c>
      <c r="F1663" s="1763">
        <f>$L$5</f>
        <v>0.06</v>
      </c>
      <c r="G1663" s="1746"/>
      <c r="H1663" s="1796"/>
      <c r="I1663" s="1796">
        <f>SUM(I1661:I1662)*F1663</f>
        <v>2211.6887899805452</v>
      </c>
    </row>
    <row r="1664" spans="1:12" ht="14.25">
      <c r="B1664" s="1540"/>
      <c r="C1664" s="1541"/>
      <c r="D1664" s="1541"/>
      <c r="E1664" s="1801" t="s">
        <v>5679</v>
      </c>
      <c r="F1664" s="1791"/>
      <c r="G1664" s="1759"/>
      <c r="H1664" s="1802"/>
      <c r="I1664" s="1802">
        <f>SUM(I1661:I1663)</f>
        <v>39073.16862298963</v>
      </c>
    </row>
    <row r="1665" spans="1:12" ht="15">
      <c r="B1665" s="1536"/>
      <c r="C1665" s="1537"/>
      <c r="D1665" s="1537"/>
      <c r="E1665" s="1803" t="s">
        <v>5680</v>
      </c>
      <c r="F1665" s="1765">
        <f>$M$5</f>
        <v>0.1</v>
      </c>
      <c r="G1665" s="1746"/>
      <c r="H1665" s="1796"/>
      <c r="I1665" s="1796">
        <f>I1664*F1665</f>
        <v>3907.3168622989633</v>
      </c>
    </row>
    <row r="1666" spans="1:12" ht="14.25">
      <c r="B1666" s="1540"/>
      <c r="C1666" s="1541"/>
      <c r="D1666" s="1541"/>
      <c r="E1666" s="1801" t="s">
        <v>5681</v>
      </c>
      <c r="F1666" s="1791"/>
      <c r="G1666" s="1759"/>
      <c r="H1666" s="1802"/>
      <c r="I1666" s="1802">
        <f>SUM(I1664:I1665)</f>
        <v>42980.485485288591</v>
      </c>
    </row>
    <row r="1667" spans="1:12" ht="12.75">
      <c r="B1667" s="1536"/>
      <c r="C1667" s="1537"/>
      <c r="D1667" s="1537"/>
      <c r="E1667" s="1464" t="s">
        <v>5682</v>
      </c>
      <c r="F1667" s="1535">
        <f>$N$5</f>
        <v>0.01</v>
      </c>
      <c r="G1667" s="1538"/>
      <c r="H1667" s="1539"/>
      <c r="I1667" s="1539">
        <f>I1666*F1667</f>
        <v>429.80485485288591</v>
      </c>
    </row>
    <row r="1668" spans="1:12" ht="14.25">
      <c r="B1668" s="2116"/>
      <c r="C1668" s="1544"/>
      <c r="D1668" s="2116"/>
      <c r="E1668" s="2117" t="s">
        <v>5683</v>
      </c>
      <c r="F1668" s="2115"/>
      <c r="G1668" s="2117"/>
      <c r="H1668" s="2118"/>
      <c r="I1668" s="2110">
        <f>ROUND(I1666+I1667,-2)</f>
        <v>43400</v>
      </c>
    </row>
    <row r="1669" spans="1:12" ht="15" customHeight="1">
      <c r="A1669" s="657">
        <v>1</v>
      </c>
      <c r="B1669" s="1546">
        <f>IF(A1669&lt;&gt;0,COUNTA(A$7:$A1669),"")</f>
        <v>91</v>
      </c>
      <c r="C1669" s="1547">
        <f>'8.Dgia'!C1205</f>
        <v>1776</v>
      </c>
      <c r="D1669" s="1547" t="str">
        <f>'8.Dgia'!D1205</f>
        <v>AL.25122</v>
      </c>
      <c r="E1669" s="1740" t="str">
        <f>'8.Dgia'!E1205</f>
        <v>Lắp đặt khe co giãn dầm đúc sẵn 10cm</v>
      </c>
      <c r="F1669" s="1789" t="str">
        <f>'8.Dgia'!G1205</f>
        <v>m</v>
      </c>
      <c r="G1669" s="1742">
        <f>'8.Dgia'!H1205</f>
        <v>0</v>
      </c>
      <c r="H1669" s="1795"/>
      <c r="I1669" s="1795"/>
      <c r="J1669" s="842">
        <f>+I1670</f>
        <v>27456345</v>
      </c>
      <c r="K1669" s="842">
        <f>+I1673</f>
        <v>179776.8</v>
      </c>
    </row>
    <row r="1670" spans="1:12" s="658" customFormat="1" ht="15">
      <c r="B1670" s="1536" t="str">
        <f>'8.Dgia'!B1206</f>
        <v/>
      </c>
      <c r="C1670" s="1537">
        <f>'8.Dgia'!C1206</f>
        <v>0</v>
      </c>
      <c r="D1670" s="1537">
        <f>'8.Dgia'!D1206</f>
        <v>0</v>
      </c>
      <c r="E1670" s="1744" t="str">
        <f>'8.Dgia'!E1206</f>
        <v xml:space="preserve">  A - Vật liệu</v>
      </c>
      <c r="F1670" s="1763">
        <f>'8.Dgia'!G1206</f>
        <v>0</v>
      </c>
      <c r="G1670" s="1746">
        <f>'8.Dgia'!H1206</f>
        <v>0</v>
      </c>
      <c r="H1670" s="1796"/>
      <c r="I1670" s="1797">
        <f>SUM(I1671:I1672)</f>
        <v>27456345</v>
      </c>
      <c r="J1670" s="850"/>
      <c r="K1670" s="850"/>
      <c r="L1670" s="850"/>
    </row>
    <row r="1671" spans="1:12" ht="15">
      <c r="B1671" s="1536" t="str">
        <f>'8.Dgia'!B1207</f>
        <v/>
      </c>
      <c r="C1671" s="1537">
        <f>'8.Dgia'!C1207</f>
        <v>0</v>
      </c>
      <c r="D1671" s="1537">
        <f>'8.Dgia'!D1207</f>
        <v>0</v>
      </c>
      <c r="E1671" s="1749" t="str">
        <f>'8.Dgia'!E1207</f>
        <v>Khe co giãn 10cm</v>
      </c>
      <c r="F1671" s="1763" t="str">
        <f>'8.Dgia'!G1207</f>
        <v>m</v>
      </c>
      <c r="G1671" s="1954">
        <f>'8.Dgia'!H1207</f>
        <v>1.05</v>
      </c>
      <c r="H1671" s="1796">
        <f>GVL!$I$110</f>
        <v>25890000</v>
      </c>
      <c r="I1671" s="1796">
        <f>H1671*G1671</f>
        <v>27184500</v>
      </c>
    </row>
    <row r="1672" spans="1:12" ht="15">
      <c r="B1672" s="1536" t="str">
        <f>'8.Dgia'!B1208</f>
        <v/>
      </c>
      <c r="C1672" s="1537">
        <f>'8.Dgia'!C1208</f>
        <v>0</v>
      </c>
      <c r="D1672" s="1537">
        <f>'8.Dgia'!D1208</f>
        <v>0</v>
      </c>
      <c r="E1672" s="1749" t="str">
        <f>'8.Dgia'!E1208</f>
        <v>Vật liệu khác</v>
      </c>
      <c r="F1672" s="1763" t="str">
        <f>'8.Dgia'!G1208</f>
        <v>%</v>
      </c>
      <c r="G1672" s="1954">
        <f>'8.Dgia'!H1208</f>
        <v>1</v>
      </c>
      <c r="H1672" s="1796">
        <f>I1671</f>
        <v>27184500</v>
      </c>
      <c r="I1672" s="1796">
        <f>H1672*G1672%</f>
        <v>271845</v>
      </c>
    </row>
    <row r="1673" spans="1:12" s="658" customFormat="1" ht="15">
      <c r="B1673" s="1536" t="str">
        <f>'8.Dgia'!B1209</f>
        <v/>
      </c>
      <c r="C1673" s="1537">
        <f>'8.Dgia'!C1209</f>
        <v>0</v>
      </c>
      <c r="D1673" s="1537">
        <f>'8.Dgia'!D1209</f>
        <v>0</v>
      </c>
      <c r="E1673" s="1744" t="str">
        <f>'8.Dgia'!E1209</f>
        <v xml:space="preserve">  B - Nhân công 4.0/7</v>
      </c>
      <c r="F1673" s="1745" t="s">
        <v>552</v>
      </c>
      <c r="G1673" s="1954">
        <f>'8.Dgia'!H1209</f>
        <v>0.7</v>
      </c>
      <c r="H1673" s="1796">
        <f>'16.NC'!$H$18</f>
        <v>256824</v>
      </c>
      <c r="I1673" s="1798">
        <f>H1673*G1673</f>
        <v>179776.8</v>
      </c>
      <c r="J1673" s="850"/>
      <c r="K1673" s="850"/>
      <c r="L1673" s="850"/>
    </row>
    <row r="1674" spans="1:12" s="658" customFormat="1" ht="15">
      <c r="B1674" s="1675"/>
      <c r="C1674" s="1676"/>
      <c r="D1674" s="1676"/>
      <c r="E1674" s="1800" t="s">
        <v>5675</v>
      </c>
      <c r="F1674" s="1763">
        <f>$J$5</f>
        <v>0.02</v>
      </c>
      <c r="G1674" s="1754"/>
      <c r="H1674" s="1799"/>
      <c r="I1674" s="1799">
        <f>( I1670+I1673 )*F1674</f>
        <v>552722.43599999999</v>
      </c>
      <c r="J1674" s="850"/>
      <c r="K1674" s="850"/>
      <c r="L1674" s="850"/>
    </row>
    <row r="1675" spans="1:12" ht="15">
      <c r="B1675" s="1540"/>
      <c r="C1675" s="1541"/>
      <c r="D1675" s="1541"/>
      <c r="E1675" s="1801" t="s">
        <v>5676</v>
      </c>
      <c r="F1675" s="1763"/>
      <c r="G1675" s="1759"/>
      <c r="H1675" s="1802"/>
      <c r="I1675" s="1802">
        <f>I1674+I1674/F1674</f>
        <v>28188844.235999998</v>
      </c>
    </row>
    <row r="1676" spans="1:12" ht="15">
      <c r="B1676" s="1536"/>
      <c r="C1676" s="1537"/>
      <c r="D1676" s="1537"/>
      <c r="E1676" s="1803" t="s">
        <v>5677</v>
      </c>
      <c r="F1676" s="1763">
        <f>$K$5</f>
        <v>5.5E-2</v>
      </c>
      <c r="G1676" s="1746"/>
      <c r="H1676" s="1796"/>
      <c r="I1676" s="1796">
        <f>I1675*F1676</f>
        <v>1550386.4329799998</v>
      </c>
    </row>
    <row r="1677" spans="1:12" ht="15">
      <c r="B1677" s="1536"/>
      <c r="C1677" s="1537"/>
      <c r="D1677" s="1537"/>
      <c r="E1677" s="1803" t="s">
        <v>5678</v>
      </c>
      <c r="F1677" s="1763">
        <f>$L$5</f>
        <v>0.06</v>
      </c>
      <c r="G1677" s="1746"/>
      <c r="H1677" s="1796"/>
      <c r="I1677" s="1796">
        <f>SUM(I1675:I1676)*F1677</f>
        <v>1784353.8401387997</v>
      </c>
    </row>
    <row r="1678" spans="1:12" ht="14.25">
      <c r="B1678" s="1540"/>
      <c r="C1678" s="1541"/>
      <c r="D1678" s="1541"/>
      <c r="E1678" s="1801" t="s">
        <v>5679</v>
      </c>
      <c r="F1678" s="1791"/>
      <c r="G1678" s="1759"/>
      <c r="H1678" s="1802"/>
      <c r="I1678" s="1802">
        <f>SUM(I1675:I1677)</f>
        <v>31523584.509118799</v>
      </c>
    </row>
    <row r="1679" spans="1:12" ht="15">
      <c r="B1679" s="1536"/>
      <c r="C1679" s="1537"/>
      <c r="D1679" s="1537"/>
      <c r="E1679" s="1803" t="s">
        <v>5680</v>
      </c>
      <c r="F1679" s="1765">
        <f>$M$5</f>
        <v>0.1</v>
      </c>
      <c r="G1679" s="1746"/>
      <c r="H1679" s="1796"/>
      <c r="I1679" s="1796">
        <f>I1678*F1679</f>
        <v>3152358.45091188</v>
      </c>
    </row>
    <row r="1680" spans="1:12" ht="14.25">
      <c r="B1680" s="1540"/>
      <c r="C1680" s="1541"/>
      <c r="D1680" s="1541"/>
      <c r="E1680" s="1801" t="s">
        <v>5681</v>
      </c>
      <c r="F1680" s="1791"/>
      <c r="G1680" s="1759"/>
      <c r="H1680" s="1802"/>
      <c r="I1680" s="1802">
        <f>SUM(I1678:I1679)</f>
        <v>34675942.960030682</v>
      </c>
    </row>
    <row r="1681" spans="1:12" ht="12.75">
      <c r="B1681" s="1536"/>
      <c r="C1681" s="1537"/>
      <c r="D1681" s="1537"/>
      <c r="E1681" s="1464" t="s">
        <v>5682</v>
      </c>
      <c r="F1681" s="1535">
        <f>$N$5</f>
        <v>0.01</v>
      </c>
      <c r="G1681" s="1538"/>
      <c r="H1681" s="1539"/>
      <c r="I1681" s="1539">
        <f>I1680*F1681</f>
        <v>346759.42960030684</v>
      </c>
    </row>
    <row r="1682" spans="1:12" ht="14.25">
      <c r="B1682" s="2116"/>
      <c r="C1682" s="1544"/>
      <c r="D1682" s="2116"/>
      <c r="E1682" s="2117" t="s">
        <v>5683</v>
      </c>
      <c r="F1682" s="2115"/>
      <c r="G1682" s="2117"/>
      <c r="H1682" s="2118"/>
      <c r="I1682" s="2110">
        <f>ROUND(I1680+I1681,-2)</f>
        <v>35022700</v>
      </c>
    </row>
    <row r="1683" spans="1:12" ht="14.25">
      <c r="A1683" s="657">
        <v>1</v>
      </c>
      <c r="B1683" s="1546">
        <f>IF(A1683&lt;&gt;0,COUNTA(A$7:$A1683),"")</f>
        <v>92</v>
      </c>
      <c r="C1683" s="1547">
        <f>'8.Dgia'!C1210</f>
        <v>1091</v>
      </c>
      <c r="D1683" s="1547" t="s">
        <v>5984</v>
      </c>
      <c r="E1683" s="1740" t="str">
        <f>'8.Dgia'!E1210</f>
        <v>Lắp đặt khe co giãn 24cm</v>
      </c>
      <c r="F1683" s="1789" t="str">
        <f>'8.Dgia'!G1210</f>
        <v>m</v>
      </c>
      <c r="G1683" s="1742">
        <f>'8.Dgia'!H1210</f>
        <v>0</v>
      </c>
      <c r="H1683" s="1795"/>
      <c r="I1683" s="1795"/>
      <c r="J1683" s="842">
        <f>+I1684</f>
        <v>75715292.723931164</v>
      </c>
      <c r="K1683" s="842">
        <f>+I1698</f>
        <v>3549307.68</v>
      </c>
      <c r="L1683" s="842">
        <f>I1699</f>
        <v>861108.48996920185</v>
      </c>
    </row>
    <row r="1684" spans="1:12" s="658" customFormat="1" ht="15">
      <c r="B1684" s="1536" t="str">
        <f>'8.Dgia'!B1211</f>
        <v/>
      </c>
      <c r="C1684" s="1537">
        <f>'8.Dgia'!C1211</f>
        <v>0</v>
      </c>
      <c r="D1684" s="1537">
        <f>'8.Dgia'!D1211</f>
        <v>0</v>
      </c>
      <c r="E1684" s="1744" t="str">
        <f>'8.Dgia'!E1211</f>
        <v xml:space="preserve">  A - Vật liệu</v>
      </c>
      <c r="F1684" s="1763">
        <f>'8.Dgia'!G1211</f>
        <v>0</v>
      </c>
      <c r="G1684" s="1746">
        <f>'8.Dgia'!H1211</f>
        <v>0</v>
      </c>
      <c r="H1684" s="1796"/>
      <c r="I1684" s="1797">
        <f>SUM(I1685:I1697)</f>
        <v>75715292.723931164</v>
      </c>
      <c r="J1684" s="850"/>
      <c r="K1684" s="850"/>
      <c r="L1684" s="850"/>
    </row>
    <row r="1685" spans="1:12" ht="15">
      <c r="B1685" s="1536" t="str">
        <f>'8.Dgia'!B1212</f>
        <v/>
      </c>
      <c r="C1685" s="1537">
        <f>'8.Dgia'!C1212</f>
        <v>0</v>
      </c>
      <c r="D1685" s="1537" t="s">
        <v>5869</v>
      </c>
      <c r="E1685" s="1749" t="str">
        <f>'8.Dgia'!E1212</f>
        <v>Khe co giãn 24cm</v>
      </c>
      <c r="F1685" s="1763" t="str">
        <f>'8.Dgia'!G1212</f>
        <v>m</v>
      </c>
      <c r="G1685" s="1746">
        <f>'8.Dgia'!H1212</f>
        <v>1.05</v>
      </c>
      <c r="H1685" s="1796">
        <f>GVL!$I$111</f>
        <v>70727272.727272719</v>
      </c>
      <c r="I1685" s="1796">
        <f>H1685*G1685</f>
        <v>74263636.36363636</v>
      </c>
    </row>
    <row r="1686" spans="1:12" ht="15">
      <c r="B1686" s="1536" t="str">
        <f>'8.Dgia'!B1214</f>
        <v/>
      </c>
      <c r="C1686" s="1537">
        <f>'8.Dgia'!C1214</f>
        <v>0</v>
      </c>
      <c r="D1686" s="1537">
        <f>'8.Dgia'!D1214</f>
        <v>0</v>
      </c>
      <c r="E1686" s="1749" t="str">
        <f>'8.Dgia'!E1214</f>
        <v>Ô xy</v>
      </c>
      <c r="F1686" s="1763" t="s">
        <v>565</v>
      </c>
      <c r="G1686" s="1746">
        <f>'8.Dgia'!H1214</f>
        <v>3.5999999999999997E-2</v>
      </c>
      <c r="H1686" s="1796">
        <f>GVL!$I$130</f>
        <v>48000</v>
      </c>
      <c r="I1686" s="1796">
        <f t="shared" ref="I1686:I1696" si="10">H1686*G1686</f>
        <v>1727.9999999999998</v>
      </c>
    </row>
    <row r="1687" spans="1:12" ht="15">
      <c r="B1687" s="1536" t="str">
        <f>'8.Dgia'!B1215</f>
        <v/>
      </c>
      <c r="C1687" s="1537">
        <f>'8.Dgia'!C1215</f>
        <v>0</v>
      </c>
      <c r="D1687" s="1537">
        <f>'8.Dgia'!D1215</f>
        <v>0</v>
      </c>
      <c r="E1687" s="1749" t="str">
        <f>'8.Dgia'!E1215</f>
        <v>Đá mài</v>
      </c>
      <c r="F1687" s="1763" t="str">
        <f>'8.Dgia'!G1215</f>
        <v>viên</v>
      </c>
      <c r="G1687" s="1746">
        <f>'8.Dgia'!H1215</f>
        <v>0.27400000000000002</v>
      </c>
      <c r="H1687" s="1796">
        <f>GVL!$I$63</f>
        <v>25000</v>
      </c>
      <c r="I1687" s="1796">
        <f t="shared" si="10"/>
        <v>6850.0000000000009</v>
      </c>
    </row>
    <row r="1688" spans="1:12" ht="15">
      <c r="B1688" s="1536" t="str">
        <f>'8.Dgia'!B1216</f>
        <v/>
      </c>
      <c r="C1688" s="1537">
        <f>'8.Dgia'!C1216</f>
        <v>0</v>
      </c>
      <c r="D1688" s="1537">
        <f>'8.Dgia'!D1216</f>
        <v>0</v>
      </c>
      <c r="E1688" s="1749" t="str">
        <f>'8.Dgia'!E1216</f>
        <v>Đất đèn</v>
      </c>
      <c r="F1688" s="1763" t="str">
        <f>'8.Dgia'!G1216</f>
        <v>kg</v>
      </c>
      <c r="G1688" s="1746">
        <f>'8.Dgia'!H1216</f>
        <v>0.28599999999999998</v>
      </c>
      <c r="H1688" s="1796">
        <f>GVL!$I$68</f>
        <v>13600</v>
      </c>
      <c r="I1688" s="1796">
        <f t="shared" si="10"/>
        <v>3889.5999999999995</v>
      </c>
    </row>
    <row r="1689" spans="1:12" ht="15">
      <c r="B1689" s="1536" t="str">
        <f>'8.Dgia'!B1217</f>
        <v/>
      </c>
      <c r="C1689" s="1537">
        <f>'8.Dgia'!C1217</f>
        <v>0</v>
      </c>
      <c r="D1689" s="1537">
        <f>'8.Dgia'!D1217</f>
        <v>0</v>
      </c>
      <c r="E1689" s="1749" t="str">
        <f>'8.Dgia'!E1217</f>
        <v>Dầu bôi trơn</v>
      </c>
      <c r="F1689" s="1763" t="str">
        <f>'8.Dgia'!G1217</f>
        <v>kg</v>
      </c>
      <c r="G1689" s="1746">
        <f>'8.Dgia'!H1217</f>
        <v>0.624</v>
      </c>
      <c r="H1689" s="1796">
        <f>GVL!$I$71</f>
        <v>15000</v>
      </c>
      <c r="I1689" s="1796">
        <f t="shared" si="10"/>
        <v>9360</v>
      </c>
    </row>
    <row r="1690" spans="1:12" ht="15">
      <c r="B1690" s="1536" t="str">
        <f>'8.Dgia'!B1218</f>
        <v/>
      </c>
      <c r="C1690" s="1537">
        <f>'8.Dgia'!C1218</f>
        <v>0</v>
      </c>
      <c r="D1690" s="1537">
        <f>'8.Dgia'!D1218</f>
        <v>0</v>
      </c>
      <c r="E1690" s="1749" t="str">
        <f>'8.Dgia'!E1218</f>
        <v>Chổi cáp</v>
      </c>
      <c r="F1690" s="1763" t="s">
        <v>567</v>
      </c>
      <c r="G1690" s="1746">
        <f>'8.Dgia'!H1218</f>
        <v>0.05</v>
      </c>
      <c r="H1690" s="1796">
        <f>GVL!$I$41</f>
        <v>15000</v>
      </c>
      <c r="I1690" s="1796">
        <f t="shared" si="10"/>
        <v>750</v>
      </c>
    </row>
    <row r="1691" spans="1:12" ht="15">
      <c r="B1691" s="1536" t="str">
        <f>'8.Dgia'!B1219</f>
        <v/>
      </c>
      <c r="C1691" s="1537">
        <f>'8.Dgia'!C1219</f>
        <v>0</v>
      </c>
      <c r="D1691" s="1537">
        <f>'8.Dgia'!D1219</f>
        <v>0</v>
      </c>
      <c r="E1691" s="1749" t="str">
        <f>'8.Dgia'!E1219</f>
        <v>Gỗ</v>
      </c>
      <c r="F1691" s="1763" t="str">
        <f>'8.Dgia'!G1219</f>
        <v>m3</v>
      </c>
      <c r="G1691" s="1746">
        <f>'8.Dgia'!H1219</f>
        <v>6.0000000000000001E-3</v>
      </c>
      <c r="H1691" s="1796">
        <f>GVL!$I$96</f>
        <v>6000000</v>
      </c>
      <c r="I1691" s="1796">
        <f t="shared" si="10"/>
        <v>36000</v>
      </c>
    </row>
    <row r="1692" spans="1:12" ht="15">
      <c r="B1692" s="1536" t="str">
        <f>'8.Dgia'!B1220</f>
        <v/>
      </c>
      <c r="C1692" s="1537">
        <f>'8.Dgia'!C1220</f>
        <v>0</v>
      </c>
      <c r="D1692" s="1537">
        <f>'8.Dgia'!D1220</f>
        <v>0</v>
      </c>
      <c r="E1692" s="1749" t="str">
        <f>'8.Dgia'!E1220</f>
        <v>Lưỡi cắt bêtông</v>
      </c>
      <c r="F1692" s="1763" t="s">
        <v>567</v>
      </c>
      <c r="G1692" s="1746">
        <f>'8.Dgia'!H1220</f>
        <v>2.1999999999999999E-2</v>
      </c>
      <c r="H1692" s="1796">
        <f>GVL!$I$113</f>
        <v>30000</v>
      </c>
      <c r="I1692" s="1796">
        <f t="shared" si="10"/>
        <v>660</v>
      </c>
    </row>
    <row r="1693" spans="1:12" ht="15">
      <c r="B1693" s="1536" t="str">
        <f>'8.Dgia'!B1221</f>
        <v/>
      </c>
      <c r="C1693" s="1537">
        <f>'8.Dgia'!C1221</f>
        <v>0</v>
      </c>
      <c r="D1693" s="1537">
        <f>'8.Dgia'!D1221</f>
        <v>0</v>
      </c>
      <c r="E1693" s="1749" t="str">
        <f>'8.Dgia'!E1221</f>
        <v>Mỡ bôi trơn</v>
      </c>
      <c r="F1693" s="1763" t="str">
        <f>'8.Dgia'!G1221</f>
        <v>kg</v>
      </c>
      <c r="G1693" s="1746">
        <f>'8.Dgia'!H1221</f>
        <v>0.48599999999999999</v>
      </c>
      <c r="H1693" s="1796">
        <f>GVL!$I$119</f>
        <v>14560</v>
      </c>
      <c r="I1693" s="1796">
        <f t="shared" si="10"/>
        <v>7076.16</v>
      </c>
    </row>
    <row r="1694" spans="1:12" ht="15">
      <c r="B1694" s="1536" t="str">
        <f>'8.Dgia'!B1222</f>
        <v/>
      </c>
      <c r="C1694" s="1537">
        <f>'8.Dgia'!C1222</f>
        <v>0</v>
      </c>
      <c r="D1694" s="1537">
        <f>'8.Dgia'!D1222</f>
        <v>0</v>
      </c>
      <c r="E1694" s="1749" t="str">
        <f>'8.Dgia'!E1222</f>
        <v>Que hàn</v>
      </c>
      <c r="F1694" s="1763" t="str">
        <f>'8.Dgia'!G1222</f>
        <v>kg</v>
      </c>
      <c r="G1694" s="1746">
        <f>'8.Dgia'!H1222</f>
        <v>1.7350000000000001</v>
      </c>
      <c r="H1694" s="1796">
        <f>GVL!$I$153</f>
        <v>19090.909090909088</v>
      </c>
      <c r="I1694" s="1796">
        <f t="shared" si="10"/>
        <v>33122.727272727272</v>
      </c>
    </row>
    <row r="1695" spans="1:12" ht="15">
      <c r="B1695" s="1536" t="str">
        <f>'8.Dgia'!B1223</f>
        <v/>
      </c>
      <c r="C1695" s="1537">
        <f>'8.Dgia'!C1223</f>
        <v>0</v>
      </c>
      <c r="D1695" s="1537">
        <f>'8.Dgia'!D1223</f>
        <v>0</v>
      </c>
      <c r="E1695" s="1749" t="str">
        <f>'8.Dgia'!E1223</f>
        <v>Thép hình</v>
      </c>
      <c r="F1695" s="1763" t="str">
        <f>'8.Dgia'!G1223</f>
        <v>kg</v>
      </c>
      <c r="G1695" s="1746">
        <f>'8.Dgia'!H1223</f>
        <v>12.494</v>
      </c>
      <c r="H1695" s="1796">
        <f>GVL!$I$170</f>
        <v>16703.248369172808</v>
      </c>
      <c r="I1695" s="1796">
        <f t="shared" si="10"/>
        <v>208690.38512444508</v>
      </c>
    </row>
    <row r="1696" spans="1:12" ht="15">
      <c r="B1696" s="1536" t="str">
        <f>'8.Dgia'!B1224</f>
        <v/>
      </c>
      <c r="C1696" s="1537">
        <f>'8.Dgia'!C1224</f>
        <v>0</v>
      </c>
      <c r="D1696" s="1537">
        <f>'8.Dgia'!D1224</f>
        <v>0</v>
      </c>
      <c r="E1696" s="1749" t="str">
        <f>'8.Dgia'!E1224</f>
        <v>Thép tấm</v>
      </c>
      <c r="F1696" s="1763" t="str">
        <f>'8.Dgia'!G1224</f>
        <v>kg</v>
      </c>
      <c r="G1696" s="1746">
        <f>'8.Dgia'!H1224</f>
        <v>1.91</v>
      </c>
      <c r="H1696" s="1796">
        <f>GVL!$I$175</f>
        <v>12871.348287272725</v>
      </c>
      <c r="I1696" s="1796">
        <f t="shared" si="10"/>
        <v>24584.275228690905</v>
      </c>
    </row>
    <row r="1697" spans="2:12" ht="15">
      <c r="B1697" s="1536" t="str">
        <f>'8.Dgia'!B1225</f>
        <v/>
      </c>
      <c r="C1697" s="1537">
        <f>'8.Dgia'!C1225</f>
        <v>0</v>
      </c>
      <c r="D1697" s="1537">
        <f>'8.Dgia'!D1225</f>
        <v>0</v>
      </c>
      <c r="E1697" s="1749" t="str">
        <f>'8.Dgia'!E1225</f>
        <v>Vật liệu khác</v>
      </c>
      <c r="F1697" s="1763" t="str">
        <f>'8.Dgia'!G1225</f>
        <v>%</v>
      </c>
      <c r="G1697" s="1981">
        <f>'8.Dgia'!H1225</f>
        <v>1.5</v>
      </c>
      <c r="H1697" s="1796">
        <f>SUM(I1685:I1696)</f>
        <v>74596347.511262223</v>
      </c>
      <c r="I1697" s="1796">
        <f>H1697*G1697%</f>
        <v>1118945.2126689332</v>
      </c>
    </row>
    <row r="1698" spans="2:12" s="658" customFormat="1" ht="15">
      <c r="B1698" s="1536" t="str">
        <f>'8.Dgia'!B1226</f>
        <v/>
      </c>
      <c r="C1698" s="1537">
        <f>'8.Dgia'!C1226</f>
        <v>0</v>
      </c>
      <c r="D1698" s="1537">
        <f>'8.Dgia'!D1226</f>
        <v>0</v>
      </c>
      <c r="E1698" s="1744" t="str">
        <f>'8.Dgia'!E1226</f>
        <v xml:space="preserve">  B - Nhân công 4.0/7</v>
      </c>
      <c r="F1698" s="1745" t="s">
        <v>552</v>
      </c>
      <c r="G1698" s="1981">
        <f>'8.Dgia'!H1226</f>
        <v>13.82</v>
      </c>
      <c r="H1698" s="1796">
        <f>'16.NC'!$H$18</f>
        <v>256824</v>
      </c>
      <c r="I1698" s="1798">
        <f>H1698*G1698</f>
        <v>3549307.68</v>
      </c>
      <c r="J1698" s="850"/>
      <c r="K1698" s="850"/>
      <c r="L1698" s="850"/>
    </row>
    <row r="1699" spans="2:12" s="658" customFormat="1" ht="15">
      <c r="B1699" s="1536" t="str">
        <f>'8.Dgia'!B1227</f>
        <v/>
      </c>
      <c r="C1699" s="1537">
        <f>'8.Dgia'!C1227</f>
        <v>0</v>
      </c>
      <c r="D1699" s="1537">
        <f>'8.Dgia'!D1227</f>
        <v>0</v>
      </c>
      <c r="E1699" s="1744" t="str">
        <f>'8.Dgia'!E1227</f>
        <v xml:space="preserve">  C - Máy thi công</v>
      </c>
      <c r="F1699" s="1763">
        <f>'8.Dgia'!G1227</f>
        <v>0</v>
      </c>
      <c r="G1699" s="1746">
        <f>'8.Dgia'!H1227</f>
        <v>0</v>
      </c>
      <c r="H1699" s="1796"/>
      <c r="I1699" s="1799">
        <f>SUM(I1700:I1711)</f>
        <v>861108.48996920185</v>
      </c>
      <c r="J1699" s="850"/>
      <c r="K1699" s="850"/>
      <c r="L1699" s="850"/>
    </row>
    <row r="1700" spans="2:12" ht="15">
      <c r="B1700" s="1536" t="str">
        <f>'8.Dgia'!B1228</f>
        <v/>
      </c>
      <c r="C1700" s="1537">
        <f>'8.Dgia'!C1228</f>
        <v>0</v>
      </c>
      <c r="D1700" s="1537">
        <f>'8.Dgia'!D1228</f>
        <v>0</v>
      </c>
      <c r="E1700" s="1749" t="str">
        <f>'8.Dgia'!E1228</f>
        <v>Cần trục ôtô 10T</v>
      </c>
      <c r="F1700" s="1745" t="s">
        <v>5493</v>
      </c>
      <c r="G1700" s="1746">
        <f>'8.Dgia'!H1228</f>
        <v>8.2000000000000003E-2</v>
      </c>
      <c r="H1700" s="1796">
        <f>'9.may'!$P$225</f>
        <v>1712734.8681818182</v>
      </c>
      <c r="I1700" s="1796">
        <f>H1700*G1700</f>
        <v>140444.2591909091</v>
      </c>
    </row>
    <row r="1701" spans="2:12" ht="15">
      <c r="B1701" s="1536" t="str">
        <f>'8.Dgia'!B1229</f>
        <v/>
      </c>
      <c r="C1701" s="1537">
        <f>'8.Dgia'!C1229</f>
        <v>0</v>
      </c>
      <c r="D1701" s="1537">
        <f>'8.Dgia'!D1229</f>
        <v>0</v>
      </c>
      <c r="E1701" s="1749" t="str">
        <f>'8.Dgia'!E1229</f>
        <v>Máy cắt khe MCD</v>
      </c>
      <c r="F1701" s="1745" t="s">
        <v>5493</v>
      </c>
      <c r="G1701" s="1746">
        <f>'8.Dgia'!H1229</f>
        <v>1.7999999999999999E-2</v>
      </c>
      <c r="H1701" s="1796">
        <f>'9.may'!$P$544</f>
        <v>326286.25199999998</v>
      </c>
      <c r="I1701" s="1796">
        <f t="shared" ref="I1701:I1710" si="11">H1701*G1701</f>
        <v>5873.1525359999996</v>
      </c>
    </row>
    <row r="1702" spans="2:12" ht="15">
      <c r="B1702" s="1536" t="str">
        <f>'8.Dgia'!B1230</f>
        <v/>
      </c>
      <c r="C1702" s="1537">
        <f>'8.Dgia'!C1230</f>
        <v>0</v>
      </c>
      <c r="D1702" s="1537">
        <f>'8.Dgia'!D1230</f>
        <v>0</v>
      </c>
      <c r="E1702" s="1749" t="str">
        <f>'8.Dgia'!E1230</f>
        <v>Máy cưa kim loại 2.7kW</v>
      </c>
      <c r="F1702" s="1745" t="s">
        <v>5493</v>
      </c>
      <c r="G1702" s="1746">
        <f>'8.Dgia'!H1230</f>
        <v>5.3999999999999999E-2</v>
      </c>
      <c r="H1702" s="1796">
        <f>'9.may'!$P$768</f>
        <v>80720.595000000001</v>
      </c>
      <c r="I1702" s="1796">
        <f t="shared" si="11"/>
        <v>4358.9121299999997</v>
      </c>
    </row>
    <row r="1703" spans="2:12" ht="15">
      <c r="B1703" s="1536" t="str">
        <f>'8.Dgia'!B1231</f>
        <v/>
      </c>
      <c r="C1703" s="1537">
        <f>'8.Dgia'!C1231</f>
        <v>0</v>
      </c>
      <c r="D1703" s="1537">
        <f>'8.Dgia'!D1231</f>
        <v>0</v>
      </c>
      <c r="E1703" s="1749" t="str">
        <f>'8.Dgia'!E1231</f>
        <v>Máy hàn 23KW</v>
      </c>
      <c r="F1703" s="1745" t="s">
        <v>5493</v>
      </c>
      <c r="G1703" s="1746">
        <f>'8.Dgia'!H1231</f>
        <v>0.69799999999999995</v>
      </c>
      <c r="H1703" s="1796">
        <f>'9.may'!$P$510</f>
        <v>171649.155</v>
      </c>
      <c r="I1703" s="1796">
        <f t="shared" si="11"/>
        <v>119811.11018999999</v>
      </c>
    </row>
    <row r="1704" spans="2:12" ht="15">
      <c r="B1704" s="1536" t="str">
        <f>'8.Dgia'!B1232</f>
        <v/>
      </c>
      <c r="C1704" s="1537">
        <f>'8.Dgia'!C1232</f>
        <v>0</v>
      </c>
      <c r="D1704" s="1537">
        <f>'8.Dgia'!D1232</f>
        <v>0</v>
      </c>
      <c r="E1704" s="1749" t="str">
        <f>'8.Dgia'!E1232</f>
        <v>Máy khoan 4.5kW</v>
      </c>
      <c r="F1704" s="1745" t="s">
        <v>5493</v>
      </c>
      <c r="G1704" s="1746">
        <f>'8.Dgia'!H1232</f>
        <v>4.8000000000000001E-2</v>
      </c>
      <c r="H1704" s="1796">
        <f>'9.may'!$P$529</f>
        <v>108158.5425</v>
      </c>
      <c r="I1704" s="1796">
        <f t="shared" si="11"/>
        <v>5191.6100399999996</v>
      </c>
    </row>
    <row r="1705" spans="2:12" ht="15">
      <c r="B1705" s="1536" t="str">
        <f>'8.Dgia'!B1233</f>
        <v/>
      </c>
      <c r="C1705" s="1537">
        <f>'8.Dgia'!C1233</f>
        <v>0</v>
      </c>
      <c r="D1705" s="1537">
        <f>'8.Dgia'!D1233</f>
        <v>0</v>
      </c>
      <c r="E1705" s="1749" t="str">
        <f>'8.Dgia'!E1233</f>
        <v>Máy mài 2.7kW</v>
      </c>
      <c r="F1705" s="1745" t="s">
        <v>5493</v>
      </c>
      <c r="G1705" s="1746">
        <f>'8.Dgia'!H1233</f>
        <v>0.434</v>
      </c>
      <c r="H1705" s="1796">
        <f>'9.may'!$P$564</f>
        <v>67591.852499999994</v>
      </c>
      <c r="I1705" s="1796">
        <f t="shared" si="11"/>
        <v>29334.863984999996</v>
      </c>
    </row>
    <row r="1706" spans="2:12" ht="15">
      <c r="B1706" s="1536" t="str">
        <f>'8.Dgia'!B1234</f>
        <v/>
      </c>
      <c r="C1706" s="1537">
        <f>'8.Dgia'!C1234</f>
        <v>0</v>
      </c>
      <c r="D1706" s="1537">
        <f>'8.Dgia'!D1234</f>
        <v>0</v>
      </c>
      <c r="E1706" s="1749" t="str">
        <f>'8.Dgia'!E1234</f>
        <v>Máy nén khí 600m3/h</v>
      </c>
      <c r="F1706" s="1745" t="s">
        <v>5493</v>
      </c>
      <c r="G1706" s="1746">
        <f>'8.Dgia'!H1234</f>
        <v>8.9999999999999993E-3</v>
      </c>
      <c r="H1706" s="1796">
        <f>'9.may'!$P$488</f>
        <v>1323272.1545454543</v>
      </c>
      <c r="I1706" s="1796">
        <f t="shared" si="11"/>
        <v>11909.449390909087</v>
      </c>
    </row>
    <row r="1707" spans="2:12" ht="15">
      <c r="B1707" s="1536" t="str">
        <f>'8.Dgia'!B1235</f>
        <v/>
      </c>
      <c r="C1707" s="1537">
        <f>'8.Dgia'!C1235</f>
        <v>0</v>
      </c>
      <c r="D1707" s="1537">
        <f>'8.Dgia'!D1235</f>
        <v>0</v>
      </c>
      <c r="E1707" s="1749" t="str">
        <f>'8.Dgia'!E1235</f>
        <v>Máy bào</v>
      </c>
      <c r="F1707" s="1745" t="s">
        <v>5493</v>
      </c>
      <c r="G1707" s="1746">
        <f>'8.Dgia'!H1235</f>
        <v>0.03</v>
      </c>
      <c r="H1707" s="1796">
        <f>'9.may'!$P$772</f>
        <v>126539.62</v>
      </c>
      <c r="I1707" s="1796">
        <f t="shared" si="11"/>
        <v>3796.1885999999995</v>
      </c>
    </row>
    <row r="1708" spans="2:12" ht="15">
      <c r="B1708" s="1536" t="str">
        <f>'8.Dgia'!B1236</f>
        <v/>
      </c>
      <c r="C1708" s="1537">
        <f>'8.Dgia'!C1236</f>
        <v>0</v>
      </c>
      <c r="D1708" s="1537">
        <f>'8.Dgia'!D1236</f>
        <v>0</v>
      </c>
      <c r="E1708" s="1749" t="str">
        <f>'8.Dgia'!E1236</f>
        <v>Palăng xích 5T</v>
      </c>
      <c r="F1708" s="1745" t="s">
        <v>5493</v>
      </c>
      <c r="G1708" s="1746">
        <f>'8.Dgia'!H1236</f>
        <v>0.30599999999999999</v>
      </c>
      <c r="H1708" s="1796">
        <f>'9.may'!$P$735</f>
        <v>60980.880000000005</v>
      </c>
      <c r="I1708" s="1796">
        <f t="shared" si="11"/>
        <v>18660.149280000001</v>
      </c>
    </row>
    <row r="1709" spans="2:12" ht="15">
      <c r="B1709" s="1536" t="str">
        <f>'8.Dgia'!B1237</f>
        <v/>
      </c>
      <c r="C1709" s="1537">
        <f>'8.Dgia'!C1237</f>
        <v>0</v>
      </c>
      <c r="D1709" s="1537">
        <f>'8.Dgia'!D1237</f>
        <v>0</v>
      </c>
      <c r="E1709" s="1749" t="str">
        <f>'8.Dgia'!E1237</f>
        <v>Tời điện 5T</v>
      </c>
      <c r="F1709" s="1745" t="s">
        <v>5493</v>
      </c>
      <c r="G1709" s="1746">
        <f>'8.Dgia'!H1237</f>
        <v>0.30599999999999999</v>
      </c>
      <c r="H1709" s="1796">
        <f>'9.may'!$P$307</f>
        <v>135809.41500000001</v>
      </c>
      <c r="I1709" s="1796">
        <f t="shared" si="11"/>
        <v>41557.680990000001</v>
      </c>
    </row>
    <row r="1710" spans="2:12" ht="15">
      <c r="B1710" s="1536" t="str">
        <f>'8.Dgia'!B1238</f>
        <v/>
      </c>
      <c r="C1710" s="1537">
        <f>'8.Dgia'!C1238</f>
        <v>0</v>
      </c>
      <c r="D1710" s="1537">
        <f>'8.Dgia'!D1238</f>
        <v>0</v>
      </c>
      <c r="E1710" s="1749" t="str">
        <f>'8.Dgia'!E1238</f>
        <v>Máy phát điện lưu động 30kW</v>
      </c>
      <c r="F1710" s="1745" t="s">
        <v>5493</v>
      </c>
      <c r="G1710" s="1746">
        <f>'8.Dgia'!H1238</f>
        <v>0.61499999999999999</v>
      </c>
      <c r="H1710" s="1796">
        <f>'9.may'!$P$460</f>
        <v>753311.59909090912</v>
      </c>
      <c r="I1710" s="1796">
        <f t="shared" si="11"/>
        <v>463286.63344090909</v>
      </c>
    </row>
    <row r="1711" spans="2:12" ht="15">
      <c r="B1711" s="1536" t="str">
        <f>'8.Dgia'!B1239</f>
        <v/>
      </c>
      <c r="C1711" s="1537">
        <f>'8.Dgia'!C1239</f>
        <v>0</v>
      </c>
      <c r="D1711" s="1537">
        <f>'8.Dgia'!D1239</f>
        <v>0</v>
      </c>
      <c r="E1711" s="1749" t="str">
        <f>'8.Dgia'!E1239</f>
        <v>Máy khác</v>
      </c>
      <c r="F1711" s="1763" t="str">
        <f>'8.Dgia'!G1239</f>
        <v>%</v>
      </c>
      <c r="G1711" s="1954">
        <f>'8.Dgia'!H1239</f>
        <v>2</v>
      </c>
      <c r="H1711" s="1796">
        <f>SUM(I1700:I1710)</f>
        <v>844224.00977372727</v>
      </c>
      <c r="I1711" s="1796">
        <f>H1711*G1711%</f>
        <v>16884.480195474545</v>
      </c>
    </row>
    <row r="1712" spans="2:12" s="658" customFormat="1" ht="15">
      <c r="B1712" s="1675"/>
      <c r="C1712" s="1676"/>
      <c r="D1712" s="1676"/>
      <c r="E1712" s="1800" t="s">
        <v>5675</v>
      </c>
      <c r="F1712" s="1763">
        <f>$J$5</f>
        <v>0.02</v>
      </c>
      <c r="G1712" s="1754"/>
      <c r="H1712" s="1799"/>
      <c r="I1712" s="1799">
        <f>( I1684+I1698+I1699 )*F1712</f>
        <v>1602514.1778780075</v>
      </c>
      <c r="J1712" s="850"/>
      <c r="K1712" s="850"/>
      <c r="L1712" s="850"/>
    </row>
    <row r="1713" spans="1:12" ht="15">
      <c r="B1713" s="1540"/>
      <c r="C1713" s="1541"/>
      <c r="D1713" s="1541"/>
      <c r="E1713" s="1801" t="s">
        <v>5676</v>
      </c>
      <c r="F1713" s="1763"/>
      <c r="G1713" s="1759"/>
      <c r="H1713" s="1802"/>
      <c r="I1713" s="1802">
        <f>I1712+I1712/F1712</f>
        <v>81728223.071778387</v>
      </c>
    </row>
    <row r="1714" spans="1:12" ht="15">
      <c r="B1714" s="1536"/>
      <c r="C1714" s="1537"/>
      <c r="D1714" s="1537"/>
      <c r="E1714" s="1803" t="s">
        <v>5677</v>
      </c>
      <c r="F1714" s="1763">
        <f>$K$5</f>
        <v>5.5E-2</v>
      </c>
      <c r="G1714" s="1746"/>
      <c r="H1714" s="1796"/>
      <c r="I1714" s="1796">
        <f>I1713*F1714</f>
        <v>4495052.2689478109</v>
      </c>
    </row>
    <row r="1715" spans="1:12" ht="15">
      <c r="B1715" s="1536"/>
      <c r="C1715" s="1537"/>
      <c r="D1715" s="1537"/>
      <c r="E1715" s="1803" t="s">
        <v>5678</v>
      </c>
      <c r="F1715" s="1763">
        <f>$L$5</f>
        <v>0.06</v>
      </c>
      <c r="G1715" s="1746"/>
      <c r="H1715" s="1796"/>
      <c r="I1715" s="1796">
        <f>SUM(I1713:I1714)*F1715</f>
        <v>5173396.5204435717</v>
      </c>
    </row>
    <row r="1716" spans="1:12" ht="14.25">
      <c r="B1716" s="1540"/>
      <c r="C1716" s="1541"/>
      <c r="D1716" s="1541"/>
      <c r="E1716" s="1801" t="s">
        <v>5679</v>
      </c>
      <c r="F1716" s="1791"/>
      <c r="G1716" s="1759"/>
      <c r="H1716" s="1802"/>
      <c r="I1716" s="1802">
        <f>SUM(I1713:I1715)</f>
        <v>91396671.86116977</v>
      </c>
    </row>
    <row r="1717" spans="1:12" ht="15">
      <c r="B1717" s="1536"/>
      <c r="C1717" s="1537"/>
      <c r="D1717" s="1537"/>
      <c r="E1717" s="1803" t="s">
        <v>5680</v>
      </c>
      <c r="F1717" s="1765">
        <f>$M$5</f>
        <v>0.1</v>
      </c>
      <c r="G1717" s="1746"/>
      <c r="H1717" s="1796"/>
      <c r="I1717" s="1796">
        <f>I1716*F1717</f>
        <v>9139667.1861169767</v>
      </c>
    </row>
    <row r="1718" spans="1:12" ht="14.25">
      <c r="B1718" s="1540"/>
      <c r="C1718" s="1541"/>
      <c r="D1718" s="1541"/>
      <c r="E1718" s="1801" t="s">
        <v>5681</v>
      </c>
      <c r="F1718" s="1791"/>
      <c r="G1718" s="1759"/>
      <c r="H1718" s="1802"/>
      <c r="I1718" s="1802">
        <f>SUM(I1716:I1717)</f>
        <v>100536339.04728675</v>
      </c>
    </row>
    <row r="1719" spans="1:12" ht="12.75">
      <c r="B1719" s="1536"/>
      <c r="C1719" s="1537"/>
      <c r="D1719" s="1537"/>
      <c r="E1719" s="1464" t="s">
        <v>5682</v>
      </c>
      <c r="F1719" s="1535">
        <f>$N$5</f>
        <v>0.01</v>
      </c>
      <c r="G1719" s="1538"/>
      <c r="H1719" s="1539"/>
      <c r="I1719" s="1539">
        <f>I1718*F1719</f>
        <v>1005363.3904728675</v>
      </c>
    </row>
    <row r="1720" spans="1:12" ht="14.25">
      <c r="B1720" s="2116"/>
      <c r="C1720" s="1544"/>
      <c r="D1720" s="2116"/>
      <c r="E1720" s="2117" t="s">
        <v>5683</v>
      </c>
      <c r="F1720" s="2115"/>
      <c r="G1720" s="2117"/>
      <c r="H1720" s="2118"/>
      <c r="I1720" s="2110">
        <f>ROUND(I1718+I1719,-2)</f>
        <v>101541700</v>
      </c>
    </row>
    <row r="1721" spans="1:12" ht="14.25">
      <c r="A1721" s="657">
        <v>1</v>
      </c>
      <c r="B1721" s="1546">
        <f>IF(A1721&lt;&gt;0,COUNTA(A$7:$A1721),"")</f>
        <v>93</v>
      </c>
      <c r="C1721" s="1547">
        <f>'8.Dgia'!C1240</f>
        <v>1129</v>
      </c>
      <c r="D1721" s="1547" t="str">
        <f>'8.Dgia'!D1240</f>
        <v>SA.42210</v>
      </c>
      <c r="E1721" s="1740" t="str">
        <f>'8.Dgia'!E1240</f>
        <v>Cắt mặt đường BTN dày 5cm</v>
      </c>
      <c r="F1721" s="1789" t="str">
        <f>'8.Dgia'!G1240</f>
        <v>100m</v>
      </c>
      <c r="G1721" s="1742">
        <f>'8.Dgia'!H1240</f>
        <v>0</v>
      </c>
      <c r="H1721" s="1795"/>
      <c r="I1721" s="1795"/>
      <c r="J1721" s="842">
        <f>I1722</f>
        <v>7650</v>
      </c>
      <c r="K1721" s="842">
        <f>I1725</f>
        <v>452010.23999999999</v>
      </c>
      <c r="L1721" s="842">
        <f>I1726</f>
        <v>71782.975439999995</v>
      </c>
    </row>
    <row r="1722" spans="1:12" ht="15">
      <c r="B1722" s="1536" t="str">
        <f>'8.Dgia'!B1241</f>
        <v/>
      </c>
      <c r="C1722" s="1537">
        <f>'8.Dgia'!C1241</f>
        <v>0</v>
      </c>
      <c r="D1722" s="1537">
        <f>'8.Dgia'!D1241</f>
        <v>0</v>
      </c>
      <c r="E1722" s="1744" t="str">
        <f>'8.Dgia'!E1241</f>
        <v xml:space="preserve">  A - Vật liệu</v>
      </c>
      <c r="F1722" s="1763">
        <f>'8.Dgia'!G1241</f>
        <v>0</v>
      </c>
      <c r="G1722" s="1746">
        <f>'8.Dgia'!H1241</f>
        <v>0</v>
      </c>
      <c r="H1722" s="1796"/>
      <c r="I1722" s="1797">
        <f>SUM(I1723:I1724)</f>
        <v>7650</v>
      </c>
      <c r="J1722" s="890"/>
      <c r="K1722" s="890"/>
      <c r="L1722" s="890"/>
    </row>
    <row r="1723" spans="1:12" ht="15">
      <c r="B1723" s="1536" t="str">
        <f>'8.Dgia'!B1242</f>
        <v/>
      </c>
      <c r="C1723" s="1537">
        <f>'8.Dgia'!C1242</f>
        <v>0</v>
      </c>
      <c r="D1723" s="1537">
        <f>'8.Dgia'!D1242</f>
        <v>0</v>
      </c>
      <c r="E1723" s="1749" t="str">
        <f>'8.Dgia'!E1242</f>
        <v>Lưỡi cắt bêtông loại 356mm</v>
      </c>
      <c r="F1723" s="1763" t="s">
        <v>567</v>
      </c>
      <c r="G1723" s="1746">
        <f>'8.Dgia'!H1242</f>
        <v>0.25</v>
      </c>
      <c r="H1723" s="1796">
        <f>GVL!$I$114</f>
        <v>30000</v>
      </c>
      <c r="I1723" s="1796">
        <f>H1723*G1723</f>
        <v>7500</v>
      </c>
      <c r="J1723" s="890"/>
      <c r="K1723" s="890"/>
      <c r="L1723" s="890"/>
    </row>
    <row r="1724" spans="1:12" ht="15">
      <c r="B1724" s="1536" t="str">
        <f>'8.Dgia'!B1243</f>
        <v/>
      </c>
      <c r="C1724" s="1537">
        <f>'8.Dgia'!C1243</f>
        <v>0</v>
      </c>
      <c r="D1724" s="1537">
        <f>'8.Dgia'!D1243</f>
        <v>0</v>
      </c>
      <c r="E1724" s="1749" t="str">
        <f>'8.Dgia'!E1243</f>
        <v>Vật liệu khác</v>
      </c>
      <c r="F1724" s="1763" t="str">
        <f>'8.Dgia'!G1243</f>
        <v>%</v>
      </c>
      <c r="G1724" s="1954">
        <f>'8.Dgia'!H1243</f>
        <v>2</v>
      </c>
      <c r="H1724" s="1796">
        <f>+I1723</f>
        <v>7500</v>
      </c>
      <c r="I1724" s="1796">
        <f>H1724*G1724%</f>
        <v>150</v>
      </c>
      <c r="J1724" s="890"/>
      <c r="K1724" s="890"/>
      <c r="L1724" s="890"/>
    </row>
    <row r="1725" spans="1:12" ht="15">
      <c r="B1725" s="1536" t="str">
        <f>'8.Dgia'!B1244</f>
        <v/>
      </c>
      <c r="C1725" s="1537">
        <f>'8.Dgia'!C1244</f>
        <v>0</v>
      </c>
      <c r="D1725" s="1537">
        <f>'8.Dgia'!D1244</f>
        <v>0</v>
      </c>
      <c r="E1725" s="1744" t="str">
        <f>'8.Dgia'!E1244</f>
        <v xml:space="preserve">  B - Nhân công 4.0/7</v>
      </c>
      <c r="F1725" s="1745" t="s">
        <v>552</v>
      </c>
      <c r="G1725" s="1746">
        <f>'8.Dgia'!H1244</f>
        <v>1.76</v>
      </c>
      <c r="H1725" s="1796">
        <f>'16.NC'!$H$18</f>
        <v>256824</v>
      </c>
      <c r="I1725" s="1798">
        <f>H1725*G1725</f>
        <v>452010.23999999999</v>
      </c>
      <c r="J1725" s="890"/>
      <c r="K1725" s="890"/>
      <c r="L1725" s="890"/>
    </row>
    <row r="1726" spans="1:12" ht="15">
      <c r="B1726" s="1536" t="str">
        <f>'8.Dgia'!B1245</f>
        <v/>
      </c>
      <c r="C1726" s="1537">
        <f>'8.Dgia'!C1245</f>
        <v>0</v>
      </c>
      <c r="D1726" s="1537">
        <f>'8.Dgia'!D1245</f>
        <v>0</v>
      </c>
      <c r="E1726" s="1744" t="str">
        <f>'8.Dgia'!E1245</f>
        <v xml:space="preserve">  C - Máy thi công</v>
      </c>
      <c r="F1726" s="1763">
        <f>'8.Dgia'!G1245</f>
        <v>0</v>
      </c>
      <c r="G1726" s="1746">
        <f>'8.Dgia'!H1245</f>
        <v>0</v>
      </c>
      <c r="H1726" s="1796"/>
      <c r="I1726" s="1799">
        <f>I1727</f>
        <v>71782.975439999995</v>
      </c>
      <c r="J1726" s="890"/>
      <c r="K1726" s="890"/>
      <c r="L1726" s="890"/>
    </row>
    <row r="1727" spans="1:12" ht="15">
      <c r="B1727" s="1536" t="str">
        <f>'8.Dgia'!B1246</f>
        <v/>
      </c>
      <c r="C1727" s="1537">
        <f>'8.Dgia'!C1246</f>
        <v>0</v>
      </c>
      <c r="D1727" s="1537">
        <f>'8.Dgia'!D1246</f>
        <v>0</v>
      </c>
      <c r="E1727" s="1749" t="str">
        <f>'8.Dgia'!E1246</f>
        <v>Máy cắt khe MCD</v>
      </c>
      <c r="F1727" s="1745" t="s">
        <v>5493</v>
      </c>
      <c r="G1727" s="1746">
        <f>'8.Dgia'!H1246</f>
        <v>0.22</v>
      </c>
      <c r="H1727" s="1796">
        <f>'9.may'!$P$544</f>
        <v>326286.25199999998</v>
      </c>
      <c r="I1727" s="1796">
        <f>H1727*G1727</f>
        <v>71782.975439999995</v>
      </c>
    </row>
    <row r="1728" spans="1:12" s="658" customFormat="1" ht="15">
      <c r="B1728" s="1675"/>
      <c r="C1728" s="1676"/>
      <c r="D1728" s="1676"/>
      <c r="E1728" s="1800" t="s">
        <v>5675</v>
      </c>
      <c r="F1728" s="1763">
        <f>$J$5</f>
        <v>0.02</v>
      </c>
      <c r="G1728" s="1754"/>
      <c r="H1728" s="1799"/>
      <c r="I1728" s="1799">
        <f>( I1722+I1725+I1726 )*F1728</f>
        <v>10628.864308799999</v>
      </c>
      <c r="J1728" s="850"/>
      <c r="K1728" s="850"/>
      <c r="L1728" s="850"/>
    </row>
    <row r="1729" spans="1:12" ht="15">
      <c r="B1729" s="1540"/>
      <c r="C1729" s="1541"/>
      <c r="D1729" s="1541"/>
      <c r="E1729" s="1801" t="s">
        <v>5676</v>
      </c>
      <c r="F1729" s="1763"/>
      <c r="G1729" s="1759"/>
      <c r="H1729" s="1802"/>
      <c r="I1729" s="1802">
        <f>I1728+I1728/F1728</f>
        <v>542072.07974879991</v>
      </c>
    </row>
    <row r="1730" spans="1:12" ht="15">
      <c r="B1730" s="1536"/>
      <c r="C1730" s="1537"/>
      <c r="D1730" s="1537"/>
      <c r="E1730" s="1803" t="s">
        <v>5677</v>
      </c>
      <c r="F1730" s="1763">
        <f>$K$5</f>
        <v>5.5E-2</v>
      </c>
      <c r="G1730" s="1746"/>
      <c r="H1730" s="1796"/>
      <c r="I1730" s="1796">
        <f>I1729*F1730</f>
        <v>29813.964386183994</v>
      </c>
    </row>
    <row r="1731" spans="1:12" ht="15">
      <c r="B1731" s="1536"/>
      <c r="C1731" s="1537"/>
      <c r="D1731" s="1537"/>
      <c r="E1731" s="1803" t="s">
        <v>5678</v>
      </c>
      <c r="F1731" s="1763">
        <f>$L$5</f>
        <v>0.06</v>
      </c>
      <c r="G1731" s="1746"/>
      <c r="H1731" s="1796"/>
      <c r="I1731" s="1796">
        <f>SUM(I1729:I1730)*F1731</f>
        <v>34313.162648099031</v>
      </c>
    </row>
    <row r="1732" spans="1:12" ht="14.25">
      <c r="B1732" s="1540"/>
      <c r="C1732" s="1541"/>
      <c r="D1732" s="1541"/>
      <c r="E1732" s="1801" t="s">
        <v>5679</v>
      </c>
      <c r="F1732" s="1791"/>
      <c r="G1732" s="1759"/>
      <c r="H1732" s="1802"/>
      <c r="I1732" s="1802">
        <f>SUM(I1729:I1731)</f>
        <v>606199.20678308292</v>
      </c>
    </row>
    <row r="1733" spans="1:12" ht="15">
      <c r="B1733" s="1536"/>
      <c r="C1733" s="1537"/>
      <c r="D1733" s="1537"/>
      <c r="E1733" s="1803" t="s">
        <v>5680</v>
      </c>
      <c r="F1733" s="1765">
        <f>$M$5</f>
        <v>0.1</v>
      </c>
      <c r="G1733" s="1746"/>
      <c r="H1733" s="1796"/>
      <c r="I1733" s="1796">
        <f>I1732*F1733</f>
        <v>60619.920678308292</v>
      </c>
    </row>
    <row r="1734" spans="1:12" ht="14.25">
      <c r="B1734" s="1540"/>
      <c r="C1734" s="1541"/>
      <c r="D1734" s="1541"/>
      <c r="E1734" s="1801" t="s">
        <v>5681</v>
      </c>
      <c r="F1734" s="1791"/>
      <c r="G1734" s="1759"/>
      <c r="H1734" s="1802"/>
      <c r="I1734" s="1802">
        <f>SUM(I1732:I1733)</f>
        <v>666819.12746139127</v>
      </c>
    </row>
    <row r="1735" spans="1:12" ht="12.75">
      <c r="B1735" s="1536"/>
      <c r="C1735" s="1537"/>
      <c r="D1735" s="1537"/>
      <c r="E1735" s="1464" t="s">
        <v>5682</v>
      </c>
      <c r="F1735" s="1535">
        <f>$N$5</f>
        <v>0.01</v>
      </c>
      <c r="G1735" s="1538"/>
      <c r="H1735" s="1539"/>
      <c r="I1735" s="1539">
        <f>I1734*F1735</f>
        <v>6668.1912746139133</v>
      </c>
    </row>
    <row r="1736" spans="1:12" ht="14.25">
      <c r="B1736" s="2116"/>
      <c r="C1736" s="1544"/>
      <c r="D1736" s="2116"/>
      <c r="E1736" s="2117" t="s">
        <v>5683</v>
      </c>
      <c r="F1736" s="2115"/>
      <c r="G1736" s="2117"/>
      <c r="H1736" s="2118"/>
      <c r="I1736" s="2110">
        <f>ROUND(I1734+I1735,-2)</f>
        <v>673500</v>
      </c>
    </row>
    <row r="1737" spans="1:12" ht="14.25">
      <c r="A1737" s="657">
        <v>1</v>
      </c>
      <c r="B1737" s="1546">
        <f>IF(A1737&lt;&gt;0,COUNTA(A$7:$A1737),"")</f>
        <v>94</v>
      </c>
      <c r="C1737" s="1547">
        <f>'8.Dgia'!C1247</f>
        <v>1776</v>
      </c>
      <c r="D1737" s="1547" t="str">
        <f>'8.Dgia'!D1247</f>
        <v>AA.21441</v>
      </c>
      <c r="E1737" s="1740" t="str">
        <f>'8.Dgia'!E1247</f>
        <v xml:space="preserve">Đào bỏ lớp bê tông nhựa </v>
      </c>
      <c r="F1737" s="1789" t="str">
        <f>'8.Dgia'!G1247</f>
        <v>m3</v>
      </c>
      <c r="G1737" s="1742">
        <f>'8.Dgia'!H1247</f>
        <v>0</v>
      </c>
      <c r="H1737" s="1795"/>
      <c r="I1737" s="1795"/>
      <c r="K1737" s="842">
        <f>I1738</f>
        <v>530586</v>
      </c>
    </row>
    <row r="1738" spans="1:12" ht="15">
      <c r="B1738" s="1536" t="str">
        <f>'8.Dgia'!B1248</f>
        <v/>
      </c>
      <c r="C1738" s="1537">
        <f>'8.Dgia'!C1248</f>
        <v>0</v>
      </c>
      <c r="D1738" s="1537">
        <f>'8.Dgia'!D1248</f>
        <v>0</v>
      </c>
      <c r="E1738" s="1744" t="str">
        <f>'8.Dgia'!E1248</f>
        <v xml:space="preserve">  B - Nhân công 3.5/7</v>
      </c>
      <c r="F1738" s="1745" t="s">
        <v>552</v>
      </c>
      <c r="G1738" s="1746">
        <f>'8.Dgia'!H1248</f>
        <v>2.25</v>
      </c>
      <c r="H1738" s="1796">
        <f>'16.NC'!$H$16</f>
        <v>235816</v>
      </c>
      <c r="I1738" s="1798">
        <f>H1738*G1738</f>
        <v>530586</v>
      </c>
      <c r="J1738" s="890"/>
      <c r="K1738" s="890"/>
      <c r="L1738" s="890"/>
    </row>
    <row r="1739" spans="1:12" s="658" customFormat="1" ht="15">
      <c r="B1739" s="1675"/>
      <c r="C1739" s="1676"/>
      <c r="D1739" s="1676"/>
      <c r="E1739" s="1800" t="s">
        <v>5675</v>
      </c>
      <c r="F1739" s="1763">
        <f>$J$5</f>
        <v>0.02</v>
      </c>
      <c r="G1739" s="1754"/>
      <c r="H1739" s="1799"/>
      <c r="I1739" s="1799">
        <f>( I1738 )*F1739</f>
        <v>10611.72</v>
      </c>
      <c r="J1739" s="850"/>
      <c r="K1739" s="850"/>
      <c r="L1739" s="850"/>
    </row>
    <row r="1740" spans="1:12" ht="15">
      <c r="B1740" s="1540"/>
      <c r="C1740" s="1541"/>
      <c r="D1740" s="1541"/>
      <c r="E1740" s="1801" t="s">
        <v>5676</v>
      </c>
      <c r="F1740" s="1763"/>
      <c r="G1740" s="1759"/>
      <c r="H1740" s="1802"/>
      <c r="I1740" s="1802">
        <f>I1739+I1739/F1739</f>
        <v>541197.72</v>
      </c>
    </row>
    <row r="1741" spans="1:12" ht="15">
      <c r="B1741" s="1536"/>
      <c r="C1741" s="1537"/>
      <c r="D1741" s="1537"/>
      <c r="E1741" s="1803" t="s">
        <v>5677</v>
      </c>
      <c r="F1741" s="1763">
        <f>$K$5</f>
        <v>5.5E-2</v>
      </c>
      <c r="G1741" s="1746"/>
      <c r="H1741" s="1796"/>
      <c r="I1741" s="1796">
        <f>I1740*F1741</f>
        <v>29765.874599999999</v>
      </c>
    </row>
    <row r="1742" spans="1:12" ht="15">
      <c r="B1742" s="1536"/>
      <c r="C1742" s="1537"/>
      <c r="D1742" s="1537"/>
      <c r="E1742" s="1803" t="s">
        <v>5678</v>
      </c>
      <c r="F1742" s="1763">
        <f>$L$5</f>
        <v>0.06</v>
      </c>
      <c r="G1742" s="1746"/>
      <c r="H1742" s="1796"/>
      <c r="I1742" s="1796">
        <f>SUM(I1740:I1741)*F1742</f>
        <v>34257.815675999998</v>
      </c>
    </row>
    <row r="1743" spans="1:12" ht="14.25">
      <c r="B1743" s="1540"/>
      <c r="C1743" s="1541"/>
      <c r="D1743" s="1541"/>
      <c r="E1743" s="1801" t="s">
        <v>5679</v>
      </c>
      <c r="F1743" s="1791"/>
      <c r="G1743" s="1759"/>
      <c r="H1743" s="1802"/>
      <c r="I1743" s="1802">
        <f>SUM(I1740:I1742)</f>
        <v>605221.41027599992</v>
      </c>
    </row>
    <row r="1744" spans="1:12" ht="15">
      <c r="B1744" s="1536"/>
      <c r="C1744" s="1537"/>
      <c r="D1744" s="1537"/>
      <c r="E1744" s="1803" t="s">
        <v>5680</v>
      </c>
      <c r="F1744" s="1765">
        <f>$M$5</f>
        <v>0.1</v>
      </c>
      <c r="G1744" s="1746"/>
      <c r="H1744" s="1796"/>
      <c r="I1744" s="1796">
        <f>I1743*F1744</f>
        <v>60522.141027599995</v>
      </c>
    </row>
    <row r="1745" spans="1:12" ht="14.25">
      <c r="B1745" s="1540"/>
      <c r="C1745" s="1541"/>
      <c r="D1745" s="1541"/>
      <c r="E1745" s="1801" t="s">
        <v>5681</v>
      </c>
      <c r="F1745" s="1791"/>
      <c r="G1745" s="1759"/>
      <c r="H1745" s="1802"/>
      <c r="I1745" s="1802">
        <f>SUM(I1743:I1744)</f>
        <v>665743.55130359996</v>
      </c>
    </row>
    <row r="1746" spans="1:12" ht="12.75">
      <c r="B1746" s="1536"/>
      <c r="C1746" s="1537"/>
      <c r="D1746" s="1537"/>
      <c r="E1746" s="1464" t="s">
        <v>5682</v>
      </c>
      <c r="F1746" s="1535">
        <f>$N$5</f>
        <v>0.01</v>
      </c>
      <c r="G1746" s="1538"/>
      <c r="H1746" s="1539"/>
      <c r="I1746" s="1539">
        <f>I1745*F1746</f>
        <v>6657.435513036</v>
      </c>
    </row>
    <row r="1747" spans="1:12" ht="14.25">
      <c r="B1747" s="2116"/>
      <c r="C1747" s="1544"/>
      <c r="D1747" s="2116"/>
      <c r="E1747" s="2117" t="s">
        <v>5683</v>
      </c>
      <c r="F1747" s="2115"/>
      <c r="G1747" s="2117"/>
      <c r="H1747" s="2118"/>
      <c r="I1747" s="2110">
        <f>ROUND(I1745+I1746,-2)</f>
        <v>672400</v>
      </c>
    </row>
    <row r="1748" spans="1:12" ht="14.25">
      <c r="A1748" s="657">
        <v>1</v>
      </c>
      <c r="B1748" s="1546">
        <f>IF(A1748&lt;&gt;0,COUNTA(A$7:$A1748),"")</f>
        <v>95</v>
      </c>
      <c r="C1748" s="1547">
        <f>'8.Dgia'!C1249</f>
        <v>1776</v>
      </c>
      <c r="D1748" s="1547" t="str">
        <f>'8.Dgia'!D1249</f>
        <v>AG.11320</v>
      </c>
      <c r="E1748" s="1740" t="str">
        <f>'8.Dgia'!E1249</f>
        <v>Bê tông C30 lan can phần đúc sẵn</v>
      </c>
      <c r="F1748" s="1789" t="str">
        <f>'8.Dgia'!G1249</f>
        <v>m3</v>
      </c>
      <c r="G1748" s="1742">
        <f>'8.Dgia'!H1249</f>
        <v>0</v>
      </c>
      <c r="H1748" s="1795"/>
      <c r="I1748" s="1795"/>
      <c r="J1748" s="842">
        <f>+I1749</f>
        <v>1042170.1027936651</v>
      </c>
      <c r="K1748" s="842">
        <f>+I1752</f>
        <v>811207.04</v>
      </c>
      <c r="L1748" s="842">
        <f>+I1753</f>
        <v>26176.670825249999</v>
      </c>
    </row>
    <row r="1749" spans="1:12" s="658" customFormat="1" ht="15">
      <c r="B1749" s="1536" t="str">
        <f>'8.Dgia'!B1250</f>
        <v/>
      </c>
      <c r="C1749" s="1537">
        <f>'8.Dgia'!C1250</f>
        <v>0</v>
      </c>
      <c r="D1749" s="1537">
        <f>'8.Dgia'!D1250</f>
        <v>0</v>
      </c>
      <c r="E1749" s="1744" t="str">
        <f>'8.Dgia'!E1250</f>
        <v xml:space="preserve">  A - Vật liệu</v>
      </c>
      <c r="F1749" s="1763">
        <f>'8.Dgia'!G1250</f>
        <v>0</v>
      </c>
      <c r="G1749" s="1746">
        <f>'8.Dgia'!H1250</f>
        <v>0</v>
      </c>
      <c r="H1749" s="1796"/>
      <c r="I1749" s="1797">
        <f>SUM(I1750:I1751)</f>
        <v>1042170.1027936651</v>
      </c>
      <c r="J1749" s="850"/>
      <c r="K1749" s="850"/>
      <c r="L1749" s="850"/>
    </row>
    <row r="1750" spans="1:12" ht="15">
      <c r="B1750" s="1536" t="str">
        <f>'8.Dgia'!B1251</f>
        <v/>
      </c>
      <c r="C1750" s="1537">
        <f>'8.Dgia'!C1251</f>
        <v>0</v>
      </c>
      <c r="D1750" s="1537" t="str">
        <f>'8.Dgia'!D1251</f>
        <v>C3126</v>
      </c>
      <c r="E1750" s="1749" t="str">
        <f>'8.Dgia'!E1251</f>
        <v>Vữa bê tông đá 1x2 C30 SN 2-4</v>
      </c>
      <c r="F1750" s="1763" t="str">
        <f>'8.Dgia'!G1251</f>
        <v>m3</v>
      </c>
      <c r="G1750" s="1746">
        <f>'8.Dgia'!H1251</f>
        <v>1.0149999999999999</v>
      </c>
      <c r="H1750" s="1796">
        <f>GVL!$I$198</f>
        <v>1021660.2728168666</v>
      </c>
      <c r="I1750" s="1796">
        <f>H1750*G1750</f>
        <v>1036985.1769091196</v>
      </c>
    </row>
    <row r="1751" spans="1:12" ht="15">
      <c r="B1751" s="1536" t="str">
        <f>'8.Dgia'!B1252</f>
        <v/>
      </c>
      <c r="C1751" s="1537">
        <f>'8.Dgia'!C1252</f>
        <v>0</v>
      </c>
      <c r="D1751" s="1537">
        <f>'8.Dgia'!D1252</f>
        <v>0</v>
      </c>
      <c r="E1751" s="1749" t="str">
        <f>'8.Dgia'!E1252</f>
        <v>Vật liệu khác</v>
      </c>
      <c r="F1751" s="1763" t="str">
        <f>'8.Dgia'!G1252</f>
        <v>%</v>
      </c>
      <c r="G1751" s="1954">
        <f>'8.Dgia'!H1252</f>
        <v>0.5</v>
      </c>
      <c r="H1751" s="1796">
        <f>I1750</f>
        <v>1036985.1769091196</v>
      </c>
      <c r="I1751" s="1796">
        <f>H1751*G1751%</f>
        <v>5184.9258845455979</v>
      </c>
    </row>
    <row r="1752" spans="1:12" s="658" customFormat="1" ht="15">
      <c r="B1752" s="1536" t="str">
        <f>'8.Dgia'!B1253</f>
        <v/>
      </c>
      <c r="C1752" s="1537">
        <f>'8.Dgia'!C1253</f>
        <v>0</v>
      </c>
      <c r="D1752" s="1537">
        <f>'8.Dgia'!D1253</f>
        <v>0</v>
      </c>
      <c r="E1752" s="1744" t="str">
        <f>'8.Dgia'!E1253</f>
        <v xml:space="preserve">  B - Nhân công 3.5/7</v>
      </c>
      <c r="F1752" s="1745" t="s">
        <v>552</v>
      </c>
      <c r="G1752" s="1746">
        <f>'8.Dgia'!H1253</f>
        <v>3.44</v>
      </c>
      <c r="H1752" s="1796">
        <f>'16.NC'!$H$16</f>
        <v>235816</v>
      </c>
      <c r="I1752" s="1798">
        <f>H1752*G1752</f>
        <v>811207.04</v>
      </c>
      <c r="J1752" s="850"/>
      <c r="K1752" s="850"/>
      <c r="L1752" s="850"/>
    </row>
    <row r="1753" spans="1:12" s="658" customFormat="1" ht="15">
      <c r="B1753" s="1536" t="str">
        <f>'8.Dgia'!B1254</f>
        <v/>
      </c>
      <c r="C1753" s="1537">
        <f>'8.Dgia'!C1254</f>
        <v>0</v>
      </c>
      <c r="D1753" s="1537">
        <f>'8.Dgia'!D1254</f>
        <v>0</v>
      </c>
      <c r="E1753" s="1744" t="str">
        <f>'8.Dgia'!E1254</f>
        <v xml:space="preserve">  C - Máy thi công</v>
      </c>
      <c r="F1753" s="1763">
        <f>'8.Dgia'!G1254</f>
        <v>0</v>
      </c>
      <c r="G1753" s="1746">
        <f>'8.Dgia'!H1254</f>
        <v>0</v>
      </c>
      <c r="H1753" s="1796"/>
      <c r="I1753" s="1799">
        <f>SUM(I1754:I1756)</f>
        <v>26176.670825249999</v>
      </c>
      <c r="J1753" s="850"/>
      <c r="K1753" s="850"/>
      <c r="L1753" s="850"/>
    </row>
    <row r="1754" spans="1:12" ht="15">
      <c r="B1754" s="1536" t="str">
        <f>'8.Dgia'!B1255</f>
        <v/>
      </c>
      <c r="C1754" s="1537">
        <f>'8.Dgia'!C1255</f>
        <v>0</v>
      </c>
      <c r="D1754" s="1537">
        <f>'8.Dgia'!D1255</f>
        <v>0</v>
      </c>
      <c r="E1754" s="1749" t="str">
        <f>'8.Dgia'!E1255</f>
        <v>Máy trộn 250L</v>
      </c>
      <c r="F1754" s="1745" t="s">
        <v>5493</v>
      </c>
      <c r="G1754" s="1746">
        <f>'8.Dgia'!H1255</f>
        <v>9.5000000000000001E-2</v>
      </c>
      <c r="H1754" s="1796">
        <f>'9.may'!$P$333</f>
        <v>180447.90000000002</v>
      </c>
      <c r="I1754" s="1796">
        <f>H1754*G1754</f>
        <v>17142.550500000001</v>
      </c>
    </row>
    <row r="1755" spans="1:12" ht="15">
      <c r="B1755" s="1536" t="str">
        <f>'8.Dgia'!B1256</f>
        <v/>
      </c>
      <c r="C1755" s="1537">
        <f>'8.Dgia'!C1256</f>
        <v>0</v>
      </c>
      <c r="D1755" s="1537">
        <f>'8.Dgia'!D1256</f>
        <v>0</v>
      </c>
      <c r="E1755" s="1749" t="str">
        <f>'8.Dgia'!E1256</f>
        <v>Máy đầm dùi 1.5kw</v>
      </c>
      <c r="F1755" s="1745" t="s">
        <v>5493</v>
      </c>
      <c r="G1755" s="1746">
        <f>'8.Dgia'!H1256</f>
        <v>8.8999999999999996E-2</v>
      </c>
      <c r="H1755" s="1796">
        <f>'9.may'!$P$382</f>
        <v>74768.797500000001</v>
      </c>
      <c r="I1755" s="1796">
        <f>H1755*G1755</f>
        <v>6654.4229774999994</v>
      </c>
    </row>
    <row r="1756" spans="1:12" ht="15">
      <c r="B1756" s="1536" t="str">
        <f>'8.Dgia'!B1257</f>
        <v/>
      </c>
      <c r="C1756" s="1537">
        <f>'8.Dgia'!C1257</f>
        <v>0</v>
      </c>
      <c r="D1756" s="1537">
        <f>'8.Dgia'!D1257</f>
        <v>0</v>
      </c>
      <c r="E1756" s="1749" t="str">
        <f>'8.Dgia'!E1257</f>
        <v>Máy khác</v>
      </c>
      <c r="F1756" s="1763" t="str">
        <f>'8.Dgia'!G1257</f>
        <v>%</v>
      </c>
      <c r="G1756" s="1982">
        <f>'8.Dgia'!H1257</f>
        <v>10</v>
      </c>
      <c r="H1756" s="1796">
        <f>SUM(I1754:I1755)</f>
        <v>23796.9734775</v>
      </c>
      <c r="I1756" s="1796">
        <f>H1756*G1756%</f>
        <v>2379.6973477500001</v>
      </c>
    </row>
    <row r="1757" spans="1:12" s="658" customFormat="1" ht="15">
      <c r="B1757" s="1675"/>
      <c r="C1757" s="1676"/>
      <c r="D1757" s="1676"/>
      <c r="E1757" s="1800" t="s">
        <v>5675</v>
      </c>
      <c r="F1757" s="1763">
        <f>$J$5</f>
        <v>0.02</v>
      </c>
      <c r="G1757" s="1754"/>
      <c r="H1757" s="1799"/>
      <c r="I1757" s="1799">
        <f>( I1749+I1752+I1753 )*F1757</f>
        <v>37591.076272378305</v>
      </c>
      <c r="J1757" s="850"/>
      <c r="K1757" s="850"/>
      <c r="L1757" s="850"/>
    </row>
    <row r="1758" spans="1:12" ht="15">
      <c r="B1758" s="1540"/>
      <c r="C1758" s="1541"/>
      <c r="D1758" s="1541"/>
      <c r="E1758" s="1801" t="s">
        <v>5676</v>
      </c>
      <c r="F1758" s="1763"/>
      <c r="G1758" s="1759"/>
      <c r="H1758" s="1802"/>
      <c r="I1758" s="1802">
        <f>I1757+I1757/F1757</f>
        <v>1917144.8898912934</v>
      </c>
    </row>
    <row r="1759" spans="1:12" ht="15">
      <c r="B1759" s="1536"/>
      <c r="C1759" s="1537"/>
      <c r="D1759" s="1537"/>
      <c r="E1759" s="1803" t="s">
        <v>5677</v>
      </c>
      <c r="F1759" s="1763">
        <f>$K$5</f>
        <v>5.5E-2</v>
      </c>
      <c r="G1759" s="1746"/>
      <c r="H1759" s="1796"/>
      <c r="I1759" s="1796">
        <f>I1758*F1759</f>
        <v>105442.96894402114</v>
      </c>
    </row>
    <row r="1760" spans="1:12" ht="15">
      <c r="B1760" s="1536"/>
      <c r="C1760" s="1537"/>
      <c r="D1760" s="1537"/>
      <c r="E1760" s="1803" t="s">
        <v>5678</v>
      </c>
      <c r="F1760" s="1763">
        <f>$L$5</f>
        <v>0.06</v>
      </c>
      <c r="G1760" s="1746"/>
      <c r="H1760" s="1796"/>
      <c r="I1760" s="1796">
        <f>SUM(I1758:I1759)*F1760</f>
        <v>121355.27153011886</v>
      </c>
    </row>
    <row r="1761" spans="1:12" ht="14.25">
      <c r="B1761" s="1540"/>
      <c r="C1761" s="1541"/>
      <c r="D1761" s="1541"/>
      <c r="E1761" s="1801" t="s">
        <v>5679</v>
      </c>
      <c r="F1761" s="1791"/>
      <c r="G1761" s="1759"/>
      <c r="H1761" s="1802"/>
      <c r="I1761" s="1802">
        <f>SUM(I1758:I1760)</f>
        <v>2143943.1303654332</v>
      </c>
    </row>
    <row r="1762" spans="1:12" ht="15">
      <c r="B1762" s="1536"/>
      <c r="C1762" s="1537"/>
      <c r="D1762" s="1537"/>
      <c r="E1762" s="1803" t="s">
        <v>5680</v>
      </c>
      <c r="F1762" s="1765">
        <f>$M$5</f>
        <v>0.1</v>
      </c>
      <c r="G1762" s="1746"/>
      <c r="H1762" s="1796"/>
      <c r="I1762" s="1796">
        <f>I1761*F1762</f>
        <v>214394.31303654332</v>
      </c>
    </row>
    <row r="1763" spans="1:12" ht="14.25">
      <c r="B1763" s="1540"/>
      <c r="C1763" s="1541"/>
      <c r="D1763" s="1541"/>
      <c r="E1763" s="1801" t="s">
        <v>5681</v>
      </c>
      <c r="F1763" s="1791"/>
      <c r="G1763" s="1759"/>
      <c r="H1763" s="1802"/>
      <c r="I1763" s="1802">
        <f>SUM(I1761:I1762)</f>
        <v>2358337.4434019765</v>
      </c>
    </row>
    <row r="1764" spans="1:12" ht="12.75">
      <c r="B1764" s="1536"/>
      <c r="C1764" s="1537"/>
      <c r="D1764" s="1537"/>
      <c r="E1764" s="1464" t="s">
        <v>5682</v>
      </c>
      <c r="F1764" s="1535">
        <f>$N$5</f>
        <v>0.01</v>
      </c>
      <c r="G1764" s="1538"/>
      <c r="H1764" s="1539"/>
      <c r="I1764" s="1539">
        <f>I1763*F1764</f>
        <v>23583.374434019766</v>
      </c>
    </row>
    <row r="1765" spans="1:12" ht="14.25">
      <c r="B1765" s="2116"/>
      <c r="C1765" s="1544"/>
      <c r="D1765" s="2116"/>
      <c r="E1765" s="2117" t="s">
        <v>5683</v>
      </c>
      <c r="F1765" s="2115"/>
      <c r="G1765" s="2117"/>
      <c r="H1765" s="2118"/>
      <c r="I1765" s="2110">
        <f>ROUND(I1763+I1764,-2)</f>
        <v>2381900</v>
      </c>
    </row>
    <row r="1766" spans="1:12" ht="14.25">
      <c r="A1766" s="657">
        <v>1</v>
      </c>
      <c r="B1766" s="1546">
        <f>IF(A1766&lt;&gt;0,COUNTA(A$7:$A1766),"")</f>
        <v>96</v>
      </c>
      <c r="C1766" s="1547">
        <f>'8.Dgia'!C1258</f>
        <v>1776</v>
      </c>
      <c r="D1766" s="1547" t="str">
        <f>'8.Dgia'!D1258</f>
        <v>AG.13212</v>
      </c>
      <c r="E1766" s="1740" t="str">
        <f>'8.Dgia'!E1258</f>
        <v>Cốt thép D&lt;18 đúc sẵn</v>
      </c>
      <c r="F1766" s="1789" t="s">
        <v>557</v>
      </c>
      <c r="G1766" s="1742">
        <f>'8.Dgia'!H1258</f>
        <v>0</v>
      </c>
      <c r="H1766" s="1795"/>
      <c r="I1766" s="1795"/>
      <c r="J1766" s="842">
        <f>+I1767</f>
        <v>17283967.4712</v>
      </c>
      <c r="K1766" s="842">
        <f>+I1771</f>
        <v>3098622.24</v>
      </c>
      <c r="L1766" s="842">
        <f>+I1772</f>
        <v>390791.14468499995</v>
      </c>
    </row>
    <row r="1767" spans="1:12" s="658" customFormat="1" ht="15">
      <c r="B1767" s="1536" t="str">
        <f>'8.Dgia'!B1259</f>
        <v/>
      </c>
      <c r="C1767" s="1537">
        <f>'8.Dgia'!C1259</f>
        <v>0</v>
      </c>
      <c r="D1767" s="1537">
        <f>'8.Dgia'!D1259</f>
        <v>0</v>
      </c>
      <c r="E1767" s="1744" t="str">
        <f>'8.Dgia'!E1259</f>
        <v xml:space="preserve">  A - Vật liệu</v>
      </c>
      <c r="F1767" s="1763">
        <f>'8.Dgia'!G1259</f>
        <v>0</v>
      </c>
      <c r="G1767" s="1746">
        <f>'8.Dgia'!H1259</f>
        <v>0</v>
      </c>
      <c r="H1767" s="1796"/>
      <c r="I1767" s="1797">
        <f>SUM(I1768:I1770)</f>
        <v>17283967.4712</v>
      </c>
      <c r="J1767" s="850"/>
      <c r="K1767" s="850"/>
      <c r="L1767" s="850"/>
    </row>
    <row r="1768" spans="1:12" ht="15">
      <c r="B1768" s="1536" t="str">
        <f>'8.Dgia'!B1260</f>
        <v/>
      </c>
      <c r="C1768" s="1537">
        <f>'8.Dgia'!C1260</f>
        <v>0</v>
      </c>
      <c r="D1768" s="1537">
        <f>'8.Dgia'!D1260</f>
        <v>0</v>
      </c>
      <c r="E1768" s="1749" t="str">
        <f>'8.Dgia'!E1260</f>
        <v>Thép tròn D&lt;=18</v>
      </c>
      <c r="F1768" s="1763" t="str">
        <f>'8.Dgia'!G1260</f>
        <v>kg</v>
      </c>
      <c r="G1768" s="1982">
        <f>'8.Dgia'!H1260</f>
        <v>1020</v>
      </c>
      <c r="H1768" s="1796">
        <f>GVL!$I$180</f>
        <v>16604.075560000001</v>
      </c>
      <c r="I1768" s="1796">
        <f>H1768*G1768</f>
        <v>16936157.071200002</v>
      </c>
    </row>
    <row r="1769" spans="1:12" ht="15">
      <c r="B1769" s="1536" t="str">
        <f>'8.Dgia'!B1261</f>
        <v/>
      </c>
      <c r="C1769" s="1537">
        <f>'8.Dgia'!C1261</f>
        <v>0</v>
      </c>
      <c r="D1769" s="1537">
        <f>'8.Dgia'!D1261</f>
        <v>0</v>
      </c>
      <c r="E1769" s="1749" t="str">
        <f>'8.Dgia'!E1261</f>
        <v>Dây thép buộc</v>
      </c>
      <c r="F1769" s="1763" t="str">
        <f>'8.Dgia'!G1261</f>
        <v>kg</v>
      </c>
      <c r="G1769" s="1981">
        <f>'8.Dgia'!H1261</f>
        <v>14.28</v>
      </c>
      <c r="H1769" s="1796">
        <f>GVL!$I$89</f>
        <v>18180</v>
      </c>
      <c r="I1769" s="1796">
        <f>H1769*G1769</f>
        <v>259610.4</v>
      </c>
    </row>
    <row r="1770" spans="1:12" ht="15">
      <c r="B1770" s="1536" t="str">
        <f>'8.Dgia'!B1262</f>
        <v/>
      </c>
      <c r="C1770" s="1537">
        <f>'8.Dgia'!C1262</f>
        <v>0</v>
      </c>
      <c r="D1770" s="1537">
        <f>'8.Dgia'!D1262</f>
        <v>0</v>
      </c>
      <c r="E1770" s="1749" t="str">
        <f>'8.Dgia'!E1262</f>
        <v>Que hàn</v>
      </c>
      <c r="F1770" s="1763" t="str">
        <f>'8.Dgia'!G1262</f>
        <v>kg</v>
      </c>
      <c r="G1770" s="1981">
        <f>'8.Dgia'!H1262</f>
        <v>4.62</v>
      </c>
      <c r="H1770" s="1796">
        <f>GVL!$I$153</f>
        <v>19090.909090909088</v>
      </c>
      <c r="I1770" s="1796">
        <f>H1770*G1770</f>
        <v>88199.999999999985</v>
      </c>
    </row>
    <row r="1771" spans="1:12" s="658" customFormat="1" ht="15">
      <c r="B1771" s="1536" t="str">
        <f>'8.Dgia'!B1263</f>
        <v/>
      </c>
      <c r="C1771" s="1537">
        <f>'8.Dgia'!C1263</f>
        <v>0</v>
      </c>
      <c r="D1771" s="1537">
        <f>'8.Dgia'!D1263</f>
        <v>0</v>
      </c>
      <c r="E1771" s="1744" t="str">
        <f>'8.Dgia'!E1263</f>
        <v xml:space="preserve">  B - Nhân công 3.5/7</v>
      </c>
      <c r="F1771" s="1745" t="s">
        <v>552</v>
      </c>
      <c r="G1771" s="1981">
        <f>'8.Dgia'!H1263</f>
        <v>13.14</v>
      </c>
      <c r="H1771" s="1796">
        <f>'16.NC'!$H$16</f>
        <v>235816</v>
      </c>
      <c r="I1771" s="1798">
        <f>H1771*G1771</f>
        <v>3098622.24</v>
      </c>
      <c r="J1771" s="850"/>
      <c r="K1771" s="850"/>
      <c r="L1771" s="850"/>
    </row>
    <row r="1772" spans="1:12" s="658" customFormat="1" ht="15">
      <c r="B1772" s="1536" t="str">
        <f>'8.Dgia'!B1264</f>
        <v/>
      </c>
      <c r="C1772" s="1537">
        <f>'8.Dgia'!C1264</f>
        <v>0</v>
      </c>
      <c r="D1772" s="1537">
        <f>'8.Dgia'!D1264</f>
        <v>0</v>
      </c>
      <c r="E1772" s="1744" t="str">
        <f>'8.Dgia'!E1264</f>
        <v xml:space="preserve">  C - Máy thi công</v>
      </c>
      <c r="F1772" s="1763">
        <f>'8.Dgia'!G1264</f>
        <v>0</v>
      </c>
      <c r="G1772" s="1746">
        <f>'8.Dgia'!H1264</f>
        <v>0</v>
      </c>
      <c r="H1772" s="1796"/>
      <c r="I1772" s="1799">
        <f>SUM(I1773:I1774)</f>
        <v>390791.14468499995</v>
      </c>
      <c r="J1772" s="850"/>
      <c r="K1772" s="850"/>
      <c r="L1772" s="850"/>
    </row>
    <row r="1773" spans="1:12" ht="15">
      <c r="B1773" s="1536" t="str">
        <f>'8.Dgia'!B1265</f>
        <v/>
      </c>
      <c r="C1773" s="1537">
        <f>'8.Dgia'!C1265</f>
        <v>0</v>
      </c>
      <c r="D1773" s="1537">
        <f>'8.Dgia'!D1265</f>
        <v>0</v>
      </c>
      <c r="E1773" s="1749" t="str">
        <f>'8.Dgia'!E1265</f>
        <v>Máy hàn 23kw</v>
      </c>
      <c r="F1773" s="1745" t="s">
        <v>5493</v>
      </c>
      <c r="G1773" s="1746">
        <f>'8.Dgia'!H1265</f>
        <v>2.1269999999999998</v>
      </c>
      <c r="H1773" s="1796">
        <f>'9.may'!$P$510</f>
        <v>171649.155</v>
      </c>
      <c r="I1773" s="1796">
        <f>H1773*G1773</f>
        <v>365097.75268499996</v>
      </c>
    </row>
    <row r="1774" spans="1:12" ht="15">
      <c r="B1774" s="1536" t="str">
        <f>'8.Dgia'!B1266</f>
        <v/>
      </c>
      <c r="C1774" s="1537">
        <f>'8.Dgia'!C1266</f>
        <v>0</v>
      </c>
      <c r="D1774" s="1537">
        <f>'8.Dgia'!D1266</f>
        <v>0</v>
      </c>
      <c r="E1774" s="1749" t="str">
        <f>'8.Dgia'!E1266</f>
        <v>Máy cắt uốn</v>
      </c>
      <c r="F1774" s="1745" t="s">
        <v>5493</v>
      </c>
      <c r="G1774" s="1746">
        <f>'8.Dgia'!H1266</f>
        <v>0.32</v>
      </c>
      <c r="H1774" s="1796">
        <f>'9.may'!$P$557</f>
        <v>80291.850000000006</v>
      </c>
      <c r="I1774" s="1796">
        <f>H1774*G1774</f>
        <v>25693.392000000003</v>
      </c>
    </row>
    <row r="1775" spans="1:12" s="658" customFormat="1" ht="15">
      <c r="B1775" s="1675"/>
      <c r="C1775" s="1676"/>
      <c r="D1775" s="1676"/>
      <c r="E1775" s="1800" t="s">
        <v>5675</v>
      </c>
      <c r="F1775" s="1763">
        <f>$J$5</f>
        <v>0.02</v>
      </c>
      <c r="G1775" s="1754"/>
      <c r="H1775" s="1799"/>
      <c r="I1775" s="1799">
        <f>( I1767+I1771+I1772 )*F1775</f>
        <v>415467.61711769999</v>
      </c>
      <c r="J1775" s="850"/>
      <c r="K1775" s="850"/>
      <c r="L1775" s="850"/>
    </row>
    <row r="1776" spans="1:12" ht="15">
      <c r="B1776" s="1540"/>
      <c r="C1776" s="1541"/>
      <c r="D1776" s="1541"/>
      <c r="E1776" s="1801" t="s">
        <v>5676</v>
      </c>
      <c r="F1776" s="1763"/>
      <c r="G1776" s="1759"/>
      <c r="H1776" s="1802"/>
      <c r="I1776" s="1802">
        <f>I1775+I1775/F1775</f>
        <v>21188848.473002698</v>
      </c>
    </row>
    <row r="1777" spans="1:12" ht="15">
      <c r="B1777" s="1536"/>
      <c r="C1777" s="1537"/>
      <c r="D1777" s="1537"/>
      <c r="E1777" s="1803" t="s">
        <v>5677</v>
      </c>
      <c r="F1777" s="1763">
        <f>$K$5</f>
        <v>5.5E-2</v>
      </c>
      <c r="G1777" s="1746"/>
      <c r="H1777" s="1796"/>
      <c r="I1777" s="1796">
        <f>I1776*F1777</f>
        <v>1165386.6660151484</v>
      </c>
    </row>
    <row r="1778" spans="1:12" ht="15">
      <c r="B1778" s="1536"/>
      <c r="C1778" s="1537"/>
      <c r="D1778" s="1537"/>
      <c r="E1778" s="1803" t="s">
        <v>5678</v>
      </c>
      <c r="F1778" s="1763">
        <f>$L$5</f>
        <v>0.06</v>
      </c>
      <c r="G1778" s="1746"/>
      <c r="H1778" s="1796"/>
      <c r="I1778" s="1796">
        <f>SUM(I1776:I1777)*F1778</f>
        <v>1341254.1083410708</v>
      </c>
    </row>
    <row r="1779" spans="1:12" ht="14.25">
      <c r="B1779" s="1540"/>
      <c r="C1779" s="1541"/>
      <c r="D1779" s="1541"/>
      <c r="E1779" s="1801" t="s">
        <v>5679</v>
      </c>
      <c r="F1779" s="1791"/>
      <c r="G1779" s="1759"/>
      <c r="H1779" s="1802"/>
      <c r="I1779" s="1802">
        <f>SUM(I1776:I1778)</f>
        <v>23695489.247358918</v>
      </c>
    </row>
    <row r="1780" spans="1:12" ht="15">
      <c r="B1780" s="1536"/>
      <c r="C1780" s="1537"/>
      <c r="D1780" s="1537"/>
      <c r="E1780" s="1803" t="s">
        <v>5680</v>
      </c>
      <c r="F1780" s="1765">
        <f>$M$5</f>
        <v>0.1</v>
      </c>
      <c r="G1780" s="1746"/>
      <c r="H1780" s="1796"/>
      <c r="I1780" s="1796">
        <f>I1779*F1780</f>
        <v>2369548.9247358921</v>
      </c>
    </row>
    <row r="1781" spans="1:12" ht="14.25">
      <c r="B1781" s="1540"/>
      <c r="C1781" s="1541"/>
      <c r="D1781" s="1541"/>
      <c r="E1781" s="1801" t="s">
        <v>5681</v>
      </c>
      <c r="F1781" s="1791"/>
      <c r="G1781" s="1759"/>
      <c r="H1781" s="1802"/>
      <c r="I1781" s="1802">
        <f>SUM(I1779:I1780)</f>
        <v>26065038.172094811</v>
      </c>
    </row>
    <row r="1782" spans="1:12" ht="12.75">
      <c r="B1782" s="1536"/>
      <c r="C1782" s="1537"/>
      <c r="D1782" s="1537"/>
      <c r="E1782" s="1464" t="s">
        <v>5682</v>
      </c>
      <c r="F1782" s="1535">
        <f>$N$5</f>
        <v>0.01</v>
      </c>
      <c r="G1782" s="1538"/>
      <c r="H1782" s="1539"/>
      <c r="I1782" s="1539">
        <f>I1781*F1782</f>
        <v>260650.38172094812</v>
      </c>
    </row>
    <row r="1783" spans="1:12" ht="14.25">
      <c r="B1783" s="2116"/>
      <c r="C1783" s="1544"/>
      <c r="D1783" s="2116"/>
      <c r="E1783" s="2117" t="s">
        <v>5683</v>
      </c>
      <c r="F1783" s="2115"/>
      <c r="G1783" s="2117"/>
      <c r="H1783" s="2118"/>
      <c r="I1783" s="2110">
        <f>ROUND(I1781+I1782,-2)</f>
        <v>26325700</v>
      </c>
    </row>
    <row r="1784" spans="1:12" ht="14.25">
      <c r="A1784" s="657">
        <v>1</v>
      </c>
      <c r="B1784" s="1546">
        <f>IF(A1784&lt;&gt;0,COUNTA(A$7:$A1784),"")</f>
        <v>97</v>
      </c>
      <c r="C1784" s="1547">
        <f>'8.Dgia'!C1267</f>
        <v>1776</v>
      </c>
      <c r="D1784" s="1547" t="str">
        <f>'8.Dgia'!D1267</f>
        <v>AG.13211</v>
      </c>
      <c r="E1784" s="1740" t="str">
        <f>'8.Dgia'!E1267</f>
        <v>Cốt thép D&lt;=10 đúc sẵn</v>
      </c>
      <c r="F1784" s="1789" t="s">
        <v>557</v>
      </c>
      <c r="G1784" s="1742">
        <f>'8.Dgia'!H1267</f>
        <v>0</v>
      </c>
      <c r="H1784" s="1795"/>
      <c r="I1784" s="1795"/>
      <c r="J1784" s="842">
        <f>+I1785</f>
        <v>17227261.537800003</v>
      </c>
      <c r="K1784" s="842">
        <f>+I1788</f>
        <v>5039387.92</v>
      </c>
      <c r="L1784" s="842">
        <f>+I1789</f>
        <v>38540.088000000003</v>
      </c>
    </row>
    <row r="1785" spans="1:12" s="658" customFormat="1" ht="15">
      <c r="B1785" s="1536" t="str">
        <f>'8.Dgia'!B1268</f>
        <v/>
      </c>
      <c r="C1785" s="1537">
        <f>'8.Dgia'!C1268</f>
        <v>0</v>
      </c>
      <c r="D1785" s="1537">
        <f>'8.Dgia'!D1268</f>
        <v>0</v>
      </c>
      <c r="E1785" s="1744" t="str">
        <f>'8.Dgia'!E1268</f>
        <v xml:space="preserve">  A - Vật liệu</v>
      </c>
      <c r="F1785" s="1763">
        <f>'8.Dgia'!G1268</f>
        <v>0</v>
      </c>
      <c r="G1785" s="1746">
        <f>'8.Dgia'!H1268</f>
        <v>0</v>
      </c>
      <c r="H1785" s="1796"/>
      <c r="I1785" s="1797">
        <f>SUM(I1786:I1787)</f>
        <v>17227261.537800003</v>
      </c>
      <c r="J1785" s="850"/>
      <c r="K1785" s="850"/>
      <c r="L1785" s="850"/>
    </row>
    <row r="1786" spans="1:12" ht="15">
      <c r="B1786" s="1536" t="str">
        <f>'8.Dgia'!B1269</f>
        <v/>
      </c>
      <c r="C1786" s="1537">
        <f>'8.Dgia'!C1269</f>
        <v>0</v>
      </c>
      <c r="D1786" s="1537">
        <f>'8.Dgia'!D1269</f>
        <v>0</v>
      </c>
      <c r="E1786" s="1749" t="str">
        <f>'8.Dgia'!E1269</f>
        <v>Thép tròn D&lt;=10</v>
      </c>
      <c r="F1786" s="1763" t="str">
        <f>'8.Dgia'!G1269</f>
        <v>kg</v>
      </c>
      <c r="G1786" s="1982">
        <f>'8.Dgia'!H1269</f>
        <v>1005</v>
      </c>
      <c r="H1786" s="1796">
        <f>GVL!$I$179</f>
        <v>16754.075560000001</v>
      </c>
      <c r="I1786" s="1796">
        <f>H1786*G1786</f>
        <v>16837845.937800001</v>
      </c>
    </row>
    <row r="1787" spans="1:12" ht="15">
      <c r="B1787" s="1536" t="str">
        <f>'8.Dgia'!B1270</f>
        <v/>
      </c>
      <c r="C1787" s="1537">
        <f>'8.Dgia'!C1270</f>
        <v>0</v>
      </c>
      <c r="D1787" s="1537">
        <f>'8.Dgia'!D1270</f>
        <v>0</v>
      </c>
      <c r="E1787" s="1749" t="str">
        <f>'8.Dgia'!E1270</f>
        <v>Dây thép buộc</v>
      </c>
      <c r="F1787" s="1763" t="str">
        <f>'8.Dgia'!G1270</f>
        <v>kg</v>
      </c>
      <c r="G1787" s="1982">
        <f>'8.Dgia'!H1270</f>
        <v>21.42</v>
      </c>
      <c r="H1787" s="1796">
        <f>GVL!$I$89</f>
        <v>18180</v>
      </c>
      <c r="I1787" s="1796">
        <f>H1787*G1787</f>
        <v>389415.60000000003</v>
      </c>
    </row>
    <row r="1788" spans="1:12" s="658" customFormat="1" ht="15">
      <c r="B1788" s="1536" t="str">
        <f>'8.Dgia'!B1271</f>
        <v/>
      </c>
      <c r="C1788" s="1537">
        <f>'8.Dgia'!C1271</f>
        <v>0</v>
      </c>
      <c r="D1788" s="1537">
        <f>'8.Dgia'!D1271</f>
        <v>0</v>
      </c>
      <c r="E1788" s="1744" t="str">
        <f>'8.Dgia'!E1271</f>
        <v xml:space="preserve">  B - Nhân công 3.5/7</v>
      </c>
      <c r="F1788" s="1745" t="s">
        <v>552</v>
      </c>
      <c r="G1788" s="1954">
        <f>'8.Dgia'!H1271</f>
        <v>21.37</v>
      </c>
      <c r="H1788" s="1796">
        <f>'16.NC'!$H$16</f>
        <v>235816</v>
      </c>
      <c r="I1788" s="1798">
        <f>H1788*G1788</f>
        <v>5039387.92</v>
      </c>
      <c r="J1788" s="850"/>
      <c r="K1788" s="850"/>
      <c r="L1788" s="850"/>
    </row>
    <row r="1789" spans="1:12" s="658" customFormat="1" ht="15">
      <c r="B1789" s="1536" t="str">
        <f>'8.Dgia'!B1272</f>
        <v/>
      </c>
      <c r="C1789" s="1537">
        <f>'8.Dgia'!C1272</f>
        <v>0</v>
      </c>
      <c r="D1789" s="1537">
        <f>'8.Dgia'!D1272</f>
        <v>0</v>
      </c>
      <c r="E1789" s="1744" t="str">
        <f>'8.Dgia'!E1272</f>
        <v xml:space="preserve">  C - Máy thi công</v>
      </c>
      <c r="F1789" s="1763">
        <f>'8.Dgia'!G1272</f>
        <v>0</v>
      </c>
      <c r="G1789" s="1746">
        <f>'8.Dgia'!H1272</f>
        <v>0</v>
      </c>
      <c r="H1789" s="1796"/>
      <c r="I1789" s="1799">
        <f>SUM(I1790:I1790)</f>
        <v>38540.088000000003</v>
      </c>
      <c r="J1789" s="850"/>
      <c r="K1789" s="850"/>
      <c r="L1789" s="850"/>
    </row>
    <row r="1790" spans="1:12" ht="15">
      <c r="B1790" s="1536" t="str">
        <f>'8.Dgia'!B1273</f>
        <v/>
      </c>
      <c r="C1790" s="1537">
        <f>'8.Dgia'!C1273</f>
        <v>0</v>
      </c>
      <c r="D1790" s="1537">
        <f>'8.Dgia'!D1273</f>
        <v>0</v>
      </c>
      <c r="E1790" s="1749" t="str">
        <f>'8.Dgia'!E1273</f>
        <v>Máy cắt uốn</v>
      </c>
      <c r="F1790" s="1745" t="s">
        <v>5493</v>
      </c>
      <c r="G1790" s="1746">
        <f>'8.Dgia'!H1273</f>
        <v>0.48</v>
      </c>
      <c r="H1790" s="1796">
        <f>'9.may'!$P$557</f>
        <v>80291.850000000006</v>
      </c>
      <c r="I1790" s="1796">
        <f>H1790*G1790</f>
        <v>38540.088000000003</v>
      </c>
    </row>
    <row r="1791" spans="1:12" s="658" customFormat="1" ht="15">
      <c r="B1791" s="1675"/>
      <c r="C1791" s="1676"/>
      <c r="D1791" s="1676"/>
      <c r="E1791" s="1800" t="s">
        <v>5675</v>
      </c>
      <c r="F1791" s="1763">
        <f>$J$5</f>
        <v>0.02</v>
      </c>
      <c r="G1791" s="1754"/>
      <c r="H1791" s="1799"/>
      <c r="I1791" s="1799">
        <f>( I1785+I1788+I1789 )*F1791</f>
        <v>446103.79091600003</v>
      </c>
      <c r="J1791" s="850"/>
      <c r="K1791" s="850"/>
      <c r="L1791" s="850"/>
    </row>
    <row r="1792" spans="1:12" ht="15">
      <c r="B1792" s="1540"/>
      <c r="C1792" s="1541"/>
      <c r="D1792" s="1541"/>
      <c r="E1792" s="1801" t="s">
        <v>5676</v>
      </c>
      <c r="F1792" s="1763"/>
      <c r="G1792" s="1759"/>
      <c r="H1792" s="1802"/>
      <c r="I1792" s="1802">
        <f>I1791+I1791/F1791</f>
        <v>22751293.336716</v>
      </c>
    </row>
    <row r="1793" spans="1:12" ht="15">
      <c r="B1793" s="1536"/>
      <c r="C1793" s="1537"/>
      <c r="D1793" s="1537"/>
      <c r="E1793" s="1803" t="s">
        <v>5677</v>
      </c>
      <c r="F1793" s="1763">
        <f>$K$5</f>
        <v>5.5E-2</v>
      </c>
      <c r="G1793" s="1746"/>
      <c r="H1793" s="1796"/>
      <c r="I1793" s="1796">
        <f>I1792*F1793</f>
        <v>1251321.1335193801</v>
      </c>
    </row>
    <row r="1794" spans="1:12" ht="15">
      <c r="B1794" s="1536"/>
      <c r="C1794" s="1537"/>
      <c r="D1794" s="1537"/>
      <c r="E1794" s="1803" t="s">
        <v>5678</v>
      </c>
      <c r="F1794" s="1763">
        <f>$L$5</f>
        <v>0.06</v>
      </c>
      <c r="G1794" s="1746"/>
      <c r="H1794" s="1796"/>
      <c r="I1794" s="1796">
        <f>SUM(I1792:I1793)*F1794</f>
        <v>1440156.8682141227</v>
      </c>
    </row>
    <row r="1795" spans="1:12" ht="14.25">
      <c r="B1795" s="1540"/>
      <c r="C1795" s="1541"/>
      <c r="D1795" s="1541"/>
      <c r="E1795" s="1801" t="s">
        <v>5679</v>
      </c>
      <c r="F1795" s="1791"/>
      <c r="G1795" s="1759"/>
      <c r="H1795" s="1802"/>
      <c r="I1795" s="1802">
        <f>SUM(I1792:I1794)</f>
        <v>25442771.338449504</v>
      </c>
    </row>
    <row r="1796" spans="1:12" ht="15">
      <c r="B1796" s="1536"/>
      <c r="C1796" s="1537"/>
      <c r="D1796" s="1537"/>
      <c r="E1796" s="1803" t="s">
        <v>5680</v>
      </c>
      <c r="F1796" s="1765">
        <f>$M$5</f>
        <v>0.1</v>
      </c>
      <c r="G1796" s="1746"/>
      <c r="H1796" s="1796"/>
      <c r="I1796" s="1796">
        <f>I1795*F1796</f>
        <v>2544277.1338449507</v>
      </c>
    </row>
    <row r="1797" spans="1:12" ht="14.25">
      <c r="B1797" s="1540"/>
      <c r="C1797" s="1541"/>
      <c r="D1797" s="1541"/>
      <c r="E1797" s="1801" t="s">
        <v>5681</v>
      </c>
      <c r="F1797" s="1791"/>
      <c r="G1797" s="1759"/>
      <c r="H1797" s="1802"/>
      <c r="I1797" s="1802">
        <f>SUM(I1795:I1796)</f>
        <v>27987048.472294454</v>
      </c>
    </row>
    <row r="1798" spans="1:12" ht="12.75">
      <c r="B1798" s="1536"/>
      <c r="C1798" s="1537"/>
      <c r="D1798" s="1537"/>
      <c r="E1798" s="1464" t="s">
        <v>5682</v>
      </c>
      <c r="F1798" s="1535">
        <f>$N$5</f>
        <v>0.01</v>
      </c>
      <c r="G1798" s="1538"/>
      <c r="H1798" s="1539"/>
      <c r="I1798" s="1539">
        <f>I1797*F1798</f>
        <v>279870.48472294456</v>
      </c>
    </row>
    <row r="1799" spans="1:12" ht="14.25">
      <c r="B1799" s="2116"/>
      <c r="C1799" s="1544"/>
      <c r="D1799" s="2116"/>
      <c r="E1799" s="2117" t="s">
        <v>5683</v>
      </c>
      <c r="F1799" s="2115"/>
      <c r="G1799" s="2117"/>
      <c r="H1799" s="2118"/>
      <c r="I1799" s="2110">
        <f>ROUND(I1797+I1798,-2)</f>
        <v>28266900</v>
      </c>
    </row>
    <row r="1800" spans="1:12" ht="14.25">
      <c r="A1800" s="657">
        <v>1</v>
      </c>
      <c r="B1800" s="1546">
        <f>IF(A1800&lt;&gt;0,COUNTA(A$7:$A1800),"")</f>
        <v>98</v>
      </c>
      <c r="C1800" s="1547">
        <f>'8.Dgia'!C1274</f>
        <v>1776</v>
      </c>
      <c r="D1800" s="1547" t="str">
        <f>'8.Dgia'!D1274</f>
        <v>AI.21152vd</v>
      </c>
      <c r="E1800" s="1740" t="str">
        <f>'8.Dgia'!E1274</f>
        <v>Sản xuất lan can mạ kẽm</v>
      </c>
      <c r="F1800" s="1789" t="s">
        <v>557</v>
      </c>
      <c r="G1800" s="1742">
        <f>'8.Dgia'!H1274</f>
        <v>0</v>
      </c>
      <c r="H1800" s="1795"/>
      <c r="I1800" s="1795"/>
      <c r="J1800" s="842">
        <f>+I1801</f>
        <v>12250084.241912073</v>
      </c>
      <c r="K1800" s="842">
        <f>+I1808</f>
        <v>5900246</v>
      </c>
      <c r="L1800" s="842">
        <f>+I1809</f>
        <v>1259943.8042918181</v>
      </c>
    </row>
    <row r="1801" spans="1:12" s="658" customFormat="1" ht="15">
      <c r="B1801" s="1536" t="str">
        <f>'8.Dgia'!B1275</f>
        <v/>
      </c>
      <c r="C1801" s="1537">
        <f>'8.Dgia'!C1275</f>
        <v>0</v>
      </c>
      <c r="D1801" s="1537">
        <f>'8.Dgia'!D1275</f>
        <v>0</v>
      </c>
      <c r="E1801" s="1744" t="str">
        <f>'8.Dgia'!E1275</f>
        <v xml:space="preserve">  A - Vật liệu</v>
      </c>
      <c r="F1801" s="1763">
        <f>'8.Dgia'!G1275</f>
        <v>0</v>
      </c>
      <c r="G1801" s="1746">
        <f>'8.Dgia'!H1275</f>
        <v>0</v>
      </c>
      <c r="H1801" s="1796"/>
      <c r="I1801" s="1797">
        <f>SUM(I1802:I1807)</f>
        <v>12250084.241912073</v>
      </c>
      <c r="J1801" s="850"/>
      <c r="K1801" s="850"/>
      <c r="L1801" s="850"/>
    </row>
    <row r="1802" spans="1:12" ht="15">
      <c r="B1802" s="1536" t="str">
        <f>'8.Dgia'!B1276</f>
        <v/>
      </c>
      <c r="C1802" s="1537">
        <f>'8.Dgia'!C1276</f>
        <v>0</v>
      </c>
      <c r="D1802" s="1537">
        <f>'8.Dgia'!D1276</f>
        <v>0</v>
      </c>
      <c r="E1802" s="1749" t="str">
        <f>'8.Dgia'!E1276</f>
        <v>Thép hình</v>
      </c>
      <c r="F1802" s="1763" t="str">
        <f>'8.Dgia'!G1276</f>
        <v>kg</v>
      </c>
      <c r="G1802" s="1954">
        <f>'8.Dgia'!H1276</f>
        <v>214</v>
      </c>
      <c r="H1802" s="1796">
        <f>GVL!$I$170</f>
        <v>16703.248369172808</v>
      </c>
      <c r="I1802" s="1796">
        <f t="shared" ref="I1802:I1807" si="12">H1802*G1802</f>
        <v>3574495.1510029812</v>
      </c>
    </row>
    <row r="1803" spans="1:12" ht="15">
      <c r="B1803" s="1536" t="str">
        <f>'8.Dgia'!B1277</f>
        <v/>
      </c>
      <c r="C1803" s="1537">
        <f>'8.Dgia'!C1277</f>
        <v>0</v>
      </c>
      <c r="D1803" s="1537">
        <f>'8.Dgia'!D1277</f>
        <v>0</v>
      </c>
      <c r="E1803" s="1749" t="str">
        <f>'8.Dgia'!E1277</f>
        <v>Thép ống</v>
      </c>
      <c r="F1803" s="1763" t="str">
        <f>'8.Dgia'!G1277</f>
        <v>kg</v>
      </c>
      <c r="G1803" s="1954">
        <f>'8.Dgia'!H1277</f>
        <v>836</v>
      </c>
      <c r="H1803" s="1796">
        <f>GVL!$I$174</f>
        <v>0</v>
      </c>
      <c r="I1803" s="1796">
        <f t="shared" si="12"/>
        <v>0</v>
      </c>
    </row>
    <row r="1804" spans="1:12" ht="15">
      <c r="B1804" s="1536" t="str">
        <f>'8.Dgia'!B1279</f>
        <v/>
      </c>
      <c r="C1804" s="1537">
        <f>'8.Dgia'!C1279</f>
        <v>0</v>
      </c>
      <c r="D1804" s="1537">
        <f>'8.Dgia'!D1279</f>
        <v>0</v>
      </c>
      <c r="E1804" s="1749" t="str">
        <f>'8.Dgia'!E1279</f>
        <v>Gia công mạ kẽm</v>
      </c>
      <c r="F1804" s="1763" t="str">
        <f>'8.Dgia'!G1279</f>
        <v>kg</v>
      </c>
      <c r="G1804" s="1982">
        <f>'8.Dgia'!H1279</f>
        <v>1050</v>
      </c>
      <c r="H1804" s="1796">
        <f>GVL!$I$93</f>
        <v>8000</v>
      </c>
      <c r="I1804" s="1796">
        <f t="shared" si="12"/>
        <v>8400000</v>
      </c>
    </row>
    <row r="1805" spans="1:12" ht="15">
      <c r="B1805" s="1536" t="str">
        <f>'8.Dgia'!B1280</f>
        <v/>
      </c>
      <c r="C1805" s="1537">
        <f>'8.Dgia'!C1280</f>
        <v>0</v>
      </c>
      <c r="D1805" s="1537">
        <f>'8.Dgia'!D1280</f>
        <v>0</v>
      </c>
      <c r="E1805" s="1749" t="str">
        <f>'8.Dgia'!E1280</f>
        <v>Que hàn</v>
      </c>
      <c r="F1805" s="1763" t="str">
        <f>'8.Dgia'!G1280</f>
        <v>kg</v>
      </c>
      <c r="G1805" s="1954">
        <f>'8.Dgia'!H1280</f>
        <v>4.5</v>
      </c>
      <c r="H1805" s="1796">
        <f>GVL!$I$153</f>
        <v>19090.909090909088</v>
      </c>
      <c r="I1805" s="1796">
        <f t="shared" si="12"/>
        <v>85909.090909090897</v>
      </c>
    </row>
    <row r="1806" spans="1:12" ht="15">
      <c r="B1806" s="1536" t="str">
        <f>'8.Dgia'!B1281</f>
        <v/>
      </c>
      <c r="C1806" s="1537">
        <f>'8.Dgia'!C1281</f>
        <v>0</v>
      </c>
      <c r="D1806" s="1537">
        <f>'8.Dgia'!D1281</f>
        <v>0</v>
      </c>
      <c r="E1806" s="1749" t="str">
        <f>'8.Dgia'!E1281</f>
        <v>Ô xy</v>
      </c>
      <c r="F1806" s="1763" t="s">
        <v>565</v>
      </c>
      <c r="G1806" s="1954">
        <f>'8.Dgia'!H1281</f>
        <v>1.66</v>
      </c>
      <c r="H1806" s="1796">
        <f>GVL!$I$130</f>
        <v>48000</v>
      </c>
      <c r="I1806" s="1796">
        <f t="shared" si="12"/>
        <v>79680</v>
      </c>
    </row>
    <row r="1807" spans="1:12" ht="15">
      <c r="B1807" s="1536" t="str">
        <f>'8.Dgia'!B1282</f>
        <v/>
      </c>
      <c r="C1807" s="1537">
        <f>'8.Dgia'!C1282</f>
        <v>0</v>
      </c>
      <c r="D1807" s="1537">
        <f>'8.Dgia'!D1282</f>
        <v>0</v>
      </c>
      <c r="E1807" s="1749" t="str">
        <f>'8.Dgia'!E1282</f>
        <v>Acêtylen</v>
      </c>
      <c r="F1807" s="1763" t="s">
        <v>565</v>
      </c>
      <c r="G1807" s="1954">
        <f>'8.Dgia'!H1282</f>
        <v>0.55000000000000004</v>
      </c>
      <c r="H1807" s="1796">
        <f>GVL!$I$8</f>
        <v>200000</v>
      </c>
      <c r="I1807" s="1796">
        <f t="shared" si="12"/>
        <v>110000.00000000001</v>
      </c>
    </row>
    <row r="1808" spans="1:12" s="658" customFormat="1" ht="15">
      <c r="B1808" s="1536" t="str">
        <f>'8.Dgia'!B1284</f>
        <v/>
      </c>
      <c r="C1808" s="1537">
        <f>'8.Dgia'!C1284</f>
        <v>0</v>
      </c>
      <c r="D1808" s="1537">
        <f>'8.Dgia'!D1284</f>
        <v>0</v>
      </c>
      <c r="E1808" s="1744" t="str">
        <f>'8.Dgia'!E1284</f>
        <v xml:space="preserve">  B - Nhân công 4.3/7</v>
      </c>
      <c r="F1808" s="1745" t="s">
        <v>552</v>
      </c>
      <c r="G1808" s="1982">
        <v>22</v>
      </c>
      <c r="H1808" s="1796">
        <f>'16.NC'!$H$19</f>
        <v>268193</v>
      </c>
      <c r="I1808" s="1798">
        <f>H1808*G1808</f>
        <v>5900246</v>
      </c>
      <c r="J1808" s="850"/>
      <c r="K1808" s="850"/>
      <c r="L1808" s="850"/>
    </row>
    <row r="1809" spans="1:12" s="658" customFormat="1" ht="15">
      <c r="B1809" s="1536" t="str">
        <f>'8.Dgia'!B1285</f>
        <v/>
      </c>
      <c r="C1809" s="1537">
        <f>'8.Dgia'!C1285</f>
        <v>0</v>
      </c>
      <c r="D1809" s="1537">
        <f>'8.Dgia'!D1285</f>
        <v>0</v>
      </c>
      <c r="E1809" s="1744" t="str">
        <f>'8.Dgia'!E1285</f>
        <v xml:space="preserve">  C - Máy thi công</v>
      </c>
      <c r="F1809" s="1763">
        <f>'8.Dgia'!G1285</f>
        <v>0</v>
      </c>
      <c r="G1809" s="1981">
        <f>'8.Dgia'!H1285</f>
        <v>0</v>
      </c>
      <c r="H1809" s="1796"/>
      <c r="I1809" s="1799">
        <f>SUM(I1810:I1812)</f>
        <v>1259943.8042918181</v>
      </c>
      <c r="J1809" s="850"/>
      <c r="K1809" s="850"/>
      <c r="L1809" s="850"/>
    </row>
    <row r="1810" spans="1:12" ht="15">
      <c r="B1810" s="1536" t="str">
        <f>'8.Dgia'!B1286</f>
        <v/>
      </c>
      <c r="C1810" s="1537">
        <f>'8.Dgia'!C1286</f>
        <v>0</v>
      </c>
      <c r="D1810" s="1537">
        <f>'8.Dgia'!D1286</f>
        <v>0</v>
      </c>
      <c r="E1810" s="1749" t="str">
        <f>'8.Dgia'!E1286</f>
        <v>Máy khoan 4.5Kw</v>
      </c>
      <c r="F1810" s="1745" t="s">
        <v>5493</v>
      </c>
      <c r="G1810" s="1981">
        <f>'8.Dgia'!H1286</f>
        <v>1.78</v>
      </c>
      <c r="H1810" s="1796">
        <f>'9.may'!$P$529</f>
        <v>108158.5425</v>
      </c>
      <c r="I1810" s="1796">
        <f>H1810*G1810</f>
        <v>192522.20564999999</v>
      </c>
    </row>
    <row r="1811" spans="1:12" ht="15">
      <c r="B1811" s="1536" t="str">
        <f>'8.Dgia'!B1287</f>
        <v/>
      </c>
      <c r="C1811" s="1537">
        <f>'8.Dgia'!C1287</f>
        <v>0</v>
      </c>
      <c r="D1811" s="1537">
        <f>'8.Dgia'!D1287</f>
        <v>0</v>
      </c>
      <c r="E1811" s="1749" t="str">
        <f>'8.Dgia'!E1287</f>
        <v>Máy nén khí 240m3/h</v>
      </c>
      <c r="F1811" s="1745" t="s">
        <v>5493</v>
      </c>
      <c r="G1811" s="1981">
        <f>'8.Dgia'!H1287</f>
        <v>0.89</v>
      </c>
      <c r="H1811" s="1796">
        <f>'9.may'!$P$483</f>
        <v>910053.78218181804</v>
      </c>
      <c r="I1811" s="1796">
        <f>H1811*G1811</f>
        <v>809947.86614181811</v>
      </c>
    </row>
    <row r="1812" spans="1:12" ht="15">
      <c r="B1812" s="1536" t="str">
        <f>'8.Dgia'!B1288</f>
        <v/>
      </c>
      <c r="C1812" s="1537">
        <f>'8.Dgia'!C1288</f>
        <v>0</v>
      </c>
      <c r="D1812" s="1537">
        <f>'8.Dgia'!D1288</f>
        <v>0</v>
      </c>
      <c r="E1812" s="1749" t="str">
        <f>'8.Dgia'!E1288</f>
        <v>Máy hàn 23kw</v>
      </c>
      <c r="F1812" s="1745" t="s">
        <v>5493</v>
      </c>
      <c r="G1812" s="1981">
        <f>'8.Dgia'!H1288</f>
        <v>1.5</v>
      </c>
      <c r="H1812" s="1796">
        <f>'9.may'!$P$510</f>
        <v>171649.155</v>
      </c>
      <c r="I1812" s="1796">
        <f>H1812*G1812</f>
        <v>257473.73249999998</v>
      </c>
    </row>
    <row r="1813" spans="1:12" s="658" customFormat="1" ht="15">
      <c r="B1813" s="1675"/>
      <c r="C1813" s="1676"/>
      <c r="D1813" s="1676"/>
      <c r="E1813" s="1800" t="s">
        <v>5675</v>
      </c>
      <c r="F1813" s="1763">
        <f>$J$5</f>
        <v>0.02</v>
      </c>
      <c r="G1813" s="1754"/>
      <c r="H1813" s="1799"/>
      <c r="I1813" s="1799">
        <f>( I1801+I1808+I1809 )*F1813</f>
        <v>388205.48092407786</v>
      </c>
      <c r="J1813" s="850"/>
      <c r="K1813" s="850"/>
      <c r="L1813" s="850"/>
    </row>
    <row r="1814" spans="1:12" ht="15">
      <c r="B1814" s="1540"/>
      <c r="C1814" s="1541"/>
      <c r="D1814" s="1541"/>
      <c r="E1814" s="1801" t="s">
        <v>5676</v>
      </c>
      <c r="F1814" s="1763"/>
      <c r="G1814" s="1759"/>
      <c r="H1814" s="1802"/>
      <c r="I1814" s="1802">
        <f>I1813+I1813/F1813</f>
        <v>19798479.52712797</v>
      </c>
    </row>
    <row r="1815" spans="1:12" ht="15">
      <c r="B1815" s="1536"/>
      <c r="C1815" s="1537"/>
      <c r="D1815" s="1537"/>
      <c r="E1815" s="1803" t="s">
        <v>5677</v>
      </c>
      <c r="F1815" s="1763">
        <f>$K$5</f>
        <v>5.5E-2</v>
      </c>
      <c r="G1815" s="1746"/>
      <c r="H1815" s="1796"/>
      <c r="I1815" s="1796">
        <f>I1814*F1815</f>
        <v>1088916.3739920384</v>
      </c>
    </row>
    <row r="1816" spans="1:12" ht="15">
      <c r="B1816" s="1536"/>
      <c r="C1816" s="1537"/>
      <c r="D1816" s="1537"/>
      <c r="E1816" s="1803" t="s">
        <v>5678</v>
      </c>
      <c r="F1816" s="1763">
        <f>$L$5</f>
        <v>0.06</v>
      </c>
      <c r="G1816" s="1746"/>
      <c r="H1816" s="1796"/>
      <c r="I1816" s="1796">
        <f>SUM(I1814:I1815)*F1816</f>
        <v>1253243.7540672005</v>
      </c>
    </row>
    <row r="1817" spans="1:12" ht="14.25">
      <c r="B1817" s="1540"/>
      <c r="C1817" s="1541"/>
      <c r="D1817" s="1541"/>
      <c r="E1817" s="1801" t="s">
        <v>5679</v>
      </c>
      <c r="F1817" s="1791"/>
      <c r="G1817" s="1759"/>
      <c r="H1817" s="1802"/>
      <c r="I1817" s="1802">
        <f>SUM(I1814:I1816)</f>
        <v>22140639.655187208</v>
      </c>
    </row>
    <row r="1818" spans="1:12" ht="15">
      <c r="B1818" s="1536"/>
      <c r="C1818" s="1537"/>
      <c r="D1818" s="1537"/>
      <c r="E1818" s="1803" t="s">
        <v>5680</v>
      </c>
      <c r="F1818" s="1765">
        <f>$M$5</f>
        <v>0.1</v>
      </c>
      <c r="G1818" s="1746"/>
      <c r="H1818" s="1796"/>
      <c r="I1818" s="1796">
        <f>I1817*F1818</f>
        <v>2214063.9655187209</v>
      </c>
    </row>
    <row r="1819" spans="1:12" ht="14.25">
      <c r="B1819" s="1540"/>
      <c r="C1819" s="1541"/>
      <c r="D1819" s="1541"/>
      <c r="E1819" s="1801" t="s">
        <v>5681</v>
      </c>
      <c r="F1819" s="1791"/>
      <c r="G1819" s="1759"/>
      <c r="H1819" s="1802"/>
      <c r="I1819" s="1802">
        <f>SUM(I1817:I1818)</f>
        <v>24354703.620705929</v>
      </c>
    </row>
    <row r="1820" spans="1:12" ht="12.75">
      <c r="B1820" s="1536"/>
      <c r="C1820" s="1537"/>
      <c r="D1820" s="1537"/>
      <c r="E1820" s="1464" t="s">
        <v>5682</v>
      </c>
      <c r="F1820" s="1535">
        <f>$N$5</f>
        <v>0.01</v>
      </c>
      <c r="G1820" s="1538"/>
      <c r="H1820" s="1539"/>
      <c r="I1820" s="1539">
        <f>I1819*F1820</f>
        <v>243547.03620705928</v>
      </c>
    </row>
    <row r="1821" spans="1:12" ht="14.25">
      <c r="B1821" s="2116"/>
      <c r="C1821" s="1544"/>
      <c r="D1821" s="2116"/>
      <c r="E1821" s="2117" t="s">
        <v>5683</v>
      </c>
      <c r="F1821" s="2115"/>
      <c r="G1821" s="2117"/>
      <c r="H1821" s="2118"/>
      <c r="I1821" s="2110">
        <f>ROUND(I1819+I1820,-2)</f>
        <v>24598300</v>
      </c>
    </row>
    <row r="1822" spans="1:12" ht="19.5" customHeight="1">
      <c r="A1822" s="657">
        <v>1</v>
      </c>
      <c r="B1822" s="1546">
        <f>IF(A1822&lt;&gt;0,COUNTA(A$7:$A1822),"")</f>
        <v>99</v>
      </c>
      <c r="C1822" s="1550">
        <f>'8.Dgia'!C1290</f>
        <v>1776</v>
      </c>
      <c r="D1822" s="1550" t="str">
        <f>'8.Dgia'!D1290</f>
        <v>AI.63211</v>
      </c>
      <c r="E1822" s="1766" t="s">
        <v>5876</v>
      </c>
      <c r="F1822" s="1794" t="str">
        <f>'8.Dgia'!G1290</f>
        <v>m2</v>
      </c>
      <c r="G1822" s="1768">
        <f>'8.Dgia'!H1290</f>
        <v>0</v>
      </c>
      <c r="H1822" s="1823"/>
      <c r="I1822" s="1823"/>
      <c r="J1822" s="842">
        <f>+I1823</f>
        <v>5581.8679271926367</v>
      </c>
      <c r="K1822" s="842">
        <f>+I1827</f>
        <v>102729.60000000001</v>
      </c>
      <c r="L1822" s="842">
        <f>+I1828</f>
        <v>17164.915499999999</v>
      </c>
    </row>
    <row r="1823" spans="1:12" s="658" customFormat="1" ht="15">
      <c r="B1823" s="1551" t="str">
        <f>'8.Dgia'!B1291</f>
        <v/>
      </c>
      <c r="C1823" s="1552">
        <f>'8.Dgia'!C1291</f>
        <v>0</v>
      </c>
      <c r="D1823" s="1552">
        <f>'8.Dgia'!D1291</f>
        <v>0</v>
      </c>
      <c r="E1823" s="1770" t="str">
        <f>'8.Dgia'!E1291</f>
        <v xml:space="preserve">  A - Vật liệu</v>
      </c>
      <c r="F1823" s="1786">
        <f>'8.Dgia'!G1291</f>
        <v>0</v>
      </c>
      <c r="G1823" s="1772">
        <f>'8.Dgia'!H1291</f>
        <v>0</v>
      </c>
      <c r="H1823" s="1824"/>
      <c r="I1823" s="1825">
        <f>SUM(I1824:I1826)</f>
        <v>5581.8679271926367</v>
      </c>
      <c r="J1823" s="850"/>
      <c r="K1823" s="850"/>
      <c r="L1823" s="850"/>
    </row>
    <row r="1824" spans="1:12" ht="15">
      <c r="B1824" s="1551" t="str">
        <f>'8.Dgia'!B1292</f>
        <v/>
      </c>
      <c r="C1824" s="1552">
        <f>'8.Dgia'!C1292</f>
        <v>0</v>
      </c>
      <c r="D1824" s="1552" t="str">
        <f>'8.Dgia'!D1292</f>
        <v>B2215</v>
      </c>
      <c r="E1824" s="1775" t="str">
        <f>'8.Dgia'!E1292</f>
        <v>Vữa xi măng C10</v>
      </c>
      <c r="F1824" s="1786" t="str">
        <f>'8.Dgia'!G1292</f>
        <v>m3</v>
      </c>
      <c r="G1824" s="1772">
        <f>'8.Dgia'!H1292</f>
        <v>2.5000000000000001E-3</v>
      </c>
      <c r="H1824" s="1824">
        <f>GVL!$I$205</f>
        <v>599153.14975303912</v>
      </c>
      <c r="I1824" s="1824">
        <f>H1824*G1824</f>
        <v>1497.8828743825977</v>
      </c>
    </row>
    <row r="1825" spans="1:12" ht="15">
      <c r="B1825" s="1551" t="str">
        <f>'8.Dgia'!B1293</f>
        <v/>
      </c>
      <c r="C1825" s="1552">
        <f>'8.Dgia'!C1293</f>
        <v>0</v>
      </c>
      <c r="D1825" s="1552">
        <f>'8.Dgia'!D1293</f>
        <v>0</v>
      </c>
      <c r="E1825" s="1775" t="str">
        <f>'8.Dgia'!E1293</f>
        <v>Que hàn</v>
      </c>
      <c r="F1825" s="1786" t="str">
        <f>'8.Dgia'!G1293</f>
        <v>kg</v>
      </c>
      <c r="G1825" s="1772">
        <f>'8.Dgia'!H1293</f>
        <v>0.2</v>
      </c>
      <c r="H1825" s="1824">
        <f>GVL!$I$153</f>
        <v>19090.909090909088</v>
      </c>
      <c r="I1825" s="1824">
        <f>H1825*G1825</f>
        <v>3818.181818181818</v>
      </c>
    </row>
    <row r="1826" spans="1:12" ht="15">
      <c r="B1826" s="1551" t="str">
        <f>'8.Dgia'!B1294</f>
        <v/>
      </c>
      <c r="C1826" s="1552">
        <f>'8.Dgia'!C1294</f>
        <v>0</v>
      </c>
      <c r="D1826" s="1552">
        <f>'8.Dgia'!D1294</f>
        <v>0</v>
      </c>
      <c r="E1826" s="1775" t="str">
        <f>'8.Dgia'!E1294</f>
        <v>Vật liệu khác</v>
      </c>
      <c r="F1826" s="1786" t="str">
        <f>'8.Dgia'!G1294</f>
        <v>%</v>
      </c>
      <c r="G1826" s="1966">
        <f>'8.Dgia'!H1294</f>
        <v>5</v>
      </c>
      <c r="H1826" s="1824">
        <f>SUM(I1824:I1825)</f>
        <v>5316.064692564416</v>
      </c>
      <c r="I1826" s="1824">
        <f>H1826*G1826%</f>
        <v>265.80323462822082</v>
      </c>
    </row>
    <row r="1827" spans="1:12" s="658" customFormat="1" ht="15">
      <c r="B1827" s="1551" t="str">
        <f>'8.Dgia'!B1295</f>
        <v/>
      </c>
      <c r="C1827" s="1552">
        <f>'8.Dgia'!C1295</f>
        <v>0</v>
      </c>
      <c r="D1827" s="1552">
        <f>'8.Dgia'!D1295</f>
        <v>0</v>
      </c>
      <c r="E1827" s="1770" t="str">
        <f>'8.Dgia'!E1295</f>
        <v xml:space="preserve">  B - Nhân công 4.0/7</v>
      </c>
      <c r="F1827" s="1745" t="s">
        <v>552</v>
      </c>
      <c r="G1827" s="1966">
        <f>'8.Dgia'!H1295</f>
        <v>0.4</v>
      </c>
      <c r="H1827" s="1824">
        <f>'16.NC'!$H$18</f>
        <v>256824</v>
      </c>
      <c r="I1827" s="1826">
        <f>H1827*G1827</f>
        <v>102729.60000000001</v>
      </c>
      <c r="J1827" s="850"/>
      <c r="K1827" s="850"/>
      <c r="L1827" s="850"/>
    </row>
    <row r="1828" spans="1:12" s="658" customFormat="1" ht="15">
      <c r="B1828" s="1551" t="str">
        <f>'8.Dgia'!B1296</f>
        <v/>
      </c>
      <c r="C1828" s="1552">
        <f>'8.Dgia'!C1296</f>
        <v>0</v>
      </c>
      <c r="D1828" s="1552">
        <f>'8.Dgia'!D1296</f>
        <v>0</v>
      </c>
      <c r="E1828" s="1770" t="str">
        <f>'8.Dgia'!E1296</f>
        <v xml:space="preserve">  C - Máy thi công</v>
      </c>
      <c r="F1828" s="1786">
        <f>'8.Dgia'!G1296</f>
        <v>0</v>
      </c>
      <c r="G1828" s="1772">
        <f>'8.Dgia'!H1296</f>
        <v>0</v>
      </c>
      <c r="H1828" s="1824"/>
      <c r="I1828" s="1827">
        <f>I1829</f>
        <v>17164.915499999999</v>
      </c>
      <c r="J1828" s="850"/>
      <c r="K1828" s="850"/>
      <c r="L1828" s="850"/>
    </row>
    <row r="1829" spans="1:12" ht="15">
      <c r="B1829" s="1551" t="str">
        <f>'8.Dgia'!B1297</f>
        <v/>
      </c>
      <c r="C1829" s="1552">
        <f>'8.Dgia'!C1297</f>
        <v>0</v>
      </c>
      <c r="D1829" s="1552">
        <f>'8.Dgia'!D1297</f>
        <v>0</v>
      </c>
      <c r="E1829" s="1775" t="str">
        <f>'8.Dgia'!E1297</f>
        <v>Máy hàn 23kw</v>
      </c>
      <c r="F1829" s="1745" t="s">
        <v>5493</v>
      </c>
      <c r="G1829" s="1966">
        <f>'8.Dgia'!H1297</f>
        <v>0.1</v>
      </c>
      <c r="H1829" s="1824">
        <f>'9.may'!$P$510</f>
        <v>171649.155</v>
      </c>
      <c r="I1829" s="1824">
        <f>H1829*G1829</f>
        <v>17164.915499999999</v>
      </c>
    </row>
    <row r="1830" spans="1:12" s="658" customFormat="1" ht="15">
      <c r="B1830" s="1677"/>
      <c r="C1830" s="1678"/>
      <c r="D1830" s="1678"/>
      <c r="E1830" s="1828" t="s">
        <v>5675</v>
      </c>
      <c r="F1830" s="1786">
        <f>$J$5</f>
        <v>0.02</v>
      </c>
      <c r="G1830" s="1780"/>
      <c r="H1830" s="1829"/>
      <c r="I1830" s="1830">
        <f>( I1823+I1827+I1828 )*F1830</f>
        <v>2509.527668543853</v>
      </c>
      <c r="J1830" s="850"/>
      <c r="K1830" s="850"/>
      <c r="L1830" s="850"/>
    </row>
    <row r="1831" spans="1:12" ht="15">
      <c r="B1831" s="1556"/>
      <c r="C1831" s="1557"/>
      <c r="D1831" s="1557"/>
      <c r="E1831" s="1831" t="s">
        <v>5676</v>
      </c>
      <c r="F1831" s="1786"/>
      <c r="G1831" s="1783"/>
      <c r="H1831" s="1832"/>
      <c r="I1831" s="1833">
        <f>I1830+I1830/F1830</f>
        <v>127985.9110957365</v>
      </c>
    </row>
    <row r="1832" spans="1:12" ht="15">
      <c r="B1832" s="1551"/>
      <c r="C1832" s="1552"/>
      <c r="D1832" s="1552"/>
      <c r="E1832" s="1834" t="s">
        <v>5677</v>
      </c>
      <c r="F1832" s="1786">
        <f>$K$5</f>
        <v>5.5E-2</v>
      </c>
      <c r="G1832" s="1772"/>
      <c r="H1832" s="1824"/>
      <c r="I1832" s="1835">
        <f>I1831*F1832</f>
        <v>7039.2251102655082</v>
      </c>
    </row>
    <row r="1833" spans="1:12" ht="15">
      <c r="B1833" s="1551"/>
      <c r="C1833" s="1552"/>
      <c r="D1833" s="1552"/>
      <c r="E1833" s="1834" t="s">
        <v>5678</v>
      </c>
      <c r="F1833" s="1786">
        <f>$L$5</f>
        <v>0.06</v>
      </c>
      <c r="G1833" s="1772"/>
      <c r="H1833" s="1824"/>
      <c r="I1833" s="1835">
        <f>SUM(I1831:I1832)*F1833</f>
        <v>8101.5081723601197</v>
      </c>
    </row>
    <row r="1834" spans="1:12" ht="14.25">
      <c r="B1834" s="1556"/>
      <c r="C1834" s="1557"/>
      <c r="D1834" s="1557"/>
      <c r="E1834" s="1831" t="s">
        <v>5679</v>
      </c>
      <c r="F1834" s="1787"/>
      <c r="G1834" s="1783"/>
      <c r="H1834" s="1832"/>
      <c r="I1834" s="1833">
        <f>SUM(I1831:I1833)</f>
        <v>143126.64437836214</v>
      </c>
    </row>
    <row r="1835" spans="1:12" ht="15">
      <c r="B1835" s="1551"/>
      <c r="C1835" s="1552"/>
      <c r="D1835" s="1552"/>
      <c r="E1835" s="1834" t="s">
        <v>5680</v>
      </c>
      <c r="F1835" s="1788">
        <f>$M$5</f>
        <v>0.1</v>
      </c>
      <c r="G1835" s="1772"/>
      <c r="H1835" s="1824"/>
      <c r="I1835" s="1835">
        <f>I1834*F1835</f>
        <v>14312.664437836214</v>
      </c>
    </row>
    <row r="1836" spans="1:12" ht="14.25">
      <c r="B1836" s="1556"/>
      <c r="C1836" s="1557"/>
      <c r="D1836" s="1557"/>
      <c r="E1836" s="1831" t="s">
        <v>5681</v>
      </c>
      <c r="F1836" s="1787"/>
      <c r="G1836" s="1783"/>
      <c r="H1836" s="1832"/>
      <c r="I1836" s="1833">
        <f>SUM(I1834:I1835)</f>
        <v>157439.30881619835</v>
      </c>
    </row>
    <row r="1837" spans="1:12" ht="12.75">
      <c r="B1837" s="1551"/>
      <c r="C1837" s="1552"/>
      <c r="D1837" s="1552"/>
      <c r="E1837" s="1558" t="s">
        <v>5682</v>
      </c>
      <c r="F1837" s="1560">
        <f>$N$5</f>
        <v>0.01</v>
      </c>
      <c r="G1837" s="1553"/>
      <c r="H1837" s="1554"/>
      <c r="I1837" s="1559">
        <f>I1836*F1837</f>
        <v>1574.3930881619835</v>
      </c>
    </row>
    <row r="1838" spans="1:12" ht="14.25">
      <c r="B1838" s="2123"/>
      <c r="C1838" s="1561"/>
      <c r="D1838" s="2124"/>
      <c r="E1838" s="2112" t="s">
        <v>5683</v>
      </c>
      <c r="F1838" s="2113"/>
      <c r="G1838" s="2125"/>
      <c r="H1838" s="2126"/>
      <c r="I1838" s="2110">
        <f>ROUND(I1836+I1837,-2)</f>
        <v>159000</v>
      </c>
    </row>
    <row r="1839" spans="1:12" ht="14.25">
      <c r="A1839" s="657">
        <v>1</v>
      </c>
      <c r="B1839" s="1546">
        <f>IF(A1839&lt;&gt;0,COUNTA(A$7:$A1839),"")</f>
        <v>100</v>
      </c>
      <c r="C1839" s="1550">
        <f>'8.Dgia'!C1304</f>
        <v>1776</v>
      </c>
      <c r="D1839" s="1550" t="str">
        <f>'8.Dgia'!D1304</f>
        <v>AK.83421</v>
      </c>
      <c r="E1839" s="1766" t="str">
        <f>'8.Dgia'!E1304</f>
        <v>Sơn lan can 2 lớp</v>
      </c>
      <c r="F1839" s="1794" t="str">
        <f>'8.Dgia'!G1304</f>
        <v>m2</v>
      </c>
      <c r="G1839" s="1768">
        <f>'8.Dgia'!H1304</f>
        <v>0</v>
      </c>
      <c r="H1839" s="1769"/>
      <c r="I1839" s="1769"/>
      <c r="J1839" s="842">
        <f>+I1840</f>
        <v>18045.068632268634</v>
      </c>
      <c r="K1839" s="842">
        <f>+I1844</f>
        <v>20280.175999999999</v>
      </c>
    </row>
    <row r="1840" spans="1:12" ht="15">
      <c r="B1840" s="1551" t="str">
        <f>'8.Dgia'!B1305</f>
        <v/>
      </c>
      <c r="C1840" s="1552">
        <f>'8.Dgia'!C1305</f>
        <v>0</v>
      </c>
      <c r="D1840" s="1552">
        <f>'8.Dgia'!D1305</f>
        <v>0</v>
      </c>
      <c r="E1840" s="1770" t="str">
        <f>'8.Dgia'!E1305</f>
        <v xml:space="preserve">  A - Vật liệu</v>
      </c>
      <c r="F1840" s="1786">
        <f>'8.Dgia'!G1305</f>
        <v>0</v>
      </c>
      <c r="G1840" s="1772">
        <f>'8.Dgia'!H1305</f>
        <v>0</v>
      </c>
      <c r="H1840" s="1773"/>
      <c r="I1840" s="1774">
        <f>SUM(I1841:I1843)</f>
        <v>18045.068632268634</v>
      </c>
    </row>
    <row r="1841" spans="1:12" ht="15">
      <c r="B1841" s="1551" t="str">
        <f>'8.Dgia'!B1306</f>
        <v/>
      </c>
      <c r="C1841" s="1552">
        <f>'8.Dgia'!C1306</f>
        <v>0</v>
      </c>
      <c r="D1841" s="1552">
        <f>'8.Dgia'!D1306</f>
        <v>0</v>
      </c>
      <c r="E1841" s="1775" t="str">
        <f>'8.Dgia'!E1306</f>
        <v xml:space="preserve">Sơn </v>
      </c>
      <c r="F1841" s="1786" t="str">
        <f>'8.Dgia'!G1306</f>
        <v>kg</v>
      </c>
      <c r="G1841" s="1772">
        <f>'8.Dgia'!H1306</f>
        <v>0.16400000000000001</v>
      </c>
      <c r="H1841" s="1773">
        <f>GVL!$I$159</f>
        <v>86666.666666666672</v>
      </c>
      <c r="I1841" s="1773">
        <f>H1841*G1841</f>
        <v>14213.333333333334</v>
      </c>
    </row>
    <row r="1842" spans="1:12" ht="15">
      <c r="B1842" s="1551" t="str">
        <f>'8.Dgia'!B1307</f>
        <v/>
      </c>
      <c r="C1842" s="1552">
        <f>'8.Dgia'!C1307</f>
        <v>0</v>
      </c>
      <c r="D1842" s="1552">
        <f>'8.Dgia'!D1307</f>
        <v>0</v>
      </c>
      <c r="E1842" s="1775" t="str">
        <f>'8.Dgia'!E1307</f>
        <v>Xăng</v>
      </c>
      <c r="F1842" s="1786" t="str">
        <f>'8.Dgia'!G1307</f>
        <v>kg</v>
      </c>
      <c r="G1842" s="1772">
        <f>'8.Dgia'!H1307</f>
        <v>0.11799999999999999</v>
      </c>
      <c r="H1842" s="1773">
        <f>GVL!$I$206</f>
        <v>30958.230958230957</v>
      </c>
      <c r="I1842" s="1773">
        <f>H1842*G1842</f>
        <v>3653.0712530712526</v>
      </c>
    </row>
    <row r="1843" spans="1:12" ht="15">
      <c r="B1843" s="1551" t="str">
        <f>'8.Dgia'!B1308</f>
        <v/>
      </c>
      <c r="C1843" s="1552">
        <f>'8.Dgia'!C1308</f>
        <v>0</v>
      </c>
      <c r="D1843" s="1552">
        <f>'8.Dgia'!D1308</f>
        <v>0</v>
      </c>
      <c r="E1843" s="1775" t="str">
        <f>'8.Dgia'!E1308</f>
        <v>Vật liệu khác</v>
      </c>
      <c r="F1843" s="1786" t="str">
        <f>'8.Dgia'!G1308</f>
        <v>%</v>
      </c>
      <c r="G1843" s="1966">
        <f>'8.Dgia'!H1308</f>
        <v>1</v>
      </c>
      <c r="H1843" s="1773">
        <f>SUM(I1841:I1842)</f>
        <v>17866.404586404587</v>
      </c>
      <c r="I1843" s="1773">
        <f>H1843*G1843%</f>
        <v>178.66404586404587</v>
      </c>
    </row>
    <row r="1844" spans="1:12" ht="15">
      <c r="B1844" s="1551" t="str">
        <f>'8.Dgia'!B1309</f>
        <v/>
      </c>
      <c r="C1844" s="1552">
        <f>'8.Dgia'!C1309</f>
        <v>0</v>
      </c>
      <c r="D1844" s="1552">
        <f>'8.Dgia'!D1309</f>
        <v>0</v>
      </c>
      <c r="E1844" s="1770" t="str">
        <f>'8.Dgia'!E1309</f>
        <v xml:space="preserve">  B - Nhân công 3.5/7</v>
      </c>
      <c r="F1844" s="1745" t="s">
        <v>552</v>
      </c>
      <c r="G1844" s="1772">
        <f>'8.Dgia'!H1309</f>
        <v>8.5999999999999993E-2</v>
      </c>
      <c r="H1844" s="1773">
        <f>'16.NC'!$H$16</f>
        <v>235816</v>
      </c>
      <c r="I1844" s="1776">
        <f>H1844*G1844</f>
        <v>20280.175999999999</v>
      </c>
    </row>
    <row r="1845" spans="1:12" s="658" customFormat="1" ht="15">
      <c r="B1845" s="1677"/>
      <c r="C1845" s="1678"/>
      <c r="D1845" s="1678"/>
      <c r="E1845" s="1778" t="s">
        <v>5675</v>
      </c>
      <c r="F1845" s="1786">
        <f>$J$5</f>
        <v>0.02</v>
      </c>
      <c r="G1845" s="1780"/>
      <c r="H1845" s="1777"/>
      <c r="I1845" s="1777">
        <f>( I1840+I1844 )*F1845</f>
        <v>766.50489264537259</v>
      </c>
      <c r="J1845" s="850"/>
      <c r="K1845" s="850"/>
      <c r="L1845" s="850"/>
    </row>
    <row r="1846" spans="1:12" ht="15">
      <c r="B1846" s="1556"/>
      <c r="C1846" s="1557"/>
      <c r="D1846" s="1557"/>
      <c r="E1846" s="1781" t="s">
        <v>5676</v>
      </c>
      <c r="F1846" s="1786"/>
      <c r="G1846" s="1783"/>
      <c r="H1846" s="1784"/>
      <c r="I1846" s="1784">
        <f>I1845+I1845/F1845</f>
        <v>39091.749524914005</v>
      </c>
    </row>
    <row r="1847" spans="1:12" ht="15">
      <c r="B1847" s="1551"/>
      <c r="C1847" s="1552"/>
      <c r="D1847" s="1552"/>
      <c r="E1847" s="1785" t="s">
        <v>5677</v>
      </c>
      <c r="F1847" s="1786">
        <f>$K$5</f>
        <v>5.5E-2</v>
      </c>
      <c r="G1847" s="1772"/>
      <c r="H1847" s="1773"/>
      <c r="I1847" s="1773">
        <f>I1846*F1847</f>
        <v>2150.0462238702703</v>
      </c>
    </row>
    <row r="1848" spans="1:12" ht="15">
      <c r="B1848" s="1551"/>
      <c r="C1848" s="1552"/>
      <c r="D1848" s="1552"/>
      <c r="E1848" s="1785" t="s">
        <v>5678</v>
      </c>
      <c r="F1848" s="1786">
        <f>$L$5</f>
        <v>0.06</v>
      </c>
      <c r="G1848" s="1772"/>
      <c r="H1848" s="1773"/>
      <c r="I1848" s="1773">
        <f>SUM(I1846:I1847)*F1848</f>
        <v>2474.5077449270561</v>
      </c>
    </row>
    <row r="1849" spans="1:12" ht="14.25">
      <c r="B1849" s="1556"/>
      <c r="C1849" s="1557"/>
      <c r="D1849" s="1557"/>
      <c r="E1849" s="1781" t="s">
        <v>5679</v>
      </c>
      <c r="F1849" s="1787"/>
      <c r="G1849" s="1783"/>
      <c r="H1849" s="1784"/>
      <c r="I1849" s="1784">
        <f>SUM(I1846:I1848)</f>
        <v>43716.303493711326</v>
      </c>
    </row>
    <row r="1850" spans="1:12" ht="15">
      <c r="B1850" s="1551"/>
      <c r="C1850" s="1552"/>
      <c r="D1850" s="1552"/>
      <c r="E1850" s="1785" t="s">
        <v>5680</v>
      </c>
      <c r="F1850" s="1788">
        <f>$M$5</f>
        <v>0.1</v>
      </c>
      <c r="G1850" s="1772"/>
      <c r="H1850" s="1773"/>
      <c r="I1850" s="1773">
        <f>I1849*F1850</f>
        <v>4371.630349371133</v>
      </c>
    </row>
    <row r="1851" spans="1:12" ht="14.25">
      <c r="B1851" s="1556"/>
      <c r="C1851" s="1557"/>
      <c r="D1851" s="1557"/>
      <c r="E1851" s="1781" t="s">
        <v>5681</v>
      </c>
      <c r="F1851" s="1787"/>
      <c r="G1851" s="1783"/>
      <c r="H1851" s="1784"/>
      <c r="I1851" s="1784">
        <f>SUM(I1849:I1850)</f>
        <v>48087.933843082457</v>
      </c>
    </row>
    <row r="1852" spans="1:12" ht="12.75">
      <c r="B1852" s="1551"/>
      <c r="C1852" s="1552"/>
      <c r="D1852" s="1552"/>
      <c r="E1852" s="1563" t="s">
        <v>5682</v>
      </c>
      <c r="F1852" s="1560">
        <f>$N$5</f>
        <v>0.01</v>
      </c>
      <c r="G1852" s="1553"/>
      <c r="H1852" s="1562"/>
      <c r="I1852" s="1562">
        <f>I1851*F1852</f>
        <v>480.87933843082459</v>
      </c>
    </row>
    <row r="1853" spans="1:12" ht="14.25">
      <c r="B1853" s="2111"/>
      <c r="C1853" s="1564"/>
      <c r="D1853" s="2111"/>
      <c r="E1853" s="2112" t="s">
        <v>5683</v>
      </c>
      <c r="F1853" s="2113"/>
      <c r="G1853" s="2112"/>
      <c r="H1853" s="2114"/>
      <c r="I1853" s="2110">
        <f>ROUND(I1851+I1852,-2)</f>
        <v>48600</v>
      </c>
    </row>
    <row r="1854" spans="1:12" ht="14.25">
      <c r="A1854" s="657">
        <v>1</v>
      </c>
      <c r="B1854" s="1546">
        <f>IF(A1854&lt;&gt;0,COUNTA(A$7:$A1854),"")</f>
        <v>101</v>
      </c>
      <c r="C1854" s="1550">
        <f>'8.Dgia'!C1310</f>
        <v>1776</v>
      </c>
      <c r="D1854" s="1550" t="str">
        <f>'8.Dgia'!D1310</f>
        <v>AK.83421</v>
      </c>
      <c r="E1854" s="1766" t="str">
        <f>'8.Dgia'!E1310</f>
        <v>Sơn sắt thép chống rỉ (2 nước)</v>
      </c>
      <c r="F1854" s="1794" t="str">
        <f>'8.Dgia'!G1310</f>
        <v>m2</v>
      </c>
      <c r="G1854" s="1768">
        <f>'8.Dgia'!H1310</f>
        <v>0</v>
      </c>
      <c r="H1854" s="1823"/>
      <c r="I1854" s="1823"/>
      <c r="J1854" s="842">
        <f>+I1855</f>
        <v>10508.850183783783</v>
      </c>
      <c r="K1854" s="842">
        <f>+I1859</f>
        <v>20280.175999999999</v>
      </c>
    </row>
    <row r="1855" spans="1:12" ht="15">
      <c r="B1855" s="1551" t="str">
        <f>'8.Dgia'!B1311</f>
        <v/>
      </c>
      <c r="C1855" s="1552">
        <f>'8.Dgia'!C1311</f>
        <v>0</v>
      </c>
      <c r="D1855" s="1552">
        <f>'8.Dgia'!D1311</f>
        <v>0</v>
      </c>
      <c r="E1855" s="1770" t="str">
        <f>'8.Dgia'!E1311</f>
        <v xml:space="preserve">  A - Vật liệu</v>
      </c>
      <c r="F1855" s="1786">
        <f>'8.Dgia'!G1311</f>
        <v>0</v>
      </c>
      <c r="G1855" s="1772">
        <f>'8.Dgia'!H1311</f>
        <v>0</v>
      </c>
      <c r="H1855" s="1824"/>
      <c r="I1855" s="1825">
        <f>SUM(I1856:I1858)</f>
        <v>10508.850183783783</v>
      </c>
    </row>
    <row r="1856" spans="1:12" ht="15">
      <c r="B1856" s="1551" t="str">
        <f>'8.Dgia'!B1312</f>
        <v/>
      </c>
      <c r="C1856" s="1552">
        <f>'8.Dgia'!C1312</f>
        <v>0</v>
      </c>
      <c r="D1856" s="1552">
        <f>'8.Dgia'!D1312</f>
        <v>0</v>
      </c>
      <c r="E1856" s="1775" t="str">
        <f>'8.Dgia'!E1312</f>
        <v>Sơn chống rỉ</v>
      </c>
      <c r="F1856" s="1786" t="str">
        <f>'8.Dgia'!G1312</f>
        <v>kg</v>
      </c>
      <c r="G1856" s="1772">
        <f>'8.Dgia'!H1312</f>
        <v>0.16400000000000001</v>
      </c>
      <c r="H1856" s="1824">
        <f>GVL!$I$160</f>
        <v>41169.090909090904</v>
      </c>
      <c r="I1856" s="1824">
        <f>H1856*G1856</f>
        <v>6751.7309090909084</v>
      </c>
    </row>
    <row r="1857" spans="1:12" ht="15">
      <c r="B1857" s="1551" t="str">
        <f>'8.Dgia'!B1313</f>
        <v/>
      </c>
      <c r="C1857" s="1552">
        <f>'8.Dgia'!C1313</f>
        <v>0</v>
      </c>
      <c r="D1857" s="1552">
        <f>'8.Dgia'!D1313</f>
        <v>0</v>
      </c>
      <c r="E1857" s="1775" t="str">
        <f>'8.Dgia'!E1313</f>
        <v>Xăng</v>
      </c>
      <c r="F1857" s="1786" t="str">
        <f>'8.Dgia'!G1313</f>
        <v>kg</v>
      </c>
      <c r="G1857" s="1772">
        <f>'8.Dgia'!H1313</f>
        <v>0.11799999999999999</v>
      </c>
      <c r="H1857" s="1824">
        <f>GVL!$I$206</f>
        <v>30958.230958230957</v>
      </c>
      <c r="I1857" s="1824">
        <f>H1857*G1857</f>
        <v>3653.0712530712526</v>
      </c>
    </row>
    <row r="1858" spans="1:12" ht="15">
      <c r="B1858" s="1551" t="str">
        <f>'8.Dgia'!B1314</f>
        <v/>
      </c>
      <c r="C1858" s="1552">
        <f>'8.Dgia'!C1314</f>
        <v>0</v>
      </c>
      <c r="D1858" s="1552">
        <f>'8.Dgia'!D1314</f>
        <v>0</v>
      </c>
      <c r="E1858" s="1775" t="str">
        <f>'8.Dgia'!E1314</f>
        <v>Vật liệu khác</v>
      </c>
      <c r="F1858" s="1786" t="str">
        <f>'8.Dgia'!G1314</f>
        <v>%</v>
      </c>
      <c r="G1858" s="1966">
        <f>'8.Dgia'!H1314</f>
        <v>1</v>
      </c>
      <c r="H1858" s="1824">
        <f>SUM(I1856:I1857)</f>
        <v>10404.802162162161</v>
      </c>
      <c r="I1858" s="1824">
        <f>H1858*G1858%</f>
        <v>104.04802162162161</v>
      </c>
    </row>
    <row r="1859" spans="1:12" ht="15">
      <c r="B1859" s="1551" t="str">
        <f>'8.Dgia'!B1315</f>
        <v/>
      </c>
      <c r="C1859" s="1552">
        <f>'8.Dgia'!C1315</f>
        <v>0</v>
      </c>
      <c r="D1859" s="1552">
        <f>'8.Dgia'!D1315</f>
        <v>0</v>
      </c>
      <c r="E1859" s="1770" t="str">
        <f>'8.Dgia'!E1315</f>
        <v xml:space="preserve">  B - Nhân công 3.5/7</v>
      </c>
      <c r="F1859" s="1745" t="s">
        <v>552</v>
      </c>
      <c r="G1859" s="1772">
        <f>'8.Dgia'!H1315</f>
        <v>8.5999999999999993E-2</v>
      </c>
      <c r="H1859" s="1824">
        <f>'16.NC'!$H$16</f>
        <v>235816</v>
      </c>
      <c r="I1859" s="1826">
        <f>H1859*G1859</f>
        <v>20280.175999999999</v>
      </c>
    </row>
    <row r="1860" spans="1:12" s="658" customFormat="1" ht="15">
      <c r="B1860" s="1677"/>
      <c r="C1860" s="1678"/>
      <c r="D1860" s="1678"/>
      <c r="E1860" s="1828" t="s">
        <v>5675</v>
      </c>
      <c r="F1860" s="1786">
        <f>$J$5</f>
        <v>0.02</v>
      </c>
      <c r="G1860" s="1780"/>
      <c r="H1860" s="1829"/>
      <c r="I1860" s="1830">
        <f>( I1855+I1859 )*F1860</f>
        <v>615.78052367567568</v>
      </c>
      <c r="J1860" s="850"/>
      <c r="K1860" s="850"/>
      <c r="L1860" s="850"/>
    </row>
    <row r="1861" spans="1:12" ht="15">
      <c r="B1861" s="1556"/>
      <c r="C1861" s="1557"/>
      <c r="D1861" s="1557"/>
      <c r="E1861" s="1831" t="s">
        <v>5676</v>
      </c>
      <c r="F1861" s="1786"/>
      <c r="G1861" s="1783"/>
      <c r="H1861" s="1832"/>
      <c r="I1861" s="1833">
        <f>I1860+I1860/F1860</f>
        <v>31404.806707459458</v>
      </c>
    </row>
    <row r="1862" spans="1:12" ht="15">
      <c r="B1862" s="1551"/>
      <c r="C1862" s="1552"/>
      <c r="D1862" s="1552"/>
      <c r="E1862" s="1834" t="s">
        <v>5677</v>
      </c>
      <c r="F1862" s="1786">
        <f>$K$5</f>
        <v>5.5E-2</v>
      </c>
      <c r="G1862" s="1772"/>
      <c r="H1862" s="1824"/>
      <c r="I1862" s="1835">
        <f>I1861*F1862</f>
        <v>1727.2643689102702</v>
      </c>
    </row>
    <row r="1863" spans="1:12" ht="15">
      <c r="B1863" s="1551"/>
      <c r="C1863" s="1552"/>
      <c r="D1863" s="1552"/>
      <c r="E1863" s="1834" t="s">
        <v>5678</v>
      </c>
      <c r="F1863" s="1786">
        <f>$L$5</f>
        <v>0.06</v>
      </c>
      <c r="G1863" s="1772"/>
      <c r="H1863" s="1824"/>
      <c r="I1863" s="1835">
        <f>SUM(I1861:I1862)*F1863</f>
        <v>1987.9242645821837</v>
      </c>
    </row>
    <row r="1864" spans="1:12" ht="14.25">
      <c r="B1864" s="1556"/>
      <c r="C1864" s="1557"/>
      <c r="D1864" s="1557"/>
      <c r="E1864" s="1831" t="s">
        <v>5679</v>
      </c>
      <c r="F1864" s="1787"/>
      <c r="G1864" s="1783"/>
      <c r="H1864" s="1832"/>
      <c r="I1864" s="1833">
        <f>SUM(I1861:I1863)</f>
        <v>35119.995340951915</v>
      </c>
    </row>
    <row r="1865" spans="1:12" ht="15">
      <c r="B1865" s="1551"/>
      <c r="C1865" s="1552"/>
      <c r="D1865" s="1552"/>
      <c r="E1865" s="1834" t="s">
        <v>5680</v>
      </c>
      <c r="F1865" s="1788">
        <f>$M$5</f>
        <v>0.1</v>
      </c>
      <c r="G1865" s="1772"/>
      <c r="H1865" s="1824"/>
      <c r="I1865" s="1835">
        <f>I1864*F1865</f>
        <v>3511.9995340951918</v>
      </c>
    </row>
    <row r="1866" spans="1:12" ht="14.25">
      <c r="B1866" s="1556"/>
      <c r="C1866" s="1557"/>
      <c r="D1866" s="1557"/>
      <c r="E1866" s="1831" t="s">
        <v>5681</v>
      </c>
      <c r="F1866" s="1787"/>
      <c r="G1866" s="1783"/>
      <c r="H1866" s="1832"/>
      <c r="I1866" s="1833">
        <f>SUM(I1864:I1865)</f>
        <v>38631.994875047109</v>
      </c>
    </row>
    <row r="1867" spans="1:12" ht="12.75">
      <c r="B1867" s="1551"/>
      <c r="C1867" s="1552"/>
      <c r="D1867" s="1552"/>
      <c r="E1867" s="1558" t="s">
        <v>5682</v>
      </c>
      <c r="F1867" s="1560">
        <f>$N$5</f>
        <v>0.01</v>
      </c>
      <c r="G1867" s="1553"/>
      <c r="H1867" s="1554"/>
      <c r="I1867" s="1559">
        <f>I1866*F1867</f>
        <v>386.3199487504711</v>
      </c>
    </row>
    <row r="1868" spans="1:12" ht="14.25">
      <c r="B1868" s="2123"/>
      <c r="C1868" s="1561"/>
      <c r="D1868" s="2124"/>
      <c r="E1868" s="2112" t="s">
        <v>5683</v>
      </c>
      <c r="F1868" s="2113"/>
      <c r="G1868" s="2125"/>
      <c r="H1868" s="2126"/>
      <c r="I1868" s="2110">
        <f>ROUND(I1866+I1867,-2)</f>
        <v>39000</v>
      </c>
    </row>
    <row r="1869" spans="1:12" ht="14.25">
      <c r="A1869" s="657">
        <v>1</v>
      </c>
      <c r="B1869" s="1546">
        <f>IF(A1869&lt;&gt;0,COUNTA(A$7:$A1869),"")</f>
        <v>102</v>
      </c>
      <c r="C1869" s="1547">
        <f>'8.Dgia'!C1316</f>
        <v>1129</v>
      </c>
      <c r="D1869" s="1547" t="str">
        <f>'8.Dgia'!D1316</f>
        <v>SA.41831</v>
      </c>
      <c r="E1869" s="1740" t="str">
        <f>'8.Dgia'!E1316</f>
        <v>Khoan lỗ bê tông D20, L&lt;=20cm</v>
      </c>
      <c r="F1869" s="1789" t="str">
        <f>'8.Dgia'!G1316</f>
        <v>lỗ</v>
      </c>
      <c r="G1869" s="1742">
        <f>'8.Dgia'!H1316</f>
        <v>0</v>
      </c>
      <c r="H1869" s="1795"/>
      <c r="I1869" s="1795"/>
      <c r="J1869" s="842">
        <f>+I1870</f>
        <v>3150</v>
      </c>
      <c r="K1869" s="842">
        <f>+I1873</f>
        <v>6298.2919999999995</v>
      </c>
      <c r="L1869" s="842">
        <f>+I1874</f>
        <v>7300.3649399999995</v>
      </c>
    </row>
    <row r="1870" spans="1:12" ht="15">
      <c r="B1870" s="1536" t="str">
        <f>'8.Dgia'!B1317</f>
        <v/>
      </c>
      <c r="C1870" s="1537">
        <f>'8.Dgia'!C1317</f>
        <v>0</v>
      </c>
      <c r="D1870" s="1537">
        <f>'8.Dgia'!D1317</f>
        <v>0</v>
      </c>
      <c r="E1870" s="1744" t="str">
        <f>'8.Dgia'!E1317</f>
        <v xml:space="preserve">  A - Vật liệu</v>
      </c>
      <c r="F1870" s="1763">
        <f>'8.Dgia'!G1317</f>
        <v>0</v>
      </c>
      <c r="G1870" s="1746">
        <f>'8.Dgia'!H1317</f>
        <v>0</v>
      </c>
      <c r="H1870" s="1796"/>
      <c r="I1870" s="1797">
        <f>SUM(I1871:I1872)</f>
        <v>3150</v>
      </c>
    </row>
    <row r="1871" spans="1:12" ht="15">
      <c r="B1871" s="1536" t="str">
        <f>'8.Dgia'!B1318</f>
        <v/>
      </c>
      <c r="C1871" s="1537">
        <f>'8.Dgia'!C1318</f>
        <v>0</v>
      </c>
      <c r="D1871" s="1537">
        <f>'8.Dgia'!D1318</f>
        <v>0</v>
      </c>
      <c r="E1871" s="1749" t="str">
        <f>'8.Dgia'!E1318</f>
        <v>Mũi khoan D20</v>
      </c>
      <c r="F1871" s="1763" t="s">
        <v>567</v>
      </c>
      <c r="G1871" s="1746">
        <f>'8.Dgia'!H1318</f>
        <v>0.06</v>
      </c>
      <c r="H1871" s="1796">
        <f>GVL!$I$121</f>
        <v>50000</v>
      </c>
      <c r="I1871" s="1796">
        <f>H1871*G1871</f>
        <v>3000</v>
      </c>
    </row>
    <row r="1872" spans="1:12" ht="15">
      <c r="B1872" s="1536" t="str">
        <f>'8.Dgia'!B1319</f>
        <v/>
      </c>
      <c r="C1872" s="1537">
        <f>'8.Dgia'!C1319</f>
        <v>0</v>
      </c>
      <c r="D1872" s="1537">
        <f>'8.Dgia'!D1319</f>
        <v>0</v>
      </c>
      <c r="E1872" s="1749" t="str">
        <f>'8.Dgia'!E1319</f>
        <v>Vật liệu khác</v>
      </c>
      <c r="F1872" s="1763" t="str">
        <f>'8.Dgia'!G1319</f>
        <v>%</v>
      </c>
      <c r="G1872" s="1982">
        <f>'8.Dgia'!H1319</f>
        <v>5</v>
      </c>
      <c r="H1872" s="1796">
        <f>SUM(I1871:I1871)</f>
        <v>3000</v>
      </c>
      <c r="I1872" s="1796">
        <f>H1872*G1872%</f>
        <v>150</v>
      </c>
    </row>
    <row r="1873" spans="1:12" ht="15">
      <c r="B1873" s="1536" t="str">
        <f>'8.Dgia'!B1320</f>
        <v/>
      </c>
      <c r="C1873" s="1537">
        <f>'8.Dgia'!C1320</f>
        <v>0</v>
      </c>
      <c r="D1873" s="1537">
        <f>'8.Dgia'!D1320</f>
        <v>0</v>
      </c>
      <c r="E1873" s="1744" t="str">
        <f>'8.Dgia'!E1320</f>
        <v xml:space="preserve">  B - Nhân công 3.7/7</v>
      </c>
      <c r="F1873" s="1745" t="s">
        <v>552</v>
      </c>
      <c r="G1873" s="1746">
        <f>'8.Dgia'!H1320</f>
        <v>2.5999999999999999E-2</v>
      </c>
      <c r="H1873" s="1796">
        <f>'16.NC'!$H$17</f>
        <v>242242</v>
      </c>
      <c r="I1873" s="1798">
        <f>H1873*G1873</f>
        <v>6298.2919999999995</v>
      </c>
    </row>
    <row r="1874" spans="1:12" ht="15">
      <c r="B1874" s="1536" t="str">
        <f>'8.Dgia'!B1321</f>
        <v/>
      </c>
      <c r="C1874" s="1537">
        <f>'8.Dgia'!C1321</f>
        <v>0</v>
      </c>
      <c r="D1874" s="1537">
        <f>'8.Dgia'!D1321</f>
        <v>0</v>
      </c>
      <c r="E1874" s="1744" t="str">
        <f>'8.Dgia'!E1321</f>
        <v xml:space="preserve">  C - Máy thi công</v>
      </c>
      <c r="F1874" s="1763">
        <f>'8.Dgia'!G1321</f>
        <v>0</v>
      </c>
      <c r="G1874" s="1746">
        <f>'8.Dgia'!H1321</f>
        <v>0</v>
      </c>
      <c r="H1874" s="1796"/>
      <c r="I1874" s="1799">
        <f>SUM(I1875:I1875)</f>
        <v>7300.3649399999995</v>
      </c>
    </row>
    <row r="1875" spans="1:12" ht="30">
      <c r="B1875" s="1536" t="str">
        <f>'8.Dgia'!B1322</f>
        <v/>
      </c>
      <c r="C1875" s="1537">
        <f>'8.Dgia'!C1322</f>
        <v>0</v>
      </c>
      <c r="D1875" s="1537">
        <f>'8.Dgia'!D1322</f>
        <v>0</v>
      </c>
      <c r="E1875" s="1749" t="str">
        <f>'8.Dgia'!E1322</f>
        <v xml:space="preserve">Máy khoan bêtông cầm tay - công suất 0.6kW </v>
      </c>
      <c r="F1875" s="1745" t="s">
        <v>5493</v>
      </c>
      <c r="G1875" s="1746">
        <f>'8.Dgia'!H1322</f>
        <v>0.12</v>
      </c>
      <c r="H1875" s="1796">
        <f>'9.may'!$P$535</f>
        <v>60836.374499999998</v>
      </c>
      <c r="I1875" s="1796">
        <f>H1875*G1875</f>
        <v>7300.3649399999995</v>
      </c>
    </row>
    <row r="1876" spans="1:12" s="658" customFormat="1" ht="15">
      <c r="B1876" s="1675"/>
      <c r="C1876" s="1676"/>
      <c r="D1876" s="1676"/>
      <c r="E1876" s="1800" t="s">
        <v>5675</v>
      </c>
      <c r="F1876" s="1763">
        <f>$J$5</f>
        <v>0.02</v>
      </c>
      <c r="G1876" s="1754"/>
      <c r="H1876" s="1799"/>
      <c r="I1876" s="1799">
        <f>( I1870+I1873+I1874 )*F1876</f>
        <v>334.97313880000002</v>
      </c>
      <c r="J1876" s="850"/>
      <c r="K1876" s="850"/>
      <c r="L1876" s="850"/>
    </row>
    <row r="1877" spans="1:12" ht="15">
      <c r="B1877" s="1540"/>
      <c r="C1877" s="1541"/>
      <c r="D1877" s="1541"/>
      <c r="E1877" s="1801" t="s">
        <v>5676</v>
      </c>
      <c r="F1877" s="1763"/>
      <c r="G1877" s="1759"/>
      <c r="H1877" s="1802"/>
      <c r="I1877" s="1802">
        <f>I1876+I1876/F1876</f>
        <v>17083.630078800001</v>
      </c>
    </row>
    <row r="1878" spans="1:12" ht="15">
      <c r="B1878" s="1536"/>
      <c r="C1878" s="1537"/>
      <c r="D1878" s="1537"/>
      <c r="E1878" s="1803" t="s">
        <v>5677</v>
      </c>
      <c r="F1878" s="1763">
        <f>$K$5</f>
        <v>5.5E-2</v>
      </c>
      <c r="G1878" s="1746"/>
      <c r="H1878" s="1796"/>
      <c r="I1878" s="1796">
        <f>I1877*F1878</f>
        <v>939.59965433400009</v>
      </c>
    </row>
    <row r="1879" spans="1:12" ht="15">
      <c r="B1879" s="1536"/>
      <c r="C1879" s="1537"/>
      <c r="D1879" s="1537"/>
      <c r="E1879" s="1803" t="s">
        <v>5678</v>
      </c>
      <c r="F1879" s="1763">
        <f>$L$5</f>
        <v>0.06</v>
      </c>
      <c r="G1879" s="1746"/>
      <c r="H1879" s="1796"/>
      <c r="I1879" s="1796">
        <f>SUM(I1877:I1878)*F1879</f>
        <v>1081.39378398804</v>
      </c>
    </row>
    <row r="1880" spans="1:12" ht="14.25">
      <c r="B1880" s="1540"/>
      <c r="C1880" s="1541"/>
      <c r="D1880" s="1541"/>
      <c r="E1880" s="1801" t="s">
        <v>5679</v>
      </c>
      <c r="F1880" s="1791"/>
      <c r="G1880" s="1759"/>
      <c r="H1880" s="1802"/>
      <c r="I1880" s="1802">
        <f>SUM(I1877:I1879)</f>
        <v>19104.62351712204</v>
      </c>
    </row>
    <row r="1881" spans="1:12" ht="15">
      <c r="B1881" s="1536"/>
      <c r="C1881" s="1537"/>
      <c r="D1881" s="1537"/>
      <c r="E1881" s="1803" t="s">
        <v>5680</v>
      </c>
      <c r="F1881" s="1765">
        <f>$M$5</f>
        <v>0.1</v>
      </c>
      <c r="G1881" s="1746"/>
      <c r="H1881" s="1796"/>
      <c r="I1881" s="1796">
        <f>I1880*F1881</f>
        <v>1910.4623517122041</v>
      </c>
    </row>
    <row r="1882" spans="1:12" ht="14.25">
      <c r="B1882" s="1540"/>
      <c r="C1882" s="1541"/>
      <c r="D1882" s="1541"/>
      <c r="E1882" s="1801" t="s">
        <v>5681</v>
      </c>
      <c r="F1882" s="1791"/>
      <c r="G1882" s="1759"/>
      <c r="H1882" s="1802"/>
      <c r="I1882" s="1802">
        <f>SUM(I1880:I1881)</f>
        <v>21015.085868834245</v>
      </c>
    </row>
    <row r="1883" spans="1:12" ht="12.75">
      <c r="B1883" s="1536"/>
      <c r="C1883" s="1537"/>
      <c r="D1883" s="1537"/>
      <c r="E1883" s="1464" t="s">
        <v>5682</v>
      </c>
      <c r="F1883" s="1535">
        <f>$N$5</f>
        <v>0.01</v>
      </c>
      <c r="G1883" s="1538"/>
      <c r="H1883" s="1539"/>
      <c r="I1883" s="1539">
        <f>I1882*F1883</f>
        <v>210.15085868834245</v>
      </c>
    </row>
    <row r="1884" spans="1:12" ht="14.25">
      <c r="B1884" s="2116"/>
      <c r="C1884" s="1544"/>
      <c r="D1884" s="2116"/>
      <c r="E1884" s="2117" t="s">
        <v>5683</v>
      </c>
      <c r="F1884" s="2115"/>
      <c r="G1884" s="2117"/>
      <c r="H1884" s="2118"/>
      <c r="I1884" s="2110">
        <f>ROUND(I1882+I1883,-2)</f>
        <v>21200</v>
      </c>
    </row>
    <row r="1885" spans="1:12" ht="14.25">
      <c r="A1885" s="657">
        <v>1</v>
      </c>
      <c r="B1885" s="1546">
        <f>IF(A1885&lt;&gt;0,COUNTA(A$7:$A1885),"")</f>
        <v>103</v>
      </c>
      <c r="C1885" s="1547">
        <f>'8.Dgia'!C1323</f>
        <v>1777</v>
      </c>
      <c r="D1885" s="1547" t="str">
        <f>'8.Dgia'!D1323</f>
        <v>BB.13205</v>
      </c>
      <c r="E1885" s="1740" t="str">
        <f>'8.Dgia'!E1323</f>
        <v>Ống gang thoát nước D170/150</v>
      </c>
      <c r="F1885" s="1789" t="s">
        <v>543</v>
      </c>
      <c r="G1885" s="1742">
        <f>'8.Dgia'!H1323</f>
        <v>0</v>
      </c>
      <c r="H1885" s="1795"/>
      <c r="I1885" s="1795"/>
      <c r="J1885" s="842">
        <f>+I1886</f>
        <v>525903.54509599996</v>
      </c>
      <c r="K1885" s="842">
        <f>+I1891</f>
        <v>121775.38239999999</v>
      </c>
    </row>
    <row r="1886" spans="1:12" s="700" customFormat="1" ht="15">
      <c r="B1886" s="1536" t="str">
        <f>'8.Dgia'!B1324</f>
        <v/>
      </c>
      <c r="C1886" s="1537">
        <f>'8.Dgia'!C1324</f>
        <v>0</v>
      </c>
      <c r="D1886" s="1537">
        <f>'8.Dgia'!D1324</f>
        <v>0</v>
      </c>
      <c r="E1886" s="1744" t="str">
        <f>'8.Dgia'!E1324</f>
        <v xml:space="preserve">  A - Vật liệu</v>
      </c>
      <c r="F1886" s="1763">
        <f>'8.Dgia'!G1324</f>
        <v>0</v>
      </c>
      <c r="G1886" s="1746">
        <f>'8.Dgia'!H1324</f>
        <v>0</v>
      </c>
      <c r="H1886" s="1796"/>
      <c r="I1886" s="1797">
        <f>+SUM(I1887:I1890)</f>
        <v>525903.54509599996</v>
      </c>
      <c r="J1886" s="832"/>
      <c r="K1886" s="832"/>
      <c r="L1886" s="832"/>
    </row>
    <row r="1887" spans="1:12" s="700" customFormat="1" ht="15">
      <c r="B1887" s="1536" t="str">
        <f>'8.Dgia'!B1325</f>
        <v/>
      </c>
      <c r="C1887" s="1537">
        <f>'8.Dgia'!C1325</f>
        <v>0</v>
      </c>
      <c r="D1887" s="1537">
        <f>'8.Dgia'!D1325</f>
        <v>0</v>
      </c>
      <c r="E1887" s="1749" t="str">
        <f>'8.Dgia'!E1325</f>
        <v>Ống gang thoát nước D170/150</v>
      </c>
      <c r="F1887" s="1763" t="str">
        <f>'8.Dgia'!G1325</f>
        <v>m</v>
      </c>
      <c r="G1887" s="1746">
        <f>'8.Dgia'!H1325/100</f>
        <v>1.0049999999999999</v>
      </c>
      <c r="H1887" s="1796">
        <f>GVL!$I$132</f>
        <v>520000</v>
      </c>
      <c r="I1887" s="1796">
        <f>H1887*G1887</f>
        <v>522599.99999999994</v>
      </c>
      <c r="J1887" s="832"/>
      <c r="K1887" s="832"/>
      <c r="L1887" s="832"/>
    </row>
    <row r="1888" spans="1:12" s="700" customFormat="1" ht="15">
      <c r="B1888" s="1536" t="str">
        <f>'8.Dgia'!B1326</f>
        <v/>
      </c>
      <c r="C1888" s="1537">
        <f>'8.Dgia'!C1326</f>
        <v>0</v>
      </c>
      <c r="D1888" s="1537">
        <f>'8.Dgia'!D1326</f>
        <v>0</v>
      </c>
      <c r="E1888" s="1749" t="str">
        <f>'8.Dgia'!E1326</f>
        <v>Gioăng cao su</v>
      </c>
      <c r="F1888" s="1763" t="s">
        <v>567</v>
      </c>
      <c r="G1888" s="1746">
        <f>'8.Dgia'!H1326/100</f>
        <v>0.16</v>
      </c>
      <c r="H1888" s="1796">
        <f>GVL!$I$95</f>
        <v>20000</v>
      </c>
      <c r="I1888" s="1796">
        <f>H1888*G1888</f>
        <v>3200</v>
      </c>
      <c r="J1888" s="832"/>
      <c r="K1888" s="832"/>
      <c r="L1888" s="832"/>
    </row>
    <row r="1889" spans="1:12" s="700" customFormat="1" ht="15">
      <c r="B1889" s="1536" t="str">
        <f>'8.Dgia'!B1327</f>
        <v/>
      </c>
      <c r="C1889" s="1537">
        <f>'8.Dgia'!C1327</f>
        <v>0</v>
      </c>
      <c r="D1889" s="1537">
        <f>'8.Dgia'!D1327</f>
        <v>0</v>
      </c>
      <c r="E1889" s="1749" t="str">
        <f>'8.Dgia'!E1327</f>
        <v>Mỡ bôi trơn</v>
      </c>
      <c r="F1889" s="1763" t="str">
        <f>'8.Dgia'!G1327</f>
        <v>kg</v>
      </c>
      <c r="G1889" s="1746">
        <f>'8.Dgia'!H1327/100</f>
        <v>3.4999999999999996E-3</v>
      </c>
      <c r="H1889" s="1796">
        <f>GVL!$I$119</f>
        <v>14560</v>
      </c>
      <c r="I1889" s="1796">
        <f>H1889*G1889</f>
        <v>50.959999999999994</v>
      </c>
      <c r="J1889" s="832"/>
      <c r="K1889" s="832"/>
      <c r="L1889" s="832"/>
    </row>
    <row r="1890" spans="1:12" s="700" customFormat="1" ht="15">
      <c r="B1890" s="1536" t="str">
        <f>'8.Dgia'!B1328</f>
        <v/>
      </c>
      <c r="C1890" s="1537">
        <f>'8.Dgia'!C1328</f>
        <v>0</v>
      </c>
      <c r="D1890" s="1537">
        <f>'8.Dgia'!D1328</f>
        <v>0</v>
      </c>
      <c r="E1890" s="1749" t="str">
        <f>'8.Dgia'!E1328</f>
        <v>Vật liệu khác</v>
      </c>
      <c r="F1890" s="1763" t="str">
        <f>'8.Dgia'!G1328</f>
        <v>%</v>
      </c>
      <c r="G1890" s="1746">
        <f>'8.Dgia'!H1328</f>
        <v>0.01</v>
      </c>
      <c r="H1890" s="1796">
        <f>SUM(I1887:I1889)</f>
        <v>525850.96</v>
      </c>
      <c r="I1890" s="1796">
        <f>H1890*G1890%</f>
        <v>52.585096</v>
      </c>
      <c r="J1890" s="832"/>
      <c r="K1890" s="832"/>
      <c r="L1890" s="832"/>
    </row>
    <row r="1891" spans="1:12" ht="15">
      <c r="B1891" s="1536" t="str">
        <f>'8.Dgia'!B1329</f>
        <v/>
      </c>
      <c r="C1891" s="1537">
        <f>'8.Dgia'!C1329</f>
        <v>0</v>
      </c>
      <c r="D1891" s="1537">
        <f>'8.Dgia'!D1329</f>
        <v>0</v>
      </c>
      <c r="E1891" s="1744" t="str">
        <f>'8.Dgia'!E1329</f>
        <v xml:space="preserve">  B - Nhân công 3.5/7</v>
      </c>
      <c r="F1891" s="1745" t="s">
        <v>552</v>
      </c>
      <c r="G1891" s="1746">
        <f>'8.Dgia'!H1329/100</f>
        <v>0.51639999999999997</v>
      </c>
      <c r="H1891" s="1796">
        <f>'16.NC'!$H$16</f>
        <v>235816</v>
      </c>
      <c r="I1891" s="1798">
        <f>H1891*G1891</f>
        <v>121775.38239999999</v>
      </c>
    </row>
    <row r="1892" spans="1:12" s="658" customFormat="1" ht="15">
      <c r="B1892" s="1675"/>
      <c r="C1892" s="1676"/>
      <c r="D1892" s="1676"/>
      <c r="E1892" s="1800" t="s">
        <v>5675</v>
      </c>
      <c r="F1892" s="1763">
        <f>$J$5</f>
        <v>0.02</v>
      </c>
      <c r="G1892" s="1754"/>
      <c r="H1892" s="1799"/>
      <c r="I1892" s="1799">
        <f>( I1886+I1891 )*F1892</f>
        <v>12953.578549919999</v>
      </c>
      <c r="J1892" s="850"/>
      <c r="K1892" s="850"/>
      <c r="L1892" s="850"/>
    </row>
    <row r="1893" spans="1:12" ht="15">
      <c r="B1893" s="1540"/>
      <c r="C1893" s="1541"/>
      <c r="D1893" s="1541"/>
      <c r="E1893" s="1801" t="s">
        <v>5676</v>
      </c>
      <c r="F1893" s="1763"/>
      <c r="G1893" s="1759"/>
      <c r="H1893" s="1802"/>
      <c r="I1893" s="1802">
        <f>I1892+I1892/F1892</f>
        <v>660632.50604591996</v>
      </c>
    </row>
    <row r="1894" spans="1:12" ht="15">
      <c r="B1894" s="1536"/>
      <c r="C1894" s="1537"/>
      <c r="D1894" s="1537"/>
      <c r="E1894" s="1803" t="s">
        <v>5677</v>
      </c>
      <c r="F1894" s="1763">
        <f>$K$5</f>
        <v>5.5E-2</v>
      </c>
      <c r="G1894" s="1746"/>
      <c r="H1894" s="1796"/>
      <c r="I1894" s="1796">
        <f>I1893*F1894</f>
        <v>36334.787832525595</v>
      </c>
    </row>
    <row r="1895" spans="1:12" ht="15">
      <c r="B1895" s="1536"/>
      <c r="C1895" s="1537"/>
      <c r="D1895" s="1537"/>
      <c r="E1895" s="1803" t="s">
        <v>5678</v>
      </c>
      <c r="F1895" s="1763">
        <f>$L$5</f>
        <v>0.06</v>
      </c>
      <c r="G1895" s="1746"/>
      <c r="H1895" s="1796"/>
      <c r="I1895" s="1796">
        <f>SUM(I1893:I1894)*F1895</f>
        <v>41818.037632706728</v>
      </c>
    </row>
    <row r="1896" spans="1:12" ht="14.25">
      <c r="B1896" s="1540"/>
      <c r="C1896" s="1541"/>
      <c r="D1896" s="1541"/>
      <c r="E1896" s="1801" t="s">
        <v>5679</v>
      </c>
      <c r="F1896" s="1791"/>
      <c r="G1896" s="1759"/>
      <c r="H1896" s="1802"/>
      <c r="I1896" s="1802">
        <f>SUM(I1893:I1895)</f>
        <v>738785.33151115221</v>
      </c>
    </row>
    <row r="1897" spans="1:12" ht="15">
      <c r="B1897" s="1536"/>
      <c r="C1897" s="1537"/>
      <c r="D1897" s="1537"/>
      <c r="E1897" s="1803" t="s">
        <v>5680</v>
      </c>
      <c r="F1897" s="1765">
        <f>$M$5</f>
        <v>0.1</v>
      </c>
      <c r="G1897" s="1746"/>
      <c r="H1897" s="1796"/>
      <c r="I1897" s="1796">
        <f>I1896*F1897</f>
        <v>73878.533151115218</v>
      </c>
    </row>
    <row r="1898" spans="1:12" ht="14.25">
      <c r="B1898" s="1540"/>
      <c r="C1898" s="1541"/>
      <c r="D1898" s="1541"/>
      <c r="E1898" s="1801" t="s">
        <v>5681</v>
      </c>
      <c r="F1898" s="1791"/>
      <c r="G1898" s="1759"/>
      <c r="H1898" s="1802"/>
      <c r="I1898" s="1802">
        <f>SUM(I1896:I1897)</f>
        <v>812663.86466226738</v>
      </c>
    </row>
    <row r="1899" spans="1:12" ht="12.75">
      <c r="B1899" s="1536"/>
      <c r="C1899" s="1537"/>
      <c r="D1899" s="1537"/>
      <c r="E1899" s="1464" t="s">
        <v>5682</v>
      </c>
      <c r="F1899" s="1535">
        <f>$N$5</f>
        <v>0.01</v>
      </c>
      <c r="G1899" s="1538"/>
      <c r="H1899" s="1539"/>
      <c r="I1899" s="1539">
        <f>I1898*F1899</f>
        <v>8126.6386466226741</v>
      </c>
    </row>
    <row r="1900" spans="1:12" ht="14.25">
      <c r="B1900" s="2116"/>
      <c r="C1900" s="1544"/>
      <c r="D1900" s="2116"/>
      <c r="E1900" s="2117" t="s">
        <v>5683</v>
      </c>
      <c r="F1900" s="2115"/>
      <c r="G1900" s="2117"/>
      <c r="H1900" s="2118"/>
      <c r="I1900" s="2110">
        <f>ROUND(I1898+I1899,-2)</f>
        <v>820800</v>
      </c>
    </row>
    <row r="1901" spans="1:12" ht="24">
      <c r="A1901" s="657">
        <v>1</v>
      </c>
      <c r="B1901" s="1546">
        <f>IF(A1901&lt;&gt;0,COUNTA(A$7:$A1901),"")</f>
        <v>104</v>
      </c>
      <c r="C1901" s="1550">
        <f>'8.Dgia'!C1330</f>
        <v>1776</v>
      </c>
      <c r="D1901" s="1550" t="str">
        <f>'8.Dgia'!D1330</f>
        <v>AG.42111vd</v>
      </c>
      <c r="E1901" s="1766" t="s">
        <v>5877</v>
      </c>
      <c r="F1901" s="1763" t="s">
        <v>567</v>
      </c>
      <c r="G1901" s="1768">
        <f>'8.Dgia'!H1330</f>
        <v>0</v>
      </c>
      <c r="H1901" s="1823"/>
      <c r="I1901" s="1823"/>
      <c r="K1901" s="842">
        <f>+I1902</f>
        <v>38523.599999999999</v>
      </c>
    </row>
    <row r="1902" spans="1:12" s="658" customFormat="1" ht="15">
      <c r="B1902" s="1551" t="str">
        <f>'8.Dgia'!B1331</f>
        <v/>
      </c>
      <c r="C1902" s="1552">
        <f>'8.Dgia'!C1331</f>
        <v>0</v>
      </c>
      <c r="D1902" s="1552">
        <f>'8.Dgia'!D1331</f>
        <v>0</v>
      </c>
      <c r="E1902" s="1770" t="str">
        <f>'8.Dgia'!E1331</f>
        <v xml:space="preserve">  B - Nhân công 4.0/7</v>
      </c>
      <c r="F1902" s="1745" t="s">
        <v>552</v>
      </c>
      <c r="G1902" s="1772">
        <f>'8.Dgia'!H1331</f>
        <v>0.15</v>
      </c>
      <c r="H1902" s="1824">
        <f>'16.NC'!$H$18</f>
        <v>256824</v>
      </c>
      <c r="I1902" s="1826">
        <f>H1902*G1902</f>
        <v>38523.599999999999</v>
      </c>
      <c r="J1902" s="850"/>
      <c r="K1902" s="850"/>
      <c r="L1902" s="850"/>
    </row>
    <row r="1903" spans="1:12" s="658" customFormat="1" ht="15">
      <c r="B1903" s="1677"/>
      <c r="C1903" s="1678"/>
      <c r="D1903" s="1678"/>
      <c r="E1903" s="1828" t="s">
        <v>5675</v>
      </c>
      <c r="F1903" s="1786">
        <f>$J$5</f>
        <v>0.02</v>
      </c>
      <c r="G1903" s="1780"/>
      <c r="H1903" s="1829"/>
      <c r="I1903" s="1830">
        <f>( I1902 )*F1903</f>
        <v>770.47199999999998</v>
      </c>
      <c r="J1903" s="850"/>
      <c r="K1903" s="850"/>
      <c r="L1903" s="850"/>
    </row>
    <row r="1904" spans="1:12" ht="15">
      <c r="B1904" s="1556"/>
      <c r="C1904" s="1557"/>
      <c r="D1904" s="1557"/>
      <c r="E1904" s="1831" t="s">
        <v>5676</v>
      </c>
      <c r="F1904" s="1786"/>
      <c r="G1904" s="1783"/>
      <c r="H1904" s="1832"/>
      <c r="I1904" s="1833">
        <f>I1903+I1903/F1903</f>
        <v>39294.072</v>
      </c>
    </row>
    <row r="1905" spans="1:12" ht="15">
      <c r="B1905" s="1551"/>
      <c r="C1905" s="1552"/>
      <c r="D1905" s="1552"/>
      <c r="E1905" s="1834" t="s">
        <v>5677</v>
      </c>
      <c r="F1905" s="1786">
        <f>$K$5</f>
        <v>5.5E-2</v>
      </c>
      <c r="G1905" s="1772"/>
      <c r="H1905" s="1824"/>
      <c r="I1905" s="1835">
        <f>I1904*F1905</f>
        <v>2161.1739600000001</v>
      </c>
    </row>
    <row r="1906" spans="1:12" ht="15">
      <c r="B1906" s="1551"/>
      <c r="C1906" s="1552"/>
      <c r="D1906" s="1552"/>
      <c r="E1906" s="1834" t="s">
        <v>5678</v>
      </c>
      <c r="F1906" s="1786">
        <f>$L$5</f>
        <v>0.06</v>
      </c>
      <c r="G1906" s="1772"/>
      <c r="H1906" s="1824"/>
      <c r="I1906" s="1835">
        <f>SUM(I1904:I1905)*F1906</f>
        <v>2487.3147576000001</v>
      </c>
    </row>
    <row r="1907" spans="1:12" ht="14.25">
      <c r="B1907" s="1556"/>
      <c r="C1907" s="1557"/>
      <c r="D1907" s="1557"/>
      <c r="E1907" s="1831" t="s">
        <v>5679</v>
      </c>
      <c r="F1907" s="1787"/>
      <c r="G1907" s="1783"/>
      <c r="H1907" s="1832"/>
      <c r="I1907" s="1833">
        <f>SUM(I1904:I1906)</f>
        <v>43942.560717599998</v>
      </c>
    </row>
    <row r="1908" spans="1:12" ht="15">
      <c r="B1908" s="1551"/>
      <c r="C1908" s="1552"/>
      <c r="D1908" s="1552"/>
      <c r="E1908" s="1834" t="s">
        <v>5680</v>
      </c>
      <c r="F1908" s="1788">
        <f>$M$5</f>
        <v>0.1</v>
      </c>
      <c r="G1908" s="1772"/>
      <c r="H1908" s="1824"/>
      <c r="I1908" s="1835">
        <f>I1907*F1908</f>
        <v>4394.2560717599999</v>
      </c>
    </row>
    <row r="1909" spans="1:12" ht="14.25">
      <c r="B1909" s="1556"/>
      <c r="C1909" s="1557"/>
      <c r="D1909" s="1557"/>
      <c r="E1909" s="1831" t="s">
        <v>5681</v>
      </c>
      <c r="F1909" s="1787"/>
      <c r="G1909" s="1783"/>
      <c r="H1909" s="1832"/>
      <c r="I1909" s="1833">
        <f>SUM(I1907:I1908)</f>
        <v>48336.816789359997</v>
      </c>
    </row>
    <row r="1910" spans="1:12" ht="12.75">
      <c r="B1910" s="1551"/>
      <c r="C1910" s="1552"/>
      <c r="D1910" s="1552"/>
      <c r="E1910" s="1558" t="s">
        <v>5682</v>
      </c>
      <c r="F1910" s="1560">
        <f>$N$5</f>
        <v>0.01</v>
      </c>
      <c r="G1910" s="1553"/>
      <c r="H1910" s="1554"/>
      <c r="I1910" s="1559">
        <f>I1909*F1910</f>
        <v>483.3681678936</v>
      </c>
    </row>
    <row r="1911" spans="1:12" ht="14.25">
      <c r="B1911" s="2123"/>
      <c r="C1911" s="1561"/>
      <c r="D1911" s="2124"/>
      <c r="E1911" s="2112" t="s">
        <v>5683</v>
      </c>
      <c r="F1911" s="2113"/>
      <c r="G1911" s="2125"/>
      <c r="H1911" s="2126"/>
      <c r="I1911" s="2110">
        <f>ROUND(I1909+I1910,-2)</f>
        <v>48800</v>
      </c>
    </row>
    <row r="1912" spans="1:12" ht="14.25">
      <c r="A1912" s="657">
        <v>1</v>
      </c>
      <c r="B1912" s="1546">
        <f>IF(A1912&lt;&gt;0,COUNTA(A$7:$A1912),"")</f>
        <v>105</v>
      </c>
      <c r="C1912" s="1547">
        <f>'8.Dgia'!C1332</f>
        <v>1776</v>
      </c>
      <c r="D1912" s="1547" t="str">
        <f>'8.Dgia'!D1332</f>
        <v>AE.34210</v>
      </c>
      <c r="E1912" s="1740" t="str">
        <f>'8.Dgia'!E1332</f>
        <v>Xây gạch đỡ rãnh thoát nước</v>
      </c>
      <c r="F1912" s="1789" t="str">
        <f>'8.Dgia'!G1332</f>
        <v>m3</v>
      </c>
      <c r="G1912" s="1742">
        <f>'8.Dgia'!H1332</f>
        <v>0</v>
      </c>
      <c r="H1912" s="1795"/>
      <c r="I1912" s="1795"/>
      <c r="J1912" s="842">
        <f>+I1913</f>
        <v>926216.29866018507</v>
      </c>
      <c r="K1912" s="842">
        <f>+I1917</f>
        <v>825356</v>
      </c>
    </row>
    <row r="1913" spans="1:12" ht="15">
      <c r="B1913" s="1536" t="str">
        <f>'8.Dgia'!B1333</f>
        <v/>
      </c>
      <c r="C1913" s="1537">
        <f>'8.Dgia'!C1333</f>
        <v>0</v>
      </c>
      <c r="D1913" s="1537">
        <f>'8.Dgia'!D1333</f>
        <v>0</v>
      </c>
      <c r="E1913" s="1744" t="str">
        <f>'8.Dgia'!E1333</f>
        <v xml:space="preserve">  A - Vật liệu</v>
      </c>
      <c r="F1913" s="1763">
        <f>'8.Dgia'!G1333</f>
        <v>0</v>
      </c>
      <c r="G1913" s="1746">
        <f>'8.Dgia'!H1333</f>
        <v>0</v>
      </c>
      <c r="H1913" s="1796"/>
      <c r="I1913" s="1797">
        <f>SUM(I1914:I1916)</f>
        <v>926216.29866018507</v>
      </c>
    </row>
    <row r="1914" spans="1:12" ht="15">
      <c r="B1914" s="1536" t="str">
        <f>'8.Dgia'!B1334</f>
        <v/>
      </c>
      <c r="C1914" s="1537">
        <f>'8.Dgia'!C1334</f>
        <v>0</v>
      </c>
      <c r="D1914" s="1537">
        <f>'8.Dgia'!D1334</f>
        <v>0</v>
      </c>
      <c r="E1914" s="1749" t="str">
        <f>'8.Dgia'!E1334</f>
        <v>Gạch thẻ 40x80x190</v>
      </c>
      <c r="F1914" s="1763" t="str">
        <f>'8.Dgia'!G1334</f>
        <v>viên</v>
      </c>
      <c r="G1914" s="1982">
        <f>'8.Dgia'!H1334</f>
        <v>810</v>
      </c>
      <c r="H1914" s="1796">
        <f>GVL!$I$90</f>
        <v>800</v>
      </c>
      <c r="I1914" s="1796">
        <f>H1914*G1914</f>
        <v>648000</v>
      </c>
    </row>
    <row r="1915" spans="1:12" ht="15">
      <c r="B1915" s="1536" t="str">
        <f>'8.Dgia'!B1335</f>
        <v/>
      </c>
      <c r="C1915" s="1537">
        <f>'8.Dgia'!C1335</f>
        <v>0</v>
      </c>
      <c r="D1915" s="1537" t="str">
        <f>'8.Dgia'!D1335</f>
        <v>B2215</v>
      </c>
      <c r="E1915" s="1749" t="str">
        <f>'8.Dgia'!E1335</f>
        <v>Vữa xi măng C10</v>
      </c>
      <c r="F1915" s="1763" t="str">
        <f>'8.Dgia'!G1335</f>
        <v>m3</v>
      </c>
      <c r="G1915" s="1746">
        <f>'8.Dgia'!H1335</f>
        <v>0.37</v>
      </c>
      <c r="H1915" s="1796">
        <f>GVL!$I$205</f>
        <v>599153.14975303912</v>
      </c>
      <c r="I1915" s="1796">
        <f>H1915*G1915</f>
        <v>221686.66540862448</v>
      </c>
    </row>
    <row r="1916" spans="1:12" ht="15">
      <c r="B1916" s="1536" t="str">
        <f>'8.Dgia'!B1336</f>
        <v/>
      </c>
      <c r="C1916" s="1537">
        <f>'8.Dgia'!C1336</f>
        <v>0</v>
      </c>
      <c r="D1916" s="1537">
        <f>'8.Dgia'!D1336</f>
        <v>0</v>
      </c>
      <c r="E1916" s="1749" t="str">
        <f>'8.Dgia'!E1336</f>
        <v>Vật liệu khác</v>
      </c>
      <c r="F1916" s="1763" t="str">
        <f>'8.Dgia'!G1336</f>
        <v>%</v>
      </c>
      <c r="G1916" s="1954">
        <f>'8.Dgia'!H1336</f>
        <v>6.5</v>
      </c>
      <c r="H1916" s="1796">
        <f>SUM(I1914:I1915)</f>
        <v>869686.66540862445</v>
      </c>
      <c r="I1916" s="1796">
        <f>H1916*G1916%</f>
        <v>56529.63325156059</v>
      </c>
    </row>
    <row r="1917" spans="1:12" ht="15">
      <c r="B1917" s="1536" t="str">
        <f>'8.Dgia'!B1337</f>
        <v/>
      </c>
      <c r="C1917" s="1537">
        <f>'8.Dgia'!C1337</f>
        <v>0</v>
      </c>
      <c r="D1917" s="1537">
        <f>'8.Dgia'!D1337</f>
        <v>0</v>
      </c>
      <c r="E1917" s="1744" t="str">
        <f>'8.Dgia'!E1337</f>
        <v xml:space="preserve">  B - Nhân công 3.5/7</v>
      </c>
      <c r="F1917" s="1745" t="s">
        <v>552</v>
      </c>
      <c r="G1917" s="1954">
        <f>'8.Dgia'!H1337</f>
        <v>3.5</v>
      </c>
      <c r="H1917" s="1796">
        <f>'16.NC'!$H$16</f>
        <v>235816</v>
      </c>
      <c r="I1917" s="1798">
        <f>H1917*G1917</f>
        <v>825356</v>
      </c>
    </row>
    <row r="1918" spans="1:12" s="658" customFormat="1" ht="15">
      <c r="B1918" s="1675"/>
      <c r="C1918" s="1676"/>
      <c r="D1918" s="1676"/>
      <c r="E1918" s="1800" t="s">
        <v>5675</v>
      </c>
      <c r="F1918" s="1763">
        <f>$J$5</f>
        <v>0.02</v>
      </c>
      <c r="G1918" s="1754"/>
      <c r="H1918" s="1799"/>
      <c r="I1918" s="1799">
        <f>(I1913+ I1917 )*F1918</f>
        <v>35031.445973203707</v>
      </c>
      <c r="J1918" s="850"/>
      <c r="K1918" s="850"/>
      <c r="L1918" s="850"/>
    </row>
    <row r="1919" spans="1:12" ht="15">
      <c r="B1919" s="1540"/>
      <c r="C1919" s="1541"/>
      <c r="D1919" s="1541"/>
      <c r="E1919" s="1801" t="s">
        <v>5676</v>
      </c>
      <c r="F1919" s="1763"/>
      <c r="G1919" s="1759"/>
      <c r="H1919" s="1802"/>
      <c r="I1919" s="1802">
        <f>I1918+I1918/F1918</f>
        <v>1786603.7446333889</v>
      </c>
    </row>
    <row r="1920" spans="1:12" ht="15">
      <c r="B1920" s="1536"/>
      <c r="C1920" s="1537"/>
      <c r="D1920" s="1537"/>
      <c r="E1920" s="1803" t="s">
        <v>5677</v>
      </c>
      <c r="F1920" s="1763">
        <f>$K$5</f>
        <v>5.5E-2</v>
      </c>
      <c r="G1920" s="1746"/>
      <c r="H1920" s="1796"/>
      <c r="I1920" s="1796">
        <f>I1919*F1920</f>
        <v>98263.20595483639</v>
      </c>
    </row>
    <row r="1921" spans="1:12" ht="15">
      <c r="B1921" s="1536"/>
      <c r="C1921" s="1537"/>
      <c r="D1921" s="1537"/>
      <c r="E1921" s="1803" t="s">
        <v>5678</v>
      </c>
      <c r="F1921" s="1763">
        <f>$L$5</f>
        <v>0.06</v>
      </c>
      <c r="G1921" s="1746"/>
      <c r="H1921" s="1796"/>
      <c r="I1921" s="1796">
        <f>SUM(I1919:I1920)*F1921</f>
        <v>113092.01703529352</v>
      </c>
    </row>
    <row r="1922" spans="1:12" ht="14.25">
      <c r="B1922" s="1540"/>
      <c r="C1922" s="1541"/>
      <c r="D1922" s="1541"/>
      <c r="E1922" s="1801" t="s">
        <v>5679</v>
      </c>
      <c r="F1922" s="1791"/>
      <c r="G1922" s="1759"/>
      <c r="H1922" s="1802"/>
      <c r="I1922" s="1802">
        <f>SUM(I1919:I1921)</f>
        <v>1997958.967623519</v>
      </c>
    </row>
    <row r="1923" spans="1:12" ht="15">
      <c r="B1923" s="1536"/>
      <c r="C1923" s="1537"/>
      <c r="D1923" s="1537"/>
      <c r="E1923" s="1803" t="s">
        <v>5680</v>
      </c>
      <c r="F1923" s="1765">
        <f>$M$5</f>
        <v>0.1</v>
      </c>
      <c r="G1923" s="1746"/>
      <c r="H1923" s="1796"/>
      <c r="I1923" s="1796">
        <f>I1922*F1923</f>
        <v>199795.89676235191</v>
      </c>
    </row>
    <row r="1924" spans="1:12" ht="14.25">
      <c r="B1924" s="1540"/>
      <c r="C1924" s="1541"/>
      <c r="D1924" s="1541"/>
      <c r="E1924" s="1801" t="s">
        <v>5681</v>
      </c>
      <c r="F1924" s="1791"/>
      <c r="G1924" s="1759"/>
      <c r="H1924" s="1802"/>
      <c r="I1924" s="1802">
        <f>SUM(I1922:I1923)</f>
        <v>2197754.8643858708</v>
      </c>
    </row>
    <row r="1925" spans="1:12" ht="12.75">
      <c r="B1925" s="1536"/>
      <c r="C1925" s="1537"/>
      <c r="D1925" s="1537"/>
      <c r="E1925" s="1464" t="s">
        <v>5682</v>
      </c>
      <c r="F1925" s="1535">
        <f>$N$5</f>
        <v>0.01</v>
      </c>
      <c r="G1925" s="1538"/>
      <c r="H1925" s="1539"/>
      <c r="I1925" s="1539">
        <f>I1924*F1925</f>
        <v>21977.548643858707</v>
      </c>
    </row>
    <row r="1926" spans="1:12" ht="14.25">
      <c r="B1926" s="2116"/>
      <c r="C1926" s="1544"/>
      <c r="D1926" s="2116"/>
      <c r="E1926" s="2117" t="s">
        <v>5683</v>
      </c>
      <c r="F1926" s="2115"/>
      <c r="G1926" s="2117"/>
      <c r="H1926" s="2118"/>
      <c r="I1926" s="2110">
        <f>ROUND(I1924+I1925,-2)</f>
        <v>2219700</v>
      </c>
    </row>
    <row r="1927" spans="1:12" ht="14.25">
      <c r="A1927" s="657">
        <v>1</v>
      </c>
      <c r="B1927" s="1546">
        <f>IF(A1927&lt;&gt;0,COUNTA(A$7:$A1927),"")</f>
        <v>106</v>
      </c>
      <c r="C1927" s="1547">
        <f>'8.Dgia'!C1338</f>
        <v>1776</v>
      </c>
      <c r="D1927" s="1547" t="str">
        <f>'8.Dgia'!D1338</f>
        <v>BA.14406</v>
      </c>
      <c r="E1927" s="1740" t="str">
        <f>'8.Dgia'!E1338</f>
        <v>Ống dẫn cáp điện PVC D60mm</v>
      </c>
      <c r="F1927" s="1789" t="str">
        <f>'8.Dgia'!G1338</f>
        <v>m</v>
      </c>
      <c r="G1927" s="1742">
        <f>'8.Dgia'!H1338</f>
        <v>0</v>
      </c>
      <c r="H1927" s="1795"/>
      <c r="I1927" s="1795"/>
      <c r="J1927" s="842">
        <f>+I1928</f>
        <v>26509.8</v>
      </c>
      <c r="K1927" s="842">
        <f>+I1931</f>
        <v>108475.36</v>
      </c>
      <c r="L1927" s="842">
        <f>+I1932</f>
        <v>1369.6188</v>
      </c>
    </row>
    <row r="1928" spans="1:12" s="658" customFormat="1" ht="15">
      <c r="B1928" s="1536" t="str">
        <f>'8.Dgia'!B1339</f>
        <v/>
      </c>
      <c r="C1928" s="1537">
        <f>'8.Dgia'!C1339</f>
        <v>0</v>
      </c>
      <c r="D1928" s="1537">
        <f>'8.Dgia'!D1339</f>
        <v>0</v>
      </c>
      <c r="E1928" s="1744" t="str">
        <f>'8.Dgia'!E1339</f>
        <v xml:space="preserve">  A - Vật liệu</v>
      </c>
      <c r="F1928" s="1763">
        <f>'8.Dgia'!G1339</f>
        <v>0</v>
      </c>
      <c r="G1928" s="1746">
        <f>'8.Dgia'!H1339</f>
        <v>0</v>
      </c>
      <c r="H1928" s="1796"/>
      <c r="I1928" s="1797">
        <f>SUM(I1929:I1930)</f>
        <v>26509.8</v>
      </c>
      <c r="J1928" s="850"/>
      <c r="K1928" s="850"/>
      <c r="L1928" s="850"/>
    </row>
    <row r="1929" spans="1:12" ht="15">
      <c r="B1929" s="1536" t="str">
        <f>'8.Dgia'!B1340</f>
        <v/>
      </c>
      <c r="C1929" s="1537">
        <f>'8.Dgia'!C1340</f>
        <v>0</v>
      </c>
      <c r="D1929" s="1537">
        <f>'8.Dgia'!D1340</f>
        <v>0</v>
      </c>
      <c r="E1929" s="1749" t="str">
        <f>'8.Dgia'!E1340</f>
        <v>Ống nhựa D60</v>
      </c>
      <c r="F1929" s="1763" t="str">
        <f>'8.Dgia'!G1340</f>
        <v>m</v>
      </c>
      <c r="G1929" s="1746">
        <f>'8.Dgia'!H1340</f>
        <v>1.02</v>
      </c>
      <c r="H1929" s="1796">
        <f>GVL!$I$136</f>
        <v>22600</v>
      </c>
      <c r="I1929" s="1796">
        <f>H1929*G1929</f>
        <v>23052</v>
      </c>
    </row>
    <row r="1930" spans="1:12" ht="15">
      <c r="B1930" s="1536" t="str">
        <f>'8.Dgia'!B1341</f>
        <v/>
      </c>
      <c r="C1930" s="1537">
        <f>'8.Dgia'!C1341</f>
        <v>0</v>
      </c>
      <c r="D1930" s="1537">
        <f>'8.Dgia'!D1341</f>
        <v>0</v>
      </c>
      <c r="E1930" s="1749" t="str">
        <f>'8.Dgia'!E1341</f>
        <v>Vật liệu khác</v>
      </c>
      <c r="F1930" s="1763" t="str">
        <f>'8.Dgia'!G1341</f>
        <v>%</v>
      </c>
      <c r="G1930" s="1982">
        <f>'8.Dgia'!H1341</f>
        <v>15</v>
      </c>
      <c r="H1930" s="1796">
        <f>I1929</f>
        <v>23052</v>
      </c>
      <c r="I1930" s="1796">
        <f>H1930*G1930%</f>
        <v>3457.7999999999997</v>
      </c>
    </row>
    <row r="1931" spans="1:12" s="658" customFormat="1" ht="15">
      <c r="B1931" s="1536" t="str">
        <f>'8.Dgia'!B1342</f>
        <v/>
      </c>
      <c r="C1931" s="1537">
        <f>'8.Dgia'!C1342</f>
        <v>0</v>
      </c>
      <c r="D1931" s="1537">
        <f>'8.Dgia'!D1342</f>
        <v>0</v>
      </c>
      <c r="E1931" s="1744" t="str">
        <f>'8.Dgia'!E1342</f>
        <v xml:space="preserve">  B - Nhân công 3.5/7</v>
      </c>
      <c r="F1931" s="1745" t="s">
        <v>552</v>
      </c>
      <c r="G1931" s="1746">
        <f>'8.Dgia'!H1342</f>
        <v>0.46</v>
      </c>
      <c r="H1931" s="1796">
        <f>'16.NC'!$H$16</f>
        <v>235816</v>
      </c>
      <c r="I1931" s="1798">
        <f>H1931*G1931</f>
        <v>108475.36</v>
      </c>
      <c r="J1931" s="850"/>
      <c r="K1931" s="850"/>
      <c r="L1931" s="850"/>
    </row>
    <row r="1932" spans="1:12" s="658" customFormat="1" ht="15">
      <c r="B1932" s="1536" t="str">
        <f>'8.Dgia'!B1343</f>
        <v/>
      </c>
      <c r="C1932" s="1537">
        <f>'8.Dgia'!C1343</f>
        <v>0</v>
      </c>
      <c r="D1932" s="1537">
        <f>'8.Dgia'!D1343</f>
        <v>0</v>
      </c>
      <c r="E1932" s="1744" t="str">
        <f>'8.Dgia'!E1343</f>
        <v xml:space="preserve">  C - Máy thi công</v>
      </c>
      <c r="F1932" s="1763">
        <f>'8.Dgia'!G1343</f>
        <v>0</v>
      </c>
      <c r="G1932" s="1746">
        <f>'8.Dgia'!H1343</f>
        <v>0</v>
      </c>
      <c r="H1932" s="1796"/>
      <c r="I1932" s="1799">
        <f>I1933</f>
        <v>1369.6188</v>
      </c>
      <c r="J1932" s="850"/>
      <c r="K1932" s="850"/>
      <c r="L1932" s="850"/>
    </row>
    <row r="1933" spans="1:12" ht="15">
      <c r="B1933" s="1536" t="str">
        <f>'8.Dgia'!B1344</f>
        <v/>
      </c>
      <c r="C1933" s="1537">
        <f>'8.Dgia'!C1344</f>
        <v>0</v>
      </c>
      <c r="D1933" s="1537">
        <f>'8.Dgia'!D1344</f>
        <v>0</v>
      </c>
      <c r="E1933" s="1749" t="str">
        <f>'8.Dgia'!E1344</f>
        <v xml:space="preserve">Máy khoan đất đá &lt;=42mm </v>
      </c>
      <c r="F1933" s="1745" t="s">
        <v>5493</v>
      </c>
      <c r="G1933" s="1746">
        <f>'8.Dgia'!H1344</f>
        <v>0.02</v>
      </c>
      <c r="H1933" s="1796">
        <f>'9.may'!$P$571</f>
        <v>68480.94</v>
      </c>
      <c r="I1933" s="1796">
        <f>H1933*G1933</f>
        <v>1369.6188</v>
      </c>
    </row>
    <row r="1934" spans="1:12" s="658" customFormat="1" ht="15">
      <c r="B1934" s="1675"/>
      <c r="C1934" s="1676"/>
      <c r="D1934" s="1676"/>
      <c r="E1934" s="1800" t="s">
        <v>5675</v>
      </c>
      <c r="F1934" s="1763">
        <f>$J$5</f>
        <v>0.02</v>
      </c>
      <c r="G1934" s="1754"/>
      <c r="H1934" s="1799"/>
      <c r="I1934" s="1799">
        <f>( I1928+I1931+I1932 )*F1934</f>
        <v>2727.0955760000002</v>
      </c>
      <c r="J1934" s="850"/>
      <c r="K1934" s="850"/>
      <c r="L1934" s="850"/>
    </row>
    <row r="1935" spans="1:12" ht="15">
      <c r="B1935" s="1540"/>
      <c r="C1935" s="1541"/>
      <c r="D1935" s="1541"/>
      <c r="E1935" s="1801" t="s">
        <v>5676</v>
      </c>
      <c r="F1935" s="1763"/>
      <c r="G1935" s="1759"/>
      <c r="H1935" s="1802"/>
      <c r="I1935" s="1802">
        <f>I1934+I1934/F1934</f>
        <v>139081.87437599999</v>
      </c>
    </row>
    <row r="1936" spans="1:12" ht="15">
      <c r="B1936" s="1536"/>
      <c r="C1936" s="1537"/>
      <c r="D1936" s="1537"/>
      <c r="E1936" s="1803" t="s">
        <v>5677</v>
      </c>
      <c r="F1936" s="1763">
        <f>$K$5</f>
        <v>5.5E-2</v>
      </c>
      <c r="G1936" s="1746"/>
      <c r="H1936" s="1796"/>
      <c r="I1936" s="1796">
        <f>I1935*F1936</f>
        <v>7649.5030906799993</v>
      </c>
    </row>
    <row r="1937" spans="1:12" ht="15">
      <c r="B1937" s="1536"/>
      <c r="C1937" s="1537"/>
      <c r="D1937" s="1537"/>
      <c r="E1937" s="1803" t="s">
        <v>5678</v>
      </c>
      <c r="F1937" s="1763">
        <f>$L$5</f>
        <v>0.06</v>
      </c>
      <c r="G1937" s="1746"/>
      <c r="H1937" s="1796"/>
      <c r="I1937" s="1796">
        <f>SUM(I1935:I1936)*F1937</f>
        <v>8803.8826480007992</v>
      </c>
    </row>
    <row r="1938" spans="1:12" ht="14.25">
      <c r="B1938" s="1540"/>
      <c r="C1938" s="1541"/>
      <c r="D1938" s="1541"/>
      <c r="E1938" s="1801" t="s">
        <v>5679</v>
      </c>
      <c r="F1938" s="1791"/>
      <c r="G1938" s="1759"/>
      <c r="H1938" s="1802"/>
      <c r="I1938" s="1802">
        <f>SUM(I1935:I1937)</f>
        <v>155535.2601146808</v>
      </c>
    </row>
    <row r="1939" spans="1:12" ht="15">
      <c r="B1939" s="1536"/>
      <c r="C1939" s="1537"/>
      <c r="D1939" s="1537"/>
      <c r="E1939" s="1803" t="s">
        <v>5680</v>
      </c>
      <c r="F1939" s="1765">
        <f>$M$5</f>
        <v>0.1</v>
      </c>
      <c r="G1939" s="1746"/>
      <c r="H1939" s="1796"/>
      <c r="I1939" s="1796">
        <f>I1938*F1939</f>
        <v>15553.52601146808</v>
      </c>
    </row>
    <row r="1940" spans="1:12" ht="14.25">
      <c r="B1940" s="1540"/>
      <c r="C1940" s="1541"/>
      <c r="D1940" s="1541"/>
      <c r="E1940" s="1801" t="s">
        <v>5681</v>
      </c>
      <c r="F1940" s="1791"/>
      <c r="G1940" s="1759"/>
      <c r="H1940" s="1802"/>
      <c r="I1940" s="1802">
        <f>SUM(I1938:I1939)</f>
        <v>171088.78612614889</v>
      </c>
    </row>
    <row r="1941" spans="1:12" ht="12.75">
      <c r="B1941" s="1536"/>
      <c r="C1941" s="1537"/>
      <c r="D1941" s="1537"/>
      <c r="E1941" s="1464" t="s">
        <v>5682</v>
      </c>
      <c r="F1941" s="1535">
        <f>$N$5</f>
        <v>0.01</v>
      </c>
      <c r="G1941" s="1538"/>
      <c r="H1941" s="1539"/>
      <c r="I1941" s="1539">
        <f>I1940*F1941</f>
        <v>1710.887861261489</v>
      </c>
    </row>
    <row r="1942" spans="1:12" ht="14.25">
      <c r="B1942" s="2116"/>
      <c r="C1942" s="1544"/>
      <c r="D1942" s="2116"/>
      <c r="E1942" s="2117" t="s">
        <v>5683</v>
      </c>
      <c r="F1942" s="2115"/>
      <c r="G1942" s="2117"/>
      <c r="H1942" s="2118"/>
      <c r="I1942" s="2110">
        <f>ROUND(I1940+I1941,-2)</f>
        <v>172800</v>
      </c>
    </row>
    <row r="1943" spans="1:12" ht="28.5">
      <c r="A1943" s="657">
        <v>1</v>
      </c>
      <c r="B1943" s="1546">
        <f>IF(A1943&lt;&gt;0,COUNTA(A$7:$A1943),"")</f>
        <v>107</v>
      </c>
      <c r="C1943" s="1547">
        <f>'8.Dgia'!C1345</f>
        <v>1776</v>
      </c>
      <c r="D1943" s="1547" t="str">
        <f>'8.Dgia'!D1345</f>
        <v>AF.32310</v>
      </c>
      <c r="E1943" s="1740" t="str">
        <f>'8.Dgia'!E1345</f>
        <v>Bê tông C30 lan can, lề bộ hành phần đổ tại chỗ</v>
      </c>
      <c r="F1943" s="1789" t="str">
        <f>'8.Dgia'!G1345</f>
        <v>m3</v>
      </c>
      <c r="G1943" s="1742">
        <f>'8.Dgia'!H1345</f>
        <v>0</v>
      </c>
      <c r="H1943" s="1795"/>
      <c r="I1943" s="1795"/>
      <c r="J1943" s="842">
        <f>+I1944</f>
        <v>1159210.5303112168</v>
      </c>
      <c r="K1943" s="842">
        <f>+I1947</f>
        <v>603688.95999999996</v>
      </c>
      <c r="L1943" s="842">
        <f>+I1948</f>
        <v>128461.15041840001</v>
      </c>
    </row>
    <row r="1944" spans="1:12" s="658" customFormat="1" ht="15">
      <c r="B1944" s="1536" t="str">
        <f>'8.Dgia'!B1346</f>
        <v/>
      </c>
      <c r="C1944" s="1537">
        <f>'8.Dgia'!C1346</f>
        <v>0</v>
      </c>
      <c r="D1944" s="1537">
        <f>'8.Dgia'!D1346</f>
        <v>0</v>
      </c>
      <c r="E1944" s="1744" t="str">
        <f>'8.Dgia'!E1346</f>
        <v xml:space="preserve">  A - Vật liệu</v>
      </c>
      <c r="F1944" s="1763">
        <f>'8.Dgia'!G1346</f>
        <v>0</v>
      </c>
      <c r="G1944" s="1746">
        <f>'8.Dgia'!H1346</f>
        <v>0</v>
      </c>
      <c r="H1944" s="1796"/>
      <c r="I1944" s="1797">
        <f>SUM(I1945:I1946)</f>
        <v>1159210.5303112168</v>
      </c>
      <c r="J1944" s="850"/>
      <c r="K1944" s="850"/>
      <c r="L1944" s="850"/>
    </row>
    <row r="1945" spans="1:12" ht="15">
      <c r="B1945" s="1536" t="str">
        <f>'8.Dgia'!B1347</f>
        <v/>
      </c>
      <c r="C1945" s="1537">
        <f>'8.Dgia'!C1347</f>
        <v>0</v>
      </c>
      <c r="D1945" s="1537" t="str">
        <f>'8.Dgia'!D1347</f>
        <v>C3326</v>
      </c>
      <c r="E1945" s="1749" t="str">
        <f>'8.Dgia'!E1347</f>
        <v>Vữa bê tông đá 1x2 C30 SN 14-17</v>
      </c>
      <c r="F1945" s="1763" t="str">
        <f>'8.Dgia'!G1347</f>
        <v>m3</v>
      </c>
      <c r="G1945" s="1746">
        <f>'8.Dgia'!H1347</f>
        <v>1.0149999999999999</v>
      </c>
      <c r="H1945" s="1796">
        <f>GVL!$I$197</f>
        <v>1130771.6239684112</v>
      </c>
      <c r="I1945" s="1796">
        <f>H1945*G1945</f>
        <v>1147733.1983279374</v>
      </c>
    </row>
    <row r="1946" spans="1:12" ht="15">
      <c r="B1946" s="1536" t="str">
        <f>'8.Dgia'!B1348</f>
        <v/>
      </c>
      <c r="C1946" s="1537">
        <f>'8.Dgia'!C1348</f>
        <v>0</v>
      </c>
      <c r="D1946" s="1537">
        <f>'8.Dgia'!D1348</f>
        <v>0</v>
      </c>
      <c r="E1946" s="1749" t="str">
        <f>'8.Dgia'!E1348</f>
        <v>Vật liệu khác</v>
      </c>
      <c r="F1946" s="1763" t="str">
        <f>'8.Dgia'!G1348</f>
        <v>%</v>
      </c>
      <c r="G1946" s="1982">
        <f>'8.Dgia'!H1348</f>
        <v>1</v>
      </c>
      <c r="H1946" s="1796">
        <f>SUM(I1945:I1945)</f>
        <v>1147733.1983279374</v>
      </c>
      <c r="I1946" s="1796">
        <f>H1946*G1946%</f>
        <v>11477.331983279375</v>
      </c>
    </row>
    <row r="1947" spans="1:12" s="658" customFormat="1" ht="15">
      <c r="B1947" s="1536" t="str">
        <f>'8.Dgia'!B1349</f>
        <v/>
      </c>
      <c r="C1947" s="1537">
        <f>'8.Dgia'!C1349</f>
        <v>0</v>
      </c>
      <c r="D1947" s="1537">
        <f>'8.Dgia'!D1349</f>
        <v>0</v>
      </c>
      <c r="E1947" s="1744" t="str">
        <f>'8.Dgia'!E1349</f>
        <v xml:space="preserve">  B - Nhân công 3.5/7</v>
      </c>
      <c r="F1947" s="1745" t="s">
        <v>552</v>
      </c>
      <c r="G1947" s="1746">
        <f>'8.Dgia'!H1349</f>
        <v>2.56</v>
      </c>
      <c r="H1947" s="1796">
        <f>'16.NC'!$H$16</f>
        <v>235816</v>
      </c>
      <c r="I1947" s="1798">
        <f>H1947*G1947</f>
        <v>603688.95999999996</v>
      </c>
      <c r="J1947" s="850"/>
      <c r="K1947" s="850"/>
      <c r="L1947" s="850"/>
    </row>
    <row r="1948" spans="1:12" s="658" customFormat="1" ht="15">
      <c r="B1948" s="1536" t="str">
        <f>'8.Dgia'!B1350</f>
        <v/>
      </c>
      <c r="C1948" s="1537">
        <f>'8.Dgia'!C1350</f>
        <v>0</v>
      </c>
      <c r="D1948" s="1537">
        <f>'8.Dgia'!D1350</f>
        <v>0</v>
      </c>
      <c r="E1948" s="1744" t="str">
        <f>'8.Dgia'!E1350</f>
        <v xml:space="preserve">  C - Máy thi công</v>
      </c>
      <c r="F1948" s="1763">
        <f>'8.Dgia'!G1350</f>
        <v>0</v>
      </c>
      <c r="G1948" s="1746">
        <f>'8.Dgia'!H1350</f>
        <v>0</v>
      </c>
      <c r="H1948" s="1796"/>
      <c r="I1948" s="1799">
        <f>SUM(I1949:I1951)</f>
        <v>128461.15041840001</v>
      </c>
      <c r="J1948" s="850"/>
      <c r="K1948" s="850"/>
      <c r="L1948" s="850"/>
    </row>
    <row r="1949" spans="1:12" ht="15">
      <c r="B1949" s="1536" t="str">
        <f>'8.Dgia'!B1351</f>
        <v/>
      </c>
      <c r="C1949" s="1537">
        <f>'8.Dgia'!C1351</f>
        <v>0</v>
      </c>
      <c r="D1949" s="1537">
        <f>'8.Dgia'!D1351</f>
        <v>0</v>
      </c>
      <c r="E1949" s="1749" t="str">
        <f>'8.Dgia'!E1351</f>
        <v>Máy bơm BT 50m3/h</v>
      </c>
      <c r="F1949" s="1745" t="s">
        <v>5493</v>
      </c>
      <c r="G1949" s="1746">
        <f>'8.Dgia'!H1351</f>
        <v>3.3000000000000002E-2</v>
      </c>
      <c r="H1949" s="1796">
        <f>'9.may'!$P$362</f>
        <v>3446390.13</v>
      </c>
      <c r="I1949" s="1796">
        <f>H1949*G1949</f>
        <v>113730.87429000001</v>
      </c>
    </row>
    <row r="1950" spans="1:12" ht="15">
      <c r="B1950" s="1536" t="str">
        <f>'8.Dgia'!B1352</f>
        <v/>
      </c>
      <c r="C1950" s="1537">
        <f>'8.Dgia'!C1352</f>
        <v>0</v>
      </c>
      <c r="D1950" s="1537">
        <f>'8.Dgia'!D1352</f>
        <v>0</v>
      </c>
      <c r="E1950" s="1749" t="str">
        <f>'8.Dgia'!E1352</f>
        <v>Máy đầm dùi 1.5kw</v>
      </c>
      <c r="F1950" s="1745" t="s">
        <v>5493</v>
      </c>
      <c r="G1950" s="1746">
        <f>'8.Dgia'!H1352</f>
        <v>0.18</v>
      </c>
      <c r="H1950" s="1796">
        <f>'9.may'!$P$382</f>
        <v>74768.797500000001</v>
      </c>
      <c r="I1950" s="1796">
        <f>H1950*G1950</f>
        <v>13458.38355</v>
      </c>
    </row>
    <row r="1951" spans="1:12" ht="15">
      <c r="B1951" s="1536" t="str">
        <f>'8.Dgia'!B1353</f>
        <v/>
      </c>
      <c r="C1951" s="1537">
        <f>'8.Dgia'!C1353</f>
        <v>0</v>
      </c>
      <c r="D1951" s="1537">
        <f>'8.Dgia'!D1353</f>
        <v>0</v>
      </c>
      <c r="E1951" s="1749" t="str">
        <f>'8.Dgia'!E1353</f>
        <v>Máy khác</v>
      </c>
      <c r="F1951" s="1763" t="str">
        <f>'8.Dgia'!G1353</f>
        <v>%</v>
      </c>
      <c r="G1951" s="1982">
        <f>'8.Dgia'!H1353</f>
        <v>1</v>
      </c>
      <c r="H1951" s="1796">
        <f>SUM(I1949:I1950)</f>
        <v>127189.25784000001</v>
      </c>
      <c r="I1951" s="1796">
        <f>H1951*G1951%</f>
        <v>1271.8925784</v>
      </c>
    </row>
    <row r="1952" spans="1:12" s="658" customFormat="1" ht="15">
      <c r="B1952" s="1675"/>
      <c r="C1952" s="1676"/>
      <c r="D1952" s="1676"/>
      <c r="E1952" s="1800" t="s">
        <v>5675</v>
      </c>
      <c r="F1952" s="1763">
        <f>$J$5</f>
        <v>0.02</v>
      </c>
      <c r="G1952" s="1754"/>
      <c r="H1952" s="1799"/>
      <c r="I1952" s="1799">
        <f>( I1944+I1947+I1948 )*F1952</f>
        <v>37827.212814592342</v>
      </c>
      <c r="J1952" s="850"/>
      <c r="K1952" s="850"/>
      <c r="L1952" s="850"/>
    </row>
    <row r="1953" spans="1:12" ht="15">
      <c r="B1953" s="1540"/>
      <c r="C1953" s="1541"/>
      <c r="D1953" s="1541"/>
      <c r="E1953" s="1801" t="s">
        <v>5676</v>
      </c>
      <c r="F1953" s="1763"/>
      <c r="G1953" s="1759"/>
      <c r="H1953" s="1802"/>
      <c r="I1953" s="1802">
        <f>I1952+I1952/F1952</f>
        <v>1929187.8535442094</v>
      </c>
    </row>
    <row r="1954" spans="1:12" ht="15">
      <c r="B1954" s="1536"/>
      <c r="C1954" s="1537"/>
      <c r="D1954" s="1537"/>
      <c r="E1954" s="1803" t="s">
        <v>5677</v>
      </c>
      <c r="F1954" s="1763">
        <f>$K$5</f>
        <v>5.5E-2</v>
      </c>
      <c r="G1954" s="1746"/>
      <c r="H1954" s="1796"/>
      <c r="I1954" s="1796">
        <f>I1953*F1954</f>
        <v>106105.33194493152</v>
      </c>
    </row>
    <row r="1955" spans="1:12" ht="15">
      <c r="B1955" s="1536"/>
      <c r="C1955" s="1537"/>
      <c r="D1955" s="1537"/>
      <c r="E1955" s="1803" t="s">
        <v>5678</v>
      </c>
      <c r="F1955" s="1763">
        <f>$L$5</f>
        <v>0.06</v>
      </c>
      <c r="G1955" s="1746"/>
      <c r="H1955" s="1796"/>
      <c r="I1955" s="1796">
        <f>SUM(I1953:I1954)*F1955</f>
        <v>122117.59112934845</v>
      </c>
    </row>
    <row r="1956" spans="1:12" ht="14.25">
      <c r="B1956" s="1540"/>
      <c r="C1956" s="1541"/>
      <c r="D1956" s="1541"/>
      <c r="E1956" s="1801" t="s">
        <v>5679</v>
      </c>
      <c r="F1956" s="1791"/>
      <c r="G1956" s="1759"/>
      <c r="H1956" s="1802"/>
      <c r="I1956" s="1802">
        <f>SUM(I1953:I1955)</f>
        <v>2157410.7766184895</v>
      </c>
    </row>
    <row r="1957" spans="1:12" ht="15">
      <c r="B1957" s="1536"/>
      <c r="C1957" s="1537"/>
      <c r="D1957" s="1537"/>
      <c r="E1957" s="1803" t="s">
        <v>5680</v>
      </c>
      <c r="F1957" s="1765">
        <f>$M$5</f>
        <v>0.1</v>
      </c>
      <c r="G1957" s="1746"/>
      <c r="H1957" s="1796"/>
      <c r="I1957" s="1796">
        <f>I1956*F1957</f>
        <v>215741.07766184898</v>
      </c>
    </row>
    <row r="1958" spans="1:12" ht="14.25">
      <c r="B1958" s="1540"/>
      <c r="C1958" s="1541"/>
      <c r="D1958" s="1541"/>
      <c r="E1958" s="1801" t="s">
        <v>5681</v>
      </c>
      <c r="F1958" s="1791"/>
      <c r="G1958" s="1759"/>
      <c r="H1958" s="1802"/>
      <c r="I1958" s="1802">
        <f>SUM(I1956:I1957)</f>
        <v>2373151.8542803386</v>
      </c>
    </row>
    <row r="1959" spans="1:12" ht="12.75">
      <c r="B1959" s="1536"/>
      <c r="C1959" s="1537"/>
      <c r="D1959" s="1537"/>
      <c r="E1959" s="1464" t="s">
        <v>5682</v>
      </c>
      <c r="F1959" s="1535">
        <f>$N$5</f>
        <v>0.01</v>
      </c>
      <c r="G1959" s="1538"/>
      <c r="H1959" s="1539"/>
      <c r="I1959" s="1539">
        <f>I1958*F1959</f>
        <v>23731.518542803387</v>
      </c>
    </row>
    <row r="1960" spans="1:12" ht="14.25">
      <c r="B1960" s="2116"/>
      <c r="C1960" s="1544"/>
      <c r="D1960" s="2116"/>
      <c r="E1960" s="2117" t="s">
        <v>5683</v>
      </c>
      <c r="F1960" s="2115"/>
      <c r="G1960" s="2117"/>
      <c r="H1960" s="2118"/>
      <c r="I1960" s="2110">
        <f>ROUND(I1958+I1959,-2)</f>
        <v>2396900</v>
      </c>
    </row>
    <row r="1961" spans="1:12" ht="14.25">
      <c r="A1961" s="657">
        <v>1</v>
      </c>
      <c r="B1961" s="1546">
        <f>IF(A1961&lt;&gt;0,COUNTA(A$7:$A1961),"")</f>
        <v>108</v>
      </c>
      <c r="C1961" s="1547">
        <f>'8.Dgia'!C1362</f>
        <v>1776</v>
      </c>
      <c r="D1961" s="1547" t="str">
        <f>'8.Dgia'!D1362</f>
        <v>AD.26223</v>
      </c>
      <c r="E1961" s="1740" t="str">
        <f>'8.Dgia'!E1362</f>
        <v>Sản xuất bê tông nhựa C12.5</v>
      </c>
      <c r="F1961" s="1789" t="s">
        <v>557</v>
      </c>
      <c r="G1961" s="1742">
        <f>'8.Dgia'!H1362</f>
        <v>0</v>
      </c>
      <c r="H1961" s="1795"/>
      <c r="I1961" s="1795"/>
      <c r="J1961" s="842">
        <f>+I1962</f>
        <v>1294658.9151046437</v>
      </c>
      <c r="K1961" s="842">
        <f>+I1972</f>
        <v>14560.7616</v>
      </c>
      <c r="L1961" s="842">
        <f>+I1973</f>
        <v>133434.75326335529</v>
      </c>
    </row>
    <row r="1962" spans="1:12" ht="15">
      <c r="B1962" s="1536" t="str">
        <f>'8.Dgia'!B1363</f>
        <v/>
      </c>
      <c r="C1962" s="1537">
        <f>'8.Dgia'!C1363</f>
        <v>0</v>
      </c>
      <c r="D1962" s="1537" t="s">
        <v>5869</v>
      </c>
      <c r="E1962" s="1744" t="str">
        <f>'8.Dgia'!E1363</f>
        <v xml:space="preserve">  A - Vật liệu</v>
      </c>
      <c r="F1962" s="1763">
        <f>'8.Dgia'!G1363</f>
        <v>0</v>
      </c>
      <c r="G1962" s="1746">
        <f>'8.Dgia'!H1363</f>
        <v>0</v>
      </c>
      <c r="H1962" s="1796"/>
      <c r="I1962" s="1797">
        <f>SUM(I1963:I1971)</f>
        <v>1294658.9151046437</v>
      </c>
    </row>
    <row r="1963" spans="1:12" ht="15">
      <c r="B1963" s="1536" t="str">
        <f>'8.Dgia'!B1364</f>
        <v/>
      </c>
      <c r="C1963" s="1537">
        <f>'8.Dgia'!C1364</f>
        <v>0</v>
      </c>
      <c r="D1963" s="1537"/>
      <c r="E1963" s="1749" t="str">
        <f>'8.Dgia'!E1364</f>
        <v>Nhựa đường</v>
      </c>
      <c r="F1963" s="1763" t="str">
        <f>'8.Dgia'!G1364</f>
        <v>kg</v>
      </c>
      <c r="G1963" s="1746">
        <f>'8.Dgia'!H1364</f>
        <v>54.532380000000003</v>
      </c>
      <c r="H1963" s="1796">
        <f>GVL!$I$128</f>
        <v>15823.463400000001</v>
      </c>
      <c r="I1963" s="1796">
        <f>H1963*G1963</f>
        <v>862891.11904489214</v>
      </c>
    </row>
    <row r="1964" spans="1:12" ht="15">
      <c r="B1964" s="1536" t="str">
        <f>'8.Dgia'!B1366</f>
        <v/>
      </c>
      <c r="C1964" s="1537">
        <f>'8.Dgia'!C1366</f>
        <v>0</v>
      </c>
      <c r="D1964" s="1537"/>
      <c r="E1964" s="1749" t="str">
        <f>'8.Dgia'!E1366</f>
        <v>Đá 1x1.6 bê tông nhựa</v>
      </c>
      <c r="F1964" s="1763" t="s">
        <v>545</v>
      </c>
      <c r="G1964" s="1746">
        <f>'8.Dgia'!H1366</f>
        <v>0.1216</v>
      </c>
      <c r="H1964" s="1796">
        <f>GVL!$I$57</f>
        <v>364185.41224953817</v>
      </c>
      <c r="I1964" s="1796">
        <f>H1964*G1964</f>
        <v>44284.946129543845</v>
      </c>
    </row>
    <row r="1965" spans="1:12" ht="15">
      <c r="B1965" s="1536" t="str">
        <f>'8.Dgia'!B1368</f>
        <v/>
      </c>
      <c r="C1965" s="1537">
        <f>'8.Dgia'!C1368</f>
        <v>0</v>
      </c>
      <c r="D1965" s="1537"/>
      <c r="E1965" s="1749" t="str">
        <f>'8.Dgia'!E1368</f>
        <v>Đá 0x0.5 bê tông nhựa</v>
      </c>
      <c r="F1965" s="1763" t="str">
        <f>'8.Dgia'!G1368</f>
        <v>m3</v>
      </c>
      <c r="G1965" s="1746">
        <f>'8.Dgia'!H1368</f>
        <v>0.37659999999999999</v>
      </c>
      <c r="H1965" s="1796">
        <f>GVL!$I$55</f>
        <v>342185.41224953817</v>
      </c>
      <c r="I1965" s="1796">
        <f>H1965*G1965</f>
        <v>128867.02625317607</v>
      </c>
    </row>
    <row r="1966" spans="1:12" ht="15">
      <c r="B1966" s="1536" t="str">
        <f>'8.Dgia'!B1370</f>
        <v/>
      </c>
      <c r="C1966" s="1537">
        <f>'8.Dgia'!C1370</f>
        <v>0</v>
      </c>
      <c r="D1966" s="1537"/>
      <c r="E1966" s="1749" t="str">
        <f>'8.Dgia'!E1370</f>
        <v>Đá 0.5x1 bê tông nhựa</v>
      </c>
      <c r="F1966" s="1763" t="str">
        <f>'8.Dgia'!G1370</f>
        <v>m3</v>
      </c>
      <c r="G1966" s="1746">
        <f>'8.Dgia'!H1370</f>
        <v>0.128</v>
      </c>
      <c r="H1966" s="1796">
        <f>GVL!$I$53</f>
        <v>412185.41224953817</v>
      </c>
      <c r="I1966" s="1796">
        <f>H1966*G1966</f>
        <v>52759.732767940885</v>
      </c>
    </row>
    <row r="1967" spans="1:12" ht="15">
      <c r="B1967" s="1536" t="str">
        <f>'8.Dgia'!B1371</f>
        <v/>
      </c>
      <c r="C1967" s="1537">
        <f>'8.Dgia'!C1371</f>
        <v>0</v>
      </c>
      <c r="D1967" s="1537"/>
      <c r="E1967" s="1749" t="str">
        <f>'8.Dgia'!E1371</f>
        <v>Bột đá</v>
      </c>
      <c r="F1967" s="1763" t="str">
        <f>'8.Dgia'!G1371</f>
        <v>kg</v>
      </c>
      <c r="G1967" s="1746">
        <f>'8.Dgia'!H1371</f>
        <v>18.893999999999998</v>
      </c>
      <c r="H1967" s="1796">
        <f>GVL!$I$24</f>
        <v>500</v>
      </c>
      <c r="I1967" s="1796">
        <f>H1967*G1967</f>
        <v>9447</v>
      </c>
    </row>
    <row r="1968" spans="1:12" s="658" customFormat="1" ht="15">
      <c r="B1968" s="1536" t="str">
        <f>'8.Dgia'!B1373</f>
        <v/>
      </c>
      <c r="C1968" s="1537">
        <f>'8.Dgia'!C1373</f>
        <v>0</v>
      </c>
      <c r="D1968" s="1537">
        <f>'8.Dgia'!D1373</f>
        <v>0</v>
      </c>
      <c r="E1968" s="1749" t="str">
        <f>'8.Dgia'!E1373</f>
        <v>Vật liệu phụ</v>
      </c>
      <c r="F1968" s="1763">
        <f>'8.Dgia'!G1373</f>
        <v>0</v>
      </c>
      <c r="G1968" s="1746">
        <f>'8.Dgia'!H1373</f>
        <v>0</v>
      </c>
      <c r="H1968" s="1796"/>
      <c r="I1968" s="1796"/>
      <c r="J1968" s="850"/>
      <c r="K1968" s="850"/>
      <c r="L1968" s="850"/>
    </row>
    <row r="1969" spans="2:12" ht="15">
      <c r="B1969" s="1536" t="str">
        <f>'8.Dgia'!B1374</f>
        <v/>
      </c>
      <c r="C1969" s="1537">
        <f>'8.Dgia'!C1374</f>
        <v>0</v>
      </c>
      <c r="D1969" s="1537">
        <f>'8.Dgia'!D1374</f>
        <v>0</v>
      </c>
      <c r="E1969" s="1749" t="str">
        <f>'8.Dgia'!E1374</f>
        <v>Dầu diesel</v>
      </c>
      <c r="F1969" s="1763" t="str">
        <f>'8.Dgia'!G1374</f>
        <v>kg</v>
      </c>
      <c r="G1969" s="1982">
        <f>'8.Dgia'!H1374</f>
        <v>1.5</v>
      </c>
      <c r="H1969" s="1796">
        <f>GVL!$I$73</f>
        <v>22500</v>
      </c>
      <c r="I1969" s="1796">
        <f>H1969*G1969</f>
        <v>33750</v>
      </c>
    </row>
    <row r="1970" spans="2:12" ht="15">
      <c r="B1970" s="1536" t="str">
        <f>'8.Dgia'!B1375</f>
        <v/>
      </c>
      <c r="C1970" s="1537">
        <f>'8.Dgia'!C1375</f>
        <v>0</v>
      </c>
      <c r="D1970" s="1537">
        <f>'8.Dgia'!D1375</f>
        <v>0</v>
      </c>
      <c r="E1970" s="1749" t="str">
        <f>'8.Dgia'!E1375</f>
        <v>Dầu mazut</v>
      </c>
      <c r="F1970" s="1763" t="str">
        <f>'8.Dgia'!G1375</f>
        <v>kg</v>
      </c>
      <c r="G1970" s="1982">
        <f>'8.Dgia'!H1375</f>
        <v>8.5</v>
      </c>
      <c r="H1970" s="1796">
        <f>GVL!$I$76</f>
        <v>17436.363636363636</v>
      </c>
      <c r="I1970" s="1796">
        <f>H1970*G1970</f>
        <v>148209.09090909091</v>
      </c>
    </row>
    <row r="1971" spans="2:12" ht="15">
      <c r="B1971" s="1536" t="str">
        <f>'8.Dgia'!B1376</f>
        <v/>
      </c>
      <c r="C1971" s="1537">
        <f>'8.Dgia'!C1376</f>
        <v>0</v>
      </c>
      <c r="D1971" s="1537">
        <f>'8.Dgia'!D1376</f>
        <v>0</v>
      </c>
      <c r="E1971" s="1749" t="str">
        <f>'8.Dgia'!E1376</f>
        <v>Dầu bảo ôn</v>
      </c>
      <c r="F1971" s="1763" t="str">
        <f>'8.Dgia'!G1376</f>
        <v>kg</v>
      </c>
      <c r="G1971" s="1746">
        <f>'8.Dgia'!H1376</f>
        <v>0.42499999999999999</v>
      </c>
      <c r="H1971" s="1796">
        <f>GVL!$I$70</f>
        <v>34000</v>
      </c>
      <c r="I1971" s="1796">
        <f>H1971*G1971</f>
        <v>14450</v>
      </c>
    </row>
    <row r="1972" spans="2:12" s="658" customFormat="1" ht="15">
      <c r="B1972" s="1536" t="str">
        <f>'8.Dgia'!B1377</f>
        <v/>
      </c>
      <c r="C1972" s="1537">
        <f>'8.Dgia'!C1377</f>
        <v>0</v>
      </c>
      <c r="D1972" s="1537">
        <f>'8.Dgia'!D1377</f>
        <v>0</v>
      </c>
      <c r="E1972" s="1744" t="str">
        <f>'8.Dgia'!E1377</f>
        <v xml:space="preserve">  B - Nhân công 4.5/7</v>
      </c>
      <c r="F1972" s="1745" t="s">
        <v>552</v>
      </c>
      <c r="G1972" s="1746">
        <f>'8.Dgia'!H1377</f>
        <v>5.28E-2</v>
      </c>
      <c r="H1972" s="1796">
        <f>'16.NC'!$H$20</f>
        <v>275772</v>
      </c>
      <c r="I1972" s="1798">
        <f>H1972*G1972</f>
        <v>14560.7616</v>
      </c>
      <c r="J1972" s="850"/>
      <c r="K1972" s="850"/>
      <c r="L1972" s="850"/>
    </row>
    <row r="1973" spans="2:12" s="658" customFormat="1" ht="15">
      <c r="B1973" s="1536" t="str">
        <f>'8.Dgia'!B1378</f>
        <v/>
      </c>
      <c r="C1973" s="1537">
        <f>'8.Dgia'!C1378</f>
        <v>0</v>
      </c>
      <c r="D1973" s="1537">
        <f>'8.Dgia'!D1378</f>
        <v>0</v>
      </c>
      <c r="E1973" s="1744" t="str">
        <f>'8.Dgia'!E1378</f>
        <v xml:space="preserve">  C - Máy thi công</v>
      </c>
      <c r="F1973" s="1763">
        <f>'8.Dgia'!G1378</f>
        <v>0</v>
      </c>
      <c r="G1973" s="1746">
        <f>'8.Dgia'!H1378</f>
        <v>0</v>
      </c>
      <c r="H1973" s="1796"/>
      <c r="I1973" s="1799">
        <f>SUM(I1974:I1977)</f>
        <v>133434.75326335529</v>
      </c>
      <c r="J1973" s="850"/>
      <c r="K1973" s="850"/>
      <c r="L1973" s="850"/>
    </row>
    <row r="1974" spans="2:12" ht="15">
      <c r="B1974" s="1536" t="str">
        <f>'8.Dgia'!B1379</f>
        <v/>
      </c>
      <c r="C1974" s="1537">
        <f>'8.Dgia'!C1379</f>
        <v>0</v>
      </c>
      <c r="D1974" s="1537">
        <f>'8.Dgia'!D1379</f>
        <v>0</v>
      </c>
      <c r="E1974" s="1749" t="str">
        <f>'8.Dgia'!E1379</f>
        <v>Trạm trộn BTN 50-60T/h</v>
      </c>
      <c r="F1974" s="1745" t="s">
        <v>5493</v>
      </c>
      <c r="G1974" s="1746">
        <f>'8.Dgia'!H1379</f>
        <v>4.6300000000000004E-3</v>
      </c>
      <c r="H1974" s="1796">
        <f>'9.may'!$P$402</f>
        <v>21355788.48</v>
      </c>
      <c r="I1974" s="1796">
        <f>H1974*G1974</f>
        <v>98877.300662400012</v>
      </c>
    </row>
    <row r="1975" spans="2:12" ht="15">
      <c r="B1975" s="1536" t="str">
        <f>'8.Dgia'!B1380</f>
        <v/>
      </c>
      <c r="C1975" s="1537">
        <f>'8.Dgia'!C1380</f>
        <v>0</v>
      </c>
      <c r="D1975" s="1537">
        <f>'8.Dgia'!D1380</f>
        <v>0</v>
      </c>
      <c r="E1975" s="1749" t="str">
        <f>'8.Dgia'!E1380</f>
        <v>Máy đào 1 gàu 2.3m3</v>
      </c>
      <c r="F1975" s="1745" t="s">
        <v>5493</v>
      </c>
      <c r="G1975" s="1746">
        <f>'8.Dgia'!H1380</f>
        <v>4.6300000000000004E-3</v>
      </c>
      <c r="H1975" s="1796">
        <f>'9.may'!$P$31</f>
        <v>5629111.3909090906</v>
      </c>
      <c r="I1975" s="1796">
        <f>H1975*G1975</f>
        <v>26062.785739909094</v>
      </c>
    </row>
    <row r="1976" spans="2:12" ht="15">
      <c r="B1976" s="1536" t="str">
        <f>'8.Dgia'!B1381</f>
        <v/>
      </c>
      <c r="C1976" s="1537">
        <f>'8.Dgia'!C1381</f>
        <v>0</v>
      </c>
      <c r="D1976" s="1537">
        <f>'8.Dgia'!D1381</f>
        <v>0</v>
      </c>
      <c r="E1976" s="1749" t="str">
        <f>'8.Dgia'!E1381</f>
        <v>Máy ủi 110cv</v>
      </c>
      <c r="F1976" s="1745" t="s">
        <v>5493</v>
      </c>
      <c r="G1976" s="1746">
        <f>'8.Dgia'!H1381</f>
        <v>3.0000000000000001E-3</v>
      </c>
      <c r="H1976" s="1796">
        <f>'9.may'!$P$70</f>
        <v>1959433.0499999998</v>
      </c>
      <c r="I1976" s="1796">
        <f>H1976*G1976</f>
        <v>5878.2991499999998</v>
      </c>
    </row>
    <row r="1977" spans="2:12" ht="15">
      <c r="B1977" s="1536" t="str">
        <f>'8.Dgia'!B1382</f>
        <v/>
      </c>
      <c r="C1977" s="1537">
        <f>'8.Dgia'!C1382</f>
        <v>0</v>
      </c>
      <c r="D1977" s="1537">
        <f>'8.Dgia'!D1382</f>
        <v>0</v>
      </c>
      <c r="E1977" s="1749" t="str">
        <f>'8.Dgia'!E1382</f>
        <v>Máy khác</v>
      </c>
      <c r="F1977" s="1763" t="str">
        <f>'8.Dgia'!G1382</f>
        <v>%</v>
      </c>
      <c r="G1977" s="1982">
        <f>'8.Dgia'!H1382</f>
        <v>2</v>
      </c>
      <c r="H1977" s="1796">
        <f>SUM(I1974:I1976)</f>
        <v>130818.3855523091</v>
      </c>
      <c r="I1977" s="1796">
        <f>H1977*G1977%</f>
        <v>2616.3677110461822</v>
      </c>
    </row>
    <row r="1978" spans="2:12" s="658" customFormat="1" ht="15">
      <c r="B1978" s="1675"/>
      <c r="C1978" s="1676"/>
      <c r="D1978" s="1676"/>
      <c r="E1978" s="1800" t="s">
        <v>5675</v>
      </c>
      <c r="F1978" s="1763">
        <f>$J$5</f>
        <v>0.02</v>
      </c>
      <c r="G1978" s="1754"/>
      <c r="H1978" s="1799"/>
      <c r="I1978" s="1799">
        <f>( I1962+I1972+I1973 )*F1978</f>
        <v>28853.08859935998</v>
      </c>
      <c r="J1978" s="850"/>
      <c r="K1978" s="850"/>
      <c r="L1978" s="850"/>
    </row>
    <row r="1979" spans="2:12" ht="15">
      <c r="B1979" s="1540"/>
      <c r="C1979" s="1541"/>
      <c r="D1979" s="1541"/>
      <c r="E1979" s="1801" t="s">
        <v>5676</v>
      </c>
      <c r="F1979" s="1763"/>
      <c r="G1979" s="1759"/>
      <c r="H1979" s="1802"/>
      <c r="I1979" s="1802">
        <f>I1978+I1978/F1978</f>
        <v>1471507.5185673591</v>
      </c>
    </row>
    <row r="1980" spans="2:12" ht="15">
      <c r="B1980" s="1536"/>
      <c r="C1980" s="1537"/>
      <c r="D1980" s="1537"/>
      <c r="E1980" s="1803" t="s">
        <v>5677</v>
      </c>
      <c r="F1980" s="1763">
        <f>$K$5</f>
        <v>5.5E-2</v>
      </c>
      <c r="G1980" s="1746"/>
      <c r="H1980" s="1796"/>
      <c r="I1980" s="1796">
        <f>I1979*F1980</f>
        <v>80932.913521204755</v>
      </c>
    </row>
    <row r="1981" spans="2:12" ht="15">
      <c r="B1981" s="1536"/>
      <c r="C1981" s="1537"/>
      <c r="D1981" s="1537"/>
      <c r="E1981" s="1803" t="s">
        <v>5678</v>
      </c>
      <c r="F1981" s="1763">
        <f>$L$5</f>
        <v>0.06</v>
      </c>
      <c r="G1981" s="1746"/>
      <c r="H1981" s="1796"/>
      <c r="I1981" s="1796">
        <f>SUM(I1979:I1980)*F1981</f>
        <v>93146.42592531383</v>
      </c>
    </row>
    <row r="1982" spans="2:12" ht="14.25">
      <c r="B1982" s="1540"/>
      <c r="C1982" s="1541"/>
      <c r="D1982" s="1541"/>
      <c r="E1982" s="1801" t="s">
        <v>5679</v>
      </c>
      <c r="F1982" s="1791"/>
      <c r="G1982" s="1759"/>
      <c r="H1982" s="1802"/>
      <c r="I1982" s="1802">
        <f>SUM(I1979:I1981)</f>
        <v>1645586.8580138776</v>
      </c>
    </row>
    <row r="1983" spans="2:12" ht="15">
      <c r="B1983" s="1536"/>
      <c r="C1983" s="1537"/>
      <c r="D1983" s="1537"/>
      <c r="E1983" s="1803" t="s">
        <v>5680</v>
      </c>
      <c r="F1983" s="1765">
        <f>$M$5</f>
        <v>0.1</v>
      </c>
      <c r="G1983" s="1746"/>
      <c r="H1983" s="1796"/>
      <c r="I1983" s="1796">
        <f>I1982*F1983</f>
        <v>164558.68580138776</v>
      </c>
    </row>
    <row r="1984" spans="2:12" ht="14.25">
      <c r="B1984" s="1540"/>
      <c r="C1984" s="1541"/>
      <c r="D1984" s="1541"/>
      <c r="E1984" s="1801" t="s">
        <v>5681</v>
      </c>
      <c r="F1984" s="1791"/>
      <c r="G1984" s="1759"/>
      <c r="H1984" s="1802"/>
      <c r="I1984" s="1802">
        <f>SUM(I1982:I1983)</f>
        <v>1810145.5438152654</v>
      </c>
    </row>
    <row r="1985" spans="1:12" ht="12.75">
      <c r="B1985" s="1536"/>
      <c r="C1985" s="1537"/>
      <c r="D1985" s="1537"/>
      <c r="E1985" s="1464" t="s">
        <v>5682</v>
      </c>
      <c r="F1985" s="1535">
        <f>$N$5</f>
        <v>0.01</v>
      </c>
      <c r="G1985" s="1538"/>
      <c r="H1985" s="1539"/>
      <c r="I1985" s="1539">
        <f>I1984*F1985</f>
        <v>18101.455438152654</v>
      </c>
    </row>
    <row r="1986" spans="1:12" ht="14.25">
      <c r="B1986" s="2116"/>
      <c r="C1986" s="1544"/>
      <c r="D1986" s="2116"/>
      <c r="E1986" s="2117" t="s">
        <v>5683</v>
      </c>
      <c r="F1986" s="2115"/>
      <c r="G1986" s="2117"/>
      <c r="H1986" s="2118"/>
      <c r="I1986" s="2110">
        <f>ROUND(I1984+I1985,-2)</f>
        <v>1828200</v>
      </c>
    </row>
    <row r="1987" spans="1:12" s="1336" customFormat="1" ht="14.25">
      <c r="A1987" s="657">
        <v>1</v>
      </c>
      <c r="B1987" s="1546">
        <f>IF(A1987&lt;&gt;0,COUNTA(A$7:$A1987),"")</f>
        <v>109</v>
      </c>
      <c r="C1987" s="1547">
        <f>'8.Dgia'!C1383</f>
        <v>1776</v>
      </c>
      <c r="D1987" s="1547" t="str">
        <f>'8.Dgia'!D1383</f>
        <v>AD.27212</v>
      </c>
      <c r="E1987" s="1740" t="str">
        <f>'8.Dgia'!E1383</f>
        <v>Vận chuyển bê tông nhựa 1km</v>
      </c>
      <c r="F1987" s="1789" t="s">
        <v>557</v>
      </c>
      <c r="G1987" s="1742">
        <f>'8.Dgia'!H1383</f>
        <v>0</v>
      </c>
      <c r="H1987" s="1795"/>
      <c r="I1987" s="1795"/>
      <c r="J1987" s="1425"/>
      <c r="K1987" s="1425"/>
      <c r="L1987" s="1425">
        <f>+I1988</f>
        <v>29556.524107090911</v>
      </c>
    </row>
    <row r="1988" spans="1:12" ht="15">
      <c r="B1988" s="1536" t="str">
        <f>'8.Dgia'!B1384</f>
        <v/>
      </c>
      <c r="C1988" s="1537">
        <f>'8.Dgia'!C1384</f>
        <v>0</v>
      </c>
      <c r="D1988" s="1537">
        <f>'8.Dgia'!D1384</f>
        <v>0</v>
      </c>
      <c r="E1988" s="1744" t="str">
        <f>'8.Dgia'!E1384</f>
        <v xml:space="preserve">  C - Máy thi công</v>
      </c>
      <c r="F1988" s="1763">
        <f>'8.Dgia'!G1384</f>
        <v>0</v>
      </c>
      <c r="G1988" s="1746">
        <f>'8.Dgia'!H1384</f>
        <v>0</v>
      </c>
      <c r="H1988" s="1796"/>
      <c r="I1988" s="1799">
        <f>SUM(I1989:I1989)</f>
        <v>29556.524107090911</v>
      </c>
    </row>
    <row r="1989" spans="1:12" ht="15">
      <c r="B1989" s="1536" t="str">
        <f>'8.Dgia'!B1385</f>
        <v/>
      </c>
      <c r="C1989" s="1537">
        <f>'8.Dgia'!C1385</f>
        <v>0</v>
      </c>
      <c r="D1989" s="1537">
        <f>'8.Dgia'!D1385</f>
        <v>0</v>
      </c>
      <c r="E1989" s="1749" t="str">
        <f>'8.Dgia'!E1385</f>
        <v>Ôtô tự đổ 10T</v>
      </c>
      <c r="F1989" s="1745" t="s">
        <v>5493</v>
      </c>
      <c r="G1989" s="1746">
        <f>'8.Dgia'!H1385</f>
        <v>1.5800000000000002E-2</v>
      </c>
      <c r="H1989" s="1796">
        <f>'9.may'!$P$148</f>
        <v>1870666.0827272725</v>
      </c>
      <c r="I1989" s="1796">
        <f>H1989*G1989</f>
        <v>29556.524107090911</v>
      </c>
    </row>
    <row r="1990" spans="1:12" s="658" customFormat="1" ht="15">
      <c r="B1990" s="1675"/>
      <c r="C1990" s="1676"/>
      <c r="D1990" s="1676"/>
      <c r="E1990" s="1800" t="s">
        <v>5675</v>
      </c>
      <c r="F1990" s="1763">
        <f>$J$5</f>
        <v>0.02</v>
      </c>
      <c r="G1990" s="1754"/>
      <c r="H1990" s="1799"/>
      <c r="I1990" s="1799">
        <f>( I1988 )*F1990</f>
        <v>591.13048214181822</v>
      </c>
      <c r="J1990" s="850"/>
      <c r="K1990" s="850"/>
      <c r="L1990" s="850"/>
    </row>
    <row r="1991" spans="1:12" ht="15">
      <c r="B1991" s="1540"/>
      <c r="C1991" s="1541"/>
      <c r="D1991" s="1541"/>
      <c r="E1991" s="1801" t="s">
        <v>5676</v>
      </c>
      <c r="F1991" s="1763"/>
      <c r="G1991" s="1759"/>
      <c r="H1991" s="1802"/>
      <c r="I1991" s="1802">
        <f>I1990+I1990/F1990</f>
        <v>30147.65458923273</v>
      </c>
    </row>
    <row r="1992" spans="1:12" ht="15">
      <c r="B1992" s="1536"/>
      <c r="C1992" s="1537"/>
      <c r="D1992" s="1537"/>
      <c r="E1992" s="1803" t="s">
        <v>5677</v>
      </c>
      <c r="F1992" s="1763">
        <f>$K$5</f>
        <v>5.5E-2</v>
      </c>
      <c r="G1992" s="1746"/>
      <c r="H1992" s="1796"/>
      <c r="I1992" s="1796">
        <f>I1991*F1992</f>
        <v>1658.1210024078002</v>
      </c>
    </row>
    <row r="1993" spans="1:12" ht="15">
      <c r="B1993" s="1536"/>
      <c r="C1993" s="1537"/>
      <c r="D1993" s="1537"/>
      <c r="E1993" s="1803" t="s">
        <v>5678</v>
      </c>
      <c r="F1993" s="1763">
        <f>$L$5</f>
        <v>0.06</v>
      </c>
      <c r="G1993" s="1746"/>
      <c r="H1993" s="1796"/>
      <c r="I1993" s="1796">
        <f>SUM(I1991:I1992)*F1993</f>
        <v>1908.3465354984316</v>
      </c>
    </row>
    <row r="1994" spans="1:12" ht="14.25">
      <c r="B1994" s="1540"/>
      <c r="C1994" s="1541"/>
      <c r="D1994" s="1541"/>
      <c r="E1994" s="1801" t="s">
        <v>5679</v>
      </c>
      <c r="F1994" s="1791"/>
      <c r="G1994" s="1759"/>
      <c r="H1994" s="1802"/>
      <c r="I1994" s="1802">
        <f>SUM(I1991:I1993)</f>
        <v>33714.122127138959</v>
      </c>
    </row>
    <row r="1995" spans="1:12" ht="15">
      <c r="B1995" s="1536"/>
      <c r="C1995" s="1537"/>
      <c r="D1995" s="1537"/>
      <c r="E1995" s="1803" t="s">
        <v>5680</v>
      </c>
      <c r="F1995" s="1765">
        <f>$M$5</f>
        <v>0.1</v>
      </c>
      <c r="G1995" s="1746"/>
      <c r="H1995" s="1796"/>
      <c r="I1995" s="1796">
        <f>I1994*F1995</f>
        <v>3371.4122127138962</v>
      </c>
    </row>
    <row r="1996" spans="1:12" ht="14.25">
      <c r="B1996" s="1540"/>
      <c r="C1996" s="1541"/>
      <c r="D1996" s="1541"/>
      <c r="E1996" s="1801" t="s">
        <v>5681</v>
      </c>
      <c r="F1996" s="1791"/>
      <c r="G1996" s="1759"/>
      <c r="H1996" s="1802"/>
      <c r="I1996" s="1802">
        <f>SUM(I1994:I1995)</f>
        <v>37085.534339852857</v>
      </c>
    </row>
    <row r="1997" spans="1:12" ht="12.75">
      <c r="B1997" s="1536"/>
      <c r="C1997" s="1537"/>
      <c r="D1997" s="1537"/>
      <c r="E1997" s="1464" t="s">
        <v>5682</v>
      </c>
      <c r="F1997" s="1535">
        <f>$N$5</f>
        <v>0.01</v>
      </c>
      <c r="G1997" s="1538"/>
      <c r="H1997" s="1539"/>
      <c r="I1997" s="1539">
        <f>I1996*F1997</f>
        <v>370.85534339852859</v>
      </c>
    </row>
    <row r="1998" spans="1:12" ht="14.25">
      <c r="B1998" s="2116"/>
      <c r="C1998" s="1544"/>
      <c r="D1998" s="2116"/>
      <c r="E1998" s="2117" t="s">
        <v>5683</v>
      </c>
      <c r="F1998" s="2115"/>
      <c r="G1998" s="2117"/>
      <c r="H1998" s="2118"/>
      <c r="I1998" s="2110">
        <f>ROUND(I1996+I1997,-2)</f>
        <v>37500</v>
      </c>
    </row>
    <row r="1999" spans="1:12" ht="14.25">
      <c r="A1999" s="657">
        <v>1</v>
      </c>
      <c r="B1999" s="1546">
        <f>IF(A1999&lt;&gt;0,COUNTA(A$7:$A1999),"")</f>
        <v>110</v>
      </c>
      <c r="C1999" s="1547">
        <f>'8.Dgia'!C1386</f>
        <v>1776</v>
      </c>
      <c r="D1999" s="1547" t="str">
        <f>'8.Dgia'!D1386</f>
        <v>AD.23233</v>
      </c>
      <c r="E1999" s="1740" t="str">
        <f>'8.Dgia'!E1386</f>
        <v>Trải bê tông nhựa hạt mịn dày 5cm</v>
      </c>
      <c r="F1999" s="1789" t="s">
        <v>548</v>
      </c>
      <c r="G1999" s="1742">
        <f>'8.Dgia'!H1386</f>
        <v>0</v>
      </c>
      <c r="H1999" s="1795"/>
      <c r="I1999" s="1795"/>
      <c r="K1999" s="842">
        <f>+I2000</f>
        <v>4751.2440000000006</v>
      </c>
      <c r="L1999" s="842">
        <f>+I2001</f>
        <v>4071.8112036938173</v>
      </c>
    </row>
    <row r="2000" spans="1:12" s="658" customFormat="1" ht="15">
      <c r="B2000" s="1536" t="str">
        <f>'8.Dgia'!B1387</f>
        <v/>
      </c>
      <c r="C2000" s="1537">
        <f>'8.Dgia'!C1387</f>
        <v>0</v>
      </c>
      <c r="D2000" s="1537">
        <f>'8.Dgia'!D1387</f>
        <v>0</v>
      </c>
      <c r="E2000" s="1744" t="str">
        <f>'8.Dgia'!E1387</f>
        <v xml:space="preserve">  B - Nhân công 4.0/7</v>
      </c>
      <c r="F2000" s="1745" t="s">
        <v>552</v>
      </c>
      <c r="G2000" s="1746">
        <f>'8.Dgia'!H1387/100</f>
        <v>1.8500000000000003E-2</v>
      </c>
      <c r="H2000" s="1796">
        <f>'16.NC'!$H$18</f>
        <v>256824</v>
      </c>
      <c r="I2000" s="1798">
        <f>H2000*G2000</f>
        <v>4751.2440000000006</v>
      </c>
      <c r="J2000" s="850"/>
      <c r="K2000" s="850"/>
      <c r="L2000" s="850"/>
    </row>
    <row r="2001" spans="1:12" s="658" customFormat="1" ht="15">
      <c r="B2001" s="1536" t="str">
        <f>'8.Dgia'!B1388</f>
        <v/>
      </c>
      <c r="C2001" s="1537">
        <f>'8.Dgia'!C1388</f>
        <v>0</v>
      </c>
      <c r="D2001" s="1537">
        <f>'8.Dgia'!D1388</f>
        <v>0</v>
      </c>
      <c r="E2001" s="1744" t="str">
        <f>'8.Dgia'!E1388</f>
        <v xml:space="preserve">  C - Máy thi công</v>
      </c>
      <c r="F2001" s="1763">
        <f>'8.Dgia'!G1388</f>
        <v>0</v>
      </c>
      <c r="G2001" s="1746">
        <f>'8.Dgia'!H1388/100</f>
        <v>0</v>
      </c>
      <c r="H2001" s="1796"/>
      <c r="I2001" s="1799">
        <f>SUM(I2002:I2005)</f>
        <v>4071.8112036938173</v>
      </c>
      <c r="J2001" s="850"/>
      <c r="K2001" s="850"/>
      <c r="L2001" s="850"/>
    </row>
    <row r="2002" spans="1:12" ht="15">
      <c r="B2002" s="1536" t="str">
        <f>'8.Dgia'!B1389</f>
        <v/>
      </c>
      <c r="C2002" s="1537">
        <f>'8.Dgia'!C1389</f>
        <v>0</v>
      </c>
      <c r="D2002" s="1537">
        <f>'8.Dgia'!D1389</f>
        <v>0</v>
      </c>
      <c r="E2002" s="1749" t="str">
        <f>'8.Dgia'!E1389</f>
        <v>Máy rải 130-140cv</v>
      </c>
      <c r="F2002" s="1745" t="s">
        <v>5493</v>
      </c>
      <c r="G2002" s="1746">
        <f>'8.Dgia'!H1389/100</f>
        <v>4.4999999999999999E-4</v>
      </c>
      <c r="H2002" s="1796">
        <f>'9.may'!$P$752</f>
        <v>4352684.9563636361</v>
      </c>
      <c r="I2002" s="1796">
        <f>H2002*G2002</f>
        <v>1958.7082303636362</v>
      </c>
    </row>
    <row r="2003" spans="1:12" ht="15">
      <c r="B2003" s="1536" t="str">
        <f>'8.Dgia'!B1390</f>
        <v/>
      </c>
      <c r="C2003" s="1537">
        <f>'8.Dgia'!C1390</f>
        <v>0</v>
      </c>
      <c r="D2003" s="1537">
        <f>'8.Dgia'!D1390</f>
        <v>0</v>
      </c>
      <c r="E2003" s="1749" t="str">
        <f>'8.Dgia'!E1390</f>
        <v>Máy lu bánh thép 10T</v>
      </c>
      <c r="F2003" s="1745" t="s">
        <v>5493</v>
      </c>
      <c r="G2003" s="1746">
        <f>'8.Dgia'!H1390/100</f>
        <v>1.1999999999999999E-3</v>
      </c>
      <c r="H2003" s="1796">
        <f>'9.may'!$P$122</f>
        <v>950702.42999999993</v>
      </c>
      <c r="I2003" s="1796">
        <f>H2003*G2003</f>
        <v>1140.8429159999998</v>
      </c>
    </row>
    <row r="2004" spans="1:12" ht="15">
      <c r="B2004" s="1536" t="str">
        <f>'8.Dgia'!B1391</f>
        <v/>
      </c>
      <c r="C2004" s="1537">
        <f>'8.Dgia'!C1391</f>
        <v>0</v>
      </c>
      <c r="D2004" s="1537">
        <f>'8.Dgia'!D1391</f>
        <v>0</v>
      </c>
      <c r="E2004" s="1749" t="str">
        <f>'8.Dgia'!E1391</f>
        <v>Lu bánh lốp 16T</v>
      </c>
      <c r="F2004" s="1745" t="s">
        <v>5493</v>
      </c>
      <c r="G2004" s="1746">
        <f>'8.Dgia'!H1391/100</f>
        <v>6.4000000000000005E-4</v>
      </c>
      <c r="H2004" s="1796">
        <f>'9.may'!$P$109</f>
        <v>1394407.2218181817</v>
      </c>
      <c r="I2004" s="1796">
        <f>H2004*G2004</f>
        <v>892.42062196363634</v>
      </c>
    </row>
    <row r="2005" spans="1:12" ht="15">
      <c r="B2005" s="1536" t="str">
        <f>'8.Dgia'!B1392</f>
        <v/>
      </c>
      <c r="C2005" s="1537">
        <f>'8.Dgia'!C1392</f>
        <v>0</v>
      </c>
      <c r="D2005" s="1537">
        <f>'8.Dgia'!D1392</f>
        <v>0</v>
      </c>
      <c r="E2005" s="1749" t="str">
        <f>'8.Dgia'!E1392</f>
        <v>Máy khác</v>
      </c>
      <c r="F2005" s="1763" t="str">
        <f>'8.Dgia'!G1392</f>
        <v>%</v>
      </c>
      <c r="G2005" s="1982">
        <f>'8.Dgia'!H1392</f>
        <v>2</v>
      </c>
      <c r="H2005" s="1796">
        <f>SUM(I2002:I2004)</f>
        <v>3991.971768327272</v>
      </c>
      <c r="I2005" s="1796">
        <f>H2005*G2005%</f>
        <v>79.839435366545445</v>
      </c>
    </row>
    <row r="2006" spans="1:12" s="658" customFormat="1" ht="15">
      <c r="B2006" s="1675"/>
      <c r="C2006" s="1676"/>
      <c r="D2006" s="1676"/>
      <c r="E2006" s="1800" t="s">
        <v>5675</v>
      </c>
      <c r="F2006" s="1763">
        <f>$J$5</f>
        <v>0.02</v>
      </c>
      <c r="G2006" s="1754"/>
      <c r="H2006" s="1799"/>
      <c r="I2006" s="1799">
        <f>( I2000+I2001 )*F2006</f>
        <v>176.46110407387636</v>
      </c>
      <c r="J2006" s="850"/>
      <c r="K2006" s="850"/>
      <c r="L2006" s="850"/>
    </row>
    <row r="2007" spans="1:12" ht="15">
      <c r="B2007" s="1540"/>
      <c r="C2007" s="1541"/>
      <c r="D2007" s="1541"/>
      <c r="E2007" s="1801" t="s">
        <v>5676</v>
      </c>
      <c r="F2007" s="1763"/>
      <c r="G2007" s="1759"/>
      <c r="H2007" s="1802"/>
      <c r="I2007" s="1802">
        <f>I2006+I2006/F2006</f>
        <v>8999.5163077676934</v>
      </c>
    </row>
    <row r="2008" spans="1:12" ht="15">
      <c r="B2008" s="1536"/>
      <c r="C2008" s="1537"/>
      <c r="D2008" s="1537"/>
      <c r="E2008" s="1803" t="s">
        <v>5677</v>
      </c>
      <c r="F2008" s="1763">
        <f>$K$5</f>
        <v>5.5E-2</v>
      </c>
      <c r="G2008" s="1746"/>
      <c r="H2008" s="1796"/>
      <c r="I2008" s="1796">
        <f>I2007*F2008</f>
        <v>494.97339692722312</v>
      </c>
    </row>
    <row r="2009" spans="1:12" ht="15">
      <c r="B2009" s="1536"/>
      <c r="C2009" s="1537"/>
      <c r="D2009" s="1537"/>
      <c r="E2009" s="1803" t="s">
        <v>5678</v>
      </c>
      <c r="F2009" s="1763">
        <f>$L$5</f>
        <v>0.06</v>
      </c>
      <c r="G2009" s="1746"/>
      <c r="H2009" s="1796"/>
      <c r="I2009" s="1796">
        <f>SUM(I2007:I2008)*F2009</f>
        <v>569.66938228169499</v>
      </c>
    </row>
    <row r="2010" spans="1:12" ht="14.25">
      <c r="B2010" s="1540"/>
      <c r="C2010" s="1541"/>
      <c r="D2010" s="1541"/>
      <c r="E2010" s="1801" t="s">
        <v>5679</v>
      </c>
      <c r="F2010" s="1791"/>
      <c r="G2010" s="1759"/>
      <c r="H2010" s="1802"/>
      <c r="I2010" s="1802">
        <f>SUM(I2007:I2009)</f>
        <v>10064.159086976611</v>
      </c>
    </row>
    <row r="2011" spans="1:12" ht="15">
      <c r="B2011" s="1536"/>
      <c r="C2011" s="1537"/>
      <c r="D2011" s="1537"/>
      <c r="E2011" s="1803" t="s">
        <v>5680</v>
      </c>
      <c r="F2011" s="1765">
        <f>$M$5</f>
        <v>0.1</v>
      </c>
      <c r="G2011" s="1746"/>
      <c r="H2011" s="1796"/>
      <c r="I2011" s="1796">
        <f>I2010*F2011</f>
        <v>1006.4159086976612</v>
      </c>
    </row>
    <row r="2012" spans="1:12" ht="14.25">
      <c r="B2012" s="1540"/>
      <c r="C2012" s="1541"/>
      <c r="D2012" s="1541"/>
      <c r="E2012" s="1801" t="s">
        <v>5681</v>
      </c>
      <c r="F2012" s="1791"/>
      <c r="G2012" s="1759"/>
      <c r="H2012" s="1802"/>
      <c r="I2012" s="1802">
        <f>SUM(I2010:I2011)</f>
        <v>11070.574995674273</v>
      </c>
    </row>
    <row r="2013" spans="1:12" ht="12.75">
      <c r="B2013" s="1536"/>
      <c r="C2013" s="1537"/>
      <c r="D2013" s="1537"/>
      <c r="E2013" s="1464" t="s">
        <v>5682</v>
      </c>
      <c r="F2013" s="1535">
        <f>$N$5</f>
        <v>0.01</v>
      </c>
      <c r="G2013" s="1538"/>
      <c r="H2013" s="1539"/>
      <c r="I2013" s="1539">
        <f>I2012*F2013</f>
        <v>110.70574995674274</v>
      </c>
    </row>
    <row r="2014" spans="1:12" ht="14.25">
      <c r="B2014" s="2116"/>
      <c r="C2014" s="1544"/>
      <c r="D2014" s="2116"/>
      <c r="E2014" s="2117" t="s">
        <v>5683</v>
      </c>
      <c r="F2014" s="2115"/>
      <c r="G2014" s="2117"/>
      <c r="H2014" s="2118"/>
      <c r="I2014" s="2110">
        <f>ROUND(I2012+I2013,-2)</f>
        <v>11200</v>
      </c>
    </row>
    <row r="2015" spans="1:12" ht="14.25">
      <c r="A2015" s="657">
        <v>1</v>
      </c>
      <c r="B2015" s="1546">
        <f>IF(A2015&lt;&gt;0,COUNTA(A$7:$A2015),"")</f>
        <v>111</v>
      </c>
      <c r="C2015" s="1547">
        <f>'8.Dgia'!C1393</f>
        <v>1776</v>
      </c>
      <c r="D2015" s="1547" t="str">
        <f>'8.Dgia'!D1393</f>
        <v>AD.24211</v>
      </c>
      <c r="E2015" s="1740" t="str">
        <f>'8.Dgia'!E1393</f>
        <v>Tưới nhựa 0.5kg/m2</v>
      </c>
      <c r="F2015" s="1789" t="s">
        <v>548</v>
      </c>
      <c r="G2015" s="1742">
        <f>'8.Dgia'!H1393</f>
        <v>0</v>
      </c>
      <c r="H2015" s="1795"/>
      <c r="I2015" s="1795"/>
      <c r="J2015" s="842">
        <f>+I2016</f>
        <v>8881.2623479849917</v>
      </c>
      <c r="K2015" s="842">
        <f>+I2019</f>
        <v>740.46223999999995</v>
      </c>
      <c r="L2015" s="842">
        <f>+I2020</f>
        <v>2909.3991583363631</v>
      </c>
    </row>
    <row r="2016" spans="1:12" s="658" customFormat="1" ht="15">
      <c r="B2016" s="1536" t="str">
        <f>'8.Dgia'!B1394</f>
        <v/>
      </c>
      <c r="C2016" s="1537">
        <f>'8.Dgia'!C1394</f>
        <v>0</v>
      </c>
      <c r="D2016" s="1537">
        <f>'8.Dgia'!D1394</f>
        <v>0</v>
      </c>
      <c r="E2016" s="1744" t="str">
        <f>'8.Dgia'!E1394</f>
        <v xml:space="preserve">  A - Vật liệu</v>
      </c>
      <c r="F2016" s="1763">
        <f>'8.Dgia'!G1394</f>
        <v>0</v>
      </c>
      <c r="G2016" s="1746">
        <f>'8.Dgia'!H1394</f>
        <v>0</v>
      </c>
      <c r="H2016" s="1796"/>
      <c r="I2016" s="1797">
        <f>SUM(I2017:I2018)</f>
        <v>8881.2623479849917</v>
      </c>
      <c r="J2016" s="850"/>
      <c r="K2016" s="850"/>
      <c r="L2016" s="850"/>
    </row>
    <row r="2017" spans="2:12" ht="15">
      <c r="B2017" s="1536" t="str">
        <f>'8.Dgia'!B1395</f>
        <v/>
      </c>
      <c r="C2017" s="1537">
        <f>'8.Dgia'!C1395</f>
        <v>0</v>
      </c>
      <c r="D2017" s="1537">
        <f>'8.Dgia'!D1395</f>
        <v>0</v>
      </c>
      <c r="E2017" s="1749" t="str">
        <f>'8.Dgia'!E1395</f>
        <v>Nhựa đường</v>
      </c>
      <c r="F2017" s="1763" t="str">
        <f>'8.Dgia'!G1395</f>
        <v>kg</v>
      </c>
      <c r="G2017" s="1746">
        <f>'8.Dgia'!H1395/100</f>
        <v>0.32322000000000001</v>
      </c>
      <c r="H2017" s="1796">
        <f>GVL!$I$128</f>
        <v>15823.463400000001</v>
      </c>
      <c r="I2017" s="1796">
        <f>H2017*G2017</f>
        <v>5114.4598401480007</v>
      </c>
    </row>
    <row r="2018" spans="2:12" ht="15">
      <c r="B2018" s="1536" t="str">
        <f>'8.Dgia'!B1396</f>
        <v/>
      </c>
      <c r="C2018" s="1537">
        <f>'8.Dgia'!C1396</f>
        <v>0</v>
      </c>
      <c r="D2018" s="1537">
        <f>'8.Dgia'!D1396</f>
        <v>0</v>
      </c>
      <c r="E2018" s="1749" t="str">
        <f>'8.Dgia'!E1396</f>
        <v>Dầu hỏa</v>
      </c>
      <c r="F2018" s="1763" t="str">
        <f>'8.Dgia'!G1396</f>
        <v>kg</v>
      </c>
      <c r="G2018" s="1746">
        <f>'8.Dgia'!H1396/100</f>
        <v>0.1605</v>
      </c>
      <c r="H2018" s="1796">
        <f>GVL!$I$74</f>
        <v>23469.174503657261</v>
      </c>
      <c r="I2018" s="1796">
        <f>H2018*G2018</f>
        <v>3766.8025078369906</v>
      </c>
    </row>
    <row r="2019" spans="2:12" s="658" customFormat="1" ht="15">
      <c r="B2019" s="1536" t="str">
        <f>'8.Dgia'!B1397</f>
        <v/>
      </c>
      <c r="C2019" s="1537">
        <f>'8.Dgia'!C1397</f>
        <v>0</v>
      </c>
      <c r="D2019" s="1537">
        <f>'8.Dgia'!D1397</f>
        <v>0</v>
      </c>
      <c r="E2019" s="1744" t="str">
        <f>'8.Dgia'!E1397</f>
        <v xml:space="preserve">  B - Nhân công 3.5/7</v>
      </c>
      <c r="F2019" s="1745" t="s">
        <v>552</v>
      </c>
      <c r="G2019" s="1746">
        <f>'8.Dgia'!H1397/100</f>
        <v>3.14E-3</v>
      </c>
      <c r="H2019" s="1796">
        <f>'16.NC'!$H$16</f>
        <v>235816</v>
      </c>
      <c r="I2019" s="1798">
        <f>H2019*G2019</f>
        <v>740.46223999999995</v>
      </c>
      <c r="J2019" s="850"/>
      <c r="K2019" s="850"/>
      <c r="L2019" s="850"/>
    </row>
    <row r="2020" spans="2:12" s="658" customFormat="1" ht="15">
      <c r="B2020" s="1536" t="str">
        <f>'8.Dgia'!B1398</f>
        <v/>
      </c>
      <c r="C2020" s="1537">
        <f>'8.Dgia'!C1398</f>
        <v>0</v>
      </c>
      <c r="D2020" s="1537">
        <f>'8.Dgia'!D1398</f>
        <v>0</v>
      </c>
      <c r="E2020" s="1744" t="str">
        <f>'8.Dgia'!E1398</f>
        <v xml:space="preserve">  C - Máy thi công</v>
      </c>
      <c r="F2020" s="1763">
        <f>'8.Dgia'!G1398</f>
        <v>0</v>
      </c>
      <c r="G2020" s="1746">
        <f>'8.Dgia'!H1398/100</f>
        <v>0</v>
      </c>
      <c r="H2020" s="1796"/>
      <c r="I2020" s="1799">
        <f>SUM(I2021:I2023)</f>
        <v>2909.3991583363631</v>
      </c>
      <c r="J2020" s="850"/>
      <c r="K2020" s="850"/>
      <c r="L2020" s="850"/>
    </row>
    <row r="2021" spans="2:12" ht="15">
      <c r="B2021" s="1536" t="str">
        <f>'8.Dgia'!B1399</f>
        <v/>
      </c>
      <c r="C2021" s="1537">
        <f>'8.Dgia'!C1399</f>
        <v>0</v>
      </c>
      <c r="D2021" s="1537">
        <f>'8.Dgia'!D1399</f>
        <v>0</v>
      </c>
      <c r="E2021" s="1749" t="str">
        <f>'8.Dgia'!E1399</f>
        <v>Thiết bị nấu nhựa</v>
      </c>
      <c r="F2021" s="1745" t="s">
        <v>5493</v>
      </c>
      <c r="G2021" s="1746">
        <f>'8.Dgia'!H1399/100</f>
        <v>4.8999999999999998E-4</v>
      </c>
      <c r="H2021" s="1796">
        <f>'9.may'!$P$412</f>
        <v>70884.210000000006</v>
      </c>
      <c r="I2021" s="1796">
        <f>H2021*G2021</f>
        <v>34.7332629</v>
      </c>
    </row>
    <row r="2022" spans="2:12" ht="15" customHeight="1">
      <c r="B2022" s="1536" t="str">
        <f>'8.Dgia'!B1400</f>
        <v/>
      </c>
      <c r="C2022" s="1537">
        <f>'8.Dgia'!C1400</f>
        <v>0</v>
      </c>
      <c r="D2022" s="1537">
        <f>'8.Dgia'!D1400</f>
        <v>0</v>
      </c>
      <c r="E2022" s="1749" t="str">
        <f>'8.Dgia'!E1400</f>
        <v>Máy phun nhựa đường - công suất 190CV</v>
      </c>
      <c r="F2022" s="1745" t="s">
        <v>5493</v>
      </c>
      <c r="G2022" s="1746">
        <f>'8.Dgia'!H1400/100</f>
        <v>9.7999999999999997E-4</v>
      </c>
      <c r="H2022" s="1796">
        <f>'9.may'!$P$405</f>
        <v>2271696.4690909088</v>
      </c>
      <c r="I2022" s="1796">
        <f>H2022*G2022</f>
        <v>2226.2625397090906</v>
      </c>
    </row>
    <row r="2023" spans="2:12" ht="15">
      <c r="B2023" s="1536" t="str">
        <f>'8.Dgia'!B1401</f>
        <v/>
      </c>
      <c r="C2023" s="1537">
        <f>'8.Dgia'!C1401</f>
        <v>0</v>
      </c>
      <c r="D2023" s="1537">
        <f>'8.Dgia'!D1401</f>
        <v>0</v>
      </c>
      <c r="E2023" s="1749" t="str">
        <f>'8.Dgia'!E1401</f>
        <v>Máy nén khí 600m3/h</v>
      </c>
      <c r="F2023" s="1745" t="s">
        <v>5493</v>
      </c>
      <c r="G2023" s="1746">
        <f>'8.Dgia'!H1401/100</f>
        <v>4.8999999999999998E-4</v>
      </c>
      <c r="H2023" s="1796">
        <f>'9.may'!$P$488</f>
        <v>1323272.1545454543</v>
      </c>
      <c r="I2023" s="1796">
        <f>H2023*G2023</f>
        <v>648.40335572727258</v>
      </c>
    </row>
    <row r="2024" spans="2:12" s="658" customFormat="1" ht="15">
      <c r="B2024" s="1675"/>
      <c r="C2024" s="1676"/>
      <c r="D2024" s="1676"/>
      <c r="E2024" s="1800" t="s">
        <v>5675</v>
      </c>
      <c r="F2024" s="1763">
        <f>$J$5</f>
        <v>0.02</v>
      </c>
      <c r="G2024" s="1754"/>
      <c r="H2024" s="1799"/>
      <c r="I2024" s="1799">
        <f>( I2016+I2019+I2020 )*F2024</f>
        <v>250.62247492642709</v>
      </c>
      <c r="J2024" s="850"/>
      <c r="K2024" s="850"/>
      <c r="L2024" s="850"/>
    </row>
    <row r="2025" spans="2:12" ht="15">
      <c r="B2025" s="1540"/>
      <c r="C2025" s="1541"/>
      <c r="D2025" s="1541"/>
      <c r="E2025" s="1801" t="s">
        <v>5676</v>
      </c>
      <c r="F2025" s="1763"/>
      <c r="G2025" s="1759"/>
      <c r="H2025" s="1802"/>
      <c r="I2025" s="1802">
        <f>I2024+I2024/F2024</f>
        <v>12781.746221247782</v>
      </c>
    </row>
    <row r="2026" spans="2:12" ht="15">
      <c r="B2026" s="1536"/>
      <c r="C2026" s="1537"/>
      <c r="D2026" s="1537"/>
      <c r="E2026" s="1803" t="s">
        <v>5677</v>
      </c>
      <c r="F2026" s="1763">
        <f>$K$5</f>
        <v>5.5E-2</v>
      </c>
      <c r="G2026" s="1746"/>
      <c r="H2026" s="1796"/>
      <c r="I2026" s="1796">
        <f>I2025*F2026</f>
        <v>702.99604216862804</v>
      </c>
    </row>
    <row r="2027" spans="2:12" ht="15">
      <c r="B2027" s="1536"/>
      <c r="C2027" s="1537"/>
      <c r="D2027" s="1537"/>
      <c r="E2027" s="1803" t="s">
        <v>5678</v>
      </c>
      <c r="F2027" s="1763">
        <f>$L$5</f>
        <v>0.06</v>
      </c>
      <c r="G2027" s="1746"/>
      <c r="H2027" s="1796"/>
      <c r="I2027" s="1796">
        <f>SUM(I2025:I2026)*F2027</f>
        <v>809.08453580498463</v>
      </c>
    </row>
    <row r="2028" spans="2:12" ht="14.25">
      <c r="B2028" s="1540"/>
      <c r="C2028" s="1541"/>
      <c r="D2028" s="1541"/>
      <c r="E2028" s="1801" t="s">
        <v>5679</v>
      </c>
      <c r="F2028" s="1791"/>
      <c r="G2028" s="1759"/>
      <c r="H2028" s="1802"/>
      <c r="I2028" s="1802">
        <f>SUM(I2025:I2027)</f>
        <v>14293.826799221395</v>
      </c>
    </row>
    <row r="2029" spans="2:12" ht="15">
      <c r="B2029" s="1536"/>
      <c r="C2029" s="1537"/>
      <c r="D2029" s="1537"/>
      <c r="E2029" s="1803" t="s">
        <v>5680</v>
      </c>
      <c r="F2029" s="1765">
        <f>$M$5</f>
        <v>0.1</v>
      </c>
      <c r="G2029" s="1746"/>
      <c r="H2029" s="1796"/>
      <c r="I2029" s="1796">
        <f>I2028*F2029</f>
        <v>1429.3826799221397</v>
      </c>
    </row>
    <row r="2030" spans="2:12" ht="14.25">
      <c r="B2030" s="1540"/>
      <c r="C2030" s="1541"/>
      <c r="D2030" s="1541"/>
      <c r="E2030" s="1801" t="s">
        <v>5681</v>
      </c>
      <c r="F2030" s="1791"/>
      <c r="G2030" s="1759"/>
      <c r="H2030" s="1802"/>
      <c r="I2030" s="1802">
        <f>SUM(I2028:I2029)</f>
        <v>15723.209479143534</v>
      </c>
    </row>
    <row r="2031" spans="2:12" ht="12.75">
      <c r="B2031" s="1536"/>
      <c r="C2031" s="1537"/>
      <c r="D2031" s="1537"/>
      <c r="E2031" s="1464" t="s">
        <v>5682</v>
      </c>
      <c r="F2031" s="1535">
        <f>$N$5</f>
        <v>0.01</v>
      </c>
      <c r="G2031" s="1538"/>
      <c r="H2031" s="1539"/>
      <c r="I2031" s="1539">
        <f>I2030*F2031</f>
        <v>157.23209479143534</v>
      </c>
    </row>
    <row r="2032" spans="2:12" ht="14.25">
      <c r="B2032" s="2116"/>
      <c r="C2032" s="1544"/>
      <c r="D2032" s="2116"/>
      <c r="E2032" s="2117" t="s">
        <v>5683</v>
      </c>
      <c r="F2032" s="2115"/>
      <c r="G2032" s="2117"/>
      <c r="H2032" s="2118"/>
      <c r="I2032" s="2110">
        <f>ROUND(I2030+I2031,-2)</f>
        <v>15900</v>
      </c>
    </row>
    <row r="2033" spans="1:12" ht="14.25">
      <c r="A2033" s="657">
        <v>1</v>
      </c>
      <c r="B2033" s="1546">
        <f>IF(A2033&lt;&gt;0,COUNTA(A$7:$A2033),"")</f>
        <v>112</v>
      </c>
      <c r="C2033" s="1550">
        <f>'8.Dgia'!C1402</f>
        <v>1776</v>
      </c>
      <c r="D2033" s="1550" t="str">
        <f>'8.Dgia'!D1402</f>
        <v>AD.81310</v>
      </c>
      <c r="E2033" s="1766" t="str">
        <f>'8.Dgia'!E1402</f>
        <v>Sản xuất biển báo hiệu đường sông</v>
      </c>
      <c r="F2033" s="1794" t="str">
        <f>'8.Dgia'!G1402</f>
        <v>m2</v>
      </c>
      <c r="G2033" s="1768">
        <f>'8.Dgia'!H1402</f>
        <v>0</v>
      </c>
      <c r="H2033" s="1823"/>
      <c r="I2033" s="1836"/>
      <c r="J2033" s="842">
        <f>+I2034</f>
        <v>592291.06307485164</v>
      </c>
      <c r="K2033" s="842">
        <f>+I2043</f>
        <v>937624.79999999993</v>
      </c>
      <c r="L2033" s="842">
        <f>+I2044</f>
        <v>38401.479240749999</v>
      </c>
    </row>
    <row r="2034" spans="1:12" s="658" customFormat="1" ht="15">
      <c r="B2034" s="1551" t="str">
        <f>'8.Dgia'!B1403</f>
        <v/>
      </c>
      <c r="C2034" s="1552">
        <f>'8.Dgia'!C1403</f>
        <v>0</v>
      </c>
      <c r="D2034" s="1552">
        <f>'8.Dgia'!D1403</f>
        <v>0</v>
      </c>
      <c r="E2034" s="1770" t="str">
        <f>'8.Dgia'!E1403</f>
        <v xml:space="preserve">  A - Vật liệu</v>
      </c>
      <c r="F2034" s="1786">
        <f>'8.Dgia'!G1403</f>
        <v>0</v>
      </c>
      <c r="G2034" s="1772">
        <f>'8.Dgia'!H1403</f>
        <v>0</v>
      </c>
      <c r="H2034" s="1824"/>
      <c r="I2034" s="1825">
        <f>SUM(I2035:I2042)</f>
        <v>592291.06307485164</v>
      </c>
      <c r="J2034" s="850"/>
      <c r="K2034" s="850"/>
      <c r="L2034" s="850"/>
    </row>
    <row r="2035" spans="1:12" ht="15">
      <c r="B2035" s="1551" t="str">
        <f>'8.Dgia'!B1404</f>
        <v/>
      </c>
      <c r="C2035" s="1552">
        <f>'8.Dgia'!C1404</f>
        <v>0</v>
      </c>
      <c r="D2035" s="1552">
        <f>'8.Dgia'!D1404</f>
        <v>0</v>
      </c>
      <c r="E2035" s="1775" t="str">
        <f>'8.Dgia'!E1404</f>
        <v>Thép tấm</v>
      </c>
      <c r="F2035" s="1786" t="str">
        <f>'8.Dgia'!G1404</f>
        <v>kg</v>
      </c>
      <c r="G2035" s="1966">
        <f>'8.Dgia'!H1404</f>
        <v>27.5</v>
      </c>
      <c r="H2035" s="1824">
        <f>GVL!$I$175</f>
        <v>12871.348287272725</v>
      </c>
      <c r="I2035" s="1824">
        <f t="shared" ref="I2035:I2041" si="13">H2035*G2035</f>
        <v>353962.07789999997</v>
      </c>
    </row>
    <row r="2036" spans="1:12" ht="15">
      <c r="B2036" s="1551" t="str">
        <f>'8.Dgia'!B1405</f>
        <v/>
      </c>
      <c r="C2036" s="1552">
        <f>'8.Dgia'!C1405</f>
        <v>0</v>
      </c>
      <c r="D2036" s="1552">
        <f>'8.Dgia'!D1405</f>
        <v>0</v>
      </c>
      <c r="E2036" s="1775" t="str">
        <f>'8.Dgia'!E1405</f>
        <v>Thép hình</v>
      </c>
      <c r="F2036" s="1786" t="str">
        <f>'8.Dgia'!G1405</f>
        <v>kg</v>
      </c>
      <c r="G2036" s="1772">
        <f>'8.Dgia'!H1405</f>
        <v>7.76</v>
      </c>
      <c r="H2036" s="1824">
        <f>GVL!$I$170</f>
        <v>16703.248369172808</v>
      </c>
      <c r="I2036" s="1824">
        <f t="shared" si="13"/>
        <v>129617.207344781</v>
      </c>
    </row>
    <row r="2037" spans="1:12" ht="15">
      <c r="B2037" s="1551" t="str">
        <f>'8.Dgia'!B1406</f>
        <v/>
      </c>
      <c r="C2037" s="1552">
        <f>'8.Dgia'!C1406</f>
        <v>0</v>
      </c>
      <c r="D2037" s="1552">
        <f>'8.Dgia'!D1406</f>
        <v>0</v>
      </c>
      <c r="E2037" s="1775" t="str">
        <f>'8.Dgia'!E1406</f>
        <v>Ô xy</v>
      </c>
      <c r="F2037" s="1763" t="s">
        <v>565</v>
      </c>
      <c r="G2037" s="1772">
        <f>'8.Dgia'!H1406</f>
        <v>0.11</v>
      </c>
      <c r="H2037" s="1824">
        <f>GVL!$I$130</f>
        <v>48000</v>
      </c>
      <c r="I2037" s="1824">
        <f t="shared" si="13"/>
        <v>5280</v>
      </c>
    </row>
    <row r="2038" spans="1:12" ht="15">
      <c r="B2038" s="1551" t="str">
        <f>'8.Dgia'!B1407</f>
        <v/>
      </c>
      <c r="C2038" s="1552">
        <f>'8.Dgia'!C1407</f>
        <v>0</v>
      </c>
      <c r="D2038" s="1552">
        <f>'8.Dgia'!D1407</f>
        <v>0</v>
      </c>
      <c r="E2038" s="1775" t="str">
        <f>'8.Dgia'!E1407</f>
        <v>Gas</v>
      </c>
      <c r="F2038" s="1786" t="str">
        <f>'8.Dgia'!G1407</f>
        <v>kg</v>
      </c>
      <c r="G2038" s="1772">
        <f>'8.Dgia'!H1407</f>
        <v>0.33</v>
      </c>
      <c r="H2038" s="1824">
        <f>GVL!$I$91</f>
        <v>27575.757575757572</v>
      </c>
      <c r="I2038" s="1824">
        <f t="shared" si="13"/>
        <v>9100</v>
      </c>
    </row>
    <row r="2039" spans="1:12" ht="15">
      <c r="B2039" s="1551" t="str">
        <f>'8.Dgia'!B1408</f>
        <v/>
      </c>
      <c r="C2039" s="1552">
        <f>'8.Dgia'!C1408</f>
        <v>0</v>
      </c>
      <c r="D2039" s="1552">
        <f>'8.Dgia'!D1408</f>
        <v>0</v>
      </c>
      <c r="E2039" s="1775" t="str">
        <f>'8.Dgia'!E1408</f>
        <v>Que hàn</v>
      </c>
      <c r="F2039" s="1786" t="str">
        <f>'8.Dgia'!G1408</f>
        <v>kg</v>
      </c>
      <c r="G2039" s="1772">
        <f>'8.Dgia'!H1408</f>
        <v>2.42</v>
      </c>
      <c r="H2039" s="1824">
        <f>GVL!$I$153</f>
        <v>19090.909090909088</v>
      </c>
      <c r="I2039" s="1824">
        <f t="shared" si="13"/>
        <v>46199.999999999993</v>
      </c>
    </row>
    <row r="2040" spans="1:12" ht="15">
      <c r="B2040" s="1551" t="str">
        <f>'8.Dgia'!B1409</f>
        <v/>
      </c>
      <c r="C2040" s="1552">
        <f>'8.Dgia'!C1409</f>
        <v>0</v>
      </c>
      <c r="D2040" s="1552">
        <f>'8.Dgia'!D1409</f>
        <v>0</v>
      </c>
      <c r="E2040" s="1775" t="str">
        <f>'8.Dgia'!E1409</f>
        <v>Sơn chống rỉ</v>
      </c>
      <c r="F2040" s="1786" t="str">
        <f>'8.Dgia'!G1409</f>
        <v>kg</v>
      </c>
      <c r="G2040" s="1772">
        <f>'8.Dgia'!H1409</f>
        <v>0.24</v>
      </c>
      <c r="H2040" s="1824">
        <f>GVL!$I$160</f>
        <v>41169.090909090904</v>
      </c>
      <c r="I2040" s="1824">
        <f t="shared" si="13"/>
        <v>9880.5818181818158</v>
      </c>
    </row>
    <row r="2041" spans="1:12" ht="15">
      <c r="B2041" s="1551" t="str">
        <f>'8.Dgia'!B1410</f>
        <v/>
      </c>
      <c r="C2041" s="1552">
        <f>'8.Dgia'!C1410</f>
        <v>0</v>
      </c>
      <c r="D2041" s="1552">
        <f>'8.Dgia'!D1410</f>
        <v>0</v>
      </c>
      <c r="E2041" s="1775" t="str">
        <f>'8.Dgia'!E1410</f>
        <v>Bu lông M14</v>
      </c>
      <c r="F2041" s="1763" t="s">
        <v>567</v>
      </c>
      <c r="G2041" s="1966">
        <f>'8.Dgia'!H1410</f>
        <v>7</v>
      </c>
      <c r="H2041" s="1824">
        <f>GVL!$I$26</f>
        <v>3000</v>
      </c>
      <c r="I2041" s="1824">
        <f t="shared" si="13"/>
        <v>21000</v>
      </c>
    </row>
    <row r="2042" spans="1:12" ht="15">
      <c r="B2042" s="1551" t="str">
        <f>'8.Dgia'!B1411</f>
        <v/>
      </c>
      <c r="C2042" s="1552">
        <f>'8.Dgia'!C1411</f>
        <v>0</v>
      </c>
      <c r="D2042" s="1552">
        <f>'8.Dgia'!D1411</f>
        <v>0</v>
      </c>
      <c r="E2042" s="1775" t="str">
        <f>'8.Dgia'!E1411</f>
        <v>Vật liệu khác</v>
      </c>
      <c r="F2042" s="1786" t="str">
        <f>'8.Dgia'!G1411</f>
        <v>%</v>
      </c>
      <c r="G2042" s="1966">
        <f>'8.Dgia'!H1411</f>
        <v>3</v>
      </c>
      <c r="H2042" s="1824">
        <f>SUM(I2035:I2041)</f>
        <v>575039.86706296273</v>
      </c>
      <c r="I2042" s="1824">
        <f>H2042*G2042%</f>
        <v>17251.196011888882</v>
      </c>
    </row>
    <row r="2043" spans="1:12" s="658" customFormat="1" ht="15">
      <c r="B2043" s="1551" t="str">
        <f>'8.Dgia'!B1412</f>
        <v/>
      </c>
      <c r="C2043" s="1552">
        <f>'8.Dgia'!C1412</f>
        <v>0</v>
      </c>
      <c r="D2043" s="1552">
        <f>'8.Dgia'!D1412</f>
        <v>0</v>
      </c>
      <c r="E2043" s="1770" t="str">
        <f>'8.Dgia'!E1412</f>
        <v xml:space="preserve">  B - Nhân công 4.5/7</v>
      </c>
      <c r="F2043" s="1745" t="s">
        <v>552</v>
      </c>
      <c r="G2043" s="1772">
        <f>'8.Dgia'!H1412</f>
        <v>3.4</v>
      </c>
      <c r="H2043" s="1824">
        <f>'16.NC'!$H$20</f>
        <v>275772</v>
      </c>
      <c r="I2043" s="1826">
        <f>H2043*G2043</f>
        <v>937624.79999999993</v>
      </c>
      <c r="J2043" s="850"/>
      <c r="K2043" s="850"/>
      <c r="L2043" s="850"/>
    </row>
    <row r="2044" spans="1:12" s="658" customFormat="1" ht="15">
      <c r="B2044" s="1551" t="str">
        <f>'8.Dgia'!B1413</f>
        <v/>
      </c>
      <c r="C2044" s="1552">
        <f>'8.Dgia'!C1413</f>
        <v>0</v>
      </c>
      <c r="D2044" s="1552">
        <f>'8.Dgia'!D1413</f>
        <v>0</v>
      </c>
      <c r="E2044" s="1770" t="str">
        <f>'8.Dgia'!E1413</f>
        <v xml:space="preserve">  C - Máy thi công</v>
      </c>
      <c r="F2044" s="1786">
        <f>'8.Dgia'!G1413</f>
        <v>0</v>
      </c>
      <c r="G2044" s="1772">
        <f>'8.Dgia'!H1413</f>
        <v>0</v>
      </c>
      <c r="H2044" s="1824"/>
      <c r="I2044" s="1827">
        <f>SUM(I2045:I2047)</f>
        <v>38401.479240749999</v>
      </c>
      <c r="J2044" s="850"/>
      <c r="K2044" s="850"/>
      <c r="L2044" s="850"/>
    </row>
    <row r="2045" spans="1:12" ht="15">
      <c r="B2045" s="1551" t="str">
        <f>'8.Dgia'!B1414</f>
        <v/>
      </c>
      <c r="C2045" s="1552">
        <f>'8.Dgia'!C1414</f>
        <v>0</v>
      </c>
      <c r="D2045" s="1552">
        <f>'8.Dgia'!D1414</f>
        <v>0</v>
      </c>
      <c r="E2045" s="1775" t="str">
        <f>'8.Dgia'!E1414</f>
        <v>Máy hàn 23kw</v>
      </c>
      <c r="F2045" s="1745" t="s">
        <v>5493</v>
      </c>
      <c r="G2045" s="1772">
        <f>'8.Dgia'!H1414</f>
        <v>0.19</v>
      </c>
      <c r="H2045" s="1824">
        <f>'9.may'!$P$510</f>
        <v>171649.155</v>
      </c>
      <c r="I2045" s="1824">
        <f>H2045*G2045</f>
        <v>32613.339449999999</v>
      </c>
    </row>
    <row r="2046" spans="1:12" ht="15">
      <c r="B2046" s="1551" t="str">
        <f>'8.Dgia'!B1415</f>
        <v/>
      </c>
      <c r="C2046" s="1552">
        <f>'8.Dgia'!C1415</f>
        <v>0</v>
      </c>
      <c r="D2046" s="1552">
        <f>'8.Dgia'!D1415</f>
        <v>0</v>
      </c>
      <c r="E2046" s="1775" t="str">
        <f>'8.Dgia'!E1415</f>
        <v>Máy khoan 4.5Kw</v>
      </c>
      <c r="F2046" s="1745" t="s">
        <v>5493</v>
      </c>
      <c r="G2046" s="1772">
        <f>'8.Dgia'!H1415</f>
        <v>0.05</v>
      </c>
      <c r="H2046" s="1824">
        <f>'9.may'!$P$529</f>
        <v>108158.5425</v>
      </c>
      <c r="I2046" s="1824">
        <f>H2046*G2046</f>
        <v>5407.9271250000002</v>
      </c>
    </row>
    <row r="2047" spans="1:12" ht="15">
      <c r="B2047" s="1551" t="str">
        <f>'8.Dgia'!B1416</f>
        <v/>
      </c>
      <c r="C2047" s="1552">
        <f>'8.Dgia'!C1416</f>
        <v>0</v>
      </c>
      <c r="D2047" s="1552">
        <f>'8.Dgia'!D1416</f>
        <v>0</v>
      </c>
      <c r="E2047" s="1775" t="str">
        <f>'8.Dgia'!E1416</f>
        <v>Máy khác</v>
      </c>
      <c r="F2047" s="1786" t="str">
        <f>'8.Dgia'!G1416</f>
        <v>%</v>
      </c>
      <c r="G2047" s="1966">
        <f>'8.Dgia'!H1416</f>
        <v>1</v>
      </c>
      <c r="H2047" s="1824">
        <f>SUM(I2045:I2046)</f>
        <v>38021.266575000001</v>
      </c>
      <c r="I2047" s="1824">
        <f>H2047*G2047%</f>
        <v>380.21266575000004</v>
      </c>
    </row>
    <row r="2048" spans="1:12" s="658" customFormat="1" ht="15">
      <c r="B2048" s="1677"/>
      <c r="C2048" s="1678"/>
      <c r="D2048" s="1678"/>
      <c r="E2048" s="1828" t="s">
        <v>5675</v>
      </c>
      <c r="F2048" s="1786">
        <f>$J$5</f>
        <v>0.02</v>
      </c>
      <c r="G2048" s="1780"/>
      <c r="H2048" s="1829"/>
      <c r="I2048" s="1830">
        <f>( I2034+I2043+I2044 )*F2048</f>
        <v>31366.346846312033</v>
      </c>
      <c r="J2048" s="850"/>
      <c r="K2048" s="850"/>
      <c r="L2048" s="850"/>
    </row>
    <row r="2049" spans="1:12" ht="15">
      <c r="B2049" s="1556"/>
      <c r="C2049" s="1557"/>
      <c r="D2049" s="1557"/>
      <c r="E2049" s="1831" t="s">
        <v>5676</v>
      </c>
      <c r="F2049" s="1786"/>
      <c r="G2049" s="1783"/>
      <c r="H2049" s="1832"/>
      <c r="I2049" s="1833">
        <f>I2048+I2048/F2048</f>
        <v>1599683.6891619137</v>
      </c>
    </row>
    <row r="2050" spans="1:12" ht="15">
      <c r="B2050" s="1551"/>
      <c r="C2050" s="1552"/>
      <c r="D2050" s="1552"/>
      <c r="E2050" s="1834" t="s">
        <v>5677</v>
      </c>
      <c r="F2050" s="1786">
        <f>$K$5</f>
        <v>5.5E-2</v>
      </c>
      <c r="G2050" s="1772"/>
      <c r="H2050" s="1824"/>
      <c r="I2050" s="1835">
        <f>I2049*F2050</f>
        <v>87982.602903905252</v>
      </c>
    </row>
    <row r="2051" spans="1:12" ht="15">
      <c r="B2051" s="1551"/>
      <c r="C2051" s="1552"/>
      <c r="D2051" s="1552"/>
      <c r="E2051" s="1834" t="s">
        <v>5678</v>
      </c>
      <c r="F2051" s="1786">
        <f>$L$5</f>
        <v>0.06</v>
      </c>
      <c r="G2051" s="1772"/>
      <c r="H2051" s="1824"/>
      <c r="I2051" s="1835">
        <f>SUM(I2049:I2050)*F2051</f>
        <v>101259.97752394914</v>
      </c>
    </row>
    <row r="2052" spans="1:12" ht="14.25">
      <c r="B2052" s="1556"/>
      <c r="C2052" s="1557"/>
      <c r="D2052" s="1557"/>
      <c r="E2052" s="1831" t="s">
        <v>5679</v>
      </c>
      <c r="F2052" s="1787"/>
      <c r="G2052" s="1783"/>
      <c r="H2052" s="1832"/>
      <c r="I2052" s="1833">
        <f>SUM(I2049:I2051)</f>
        <v>1788926.2695897683</v>
      </c>
    </row>
    <row r="2053" spans="1:12" ht="15">
      <c r="B2053" s="1551"/>
      <c r="C2053" s="1552"/>
      <c r="D2053" s="1552"/>
      <c r="E2053" s="1834" t="s">
        <v>5680</v>
      </c>
      <c r="F2053" s="1788">
        <f>$M$5</f>
        <v>0.1</v>
      </c>
      <c r="G2053" s="1772"/>
      <c r="H2053" s="1824"/>
      <c r="I2053" s="1835">
        <f>I2052*F2053</f>
        <v>178892.62695897685</v>
      </c>
    </row>
    <row r="2054" spans="1:12" ht="14.25">
      <c r="B2054" s="1556"/>
      <c r="C2054" s="1557"/>
      <c r="D2054" s="1557"/>
      <c r="E2054" s="1831" t="s">
        <v>5681</v>
      </c>
      <c r="F2054" s="1787"/>
      <c r="G2054" s="1783"/>
      <c r="H2054" s="1832"/>
      <c r="I2054" s="1833">
        <f>SUM(I2052:I2053)</f>
        <v>1967818.8965487452</v>
      </c>
    </row>
    <row r="2055" spans="1:12" ht="12.75">
      <c r="B2055" s="1551"/>
      <c r="C2055" s="1552"/>
      <c r="D2055" s="1552"/>
      <c r="E2055" s="1558" t="s">
        <v>5682</v>
      </c>
      <c r="F2055" s="1560">
        <f>$N$5</f>
        <v>0.01</v>
      </c>
      <c r="G2055" s="1553"/>
      <c r="H2055" s="1554"/>
      <c r="I2055" s="1559">
        <f>I2054*F2055</f>
        <v>19678.188965487454</v>
      </c>
    </row>
    <row r="2056" spans="1:12" ht="14.25">
      <c r="B2056" s="2123"/>
      <c r="C2056" s="1561"/>
      <c r="D2056" s="2124"/>
      <c r="E2056" s="2112" t="s">
        <v>5683</v>
      </c>
      <c r="F2056" s="2113"/>
      <c r="G2056" s="2125"/>
      <c r="H2056" s="2126"/>
      <c r="I2056" s="2110">
        <f>ROUND(I2054+I2055,-2)</f>
        <v>1987500</v>
      </c>
    </row>
    <row r="2057" spans="1:12" ht="15">
      <c r="A2057" s="657">
        <v>1</v>
      </c>
      <c r="B2057" s="1546">
        <f>IF(A2057&lt;&gt;0,COUNTA(A$7:$A2057),"")</f>
        <v>113</v>
      </c>
      <c r="C2057" s="1550">
        <f>'8.Dgia'!C1417</f>
        <v>1776</v>
      </c>
      <c r="D2057" s="1550" t="str">
        <f>'8.Dgia'!D1417</f>
        <v>AD.82310</v>
      </c>
      <c r="E2057" s="1766" t="str">
        <f>'8.Dgia'!E1417</f>
        <v>Lắp đặt biển báo hiệu đường sông</v>
      </c>
      <c r="F2057" s="1763" t="s">
        <v>567</v>
      </c>
      <c r="G2057" s="1768">
        <f>'8.Dgia'!H1417</f>
        <v>0</v>
      </c>
      <c r="H2057" s="1823"/>
      <c r="I2057" s="1836"/>
      <c r="J2057" s="842">
        <f>+I2058</f>
        <v>197977.61113796887</v>
      </c>
      <c r="K2057" s="842">
        <f>+I2061</f>
        <v>413658</v>
      </c>
    </row>
    <row r="2058" spans="1:12" s="658" customFormat="1" ht="15">
      <c r="B2058" s="1551" t="str">
        <f>'8.Dgia'!B1418</f>
        <v/>
      </c>
      <c r="C2058" s="1552">
        <f>'8.Dgia'!C1418</f>
        <v>0</v>
      </c>
      <c r="D2058" s="1552">
        <f>'8.Dgia'!D1418</f>
        <v>0</v>
      </c>
      <c r="E2058" s="1770" t="str">
        <f>'8.Dgia'!E1418</f>
        <v xml:space="preserve">  A - Vật liệu</v>
      </c>
      <c r="F2058" s="1786">
        <f>'8.Dgia'!G1418</f>
        <v>0</v>
      </c>
      <c r="G2058" s="1772">
        <f>'8.Dgia'!H1418</f>
        <v>0</v>
      </c>
      <c r="H2058" s="1824"/>
      <c r="I2058" s="1825">
        <f>SUM(I2059:I2060)</f>
        <v>197977.61113796887</v>
      </c>
      <c r="J2058" s="850"/>
      <c r="K2058" s="850"/>
      <c r="L2058" s="850"/>
    </row>
    <row r="2059" spans="1:12" ht="15">
      <c r="B2059" s="1551" t="str">
        <f>'8.Dgia'!B1419</f>
        <v/>
      </c>
      <c r="C2059" s="1552">
        <f>'8.Dgia'!C1419</f>
        <v>0</v>
      </c>
      <c r="D2059" s="1552">
        <f>'8.Dgia'!D1419</f>
        <v>0</v>
      </c>
      <c r="E2059" s="1775" t="str">
        <f>'8.Dgia'!E1419</f>
        <v>Thép hình</v>
      </c>
      <c r="F2059" s="1786" t="str">
        <f>'8.Dgia'!G1419</f>
        <v>kg</v>
      </c>
      <c r="G2059" s="1966">
        <f>'8.Dgia'!H1419</f>
        <v>8.5</v>
      </c>
      <c r="H2059" s="1824">
        <f>GVL!$I$170</f>
        <v>16703.248369172808</v>
      </c>
      <c r="I2059" s="1824">
        <f>H2059*G2059</f>
        <v>141977.61113796887</v>
      </c>
    </row>
    <row r="2060" spans="1:12" ht="15">
      <c r="B2060" s="1551" t="str">
        <f>'8.Dgia'!B1420</f>
        <v/>
      </c>
      <c r="C2060" s="1552">
        <f>'8.Dgia'!C1420</f>
        <v>0</v>
      </c>
      <c r="D2060" s="1552">
        <f>'8.Dgia'!D1420</f>
        <v>0</v>
      </c>
      <c r="E2060" s="1775" t="str">
        <f>'8.Dgia'!E1420</f>
        <v>Bu lông M16</v>
      </c>
      <c r="F2060" s="1763" t="s">
        <v>567</v>
      </c>
      <c r="G2060" s="1966">
        <f>'8.Dgia'!H1420</f>
        <v>16</v>
      </c>
      <c r="H2060" s="1824">
        <f>GVL!$I$27</f>
        <v>3500</v>
      </c>
      <c r="I2060" s="1824">
        <f>H2060*G2060</f>
        <v>56000</v>
      </c>
    </row>
    <row r="2061" spans="1:12" ht="15">
      <c r="B2061" s="1551" t="str">
        <f>'8.Dgia'!B1421</f>
        <v/>
      </c>
      <c r="C2061" s="1552">
        <f>'8.Dgia'!C1421</f>
        <v>0</v>
      </c>
      <c r="D2061" s="1552">
        <f>'8.Dgia'!D1421</f>
        <v>0</v>
      </c>
      <c r="E2061" s="1770" t="str">
        <f>'8.Dgia'!E1421</f>
        <v xml:space="preserve">  B - Nhân công 4.5/7</v>
      </c>
      <c r="F2061" s="1745" t="s">
        <v>552</v>
      </c>
      <c r="G2061" s="1965">
        <f>'8.Dgia'!H1421</f>
        <v>1.5</v>
      </c>
      <c r="H2061" s="1824">
        <f>'16.NC'!$H$20</f>
        <v>275772</v>
      </c>
      <c r="I2061" s="1826">
        <f>H2061*G2061</f>
        <v>413658</v>
      </c>
    </row>
    <row r="2062" spans="1:12" s="658" customFormat="1" ht="15">
      <c r="B2062" s="1677"/>
      <c r="C2062" s="1678"/>
      <c r="D2062" s="1678"/>
      <c r="E2062" s="1828" t="s">
        <v>5675</v>
      </c>
      <c r="F2062" s="1786">
        <f>$J$5</f>
        <v>0.02</v>
      </c>
      <c r="G2062" s="1780"/>
      <c r="H2062" s="1829"/>
      <c r="I2062" s="1830">
        <f>( I2058+I2061 )*F2062</f>
        <v>12232.712222759377</v>
      </c>
      <c r="J2062" s="850"/>
      <c r="K2062" s="850"/>
      <c r="L2062" s="850"/>
    </row>
    <row r="2063" spans="1:12" ht="15">
      <c r="B2063" s="1556"/>
      <c r="C2063" s="1557"/>
      <c r="D2063" s="1557"/>
      <c r="E2063" s="1831" t="s">
        <v>5676</v>
      </c>
      <c r="F2063" s="1786"/>
      <c r="G2063" s="1783"/>
      <c r="H2063" s="1832"/>
      <c r="I2063" s="1833">
        <f>I2062+I2062/F2062</f>
        <v>623868.32336072822</v>
      </c>
    </row>
    <row r="2064" spans="1:12" ht="15">
      <c r="B2064" s="1551"/>
      <c r="C2064" s="1552"/>
      <c r="D2064" s="1552"/>
      <c r="E2064" s="1834" t="s">
        <v>5677</v>
      </c>
      <c r="F2064" s="1786">
        <f>$K$5</f>
        <v>5.5E-2</v>
      </c>
      <c r="G2064" s="1772"/>
      <c r="H2064" s="1824"/>
      <c r="I2064" s="1835">
        <f>I2063*F2064</f>
        <v>34312.757784840054</v>
      </c>
    </row>
    <row r="2065" spans="1:12" ht="15">
      <c r="B2065" s="1551"/>
      <c r="C2065" s="1552"/>
      <c r="D2065" s="1552"/>
      <c r="E2065" s="1834" t="s">
        <v>5678</v>
      </c>
      <c r="F2065" s="1786">
        <f>$L$5</f>
        <v>0.06</v>
      </c>
      <c r="G2065" s="1772"/>
      <c r="H2065" s="1824"/>
      <c r="I2065" s="1835">
        <f>SUM(I2063:I2064)*F2065</f>
        <v>39490.864868734097</v>
      </c>
    </row>
    <row r="2066" spans="1:12" ht="14.25">
      <c r="B2066" s="1556"/>
      <c r="C2066" s="1557"/>
      <c r="D2066" s="1557"/>
      <c r="E2066" s="1831" t="s">
        <v>5679</v>
      </c>
      <c r="F2066" s="1787"/>
      <c r="G2066" s="1783"/>
      <c r="H2066" s="1832"/>
      <c r="I2066" s="1833">
        <f>SUM(I2063:I2065)</f>
        <v>697671.94601430243</v>
      </c>
    </row>
    <row r="2067" spans="1:12" ht="15">
      <c r="B2067" s="1551"/>
      <c r="C2067" s="1552"/>
      <c r="D2067" s="1552"/>
      <c r="E2067" s="1834" t="s">
        <v>5680</v>
      </c>
      <c r="F2067" s="1788">
        <f>$M$5</f>
        <v>0.1</v>
      </c>
      <c r="G2067" s="1772"/>
      <c r="H2067" s="1824"/>
      <c r="I2067" s="1835">
        <f>I2066*F2067</f>
        <v>69767.194601430252</v>
      </c>
    </row>
    <row r="2068" spans="1:12" ht="14.25">
      <c r="B2068" s="1556"/>
      <c r="C2068" s="1557"/>
      <c r="D2068" s="1557"/>
      <c r="E2068" s="1831" t="s">
        <v>5681</v>
      </c>
      <c r="F2068" s="1787"/>
      <c r="G2068" s="1783"/>
      <c r="H2068" s="1832"/>
      <c r="I2068" s="1833">
        <f>SUM(I2066:I2067)</f>
        <v>767439.14061573264</v>
      </c>
    </row>
    <row r="2069" spans="1:12" ht="12.75">
      <c r="B2069" s="1551"/>
      <c r="C2069" s="1552"/>
      <c r="D2069" s="1552"/>
      <c r="E2069" s="1558" t="s">
        <v>5682</v>
      </c>
      <c r="F2069" s="1560">
        <f>$N$5</f>
        <v>0.01</v>
      </c>
      <c r="G2069" s="1553"/>
      <c r="H2069" s="1554"/>
      <c r="I2069" s="1559">
        <f>I2068*F2069</f>
        <v>7674.3914061573269</v>
      </c>
    </row>
    <row r="2070" spans="1:12" ht="14.25">
      <c r="B2070" s="2123"/>
      <c r="C2070" s="1561"/>
      <c r="D2070" s="2124"/>
      <c r="E2070" s="2112" t="s">
        <v>5683</v>
      </c>
      <c r="F2070" s="2113"/>
      <c r="G2070" s="2125"/>
      <c r="H2070" s="2126"/>
      <c r="I2070" s="2110">
        <f>ROUND(I2068+I2069,-2)</f>
        <v>775100</v>
      </c>
    </row>
    <row r="2071" spans="1:12" ht="28.5">
      <c r="A2071" s="657">
        <v>1</v>
      </c>
      <c r="B2071" s="1546">
        <f>IF(A2071&lt;&gt;0,COUNTA(A$7:$A2071),"")</f>
        <v>114</v>
      </c>
      <c r="C2071" s="1550">
        <f>'8.Dgia'!C1422</f>
        <v>1776</v>
      </c>
      <c r="D2071" s="1550" t="str">
        <f>'8.Dgia'!D1422</f>
        <v>AD.32131vd</v>
      </c>
      <c r="E2071" s="1766" t="str">
        <f>'8.Dgia'!E1422</f>
        <v>Sản xuất, lắp đặt cột biển báo D168, dày 7.1 m, L=8m</v>
      </c>
      <c r="F2071" s="1763" t="s">
        <v>567</v>
      </c>
      <c r="G2071" s="1768">
        <f>'8.Dgia'!H1422</f>
        <v>0</v>
      </c>
      <c r="H2071" s="1823"/>
      <c r="I2071" s="1823"/>
      <c r="J2071" s="842">
        <f>+I2072</f>
        <v>4398333.333333333</v>
      </c>
      <c r="K2071" s="842">
        <f>+I2076</f>
        <v>272974.09999999998</v>
      </c>
      <c r="L2071" s="842">
        <f>+I2077</f>
        <v>60248.859250909081</v>
      </c>
    </row>
    <row r="2072" spans="1:12" ht="15">
      <c r="B2072" s="1551" t="str">
        <f>'8.Dgia'!B1423</f>
        <v/>
      </c>
      <c r="C2072" s="1552">
        <f>'8.Dgia'!C1423</f>
        <v>0</v>
      </c>
      <c r="D2072" s="1552">
        <f>'8.Dgia'!D1423</f>
        <v>0</v>
      </c>
      <c r="E2072" s="1770" t="str">
        <f>'8.Dgia'!E1423</f>
        <v xml:space="preserve">  A - Vật liệu</v>
      </c>
      <c r="F2072" s="1786">
        <f>'8.Dgia'!G1423</f>
        <v>0</v>
      </c>
      <c r="G2072" s="1772">
        <f>'8.Dgia'!H1423</f>
        <v>0</v>
      </c>
      <c r="H2072" s="1824"/>
      <c r="I2072" s="1825">
        <f>SUM(I2073:I2075)</f>
        <v>4398333.333333333</v>
      </c>
    </row>
    <row r="2073" spans="1:12" ht="15">
      <c r="B2073" s="1551" t="str">
        <f>'8.Dgia'!B1424</f>
        <v/>
      </c>
      <c r="C2073" s="1552">
        <f>'8.Dgia'!C1424</f>
        <v>0</v>
      </c>
      <c r="D2073" s="1552">
        <f>'8.Dgia'!D1424</f>
        <v>0</v>
      </c>
      <c r="E2073" s="1775" t="str">
        <f>'8.Dgia'!E1424</f>
        <v>Trụ đỡ biển báo D168</v>
      </c>
      <c r="F2073" s="1786" t="str">
        <f>'8.Dgia'!G1424</f>
        <v>m</v>
      </c>
      <c r="G2073" s="1966">
        <f>'8.Dgia'!H1424</f>
        <v>8</v>
      </c>
      <c r="H2073" s="1824">
        <f>GVL!$I$184</f>
        <v>541666.66666666663</v>
      </c>
      <c r="I2073" s="1824">
        <f>H2073*G2073</f>
        <v>4333333.333333333</v>
      </c>
    </row>
    <row r="2074" spans="1:12" ht="15">
      <c r="B2074" s="1551" t="str">
        <f>'8.Dgia'!B1425</f>
        <v/>
      </c>
      <c r="C2074" s="1552">
        <f>'8.Dgia'!C1425</f>
        <v>0</v>
      </c>
      <c r="D2074" s="1552">
        <f>'8.Dgia'!D1425</f>
        <v>0</v>
      </c>
      <c r="E2074" s="1775" t="str">
        <f>'8.Dgia'!E1425</f>
        <v>(Chiều cao cột là 8m)</v>
      </c>
      <c r="F2074" s="1786">
        <f>'8.Dgia'!G1425</f>
        <v>0</v>
      </c>
      <c r="G2074" s="1772">
        <f>'8.Dgia'!H1425</f>
        <v>0</v>
      </c>
      <c r="H2074" s="1824"/>
      <c r="I2074" s="1824"/>
    </row>
    <row r="2075" spans="1:12" ht="15">
      <c r="B2075" s="1551" t="str">
        <f>'8.Dgia'!B1426</f>
        <v/>
      </c>
      <c r="C2075" s="1552">
        <f>'8.Dgia'!C1426</f>
        <v>0</v>
      </c>
      <c r="D2075" s="1552">
        <f>'8.Dgia'!D1426</f>
        <v>0</v>
      </c>
      <c r="E2075" s="1775" t="str">
        <f>'8.Dgia'!E1426</f>
        <v>Vật liệu khác</v>
      </c>
      <c r="F2075" s="1786" t="str">
        <f>'8.Dgia'!G1426</f>
        <v>%</v>
      </c>
      <c r="G2075" s="1964">
        <f>'8.Dgia'!H1426</f>
        <v>1.5</v>
      </c>
      <c r="H2075" s="1824">
        <f>SUM(I2073:I2074)</f>
        <v>4333333.333333333</v>
      </c>
      <c r="I2075" s="1824">
        <f>H2075*G2075%</f>
        <v>64999.999999999993</v>
      </c>
    </row>
    <row r="2076" spans="1:12" ht="15">
      <c r="B2076" s="1551" t="str">
        <f>'8.Dgia'!B1427</f>
        <v/>
      </c>
      <c r="C2076" s="1552">
        <f>'8.Dgia'!C1427</f>
        <v>0</v>
      </c>
      <c r="D2076" s="1552">
        <f>'8.Dgia'!D1427</f>
        <v>0</v>
      </c>
      <c r="E2076" s="1770" t="str">
        <f>'8.Dgia'!E1427</f>
        <v xml:space="preserve">  B - Nhân công 3.3/7</v>
      </c>
      <c r="F2076" s="1745" t="s">
        <v>552</v>
      </c>
      <c r="G2076" s="1964">
        <f>'8.Dgia'!H1427</f>
        <v>1.19</v>
      </c>
      <c r="H2076" s="1824">
        <f>'16.NC'!$H$15</f>
        <v>229390</v>
      </c>
      <c r="I2076" s="1826">
        <f>H2076*G2076</f>
        <v>272974.09999999998</v>
      </c>
    </row>
    <row r="2077" spans="1:12" ht="15">
      <c r="B2077" s="1551" t="str">
        <f>'8.Dgia'!B1428</f>
        <v/>
      </c>
      <c r="C2077" s="1552">
        <f>'8.Dgia'!C1428</f>
        <v>0</v>
      </c>
      <c r="D2077" s="1552">
        <f>'8.Dgia'!D1428</f>
        <v>0</v>
      </c>
      <c r="E2077" s="1770" t="str">
        <f>'8.Dgia'!E1428</f>
        <v xml:space="preserve">  C - Máy thi công</v>
      </c>
      <c r="F2077" s="1786">
        <f>'8.Dgia'!G1428</f>
        <v>0</v>
      </c>
      <c r="G2077" s="1964">
        <f>'8.Dgia'!H1428</f>
        <v>0</v>
      </c>
      <c r="H2077" s="1824"/>
      <c r="I2077" s="1827">
        <f>SUM(I2078:I2080)</f>
        <v>60248.859250909081</v>
      </c>
    </row>
    <row r="2078" spans="1:12" ht="15">
      <c r="B2078" s="1551" t="str">
        <f>'8.Dgia'!B1429</f>
        <v/>
      </c>
      <c r="C2078" s="1552">
        <f>'8.Dgia'!C1429</f>
        <v>0</v>
      </c>
      <c r="D2078" s="1552">
        <f>'8.Dgia'!D1429</f>
        <v>0</v>
      </c>
      <c r="E2078" s="1775" t="str">
        <f>'8.Dgia'!E1429</f>
        <v>Máy cắt đột 2.8kw</v>
      </c>
      <c r="F2078" s="1745" t="s">
        <v>5493</v>
      </c>
      <c r="G2078" s="1964">
        <f>'8.Dgia'!H1429</f>
        <v>0.06</v>
      </c>
      <c r="H2078" s="1824">
        <f>'9.may'!$P$555</f>
        <v>91297.656000000003</v>
      </c>
      <c r="I2078" s="1824">
        <f>H2078*G2078</f>
        <v>5477.8593600000004</v>
      </c>
    </row>
    <row r="2079" spans="1:12" ht="15">
      <c r="B2079" s="1551" t="str">
        <f>'8.Dgia'!B1430</f>
        <v/>
      </c>
      <c r="C2079" s="1552">
        <f>'8.Dgia'!C1430</f>
        <v>0</v>
      </c>
      <c r="D2079" s="1552">
        <f>'8.Dgia'!D1430</f>
        <v>0</v>
      </c>
      <c r="E2079" s="1775" t="str">
        <f>'8.Dgia'!E1430</f>
        <v>Máy mài 1Kw</v>
      </c>
      <c r="F2079" s="1745" t="s">
        <v>5493</v>
      </c>
      <c r="G2079" s="1964">
        <f>'8.Dgia'!H1430</f>
        <v>0.06</v>
      </c>
      <c r="H2079" s="1824">
        <f>'9.may'!$P$563</f>
        <v>59539.11</v>
      </c>
      <c r="I2079" s="1824">
        <f>H2079*G2079</f>
        <v>3572.3465999999999</v>
      </c>
    </row>
    <row r="2080" spans="1:12" ht="15">
      <c r="B2080" s="1551" t="str">
        <f>'8.Dgia'!B1431</f>
        <v/>
      </c>
      <c r="C2080" s="1552">
        <f>'8.Dgia'!C1431</f>
        <v>0</v>
      </c>
      <c r="D2080" s="1552">
        <f>'8.Dgia'!D1431</f>
        <v>0</v>
      </c>
      <c r="E2080" s="1775" t="str">
        <f>'8.Dgia'!E1431</f>
        <v>Ôtô vận tải thùng 7T</v>
      </c>
      <c r="F2080" s="1745" t="s">
        <v>5493</v>
      </c>
      <c r="G2080" s="1772">
        <f>'8.Dgia'!H1431</f>
        <v>4.4999999999999998E-2</v>
      </c>
      <c r="H2080" s="1824">
        <f>'9.may'!$P$135</f>
        <v>1137747.8509090908</v>
      </c>
      <c r="I2080" s="1824">
        <f>H2080*G2080</f>
        <v>51198.653290909082</v>
      </c>
    </row>
    <row r="2081" spans="1:12" s="658" customFormat="1" ht="15">
      <c r="B2081" s="1677"/>
      <c r="C2081" s="1678"/>
      <c r="D2081" s="1678"/>
      <c r="E2081" s="1828" t="s">
        <v>5675</v>
      </c>
      <c r="F2081" s="1786">
        <f>$J$5</f>
        <v>0.02</v>
      </c>
      <c r="G2081" s="1780"/>
      <c r="H2081" s="1829"/>
      <c r="I2081" s="1830">
        <f>( I2072+I2076+I2077 )*F2081</f>
        <v>94631.125851684832</v>
      </c>
      <c r="J2081" s="850"/>
      <c r="K2081" s="850"/>
      <c r="L2081" s="850"/>
    </row>
    <row r="2082" spans="1:12" ht="15">
      <c r="B2082" s="1556"/>
      <c r="C2082" s="1557"/>
      <c r="D2082" s="1557"/>
      <c r="E2082" s="1831" t="s">
        <v>5676</v>
      </c>
      <c r="F2082" s="1786"/>
      <c r="G2082" s="1783"/>
      <c r="H2082" s="1832"/>
      <c r="I2082" s="1833">
        <f>I2081+I2081/F2081</f>
        <v>4826187.4184359265</v>
      </c>
    </row>
    <row r="2083" spans="1:12" ht="15">
      <c r="B2083" s="1551"/>
      <c r="C2083" s="1552"/>
      <c r="D2083" s="1552"/>
      <c r="E2083" s="1834" t="s">
        <v>5677</v>
      </c>
      <c r="F2083" s="1786">
        <f>$K$5</f>
        <v>5.5E-2</v>
      </c>
      <c r="G2083" s="1772"/>
      <c r="H2083" s="1824"/>
      <c r="I2083" s="1835">
        <f>I2082*F2083</f>
        <v>265440.30801397597</v>
      </c>
    </row>
    <row r="2084" spans="1:12" ht="15">
      <c r="B2084" s="1551"/>
      <c r="C2084" s="1552"/>
      <c r="D2084" s="1552"/>
      <c r="E2084" s="1834" t="s">
        <v>5678</v>
      </c>
      <c r="F2084" s="1786">
        <f>$L$5</f>
        <v>0.06</v>
      </c>
      <c r="G2084" s="1772"/>
      <c r="H2084" s="1824"/>
      <c r="I2084" s="1835">
        <f>SUM(I2082:I2083)*F2084</f>
        <v>305497.66358699411</v>
      </c>
    </row>
    <row r="2085" spans="1:12" ht="14.25">
      <c r="B2085" s="1556"/>
      <c r="C2085" s="1557"/>
      <c r="D2085" s="1557"/>
      <c r="E2085" s="1831" t="s">
        <v>5679</v>
      </c>
      <c r="F2085" s="1787"/>
      <c r="G2085" s="1783"/>
      <c r="H2085" s="1832"/>
      <c r="I2085" s="1833">
        <f>SUM(I2082:I2084)</f>
        <v>5397125.3900368959</v>
      </c>
    </row>
    <row r="2086" spans="1:12" ht="15">
      <c r="B2086" s="1551"/>
      <c r="C2086" s="1552"/>
      <c r="D2086" s="1552"/>
      <c r="E2086" s="1834" t="s">
        <v>5680</v>
      </c>
      <c r="F2086" s="1788">
        <f>$M$5</f>
        <v>0.1</v>
      </c>
      <c r="G2086" s="1772"/>
      <c r="H2086" s="1824"/>
      <c r="I2086" s="1835">
        <f>I2085*F2086</f>
        <v>539712.53900368966</v>
      </c>
    </row>
    <row r="2087" spans="1:12" ht="14.25">
      <c r="B2087" s="1556"/>
      <c r="C2087" s="1557"/>
      <c r="D2087" s="1557"/>
      <c r="E2087" s="1831" t="s">
        <v>5681</v>
      </c>
      <c r="F2087" s="1787"/>
      <c r="G2087" s="1783"/>
      <c r="H2087" s="1832"/>
      <c r="I2087" s="1833">
        <f>SUM(I2085:I2086)</f>
        <v>5936837.9290405856</v>
      </c>
    </row>
    <row r="2088" spans="1:12" ht="12.75">
      <c r="B2088" s="1551"/>
      <c r="C2088" s="1552"/>
      <c r="D2088" s="1552"/>
      <c r="E2088" s="1558" t="s">
        <v>5682</v>
      </c>
      <c r="F2088" s="1560">
        <f>$N$5</f>
        <v>0.01</v>
      </c>
      <c r="G2088" s="1553"/>
      <c r="H2088" s="1554"/>
      <c r="I2088" s="1559">
        <f>I2087*F2088</f>
        <v>59368.379290405857</v>
      </c>
    </row>
    <row r="2089" spans="1:12" ht="14.25">
      <c r="B2089" s="2123"/>
      <c r="C2089" s="1561"/>
      <c r="D2089" s="2124"/>
      <c r="E2089" s="2112" t="s">
        <v>5683</v>
      </c>
      <c r="F2089" s="2113"/>
      <c r="G2089" s="2125"/>
      <c r="H2089" s="2126"/>
      <c r="I2089" s="2110">
        <f>ROUND(I2087+I2088,-2)</f>
        <v>5996200</v>
      </c>
    </row>
    <row r="2090" spans="1:12" ht="14.25">
      <c r="A2090" s="657">
        <v>1</v>
      </c>
      <c r="B2090" s="1546">
        <f>IF(A2090&lt;&gt;0,COUNTA(A$7:$A2090),"")</f>
        <v>115</v>
      </c>
      <c r="C2090" s="1550">
        <f>'8.Dgia'!C1422</f>
        <v>1776</v>
      </c>
      <c r="D2090" s="1550" t="str">
        <f>'8.Dgia'!D1432</f>
        <v>AF.11310</v>
      </c>
      <c r="E2090" s="1766" t="str">
        <f>'8.Dgia'!E1432</f>
        <v>Bê tông C15 nền</v>
      </c>
      <c r="F2090" s="1794" t="s">
        <v>545</v>
      </c>
      <c r="G2090" s="1768">
        <f>'8.Dgia'!H1422</f>
        <v>0</v>
      </c>
      <c r="H2090" s="1837"/>
      <c r="I2090" s="1837"/>
      <c r="J2090" s="842">
        <f>+I2091</f>
        <v>852750.47729030612</v>
      </c>
      <c r="K2090" s="842">
        <f>+I2093</f>
        <v>8443.0740325772877</v>
      </c>
      <c r="L2090" s="842">
        <f>+I2094</f>
        <v>347206.58</v>
      </c>
    </row>
    <row r="2091" spans="1:12" s="658" customFormat="1" ht="15">
      <c r="B2091" s="1551" t="str">
        <f>'8.Dgia'!B1423</f>
        <v/>
      </c>
      <c r="C2091" s="1552">
        <f>'8.Dgia'!C1423</f>
        <v>0</v>
      </c>
      <c r="D2091" s="1552">
        <f>'8.Dgia'!D1423</f>
        <v>0</v>
      </c>
      <c r="E2091" s="1770" t="str">
        <f>'8.Dgia'!E1433</f>
        <v xml:space="preserve">  A - Vật liệu</v>
      </c>
      <c r="F2091" s="1786">
        <f>'8.Dgia'!G1433</f>
        <v>0</v>
      </c>
      <c r="G2091" s="1772">
        <f>'8.Dgia'!H1433</f>
        <v>0</v>
      </c>
      <c r="H2091" s="1838"/>
      <c r="I2091" s="1839">
        <f>SUM(I2092:I2093)</f>
        <v>852750.47729030612</v>
      </c>
      <c r="J2091" s="850"/>
      <c r="K2091" s="850"/>
      <c r="L2091" s="850"/>
    </row>
    <row r="2092" spans="1:12" ht="15">
      <c r="B2092" s="1551" t="str">
        <f>'8.Dgia'!B1424</f>
        <v/>
      </c>
      <c r="C2092" s="1552">
        <f>'8.Dgia'!C1424</f>
        <v>0</v>
      </c>
      <c r="D2092" s="1552">
        <f>'8.Dgia'!D1424</f>
        <v>0</v>
      </c>
      <c r="E2092" s="1775" t="str">
        <f>'8.Dgia'!E1434</f>
        <v>Vữa bê tông đá 1x2 C15 SN 2-4</v>
      </c>
      <c r="F2092" s="1786" t="str">
        <f>'8.Dgia'!G1434</f>
        <v>m3</v>
      </c>
      <c r="G2092" s="1772">
        <f>'8.Dgia'!H1434</f>
        <v>1.03</v>
      </c>
      <c r="H2092" s="1824">
        <f>GVL!$I$193</f>
        <v>819715.92549294059</v>
      </c>
      <c r="I2092" s="1824">
        <f>H2092*G2092</f>
        <v>844307.40325772879</v>
      </c>
      <c r="J2092" s="932"/>
      <c r="K2092" s="932"/>
      <c r="L2092" s="932"/>
    </row>
    <row r="2093" spans="1:12" ht="15">
      <c r="B2093" s="1551" t="str">
        <f>'8.Dgia'!B1425</f>
        <v/>
      </c>
      <c r="C2093" s="1552">
        <f>'8.Dgia'!C1425</f>
        <v>0</v>
      </c>
      <c r="D2093" s="1552">
        <f>'8.Dgia'!D1425</f>
        <v>0</v>
      </c>
      <c r="E2093" s="1775" t="str">
        <f>'8.Dgia'!E1435</f>
        <v>Vật liệu khác</v>
      </c>
      <c r="F2093" s="1786" t="str">
        <f>'8.Dgia'!G1435</f>
        <v>%</v>
      </c>
      <c r="G2093" s="1966">
        <f>'8.Dgia'!H1435</f>
        <v>1</v>
      </c>
      <c r="H2093" s="1824">
        <f>I2092</f>
        <v>844307.40325772879</v>
      </c>
      <c r="I2093" s="1824">
        <f>H2093*G2093%</f>
        <v>8443.0740325772877</v>
      </c>
      <c r="J2093" s="932"/>
      <c r="K2093" s="932"/>
      <c r="L2093" s="932"/>
    </row>
    <row r="2094" spans="1:12" s="658" customFormat="1" ht="15">
      <c r="B2094" s="1551" t="str">
        <f>'8.Dgia'!B1426</f>
        <v/>
      </c>
      <c r="C2094" s="1552">
        <f>'8.Dgia'!C1426</f>
        <v>0</v>
      </c>
      <c r="D2094" s="1552">
        <f>'8.Dgia'!D1426</f>
        <v>0</v>
      </c>
      <c r="E2094" s="1770" t="str">
        <f>'8.Dgia'!E1436</f>
        <v xml:space="preserve">  B - Nhân công 3.0/7</v>
      </c>
      <c r="F2094" s="1786" t="s">
        <v>552</v>
      </c>
      <c r="G2094" s="1772">
        <f>'8.Dgia'!H1436</f>
        <v>1.58</v>
      </c>
      <c r="H2094" s="1824">
        <f>'16.NC'!$H$13</f>
        <v>219751</v>
      </c>
      <c r="I2094" s="1826">
        <f>H2094*G2094</f>
        <v>347206.58</v>
      </c>
      <c r="J2094" s="850"/>
      <c r="K2094" s="850"/>
      <c r="L2094" s="850"/>
    </row>
    <row r="2095" spans="1:12" s="658" customFormat="1" ht="15">
      <c r="B2095" s="1551" t="str">
        <f>'8.Dgia'!B1427</f>
        <v/>
      </c>
      <c r="C2095" s="1552">
        <f>'8.Dgia'!C1427</f>
        <v>0</v>
      </c>
      <c r="D2095" s="1552">
        <f>'8.Dgia'!D1427</f>
        <v>0</v>
      </c>
      <c r="E2095" s="1770" t="str">
        <f>'8.Dgia'!E1437</f>
        <v xml:space="preserve">  C - Máy thi công</v>
      </c>
      <c r="F2095" s="1786">
        <f>'8.Dgia'!G1437</f>
        <v>0</v>
      </c>
      <c r="G2095" s="1772">
        <f>'8.Dgia'!H1437</f>
        <v>0</v>
      </c>
      <c r="H2095" s="1824"/>
      <c r="I2095" s="1827">
        <f>SUM(I2096:I2097)</f>
        <v>186207.01186514998</v>
      </c>
      <c r="J2095" s="850"/>
      <c r="K2095" s="850"/>
      <c r="L2095" s="850"/>
    </row>
    <row r="2096" spans="1:12" ht="15">
      <c r="B2096" s="1551" t="str">
        <f>'8.Dgia'!B1428</f>
        <v/>
      </c>
      <c r="C2096" s="1552">
        <f>'8.Dgia'!C1428</f>
        <v>0</v>
      </c>
      <c r="D2096" s="1552">
        <f>'8.Dgia'!D1428</f>
        <v>0</v>
      </c>
      <c r="E2096" s="1775" t="str">
        <f>'8.Dgia'!E1438</f>
        <v>Máy trộn 250l</v>
      </c>
      <c r="F2096" s="1786" t="s">
        <v>5493</v>
      </c>
      <c r="G2096" s="1772">
        <f>'8.Dgia'!H1438</f>
        <v>9.5000000000000001E-2</v>
      </c>
      <c r="H2096" s="1824">
        <f>'9.may'!$P$70</f>
        <v>1959433.0499999998</v>
      </c>
      <c r="I2096" s="1824">
        <f>H2096*G2096</f>
        <v>186146.13974999997</v>
      </c>
      <c r="J2096" s="932"/>
      <c r="K2096" s="932"/>
      <c r="L2096" s="932"/>
    </row>
    <row r="2097" spans="1:12" ht="15">
      <c r="B2097" s="1551" t="str">
        <f>'8.Dgia'!B1429</f>
        <v/>
      </c>
      <c r="C2097" s="1552">
        <f>'8.Dgia'!C1429</f>
        <v>0</v>
      </c>
      <c r="D2097" s="1552">
        <f>'8.Dgia'!D1429</f>
        <v>0</v>
      </c>
      <c r="E2097" s="1775" t="str">
        <f>'8.Dgia'!E1439</f>
        <v>Máy đầm bàn 1KW</v>
      </c>
      <c r="F2097" s="1786" t="s">
        <v>5493</v>
      </c>
      <c r="G2097" s="1772">
        <f>'8.Dgia'!H1439</f>
        <v>8.8999999999999996E-2</v>
      </c>
      <c r="H2097" s="1824">
        <f>'9.may'!$P$381</f>
        <v>68395.634999999995</v>
      </c>
      <c r="I2097" s="1824">
        <f>H2097*G2097%</f>
        <v>60.872115149999992</v>
      </c>
      <c r="J2097" s="932"/>
      <c r="K2097" s="932"/>
      <c r="L2097" s="932"/>
    </row>
    <row r="2098" spans="1:12" s="658" customFormat="1" ht="15">
      <c r="B2098" s="1677"/>
      <c r="C2098" s="1678"/>
      <c r="D2098" s="1678"/>
      <c r="E2098" s="1828" t="s">
        <v>5675</v>
      </c>
      <c r="F2098" s="1786">
        <f>$J$5</f>
        <v>0.02</v>
      </c>
      <c r="G2098" s="1780"/>
      <c r="H2098" s="1829"/>
      <c r="I2098" s="1830">
        <f>( I2091+I2094+I2095 )*F2098</f>
        <v>27723.281383109123</v>
      </c>
      <c r="J2098" s="850"/>
      <c r="K2098" s="850"/>
      <c r="L2098" s="850"/>
    </row>
    <row r="2099" spans="1:12" ht="15">
      <c r="B2099" s="1556"/>
      <c r="C2099" s="1557"/>
      <c r="D2099" s="1557"/>
      <c r="E2099" s="1831" t="s">
        <v>5676</v>
      </c>
      <c r="F2099" s="1786"/>
      <c r="G2099" s="1783"/>
      <c r="H2099" s="1832"/>
      <c r="I2099" s="1833">
        <f>I2098+I2098/F2098</f>
        <v>1413887.3505385651</v>
      </c>
    </row>
    <row r="2100" spans="1:12" ht="15">
      <c r="B2100" s="1551"/>
      <c r="C2100" s="1552"/>
      <c r="D2100" s="1552"/>
      <c r="E2100" s="1834" t="s">
        <v>5677</v>
      </c>
      <c r="F2100" s="1786">
        <f>$K$5</f>
        <v>5.5E-2</v>
      </c>
      <c r="G2100" s="1772"/>
      <c r="H2100" s="1824"/>
      <c r="I2100" s="1835">
        <f>I2099*F2100</f>
        <v>77763.804279621079</v>
      </c>
    </row>
    <row r="2101" spans="1:12" ht="15">
      <c r="B2101" s="1551"/>
      <c r="C2101" s="1552"/>
      <c r="D2101" s="1552"/>
      <c r="E2101" s="1834" t="s">
        <v>5678</v>
      </c>
      <c r="F2101" s="1786">
        <f>$L$5</f>
        <v>0.06</v>
      </c>
      <c r="G2101" s="1772"/>
      <c r="H2101" s="1824"/>
      <c r="I2101" s="1835">
        <f>SUM(I2099:I2100)*F2101</f>
        <v>89499.06928909116</v>
      </c>
    </row>
    <row r="2102" spans="1:12" ht="14.25">
      <c r="B2102" s="1556"/>
      <c r="C2102" s="1557"/>
      <c r="D2102" s="1557"/>
      <c r="E2102" s="1831" t="s">
        <v>5679</v>
      </c>
      <c r="F2102" s="1787"/>
      <c r="G2102" s="1783"/>
      <c r="H2102" s="1832"/>
      <c r="I2102" s="1833">
        <f>SUM(I2099:I2101)</f>
        <v>1581150.2241072771</v>
      </c>
    </row>
    <row r="2103" spans="1:12" ht="15">
      <c r="B2103" s="1551"/>
      <c r="C2103" s="1552"/>
      <c r="D2103" s="1552"/>
      <c r="E2103" s="1834" t="s">
        <v>5680</v>
      </c>
      <c r="F2103" s="1788">
        <f>$M$5</f>
        <v>0.1</v>
      </c>
      <c r="G2103" s="1772"/>
      <c r="H2103" s="1824"/>
      <c r="I2103" s="1835">
        <f>I2102*F2103</f>
        <v>158115.02241072772</v>
      </c>
    </row>
    <row r="2104" spans="1:12" ht="14.25">
      <c r="B2104" s="1556"/>
      <c r="C2104" s="1557"/>
      <c r="D2104" s="1557"/>
      <c r="E2104" s="1831" t="s">
        <v>5681</v>
      </c>
      <c r="F2104" s="1787"/>
      <c r="G2104" s="1783"/>
      <c r="H2104" s="1832"/>
      <c r="I2104" s="1833">
        <f>SUM(I2102:I2103)</f>
        <v>1739265.2465180049</v>
      </c>
    </row>
    <row r="2105" spans="1:12" ht="12.75">
      <c r="B2105" s="1551"/>
      <c r="C2105" s="1552"/>
      <c r="D2105" s="1552"/>
      <c r="E2105" s="1558" t="s">
        <v>5682</v>
      </c>
      <c r="F2105" s="1560">
        <f>$N$5</f>
        <v>0.01</v>
      </c>
      <c r="G2105" s="1553"/>
      <c r="H2105" s="1554"/>
      <c r="I2105" s="1559">
        <f>I2104*F2105</f>
        <v>17392.65246518005</v>
      </c>
    </row>
    <row r="2106" spans="1:12" ht="14.25">
      <c r="B2106" s="2123"/>
      <c r="C2106" s="1561"/>
      <c r="D2106" s="2124"/>
      <c r="E2106" s="2112" t="s">
        <v>5683</v>
      </c>
      <c r="F2106" s="2113"/>
      <c r="G2106" s="2125"/>
      <c r="H2106" s="2126"/>
      <c r="I2106" s="2110">
        <f>ROUND(I2104+I2105,-2)</f>
        <v>1756700</v>
      </c>
    </row>
    <row r="2107" spans="1:12" ht="15" customHeight="1">
      <c r="A2107" s="657">
        <v>1</v>
      </c>
      <c r="B2107" s="1546">
        <f>IF(A2107&lt;&gt;0,COUNTA(A$7:$A2107),"")</f>
        <v>116</v>
      </c>
      <c r="C2107" s="1550">
        <f>'8.Dgia'!C1440</f>
        <v>1776</v>
      </c>
      <c r="D2107" s="1550" t="str">
        <f>'8.Dgia'!D1440</f>
        <v>AB.66121</v>
      </c>
      <c r="E2107" s="1766" t="str">
        <f>'8.Dgia'!E1440</f>
        <v>Đắp cát nền móng công trình K=0.85</v>
      </c>
      <c r="F2107" s="1794" t="s">
        <v>545</v>
      </c>
      <c r="G2107" s="1768">
        <f>'8.Dgia'!H1440</f>
        <v>0</v>
      </c>
      <c r="H2107" s="1837"/>
      <c r="I2107" s="1837"/>
      <c r="J2107" s="842">
        <f>+I2108</f>
        <v>113720.62387221828</v>
      </c>
      <c r="K2107" s="842">
        <f>+I2110</f>
        <v>3296.2649999999999</v>
      </c>
      <c r="L2107" s="842">
        <f>+I2111</f>
        <v>3614.6034045306819</v>
      </c>
    </row>
    <row r="2108" spans="1:12" s="658" customFormat="1" ht="15">
      <c r="B2108" s="1551" t="str">
        <f>'8.Dgia'!B1441</f>
        <v/>
      </c>
      <c r="C2108" s="1552">
        <f>'8.Dgia'!C1441</f>
        <v>0</v>
      </c>
      <c r="D2108" s="1552">
        <f>'8.Dgia'!D1441</f>
        <v>0</v>
      </c>
      <c r="E2108" s="1770" t="str">
        <f>'8.Dgia'!E1441</f>
        <v xml:space="preserve">  A - Vật liệu</v>
      </c>
      <c r="F2108" s="1786">
        <f>'8.Dgia'!G1441</f>
        <v>0</v>
      </c>
      <c r="G2108" s="1772">
        <f>'8.Dgia'!H1441</f>
        <v>0</v>
      </c>
      <c r="H2108" s="1838"/>
      <c r="I2108" s="1839">
        <f>SUM(I2109:I2109)</f>
        <v>113720.62387221828</v>
      </c>
      <c r="J2108" s="850"/>
      <c r="K2108" s="850"/>
      <c r="L2108" s="850"/>
    </row>
    <row r="2109" spans="1:12" ht="15">
      <c r="B2109" s="1551" t="str">
        <f>'8.Dgia'!B1442</f>
        <v/>
      </c>
      <c r="C2109" s="1552">
        <f>'8.Dgia'!C1442</f>
        <v>0</v>
      </c>
      <c r="D2109" s="1552">
        <f>'8.Dgia'!D1442</f>
        <v>0</v>
      </c>
      <c r="E2109" s="1775" t="str">
        <f>'8.Dgia'!E1442</f>
        <v>Cát đen</v>
      </c>
      <c r="F2109" s="1786" t="str">
        <f>'8.Dgia'!G1442</f>
        <v>m3</v>
      </c>
      <c r="G2109" s="1772">
        <f>'8.Dgia'!H1442/100</f>
        <v>1.22</v>
      </c>
      <c r="H2109" s="1824">
        <f>GVL!$I$37</f>
        <v>93213.626124769085</v>
      </c>
      <c r="I2109" s="1824">
        <f>H2109*G2109</f>
        <v>113720.62387221828</v>
      </c>
    </row>
    <row r="2110" spans="1:12" ht="15">
      <c r="B2110" s="1551" t="str">
        <f>'8.Dgia'!B1443</f>
        <v/>
      </c>
      <c r="C2110" s="1552">
        <f>'8.Dgia'!C1443</f>
        <v>0</v>
      </c>
      <c r="D2110" s="1552">
        <f>'8.Dgia'!D1443</f>
        <v>0</v>
      </c>
      <c r="E2110" s="1770" t="str">
        <f>'8.Dgia'!E1443</f>
        <v xml:space="preserve">  B - Nhân công 3.0/7</v>
      </c>
      <c r="F2110" s="1745" t="s">
        <v>552</v>
      </c>
      <c r="G2110" s="1772">
        <f>'8.Dgia'!H1443/100</f>
        <v>1.4999999999999999E-2</v>
      </c>
      <c r="H2110" s="1824">
        <f>'16.NC'!$H$13</f>
        <v>219751</v>
      </c>
      <c r="I2110" s="1826">
        <f>H2110*G2110</f>
        <v>3296.2649999999999</v>
      </c>
    </row>
    <row r="2111" spans="1:12" s="658" customFormat="1" ht="15">
      <c r="B2111" s="1551" t="str">
        <f>'8.Dgia'!B1444</f>
        <v/>
      </c>
      <c r="C2111" s="1552">
        <f>'8.Dgia'!C1444</f>
        <v>0</v>
      </c>
      <c r="D2111" s="1552">
        <f>'8.Dgia'!D1444</f>
        <v>0</v>
      </c>
      <c r="E2111" s="1770" t="str">
        <f>'8.Dgia'!E1444</f>
        <v xml:space="preserve">  C - Máy thi công</v>
      </c>
      <c r="F2111" s="1786">
        <f>'8.Dgia'!G1444</f>
        <v>0</v>
      </c>
      <c r="G2111" s="1772">
        <f>'8.Dgia'!H1444</f>
        <v>0</v>
      </c>
      <c r="H2111" s="1838"/>
      <c r="I2111" s="1827">
        <f>SUM(I2112:I2114)</f>
        <v>3614.6034045306819</v>
      </c>
      <c r="J2111" s="850"/>
      <c r="K2111" s="850"/>
      <c r="L2111" s="850"/>
    </row>
    <row r="2112" spans="1:12" s="658" customFormat="1" ht="15">
      <c r="B2112" s="1551" t="str">
        <f>'8.Dgia'!B1445</f>
        <v/>
      </c>
      <c r="C2112" s="1552">
        <f>'8.Dgia'!C1445</f>
        <v>0</v>
      </c>
      <c r="D2112" s="1552">
        <f>'8.Dgia'!D1445</f>
        <v>0</v>
      </c>
      <c r="E2112" s="1775" t="str">
        <f>'8.Dgia'!E1445</f>
        <v>Lu bánh lốp 16T</v>
      </c>
      <c r="F2112" s="1745" t="s">
        <v>5493</v>
      </c>
      <c r="G2112" s="1772">
        <f>'8.Dgia'!H1445/100</f>
        <v>1.5E-3</v>
      </c>
      <c r="H2112" s="1824">
        <f>'9.may'!$P$109</f>
        <v>1394407.2218181817</v>
      </c>
      <c r="I2112" s="1824">
        <f>H2112*G2112</f>
        <v>2091.6108327272727</v>
      </c>
      <c r="J2112" s="850"/>
      <c r="K2112" s="850"/>
      <c r="L2112" s="850"/>
    </row>
    <row r="2113" spans="1:12" s="658" customFormat="1" ht="15">
      <c r="B2113" s="1551" t="str">
        <f>'8.Dgia'!B1446</f>
        <v/>
      </c>
      <c r="C2113" s="1552">
        <f>'8.Dgia'!C1446</f>
        <v>0</v>
      </c>
      <c r="D2113" s="1552">
        <f>'8.Dgia'!D1446</f>
        <v>0</v>
      </c>
      <c r="E2113" s="1775" t="str">
        <f>'8.Dgia'!E1446</f>
        <v>Máy ủi 110cv</v>
      </c>
      <c r="F2113" s="1745" t="s">
        <v>5493</v>
      </c>
      <c r="G2113" s="1772">
        <f>'8.Dgia'!H1446/100</f>
        <v>7.5000000000000002E-4</v>
      </c>
      <c r="H2113" s="1824">
        <f>'9.may'!$P$70</f>
        <v>1959433.0499999998</v>
      </c>
      <c r="I2113" s="1824">
        <f>H2113*G2113</f>
        <v>1469.5747875</v>
      </c>
      <c r="J2113" s="850"/>
      <c r="K2113" s="850"/>
      <c r="L2113" s="850"/>
    </row>
    <row r="2114" spans="1:12" s="658" customFormat="1" ht="15">
      <c r="B2114" s="1551" t="str">
        <f>'8.Dgia'!B1447</f>
        <v/>
      </c>
      <c r="C2114" s="1552">
        <f>'8.Dgia'!C1447</f>
        <v>0</v>
      </c>
      <c r="D2114" s="1552">
        <f>'8.Dgia'!D1447</f>
        <v>0</v>
      </c>
      <c r="E2114" s="1775" t="str">
        <f>'8.Dgia'!E1447</f>
        <v>Máy khác</v>
      </c>
      <c r="F2114" s="1786" t="str">
        <f>'8.Dgia'!G1447</f>
        <v>%</v>
      </c>
      <c r="G2114" s="1964">
        <f>'8.Dgia'!H1447</f>
        <v>1.5</v>
      </c>
      <c r="H2114" s="1838">
        <f>SUM(I2112:I2113)</f>
        <v>3561.1856202272729</v>
      </c>
      <c r="I2114" s="1824">
        <f>H2114*G2114%</f>
        <v>53.417784303409093</v>
      </c>
      <c r="J2114" s="850"/>
      <c r="K2114" s="850"/>
      <c r="L2114" s="850"/>
    </row>
    <row r="2115" spans="1:12" s="658" customFormat="1" ht="15">
      <c r="B2115" s="1677"/>
      <c r="C2115" s="1678"/>
      <c r="D2115" s="1678"/>
      <c r="E2115" s="1828" t="s">
        <v>5675</v>
      </c>
      <c r="F2115" s="1786">
        <f>$J$5</f>
        <v>0.02</v>
      </c>
      <c r="G2115" s="1780"/>
      <c r="H2115" s="1829"/>
      <c r="I2115" s="1830">
        <f>( I2108+I2110+I2111 )*F2115</f>
        <v>2412.6298455349793</v>
      </c>
      <c r="J2115" s="850"/>
      <c r="K2115" s="850"/>
      <c r="L2115" s="850"/>
    </row>
    <row r="2116" spans="1:12" ht="15">
      <c r="B2116" s="1556"/>
      <c r="C2116" s="1557"/>
      <c r="D2116" s="1557"/>
      <c r="E2116" s="1831" t="s">
        <v>5676</v>
      </c>
      <c r="F2116" s="1786"/>
      <c r="G2116" s="1783"/>
      <c r="H2116" s="1832"/>
      <c r="I2116" s="1833">
        <f>I2115+I2115/F2115</f>
        <v>123044.12212228394</v>
      </c>
    </row>
    <row r="2117" spans="1:12" ht="15">
      <c r="B2117" s="1551"/>
      <c r="C2117" s="1552"/>
      <c r="D2117" s="1552"/>
      <c r="E2117" s="1834" t="s">
        <v>5677</v>
      </c>
      <c r="F2117" s="1786">
        <f>$K$5</f>
        <v>5.5E-2</v>
      </c>
      <c r="G2117" s="1772"/>
      <c r="H2117" s="1824"/>
      <c r="I2117" s="1835">
        <f>I2116*F2117</f>
        <v>6767.4267167256166</v>
      </c>
    </row>
    <row r="2118" spans="1:12" ht="15">
      <c r="B2118" s="1551"/>
      <c r="C2118" s="1552"/>
      <c r="D2118" s="1552"/>
      <c r="E2118" s="1834" t="s">
        <v>5678</v>
      </c>
      <c r="F2118" s="1786">
        <f>$L$5</f>
        <v>0.06</v>
      </c>
      <c r="G2118" s="1772"/>
      <c r="H2118" s="1824"/>
      <c r="I2118" s="1835">
        <f>SUM(I2116:I2117)*F2118</f>
        <v>7788.6929303405732</v>
      </c>
    </row>
    <row r="2119" spans="1:12" ht="14.25">
      <c r="B2119" s="1556"/>
      <c r="C2119" s="1557"/>
      <c r="D2119" s="1557"/>
      <c r="E2119" s="1831" t="s">
        <v>5679</v>
      </c>
      <c r="F2119" s="1787"/>
      <c r="G2119" s="1783"/>
      <c r="H2119" s="1832"/>
      <c r="I2119" s="1833">
        <f>SUM(I2116:I2118)</f>
        <v>137600.24176935013</v>
      </c>
    </row>
    <row r="2120" spans="1:12" ht="15">
      <c r="B2120" s="1551"/>
      <c r="C2120" s="1552"/>
      <c r="D2120" s="1552"/>
      <c r="E2120" s="1834" t="s">
        <v>5680</v>
      </c>
      <c r="F2120" s="1788">
        <f>$M$5</f>
        <v>0.1</v>
      </c>
      <c r="G2120" s="1772"/>
      <c r="H2120" s="1824"/>
      <c r="I2120" s="1835">
        <f>I2119*F2120</f>
        <v>13760.024176935014</v>
      </c>
    </row>
    <row r="2121" spans="1:12" ht="14.25">
      <c r="B2121" s="1556"/>
      <c r="C2121" s="1557"/>
      <c r="D2121" s="1557"/>
      <c r="E2121" s="1831" t="s">
        <v>5681</v>
      </c>
      <c r="F2121" s="1787"/>
      <c r="G2121" s="1783"/>
      <c r="H2121" s="1832"/>
      <c r="I2121" s="1833">
        <f>SUM(I2119:I2120)</f>
        <v>151360.26594628516</v>
      </c>
    </row>
    <row r="2122" spans="1:12" ht="12.75">
      <c r="B2122" s="1551"/>
      <c r="C2122" s="1552"/>
      <c r="D2122" s="1552"/>
      <c r="E2122" s="1558" t="s">
        <v>5682</v>
      </c>
      <c r="F2122" s="1560">
        <f>$N$5</f>
        <v>0.01</v>
      </c>
      <c r="G2122" s="1553"/>
      <c r="H2122" s="1554"/>
      <c r="I2122" s="1559">
        <f>I2121*F2122</f>
        <v>1513.6026594628515</v>
      </c>
    </row>
    <row r="2123" spans="1:12" ht="14.25">
      <c r="B2123" s="2123"/>
      <c r="C2123" s="1561"/>
      <c r="D2123" s="2124"/>
      <c r="E2123" s="2112" t="s">
        <v>5683</v>
      </c>
      <c r="F2123" s="2113"/>
      <c r="G2123" s="2125"/>
      <c r="H2123" s="2126"/>
      <c r="I2123" s="2110">
        <f>ROUND(I2121+I2122,-2)</f>
        <v>152900</v>
      </c>
    </row>
    <row r="2124" spans="1:12" s="1336" customFormat="1" ht="14.25">
      <c r="A2124" s="657">
        <v>1</v>
      </c>
      <c r="B2124" s="1546">
        <f>IF(A2124&lt;&gt;0,COUNTA(A$7:$A2124),"")</f>
        <v>117</v>
      </c>
      <c r="C2124" s="1550">
        <f>'8.Dgia'!C1448</f>
        <v>1776</v>
      </c>
      <c r="D2124" s="1550" t="str">
        <f>'8.Dgia'!D1448</f>
        <v>AD.11222</v>
      </c>
      <c r="E2124" s="1766" t="str">
        <f>'8.Dgia'!E1448</f>
        <v>Cấp phối đá dăm (móng trên)</v>
      </c>
      <c r="F2124" s="1794" t="s">
        <v>545</v>
      </c>
      <c r="G2124" s="1768">
        <f>'8.Dgia'!H1448</f>
        <v>0</v>
      </c>
      <c r="H2124" s="1837"/>
      <c r="I2124" s="1837"/>
      <c r="J2124" s="1425">
        <f>+I2125</f>
        <v>424843.28539434419</v>
      </c>
      <c r="K2124" s="1425">
        <f>+I2127</f>
        <v>11300.256000000001</v>
      </c>
      <c r="L2124" s="1425">
        <f>+I2128</f>
        <v>22788.447920881365</v>
      </c>
    </row>
    <row r="2125" spans="1:12" ht="15">
      <c r="B2125" s="1551" t="str">
        <f>'8.Dgia'!B1449</f>
        <v/>
      </c>
      <c r="C2125" s="1552">
        <f>'8.Dgia'!C1449</f>
        <v>0</v>
      </c>
      <c r="D2125" s="1552">
        <f>'8.Dgia'!D1449</f>
        <v>0</v>
      </c>
      <c r="E2125" s="1770" t="str">
        <f>'8.Dgia'!E1449</f>
        <v xml:space="preserve">  A - Vật liệu</v>
      </c>
      <c r="F2125" s="1786">
        <f>'8.Dgia'!G1449</f>
        <v>0</v>
      </c>
      <c r="G2125" s="1772">
        <f>'8.Dgia'!H1449</f>
        <v>0</v>
      </c>
      <c r="H2125" s="1840"/>
      <c r="I2125" s="1839">
        <f>I2126</f>
        <v>424843.28539434419</v>
      </c>
    </row>
    <row r="2126" spans="1:12" ht="15">
      <c r="B2126" s="1551" t="str">
        <f>'8.Dgia'!B1450</f>
        <v/>
      </c>
      <c r="C2126" s="1552">
        <f>'8.Dgia'!C1450</f>
        <v>0</v>
      </c>
      <c r="D2126" s="1552">
        <f>'8.Dgia'!D1450</f>
        <v>0</v>
      </c>
      <c r="E2126" s="1775" t="str">
        <f>'8.Dgia'!E1450</f>
        <v>Cấp phối đá dăm loại 1</v>
      </c>
      <c r="F2126" s="1786" t="str">
        <f>'8.Dgia'!G1450</f>
        <v>m3</v>
      </c>
      <c r="G2126" s="1772">
        <f>'8.Dgia'!H1450/100</f>
        <v>1.42</v>
      </c>
      <c r="H2126" s="1824">
        <f>GVL!$I$34</f>
        <v>299185.41224953817</v>
      </c>
      <c r="I2126" s="1824">
        <f>H2126*G2126</f>
        <v>424843.28539434419</v>
      </c>
    </row>
    <row r="2127" spans="1:12" ht="15">
      <c r="B2127" s="1551" t="str">
        <f>'8.Dgia'!B1451</f>
        <v/>
      </c>
      <c r="C2127" s="1552">
        <f>'8.Dgia'!C1451</f>
        <v>0</v>
      </c>
      <c r="D2127" s="1552">
        <f>'8.Dgia'!D1451</f>
        <v>0</v>
      </c>
      <c r="E2127" s="1770" t="str">
        <f>'8.Dgia'!E1451</f>
        <v xml:space="preserve">  B - Nhân công 4.0/7</v>
      </c>
      <c r="F2127" s="1745" t="s">
        <v>552</v>
      </c>
      <c r="G2127" s="1772">
        <f>'8.Dgia'!H1451/100</f>
        <v>4.4000000000000004E-2</v>
      </c>
      <c r="H2127" s="1824">
        <f>'16.NC'!$H$18</f>
        <v>256824</v>
      </c>
      <c r="I2127" s="1826">
        <f>H2127*G2127</f>
        <v>11300.256000000001</v>
      </c>
    </row>
    <row r="2128" spans="1:12" ht="15">
      <c r="B2128" s="1551" t="str">
        <f>'8.Dgia'!B1452</f>
        <v/>
      </c>
      <c r="C2128" s="1552">
        <f>'8.Dgia'!C1452</f>
        <v>0</v>
      </c>
      <c r="D2128" s="1552">
        <f>'8.Dgia'!D1452</f>
        <v>0</v>
      </c>
      <c r="E2128" s="1770" t="str">
        <f>'8.Dgia'!E1452</f>
        <v xml:space="preserve">  C - Máy thi công</v>
      </c>
      <c r="F2128" s="1786">
        <f>'8.Dgia'!G1452</f>
        <v>0</v>
      </c>
      <c r="G2128" s="1772">
        <f>'8.Dgia'!H1452/100</f>
        <v>0</v>
      </c>
      <c r="H2128" s="1838"/>
      <c r="I2128" s="1841">
        <f>SUM(I2129:I2134)</f>
        <v>22788.447920881365</v>
      </c>
    </row>
    <row r="2129" spans="1:12" ht="15">
      <c r="B2129" s="1551" t="str">
        <f>'8.Dgia'!B1453</f>
        <v/>
      </c>
      <c r="C2129" s="1552">
        <f>'8.Dgia'!C1453</f>
        <v>0</v>
      </c>
      <c r="D2129" s="1552">
        <f>'8.Dgia'!D1453</f>
        <v>0</v>
      </c>
      <c r="E2129" s="1775" t="str">
        <f>'8.Dgia'!E1453</f>
        <v>Máy rải 50-60m3/h</v>
      </c>
      <c r="F2129" s="1745" t="s">
        <v>5493</v>
      </c>
      <c r="G2129" s="1772">
        <f>'8.Dgia'!H1453/100</f>
        <v>2.0999999999999999E-3</v>
      </c>
      <c r="H2129" s="1824">
        <f>'9.may'!$P$754</f>
        <v>3060566.9727272727</v>
      </c>
      <c r="I2129" s="1824">
        <f>H2129*G2129</f>
        <v>6427.1906427272725</v>
      </c>
    </row>
    <row r="2130" spans="1:12" ht="15">
      <c r="B2130" s="1551" t="str">
        <f>'8.Dgia'!B1454</f>
        <v/>
      </c>
      <c r="C2130" s="1552">
        <f>'8.Dgia'!C1454</f>
        <v>0</v>
      </c>
      <c r="D2130" s="1552">
        <f>'8.Dgia'!D1454</f>
        <v>0</v>
      </c>
      <c r="E2130" s="1775" t="str">
        <f>'8.Dgia'!E1454</f>
        <v>Máy lu rung 25T</v>
      </c>
      <c r="F2130" s="1745" t="s">
        <v>5493</v>
      </c>
      <c r="G2130" s="1772">
        <f>'8.Dgia'!H1454/100</f>
        <v>2.0999999999999999E-3</v>
      </c>
      <c r="H2130" s="1824">
        <f>'9.may'!$P$116</f>
        <v>3012470.1054545455</v>
      </c>
      <c r="I2130" s="1824">
        <f>H2130*G2130</f>
        <v>6326.1872214545447</v>
      </c>
    </row>
    <row r="2131" spans="1:12" ht="15">
      <c r="B2131" s="1551" t="str">
        <f>'8.Dgia'!B1455</f>
        <v/>
      </c>
      <c r="C2131" s="1552">
        <f>'8.Dgia'!C1455</f>
        <v>0</v>
      </c>
      <c r="D2131" s="1552">
        <f>'8.Dgia'!D1455</f>
        <v>0</v>
      </c>
      <c r="E2131" s="1775" t="str">
        <f>'8.Dgia'!E1455</f>
        <v>Lu bánh lốp 16T</v>
      </c>
      <c r="F2131" s="1745" t="s">
        <v>5493</v>
      </c>
      <c r="G2131" s="1772">
        <f>'8.Dgia'!H1455/100</f>
        <v>4.1999999999999997E-3</v>
      </c>
      <c r="H2131" s="1824">
        <f>'9.may'!$P$109</f>
        <v>1394407.2218181817</v>
      </c>
      <c r="I2131" s="1824">
        <f>H2131*G2131</f>
        <v>5856.5103316363629</v>
      </c>
    </row>
    <row r="2132" spans="1:12" ht="15">
      <c r="B2132" s="1551" t="str">
        <f>'8.Dgia'!B1456</f>
        <v/>
      </c>
      <c r="C2132" s="1552">
        <f>'8.Dgia'!C1456</f>
        <v>0</v>
      </c>
      <c r="D2132" s="1552">
        <f>'8.Dgia'!D1456</f>
        <v>0</v>
      </c>
      <c r="E2132" s="1775" t="str">
        <f>'8.Dgia'!E1456</f>
        <v>Máy lu bánh thép 10T</v>
      </c>
      <c r="F2132" s="1745" t="s">
        <v>5493</v>
      </c>
      <c r="G2132" s="1772">
        <f>'8.Dgia'!H1456/100</f>
        <v>2.0999999999999999E-3</v>
      </c>
      <c r="H2132" s="1824">
        <f>'9.may'!$P$122</f>
        <v>950702.42999999993</v>
      </c>
      <c r="I2132" s="1824">
        <f>H2132*G2132</f>
        <v>1996.4751029999998</v>
      </c>
    </row>
    <row r="2133" spans="1:12" ht="15">
      <c r="B2133" s="1551" t="str">
        <f>'8.Dgia'!B1457</f>
        <v/>
      </c>
      <c r="C2133" s="1552">
        <f>'8.Dgia'!C1457</f>
        <v>0</v>
      </c>
      <c r="D2133" s="1552">
        <f>'8.Dgia'!D1457</f>
        <v>0</v>
      </c>
      <c r="E2133" s="1775" t="str">
        <f>'8.Dgia'!E1457</f>
        <v>Ôtô tưới nước 5m3</v>
      </c>
      <c r="F2133" s="1745" t="s">
        <v>5493</v>
      </c>
      <c r="G2133" s="1772">
        <f>'8.Dgia'!H1457/100</f>
        <v>2.0999999999999999E-3</v>
      </c>
      <c r="H2133" s="1824">
        <f>'9.may'!$P$175</f>
        <v>985099.64727272722</v>
      </c>
      <c r="I2133" s="1824">
        <f>H2133*G2133</f>
        <v>2068.7092592727272</v>
      </c>
    </row>
    <row r="2134" spans="1:12" ht="15">
      <c r="B2134" s="1551" t="str">
        <f>'8.Dgia'!B1458</f>
        <v/>
      </c>
      <c r="C2134" s="1552">
        <f>'8.Dgia'!C1458</f>
        <v>0</v>
      </c>
      <c r="D2134" s="1552">
        <f>'8.Dgia'!D1458</f>
        <v>0</v>
      </c>
      <c r="E2134" s="1775" t="str">
        <f>'8.Dgia'!E1458</f>
        <v>Máy khác</v>
      </c>
      <c r="F2134" s="1786" t="str">
        <f>'8.Dgia'!G1458</f>
        <v>%</v>
      </c>
      <c r="G2134" s="1964">
        <f>'8.Dgia'!H1458</f>
        <v>0.5</v>
      </c>
      <c r="H2134" s="1838">
        <f>SUM(I2129:I2133)</f>
        <v>22675.072558090909</v>
      </c>
      <c r="I2134" s="1824">
        <f>H2134*G2134%</f>
        <v>113.37536279045455</v>
      </c>
    </row>
    <row r="2135" spans="1:12" s="658" customFormat="1" ht="15">
      <c r="B2135" s="1677"/>
      <c r="C2135" s="1678"/>
      <c r="D2135" s="1678"/>
      <c r="E2135" s="1828" t="s">
        <v>5675</v>
      </c>
      <c r="F2135" s="1786">
        <f>$J$5</f>
        <v>0.02</v>
      </c>
      <c r="G2135" s="1780"/>
      <c r="H2135" s="1829"/>
      <c r="I2135" s="1830">
        <f>( I2125+I2127+I2128 )*F2135</f>
        <v>9178.6397863045113</v>
      </c>
      <c r="J2135" s="850"/>
      <c r="K2135" s="850"/>
      <c r="L2135" s="850"/>
    </row>
    <row r="2136" spans="1:12" ht="15">
      <c r="B2136" s="1556"/>
      <c r="C2136" s="1557"/>
      <c r="D2136" s="1557"/>
      <c r="E2136" s="1831" t="s">
        <v>5676</v>
      </c>
      <c r="F2136" s="1786"/>
      <c r="G2136" s="1783"/>
      <c r="H2136" s="1832"/>
      <c r="I2136" s="1833">
        <f>I2135+I2135/F2135</f>
        <v>468110.62910153007</v>
      </c>
    </row>
    <row r="2137" spans="1:12" ht="15">
      <c r="B2137" s="1551"/>
      <c r="C2137" s="1552"/>
      <c r="D2137" s="1552"/>
      <c r="E2137" s="1834" t="s">
        <v>5677</v>
      </c>
      <c r="F2137" s="1786">
        <f>$K$5</f>
        <v>5.5E-2</v>
      </c>
      <c r="G2137" s="1772"/>
      <c r="H2137" s="1824"/>
      <c r="I2137" s="1835">
        <f>I2136*F2137</f>
        <v>25746.084600584152</v>
      </c>
    </row>
    <row r="2138" spans="1:12" ht="15">
      <c r="B2138" s="1551"/>
      <c r="C2138" s="1552"/>
      <c r="D2138" s="1552"/>
      <c r="E2138" s="1834" t="s">
        <v>5678</v>
      </c>
      <c r="F2138" s="1786">
        <f>$L$5</f>
        <v>0.06</v>
      </c>
      <c r="G2138" s="1772"/>
      <c r="H2138" s="1824"/>
      <c r="I2138" s="1835">
        <f>SUM(I2136:I2137)*F2138</f>
        <v>29631.402822126853</v>
      </c>
    </row>
    <row r="2139" spans="1:12" ht="14.25">
      <c r="B2139" s="1556"/>
      <c r="C2139" s="1557"/>
      <c r="D2139" s="1557"/>
      <c r="E2139" s="1831" t="s">
        <v>5679</v>
      </c>
      <c r="F2139" s="1787"/>
      <c r="G2139" s="1783"/>
      <c r="H2139" s="1832"/>
      <c r="I2139" s="1833">
        <f>SUM(I2136:I2138)</f>
        <v>523488.11652424111</v>
      </c>
    </row>
    <row r="2140" spans="1:12" ht="15">
      <c r="B2140" s="1551"/>
      <c r="C2140" s="1552"/>
      <c r="D2140" s="1552"/>
      <c r="E2140" s="1834" t="s">
        <v>5680</v>
      </c>
      <c r="F2140" s="1788">
        <f>$M$5</f>
        <v>0.1</v>
      </c>
      <c r="G2140" s="1772"/>
      <c r="H2140" s="1824"/>
      <c r="I2140" s="1835">
        <f>I2139*F2140</f>
        <v>52348.811652424112</v>
      </c>
    </row>
    <row r="2141" spans="1:12" ht="14.25">
      <c r="B2141" s="1556"/>
      <c r="C2141" s="1557"/>
      <c r="D2141" s="1557"/>
      <c r="E2141" s="1831" t="s">
        <v>5681</v>
      </c>
      <c r="F2141" s="1787"/>
      <c r="G2141" s="1783"/>
      <c r="H2141" s="1832"/>
      <c r="I2141" s="1833">
        <f>SUM(I2139:I2140)</f>
        <v>575836.92817666521</v>
      </c>
    </row>
    <row r="2142" spans="1:12" ht="12.75">
      <c r="B2142" s="1551"/>
      <c r="C2142" s="1552"/>
      <c r="D2142" s="1552"/>
      <c r="E2142" s="1558" t="s">
        <v>5682</v>
      </c>
      <c r="F2142" s="1560">
        <f>$N$5</f>
        <v>0.01</v>
      </c>
      <c r="G2142" s="1553"/>
      <c r="H2142" s="1554"/>
      <c r="I2142" s="1559">
        <f>I2141*F2142</f>
        <v>5758.3692817666524</v>
      </c>
    </row>
    <row r="2143" spans="1:12" ht="14.25">
      <c r="B2143" s="2123"/>
      <c r="C2143" s="1561"/>
      <c r="D2143" s="2124"/>
      <c r="E2143" s="2112" t="s">
        <v>5683</v>
      </c>
      <c r="F2143" s="2113"/>
      <c r="G2143" s="2125"/>
      <c r="H2143" s="2126"/>
      <c r="I2143" s="2110">
        <f>ROUND(I2141+I2142,-2)</f>
        <v>581600</v>
      </c>
    </row>
    <row r="2144" spans="1:12" ht="28.5">
      <c r="A2144" s="657">
        <v>1</v>
      </c>
      <c r="B2144" s="1546">
        <f>IF(A2144&lt;&gt;0,COUNTA(A$7:$A2144),"")</f>
        <v>118</v>
      </c>
      <c r="C2144" s="1550">
        <f>'8.Dgia'!C1489</f>
        <v>1776</v>
      </c>
      <c r="D2144" s="1550" t="str">
        <f>'8.Dgia'!D1489</f>
        <v>AI.11511vd</v>
      </c>
      <c r="E2144" s="1766" t="s">
        <v>5878</v>
      </c>
      <c r="F2144" s="1794" t="str">
        <f>'8.Dgia'!G1489</f>
        <v>m2</v>
      </c>
      <c r="G2144" s="1768">
        <f>'8.Dgia'!H1489</f>
        <v>0</v>
      </c>
      <c r="H2144" s="1823"/>
      <c r="I2144" s="1823"/>
      <c r="J2144" s="842">
        <f>+I2145</f>
        <v>43610.199710181812</v>
      </c>
      <c r="K2144" s="842">
        <f>+I2151</f>
        <v>259397.60000000003</v>
      </c>
      <c r="L2144" s="842">
        <f>+I2152</f>
        <v>20597.8986</v>
      </c>
    </row>
    <row r="2145" spans="2:12" s="658" customFormat="1" ht="15">
      <c r="B2145" s="1551" t="str">
        <f>'8.Dgia'!B1490</f>
        <v/>
      </c>
      <c r="C2145" s="1552">
        <f>'8.Dgia'!C1490</f>
        <v>0</v>
      </c>
      <c r="D2145" s="1552">
        <f>'8.Dgia'!D1490</f>
        <v>0</v>
      </c>
      <c r="E2145" s="1770" t="str">
        <f>'8.Dgia'!E1490</f>
        <v xml:space="preserve">  A - Vật liệu</v>
      </c>
      <c r="F2145" s="1786">
        <f>'8.Dgia'!G1490</f>
        <v>0</v>
      </c>
      <c r="G2145" s="1772">
        <f>'8.Dgia'!H1490</f>
        <v>0</v>
      </c>
      <c r="H2145" s="1824"/>
      <c r="I2145" s="1825">
        <f>SUM(I2146:I2150)</f>
        <v>43610.199710181812</v>
      </c>
      <c r="J2145" s="850"/>
      <c r="K2145" s="850"/>
      <c r="L2145" s="850"/>
    </row>
    <row r="2146" spans="2:12" ht="15">
      <c r="B2146" s="1551" t="str">
        <f>'8.Dgia'!B1492</f>
        <v/>
      </c>
      <c r="C2146" s="1552">
        <f>'8.Dgia'!C1492</f>
        <v>0</v>
      </c>
      <c r="D2146" s="1552" t="s">
        <v>5869</v>
      </c>
      <c r="E2146" s="1775" t="str">
        <f>'8.Dgia'!E1492</f>
        <v>Thép tròn D&lt;=18</v>
      </c>
      <c r="F2146" s="1786" t="str">
        <f>'8.Dgia'!G1492</f>
        <v xml:space="preserve"> kg </v>
      </c>
      <c r="G2146" s="1964">
        <f>'8.Dgia'!H1492</f>
        <v>0.7</v>
      </c>
      <c r="H2146" s="1824">
        <f>GVL!$I$180</f>
        <v>16604.075560000001</v>
      </c>
      <c r="I2146" s="1824">
        <f t="shared" ref="I2146:I2151" si="14">H2146*G2146</f>
        <v>11622.852892000001</v>
      </c>
    </row>
    <row r="2147" spans="2:12" ht="15">
      <c r="B2147" s="1551" t="str">
        <f>'8.Dgia'!B1493</f>
        <v/>
      </c>
      <c r="C2147" s="1552">
        <f>'8.Dgia'!C1493</f>
        <v>0</v>
      </c>
      <c r="D2147" s="1552" t="str">
        <f>'8.Dgia'!D1493</f>
        <v>ĐM*50%</v>
      </c>
      <c r="E2147" s="1775" t="str">
        <f>'8.Dgia'!E1493</f>
        <v>Lưới thép B40</v>
      </c>
      <c r="F2147" s="1786" t="str">
        <f>'8.Dgia'!G1493</f>
        <v xml:space="preserve"> m2 </v>
      </c>
      <c r="G2147" s="1964">
        <f>'8.Dgia'!H1493</f>
        <v>0.55000000000000004</v>
      </c>
      <c r="H2147" s="1824">
        <f>GVL!$I$116</f>
        <v>37676.299999999996</v>
      </c>
      <c r="I2147" s="1824">
        <f t="shared" si="14"/>
        <v>20721.965</v>
      </c>
    </row>
    <row r="2148" spans="2:12" ht="15">
      <c r="B2148" s="1551" t="str">
        <f>'8.Dgia'!B1494</f>
        <v/>
      </c>
      <c r="C2148" s="1552">
        <f>'8.Dgia'!C1494</f>
        <v>0</v>
      </c>
      <c r="D2148" s="1552">
        <f>'8.Dgia'!D1494</f>
        <v>0</v>
      </c>
      <c r="E2148" s="1775" t="str">
        <f>'8.Dgia'!E1494</f>
        <v>Que hàn</v>
      </c>
      <c r="F2148" s="1786" t="str">
        <f>'8.Dgia'!G1494</f>
        <v xml:space="preserve"> kg </v>
      </c>
      <c r="G2148" s="1964">
        <f>'8.Dgia'!H1494</f>
        <v>0.42</v>
      </c>
      <c r="H2148" s="1824">
        <f>GVL!$I$153</f>
        <v>19090.909090909088</v>
      </c>
      <c r="I2148" s="1824">
        <f t="shared" si="14"/>
        <v>8018.1818181818171</v>
      </c>
    </row>
    <row r="2149" spans="2:12" ht="15">
      <c r="B2149" s="1551" t="str">
        <f>'8.Dgia'!B1495</f>
        <v/>
      </c>
      <c r="C2149" s="1552">
        <f>'8.Dgia'!C1495</f>
        <v>0</v>
      </c>
      <c r="D2149" s="1552">
        <f>'8.Dgia'!D1495</f>
        <v>0</v>
      </c>
      <c r="E2149" s="1775" t="str">
        <f>'8.Dgia'!E1495</f>
        <v>Ô xy</v>
      </c>
      <c r="F2149" s="1763" t="s">
        <v>565</v>
      </c>
      <c r="G2149" s="1964">
        <f>'8.Dgia'!H1495</f>
        <v>0.06</v>
      </c>
      <c r="H2149" s="1824">
        <f>GVL!$I$130</f>
        <v>48000</v>
      </c>
      <c r="I2149" s="1824">
        <f t="shared" si="14"/>
        <v>2880</v>
      </c>
    </row>
    <row r="2150" spans="2:12" ht="15">
      <c r="B2150" s="1551" t="str">
        <f>'8.Dgia'!B1496</f>
        <v/>
      </c>
      <c r="C2150" s="1552">
        <f>'8.Dgia'!C1496</f>
        <v>0</v>
      </c>
      <c r="D2150" s="1552">
        <f>'8.Dgia'!D1496</f>
        <v>0</v>
      </c>
      <c r="E2150" s="1775" t="str">
        <f>'8.Dgia'!E1496</f>
        <v>Đất đèn</v>
      </c>
      <c r="F2150" s="1786" t="str">
        <f>'8.Dgia'!G1496</f>
        <v xml:space="preserve"> kg </v>
      </c>
      <c r="G2150" s="1964">
        <f>'8.Dgia'!H1496</f>
        <v>2.7E-2</v>
      </c>
      <c r="H2150" s="1824">
        <f>GVL!$I$68</f>
        <v>13600</v>
      </c>
      <c r="I2150" s="1824">
        <f t="shared" si="14"/>
        <v>367.2</v>
      </c>
    </row>
    <row r="2151" spans="2:12" s="658" customFormat="1" ht="15">
      <c r="B2151" s="1551" t="str">
        <f>'8.Dgia'!B1498</f>
        <v/>
      </c>
      <c r="C2151" s="1552">
        <f>'8.Dgia'!C1498</f>
        <v>0</v>
      </c>
      <c r="D2151" s="1552">
        <f>'8.Dgia'!D1498</f>
        <v>0</v>
      </c>
      <c r="E2151" s="1770" t="str">
        <f>'8.Dgia'!E1498</f>
        <v xml:space="preserve">  B - Nhân công 3.5/7</v>
      </c>
      <c r="F2151" s="1745" t="s">
        <v>552</v>
      </c>
      <c r="G2151" s="1965">
        <v>1.1000000000000001</v>
      </c>
      <c r="H2151" s="1824">
        <f>'16.NC'!$H$16</f>
        <v>235816</v>
      </c>
      <c r="I2151" s="1826">
        <f t="shared" si="14"/>
        <v>259397.60000000003</v>
      </c>
      <c r="J2151" s="850"/>
      <c r="K2151" s="850"/>
      <c r="L2151" s="850"/>
    </row>
    <row r="2152" spans="2:12" s="658" customFormat="1" ht="15">
      <c r="B2152" s="1551" t="str">
        <f>'8.Dgia'!B1499</f>
        <v/>
      </c>
      <c r="C2152" s="1552">
        <f>'8.Dgia'!C1499</f>
        <v>0</v>
      </c>
      <c r="D2152" s="1552">
        <f>'8.Dgia'!D1499</f>
        <v>0</v>
      </c>
      <c r="E2152" s="1770" t="str">
        <f>'8.Dgia'!E1499</f>
        <v xml:space="preserve">  C - Máy thi công</v>
      </c>
      <c r="F2152" s="1786">
        <f>'8.Dgia'!G1499</f>
        <v>0</v>
      </c>
      <c r="G2152" s="1772">
        <f>'8.Dgia'!H1499</f>
        <v>0</v>
      </c>
      <c r="H2152" s="1824"/>
      <c r="I2152" s="1827">
        <f>I2153</f>
        <v>20597.8986</v>
      </c>
      <c r="J2152" s="850"/>
      <c r="K2152" s="850"/>
      <c r="L2152" s="850"/>
    </row>
    <row r="2153" spans="2:12" ht="15">
      <c r="B2153" s="1551" t="str">
        <f>'8.Dgia'!B1500</f>
        <v/>
      </c>
      <c r="C2153" s="1552">
        <f>'8.Dgia'!C1500</f>
        <v>0</v>
      </c>
      <c r="D2153" s="1552">
        <f>'8.Dgia'!D1500</f>
        <v>0</v>
      </c>
      <c r="E2153" s="1775" t="str">
        <f>'8.Dgia'!E1500</f>
        <v>Máy hàn 23kw</v>
      </c>
      <c r="F2153" s="1745" t="s">
        <v>5493</v>
      </c>
      <c r="G2153" s="1772">
        <f>'8.Dgia'!H1500</f>
        <v>0.12</v>
      </c>
      <c r="H2153" s="1824">
        <f>'9.may'!$P$510</f>
        <v>171649.155</v>
      </c>
      <c r="I2153" s="1824">
        <f>H2153*G2153</f>
        <v>20597.8986</v>
      </c>
    </row>
    <row r="2154" spans="2:12" s="658" customFormat="1" ht="15">
      <c r="B2154" s="1677"/>
      <c r="C2154" s="1678"/>
      <c r="D2154" s="1678"/>
      <c r="E2154" s="1828" t="s">
        <v>5675</v>
      </c>
      <c r="F2154" s="1786">
        <f>$J$5</f>
        <v>0.02</v>
      </c>
      <c r="G2154" s="1780"/>
      <c r="H2154" s="1829"/>
      <c r="I2154" s="1830">
        <f>( I2145+I2151+I2152 )*F2154</f>
        <v>6472.1139662036367</v>
      </c>
      <c r="J2154" s="850"/>
      <c r="K2154" s="850"/>
      <c r="L2154" s="850"/>
    </row>
    <row r="2155" spans="2:12" ht="15">
      <c r="B2155" s="1556"/>
      <c r="C2155" s="1557"/>
      <c r="D2155" s="1557"/>
      <c r="E2155" s="1831" t="s">
        <v>5676</v>
      </c>
      <c r="F2155" s="1786"/>
      <c r="G2155" s="1783"/>
      <c r="H2155" s="1832"/>
      <c r="I2155" s="1833">
        <f>I2154+I2154/F2154</f>
        <v>330077.81227638549</v>
      </c>
    </row>
    <row r="2156" spans="2:12" ht="15">
      <c r="B2156" s="1551"/>
      <c r="C2156" s="1552"/>
      <c r="D2156" s="1552"/>
      <c r="E2156" s="1834" t="s">
        <v>5677</v>
      </c>
      <c r="F2156" s="1786">
        <f>$K$5</f>
        <v>5.5E-2</v>
      </c>
      <c r="G2156" s="1772"/>
      <c r="H2156" s="1824"/>
      <c r="I2156" s="1835">
        <f>I2155*F2156</f>
        <v>18154.279675201204</v>
      </c>
    </row>
    <row r="2157" spans="2:12" ht="15">
      <c r="B2157" s="1551"/>
      <c r="C2157" s="1552"/>
      <c r="D2157" s="1552"/>
      <c r="E2157" s="1834" t="s">
        <v>5678</v>
      </c>
      <c r="F2157" s="1786">
        <f>$L$5</f>
        <v>0.06</v>
      </c>
      <c r="G2157" s="1772"/>
      <c r="H2157" s="1824"/>
      <c r="I2157" s="1835">
        <f>SUM(I2155:I2156)*F2157</f>
        <v>20893.925517095202</v>
      </c>
    </row>
    <row r="2158" spans="2:12" ht="14.25">
      <c r="B2158" s="1556"/>
      <c r="C2158" s="1557"/>
      <c r="D2158" s="1557"/>
      <c r="E2158" s="1831" t="s">
        <v>5679</v>
      </c>
      <c r="F2158" s="1787"/>
      <c r="G2158" s="1783"/>
      <c r="H2158" s="1832"/>
      <c r="I2158" s="1833">
        <f>SUM(I2155:I2157)</f>
        <v>369126.01746868191</v>
      </c>
    </row>
    <row r="2159" spans="2:12" ht="15">
      <c r="B2159" s="1551"/>
      <c r="C2159" s="1552"/>
      <c r="D2159" s="1552"/>
      <c r="E2159" s="1834" t="s">
        <v>5680</v>
      </c>
      <c r="F2159" s="1788">
        <f>$M$5</f>
        <v>0.1</v>
      </c>
      <c r="G2159" s="1772"/>
      <c r="H2159" s="1824"/>
      <c r="I2159" s="1835">
        <f>I2158*F2159</f>
        <v>36912.601746868189</v>
      </c>
    </row>
    <row r="2160" spans="2:12" ht="14.25">
      <c r="B2160" s="1556"/>
      <c r="C2160" s="1557"/>
      <c r="D2160" s="1557"/>
      <c r="E2160" s="1831" t="s">
        <v>5681</v>
      </c>
      <c r="F2160" s="1787"/>
      <c r="G2160" s="1783"/>
      <c r="H2160" s="1832"/>
      <c r="I2160" s="1833">
        <f>SUM(I2158:I2159)</f>
        <v>406038.61921555008</v>
      </c>
    </row>
    <row r="2161" spans="1:12" ht="12.75">
      <c r="B2161" s="1551"/>
      <c r="C2161" s="1552"/>
      <c r="D2161" s="1552"/>
      <c r="E2161" s="1558" t="s">
        <v>5682</v>
      </c>
      <c r="F2161" s="1560">
        <f>$N$5</f>
        <v>0.01</v>
      </c>
      <c r="G2161" s="1553"/>
      <c r="H2161" s="1554"/>
      <c r="I2161" s="1559">
        <f>I2160*F2161</f>
        <v>4060.3861921555008</v>
      </c>
    </row>
    <row r="2162" spans="1:12" ht="14.25">
      <c r="B2162" s="2123"/>
      <c r="C2162" s="1561"/>
      <c r="D2162" s="2124"/>
      <c r="E2162" s="2112" t="s">
        <v>5683</v>
      </c>
      <c r="F2162" s="2113"/>
      <c r="G2162" s="2125"/>
      <c r="H2162" s="2126"/>
      <c r="I2162" s="2110">
        <f>ROUND(I2160+I2161,-2)</f>
        <v>410100</v>
      </c>
    </row>
    <row r="2163" spans="1:12" ht="15.75" customHeight="1">
      <c r="A2163" s="657">
        <v>1</v>
      </c>
      <c r="B2163" s="1546">
        <f>IF(A2163&lt;&gt;0,COUNTA(A$7:$A2163),"")</f>
        <v>119</v>
      </c>
      <c r="C2163" s="1550" t="str">
        <f>'8.Dgia'!C1501</f>
        <v>-</v>
      </c>
      <c r="D2163" s="1550">
        <f>'8.Dgia'!D1501</f>
        <v>0</v>
      </c>
      <c r="E2163" s="1766" t="s">
        <v>5879</v>
      </c>
      <c r="F2163" s="1789" t="s">
        <v>557</v>
      </c>
      <c r="G2163" s="1768">
        <f>'8.Dgia'!H1501</f>
        <v>0</v>
      </c>
      <c r="H2163" s="1823"/>
      <c r="I2163" s="1823"/>
      <c r="J2163" s="842">
        <f>+I2164</f>
        <v>8769205.3938157242</v>
      </c>
    </row>
    <row r="2164" spans="1:12" ht="15">
      <c r="B2164" s="1551" t="str">
        <f>'8.Dgia'!B1502</f>
        <v/>
      </c>
      <c r="C2164" s="1552">
        <f>'8.Dgia'!C1502</f>
        <v>0</v>
      </c>
      <c r="D2164" s="1552">
        <f>'8.Dgia'!D1502</f>
        <v>0</v>
      </c>
      <c r="E2164" s="1770" t="str">
        <f>'8.Dgia'!E1502</f>
        <v xml:space="preserve">  A - Vật liệu</v>
      </c>
      <c r="F2164" s="1786">
        <f>'8.Dgia'!G1502</f>
        <v>0</v>
      </c>
      <c r="G2164" s="1772">
        <f>'8.Dgia'!H1502</f>
        <v>0</v>
      </c>
      <c r="H2164" s="1824"/>
      <c r="I2164" s="1825">
        <f>SUM(I2165:I2165)</f>
        <v>8769205.3938157242</v>
      </c>
    </row>
    <row r="2165" spans="1:12" ht="15">
      <c r="B2165" s="1551" t="str">
        <f>'8.Dgia'!B1503</f>
        <v/>
      </c>
      <c r="C2165" s="1552">
        <f>'8.Dgia'!C1503</f>
        <v>0</v>
      </c>
      <c r="D2165" s="1552" t="str">
        <f>'8.Dgia'!D1503</f>
        <v>ĐM*50%</v>
      </c>
      <c r="E2165" s="1775" t="str">
        <f>'8.Dgia'!E1503</f>
        <v>Thép hình</v>
      </c>
      <c r="F2165" s="1786" t="str">
        <f>'8.Dgia'!G1503</f>
        <v>kg</v>
      </c>
      <c r="G2165" s="1772">
        <f>'8.Dgia'!H1503</f>
        <v>525</v>
      </c>
      <c r="H2165" s="1824">
        <f>GVL!$I$170</f>
        <v>16703.248369172808</v>
      </c>
      <c r="I2165" s="1824">
        <f>H2165*G2165</f>
        <v>8769205.3938157242</v>
      </c>
    </row>
    <row r="2166" spans="1:12" s="658" customFormat="1" ht="15">
      <c r="B2166" s="1677"/>
      <c r="C2166" s="1678"/>
      <c r="D2166" s="1678"/>
      <c r="E2166" s="1828" t="s">
        <v>5675</v>
      </c>
      <c r="F2166" s="1786">
        <f>$J$5</f>
        <v>0.02</v>
      </c>
      <c r="G2166" s="1780"/>
      <c r="H2166" s="1829"/>
      <c r="I2166" s="1830">
        <f>( I2164 )*F2166</f>
        <v>175384.10787631449</v>
      </c>
      <c r="J2166" s="850"/>
      <c r="K2166" s="850"/>
      <c r="L2166" s="850"/>
    </row>
    <row r="2167" spans="1:12" ht="15">
      <c r="B2167" s="1556"/>
      <c r="C2167" s="1557"/>
      <c r="D2167" s="1557"/>
      <c r="E2167" s="1831" t="s">
        <v>5676</v>
      </c>
      <c r="F2167" s="1786"/>
      <c r="G2167" s="1783"/>
      <c r="H2167" s="1832"/>
      <c r="I2167" s="1833">
        <f>I2166+I2166/F2166</f>
        <v>8944589.501692038</v>
      </c>
    </row>
    <row r="2168" spans="1:12" ht="15">
      <c r="B2168" s="1551"/>
      <c r="C2168" s="1552"/>
      <c r="D2168" s="1552"/>
      <c r="E2168" s="1834" t="s">
        <v>5677</v>
      </c>
      <c r="F2168" s="1786">
        <f>$K$5</f>
        <v>5.5E-2</v>
      </c>
      <c r="G2168" s="1772"/>
      <c r="H2168" s="1824"/>
      <c r="I2168" s="1835">
        <f>I2167*F2168</f>
        <v>491952.4225930621</v>
      </c>
    </row>
    <row r="2169" spans="1:12" ht="15">
      <c r="B2169" s="1551"/>
      <c r="C2169" s="1552"/>
      <c r="D2169" s="1552"/>
      <c r="E2169" s="1834" t="s">
        <v>5678</v>
      </c>
      <c r="F2169" s="1786">
        <f>$L$5</f>
        <v>0.06</v>
      </c>
      <c r="G2169" s="1772"/>
      <c r="H2169" s="1824"/>
      <c r="I2169" s="1835">
        <f>SUM(I2167:I2168)*F2169</f>
        <v>566192.51545710606</v>
      </c>
    </row>
    <row r="2170" spans="1:12" ht="14.25">
      <c r="B2170" s="1556"/>
      <c r="C2170" s="1557"/>
      <c r="D2170" s="1557"/>
      <c r="E2170" s="1831" t="s">
        <v>5679</v>
      </c>
      <c r="F2170" s="1787"/>
      <c r="G2170" s="1783"/>
      <c r="H2170" s="1832"/>
      <c r="I2170" s="1833">
        <f>SUM(I2167:I2169)</f>
        <v>10002734.439742208</v>
      </c>
    </row>
    <row r="2171" spans="1:12" ht="15">
      <c r="B2171" s="1551"/>
      <c r="C2171" s="1552"/>
      <c r="D2171" s="1552"/>
      <c r="E2171" s="1834" t="s">
        <v>5680</v>
      </c>
      <c r="F2171" s="1788">
        <f>$M$5</f>
        <v>0.1</v>
      </c>
      <c r="G2171" s="1772"/>
      <c r="H2171" s="1824"/>
      <c r="I2171" s="1835">
        <f>I2170*F2171</f>
        <v>1000273.4439742208</v>
      </c>
    </row>
    <row r="2172" spans="1:12" ht="14.25">
      <c r="B2172" s="1556"/>
      <c r="C2172" s="1557"/>
      <c r="D2172" s="1557"/>
      <c r="E2172" s="1831" t="s">
        <v>5681</v>
      </c>
      <c r="F2172" s="1787"/>
      <c r="G2172" s="1783"/>
      <c r="H2172" s="1832"/>
      <c r="I2172" s="1833">
        <f>SUM(I2170:I2171)</f>
        <v>11003007.883716429</v>
      </c>
    </row>
    <row r="2173" spans="1:12" ht="12.75">
      <c r="B2173" s="1551"/>
      <c r="C2173" s="1552"/>
      <c r="D2173" s="1552"/>
      <c r="E2173" s="1558" t="s">
        <v>5682</v>
      </c>
      <c r="F2173" s="1560">
        <f>$N$5</f>
        <v>0.01</v>
      </c>
      <c r="G2173" s="1553"/>
      <c r="H2173" s="1554"/>
      <c r="I2173" s="1559">
        <f>I2172*F2173</f>
        <v>110030.07883716428</v>
      </c>
    </row>
    <row r="2174" spans="1:12" ht="14.25">
      <c r="B2174" s="2123"/>
      <c r="C2174" s="1561"/>
      <c r="D2174" s="2124"/>
      <c r="E2174" s="2112" t="s">
        <v>5683</v>
      </c>
      <c r="F2174" s="2113"/>
      <c r="G2174" s="2125"/>
      <c r="H2174" s="2126"/>
      <c r="I2174" s="2110">
        <f>ROUND(I2172+I2173,-2)</f>
        <v>11113000</v>
      </c>
    </row>
    <row r="2175" spans="1:12" ht="14.25">
      <c r="A2175" s="657">
        <v>1</v>
      </c>
      <c r="B2175" s="1546">
        <f>IF(A2175&lt;&gt;0,COUNTA(A$7:$A2175),"")</f>
        <v>120</v>
      </c>
      <c r="C2175" s="1550">
        <f>'8.Dgia'!C1520</f>
        <v>1776</v>
      </c>
      <c r="D2175" s="1550" t="str">
        <f>'8.Dgia'!D1520</f>
        <v>AF.11210</v>
      </c>
      <c r="E2175" s="1766" t="str">
        <f>'8.Dgia'!E1520</f>
        <v>Bê tông C20 móng</v>
      </c>
      <c r="F2175" s="1794" t="str">
        <f>'8.Dgia'!G1520</f>
        <v>m3</v>
      </c>
      <c r="G2175" s="1768">
        <f>'8.Dgia'!H1520</f>
        <v>0</v>
      </c>
      <c r="H2175" s="1823"/>
      <c r="I2175" s="1823"/>
      <c r="J2175" s="842">
        <f>+I2176</f>
        <v>915552.66503722349</v>
      </c>
      <c r="K2175" s="842">
        <f>+I2179</f>
        <v>360391.63999999996</v>
      </c>
      <c r="L2175" s="842">
        <f>+I2180</f>
        <v>23796.9734775</v>
      </c>
    </row>
    <row r="2176" spans="1:12" s="658" customFormat="1" ht="15">
      <c r="B2176" s="1551" t="str">
        <f>'8.Dgia'!B1521</f>
        <v/>
      </c>
      <c r="C2176" s="1552">
        <f>'8.Dgia'!C1521</f>
        <v>0</v>
      </c>
      <c r="D2176" s="1552">
        <f>'8.Dgia'!D1521</f>
        <v>0</v>
      </c>
      <c r="E2176" s="1770" t="str">
        <f>'8.Dgia'!E1521</f>
        <v xml:space="preserve">  A - Vật liệu</v>
      </c>
      <c r="F2176" s="1786">
        <f>'8.Dgia'!G1521</f>
        <v>0</v>
      </c>
      <c r="G2176" s="1772">
        <f>'8.Dgia'!H1521</f>
        <v>0</v>
      </c>
      <c r="H2176" s="1824"/>
      <c r="I2176" s="1825">
        <f>SUM(I2177:I2178)</f>
        <v>915552.66503722349</v>
      </c>
      <c r="J2176" s="850"/>
      <c r="K2176" s="850"/>
      <c r="L2176" s="850"/>
    </row>
    <row r="2177" spans="1:12" ht="15">
      <c r="B2177" s="1551" t="str">
        <f>'8.Dgia'!B1522</f>
        <v/>
      </c>
      <c r="C2177" s="1552">
        <f>'8.Dgia'!C1522</f>
        <v>0</v>
      </c>
      <c r="D2177" s="1552" t="str">
        <f>'8.Dgia'!D1522</f>
        <v>C3124</v>
      </c>
      <c r="E2177" s="1775" t="str">
        <f>'8.Dgia'!E1522</f>
        <v>Vữa bê tông đá 1x2 C20 SN 2-4</v>
      </c>
      <c r="F2177" s="1786" t="str">
        <f>'8.Dgia'!G1522</f>
        <v>m3</v>
      </c>
      <c r="G2177" s="1772">
        <f>'8.Dgia'!H1522</f>
        <v>1.0249999999999999</v>
      </c>
      <c r="H2177" s="1824">
        <f>GVL!$I$194</f>
        <v>884378.32894201751</v>
      </c>
      <c r="I2177" s="1824">
        <f>H2177*G2177</f>
        <v>906487.78716556786</v>
      </c>
    </row>
    <row r="2178" spans="1:12" ht="15">
      <c r="B2178" s="1551" t="str">
        <f>'8.Dgia'!B1523</f>
        <v/>
      </c>
      <c r="C2178" s="1552">
        <f>'8.Dgia'!C1523</f>
        <v>0</v>
      </c>
      <c r="D2178" s="1552">
        <f>'8.Dgia'!D1523</f>
        <v>0</v>
      </c>
      <c r="E2178" s="1775" t="str">
        <f>'8.Dgia'!E1523</f>
        <v>Vật liệu khác</v>
      </c>
      <c r="F2178" s="1786" t="str">
        <f>'8.Dgia'!G1523</f>
        <v>%</v>
      </c>
      <c r="G2178" s="1772">
        <f>'8.Dgia'!H1523</f>
        <v>1</v>
      </c>
      <c r="H2178" s="1824">
        <f>I2177</f>
        <v>906487.78716556786</v>
      </c>
      <c r="I2178" s="1824">
        <f>H2178*G2178%</f>
        <v>9064.877871655679</v>
      </c>
    </row>
    <row r="2179" spans="1:12" s="658" customFormat="1" ht="15">
      <c r="B2179" s="1551" t="str">
        <f>'8.Dgia'!B1524</f>
        <v/>
      </c>
      <c r="C2179" s="1552">
        <f>'8.Dgia'!C1524</f>
        <v>0</v>
      </c>
      <c r="D2179" s="1552">
        <f>'8.Dgia'!D1524</f>
        <v>0</v>
      </c>
      <c r="E2179" s="1770" t="str">
        <f>'8.Dgia'!E1524</f>
        <v xml:space="preserve">  B - Nhân công 3.0/7</v>
      </c>
      <c r="F2179" s="1745" t="s">
        <v>552</v>
      </c>
      <c r="G2179" s="1772">
        <f>'8.Dgia'!H1524</f>
        <v>1.64</v>
      </c>
      <c r="H2179" s="1824">
        <f>'16.NC'!$H$13</f>
        <v>219751</v>
      </c>
      <c r="I2179" s="1826">
        <f>H2179*G2179</f>
        <v>360391.63999999996</v>
      </c>
      <c r="J2179" s="850"/>
      <c r="K2179" s="850"/>
      <c r="L2179" s="850"/>
    </row>
    <row r="2180" spans="1:12" s="658" customFormat="1" ht="15">
      <c r="B2180" s="1551" t="str">
        <f>'8.Dgia'!B1525</f>
        <v/>
      </c>
      <c r="C2180" s="1552">
        <f>'8.Dgia'!C1525</f>
        <v>0</v>
      </c>
      <c r="D2180" s="1552">
        <f>'8.Dgia'!D1525</f>
        <v>0</v>
      </c>
      <c r="E2180" s="1770" t="str">
        <f>'8.Dgia'!E1525</f>
        <v xml:space="preserve">  C - Máy thi công</v>
      </c>
      <c r="F2180" s="1786">
        <f>'8.Dgia'!G1525</f>
        <v>0</v>
      </c>
      <c r="G2180" s="1772">
        <f>'8.Dgia'!H1525</f>
        <v>0</v>
      </c>
      <c r="H2180" s="1824"/>
      <c r="I2180" s="1827">
        <f>SUM(I2181:I2182)</f>
        <v>23796.9734775</v>
      </c>
      <c r="J2180" s="850"/>
      <c r="K2180" s="850"/>
      <c r="L2180" s="850"/>
    </row>
    <row r="2181" spans="1:12" ht="15">
      <c r="B2181" s="1551" t="str">
        <f>'8.Dgia'!B1526</f>
        <v/>
      </c>
      <c r="C2181" s="1552">
        <f>'8.Dgia'!C1526</f>
        <v>0</v>
      </c>
      <c r="D2181" s="1552">
        <f>'8.Dgia'!D1526</f>
        <v>0</v>
      </c>
      <c r="E2181" s="1775" t="str">
        <f>'8.Dgia'!E1526</f>
        <v>Máy trộn 250l</v>
      </c>
      <c r="F2181" s="1745" t="s">
        <v>5493</v>
      </c>
      <c r="G2181" s="1772">
        <f>'8.Dgia'!H1526</f>
        <v>9.5000000000000001E-2</v>
      </c>
      <c r="H2181" s="1824">
        <f>'9.may'!$P$333</f>
        <v>180447.90000000002</v>
      </c>
      <c r="I2181" s="1824">
        <f>H2181*G2181</f>
        <v>17142.550500000001</v>
      </c>
    </row>
    <row r="2182" spans="1:12" ht="15">
      <c r="B2182" s="1551" t="str">
        <f>'8.Dgia'!B1527</f>
        <v/>
      </c>
      <c r="C2182" s="1552">
        <f>'8.Dgia'!C1527</f>
        <v>0</v>
      </c>
      <c r="D2182" s="1552">
        <f>'8.Dgia'!D1527</f>
        <v>0</v>
      </c>
      <c r="E2182" s="1775" t="str">
        <f>'8.Dgia'!E1527</f>
        <v>Máy đầm dùi 1.5Kw</v>
      </c>
      <c r="F2182" s="1745" t="s">
        <v>5493</v>
      </c>
      <c r="G2182" s="1772">
        <f>'8.Dgia'!H1527</f>
        <v>8.8999999999999996E-2</v>
      </c>
      <c r="H2182" s="1824">
        <f>'9.may'!$P$382</f>
        <v>74768.797500000001</v>
      </c>
      <c r="I2182" s="1824">
        <f>H2182*G2182</f>
        <v>6654.4229774999994</v>
      </c>
    </row>
    <row r="2183" spans="1:12" s="658" customFormat="1" ht="15">
      <c r="B2183" s="1677"/>
      <c r="C2183" s="1678"/>
      <c r="D2183" s="1678"/>
      <c r="E2183" s="1828" t="s">
        <v>5675</v>
      </c>
      <c r="F2183" s="1786">
        <f>$J$5</f>
        <v>0.02</v>
      </c>
      <c r="G2183" s="1780"/>
      <c r="H2183" s="1829"/>
      <c r="I2183" s="1830">
        <f>( I2176+I2179+I2180 )*F2183</f>
        <v>25994.82557029447</v>
      </c>
      <c r="J2183" s="850"/>
      <c r="K2183" s="850"/>
      <c r="L2183" s="850"/>
    </row>
    <row r="2184" spans="1:12" ht="15">
      <c r="B2184" s="1556"/>
      <c r="C2184" s="1557"/>
      <c r="D2184" s="1557"/>
      <c r="E2184" s="1831" t="s">
        <v>5676</v>
      </c>
      <c r="F2184" s="1786"/>
      <c r="G2184" s="1783"/>
      <c r="H2184" s="1832"/>
      <c r="I2184" s="1833">
        <f>I2183+I2183/F2183</f>
        <v>1325736.1040850179</v>
      </c>
    </row>
    <row r="2185" spans="1:12" ht="15">
      <c r="B2185" s="1551"/>
      <c r="C2185" s="1552"/>
      <c r="D2185" s="1552"/>
      <c r="E2185" s="1834" t="s">
        <v>5677</v>
      </c>
      <c r="F2185" s="1786">
        <f>$K$5</f>
        <v>5.5E-2</v>
      </c>
      <c r="G2185" s="1772"/>
      <c r="H2185" s="1824"/>
      <c r="I2185" s="1835">
        <f>I2184*F2185</f>
        <v>72915.485724675993</v>
      </c>
    </row>
    <row r="2186" spans="1:12" ht="15">
      <c r="B2186" s="1551"/>
      <c r="C2186" s="1552"/>
      <c r="D2186" s="1552"/>
      <c r="E2186" s="1834" t="s">
        <v>5678</v>
      </c>
      <c r="F2186" s="1786">
        <f>$L$5</f>
        <v>0.06</v>
      </c>
      <c r="G2186" s="1772"/>
      <c r="H2186" s="1824"/>
      <c r="I2186" s="1835">
        <f>SUM(I2184:I2185)*F2186</f>
        <v>83919.095388581627</v>
      </c>
    </row>
    <row r="2187" spans="1:12" ht="14.25">
      <c r="B2187" s="1556"/>
      <c r="C2187" s="1557"/>
      <c r="D2187" s="1557"/>
      <c r="E2187" s="1831" t="s">
        <v>5679</v>
      </c>
      <c r="F2187" s="1787"/>
      <c r="G2187" s="1783"/>
      <c r="H2187" s="1832"/>
      <c r="I2187" s="1833">
        <f>SUM(I2184:I2186)</f>
        <v>1482570.6851982754</v>
      </c>
    </row>
    <row r="2188" spans="1:12" ht="15">
      <c r="B2188" s="1551"/>
      <c r="C2188" s="1552"/>
      <c r="D2188" s="1552"/>
      <c r="E2188" s="1834" t="s">
        <v>5680</v>
      </c>
      <c r="F2188" s="1788">
        <f>$M$5</f>
        <v>0.1</v>
      </c>
      <c r="G2188" s="1772"/>
      <c r="H2188" s="1824"/>
      <c r="I2188" s="1835">
        <f>I2187*F2188</f>
        <v>148257.06851982753</v>
      </c>
    </row>
    <row r="2189" spans="1:12" ht="14.25">
      <c r="B2189" s="1556"/>
      <c r="C2189" s="1557"/>
      <c r="D2189" s="1557"/>
      <c r="E2189" s="1831" t="s">
        <v>5681</v>
      </c>
      <c r="F2189" s="1787"/>
      <c r="G2189" s="1783"/>
      <c r="H2189" s="1832"/>
      <c r="I2189" s="1833">
        <f>SUM(I2187:I2188)</f>
        <v>1630827.7537181028</v>
      </c>
    </row>
    <row r="2190" spans="1:12" ht="12.75">
      <c r="B2190" s="1551"/>
      <c r="C2190" s="1552"/>
      <c r="D2190" s="1552"/>
      <c r="E2190" s="1558" t="s">
        <v>5682</v>
      </c>
      <c r="F2190" s="1560">
        <f>$N$5</f>
        <v>0.01</v>
      </c>
      <c r="G2190" s="1553"/>
      <c r="H2190" s="1554"/>
      <c r="I2190" s="1559">
        <f>I2189*F2190</f>
        <v>16308.277537181029</v>
      </c>
    </row>
    <row r="2191" spans="1:12" ht="14.25">
      <c r="B2191" s="2123"/>
      <c r="C2191" s="1561"/>
      <c r="D2191" s="2124"/>
      <c r="E2191" s="2112" t="s">
        <v>5683</v>
      </c>
      <c r="F2191" s="2113"/>
      <c r="G2191" s="2125"/>
      <c r="H2191" s="2126"/>
      <c r="I2191" s="2110">
        <f>ROUND(I2189+I2190,-2)</f>
        <v>1647100</v>
      </c>
    </row>
    <row r="2192" spans="1:12" ht="28.5">
      <c r="A2192" s="657">
        <v>1</v>
      </c>
      <c r="B2192" s="1546">
        <f>IF(A2192&lt;&gt;0,COUNTA(A$7:$A2192),"")</f>
        <v>121</v>
      </c>
      <c r="C2192" s="1550">
        <f>'8.Dgia'!C1528</f>
        <v>1776</v>
      </c>
      <c r="D2192" s="1550" t="str">
        <f>'8.Dgia'!D1528</f>
        <v>AC.22000</v>
      </c>
      <c r="E2192" s="1766" t="s">
        <v>5983</v>
      </c>
      <c r="F2192" s="1794" t="s">
        <v>543</v>
      </c>
      <c r="G2192" s="1768">
        <f>'8.Dgia'!H1528</f>
        <v>0</v>
      </c>
      <c r="H2192" s="1823"/>
      <c r="I2192" s="1823"/>
      <c r="J2192" s="842">
        <f>+I2193</f>
        <v>343338.15</v>
      </c>
    </row>
    <row r="2193" spans="1:12" s="658" customFormat="1" ht="15">
      <c r="B2193" s="1551" t="str">
        <f>'8.Dgia'!B1529</f>
        <v/>
      </c>
      <c r="C2193" s="1552">
        <f>'8.Dgia'!C1529</f>
        <v>0</v>
      </c>
      <c r="D2193" s="1552">
        <f>'8.Dgia'!D1529</f>
        <v>0</v>
      </c>
      <c r="E2193" s="1770" t="str">
        <f>'8.Dgia'!E1529</f>
        <v xml:space="preserve">  A - Vật liệu</v>
      </c>
      <c r="F2193" s="1786">
        <f>'8.Dgia'!G1529</f>
        <v>0</v>
      </c>
      <c r="G2193" s="1772">
        <f>'8.Dgia'!H1529</f>
        <v>0</v>
      </c>
      <c r="H2193" s="1824"/>
      <c r="I2193" s="1825">
        <f>SUM(I2194:I2195)</f>
        <v>343338.15</v>
      </c>
      <c r="J2193" s="850"/>
      <c r="K2193" s="850"/>
      <c r="L2193" s="850"/>
    </row>
    <row r="2194" spans="1:12" ht="15">
      <c r="B2194" s="1551" t="str">
        <f>'8.Dgia'!B1530</f>
        <v/>
      </c>
      <c r="C2194" s="1552">
        <f>'8.Dgia'!C1530</f>
        <v>0</v>
      </c>
      <c r="D2194" s="1552">
        <f>'8.Dgia'!D1530</f>
        <v>0</v>
      </c>
      <c r="E2194" s="1775" t="str">
        <f>'8.Dgia'!E1530</f>
        <v>Cọc ván thép</v>
      </c>
      <c r="F2194" s="1786" t="str">
        <f>'8.Dgia'!G1530</f>
        <v xml:space="preserve"> m </v>
      </c>
      <c r="G2194" s="1772">
        <f>'8.Dgia'!H1530/100</f>
        <v>0.26900000000000002</v>
      </c>
      <c r="H2194" s="1824">
        <f>GVL!$I$46</f>
        <v>1270000</v>
      </c>
      <c r="I2194" s="1824">
        <f>H2194*G2194</f>
        <v>341630</v>
      </c>
    </row>
    <row r="2195" spans="1:12" ht="15">
      <c r="B2195" s="1551" t="str">
        <f>'8.Dgia'!B1531</f>
        <v/>
      </c>
      <c r="C2195" s="1552">
        <f>'8.Dgia'!C1531</f>
        <v>0</v>
      </c>
      <c r="D2195" s="1552">
        <f>'8.Dgia'!D1531</f>
        <v>0</v>
      </c>
      <c r="E2195" s="1775" t="str">
        <f>'8.Dgia'!E1531</f>
        <v>Vật liệu khác</v>
      </c>
      <c r="F2195" s="1786" t="str">
        <f>'8.Dgia'!G1531</f>
        <v>%</v>
      </c>
      <c r="G2195" s="1772">
        <f>'8.Dgia'!H1531</f>
        <v>0.5</v>
      </c>
      <c r="H2195" s="1824">
        <f>I2194</f>
        <v>341630</v>
      </c>
      <c r="I2195" s="1824">
        <f>H2195*G2195%</f>
        <v>1708.15</v>
      </c>
    </row>
    <row r="2196" spans="1:12" s="658" customFormat="1" ht="15">
      <c r="B2196" s="1677"/>
      <c r="C2196" s="1678"/>
      <c r="D2196" s="1678"/>
      <c r="E2196" s="1828" t="s">
        <v>5675</v>
      </c>
      <c r="F2196" s="1786">
        <f>$J$5</f>
        <v>0.02</v>
      </c>
      <c r="G2196" s="1780"/>
      <c r="H2196" s="1829"/>
      <c r="I2196" s="1830">
        <f>( I2193 )*F2196</f>
        <v>6866.7630000000008</v>
      </c>
      <c r="J2196" s="850"/>
      <c r="K2196" s="850"/>
      <c r="L2196" s="850"/>
    </row>
    <row r="2197" spans="1:12" ht="15">
      <c r="B2197" s="1556"/>
      <c r="C2197" s="1557"/>
      <c r="D2197" s="1557"/>
      <c r="E2197" s="1831" t="s">
        <v>5676</v>
      </c>
      <c r="F2197" s="1786"/>
      <c r="G2197" s="1783"/>
      <c r="H2197" s="1832"/>
      <c r="I2197" s="1833">
        <f>I2196+I2196/F2196</f>
        <v>350204.913</v>
      </c>
    </row>
    <row r="2198" spans="1:12" ht="15">
      <c r="B2198" s="1551"/>
      <c r="C2198" s="1552"/>
      <c r="D2198" s="1552"/>
      <c r="E2198" s="1834" t="s">
        <v>5677</v>
      </c>
      <c r="F2198" s="1786">
        <f>$K$5</f>
        <v>5.5E-2</v>
      </c>
      <c r="G2198" s="1772"/>
      <c r="H2198" s="1824"/>
      <c r="I2198" s="1835">
        <f>I2197*F2198</f>
        <v>19261.270215</v>
      </c>
    </row>
    <row r="2199" spans="1:12" ht="15">
      <c r="B2199" s="1551"/>
      <c r="C2199" s="1552"/>
      <c r="D2199" s="1552"/>
      <c r="E2199" s="1834" t="s">
        <v>5678</v>
      </c>
      <c r="F2199" s="1786">
        <f>$L$5</f>
        <v>0.06</v>
      </c>
      <c r="G2199" s="1772"/>
      <c r="H2199" s="1824"/>
      <c r="I2199" s="1835">
        <f>SUM(I2197:I2198)*F2199</f>
        <v>22167.970992900002</v>
      </c>
    </row>
    <row r="2200" spans="1:12" ht="14.25">
      <c r="B2200" s="1556"/>
      <c r="C2200" s="1557"/>
      <c r="D2200" s="1557"/>
      <c r="E2200" s="1831" t="s">
        <v>5679</v>
      </c>
      <c r="F2200" s="1787"/>
      <c r="G2200" s="1783"/>
      <c r="H2200" s="1832"/>
      <c r="I2200" s="1833">
        <f>SUM(I2197:I2199)</f>
        <v>391634.15420790005</v>
      </c>
    </row>
    <row r="2201" spans="1:12" ht="15">
      <c r="B2201" s="1551"/>
      <c r="C2201" s="1552"/>
      <c r="D2201" s="1552"/>
      <c r="E2201" s="1834" t="s">
        <v>5680</v>
      </c>
      <c r="F2201" s="1788">
        <f>$M$5</f>
        <v>0.1</v>
      </c>
      <c r="G2201" s="1772"/>
      <c r="H2201" s="1824"/>
      <c r="I2201" s="1835">
        <f>I2200*F2201</f>
        <v>39163.415420790006</v>
      </c>
    </row>
    <row r="2202" spans="1:12" ht="14.25">
      <c r="B2202" s="1556"/>
      <c r="C2202" s="1557"/>
      <c r="D2202" s="1557"/>
      <c r="E2202" s="1831" t="s">
        <v>5681</v>
      </c>
      <c r="F2202" s="1787"/>
      <c r="G2202" s="1783"/>
      <c r="H2202" s="1832"/>
      <c r="I2202" s="1833">
        <f>SUM(I2200:I2201)</f>
        <v>430797.56962869008</v>
      </c>
    </row>
    <row r="2203" spans="1:12" ht="12.75">
      <c r="B2203" s="1551"/>
      <c r="C2203" s="1552"/>
      <c r="D2203" s="1552"/>
      <c r="E2203" s="1558" t="s">
        <v>5682</v>
      </c>
      <c r="F2203" s="1560">
        <f>$N$5</f>
        <v>0.01</v>
      </c>
      <c r="G2203" s="1553"/>
      <c r="H2203" s="1554"/>
      <c r="I2203" s="1559">
        <f>I2202*F2203</f>
        <v>4307.9756962869005</v>
      </c>
    </row>
    <row r="2204" spans="1:12" ht="14.25">
      <c r="B2204" s="2123"/>
      <c r="C2204" s="1561"/>
      <c r="D2204" s="2124"/>
      <c r="E2204" s="2112" t="s">
        <v>5683</v>
      </c>
      <c r="F2204" s="2113"/>
      <c r="G2204" s="2125"/>
      <c r="H2204" s="2126"/>
      <c r="I2204" s="2110">
        <f>ROUND(I2202+I2203,-2)</f>
        <v>435100</v>
      </c>
    </row>
    <row r="2205" spans="1:12" ht="28.5">
      <c r="A2205" s="657">
        <v>1</v>
      </c>
      <c r="B2205" s="1546">
        <f>IF(A2205&lt;&gt;0,COUNTA(A$7:$A2205),"")</f>
        <v>122</v>
      </c>
      <c r="C2205" s="1550">
        <f>'8.Dgia'!C1532</f>
        <v>1776</v>
      </c>
      <c r="D2205" s="1550" t="str">
        <f>'8.Dgia'!D1532</f>
        <v>AC.22121</v>
      </c>
      <c r="E2205" s="1766" t="s">
        <v>5982</v>
      </c>
      <c r="F2205" s="1794" t="s">
        <v>543</v>
      </c>
      <c r="G2205" s="1768">
        <f>'8.Dgia'!H1532</f>
        <v>0</v>
      </c>
      <c r="H2205" s="1823"/>
      <c r="I2205" s="1823"/>
      <c r="J2205" s="842">
        <f>+I2206</f>
        <v>134272.01999999999</v>
      </c>
    </row>
    <row r="2206" spans="1:12" s="658" customFormat="1" ht="15">
      <c r="B2206" s="1551" t="str">
        <f>'8.Dgia'!B1533</f>
        <v/>
      </c>
      <c r="C2206" s="1552">
        <f>'8.Dgia'!C1533</f>
        <v>0</v>
      </c>
      <c r="D2206" s="1552">
        <f>'8.Dgia'!D1533</f>
        <v>0</v>
      </c>
      <c r="E2206" s="1770" t="str">
        <f>'8.Dgia'!E1533</f>
        <v xml:space="preserve">  A - Vật liệu</v>
      </c>
      <c r="F2206" s="1786">
        <f>'8.Dgia'!G1533</f>
        <v>0</v>
      </c>
      <c r="G2206" s="1772">
        <f>'8.Dgia'!H1533</f>
        <v>0</v>
      </c>
      <c r="H2206" s="1824"/>
      <c r="I2206" s="1825">
        <f>SUM(I2207:I2208)</f>
        <v>134272.01999999999</v>
      </c>
      <c r="J2206" s="850"/>
      <c r="K2206" s="850"/>
      <c r="L2206" s="850"/>
    </row>
    <row r="2207" spans="1:12" ht="15">
      <c r="B2207" s="1551" t="str">
        <f>'8.Dgia'!B1534</f>
        <v/>
      </c>
      <c r="C2207" s="1552">
        <f>'8.Dgia'!C1534</f>
        <v>0</v>
      </c>
      <c r="D2207" s="1552">
        <f>'8.Dgia'!D1534</f>
        <v>0</v>
      </c>
      <c r="E2207" s="1775" t="str">
        <f>'8.Dgia'!E1534</f>
        <v>Cọc ván thép</v>
      </c>
      <c r="F2207" s="1786" t="str">
        <f>'8.Dgia'!G1534</f>
        <v xml:space="preserve"> m </v>
      </c>
      <c r="G2207" s="1772">
        <f>'8.Dgia'!H1534/100</f>
        <v>0.1052</v>
      </c>
      <c r="H2207" s="1824">
        <f>GVL!$I$46</f>
        <v>1270000</v>
      </c>
      <c r="I2207" s="1824">
        <f>H2207*G2207</f>
        <v>133604</v>
      </c>
    </row>
    <row r="2208" spans="1:12" ht="15">
      <c r="B2208" s="1551" t="str">
        <f>'8.Dgia'!B1535</f>
        <v/>
      </c>
      <c r="C2208" s="1552">
        <f>'8.Dgia'!C1535</f>
        <v>0</v>
      </c>
      <c r="D2208" s="1552">
        <f>'8.Dgia'!D1535</f>
        <v>0</v>
      </c>
      <c r="E2208" s="1775" t="str">
        <f>'8.Dgia'!E1535</f>
        <v>Vật liệu khác</v>
      </c>
      <c r="F2208" s="1786" t="str">
        <f>'8.Dgia'!G1535</f>
        <v>%</v>
      </c>
      <c r="G2208" s="1772">
        <f>'8.Dgia'!H1535</f>
        <v>0.5</v>
      </c>
      <c r="H2208" s="1824">
        <f>I2207</f>
        <v>133604</v>
      </c>
      <c r="I2208" s="1824">
        <f>H2208*G2208%</f>
        <v>668.02</v>
      </c>
    </row>
    <row r="2209" spans="1:12" s="658" customFormat="1" ht="15">
      <c r="B2209" s="1677"/>
      <c r="C2209" s="1678"/>
      <c r="D2209" s="1678"/>
      <c r="E2209" s="1828" t="s">
        <v>5675</v>
      </c>
      <c r="F2209" s="1786">
        <f>$J$5</f>
        <v>0.02</v>
      </c>
      <c r="G2209" s="1780"/>
      <c r="H2209" s="1829"/>
      <c r="I2209" s="1830">
        <f>( I2206 )*F2209</f>
        <v>2685.4404</v>
      </c>
      <c r="J2209" s="850"/>
      <c r="K2209" s="850"/>
      <c r="L2209" s="850"/>
    </row>
    <row r="2210" spans="1:12" ht="15">
      <c r="B2210" s="1556"/>
      <c r="C2210" s="1557"/>
      <c r="D2210" s="1557"/>
      <c r="E2210" s="1831" t="s">
        <v>5676</v>
      </c>
      <c r="F2210" s="1786"/>
      <c r="G2210" s="1783"/>
      <c r="H2210" s="1832"/>
      <c r="I2210" s="1833">
        <f>I2209+I2209/F2209</f>
        <v>136957.46039999998</v>
      </c>
    </row>
    <row r="2211" spans="1:12" ht="15">
      <c r="B2211" s="1551"/>
      <c r="C2211" s="1552"/>
      <c r="D2211" s="1552"/>
      <c r="E2211" s="1834" t="s">
        <v>5677</v>
      </c>
      <c r="F2211" s="1786">
        <f>$K$5</f>
        <v>5.5E-2</v>
      </c>
      <c r="G2211" s="1772"/>
      <c r="H2211" s="1824"/>
      <c r="I2211" s="1835">
        <f>I2210*F2211</f>
        <v>7532.6603219999988</v>
      </c>
    </row>
    <row r="2212" spans="1:12" ht="15">
      <c r="B2212" s="1551"/>
      <c r="C2212" s="1552"/>
      <c r="D2212" s="1552"/>
      <c r="E2212" s="1834" t="s">
        <v>5678</v>
      </c>
      <c r="F2212" s="1786">
        <f>$L$5</f>
        <v>0.06</v>
      </c>
      <c r="G2212" s="1772"/>
      <c r="H2212" s="1824"/>
      <c r="I2212" s="1835">
        <f>SUM(I2210:I2211)*F2212</f>
        <v>8669.4072433199999</v>
      </c>
    </row>
    <row r="2213" spans="1:12" ht="14.25">
      <c r="B2213" s="1556"/>
      <c r="C2213" s="1557"/>
      <c r="D2213" s="1557"/>
      <c r="E2213" s="1831" t="s">
        <v>5679</v>
      </c>
      <c r="F2213" s="1787"/>
      <c r="G2213" s="1783"/>
      <c r="H2213" s="1832"/>
      <c r="I2213" s="1833">
        <f>SUM(I2210:I2212)</f>
        <v>153159.52796531998</v>
      </c>
    </row>
    <row r="2214" spans="1:12" ht="15">
      <c r="B2214" s="1551"/>
      <c r="C2214" s="1552"/>
      <c r="D2214" s="1552"/>
      <c r="E2214" s="1834" t="s">
        <v>5680</v>
      </c>
      <c r="F2214" s="1788">
        <f>$M$5</f>
        <v>0.1</v>
      </c>
      <c r="G2214" s="1772"/>
      <c r="H2214" s="1824"/>
      <c r="I2214" s="1835">
        <f>I2213*F2214</f>
        <v>15315.952796531999</v>
      </c>
    </row>
    <row r="2215" spans="1:12" ht="14.25">
      <c r="B2215" s="1556"/>
      <c r="C2215" s="1557"/>
      <c r="D2215" s="1557"/>
      <c r="E2215" s="1831" t="s">
        <v>5681</v>
      </c>
      <c r="F2215" s="1787"/>
      <c r="G2215" s="1783"/>
      <c r="H2215" s="1832"/>
      <c r="I2215" s="1833">
        <f>SUM(I2213:I2214)</f>
        <v>168475.48076185197</v>
      </c>
    </row>
    <row r="2216" spans="1:12" ht="12.75">
      <c r="B2216" s="1551"/>
      <c r="C2216" s="1552"/>
      <c r="D2216" s="1552"/>
      <c r="E2216" s="1558" t="s">
        <v>5682</v>
      </c>
      <c r="F2216" s="1560">
        <f>$N$5</f>
        <v>0.01</v>
      </c>
      <c r="G2216" s="1553"/>
      <c r="H2216" s="1554"/>
      <c r="I2216" s="1559">
        <f>I2215*F2216</f>
        <v>1684.7548076185196</v>
      </c>
    </row>
    <row r="2217" spans="1:12" ht="14.25">
      <c r="B2217" s="2123"/>
      <c r="C2217" s="1561"/>
      <c r="D2217" s="2124"/>
      <c r="E2217" s="2112" t="s">
        <v>5683</v>
      </c>
      <c r="F2217" s="2113"/>
      <c r="G2217" s="2125"/>
      <c r="H2217" s="2126"/>
      <c r="I2217" s="2110">
        <f>ROUND(I2215+I2216,-2)</f>
        <v>170200</v>
      </c>
    </row>
    <row r="2218" spans="1:12" ht="28.5">
      <c r="A2218" s="657">
        <v>1</v>
      </c>
      <c r="B2218" s="1546">
        <f>IF(A2218&lt;&gt;0,COUNTA(A$7:$A2218),"")</f>
        <v>123</v>
      </c>
      <c r="C2218" s="1550">
        <f>'8.Dgia'!C1536</f>
        <v>1776</v>
      </c>
      <c r="D2218" s="1550" t="str">
        <f>'8.Dgia'!D1536</f>
        <v>AC.22111</v>
      </c>
      <c r="E2218" s="1766" t="s">
        <v>5981</v>
      </c>
      <c r="F2218" s="1794" t="s">
        <v>543</v>
      </c>
      <c r="G2218" s="1768">
        <f>'8.Dgia'!H1536</f>
        <v>0</v>
      </c>
      <c r="H2218" s="1823"/>
      <c r="I2218" s="1823"/>
      <c r="J2218" s="842">
        <f>+I2219</f>
        <v>59605.545000000006</v>
      </c>
    </row>
    <row r="2219" spans="1:12" s="658" customFormat="1" ht="15">
      <c r="B2219" s="1551" t="str">
        <f>'8.Dgia'!B1537</f>
        <v/>
      </c>
      <c r="C2219" s="1552">
        <f>'8.Dgia'!C1537</f>
        <v>0</v>
      </c>
      <c r="D2219" s="1552">
        <f>'8.Dgia'!D1537</f>
        <v>0</v>
      </c>
      <c r="E2219" s="1770" t="str">
        <f>'8.Dgia'!E1537</f>
        <v xml:space="preserve">  A - Vật liệu</v>
      </c>
      <c r="F2219" s="1786">
        <f>'8.Dgia'!G1537</f>
        <v>0</v>
      </c>
      <c r="G2219" s="1772">
        <f>'8.Dgia'!H1537</f>
        <v>0</v>
      </c>
      <c r="H2219" s="1824"/>
      <c r="I2219" s="1825">
        <f>SUM(I2220:I2221)</f>
        <v>59605.545000000006</v>
      </c>
      <c r="J2219" s="850"/>
      <c r="K2219" s="850"/>
      <c r="L2219" s="850"/>
    </row>
    <row r="2220" spans="1:12" ht="15">
      <c r="B2220" s="1551" t="str">
        <f>'8.Dgia'!B1538</f>
        <v/>
      </c>
      <c r="C2220" s="1552">
        <f>'8.Dgia'!C1538</f>
        <v>0</v>
      </c>
      <c r="D2220" s="1552">
        <f>'8.Dgia'!D1538</f>
        <v>0</v>
      </c>
      <c r="E2220" s="1775" t="str">
        <f>'8.Dgia'!E1538</f>
        <v>Cọc ván thép</v>
      </c>
      <c r="F2220" s="1786" t="str">
        <f>'8.Dgia'!G1538</f>
        <v xml:space="preserve"> m </v>
      </c>
      <c r="G2220" s="1772">
        <f>'8.Dgia'!H1538/100</f>
        <v>4.6700000000000005E-2</v>
      </c>
      <c r="H2220" s="1824">
        <f>GVL!$I$46</f>
        <v>1270000</v>
      </c>
      <c r="I2220" s="1824">
        <f>H2220*G2220</f>
        <v>59309.000000000007</v>
      </c>
    </row>
    <row r="2221" spans="1:12" ht="15">
      <c r="B2221" s="1551" t="str">
        <f>'8.Dgia'!B1539</f>
        <v/>
      </c>
      <c r="C2221" s="1552">
        <f>'8.Dgia'!C1539</f>
        <v>0</v>
      </c>
      <c r="D2221" s="1552">
        <f>'8.Dgia'!D1539</f>
        <v>0</v>
      </c>
      <c r="E2221" s="1775" t="str">
        <f>'8.Dgia'!E1539</f>
        <v>Vật liệu khác</v>
      </c>
      <c r="F2221" s="1786" t="str">
        <f>'8.Dgia'!G1539</f>
        <v>%</v>
      </c>
      <c r="G2221" s="1964">
        <f>'8.Dgia'!H1539</f>
        <v>0.5</v>
      </c>
      <c r="H2221" s="1824">
        <f>I2220</f>
        <v>59309.000000000007</v>
      </c>
      <c r="I2221" s="1824">
        <f>H2221*G2221%</f>
        <v>296.54500000000002</v>
      </c>
    </row>
    <row r="2222" spans="1:12" s="658" customFormat="1" ht="15">
      <c r="B2222" s="1677"/>
      <c r="C2222" s="1678"/>
      <c r="D2222" s="1678"/>
      <c r="E2222" s="1828" t="s">
        <v>5675</v>
      </c>
      <c r="F2222" s="1786">
        <f>$J$5</f>
        <v>0.02</v>
      </c>
      <c r="G2222" s="1780"/>
      <c r="H2222" s="1829"/>
      <c r="I2222" s="1830">
        <f>( I2219 )*F2222</f>
        <v>1192.1109000000001</v>
      </c>
      <c r="J2222" s="850"/>
      <c r="K2222" s="850"/>
      <c r="L2222" s="850"/>
    </row>
    <row r="2223" spans="1:12" ht="15">
      <c r="B2223" s="1556"/>
      <c r="C2223" s="1557"/>
      <c r="D2223" s="1557"/>
      <c r="E2223" s="1831" t="s">
        <v>5676</v>
      </c>
      <c r="F2223" s="1786"/>
      <c r="G2223" s="1783"/>
      <c r="H2223" s="1832"/>
      <c r="I2223" s="1833">
        <f>I2222+I2222/F2222</f>
        <v>60797.655900000005</v>
      </c>
    </row>
    <row r="2224" spans="1:12" ht="15">
      <c r="B2224" s="1551"/>
      <c r="C2224" s="1552"/>
      <c r="D2224" s="1552"/>
      <c r="E2224" s="1834" t="s">
        <v>5677</v>
      </c>
      <c r="F2224" s="1786">
        <f>$K$5</f>
        <v>5.5E-2</v>
      </c>
      <c r="G2224" s="1772"/>
      <c r="H2224" s="1824"/>
      <c r="I2224" s="1835">
        <f>I2223*F2224</f>
        <v>3343.8710745000003</v>
      </c>
    </row>
    <row r="2225" spans="1:12" ht="15">
      <c r="B2225" s="1551"/>
      <c r="C2225" s="1552"/>
      <c r="D2225" s="1552"/>
      <c r="E2225" s="1834" t="s">
        <v>5678</v>
      </c>
      <c r="F2225" s="1786">
        <f>$L$5</f>
        <v>0.06</v>
      </c>
      <c r="G2225" s="1772"/>
      <c r="H2225" s="1824"/>
      <c r="I2225" s="1835">
        <f>SUM(I2223:I2224)*F2225</f>
        <v>3848.49161847</v>
      </c>
    </row>
    <row r="2226" spans="1:12" ht="14.25">
      <c r="B2226" s="1556"/>
      <c r="C2226" s="1557"/>
      <c r="D2226" s="1557"/>
      <c r="E2226" s="1831" t="s">
        <v>5679</v>
      </c>
      <c r="F2226" s="1787"/>
      <c r="G2226" s="1783"/>
      <c r="H2226" s="1832"/>
      <c r="I2226" s="1833">
        <f>SUM(I2223:I2225)</f>
        <v>67990.018592970009</v>
      </c>
    </row>
    <row r="2227" spans="1:12" ht="15">
      <c r="B2227" s="1551"/>
      <c r="C2227" s="1552"/>
      <c r="D2227" s="1552"/>
      <c r="E2227" s="1834" t="s">
        <v>5680</v>
      </c>
      <c r="F2227" s="1788">
        <f>$M$5</f>
        <v>0.1</v>
      </c>
      <c r="G2227" s="1772"/>
      <c r="H2227" s="1824"/>
      <c r="I2227" s="1835">
        <f>I2226*F2227</f>
        <v>6799.0018592970009</v>
      </c>
    </row>
    <row r="2228" spans="1:12" ht="14.25">
      <c r="B2228" s="1556"/>
      <c r="C2228" s="1557"/>
      <c r="D2228" s="1557"/>
      <c r="E2228" s="1831" t="s">
        <v>5681</v>
      </c>
      <c r="F2228" s="1787"/>
      <c r="G2228" s="1783"/>
      <c r="H2228" s="1832"/>
      <c r="I2228" s="1833">
        <f>SUM(I2226:I2227)</f>
        <v>74789.02045226701</v>
      </c>
    </row>
    <row r="2229" spans="1:12" ht="12.75">
      <c r="B2229" s="1551"/>
      <c r="C2229" s="1552"/>
      <c r="D2229" s="1552"/>
      <c r="E2229" s="1558" t="s">
        <v>5682</v>
      </c>
      <c r="F2229" s="1560">
        <f>$N$5</f>
        <v>0.01</v>
      </c>
      <c r="G2229" s="1553"/>
      <c r="H2229" s="1554"/>
      <c r="I2229" s="1559">
        <f>I2228*F2229</f>
        <v>747.89020452267016</v>
      </c>
    </row>
    <row r="2230" spans="1:12" ht="14.25">
      <c r="B2230" s="2123"/>
      <c r="C2230" s="1561"/>
      <c r="D2230" s="2124"/>
      <c r="E2230" s="2112" t="s">
        <v>5683</v>
      </c>
      <c r="F2230" s="2113"/>
      <c r="G2230" s="2125"/>
      <c r="H2230" s="2126"/>
      <c r="I2230" s="2110">
        <f>ROUND(I2228+I2229,-2)</f>
        <v>75500</v>
      </c>
    </row>
    <row r="2231" spans="1:12" ht="31.5" customHeight="1">
      <c r="A2231" s="657">
        <v>1</v>
      </c>
      <c r="B2231" s="1546">
        <f>IF(A2231&lt;&gt;0,COUNTA(A$7:$A2231),"")</f>
        <v>124</v>
      </c>
      <c r="C2231" s="1550">
        <f>'8.Dgia'!C1560</f>
        <v>1776</v>
      </c>
      <c r="D2231" s="1550" t="str">
        <f>'8.Dgia'!D1560</f>
        <v>AI.11912</v>
      </c>
      <c r="E2231" s="1766" t="str">
        <f>'8.Dgia'!E1560</f>
        <v>Liên kết ngang, thanh giằng (KHVL chính=(2%/tháng*20 tháng +7%)</v>
      </c>
      <c r="F2231" s="1789" t="s">
        <v>557</v>
      </c>
      <c r="G2231" s="1768">
        <f>'8.Dgia'!H1560</f>
        <v>0</v>
      </c>
      <c r="H2231" s="1823"/>
      <c r="I2231" s="1836"/>
      <c r="J2231" s="842">
        <f>+I2232</f>
        <v>8762684.8713359479</v>
      </c>
      <c r="K2231" s="842">
        <f>+I2239</f>
        <v>5806790.6399999997</v>
      </c>
      <c r="L2231" s="842">
        <f>+I2240</f>
        <v>1271422.0785818181</v>
      </c>
    </row>
    <row r="2232" spans="1:12" ht="15">
      <c r="B2232" s="1551" t="str">
        <f>'8.Dgia'!B1561</f>
        <v/>
      </c>
      <c r="C2232" s="1552">
        <f>'8.Dgia'!C1561</f>
        <v>0</v>
      </c>
      <c r="D2232" s="1552">
        <f>'8.Dgia'!D1561</f>
        <v>0</v>
      </c>
      <c r="E2232" s="1770" t="str">
        <f>'8.Dgia'!E1561</f>
        <v xml:space="preserve">  A - Vật liệu</v>
      </c>
      <c r="F2232" s="1786">
        <f>'8.Dgia'!G1561</f>
        <v>0</v>
      </c>
      <c r="G2232" s="1772">
        <f>'8.Dgia'!H1561</f>
        <v>0</v>
      </c>
      <c r="H2232" s="1824"/>
      <c r="I2232" s="1825">
        <f>SUM(I2233:I2238)</f>
        <v>8762684.8713359479</v>
      </c>
    </row>
    <row r="2233" spans="1:12" ht="15">
      <c r="B2233" s="1551" t="str">
        <f>'8.Dgia'!B1562</f>
        <v/>
      </c>
      <c r="C2233" s="1552">
        <f>'8.Dgia'!C1562</f>
        <v>0</v>
      </c>
      <c r="D2233" s="1552" t="str">
        <f>'8.Dgia'!D1562</f>
        <v>KH</v>
      </c>
      <c r="E2233" s="1775" t="str">
        <f>'8.Dgia'!E1562</f>
        <v>Thép hình</v>
      </c>
      <c r="F2233" s="1786" t="str">
        <f>'8.Dgia'!G1562</f>
        <v xml:space="preserve"> kg </v>
      </c>
      <c r="G2233" s="1772">
        <f>'8.Dgia'!H1562</f>
        <v>327.98950000000002</v>
      </c>
      <c r="H2233" s="1824">
        <f>GVL!$I$170</f>
        <v>16703.248369172808</v>
      </c>
      <c r="I2233" s="1824">
        <f t="shared" ref="I2233:I2239" si="15">H2233*G2233</f>
        <v>5478490.0809808047</v>
      </c>
    </row>
    <row r="2234" spans="1:12" ht="15">
      <c r="B2234" s="1551" t="str">
        <f>'8.Dgia'!B1563</f>
        <v/>
      </c>
      <c r="C2234" s="1552">
        <f>'8.Dgia'!C1563</f>
        <v>0</v>
      </c>
      <c r="D2234" s="1552" t="str">
        <f>'8.Dgia'!D1563</f>
        <v>KH</v>
      </c>
      <c r="E2234" s="1775" t="str">
        <f>'8.Dgia'!E1563</f>
        <v>Thép tấm</v>
      </c>
      <c r="F2234" s="1786" t="str">
        <f>'8.Dgia'!G1563</f>
        <v>kg</v>
      </c>
      <c r="G2234" s="1772">
        <f>'8.Dgia'!H1563</f>
        <v>170.2105</v>
      </c>
      <c r="H2234" s="1824">
        <f>GVL!$I$175</f>
        <v>12871.348287272725</v>
      </c>
      <c r="I2234" s="1824">
        <f t="shared" si="15"/>
        <v>2190838.6276508342</v>
      </c>
    </row>
    <row r="2235" spans="1:12" ht="15">
      <c r="B2235" s="1551" t="str">
        <f>'8.Dgia'!B1564</f>
        <v/>
      </c>
      <c r="C2235" s="1552">
        <f>'8.Dgia'!C1564</f>
        <v>0</v>
      </c>
      <c r="D2235" s="1552">
        <f>'8.Dgia'!D1564</f>
        <v>0</v>
      </c>
      <c r="E2235" s="1775" t="str">
        <f>'8.Dgia'!E1564</f>
        <v>Que hàn</v>
      </c>
      <c r="F2235" s="1786" t="str">
        <f>'8.Dgia'!G1564</f>
        <v>kg</v>
      </c>
      <c r="G2235" s="1965">
        <f>'8.Dgia'!H1564</f>
        <v>24.15</v>
      </c>
      <c r="H2235" s="1824">
        <f>GVL!$I$153</f>
        <v>19090.909090909088</v>
      </c>
      <c r="I2235" s="1824">
        <f t="shared" si="15"/>
        <v>461045.45454545447</v>
      </c>
    </row>
    <row r="2236" spans="1:12" ht="15">
      <c r="B2236" s="1551" t="str">
        <f>'8.Dgia'!B1565</f>
        <v/>
      </c>
      <c r="C2236" s="1552">
        <f>'8.Dgia'!C1565</f>
        <v>0</v>
      </c>
      <c r="D2236" s="1552">
        <f>'8.Dgia'!D1565</f>
        <v>0</v>
      </c>
      <c r="E2236" s="1775" t="str">
        <f>'8.Dgia'!E1565</f>
        <v>Ô xy</v>
      </c>
      <c r="F2236" s="1763" t="s">
        <v>565</v>
      </c>
      <c r="G2236" s="1965">
        <f>'8.Dgia'!H1565</f>
        <v>2.1</v>
      </c>
      <c r="H2236" s="1824">
        <f>GVL!$I$130</f>
        <v>48000</v>
      </c>
      <c r="I2236" s="1824">
        <f t="shared" si="15"/>
        <v>100800</v>
      </c>
    </row>
    <row r="2237" spans="1:12" ht="15">
      <c r="B2237" s="1551" t="str">
        <f>'8.Dgia'!B1566</f>
        <v/>
      </c>
      <c r="C2237" s="1552">
        <f>'8.Dgia'!C1566</f>
        <v>0</v>
      </c>
      <c r="D2237" s="1552">
        <f>'8.Dgia'!D1566</f>
        <v>0</v>
      </c>
      <c r="E2237" s="1775" t="str">
        <f>'8.Dgia'!E1566</f>
        <v>Đất đèn</v>
      </c>
      <c r="F2237" s="1786" t="str">
        <f>'8.Dgia'!G1566</f>
        <v>kg</v>
      </c>
      <c r="G2237" s="1965">
        <f>'8.Dgia'!H1566</f>
        <v>8.4</v>
      </c>
      <c r="H2237" s="1824">
        <f>GVL!$I$68</f>
        <v>13600</v>
      </c>
      <c r="I2237" s="1824">
        <f t="shared" si="15"/>
        <v>114240</v>
      </c>
    </row>
    <row r="2238" spans="1:12" ht="15">
      <c r="B2238" s="1551" t="str">
        <f>'8.Dgia'!B1567</f>
        <v/>
      </c>
      <c r="C2238" s="1552">
        <f>'8.Dgia'!C1567</f>
        <v>0</v>
      </c>
      <c r="D2238" s="1552">
        <f>'8.Dgia'!D1567</f>
        <v>0</v>
      </c>
      <c r="E2238" s="1775" t="str">
        <f>'8.Dgia'!E1567</f>
        <v>Vật liệu khác</v>
      </c>
      <c r="F2238" s="1786" t="str">
        <f>'8.Dgia'!G1567</f>
        <v>%</v>
      </c>
      <c r="G2238" s="1965">
        <f>'8.Dgia'!H1567</f>
        <v>5</v>
      </c>
      <c r="H2238" s="1824">
        <f>SUM(I2233:I2237)</f>
        <v>8345414.1631770926</v>
      </c>
      <c r="I2238" s="1824">
        <f>H2238*G2238%</f>
        <v>417270.70815885463</v>
      </c>
    </row>
    <row r="2239" spans="1:12" ht="15">
      <c r="B2239" s="1551" t="str">
        <f>'8.Dgia'!B1568</f>
        <v/>
      </c>
      <c r="C2239" s="1552">
        <f>'8.Dgia'!C1568</f>
        <v>0</v>
      </c>
      <c r="D2239" s="1552">
        <f>'8.Dgia'!D1568</f>
        <v>0</v>
      </c>
      <c r="E2239" s="1770" t="str">
        <f>'8.Dgia'!E1568</f>
        <v xml:space="preserve">  B - Nhân công 4.0/7</v>
      </c>
      <c r="F2239" s="1745" t="s">
        <v>552</v>
      </c>
      <c r="G2239" s="1965">
        <f>'8.Dgia'!H1568</f>
        <v>22.61</v>
      </c>
      <c r="H2239" s="1824">
        <f>'16.NC'!$H$18</f>
        <v>256824</v>
      </c>
      <c r="I2239" s="1826">
        <f t="shared" si="15"/>
        <v>5806790.6399999997</v>
      </c>
    </row>
    <row r="2240" spans="1:12" ht="15">
      <c r="B2240" s="1551" t="str">
        <f>'8.Dgia'!B1569</f>
        <v/>
      </c>
      <c r="C2240" s="1552">
        <f>'8.Dgia'!C1569</f>
        <v>0</v>
      </c>
      <c r="D2240" s="1552">
        <f>'8.Dgia'!D1569</f>
        <v>0</v>
      </c>
      <c r="E2240" s="1770" t="str">
        <f>'8.Dgia'!E1569</f>
        <v xml:space="preserve">  C - Máy thi công</v>
      </c>
      <c r="F2240" s="1786">
        <f>'8.Dgia'!G1569</f>
        <v>0</v>
      </c>
      <c r="G2240" s="1965">
        <f>'8.Dgia'!H1569</f>
        <v>0</v>
      </c>
      <c r="H2240" s="1824"/>
      <c r="I2240" s="1827">
        <f>SUM(I2241:I2243)</f>
        <v>1271422.0785818181</v>
      </c>
    </row>
    <row r="2241" spans="1:12" ht="15">
      <c r="B2241" s="1551" t="str">
        <f>'8.Dgia'!B1570</f>
        <v/>
      </c>
      <c r="C2241" s="1552">
        <f>'8.Dgia'!C1570</f>
        <v>0</v>
      </c>
      <c r="D2241" s="1552">
        <f>'8.Dgia'!D1570</f>
        <v>0</v>
      </c>
      <c r="E2241" s="1775" t="str">
        <f>'8.Dgia'!E1570</f>
        <v>Máy hàn 23kw</v>
      </c>
      <c r="F2241" s="1745" t="s">
        <v>5493</v>
      </c>
      <c r="G2241" s="1965">
        <f>'8.Dgia'!H1570</f>
        <v>4.5999999999999996</v>
      </c>
      <c r="H2241" s="1824">
        <f>'9.may'!$P$510</f>
        <v>171649.155</v>
      </c>
      <c r="I2241" s="1824">
        <f>H2241*G2241</f>
        <v>789586.1129999999</v>
      </c>
    </row>
    <row r="2242" spans="1:12" ht="15">
      <c r="B2242" s="1551" t="str">
        <f>'8.Dgia'!B1571</f>
        <v/>
      </c>
      <c r="C2242" s="1552">
        <f>'8.Dgia'!C1571</f>
        <v>0</v>
      </c>
      <c r="D2242" s="1552">
        <f>'8.Dgia'!D1571</f>
        <v>0</v>
      </c>
      <c r="E2242" s="1775" t="str">
        <f>'8.Dgia'!E1571</f>
        <v>Máy cắt tôn</v>
      </c>
      <c r="F2242" s="1745" t="s">
        <v>5493</v>
      </c>
      <c r="G2242" s="1965">
        <f>'8.Dgia'!H1571</f>
        <v>0.4</v>
      </c>
      <c r="H2242" s="1824">
        <f>'9.may'!$P$553</f>
        <v>204698.78999999998</v>
      </c>
      <c r="I2242" s="1824">
        <f>H2242*G2242</f>
        <v>81879.516000000003</v>
      </c>
    </row>
    <row r="2243" spans="1:12" ht="15">
      <c r="B2243" s="1551" t="str">
        <f>'8.Dgia'!B1572</f>
        <v/>
      </c>
      <c r="C2243" s="1552">
        <f>'8.Dgia'!C1572</f>
        <v>0</v>
      </c>
      <c r="D2243" s="1552">
        <f>'8.Dgia'!D1572</f>
        <v>0</v>
      </c>
      <c r="E2243" s="1775" t="str">
        <f>'8.Dgia'!E1572</f>
        <v>Cần cẩu bánh xích 10T</v>
      </c>
      <c r="F2243" s="1745" t="s">
        <v>5493</v>
      </c>
      <c r="G2243" s="1965">
        <f>'8.Dgia'!H1572</f>
        <v>0.27</v>
      </c>
      <c r="H2243" s="1824">
        <f>'9.may'!$P$246</f>
        <v>1481320.1836363636</v>
      </c>
      <c r="I2243" s="1824">
        <f>H2243*G2243</f>
        <v>399956.44958181819</v>
      </c>
    </row>
    <row r="2244" spans="1:12" s="658" customFormat="1" ht="15">
      <c r="B2244" s="1677"/>
      <c r="C2244" s="1678"/>
      <c r="D2244" s="1678"/>
      <c r="E2244" s="1828" t="s">
        <v>5675</v>
      </c>
      <c r="F2244" s="1786">
        <f>$J$5</f>
        <v>0.02</v>
      </c>
      <c r="G2244" s="1780"/>
      <c r="H2244" s="1829"/>
      <c r="I2244" s="1830">
        <f>( I2232+I2239+I2240 )*F2244</f>
        <v>316817.95179835527</v>
      </c>
      <c r="J2244" s="850"/>
      <c r="K2244" s="850"/>
      <c r="L2244" s="850"/>
    </row>
    <row r="2245" spans="1:12" ht="15">
      <c r="B2245" s="1556"/>
      <c r="C2245" s="1557"/>
      <c r="D2245" s="1557"/>
      <c r="E2245" s="1831" t="s">
        <v>5676</v>
      </c>
      <c r="F2245" s="1786"/>
      <c r="G2245" s="1783"/>
      <c r="H2245" s="1832"/>
      <c r="I2245" s="1833">
        <f>I2244+I2244/F2244</f>
        <v>16157715.541716117</v>
      </c>
    </row>
    <row r="2246" spans="1:12" ht="15">
      <c r="B2246" s="1551"/>
      <c r="C2246" s="1552"/>
      <c r="D2246" s="1552"/>
      <c r="E2246" s="1834" t="s">
        <v>5677</v>
      </c>
      <c r="F2246" s="1786">
        <f>$K$5</f>
        <v>5.5E-2</v>
      </c>
      <c r="G2246" s="1772"/>
      <c r="H2246" s="1824"/>
      <c r="I2246" s="1835">
        <f>I2245*F2246</f>
        <v>888674.35479438643</v>
      </c>
    </row>
    <row r="2247" spans="1:12" ht="15">
      <c r="B2247" s="1551"/>
      <c r="C2247" s="1552"/>
      <c r="D2247" s="1552"/>
      <c r="E2247" s="1834" t="s">
        <v>5678</v>
      </c>
      <c r="F2247" s="1786">
        <f>$L$5</f>
        <v>0.06</v>
      </c>
      <c r="G2247" s="1772"/>
      <c r="H2247" s="1824"/>
      <c r="I2247" s="1835">
        <f>SUM(I2245:I2246)*F2247</f>
        <v>1022783.3937906302</v>
      </c>
    </row>
    <row r="2248" spans="1:12" ht="14.25">
      <c r="B2248" s="1556"/>
      <c r="C2248" s="1557"/>
      <c r="D2248" s="1557"/>
      <c r="E2248" s="1831" t="s">
        <v>5679</v>
      </c>
      <c r="F2248" s="1787"/>
      <c r="G2248" s="1783"/>
      <c r="H2248" s="1832"/>
      <c r="I2248" s="1833">
        <f>SUM(I2245:I2247)</f>
        <v>18069173.290301133</v>
      </c>
    </row>
    <row r="2249" spans="1:12" ht="15">
      <c r="B2249" s="1551"/>
      <c r="C2249" s="1552"/>
      <c r="D2249" s="1552"/>
      <c r="E2249" s="1834" t="s">
        <v>5680</v>
      </c>
      <c r="F2249" s="1788">
        <f>$M$5</f>
        <v>0.1</v>
      </c>
      <c r="G2249" s="1772"/>
      <c r="H2249" s="1824"/>
      <c r="I2249" s="1835">
        <f>I2248*F2249</f>
        <v>1806917.3290301133</v>
      </c>
    </row>
    <row r="2250" spans="1:12" ht="14.25">
      <c r="B2250" s="1556"/>
      <c r="C2250" s="1557"/>
      <c r="D2250" s="1557"/>
      <c r="E2250" s="1831" t="s">
        <v>5681</v>
      </c>
      <c r="F2250" s="1787"/>
      <c r="G2250" s="1783"/>
      <c r="H2250" s="1832"/>
      <c r="I2250" s="1833">
        <f>SUM(I2248:I2249)</f>
        <v>19876090.619331248</v>
      </c>
    </row>
    <row r="2251" spans="1:12" ht="12.75">
      <c r="B2251" s="1551"/>
      <c r="C2251" s="1552"/>
      <c r="D2251" s="1552"/>
      <c r="E2251" s="1558" t="s">
        <v>5682</v>
      </c>
      <c r="F2251" s="1560">
        <f>$N$5</f>
        <v>0.01</v>
      </c>
      <c r="G2251" s="1553"/>
      <c r="H2251" s="1554"/>
      <c r="I2251" s="1559">
        <f>I2250*F2251</f>
        <v>198760.90619331249</v>
      </c>
    </row>
    <row r="2252" spans="1:12" ht="14.25">
      <c r="B2252" s="2123"/>
      <c r="C2252" s="1561"/>
      <c r="D2252" s="2124"/>
      <c r="E2252" s="2112" t="s">
        <v>5683</v>
      </c>
      <c r="F2252" s="2113"/>
      <c r="G2252" s="2125"/>
      <c r="H2252" s="2126"/>
      <c r="I2252" s="2110">
        <f>ROUND(I2250+I2251,-2)</f>
        <v>20074900</v>
      </c>
    </row>
    <row r="2253" spans="1:12" ht="29.25" customHeight="1">
      <c r="A2253" s="657">
        <v>1</v>
      </c>
      <c r="B2253" s="1546">
        <f>IF(A2253&lt;&gt;0,COUNTA(A$7:$A2253),"")</f>
        <v>125</v>
      </c>
      <c r="C2253" s="1550">
        <f>'8.Dgia'!C1573</f>
        <v>1776</v>
      </c>
      <c r="D2253" s="1550" t="str">
        <f>'8.Dgia'!D1573</f>
        <v>AI.63321</v>
      </c>
      <c r="E2253" s="1766" t="str">
        <f>'8.Dgia'!E1573</f>
        <v>Lắp dựng, tháo dỡ hệ dàn giáo dưới nước (ĐM*1.6 kể đến công tháo dỡ)</v>
      </c>
      <c r="F2253" s="1789" t="s">
        <v>557</v>
      </c>
      <c r="G2253" s="1983">
        <v>1.6</v>
      </c>
      <c r="H2253" s="1823"/>
      <c r="I2253" s="1823"/>
      <c r="J2253" s="842">
        <f>+I2254</f>
        <v>696349.03812822758</v>
      </c>
      <c r="K2253" s="842">
        <f>+I2259</f>
        <v>4725561.6000000006</v>
      </c>
      <c r="L2253" s="842">
        <f>+I2260</f>
        <v>2394704.2360145459</v>
      </c>
    </row>
    <row r="2254" spans="1:12" s="658" customFormat="1" ht="15">
      <c r="B2254" s="1551" t="str">
        <f>'8.Dgia'!B1574</f>
        <v/>
      </c>
      <c r="C2254" s="1552">
        <f>'8.Dgia'!C1574</f>
        <v>0</v>
      </c>
      <c r="D2254" s="1552">
        <f>'8.Dgia'!D1574</f>
        <v>0</v>
      </c>
      <c r="E2254" s="1770" t="str">
        <f>'8.Dgia'!E1574</f>
        <v xml:space="preserve">  A - Vật liệu</v>
      </c>
      <c r="F2254" s="1786">
        <f>'8.Dgia'!G1574</f>
        <v>0</v>
      </c>
      <c r="G2254" s="1772">
        <f>'8.Dgia'!H1574</f>
        <v>0</v>
      </c>
      <c r="H2254" s="1824"/>
      <c r="I2254" s="1825">
        <f>SUM(I2255:I2258)</f>
        <v>696349.03812822758</v>
      </c>
      <c r="J2254" s="850"/>
      <c r="K2254" s="850"/>
      <c r="L2254" s="850"/>
    </row>
    <row r="2255" spans="1:12" ht="15">
      <c r="B2255" s="1551" t="str">
        <f>'8.Dgia'!B1575</f>
        <v/>
      </c>
      <c r="C2255" s="1552">
        <f>'8.Dgia'!C1575</f>
        <v>0</v>
      </c>
      <c r="D2255" s="1552">
        <f>'8.Dgia'!D1575</f>
        <v>0</v>
      </c>
      <c r="E2255" s="1775" t="str">
        <f>'8.Dgia'!E1575</f>
        <v>Thép hình</v>
      </c>
      <c r="F2255" s="1786" t="str">
        <f>'8.Dgia'!G1575</f>
        <v xml:space="preserve"> kg </v>
      </c>
      <c r="G2255" s="1965">
        <f>'8.Dgia'!H1575</f>
        <v>1.04</v>
      </c>
      <c r="H2255" s="1824">
        <f>GVL!$I$170</f>
        <v>16703.248369172808</v>
      </c>
      <c r="I2255" s="1824">
        <f>H2255*G2255</f>
        <v>17371.37830393972</v>
      </c>
    </row>
    <row r="2256" spans="1:12" ht="15">
      <c r="B2256" s="1551" t="str">
        <f>'8.Dgia'!B1576</f>
        <v/>
      </c>
      <c r="C2256" s="1552">
        <f>'8.Dgia'!C1576</f>
        <v>0</v>
      </c>
      <c r="D2256" s="1552">
        <f>'8.Dgia'!D1576</f>
        <v>0</v>
      </c>
      <c r="E2256" s="1775" t="str">
        <f>'8.Dgia'!E1576</f>
        <v>Bu lông M20</v>
      </c>
      <c r="F2256" s="1763" t="s">
        <v>567</v>
      </c>
      <c r="G2256" s="1965">
        <f>'8.Dgia'!H1576</f>
        <v>19.200000000000003</v>
      </c>
      <c r="H2256" s="1824">
        <f>GVL!$I$28</f>
        <v>5000</v>
      </c>
      <c r="I2256" s="1824">
        <f>H2256*G2256</f>
        <v>96000.000000000015</v>
      </c>
    </row>
    <row r="2257" spans="2:12" ht="15">
      <c r="B2257" s="1551" t="str">
        <f>'8.Dgia'!B1577</f>
        <v/>
      </c>
      <c r="C2257" s="1552">
        <f>'8.Dgia'!C1577</f>
        <v>0</v>
      </c>
      <c r="D2257" s="1552">
        <f>'8.Dgia'!D1577</f>
        <v>0</v>
      </c>
      <c r="E2257" s="1775" t="str">
        <f>'8.Dgia'!E1577</f>
        <v>Que hàn</v>
      </c>
      <c r="F2257" s="1786" t="str">
        <f>'8.Dgia'!G1577</f>
        <v xml:space="preserve"> kg </v>
      </c>
      <c r="G2257" s="1965">
        <f>'8.Dgia'!H1577</f>
        <v>28.8</v>
      </c>
      <c r="H2257" s="1824">
        <f>GVL!$I$153</f>
        <v>19090.909090909088</v>
      </c>
      <c r="I2257" s="1824">
        <f>H2257*G2257</f>
        <v>549818.18181818177</v>
      </c>
    </row>
    <row r="2258" spans="2:12" ht="15">
      <c r="B2258" s="1551" t="str">
        <f>'8.Dgia'!B1578</f>
        <v/>
      </c>
      <c r="C2258" s="1552">
        <f>'8.Dgia'!C1578</f>
        <v>0</v>
      </c>
      <c r="D2258" s="1552">
        <f>'8.Dgia'!D1578</f>
        <v>0</v>
      </c>
      <c r="E2258" s="1775" t="str">
        <f>'8.Dgia'!E1578</f>
        <v>Vật liệu khác</v>
      </c>
      <c r="F2258" s="1786" t="str">
        <f>'8.Dgia'!G1578</f>
        <v>%</v>
      </c>
      <c r="G2258" s="1965">
        <f>'8.Dgia'!H1578</f>
        <v>5</v>
      </c>
      <c r="H2258" s="1824">
        <f>SUM(I2255:I2257)</f>
        <v>663189.56012212147</v>
      </c>
      <c r="I2258" s="1824">
        <f>H2258*G2258%</f>
        <v>33159.478006106074</v>
      </c>
    </row>
    <row r="2259" spans="2:12" s="658" customFormat="1" ht="15">
      <c r="B2259" s="1551" t="str">
        <f>'8.Dgia'!B1579</f>
        <v/>
      </c>
      <c r="C2259" s="1552">
        <f>'8.Dgia'!C1579</f>
        <v>0</v>
      </c>
      <c r="D2259" s="1552">
        <f>'8.Dgia'!D1579</f>
        <v>0</v>
      </c>
      <c r="E2259" s="1770" t="str">
        <f>'8.Dgia'!E1579</f>
        <v xml:space="preserve">  B - Nhân công 4.0/7</v>
      </c>
      <c r="F2259" s="1745" t="s">
        <v>552</v>
      </c>
      <c r="G2259" s="1965">
        <f>'8.Dgia'!H1579</f>
        <v>18.400000000000002</v>
      </c>
      <c r="H2259" s="1824">
        <f>'16.NC'!$H$18</f>
        <v>256824</v>
      </c>
      <c r="I2259" s="1826">
        <f>H2259*G2259</f>
        <v>4725561.6000000006</v>
      </c>
      <c r="J2259" s="850"/>
      <c r="K2259" s="850"/>
      <c r="L2259" s="850"/>
    </row>
    <row r="2260" spans="2:12" s="658" customFormat="1" ht="15">
      <c r="B2260" s="1551" t="str">
        <f>'8.Dgia'!B1580</f>
        <v/>
      </c>
      <c r="C2260" s="1552">
        <f>'8.Dgia'!C1580</f>
        <v>0</v>
      </c>
      <c r="D2260" s="1552">
        <f>'8.Dgia'!D1580</f>
        <v>0</v>
      </c>
      <c r="E2260" s="1770" t="str">
        <f>'8.Dgia'!E1580</f>
        <v xml:space="preserve">  C - Máy thi công</v>
      </c>
      <c r="F2260" s="1786">
        <f>'8.Dgia'!G1580</f>
        <v>0</v>
      </c>
      <c r="G2260" s="1772">
        <f>'8.Dgia'!H1580</f>
        <v>0</v>
      </c>
      <c r="H2260" s="1824"/>
      <c r="I2260" s="1827">
        <f>SUM(I2261:I2266)</f>
        <v>2394704.2360145459</v>
      </c>
      <c r="J2260" s="850">
        <f>+I2260/1.6</f>
        <v>1496690.1475090911</v>
      </c>
      <c r="K2260" s="850"/>
      <c r="L2260" s="850"/>
    </row>
    <row r="2261" spans="2:12" ht="15">
      <c r="B2261" s="1551" t="str">
        <f>'8.Dgia'!B1581</f>
        <v/>
      </c>
      <c r="C2261" s="1552">
        <f>'8.Dgia'!C1581</f>
        <v>0</v>
      </c>
      <c r="D2261" s="1552">
        <f>'8.Dgia'!D1581</f>
        <v>0</v>
      </c>
      <c r="E2261" s="1775" t="str">
        <f>'8.Dgia'!E1581</f>
        <v>Cần cẩu bánh hơi 16T</v>
      </c>
      <c r="F2261" s="1745" t="s">
        <v>5493</v>
      </c>
      <c r="G2261" s="1772">
        <f>'8.Dgia'!H1581</f>
        <v>0.1328</v>
      </c>
      <c r="H2261" s="1824">
        <f>'9.may'!$P$235</f>
        <v>2023241.85</v>
      </c>
      <c r="I2261" s="1824">
        <f t="shared" ref="I2261:I2266" si="16">H2261*G2261</f>
        <v>268686.51767999999</v>
      </c>
    </row>
    <row r="2262" spans="2:12" ht="15">
      <c r="B2262" s="1551" t="str">
        <f>'8.Dgia'!B1582</f>
        <v/>
      </c>
      <c r="C2262" s="1552">
        <f>'8.Dgia'!C1582</f>
        <v>0</v>
      </c>
      <c r="D2262" s="1552">
        <f>'8.Dgia'!D1582</f>
        <v>0</v>
      </c>
      <c r="E2262" s="1775" t="str">
        <f>'8.Dgia'!E1582</f>
        <v>Cần trục ôtô 25T</v>
      </c>
      <c r="F2262" s="1745" t="s">
        <v>5493</v>
      </c>
      <c r="G2262" s="1772">
        <f>'8.Dgia'!H1582</f>
        <v>0.192</v>
      </c>
      <c r="H2262" s="1824">
        <f>'9.may'!$P$228</f>
        <v>2886276.207272727</v>
      </c>
      <c r="I2262" s="1824">
        <f t="shared" si="16"/>
        <v>554165.03179636365</v>
      </c>
    </row>
    <row r="2263" spans="2:12" ht="15">
      <c r="B2263" s="1551" t="str">
        <f>'8.Dgia'!B1583</f>
        <v/>
      </c>
      <c r="C2263" s="1552">
        <f>'8.Dgia'!C1583</f>
        <v>0</v>
      </c>
      <c r="D2263" s="1552">
        <f>'8.Dgia'!D1583</f>
        <v>0</v>
      </c>
      <c r="E2263" s="1775" t="str">
        <f>'8.Dgia'!E1583</f>
        <v>Máy hàn 23kw</v>
      </c>
      <c r="F2263" s="1745" t="s">
        <v>5493</v>
      </c>
      <c r="G2263" s="1772">
        <f>'8.Dgia'!H1583</f>
        <v>6.6400000000000006</v>
      </c>
      <c r="H2263" s="1824">
        <f>'9.may'!$P$510</f>
        <v>171649.155</v>
      </c>
      <c r="I2263" s="1824">
        <f t="shared" si="16"/>
        <v>1139750.3892000001</v>
      </c>
    </row>
    <row r="2264" spans="2:12" ht="15">
      <c r="B2264" s="1551" t="str">
        <f>'8.Dgia'!B1584</f>
        <v/>
      </c>
      <c r="C2264" s="1552">
        <f>'8.Dgia'!C1584</f>
        <v>0</v>
      </c>
      <c r="D2264" s="1552">
        <f>'8.Dgia'!D1584</f>
        <v>0</v>
      </c>
      <c r="E2264" s="1775" t="str">
        <f>'8.Dgia'!E1584</f>
        <v>Sà lan 200T</v>
      </c>
      <c r="F2264" s="1745" t="s">
        <v>5493</v>
      </c>
      <c r="G2264" s="1772">
        <f>'8.Dgia'!H1584</f>
        <v>0.192</v>
      </c>
      <c r="H2264" s="1824">
        <f>'9.may'!$P$652</f>
        <v>586485.6</v>
      </c>
      <c r="I2264" s="1824">
        <f t="shared" si="16"/>
        <v>112605.2352</v>
      </c>
    </row>
    <row r="2265" spans="2:12" ht="15">
      <c r="B2265" s="1551" t="str">
        <f>'8.Dgia'!B1585</f>
        <v/>
      </c>
      <c r="C2265" s="1552">
        <f>'8.Dgia'!C1585</f>
        <v>0</v>
      </c>
      <c r="D2265" s="1552">
        <f>'8.Dgia'!D1585</f>
        <v>0</v>
      </c>
      <c r="E2265" s="1775" t="str">
        <f>'8.Dgia'!E1585</f>
        <v>Sà lan 400T</v>
      </c>
      <c r="F2265" s="1745" t="s">
        <v>5493</v>
      </c>
      <c r="G2265" s="1772">
        <f>'8.Dgia'!H1585</f>
        <v>0.192</v>
      </c>
      <c r="H2265" s="1824">
        <f>'9.may'!$P$655</f>
        <v>1144511.22</v>
      </c>
      <c r="I2265" s="1824">
        <f t="shared" si="16"/>
        <v>219746.15424</v>
      </c>
    </row>
    <row r="2266" spans="2:12" ht="15">
      <c r="B2266" s="1551" t="str">
        <f>'8.Dgia'!B1586</f>
        <v/>
      </c>
      <c r="C2266" s="1552">
        <f>'8.Dgia'!C1586</f>
        <v>0</v>
      </c>
      <c r="D2266" s="1552">
        <f>'8.Dgia'!D1586</f>
        <v>0</v>
      </c>
      <c r="E2266" s="1775" t="str">
        <f>'8.Dgia'!E1586</f>
        <v>Canô 150CV</v>
      </c>
      <c r="F2266" s="1745" t="s">
        <v>5493</v>
      </c>
      <c r="G2266" s="1772">
        <f>'8.Dgia'!H1586</f>
        <v>9.6000000000000002E-2</v>
      </c>
      <c r="H2266" s="1824">
        <f>'9.may'!$P$803</f>
        <v>1039071.9572727273</v>
      </c>
      <c r="I2266" s="1824">
        <f t="shared" si="16"/>
        <v>99750.907898181817</v>
      </c>
    </row>
    <row r="2267" spans="2:12" s="658" customFormat="1" ht="15">
      <c r="B2267" s="1677"/>
      <c r="C2267" s="1678"/>
      <c r="D2267" s="1678"/>
      <c r="E2267" s="1828" t="s">
        <v>5675</v>
      </c>
      <c r="F2267" s="1786">
        <f>$J$5</f>
        <v>0.02</v>
      </c>
      <c r="G2267" s="1780"/>
      <c r="H2267" s="1829"/>
      <c r="I2267" s="1830">
        <f>( I2254+I2259+I2260 )*F2267</f>
        <v>156332.2974828555</v>
      </c>
      <c r="J2267" s="850"/>
      <c r="K2267" s="850"/>
      <c r="L2267" s="850"/>
    </row>
    <row r="2268" spans="2:12" ht="15">
      <c r="B2268" s="1556"/>
      <c r="C2268" s="1557"/>
      <c r="D2268" s="1557"/>
      <c r="E2268" s="1831" t="s">
        <v>5676</v>
      </c>
      <c r="F2268" s="1786"/>
      <c r="G2268" s="1783"/>
      <c r="H2268" s="1832"/>
      <c r="I2268" s="1833">
        <f>I2267+I2267/F2267</f>
        <v>7972947.1716256309</v>
      </c>
    </row>
    <row r="2269" spans="2:12" ht="15">
      <c r="B2269" s="1551"/>
      <c r="C2269" s="1552"/>
      <c r="D2269" s="1552"/>
      <c r="E2269" s="1834" t="s">
        <v>5677</v>
      </c>
      <c r="F2269" s="1786">
        <f>$K$5</f>
        <v>5.5E-2</v>
      </c>
      <c r="G2269" s="1772"/>
      <c r="H2269" s="1824"/>
      <c r="I2269" s="1835">
        <f>I2268*F2269</f>
        <v>438512.09443940973</v>
      </c>
    </row>
    <row r="2270" spans="2:12" ht="15">
      <c r="B2270" s="1551"/>
      <c r="C2270" s="1552"/>
      <c r="D2270" s="1552"/>
      <c r="E2270" s="1834" t="s">
        <v>5678</v>
      </c>
      <c r="F2270" s="1786">
        <f>$L$5</f>
        <v>0.06</v>
      </c>
      <c r="G2270" s="1772"/>
      <c r="H2270" s="1824"/>
      <c r="I2270" s="1835">
        <f>SUM(I2268:I2269)*F2270</f>
        <v>504687.55596390244</v>
      </c>
    </row>
    <row r="2271" spans="2:12" ht="14.25">
      <c r="B2271" s="1556"/>
      <c r="C2271" s="1557"/>
      <c r="D2271" s="1557"/>
      <c r="E2271" s="1831" t="s">
        <v>5679</v>
      </c>
      <c r="F2271" s="1787"/>
      <c r="G2271" s="1783"/>
      <c r="H2271" s="1832"/>
      <c r="I2271" s="1833">
        <f>SUM(I2268:I2270)</f>
        <v>8916146.8220289424</v>
      </c>
    </row>
    <row r="2272" spans="2:12" ht="15">
      <c r="B2272" s="1551"/>
      <c r="C2272" s="1552"/>
      <c r="D2272" s="1552"/>
      <c r="E2272" s="1834" t="s">
        <v>5680</v>
      </c>
      <c r="F2272" s="1788">
        <f>$M$5</f>
        <v>0.1</v>
      </c>
      <c r="G2272" s="1772"/>
      <c r="H2272" s="1824"/>
      <c r="I2272" s="1835">
        <f>I2271*F2272</f>
        <v>891614.68220289424</v>
      </c>
    </row>
    <row r="2273" spans="1:12" ht="14.25">
      <c r="B2273" s="1556"/>
      <c r="C2273" s="1557"/>
      <c r="D2273" s="1557"/>
      <c r="E2273" s="1831" t="s">
        <v>5681</v>
      </c>
      <c r="F2273" s="1787"/>
      <c r="G2273" s="1783"/>
      <c r="H2273" s="1832"/>
      <c r="I2273" s="1833">
        <f>SUM(I2271:I2272)</f>
        <v>9807761.5042318366</v>
      </c>
    </row>
    <row r="2274" spans="1:12" ht="12.75">
      <c r="B2274" s="1551"/>
      <c r="C2274" s="1552"/>
      <c r="D2274" s="1552"/>
      <c r="E2274" s="1558" t="s">
        <v>5682</v>
      </c>
      <c r="F2274" s="1560">
        <f>$N$5</f>
        <v>0.01</v>
      </c>
      <c r="G2274" s="1553"/>
      <c r="H2274" s="1554"/>
      <c r="I2274" s="1559">
        <f>I2273*F2274</f>
        <v>98077.615042318372</v>
      </c>
    </row>
    <row r="2275" spans="1:12" ht="14.25">
      <c r="B2275" s="2123"/>
      <c r="C2275" s="1561"/>
      <c r="D2275" s="2124"/>
      <c r="E2275" s="2112" t="s">
        <v>5683</v>
      </c>
      <c r="F2275" s="2113"/>
      <c r="G2275" s="2125"/>
      <c r="H2275" s="2126"/>
      <c r="I2275" s="2110">
        <f>ROUND(I2273+I2274,-2)</f>
        <v>9905800</v>
      </c>
    </row>
    <row r="2276" spans="1:12" ht="14.25">
      <c r="A2276" s="657">
        <v>1</v>
      </c>
      <c r="B2276" s="1546">
        <f>IF(A2276&lt;&gt;0,COUNTA(A$7:$A2276),"")</f>
        <v>126</v>
      </c>
      <c r="C2276" s="1550">
        <f>'8.Dgia'!C1587</f>
        <v>1776</v>
      </c>
      <c r="D2276" s="1550" t="str">
        <f>'8.Dgia'!D1587</f>
        <v>AF.11310</v>
      </c>
      <c r="E2276" s="1766" t="str">
        <f>'8.Dgia'!E1587</f>
        <v>Bê tông C20 nền</v>
      </c>
      <c r="F2276" s="1794" t="str">
        <f>'8.Dgia'!G1587</f>
        <v>m3</v>
      </c>
      <c r="G2276" s="1768">
        <f>'8.Dgia'!H1587</f>
        <v>0</v>
      </c>
      <c r="H2276" s="1823"/>
      <c r="I2276" s="1823"/>
      <c r="J2276" s="842">
        <f>+I2277</f>
        <v>920018.77559838083</v>
      </c>
      <c r="K2276" s="842">
        <f>+I2280</f>
        <v>347206.58</v>
      </c>
      <c r="L2276" s="842">
        <f>+I2281</f>
        <v>23229.762015</v>
      </c>
    </row>
    <row r="2277" spans="1:12" s="658" customFormat="1" ht="15">
      <c r="B2277" s="1551" t="str">
        <f>'8.Dgia'!B1588</f>
        <v/>
      </c>
      <c r="C2277" s="1552">
        <f>'8.Dgia'!C1588</f>
        <v>0</v>
      </c>
      <c r="D2277" s="1552">
        <f>'8.Dgia'!D1588</f>
        <v>0</v>
      </c>
      <c r="E2277" s="1770" t="str">
        <f>'8.Dgia'!E1588</f>
        <v xml:space="preserve">  A - Vật liệu</v>
      </c>
      <c r="F2277" s="1786">
        <f>'8.Dgia'!G1588</f>
        <v>0</v>
      </c>
      <c r="G2277" s="1772">
        <f>'8.Dgia'!H1588</f>
        <v>0</v>
      </c>
      <c r="H2277" s="1824"/>
      <c r="I2277" s="1825">
        <f>SUM(I2278:I2279)</f>
        <v>920018.77559838083</v>
      </c>
      <c r="J2277" s="850"/>
      <c r="K2277" s="850"/>
      <c r="L2277" s="850"/>
    </row>
    <row r="2278" spans="1:12" ht="15">
      <c r="B2278" s="1551" t="str">
        <f>'8.Dgia'!B1589</f>
        <v/>
      </c>
      <c r="C2278" s="1552">
        <f>'8.Dgia'!C1589</f>
        <v>0</v>
      </c>
      <c r="D2278" s="1552" t="str">
        <f>'8.Dgia'!D1589</f>
        <v>C3124</v>
      </c>
      <c r="E2278" s="1775" t="str">
        <f>'8.Dgia'!E1589</f>
        <v>Vữa bê tông đá 1x2 C20 SN 2-4</v>
      </c>
      <c r="F2278" s="1786" t="str">
        <f>'8.Dgia'!G1589</f>
        <v>m3</v>
      </c>
      <c r="G2278" s="1772">
        <f>'8.Dgia'!H1589</f>
        <v>1.03</v>
      </c>
      <c r="H2278" s="1824">
        <f>GVL!$I$194</f>
        <v>884378.32894201751</v>
      </c>
      <c r="I2278" s="1824">
        <f>H2278*G2278</f>
        <v>910909.67881027807</v>
      </c>
    </row>
    <row r="2279" spans="1:12" ht="15">
      <c r="B2279" s="1551" t="str">
        <f>'8.Dgia'!B1590</f>
        <v/>
      </c>
      <c r="C2279" s="1552">
        <f>'8.Dgia'!C1590</f>
        <v>0</v>
      </c>
      <c r="D2279" s="1552">
        <f>'8.Dgia'!D1590</f>
        <v>0</v>
      </c>
      <c r="E2279" s="1775" t="str">
        <f>'8.Dgia'!E1590</f>
        <v>Vật liệu khác</v>
      </c>
      <c r="F2279" s="1786" t="str">
        <f>'8.Dgia'!G1590</f>
        <v>%</v>
      </c>
      <c r="G2279" s="1965">
        <f>'8.Dgia'!H1590</f>
        <v>1</v>
      </c>
      <c r="H2279" s="1824">
        <f>I2278</f>
        <v>910909.67881027807</v>
      </c>
      <c r="I2279" s="1824">
        <f>H2279*G2279%</f>
        <v>9109.0967881027809</v>
      </c>
    </row>
    <row r="2280" spans="1:12" s="658" customFormat="1" ht="15">
      <c r="B2280" s="1551" t="str">
        <f>'8.Dgia'!B1591</f>
        <v/>
      </c>
      <c r="C2280" s="1552">
        <f>'8.Dgia'!C1591</f>
        <v>0</v>
      </c>
      <c r="D2280" s="1552">
        <f>'8.Dgia'!D1591</f>
        <v>0</v>
      </c>
      <c r="E2280" s="1770" t="str">
        <f>'8.Dgia'!E1591</f>
        <v xml:space="preserve">  B - Nhân công 3.0/7</v>
      </c>
      <c r="F2280" s="1745" t="s">
        <v>552</v>
      </c>
      <c r="G2280" s="1772">
        <f>'8.Dgia'!H1591</f>
        <v>1.58</v>
      </c>
      <c r="H2280" s="1824">
        <f>'16.NC'!$H$13</f>
        <v>219751</v>
      </c>
      <c r="I2280" s="1826">
        <f>H2280*G2280</f>
        <v>347206.58</v>
      </c>
      <c r="J2280" s="850"/>
      <c r="K2280" s="850"/>
      <c r="L2280" s="850"/>
    </row>
    <row r="2281" spans="1:12" s="658" customFormat="1" ht="15">
      <c r="B2281" s="1551" t="str">
        <f>'8.Dgia'!B1592</f>
        <v/>
      </c>
      <c r="C2281" s="1552">
        <f>'8.Dgia'!C1592</f>
        <v>0</v>
      </c>
      <c r="D2281" s="1552">
        <f>'8.Dgia'!D1592</f>
        <v>0</v>
      </c>
      <c r="E2281" s="1770" t="str">
        <f>'8.Dgia'!E1592</f>
        <v xml:space="preserve">  C - Máy thi công</v>
      </c>
      <c r="F2281" s="1786">
        <f>'8.Dgia'!G1592</f>
        <v>0</v>
      </c>
      <c r="G2281" s="1772">
        <f>'8.Dgia'!H1592</f>
        <v>0</v>
      </c>
      <c r="H2281" s="1824"/>
      <c r="I2281" s="1827">
        <f>SUM(I2282:I2283)</f>
        <v>23229.762015</v>
      </c>
      <c r="J2281" s="850"/>
      <c r="K2281" s="850"/>
      <c r="L2281" s="850"/>
    </row>
    <row r="2282" spans="1:12" ht="15">
      <c r="B2282" s="1551" t="str">
        <f>'8.Dgia'!B1593</f>
        <v/>
      </c>
      <c r="C2282" s="1552">
        <f>'8.Dgia'!C1593</f>
        <v>0</v>
      </c>
      <c r="D2282" s="1552">
        <f>'8.Dgia'!D1593</f>
        <v>0</v>
      </c>
      <c r="E2282" s="1775" t="str">
        <f>'8.Dgia'!E1593</f>
        <v>Máy trộn 250l</v>
      </c>
      <c r="F2282" s="1745" t="s">
        <v>5493</v>
      </c>
      <c r="G2282" s="1772">
        <f>'8.Dgia'!H1593</f>
        <v>9.5000000000000001E-2</v>
      </c>
      <c r="H2282" s="1824">
        <f>'9.may'!$P$333</f>
        <v>180447.90000000002</v>
      </c>
      <c r="I2282" s="1824">
        <f>H2282*G2282</f>
        <v>17142.550500000001</v>
      </c>
    </row>
    <row r="2283" spans="1:12" ht="15">
      <c r="B2283" s="1551" t="str">
        <f>'8.Dgia'!B1594</f>
        <v/>
      </c>
      <c r="C2283" s="1552">
        <f>'8.Dgia'!C1594</f>
        <v>0</v>
      </c>
      <c r="D2283" s="1552">
        <f>'8.Dgia'!D1594</f>
        <v>0</v>
      </c>
      <c r="E2283" s="1775" t="str">
        <f>'8.Dgia'!E1594</f>
        <v>Máy đầm bàn 1KW</v>
      </c>
      <c r="F2283" s="1745" t="s">
        <v>5493</v>
      </c>
      <c r="G2283" s="1772">
        <f>'8.Dgia'!H1594</f>
        <v>8.8999999999999996E-2</v>
      </c>
      <c r="H2283" s="1824">
        <f>'9.may'!$P$381</f>
        <v>68395.634999999995</v>
      </c>
      <c r="I2283" s="1824">
        <f>H2283*G2283</f>
        <v>6087.2115149999991</v>
      </c>
    </row>
    <row r="2284" spans="1:12" s="658" customFormat="1" ht="15">
      <c r="B2284" s="1677"/>
      <c r="C2284" s="1678"/>
      <c r="D2284" s="1678"/>
      <c r="E2284" s="1828" t="s">
        <v>5675</v>
      </c>
      <c r="F2284" s="1786">
        <f>$J$5</f>
        <v>0.02</v>
      </c>
      <c r="G2284" s="1780"/>
      <c r="H2284" s="1829"/>
      <c r="I2284" s="1830">
        <f>( I2277+I2280+I2281 )*F2284</f>
        <v>25809.102352267615</v>
      </c>
      <c r="J2284" s="850"/>
      <c r="K2284" s="850"/>
      <c r="L2284" s="850"/>
    </row>
    <row r="2285" spans="1:12" ht="15">
      <c r="B2285" s="1556"/>
      <c r="C2285" s="1557"/>
      <c r="D2285" s="1557"/>
      <c r="E2285" s="1831" t="s">
        <v>5676</v>
      </c>
      <c r="F2285" s="1786"/>
      <c r="G2285" s="1783"/>
      <c r="H2285" s="1832"/>
      <c r="I2285" s="1833">
        <f>I2284+I2284/F2284</f>
        <v>1316264.2199656484</v>
      </c>
    </row>
    <row r="2286" spans="1:12" ht="15">
      <c r="B2286" s="1551"/>
      <c r="C2286" s="1552"/>
      <c r="D2286" s="1552"/>
      <c r="E2286" s="1834" t="s">
        <v>5677</v>
      </c>
      <c r="F2286" s="1786">
        <f>$K$5</f>
        <v>5.5E-2</v>
      </c>
      <c r="G2286" s="1772"/>
      <c r="H2286" s="1824"/>
      <c r="I2286" s="1835">
        <f>I2285*F2286</f>
        <v>72394.532098110663</v>
      </c>
    </row>
    <row r="2287" spans="1:12" ht="15">
      <c r="B2287" s="1551"/>
      <c r="C2287" s="1552"/>
      <c r="D2287" s="1552"/>
      <c r="E2287" s="1834" t="s">
        <v>5678</v>
      </c>
      <c r="F2287" s="1786">
        <f>$L$5</f>
        <v>0.06</v>
      </c>
      <c r="G2287" s="1772"/>
      <c r="H2287" s="1824"/>
      <c r="I2287" s="1835">
        <f>SUM(I2285:I2286)*F2287</f>
        <v>83319.525123825544</v>
      </c>
    </row>
    <row r="2288" spans="1:12" ht="14.25">
      <c r="B2288" s="1556"/>
      <c r="C2288" s="1557"/>
      <c r="D2288" s="1557"/>
      <c r="E2288" s="1831" t="s">
        <v>5679</v>
      </c>
      <c r="F2288" s="1787"/>
      <c r="G2288" s="1783"/>
      <c r="H2288" s="1832"/>
      <c r="I2288" s="1833">
        <f>SUM(I2285:I2287)</f>
        <v>1471978.2771875847</v>
      </c>
    </row>
    <row r="2289" spans="1:12" ht="15">
      <c r="B2289" s="1551"/>
      <c r="C2289" s="1552"/>
      <c r="D2289" s="1552"/>
      <c r="E2289" s="1834" t="s">
        <v>5680</v>
      </c>
      <c r="F2289" s="1788">
        <f>$M$5</f>
        <v>0.1</v>
      </c>
      <c r="G2289" s="1772"/>
      <c r="H2289" s="1824"/>
      <c r="I2289" s="1835">
        <f>I2288*F2289</f>
        <v>147197.82771875846</v>
      </c>
    </row>
    <row r="2290" spans="1:12" ht="14.25">
      <c r="B2290" s="1556"/>
      <c r="C2290" s="1557"/>
      <c r="D2290" s="1557"/>
      <c r="E2290" s="1831" t="s">
        <v>5681</v>
      </c>
      <c r="F2290" s="1787"/>
      <c r="G2290" s="1783"/>
      <c r="H2290" s="1832"/>
      <c r="I2290" s="1833">
        <f>SUM(I2288:I2289)</f>
        <v>1619176.1049063432</v>
      </c>
    </row>
    <row r="2291" spans="1:12" ht="12.75">
      <c r="B2291" s="1551"/>
      <c r="C2291" s="1552"/>
      <c r="D2291" s="1552"/>
      <c r="E2291" s="1558" t="s">
        <v>5682</v>
      </c>
      <c r="F2291" s="1560">
        <f>$N$5</f>
        <v>0.01</v>
      </c>
      <c r="G2291" s="1553"/>
      <c r="H2291" s="1554"/>
      <c r="I2291" s="1559">
        <f>I2290*F2291</f>
        <v>16191.761049063432</v>
      </c>
    </row>
    <row r="2292" spans="1:12" ht="14.25">
      <c r="B2292" s="2123"/>
      <c r="C2292" s="1561"/>
      <c r="D2292" s="2124"/>
      <c r="E2292" s="2112" t="s">
        <v>5683</v>
      </c>
      <c r="F2292" s="2113"/>
      <c r="G2292" s="2125"/>
      <c r="H2292" s="2126"/>
      <c r="I2292" s="2110">
        <f>ROUND(I2290+I2291,-2)</f>
        <v>1635400</v>
      </c>
    </row>
    <row r="2293" spans="1:12" s="1336" customFormat="1" ht="28.5">
      <c r="A2293" s="657">
        <v>1</v>
      </c>
      <c r="B2293" s="1546">
        <f>IF(A2293&lt;&gt;0,COUNTA(A$7:$A2293),"")</f>
        <v>127</v>
      </c>
      <c r="C2293" s="1550">
        <f>'8.Dgia'!C1595</f>
        <v>1776</v>
      </c>
      <c r="D2293" s="1550" t="str">
        <f>'8.Dgia'!D1595</f>
        <v>AI.12111</v>
      </c>
      <c r="E2293" s="1766" t="str">
        <f>'8.Dgia'!E1595</f>
        <v>Sản xuất ống vách cọc khoan nhồi (thu hồi), KH=1.17%*3tháng</v>
      </c>
      <c r="F2293" s="1789" t="s">
        <v>557</v>
      </c>
      <c r="G2293" s="1768">
        <f>'8.Dgia'!H1595</f>
        <v>3.5099999999999992E-2</v>
      </c>
      <c r="H2293" s="1823"/>
      <c r="I2293" s="1823"/>
      <c r="J2293" s="1425">
        <f>+I2294</f>
        <v>482206.34850916191</v>
      </c>
      <c r="K2293" s="1425">
        <f>+I2300</f>
        <v>179072.54819999996</v>
      </c>
      <c r="L2293" s="1425">
        <f>+I2301</f>
        <v>41314.85530997334</v>
      </c>
    </row>
    <row r="2294" spans="1:12" ht="15">
      <c r="B2294" s="1551" t="str">
        <f>'8.Dgia'!B1596</f>
        <v/>
      </c>
      <c r="C2294" s="1552">
        <f>'8.Dgia'!C1596</f>
        <v>0</v>
      </c>
      <c r="D2294" s="1552">
        <f>'8.Dgia'!D1596</f>
        <v>0</v>
      </c>
      <c r="E2294" s="1770" t="str">
        <f>'8.Dgia'!E1596</f>
        <v xml:space="preserve">  A - Vật liệu</v>
      </c>
      <c r="F2294" s="1786">
        <f>'8.Dgia'!G1596</f>
        <v>0</v>
      </c>
      <c r="G2294" s="1772">
        <f>'8.Dgia'!H1596</f>
        <v>0</v>
      </c>
      <c r="H2294" s="1824"/>
      <c r="I2294" s="1825">
        <f>SUM(I2295:I2299)</f>
        <v>482206.34850916191</v>
      </c>
    </row>
    <row r="2295" spans="1:12" ht="15">
      <c r="B2295" s="1551" t="str">
        <f>'8.Dgia'!B1597</f>
        <v/>
      </c>
      <c r="C2295" s="1552">
        <f>'8.Dgia'!C1597</f>
        <v>0</v>
      </c>
      <c r="D2295" s="1552">
        <f>'8.Dgia'!D1597</f>
        <v>0</v>
      </c>
      <c r="E2295" s="1775" t="str">
        <f>'8.Dgia'!E1597</f>
        <v>Thép tấm</v>
      </c>
      <c r="F2295" s="1786" t="str">
        <f>'8.Dgia'!G1597</f>
        <v>kg</v>
      </c>
      <c r="G2295" s="1772">
        <f>'8.Dgia'!H1597</f>
        <v>35.977499999999992</v>
      </c>
      <c r="H2295" s="1824">
        <f>GVL!$I$175</f>
        <v>12871.348287272725</v>
      </c>
      <c r="I2295" s="1824">
        <f>H2295*G2295</f>
        <v>463078.93300535437</v>
      </c>
    </row>
    <row r="2296" spans="1:12" ht="15">
      <c r="B2296" s="1551" t="str">
        <f>'8.Dgia'!B1598</f>
        <v/>
      </c>
      <c r="C2296" s="1552">
        <f>'8.Dgia'!C1598</f>
        <v>0</v>
      </c>
      <c r="D2296" s="1552">
        <f>'8.Dgia'!D1598</f>
        <v>0</v>
      </c>
      <c r="E2296" s="1775" t="str">
        <f>'8.Dgia'!E1598</f>
        <v>Ô xy</v>
      </c>
      <c r="F2296" s="1763" t="s">
        <v>565</v>
      </c>
      <c r="G2296" s="1772">
        <f>'8.Dgia'!H1598</f>
        <v>2.7377999999999994E-3</v>
      </c>
      <c r="H2296" s="1824">
        <f>GVL!$I$130</f>
        <v>48000</v>
      </c>
      <c r="I2296" s="1824">
        <f>H2296*G2296</f>
        <v>131.41439999999997</v>
      </c>
    </row>
    <row r="2297" spans="1:12" ht="15">
      <c r="B2297" s="1551" t="str">
        <f>'8.Dgia'!B1599</f>
        <v/>
      </c>
      <c r="C2297" s="1552">
        <f>'8.Dgia'!C1599</f>
        <v>0</v>
      </c>
      <c r="D2297" s="1552">
        <f>'8.Dgia'!D1599</f>
        <v>0</v>
      </c>
      <c r="E2297" s="1775" t="str">
        <f>'8.Dgia'!E1599</f>
        <v>Đất đèn</v>
      </c>
      <c r="F2297" s="1786" t="str">
        <f>'8.Dgia'!G1599</f>
        <v>kg</v>
      </c>
      <c r="G2297" s="1772">
        <f>'8.Dgia'!H1599</f>
        <v>1.0529999999999998E-2</v>
      </c>
      <c r="H2297" s="1824">
        <f>GVL!$I$68</f>
        <v>13600</v>
      </c>
      <c r="I2297" s="1824">
        <f>H2297*G2297</f>
        <v>143.20799999999997</v>
      </c>
    </row>
    <row r="2298" spans="1:12" ht="15">
      <c r="B2298" s="1551" t="str">
        <f>'8.Dgia'!B1600</f>
        <v/>
      </c>
      <c r="C2298" s="1552">
        <f>'8.Dgia'!C1600</f>
        <v>0</v>
      </c>
      <c r="D2298" s="1552">
        <f>'8.Dgia'!D1600</f>
        <v>0</v>
      </c>
      <c r="E2298" s="1775" t="str">
        <f>'8.Dgia'!E1600</f>
        <v>Que hàn</v>
      </c>
      <c r="F2298" s="1786" t="str">
        <f>'8.Dgia'!G1600</f>
        <v>kg</v>
      </c>
      <c r="G2298" s="1772">
        <f>'8.Dgia'!H1600</f>
        <v>0.61424999999999985</v>
      </c>
      <c r="H2298" s="1824">
        <f>GVL!$I$153</f>
        <v>19090.909090909088</v>
      </c>
      <c r="I2298" s="1824">
        <f>H2298*G2298</f>
        <v>11726.590909090904</v>
      </c>
    </row>
    <row r="2299" spans="1:12" ht="15">
      <c r="B2299" s="1551" t="str">
        <f>'8.Dgia'!B1601</f>
        <v/>
      </c>
      <c r="C2299" s="1552">
        <f>'8.Dgia'!C1601</f>
        <v>0</v>
      </c>
      <c r="D2299" s="1552">
        <f>'8.Dgia'!D1601</f>
        <v>0</v>
      </c>
      <c r="E2299" s="1775" t="str">
        <f>'8.Dgia'!E1601</f>
        <v>Vật liệu khác</v>
      </c>
      <c r="F2299" s="1786" t="str">
        <f>'8.Dgia'!G1601</f>
        <v>%</v>
      </c>
      <c r="G2299" s="1965">
        <f>'8.Dgia'!H1601</f>
        <v>1.5</v>
      </c>
      <c r="H2299" s="1824">
        <f>SUM(I2295:I2298)</f>
        <v>475080.14631444524</v>
      </c>
      <c r="I2299" s="1824">
        <f>H2299*G2299%</f>
        <v>7126.2021947166786</v>
      </c>
    </row>
    <row r="2300" spans="1:12" ht="15">
      <c r="B2300" s="1551" t="str">
        <f>'8.Dgia'!B1602</f>
        <v/>
      </c>
      <c r="C2300" s="1552">
        <f>'8.Dgia'!C1602</f>
        <v>0</v>
      </c>
      <c r="D2300" s="1552">
        <f>'8.Dgia'!D1602</f>
        <v>0</v>
      </c>
      <c r="E2300" s="1770" t="str">
        <f>'8.Dgia'!E1602</f>
        <v xml:space="preserve">  B - Nhân công 4.5/7</v>
      </c>
      <c r="F2300" s="1745" t="s">
        <v>552</v>
      </c>
      <c r="G2300" s="1772">
        <f>'8.Dgia'!H1602</f>
        <v>0.64934999999999987</v>
      </c>
      <c r="H2300" s="1824">
        <f>'16.NC'!$H$20</f>
        <v>275772</v>
      </c>
      <c r="I2300" s="1826">
        <f>H2300*G2300</f>
        <v>179072.54819999996</v>
      </c>
    </row>
    <row r="2301" spans="1:12" ht="15">
      <c r="B2301" s="1551" t="str">
        <f>'8.Dgia'!B1603</f>
        <v/>
      </c>
      <c r="C2301" s="1552">
        <f>'8.Dgia'!C1603</f>
        <v>0</v>
      </c>
      <c r="D2301" s="1552">
        <f>'8.Dgia'!D1603</f>
        <v>0</v>
      </c>
      <c r="E2301" s="1770" t="str">
        <f>'8.Dgia'!E1603</f>
        <v xml:space="preserve">  C - Máy thi công</v>
      </c>
      <c r="F2301" s="1786">
        <f>'8.Dgia'!G1603</f>
        <v>0</v>
      </c>
      <c r="G2301" s="1772">
        <f>'8.Dgia'!H1603</f>
        <v>0</v>
      </c>
      <c r="H2301" s="1824"/>
      <c r="I2301" s="1827">
        <f>SUM(I2302:I2305)</f>
        <v>41314.85530997334</v>
      </c>
    </row>
    <row r="2302" spans="1:12" ht="15">
      <c r="B2302" s="1551" t="str">
        <f>'8.Dgia'!B1604</f>
        <v/>
      </c>
      <c r="C2302" s="1552">
        <f>'8.Dgia'!C1604</f>
        <v>0</v>
      </c>
      <c r="D2302" s="1552">
        <f>'8.Dgia'!D1604</f>
        <v>0</v>
      </c>
      <c r="E2302" s="1775" t="str">
        <f>'8.Dgia'!E1604</f>
        <v>Máy hàn 23kw</v>
      </c>
      <c r="F2302" s="1745" t="s">
        <v>5493</v>
      </c>
      <c r="G2302" s="1772">
        <f>'8.Dgia'!H1604</f>
        <v>0.11231999999999998</v>
      </c>
      <c r="H2302" s="1824">
        <f>'9.may'!$P$510</f>
        <v>171649.155</v>
      </c>
      <c r="I2302" s="1824">
        <f>H2302*G2302</f>
        <v>19279.633089599996</v>
      </c>
    </row>
    <row r="2303" spans="1:12" ht="15">
      <c r="B2303" s="1551" t="str">
        <f>'8.Dgia'!B1605</f>
        <v/>
      </c>
      <c r="C2303" s="1552">
        <f>'8.Dgia'!C1605</f>
        <v>0</v>
      </c>
      <c r="D2303" s="1552">
        <f>'8.Dgia'!D1605</f>
        <v>0</v>
      </c>
      <c r="E2303" s="1775" t="str">
        <f>'8.Dgia'!E1605</f>
        <v>Máy cuốn ống 2.8kW</v>
      </c>
      <c r="F2303" s="1745" t="s">
        <v>5493</v>
      </c>
      <c r="G2303" s="1772">
        <f>'8.Dgia'!H1605</f>
        <v>1.7549999999999996E-2</v>
      </c>
      <c r="H2303" s="1824">
        <f>'9.may'!$P$549</f>
        <v>82106.406000000003</v>
      </c>
      <c r="I2303" s="1824">
        <f>H2303*G2303</f>
        <v>1440.9674252999998</v>
      </c>
    </row>
    <row r="2304" spans="1:12" ht="15">
      <c r="B2304" s="1551" t="str">
        <f>'8.Dgia'!B1606</f>
        <v/>
      </c>
      <c r="C2304" s="1552">
        <f>'8.Dgia'!C1606</f>
        <v>0</v>
      </c>
      <c r="D2304" s="1552">
        <f>'8.Dgia'!D1606</f>
        <v>0</v>
      </c>
      <c r="E2304" s="1775" t="str">
        <f>'8.Dgia'!E1606</f>
        <v>Cần cẩu bánh xích 16T</v>
      </c>
      <c r="F2304" s="1745" t="s">
        <v>5493</v>
      </c>
      <c r="G2304" s="1772">
        <f>'8.Dgia'!H1606</f>
        <v>9.4769999999999993E-3</v>
      </c>
      <c r="H2304" s="1824">
        <f>'9.may'!$P$247</f>
        <v>2129914.1945454543</v>
      </c>
      <c r="I2304" s="1824">
        <f>H2304*G2304</f>
        <v>20185.196821707268</v>
      </c>
    </row>
    <row r="2305" spans="1:12" ht="15">
      <c r="B2305" s="1551" t="str">
        <f>'8.Dgia'!B1607</f>
        <v/>
      </c>
      <c r="C2305" s="1552">
        <f>'8.Dgia'!C1607</f>
        <v>0</v>
      </c>
      <c r="D2305" s="1552">
        <f>'8.Dgia'!D1607</f>
        <v>0</v>
      </c>
      <c r="E2305" s="1775" t="str">
        <f>'8.Dgia'!E1607</f>
        <v>Máy khác</v>
      </c>
      <c r="F2305" s="1786" t="str">
        <f>'8.Dgia'!G1607</f>
        <v>%</v>
      </c>
      <c r="G2305" s="1966">
        <f>'8.Dgia'!H1607</f>
        <v>1</v>
      </c>
      <c r="H2305" s="1824">
        <f>SUM(I2302:I2304)</f>
        <v>40905.797336607269</v>
      </c>
      <c r="I2305" s="1824">
        <f>H2305*G2305%</f>
        <v>409.0579733660727</v>
      </c>
    </row>
    <row r="2306" spans="1:12" s="658" customFormat="1" ht="15">
      <c r="B2306" s="1677"/>
      <c r="C2306" s="1678"/>
      <c r="D2306" s="1678"/>
      <c r="E2306" s="1828" t="s">
        <v>5675</v>
      </c>
      <c r="F2306" s="1786">
        <f>$J$5</f>
        <v>0.02</v>
      </c>
      <c r="G2306" s="1780"/>
      <c r="H2306" s="1829"/>
      <c r="I2306" s="1830">
        <f>( I2294+I2300+I2301 )*F2306</f>
        <v>14051.875040382703</v>
      </c>
      <c r="J2306" s="850"/>
      <c r="K2306" s="850"/>
      <c r="L2306" s="850"/>
    </row>
    <row r="2307" spans="1:12" ht="15">
      <c r="B2307" s="1556"/>
      <c r="C2307" s="1557"/>
      <c r="D2307" s="1557"/>
      <c r="E2307" s="1831" t="s">
        <v>5676</v>
      </c>
      <c r="F2307" s="1786"/>
      <c r="G2307" s="1783"/>
      <c r="H2307" s="1832"/>
      <c r="I2307" s="1833">
        <f>I2306+I2306/F2306</f>
        <v>716645.62705951789</v>
      </c>
    </row>
    <row r="2308" spans="1:12" ht="15">
      <c r="B2308" s="1551"/>
      <c r="C2308" s="1552"/>
      <c r="D2308" s="1552"/>
      <c r="E2308" s="1834" t="s">
        <v>5677</v>
      </c>
      <c r="F2308" s="1786">
        <f>$K$5</f>
        <v>5.5E-2</v>
      </c>
      <c r="G2308" s="1772"/>
      <c r="H2308" s="1824"/>
      <c r="I2308" s="1835">
        <f>I2307*F2308</f>
        <v>39415.509488273485</v>
      </c>
    </row>
    <row r="2309" spans="1:12" ht="15">
      <c r="B2309" s="1551"/>
      <c r="C2309" s="1552"/>
      <c r="D2309" s="1552"/>
      <c r="E2309" s="1834" t="s">
        <v>5678</v>
      </c>
      <c r="F2309" s="1786">
        <f>$L$5</f>
        <v>0.06</v>
      </c>
      <c r="G2309" s="1772"/>
      <c r="H2309" s="1824"/>
      <c r="I2309" s="1835">
        <f>SUM(I2307:I2308)*F2309</f>
        <v>45363.668192867481</v>
      </c>
    </row>
    <row r="2310" spans="1:12" ht="14.25">
      <c r="B2310" s="1556"/>
      <c r="C2310" s="1557"/>
      <c r="D2310" s="1557"/>
      <c r="E2310" s="1831" t="s">
        <v>5679</v>
      </c>
      <c r="F2310" s="1787"/>
      <c r="G2310" s="1783"/>
      <c r="H2310" s="1832"/>
      <c r="I2310" s="1833">
        <f>SUM(I2307:I2309)</f>
        <v>801424.80474065896</v>
      </c>
    </row>
    <row r="2311" spans="1:12" ht="15">
      <c r="B2311" s="1551"/>
      <c r="C2311" s="1552"/>
      <c r="D2311" s="1552"/>
      <c r="E2311" s="1834" t="s">
        <v>5680</v>
      </c>
      <c r="F2311" s="1788">
        <f>$M$5</f>
        <v>0.1</v>
      </c>
      <c r="G2311" s="1772"/>
      <c r="H2311" s="1824"/>
      <c r="I2311" s="1835">
        <f>I2310*F2311</f>
        <v>80142.480474065902</v>
      </c>
    </row>
    <row r="2312" spans="1:12" ht="14.25">
      <c r="B2312" s="1556"/>
      <c r="C2312" s="1557"/>
      <c r="D2312" s="1557"/>
      <c r="E2312" s="1831" t="s">
        <v>5681</v>
      </c>
      <c r="F2312" s="1787"/>
      <c r="G2312" s="1783"/>
      <c r="H2312" s="1832"/>
      <c r="I2312" s="1833">
        <f>SUM(I2310:I2311)</f>
        <v>881567.28521472483</v>
      </c>
    </row>
    <row r="2313" spans="1:12" ht="12.75">
      <c r="B2313" s="1551"/>
      <c r="C2313" s="1552"/>
      <c r="D2313" s="1552"/>
      <c r="E2313" s="1558" t="s">
        <v>5682</v>
      </c>
      <c r="F2313" s="1560">
        <f>$N$5</f>
        <v>0.01</v>
      </c>
      <c r="G2313" s="1553"/>
      <c r="H2313" s="1554"/>
      <c r="I2313" s="1559">
        <f>I2312*F2313</f>
        <v>8815.6728521472487</v>
      </c>
    </row>
    <row r="2314" spans="1:12" ht="14.25">
      <c r="B2314" s="2123"/>
      <c r="C2314" s="1561"/>
      <c r="D2314" s="2124"/>
      <c r="E2314" s="2112" t="s">
        <v>5683</v>
      </c>
      <c r="F2314" s="2113"/>
      <c r="G2314" s="2125"/>
      <c r="H2314" s="2126"/>
      <c r="I2314" s="2110">
        <f>ROUND(I2312+I2313,-2)</f>
        <v>890400</v>
      </c>
    </row>
    <row r="2315" spans="1:12" s="1336" customFormat="1" ht="28.5">
      <c r="A2315" s="657">
        <v>1</v>
      </c>
      <c r="B2315" s="1546">
        <f>IF(A2315&lt;&gt;0,COUNTA(A$7:$A2315),"")</f>
        <v>128</v>
      </c>
      <c r="C2315" s="1550">
        <f>'8.Dgia'!C1608</f>
        <v>1776</v>
      </c>
      <c r="D2315" s="1550" t="str">
        <f>'8.Dgia'!D1608</f>
        <v>AI.12111</v>
      </c>
      <c r="E2315" s="1766" t="str">
        <f>'8.Dgia'!E1608</f>
        <v>Sản xuất ống vách cọc khoan nhồi (thu hồi), KH=1.17%*2tháng</v>
      </c>
      <c r="F2315" s="1789" t="s">
        <v>557</v>
      </c>
      <c r="G2315" s="1768">
        <f>'8.Dgia'!H1608</f>
        <v>2.3399999999999997E-2</v>
      </c>
      <c r="H2315" s="1823"/>
      <c r="I2315" s="1823"/>
      <c r="J2315" s="1425">
        <f>+I2316</f>
        <v>321470.89900610805</v>
      </c>
      <c r="K2315" s="1425">
        <f>+I2322</f>
        <v>119381.69879999998</v>
      </c>
      <c r="L2315" s="1425">
        <f>+I2323</f>
        <v>27543.23687331556</v>
      </c>
    </row>
    <row r="2316" spans="1:12" ht="15">
      <c r="B2316" s="1551" t="str">
        <f>'8.Dgia'!B1609</f>
        <v/>
      </c>
      <c r="C2316" s="1552">
        <f>'8.Dgia'!C1609</f>
        <v>0</v>
      </c>
      <c r="D2316" s="1552">
        <f>'8.Dgia'!D1609</f>
        <v>0</v>
      </c>
      <c r="E2316" s="1770" t="str">
        <f>'8.Dgia'!E1609</f>
        <v xml:space="preserve">  A - Vật liệu</v>
      </c>
      <c r="F2316" s="1786">
        <f>'8.Dgia'!G1609</f>
        <v>0</v>
      </c>
      <c r="G2316" s="1772">
        <f>'8.Dgia'!H1609</f>
        <v>0</v>
      </c>
      <c r="H2316" s="1824"/>
      <c r="I2316" s="1825">
        <f>SUM(I2317:I2321)</f>
        <v>321470.89900610805</v>
      </c>
    </row>
    <row r="2317" spans="1:12" ht="15">
      <c r="B2317" s="1551" t="str">
        <f>'8.Dgia'!B1610</f>
        <v/>
      </c>
      <c r="C2317" s="1552">
        <f>'8.Dgia'!C1610</f>
        <v>0</v>
      </c>
      <c r="D2317" s="1552">
        <f>'8.Dgia'!D1610</f>
        <v>0</v>
      </c>
      <c r="E2317" s="1775" t="str">
        <f>'8.Dgia'!E1610</f>
        <v>Thép tấm</v>
      </c>
      <c r="F2317" s="1786" t="str">
        <f>'8.Dgia'!G1610</f>
        <v>kg</v>
      </c>
      <c r="G2317" s="1772">
        <f>'8.Dgia'!H1610</f>
        <v>23.984999999999996</v>
      </c>
      <c r="H2317" s="1824">
        <f>GVL!$I$175</f>
        <v>12871.348287272725</v>
      </c>
      <c r="I2317" s="1824">
        <f>H2317*G2317</f>
        <v>308719.28867023624</v>
      </c>
    </row>
    <row r="2318" spans="1:12" ht="15">
      <c r="B2318" s="1551" t="str">
        <f>'8.Dgia'!B1611</f>
        <v/>
      </c>
      <c r="C2318" s="1552">
        <f>'8.Dgia'!C1611</f>
        <v>0</v>
      </c>
      <c r="D2318" s="1552">
        <f>'8.Dgia'!D1611</f>
        <v>0</v>
      </c>
      <c r="E2318" s="1775" t="str">
        <f>'8.Dgia'!E1611</f>
        <v>Ô xy</v>
      </c>
      <c r="F2318" s="1763" t="s">
        <v>565</v>
      </c>
      <c r="G2318" s="1772">
        <f>'8.Dgia'!H1611</f>
        <v>1.8251999999999997E-3</v>
      </c>
      <c r="H2318" s="1824">
        <f>GVL!$I$130</f>
        <v>48000</v>
      </c>
      <c r="I2318" s="1824">
        <f>H2318*G2318</f>
        <v>87.609599999999986</v>
      </c>
    </row>
    <row r="2319" spans="1:12" ht="15">
      <c r="B2319" s="1551" t="str">
        <f>'8.Dgia'!B1612</f>
        <v/>
      </c>
      <c r="C2319" s="1552">
        <f>'8.Dgia'!C1612</f>
        <v>0</v>
      </c>
      <c r="D2319" s="1552">
        <f>'8.Dgia'!D1612</f>
        <v>0</v>
      </c>
      <c r="E2319" s="1775" t="str">
        <f>'8.Dgia'!E1612</f>
        <v>Đất đèn</v>
      </c>
      <c r="F2319" s="1786" t="str">
        <f>'8.Dgia'!G1612</f>
        <v>kg</v>
      </c>
      <c r="G2319" s="1772">
        <f>'8.Dgia'!H1612</f>
        <v>7.0199999999999993E-3</v>
      </c>
      <c r="H2319" s="1824">
        <f>GVL!$I$68</f>
        <v>13600</v>
      </c>
      <c r="I2319" s="1824">
        <f>H2319*G2319</f>
        <v>95.471999999999994</v>
      </c>
    </row>
    <row r="2320" spans="1:12" ht="15">
      <c r="B2320" s="1551" t="str">
        <f>'8.Dgia'!B1613</f>
        <v/>
      </c>
      <c r="C2320" s="1552">
        <f>'8.Dgia'!C1613</f>
        <v>0</v>
      </c>
      <c r="D2320" s="1552">
        <f>'8.Dgia'!D1613</f>
        <v>0</v>
      </c>
      <c r="E2320" s="1775" t="str">
        <f>'8.Dgia'!E1613</f>
        <v>Que hàn</v>
      </c>
      <c r="F2320" s="1786" t="str">
        <f>'8.Dgia'!G1613</f>
        <v>kg</v>
      </c>
      <c r="G2320" s="1772">
        <f>'8.Dgia'!H1613</f>
        <v>0.40949999999999998</v>
      </c>
      <c r="H2320" s="1824">
        <f>GVL!$I$153</f>
        <v>19090.909090909088</v>
      </c>
      <c r="I2320" s="1824">
        <f>H2320*G2320</f>
        <v>7817.7272727272712</v>
      </c>
    </row>
    <row r="2321" spans="2:12" ht="15">
      <c r="B2321" s="1551" t="str">
        <f>'8.Dgia'!B1614</f>
        <v/>
      </c>
      <c r="C2321" s="1552">
        <f>'8.Dgia'!C1614</f>
        <v>0</v>
      </c>
      <c r="D2321" s="1552">
        <f>'8.Dgia'!D1614</f>
        <v>0</v>
      </c>
      <c r="E2321" s="1775" t="str">
        <f>'8.Dgia'!E1614</f>
        <v>Vật liệu khác</v>
      </c>
      <c r="F2321" s="1786" t="str">
        <f>'8.Dgia'!G1614</f>
        <v>%</v>
      </c>
      <c r="G2321" s="1965">
        <f>'8.Dgia'!H1614</f>
        <v>1.5</v>
      </c>
      <c r="H2321" s="1824">
        <f>SUM(I2317:I2320)</f>
        <v>316720.09754296357</v>
      </c>
      <c r="I2321" s="1824">
        <f>H2321*G2321%</f>
        <v>4750.801463144453</v>
      </c>
    </row>
    <row r="2322" spans="2:12" ht="15">
      <c r="B2322" s="1551" t="str">
        <f>'8.Dgia'!B1615</f>
        <v/>
      </c>
      <c r="C2322" s="1552">
        <f>'8.Dgia'!C1615</f>
        <v>0</v>
      </c>
      <c r="D2322" s="1552">
        <f>'8.Dgia'!D1615</f>
        <v>0</v>
      </c>
      <c r="E2322" s="1770" t="str">
        <f>'8.Dgia'!E1615</f>
        <v xml:space="preserve">  B - Nhân công 4.5/7</v>
      </c>
      <c r="F2322" s="1745" t="s">
        <v>552</v>
      </c>
      <c r="G2322" s="1772">
        <f>'8.Dgia'!H1615</f>
        <v>0.43289999999999995</v>
      </c>
      <c r="H2322" s="1824">
        <f>'16.NC'!$H$20</f>
        <v>275772</v>
      </c>
      <c r="I2322" s="1826">
        <f>H2322*G2322</f>
        <v>119381.69879999998</v>
      </c>
    </row>
    <row r="2323" spans="2:12" ht="15">
      <c r="B2323" s="1551" t="str">
        <f>'8.Dgia'!B1616</f>
        <v/>
      </c>
      <c r="C2323" s="1552">
        <f>'8.Dgia'!C1616</f>
        <v>0</v>
      </c>
      <c r="D2323" s="1552">
        <f>'8.Dgia'!D1616</f>
        <v>0</v>
      </c>
      <c r="E2323" s="1770" t="str">
        <f>'8.Dgia'!E1616</f>
        <v xml:space="preserve">  C - Máy thi công</v>
      </c>
      <c r="F2323" s="1786">
        <f>'8.Dgia'!G1616</f>
        <v>0</v>
      </c>
      <c r="G2323" s="1772">
        <f>'8.Dgia'!H1616</f>
        <v>0</v>
      </c>
      <c r="H2323" s="1824"/>
      <c r="I2323" s="1827">
        <f>SUM(I2324:I2327)</f>
        <v>27543.23687331556</v>
      </c>
    </row>
    <row r="2324" spans="2:12" ht="15">
      <c r="B2324" s="1551" t="str">
        <f>'8.Dgia'!B1617</f>
        <v/>
      </c>
      <c r="C2324" s="1552">
        <f>'8.Dgia'!C1617</f>
        <v>0</v>
      </c>
      <c r="D2324" s="1552">
        <f>'8.Dgia'!D1617</f>
        <v>0</v>
      </c>
      <c r="E2324" s="1775" t="str">
        <f>'8.Dgia'!E1617</f>
        <v>Máy hàn 23kw</v>
      </c>
      <c r="F2324" s="1745" t="s">
        <v>5493</v>
      </c>
      <c r="G2324" s="1772">
        <f>'8.Dgia'!H1617</f>
        <v>7.4879999999999988E-2</v>
      </c>
      <c r="H2324" s="1824">
        <f>'9.may'!$P$510</f>
        <v>171649.155</v>
      </c>
      <c r="I2324" s="1824">
        <f>H2324*G2324</f>
        <v>12853.088726399998</v>
      </c>
    </row>
    <row r="2325" spans="2:12" ht="15">
      <c r="B2325" s="1551" t="str">
        <f>'8.Dgia'!B1618</f>
        <v/>
      </c>
      <c r="C2325" s="1552">
        <f>'8.Dgia'!C1618</f>
        <v>0</v>
      </c>
      <c r="D2325" s="1552">
        <f>'8.Dgia'!D1618</f>
        <v>0</v>
      </c>
      <c r="E2325" s="1775" t="str">
        <f>'8.Dgia'!E1618</f>
        <v>Máy cuốn ống 2.8kW</v>
      </c>
      <c r="F2325" s="1745" t="s">
        <v>5493</v>
      </c>
      <c r="G2325" s="1772">
        <f>'8.Dgia'!H1618</f>
        <v>1.1699999999999999E-2</v>
      </c>
      <c r="H2325" s="1824">
        <f>'9.may'!$P$549</f>
        <v>82106.406000000003</v>
      </c>
      <c r="I2325" s="1824">
        <f>H2325*G2325</f>
        <v>960.64495019999993</v>
      </c>
    </row>
    <row r="2326" spans="2:12" ht="15">
      <c r="B2326" s="1551" t="str">
        <f>'8.Dgia'!B1619</f>
        <v/>
      </c>
      <c r="C2326" s="1552">
        <f>'8.Dgia'!C1619</f>
        <v>0</v>
      </c>
      <c r="D2326" s="1552">
        <f>'8.Dgia'!D1619</f>
        <v>0</v>
      </c>
      <c r="E2326" s="1775" t="str">
        <f>'8.Dgia'!E1619</f>
        <v>Cần cẩu bánh xích 16T</v>
      </c>
      <c r="F2326" s="1745" t="s">
        <v>5493</v>
      </c>
      <c r="G2326" s="1772">
        <f>'8.Dgia'!H1619</f>
        <v>6.3179999999999998E-3</v>
      </c>
      <c r="H2326" s="1824">
        <f>'9.may'!$P$247</f>
        <v>2129914.1945454543</v>
      </c>
      <c r="I2326" s="1824">
        <f>H2326*G2326</f>
        <v>13456.79788113818</v>
      </c>
    </row>
    <row r="2327" spans="2:12" ht="15">
      <c r="B2327" s="1551" t="str">
        <f>'8.Dgia'!B1620</f>
        <v/>
      </c>
      <c r="C2327" s="1552">
        <f>'8.Dgia'!C1620</f>
        <v>0</v>
      </c>
      <c r="D2327" s="1552">
        <f>'8.Dgia'!D1620</f>
        <v>0</v>
      </c>
      <c r="E2327" s="1775" t="str">
        <f>'8.Dgia'!E1620</f>
        <v>Máy khác</v>
      </c>
      <c r="F2327" s="1786" t="str">
        <f>'8.Dgia'!G1620</f>
        <v>%</v>
      </c>
      <c r="G2327" s="1965">
        <f>'8.Dgia'!H1620</f>
        <v>1</v>
      </c>
      <c r="H2327" s="1824">
        <f>SUM(I2324:I2326)</f>
        <v>27270.531557738177</v>
      </c>
      <c r="I2327" s="1824">
        <f>H2327*G2327%</f>
        <v>272.70531557738178</v>
      </c>
    </row>
    <row r="2328" spans="2:12" s="658" customFormat="1" ht="15">
      <c r="B2328" s="1677"/>
      <c r="C2328" s="1678"/>
      <c r="D2328" s="1678"/>
      <c r="E2328" s="1828" t="s">
        <v>5675</v>
      </c>
      <c r="F2328" s="1786">
        <f>$J$5</f>
        <v>0.02</v>
      </c>
      <c r="G2328" s="1780"/>
      <c r="H2328" s="1829"/>
      <c r="I2328" s="1830">
        <f>( I2316+I2322+I2323 )*F2328</f>
        <v>9367.9166935884714</v>
      </c>
      <c r="J2328" s="850"/>
      <c r="K2328" s="850"/>
      <c r="L2328" s="850"/>
    </row>
    <row r="2329" spans="2:12" ht="15">
      <c r="B2329" s="1556"/>
      <c r="C2329" s="1557"/>
      <c r="D2329" s="1557"/>
      <c r="E2329" s="1831" t="s">
        <v>5676</v>
      </c>
      <c r="F2329" s="1786"/>
      <c r="G2329" s="1783"/>
      <c r="H2329" s="1832"/>
      <c r="I2329" s="1833">
        <f>I2328+I2328/F2328</f>
        <v>477763.75137301203</v>
      </c>
    </row>
    <row r="2330" spans="2:12" ht="15">
      <c r="B2330" s="1551"/>
      <c r="C2330" s="1552"/>
      <c r="D2330" s="1552"/>
      <c r="E2330" s="1834" t="s">
        <v>5677</v>
      </c>
      <c r="F2330" s="1786">
        <f>$K$5</f>
        <v>5.5E-2</v>
      </c>
      <c r="G2330" s="1772"/>
      <c r="H2330" s="1824"/>
      <c r="I2330" s="1835">
        <f>I2329*F2330</f>
        <v>26277.00632551566</v>
      </c>
    </row>
    <row r="2331" spans="2:12" ht="15">
      <c r="B2331" s="1551"/>
      <c r="C2331" s="1552"/>
      <c r="D2331" s="1552"/>
      <c r="E2331" s="1834" t="s">
        <v>5678</v>
      </c>
      <c r="F2331" s="1786">
        <f>$L$5</f>
        <v>0.06</v>
      </c>
      <c r="G2331" s="1772"/>
      <c r="H2331" s="1824"/>
      <c r="I2331" s="1835">
        <f>SUM(I2329:I2330)*F2331</f>
        <v>30242.445461911662</v>
      </c>
    </row>
    <row r="2332" spans="2:12" ht="14.25">
      <c r="B2332" s="1556"/>
      <c r="C2332" s="1557"/>
      <c r="D2332" s="1557"/>
      <c r="E2332" s="1831" t="s">
        <v>5679</v>
      </c>
      <c r="F2332" s="1787"/>
      <c r="G2332" s="1783"/>
      <c r="H2332" s="1832"/>
      <c r="I2332" s="1833">
        <f>SUM(I2329:I2331)</f>
        <v>534283.20316043939</v>
      </c>
    </row>
    <row r="2333" spans="2:12" ht="15">
      <c r="B2333" s="1551"/>
      <c r="C2333" s="1552"/>
      <c r="D2333" s="1552"/>
      <c r="E2333" s="1834" t="s">
        <v>5680</v>
      </c>
      <c r="F2333" s="1788">
        <f>$M$5</f>
        <v>0.1</v>
      </c>
      <c r="G2333" s="1772"/>
      <c r="H2333" s="1824"/>
      <c r="I2333" s="1835">
        <f>I2332*F2333</f>
        <v>53428.320316043944</v>
      </c>
    </row>
    <row r="2334" spans="2:12" ht="14.25">
      <c r="B2334" s="1556"/>
      <c r="C2334" s="1557"/>
      <c r="D2334" s="1557"/>
      <c r="E2334" s="1831" t="s">
        <v>5681</v>
      </c>
      <c r="F2334" s="1787"/>
      <c r="G2334" s="1783"/>
      <c r="H2334" s="1832"/>
      <c r="I2334" s="1833">
        <f>SUM(I2332:I2333)</f>
        <v>587711.5234764833</v>
      </c>
    </row>
    <row r="2335" spans="2:12" ht="12.75">
      <c r="B2335" s="1551"/>
      <c r="C2335" s="1552"/>
      <c r="D2335" s="1552"/>
      <c r="E2335" s="1558" t="s">
        <v>5682</v>
      </c>
      <c r="F2335" s="1560">
        <f>$N$5</f>
        <v>0.01</v>
      </c>
      <c r="G2335" s="1553"/>
      <c r="H2335" s="1554"/>
      <c r="I2335" s="1559">
        <f>I2334*F2335</f>
        <v>5877.1152347648331</v>
      </c>
    </row>
    <row r="2336" spans="2:12" ht="14.25">
      <c r="B2336" s="2123"/>
      <c r="C2336" s="1561"/>
      <c r="D2336" s="2124"/>
      <c r="E2336" s="2112" t="s">
        <v>5683</v>
      </c>
      <c r="F2336" s="2113"/>
      <c r="G2336" s="2125"/>
      <c r="H2336" s="2126"/>
      <c r="I2336" s="2110">
        <f>ROUND(I2334+I2335,-2)</f>
        <v>593600</v>
      </c>
    </row>
    <row r="2337" spans="1:12" ht="28.5" customHeight="1">
      <c r="A2337" s="657">
        <v>1</v>
      </c>
      <c r="B2337" s="1546">
        <f>IF(A2337&lt;&gt;0,COUNTA(A$7:$A2337),"")</f>
        <v>129</v>
      </c>
      <c r="C2337" s="1550">
        <f>'8.Dgia'!C1647</f>
        <v>1776</v>
      </c>
      <c r="D2337" s="1550" t="str">
        <f>'8.Dgia'!D1647</f>
        <v>AC.22111</v>
      </c>
      <c r="E2337" s="1766" t="str">
        <f>'8.Dgia'!E1647</f>
        <v>Đóng cọc ván thép trên cạn, L≤12m (phần không ngập đất, HS=0,75)</v>
      </c>
      <c r="F2337" s="1794" t="s">
        <v>543</v>
      </c>
      <c r="G2337" s="1768">
        <f>'8.Dgia'!H1647</f>
        <v>0.75</v>
      </c>
      <c r="H2337" s="1823"/>
      <c r="I2337" s="1823"/>
      <c r="K2337" s="842">
        <f>+I2338</f>
        <v>18375.757199999996</v>
      </c>
      <c r="L2337" s="842">
        <f>+I2339</f>
        <v>66174.80701883728</v>
      </c>
    </row>
    <row r="2338" spans="1:12" s="658" customFormat="1" ht="15">
      <c r="B2338" s="1551" t="str">
        <f>'8.Dgia'!B1648</f>
        <v/>
      </c>
      <c r="C2338" s="1552">
        <f>'8.Dgia'!C1648</f>
        <v>0</v>
      </c>
      <c r="D2338" s="1552">
        <f>'8.Dgia'!D1648</f>
        <v>0</v>
      </c>
      <c r="E2338" s="1770" t="str">
        <f>'8.Dgia'!E1648</f>
        <v xml:space="preserve">  B - Nhân công 4.0/7</v>
      </c>
      <c r="F2338" s="1745" t="s">
        <v>552</v>
      </c>
      <c r="G2338" s="1772">
        <f>'8.Dgia'!H1648/100</f>
        <v>7.1549999999999989E-2</v>
      </c>
      <c r="H2338" s="1824">
        <f>'16.NC'!$H$18</f>
        <v>256824</v>
      </c>
      <c r="I2338" s="1826">
        <f>H2338*G2338</f>
        <v>18375.757199999996</v>
      </c>
      <c r="J2338" s="850"/>
      <c r="K2338" s="850"/>
      <c r="L2338" s="850"/>
    </row>
    <row r="2339" spans="1:12" s="658" customFormat="1" ht="15">
      <c r="B2339" s="1551" t="str">
        <f>'8.Dgia'!B1649</f>
        <v/>
      </c>
      <c r="C2339" s="1552">
        <f>'8.Dgia'!C1649</f>
        <v>0</v>
      </c>
      <c r="D2339" s="1552">
        <f>'8.Dgia'!D1649</f>
        <v>0</v>
      </c>
      <c r="E2339" s="1770" t="str">
        <f>'8.Dgia'!E1649</f>
        <v xml:space="preserve">  C - Máy thi công</v>
      </c>
      <c r="F2339" s="1786">
        <f>'8.Dgia'!G1649</f>
        <v>0</v>
      </c>
      <c r="G2339" s="1772">
        <f>'8.Dgia'!H1649</f>
        <v>0</v>
      </c>
      <c r="H2339" s="1824"/>
      <c r="I2339" s="1827">
        <f>SUM(I2340:I2341)</f>
        <v>66174.80701883728</v>
      </c>
      <c r="J2339" s="850"/>
      <c r="K2339" s="850"/>
      <c r="L2339" s="850"/>
    </row>
    <row r="2340" spans="1:12" ht="15">
      <c r="B2340" s="1551" t="str">
        <f>'8.Dgia'!B1650</f>
        <v/>
      </c>
      <c r="C2340" s="1552">
        <f>'8.Dgia'!C1650</f>
        <v>0</v>
      </c>
      <c r="D2340" s="1552">
        <f>'8.Dgia'!D1650</f>
        <v>0</v>
      </c>
      <c r="E2340" s="1775" t="str">
        <f>'8.Dgia'!E1650</f>
        <v>Máy đóng cọc tự hành 1.8T</v>
      </c>
      <c r="F2340" s="1745" t="s">
        <v>5493</v>
      </c>
      <c r="G2340" s="1772">
        <f>'8.Dgia'!H1650/100</f>
        <v>2.3850000000000003E-2</v>
      </c>
      <c r="H2340" s="1824">
        <f>'9.may'!$P$611</f>
        <v>2693810.7109090909</v>
      </c>
      <c r="I2340" s="1824">
        <f>H2340*G2340</f>
        <v>64247.385455181829</v>
      </c>
    </row>
    <row r="2341" spans="1:12" ht="15">
      <c r="B2341" s="1551" t="str">
        <f>'8.Dgia'!B1651</f>
        <v/>
      </c>
      <c r="C2341" s="1552">
        <f>'8.Dgia'!C1651</f>
        <v>0</v>
      </c>
      <c r="D2341" s="1552">
        <f>'8.Dgia'!D1651</f>
        <v>0</v>
      </c>
      <c r="E2341" s="1775" t="str">
        <f>'8.Dgia'!E1651</f>
        <v>Máy khác</v>
      </c>
      <c r="F2341" s="1786" t="str">
        <f>'8.Dgia'!G1651</f>
        <v>%</v>
      </c>
      <c r="G2341" s="1964">
        <f>'8.Dgia'!H1651</f>
        <v>3</v>
      </c>
      <c r="H2341" s="1824">
        <f>SUM(I2340:I2340)</f>
        <v>64247.385455181829</v>
      </c>
      <c r="I2341" s="1824">
        <f>H2341*G2341%</f>
        <v>1927.4215636554547</v>
      </c>
    </row>
    <row r="2342" spans="1:12" s="658" customFormat="1" ht="15">
      <c r="B2342" s="1677"/>
      <c r="C2342" s="1678"/>
      <c r="D2342" s="1678"/>
      <c r="E2342" s="1828" t="s">
        <v>5675</v>
      </c>
      <c r="F2342" s="1786">
        <f>$J$5</f>
        <v>0.02</v>
      </c>
      <c r="G2342" s="1780"/>
      <c r="H2342" s="1829"/>
      <c r="I2342" s="1830">
        <f>( I2338+I2339 )*F2342</f>
        <v>1691.0112843767456</v>
      </c>
      <c r="J2342" s="850"/>
      <c r="K2342" s="850"/>
      <c r="L2342" s="850"/>
    </row>
    <row r="2343" spans="1:12" ht="15">
      <c r="B2343" s="1556"/>
      <c r="C2343" s="1557"/>
      <c r="D2343" s="1557"/>
      <c r="E2343" s="1831" t="s">
        <v>5676</v>
      </c>
      <c r="F2343" s="1786"/>
      <c r="G2343" s="1783"/>
      <c r="H2343" s="1832"/>
      <c r="I2343" s="1833">
        <f>I2342+I2342/F2342</f>
        <v>86241.575503214015</v>
      </c>
    </row>
    <row r="2344" spans="1:12" ht="15">
      <c r="B2344" s="1551"/>
      <c r="C2344" s="1552"/>
      <c r="D2344" s="1552"/>
      <c r="E2344" s="1834" t="s">
        <v>5677</v>
      </c>
      <c r="F2344" s="1786">
        <f>$K$5</f>
        <v>5.5E-2</v>
      </c>
      <c r="G2344" s="1772"/>
      <c r="H2344" s="1824"/>
      <c r="I2344" s="1835">
        <f>I2343*F2344</f>
        <v>4743.2866526767712</v>
      </c>
    </row>
    <row r="2345" spans="1:12" ht="15">
      <c r="B2345" s="1551"/>
      <c r="C2345" s="1552"/>
      <c r="D2345" s="1552"/>
      <c r="E2345" s="1834" t="s">
        <v>5678</v>
      </c>
      <c r="F2345" s="1786">
        <f>$L$5</f>
        <v>0.06</v>
      </c>
      <c r="G2345" s="1772"/>
      <c r="H2345" s="1824"/>
      <c r="I2345" s="1835">
        <f>SUM(I2343:I2344)*F2345</f>
        <v>5459.0917293534476</v>
      </c>
    </row>
    <row r="2346" spans="1:12" ht="14.25">
      <c r="B2346" s="1556"/>
      <c r="C2346" s="1557"/>
      <c r="D2346" s="1557"/>
      <c r="E2346" s="1831" t="s">
        <v>5679</v>
      </c>
      <c r="F2346" s="1787"/>
      <c r="G2346" s="1783"/>
      <c r="H2346" s="1832"/>
      <c r="I2346" s="1833">
        <f>SUM(I2343:I2345)</f>
        <v>96443.953885244235</v>
      </c>
    </row>
    <row r="2347" spans="1:12" ht="15">
      <c r="B2347" s="1551"/>
      <c r="C2347" s="1552"/>
      <c r="D2347" s="1552"/>
      <c r="E2347" s="1834" t="s">
        <v>5680</v>
      </c>
      <c r="F2347" s="1788">
        <f>$M$5</f>
        <v>0.1</v>
      </c>
      <c r="G2347" s="1772"/>
      <c r="H2347" s="1824"/>
      <c r="I2347" s="1835">
        <f>I2346*F2347</f>
        <v>9644.3953885244246</v>
      </c>
    </row>
    <row r="2348" spans="1:12" ht="14.25">
      <c r="B2348" s="1556"/>
      <c r="C2348" s="1557"/>
      <c r="D2348" s="1557"/>
      <c r="E2348" s="1831" t="s">
        <v>5681</v>
      </c>
      <c r="F2348" s="1787"/>
      <c r="G2348" s="1783"/>
      <c r="H2348" s="1832"/>
      <c r="I2348" s="1833">
        <f>SUM(I2346:I2347)</f>
        <v>106088.34927376866</v>
      </c>
    </row>
    <row r="2349" spans="1:12" ht="12.75">
      <c r="B2349" s="1551"/>
      <c r="C2349" s="1552"/>
      <c r="D2349" s="1552"/>
      <c r="E2349" s="1558" t="s">
        <v>5682</v>
      </c>
      <c r="F2349" s="1560">
        <f>$N$5</f>
        <v>0.01</v>
      </c>
      <c r="G2349" s="1553"/>
      <c r="H2349" s="1554"/>
      <c r="I2349" s="1559">
        <f>I2348*F2349</f>
        <v>1060.8834927376865</v>
      </c>
    </row>
    <row r="2350" spans="1:12" ht="14.25">
      <c r="B2350" s="2123"/>
      <c r="C2350" s="1561"/>
      <c r="D2350" s="2124"/>
      <c r="E2350" s="2112" t="s">
        <v>5683</v>
      </c>
      <c r="F2350" s="2113"/>
      <c r="G2350" s="2125"/>
      <c r="H2350" s="2126"/>
      <c r="I2350" s="2110">
        <f>ROUND(I2348+I2349,-2)</f>
        <v>107100</v>
      </c>
    </row>
    <row r="2351" spans="1:12" ht="28.5">
      <c r="A2351" s="657">
        <v>1</v>
      </c>
      <c r="B2351" s="1546">
        <f>IF(A2351&lt;&gt;0,COUNTA(A$7:$A2351),"")</f>
        <v>130</v>
      </c>
      <c r="C2351" s="1550">
        <f>'8.Dgia'!C1652</f>
        <v>1776</v>
      </c>
      <c r="D2351" s="1550" t="str">
        <f>'8.Dgia'!D1652</f>
        <v>AC.22111</v>
      </c>
      <c r="E2351" s="1766" t="str">
        <f>'8.Dgia'!E1652</f>
        <v>Đóng cọc ván thép trên cạn, L≤12m (phần ngập đất)</v>
      </c>
      <c r="F2351" s="1794" t="s">
        <v>543</v>
      </c>
      <c r="G2351" s="2103">
        <v>1</v>
      </c>
      <c r="H2351" s="1823"/>
      <c r="I2351" s="1823"/>
      <c r="K2351" s="842">
        <f>+I2352</f>
        <v>24501.009599999998</v>
      </c>
      <c r="L2351" s="842">
        <f>+I2353</f>
        <v>88233.076025116374</v>
      </c>
    </row>
    <row r="2352" spans="1:12" s="658" customFormat="1" ht="15">
      <c r="B2352" s="1551" t="str">
        <f>'8.Dgia'!B1653</f>
        <v/>
      </c>
      <c r="C2352" s="1552">
        <f>'8.Dgia'!C1653</f>
        <v>0</v>
      </c>
      <c r="D2352" s="1552">
        <f>'8.Dgia'!D1653</f>
        <v>0</v>
      </c>
      <c r="E2352" s="1770" t="str">
        <f>'8.Dgia'!E1653</f>
        <v xml:space="preserve">  B - Nhân công 4.0/7</v>
      </c>
      <c r="F2352" s="1745" t="s">
        <v>552</v>
      </c>
      <c r="G2352" s="1772">
        <f>'8.Dgia'!H1653/100</f>
        <v>9.5399999999999985E-2</v>
      </c>
      <c r="H2352" s="1824">
        <f>'16.NC'!$H$18</f>
        <v>256824</v>
      </c>
      <c r="I2352" s="1826">
        <f>H2352*G2352</f>
        <v>24501.009599999998</v>
      </c>
      <c r="J2352" s="850"/>
      <c r="K2352" s="850"/>
      <c r="L2352" s="850"/>
    </row>
    <row r="2353" spans="1:12" s="658" customFormat="1" ht="15">
      <c r="B2353" s="1551" t="str">
        <f>'8.Dgia'!B1654</f>
        <v/>
      </c>
      <c r="C2353" s="1552">
        <f>'8.Dgia'!C1654</f>
        <v>0</v>
      </c>
      <c r="D2353" s="1552">
        <f>'8.Dgia'!D1654</f>
        <v>0</v>
      </c>
      <c r="E2353" s="1770" t="str">
        <f>'8.Dgia'!E1654</f>
        <v xml:space="preserve">  C - Máy thi công</v>
      </c>
      <c r="F2353" s="1786">
        <f>'8.Dgia'!G1654</f>
        <v>0</v>
      </c>
      <c r="G2353" s="1772">
        <f>'8.Dgia'!H1654</f>
        <v>0</v>
      </c>
      <c r="H2353" s="1824"/>
      <c r="I2353" s="1827">
        <f>SUM(I2354:I2355)</f>
        <v>88233.076025116374</v>
      </c>
      <c r="J2353" s="850"/>
      <c r="K2353" s="850"/>
      <c r="L2353" s="850"/>
    </row>
    <row r="2354" spans="1:12" ht="15">
      <c r="B2354" s="1551" t="str">
        <f>'8.Dgia'!B1655</f>
        <v/>
      </c>
      <c r="C2354" s="1552">
        <f>'8.Dgia'!C1655</f>
        <v>0</v>
      </c>
      <c r="D2354" s="1552">
        <f>'8.Dgia'!D1655</f>
        <v>0</v>
      </c>
      <c r="E2354" s="1775" t="str">
        <f>'8.Dgia'!E1655</f>
        <v>Máy đóng cọc tự hành 1.8T</v>
      </c>
      <c r="F2354" s="1745" t="s">
        <v>5493</v>
      </c>
      <c r="G2354" s="1772">
        <f>'8.Dgia'!H1655/100</f>
        <v>3.1800000000000002E-2</v>
      </c>
      <c r="H2354" s="1824">
        <f>'9.may'!$P$611</f>
        <v>2693810.7109090909</v>
      </c>
      <c r="I2354" s="1824">
        <f>H2354*G2354</f>
        <v>85663.180606909096</v>
      </c>
    </row>
    <row r="2355" spans="1:12" ht="15">
      <c r="B2355" s="1551" t="str">
        <f>'8.Dgia'!B1656</f>
        <v/>
      </c>
      <c r="C2355" s="1552">
        <f>'8.Dgia'!C1656</f>
        <v>0</v>
      </c>
      <c r="D2355" s="1552">
        <f>'8.Dgia'!D1656</f>
        <v>0</v>
      </c>
      <c r="E2355" s="1775" t="str">
        <f>'8.Dgia'!E1656</f>
        <v>Máy khác</v>
      </c>
      <c r="F2355" s="1786" t="str">
        <f>'8.Dgia'!G1656</f>
        <v>%</v>
      </c>
      <c r="G2355" s="1965">
        <f>'8.Dgia'!H1656</f>
        <v>3</v>
      </c>
      <c r="H2355" s="1824">
        <f>SUM(I2354:I2354)</f>
        <v>85663.180606909096</v>
      </c>
      <c r="I2355" s="1824">
        <f>H2355*G2355%</f>
        <v>2569.895418207273</v>
      </c>
    </row>
    <row r="2356" spans="1:12" s="658" customFormat="1" ht="15">
      <c r="B2356" s="1677"/>
      <c r="C2356" s="1678"/>
      <c r="D2356" s="1678"/>
      <c r="E2356" s="1828" t="s">
        <v>5675</v>
      </c>
      <c r="F2356" s="1786">
        <f>$J$5</f>
        <v>0.02</v>
      </c>
      <c r="G2356" s="1780"/>
      <c r="H2356" s="1829"/>
      <c r="I2356" s="1830">
        <f>( I2352+I2353 )*F2356</f>
        <v>2254.6817125023272</v>
      </c>
      <c r="J2356" s="850"/>
      <c r="K2356" s="850"/>
      <c r="L2356" s="850"/>
    </row>
    <row r="2357" spans="1:12" ht="15">
      <c r="B2357" s="1556"/>
      <c r="C2357" s="1557"/>
      <c r="D2357" s="1557"/>
      <c r="E2357" s="1831" t="s">
        <v>5676</v>
      </c>
      <c r="F2357" s="1786"/>
      <c r="G2357" s="1783"/>
      <c r="H2357" s="1832"/>
      <c r="I2357" s="1833">
        <f>I2356+I2356/F2356</f>
        <v>114988.76733761867</v>
      </c>
    </row>
    <row r="2358" spans="1:12" ht="15">
      <c r="B2358" s="1551"/>
      <c r="C2358" s="1552"/>
      <c r="D2358" s="1552"/>
      <c r="E2358" s="1834" t="s">
        <v>5677</v>
      </c>
      <c r="F2358" s="1786">
        <f>$K$5</f>
        <v>5.5E-2</v>
      </c>
      <c r="G2358" s="1772"/>
      <c r="H2358" s="1824"/>
      <c r="I2358" s="1835">
        <f>I2357*F2358</f>
        <v>6324.3822035690273</v>
      </c>
    </row>
    <row r="2359" spans="1:12" ht="15">
      <c r="B2359" s="1551"/>
      <c r="C2359" s="1552"/>
      <c r="D2359" s="1552"/>
      <c r="E2359" s="1834" t="s">
        <v>5678</v>
      </c>
      <c r="F2359" s="1786">
        <f>$L$5</f>
        <v>0.06</v>
      </c>
      <c r="G2359" s="1772"/>
      <c r="H2359" s="1824"/>
      <c r="I2359" s="1835">
        <f>SUM(I2357:I2358)*F2359</f>
        <v>7278.7889724712613</v>
      </c>
    </row>
    <row r="2360" spans="1:12" ht="14.25">
      <c r="B2360" s="1556"/>
      <c r="C2360" s="1557"/>
      <c r="D2360" s="1557"/>
      <c r="E2360" s="1831" t="s">
        <v>5679</v>
      </c>
      <c r="F2360" s="1787"/>
      <c r="G2360" s="1783"/>
      <c r="H2360" s="1832"/>
      <c r="I2360" s="1833">
        <f>SUM(I2357:I2359)</f>
        <v>128591.93851365896</v>
      </c>
    </row>
    <row r="2361" spans="1:12" ht="15">
      <c r="B2361" s="1551"/>
      <c r="C2361" s="1552"/>
      <c r="D2361" s="1552"/>
      <c r="E2361" s="1834" t="s">
        <v>5680</v>
      </c>
      <c r="F2361" s="1788">
        <f>$M$5</f>
        <v>0.1</v>
      </c>
      <c r="G2361" s="1772"/>
      <c r="H2361" s="1824"/>
      <c r="I2361" s="1835">
        <f>I2360*F2361</f>
        <v>12859.193851365897</v>
      </c>
    </row>
    <row r="2362" spans="1:12" ht="14.25">
      <c r="B2362" s="1556"/>
      <c r="C2362" s="1557"/>
      <c r="D2362" s="1557"/>
      <c r="E2362" s="1831" t="s">
        <v>5681</v>
      </c>
      <c r="F2362" s="1787"/>
      <c r="G2362" s="1783"/>
      <c r="H2362" s="1832"/>
      <c r="I2362" s="1833">
        <f>SUM(I2360:I2361)</f>
        <v>141451.13236502485</v>
      </c>
    </row>
    <row r="2363" spans="1:12" ht="12.75">
      <c r="B2363" s="1551"/>
      <c r="C2363" s="1552"/>
      <c r="D2363" s="1552"/>
      <c r="E2363" s="1558" t="s">
        <v>5682</v>
      </c>
      <c r="F2363" s="1560">
        <f>$N$5</f>
        <v>0.01</v>
      </c>
      <c r="G2363" s="1553"/>
      <c r="H2363" s="1554"/>
      <c r="I2363" s="1559">
        <f>I2362*F2363</f>
        <v>1414.5113236502486</v>
      </c>
    </row>
    <row r="2364" spans="1:12" ht="14.25">
      <c r="B2364" s="2123"/>
      <c r="C2364" s="1561"/>
      <c r="D2364" s="2124"/>
      <c r="E2364" s="2112" t="s">
        <v>5683</v>
      </c>
      <c r="F2364" s="2113"/>
      <c r="G2364" s="2125"/>
      <c r="H2364" s="2126"/>
      <c r="I2364" s="2110">
        <f>ROUND(I2362+I2363,-2)</f>
        <v>142900</v>
      </c>
    </row>
    <row r="2365" spans="1:12" ht="14.25">
      <c r="A2365" s="657">
        <v>1</v>
      </c>
      <c r="B2365" s="1546">
        <f>IF(A2365&lt;&gt;0,COUNTA(A$7:$A2365),"")</f>
        <v>131</v>
      </c>
      <c r="C2365" s="1550">
        <f>'8.Dgia'!C1657</f>
        <v>1776</v>
      </c>
      <c r="D2365" s="1550" t="str">
        <f>'8.Dgia'!D1657</f>
        <v>AC.23210</v>
      </c>
      <c r="E2365" s="1766" t="str">
        <f>'8.Dgia'!E1657</f>
        <v>Nhổ cọc ván thép trên cạn</v>
      </c>
      <c r="F2365" s="1794" t="s">
        <v>543</v>
      </c>
      <c r="G2365" s="1768">
        <f>'8.Dgia'!H1657</f>
        <v>0</v>
      </c>
      <c r="H2365" s="1823"/>
      <c r="I2365" s="1823"/>
      <c r="K2365" s="842">
        <f>+I2366</f>
        <v>18362.916000000001</v>
      </c>
      <c r="L2365" s="842">
        <f>+I2367</f>
        <v>98910.157757280002</v>
      </c>
    </row>
    <row r="2366" spans="1:12" s="658" customFormat="1" ht="15">
      <c r="B2366" s="1551" t="str">
        <f>'8.Dgia'!B1658</f>
        <v/>
      </c>
      <c r="C2366" s="1552">
        <f>'8.Dgia'!C1658</f>
        <v>0</v>
      </c>
      <c r="D2366" s="1552">
        <f>'8.Dgia'!D1658</f>
        <v>0</v>
      </c>
      <c r="E2366" s="1770" t="str">
        <f>'8.Dgia'!E1658</f>
        <v xml:space="preserve">  B - Nhân công 4.0/7</v>
      </c>
      <c r="F2366" s="1745" t="s">
        <v>552</v>
      </c>
      <c r="G2366" s="1772">
        <f>'8.Dgia'!H1658/100</f>
        <v>7.1500000000000008E-2</v>
      </c>
      <c r="H2366" s="1824">
        <f>'16.NC'!$H$18</f>
        <v>256824</v>
      </c>
      <c r="I2366" s="1826">
        <f>H2366*G2366</f>
        <v>18362.916000000001</v>
      </c>
      <c r="J2366" s="850"/>
      <c r="K2366" s="850"/>
      <c r="L2366" s="850"/>
    </row>
    <row r="2367" spans="1:12" s="658" customFormat="1" ht="15">
      <c r="B2367" s="1551" t="str">
        <f>'8.Dgia'!B1659</f>
        <v/>
      </c>
      <c r="C2367" s="1552">
        <f>'8.Dgia'!C1659</f>
        <v>0</v>
      </c>
      <c r="D2367" s="1552">
        <f>'8.Dgia'!D1659</f>
        <v>0</v>
      </c>
      <c r="E2367" s="1770" t="str">
        <f>'8.Dgia'!E1659</f>
        <v xml:space="preserve">  C - Máy thi công</v>
      </c>
      <c r="F2367" s="1786">
        <f>'8.Dgia'!G1659</f>
        <v>0</v>
      </c>
      <c r="G2367" s="1772">
        <f>'8.Dgia'!H1659</f>
        <v>0</v>
      </c>
      <c r="H2367" s="1824"/>
      <c r="I2367" s="1827">
        <f>SUM(I2368:I2370)</f>
        <v>98910.157757280002</v>
      </c>
      <c r="J2367" s="850"/>
      <c r="K2367" s="850"/>
      <c r="L2367" s="850"/>
    </row>
    <row r="2368" spans="1:12" ht="15">
      <c r="B2368" s="1551" t="str">
        <f>'8.Dgia'!B1660</f>
        <v/>
      </c>
      <c r="C2368" s="1552">
        <f>'8.Dgia'!C1660</f>
        <v>0</v>
      </c>
      <c r="D2368" s="1552">
        <f>'8.Dgia'!D1660</f>
        <v>0</v>
      </c>
      <c r="E2368" s="1775" t="str">
        <f>'8.Dgia'!E1660</f>
        <v>Búa rung 170kW</v>
      </c>
      <c r="F2368" s="1745" t="s">
        <v>5493</v>
      </c>
      <c r="G2368" s="1772">
        <f>'8.Dgia'!H1660/100</f>
        <v>2.23E-2</v>
      </c>
      <c r="H2368" s="1824">
        <f>'9.may'!$P$627</f>
        <v>1555755.72</v>
      </c>
      <c r="I2368" s="1824">
        <f>H2368*G2368</f>
        <v>34693.352555999998</v>
      </c>
    </row>
    <row r="2369" spans="1:12" ht="15">
      <c r="B2369" s="1551" t="str">
        <f>'8.Dgia'!B1661</f>
        <v/>
      </c>
      <c r="C2369" s="1552">
        <f>'8.Dgia'!C1661</f>
        <v>0</v>
      </c>
      <c r="D2369" s="1552">
        <f>'8.Dgia'!D1661</f>
        <v>0</v>
      </c>
      <c r="E2369" s="1775" t="str">
        <f>'8.Dgia'!E1661</f>
        <v>Cần cẩu bánh xích 25T</v>
      </c>
      <c r="F2369" s="1745" t="s">
        <v>5493</v>
      </c>
      <c r="G2369" s="1772">
        <f>'8.Dgia'!H1661/100</f>
        <v>2.2000000000000002E-2</v>
      </c>
      <c r="H2369" s="1824">
        <f>'9.may'!$P$248</f>
        <v>2787996.6736363638</v>
      </c>
      <c r="I2369" s="1824">
        <f>H2369*G2369</f>
        <v>61335.926820000008</v>
      </c>
    </row>
    <row r="2370" spans="1:12" ht="15">
      <c r="B2370" s="1551" t="str">
        <f>'8.Dgia'!B1662</f>
        <v/>
      </c>
      <c r="C2370" s="1552">
        <f>'8.Dgia'!C1662</f>
        <v>0</v>
      </c>
      <c r="D2370" s="1552">
        <f>'8.Dgia'!D1662</f>
        <v>0</v>
      </c>
      <c r="E2370" s="1775" t="str">
        <f>'8.Dgia'!E1662</f>
        <v>Máy khác</v>
      </c>
      <c r="F2370" s="1786" t="str">
        <f>'8.Dgia'!G1662</f>
        <v>%</v>
      </c>
      <c r="G2370" s="1966">
        <f>'8.Dgia'!H1662</f>
        <v>3</v>
      </c>
      <c r="H2370" s="1824">
        <f>SUM(I2368:I2369)</f>
        <v>96029.279376000006</v>
      </c>
      <c r="I2370" s="1824">
        <f>H2370*G2370%</f>
        <v>2880.8783812800002</v>
      </c>
    </row>
    <row r="2371" spans="1:12" s="658" customFormat="1" ht="15">
      <c r="B2371" s="1677"/>
      <c r="C2371" s="1678"/>
      <c r="D2371" s="1678"/>
      <c r="E2371" s="1828" t="s">
        <v>5675</v>
      </c>
      <c r="F2371" s="1786">
        <f>$J$5</f>
        <v>0.02</v>
      </c>
      <c r="G2371" s="1780"/>
      <c r="H2371" s="1829"/>
      <c r="I2371" s="1830">
        <f>( I2366+I2367 )*F2371</f>
        <v>2345.4614751456002</v>
      </c>
      <c r="J2371" s="850"/>
      <c r="K2371" s="850"/>
      <c r="L2371" s="850"/>
    </row>
    <row r="2372" spans="1:12" ht="15">
      <c r="B2372" s="1556"/>
      <c r="C2372" s="1557"/>
      <c r="D2372" s="1557"/>
      <c r="E2372" s="1831" t="s">
        <v>5676</v>
      </c>
      <c r="F2372" s="1786"/>
      <c r="G2372" s="1783"/>
      <c r="H2372" s="1832"/>
      <c r="I2372" s="1833">
        <f>I2371+I2371/F2371</f>
        <v>119618.53523242559</v>
      </c>
    </row>
    <row r="2373" spans="1:12" ht="15">
      <c r="B2373" s="1551"/>
      <c r="C2373" s="1552"/>
      <c r="D2373" s="1552"/>
      <c r="E2373" s="1834" t="s">
        <v>5677</v>
      </c>
      <c r="F2373" s="1786">
        <f>$K$5</f>
        <v>5.5E-2</v>
      </c>
      <c r="G2373" s="1772"/>
      <c r="H2373" s="1824"/>
      <c r="I2373" s="1835">
        <f>I2372*F2373</f>
        <v>6579.0194377834077</v>
      </c>
    </row>
    <row r="2374" spans="1:12" ht="15">
      <c r="B2374" s="1551"/>
      <c r="C2374" s="1552"/>
      <c r="D2374" s="1552"/>
      <c r="E2374" s="1834" t="s">
        <v>5678</v>
      </c>
      <c r="F2374" s="1786">
        <f>$L$5</f>
        <v>0.06</v>
      </c>
      <c r="G2374" s="1772"/>
      <c r="H2374" s="1824"/>
      <c r="I2374" s="1835">
        <f>SUM(I2372:I2373)*F2374</f>
        <v>7571.8532802125401</v>
      </c>
    </row>
    <row r="2375" spans="1:12" ht="14.25">
      <c r="B2375" s="1556"/>
      <c r="C2375" s="1557"/>
      <c r="D2375" s="1557"/>
      <c r="E2375" s="1831" t="s">
        <v>5679</v>
      </c>
      <c r="F2375" s="1787"/>
      <c r="G2375" s="1783"/>
      <c r="H2375" s="1832"/>
      <c r="I2375" s="1833">
        <f>SUM(I2372:I2374)</f>
        <v>133769.40795042153</v>
      </c>
    </row>
    <row r="2376" spans="1:12" ht="15">
      <c r="B2376" s="1551"/>
      <c r="C2376" s="1552"/>
      <c r="D2376" s="1552"/>
      <c r="E2376" s="1834" t="s">
        <v>5680</v>
      </c>
      <c r="F2376" s="1788">
        <f>$M$5</f>
        <v>0.1</v>
      </c>
      <c r="G2376" s="1772"/>
      <c r="H2376" s="1824"/>
      <c r="I2376" s="1835">
        <f>I2375*F2376</f>
        <v>13376.940795042154</v>
      </c>
    </row>
    <row r="2377" spans="1:12" ht="14.25">
      <c r="B2377" s="1556"/>
      <c r="C2377" s="1557"/>
      <c r="D2377" s="1557"/>
      <c r="E2377" s="1831" t="s">
        <v>5681</v>
      </c>
      <c r="F2377" s="1787"/>
      <c r="G2377" s="1783"/>
      <c r="H2377" s="1832"/>
      <c r="I2377" s="1833">
        <f>SUM(I2375:I2376)</f>
        <v>147146.34874546368</v>
      </c>
    </row>
    <row r="2378" spans="1:12" ht="12.75">
      <c r="B2378" s="1551"/>
      <c r="C2378" s="1552"/>
      <c r="D2378" s="1552"/>
      <c r="E2378" s="1558" t="s">
        <v>5682</v>
      </c>
      <c r="F2378" s="1560">
        <f>$N$5</f>
        <v>0.01</v>
      </c>
      <c r="G2378" s="1553"/>
      <c r="H2378" s="1554"/>
      <c r="I2378" s="1559">
        <f>I2377*F2378</f>
        <v>1471.4634874546368</v>
      </c>
    </row>
    <row r="2379" spans="1:12" ht="14.25">
      <c r="B2379" s="2123"/>
      <c r="C2379" s="1561"/>
      <c r="D2379" s="2124"/>
      <c r="E2379" s="2112" t="s">
        <v>5683</v>
      </c>
      <c r="F2379" s="2113"/>
      <c r="G2379" s="2125"/>
      <c r="H2379" s="2126"/>
      <c r="I2379" s="2110">
        <f>ROUND(I2377+I2378,-2)</f>
        <v>148600</v>
      </c>
    </row>
    <row r="2380" spans="1:12" ht="28.5">
      <c r="A2380" s="657">
        <v>1</v>
      </c>
      <c r="B2380" s="1546">
        <f>IF(A2380&lt;&gt;0,COUNTA(A$7:$A2380),"")</f>
        <v>132</v>
      </c>
      <c r="C2380" s="1550">
        <f>'8.Dgia'!C1663</f>
        <v>1776</v>
      </c>
      <c r="D2380" s="1550" t="str">
        <f>'8.Dgia'!D1663</f>
        <v>AI.11911</v>
      </c>
      <c r="E2380" s="1766" t="s">
        <v>5980</v>
      </c>
      <c r="F2380" s="1789" t="s">
        <v>557</v>
      </c>
      <c r="G2380" s="1768">
        <f>'8.Dgia'!H1663</f>
        <v>0</v>
      </c>
      <c r="H2380" s="1823"/>
      <c r="I2380" s="1842"/>
      <c r="J2380" s="842">
        <f>+I2381</f>
        <v>3532477.251194241</v>
      </c>
      <c r="K2380" s="842">
        <f>+I2388</f>
        <v>6805836</v>
      </c>
      <c r="L2380" s="842">
        <f>+I2389</f>
        <v>1403916.4982045456</v>
      </c>
    </row>
    <row r="2381" spans="1:12" ht="15">
      <c r="B2381" s="1551" t="str">
        <f>'8.Dgia'!B1664</f>
        <v/>
      </c>
      <c r="C2381" s="1552">
        <f>'8.Dgia'!C1664</f>
        <v>0</v>
      </c>
      <c r="D2381" s="1552">
        <f>'8.Dgia'!D1664</f>
        <v>0</v>
      </c>
      <c r="E2381" s="1770" t="str">
        <f>'8.Dgia'!E1664</f>
        <v xml:space="preserve">  A - Vật liệu</v>
      </c>
      <c r="F2381" s="1786">
        <f>'8.Dgia'!G1664</f>
        <v>0</v>
      </c>
      <c r="G2381" s="1772">
        <f>'8.Dgia'!H1664</f>
        <v>0</v>
      </c>
      <c r="H2381" s="1824"/>
      <c r="I2381" s="1825">
        <f>SUM(I2382:I2387)</f>
        <v>3532477.251194241</v>
      </c>
    </row>
    <row r="2382" spans="1:12" ht="15">
      <c r="B2382" s="1551" t="str">
        <f>'8.Dgia'!B1665</f>
        <v/>
      </c>
      <c r="C2382" s="1552">
        <f>'8.Dgia'!C1665</f>
        <v>0</v>
      </c>
      <c r="D2382" s="1552" t="str">
        <f>'8.Dgia'!D1665</f>
        <v>KH</v>
      </c>
      <c r="E2382" s="1775" t="str">
        <f>'8.Dgia'!E1665</f>
        <v>Thép hình</v>
      </c>
      <c r="F2382" s="1786" t="str">
        <f>'8.Dgia'!G1665</f>
        <v xml:space="preserve"> kg </v>
      </c>
      <c r="G2382" s="1772">
        <f>'8.Dgia'!H1665</f>
        <v>118.8241</v>
      </c>
      <c r="H2382" s="1824">
        <f>GVL!$I$170</f>
        <v>16703.248369172808</v>
      </c>
      <c r="I2382" s="1824">
        <f t="shared" ref="I2382:I2388" si="17">H2382*G2382</f>
        <v>1984748.4545434266</v>
      </c>
    </row>
    <row r="2383" spans="1:12" ht="15">
      <c r="B2383" s="1551" t="str">
        <f>'8.Dgia'!B1666</f>
        <v/>
      </c>
      <c r="C2383" s="1552">
        <f>'8.Dgia'!C1666</f>
        <v>0</v>
      </c>
      <c r="D2383" s="1552" t="str">
        <f>'8.Dgia'!D1666</f>
        <v>KH</v>
      </c>
      <c r="E2383" s="1775" t="str">
        <f>'8.Dgia'!E1666</f>
        <v>Thép tấm</v>
      </c>
      <c r="F2383" s="1786" t="str">
        <f>'8.Dgia'!G1666</f>
        <v>kg</v>
      </c>
      <c r="G2383" s="1964">
        <f>'8.Dgia'!H1666</f>
        <v>60.04</v>
      </c>
      <c r="H2383" s="1824">
        <f>GVL!$I$175</f>
        <v>12871.348287272725</v>
      </c>
      <c r="I2383" s="1824">
        <f t="shared" si="17"/>
        <v>772795.75116785441</v>
      </c>
    </row>
    <row r="2384" spans="1:12" ht="15">
      <c r="B2384" s="1551" t="str">
        <f>'8.Dgia'!B1667</f>
        <v/>
      </c>
      <c r="C2384" s="1552">
        <f>'8.Dgia'!C1667</f>
        <v>0</v>
      </c>
      <c r="D2384" s="1552" t="str">
        <f>'8.Dgia'!D1667</f>
        <v>KH</v>
      </c>
      <c r="E2384" s="1775" t="str">
        <f>'8.Dgia'!E1667</f>
        <v>Thép tròn D&lt;=10</v>
      </c>
      <c r="F2384" s="1786" t="str">
        <f>'8.Dgia'!G1667</f>
        <v>kg</v>
      </c>
      <c r="G2384" s="1772">
        <f>'8.Dgia'!H1667</f>
        <v>11.666</v>
      </c>
      <c r="H2384" s="1824">
        <f>GVL!$I$179</f>
        <v>16754.075560000001</v>
      </c>
      <c r="I2384" s="1824">
        <f>H2384*G2384</f>
        <v>195453.04548296001</v>
      </c>
    </row>
    <row r="2385" spans="2:12" ht="15">
      <c r="B2385" s="1551" t="str">
        <f>'8.Dgia'!B1668</f>
        <v/>
      </c>
      <c r="C2385" s="1552">
        <f>'8.Dgia'!C1668</f>
        <v>0</v>
      </c>
      <c r="D2385" s="1552">
        <f>'8.Dgia'!D1668</f>
        <v>0</v>
      </c>
      <c r="E2385" s="1775" t="str">
        <f>'8.Dgia'!E1668</f>
        <v>Que hàn</v>
      </c>
      <c r="F2385" s="1786" t="str">
        <f>'8.Dgia'!G1668</f>
        <v>kg</v>
      </c>
      <c r="G2385" s="1965">
        <f>'8.Dgia'!H1668</f>
        <v>22.66</v>
      </c>
      <c r="H2385" s="1824">
        <f>GVL!$I$153</f>
        <v>19090.909090909088</v>
      </c>
      <c r="I2385" s="1824">
        <f t="shared" si="17"/>
        <v>432599.99999999994</v>
      </c>
    </row>
    <row r="2386" spans="2:12" ht="15">
      <c r="B2386" s="1551" t="str">
        <f>'8.Dgia'!B1669</f>
        <v/>
      </c>
      <c r="C2386" s="1552">
        <f>'8.Dgia'!C1669</f>
        <v>0</v>
      </c>
      <c r="D2386" s="1552">
        <f>'8.Dgia'!D1669</f>
        <v>0</v>
      </c>
      <c r="E2386" s="1775" t="str">
        <f>'8.Dgia'!E1669</f>
        <v>Ô xy</v>
      </c>
      <c r="F2386" s="1786" t="s">
        <v>565</v>
      </c>
      <c r="G2386" s="1965">
        <f>'8.Dgia'!H1669</f>
        <v>1.7</v>
      </c>
      <c r="H2386" s="1824">
        <f>GVL!$I$130</f>
        <v>48000</v>
      </c>
      <c r="I2386" s="1824">
        <f t="shared" si="17"/>
        <v>81600</v>
      </c>
    </row>
    <row r="2387" spans="2:12" ht="15">
      <c r="B2387" s="1551" t="str">
        <f>'8.Dgia'!B1670</f>
        <v/>
      </c>
      <c r="C2387" s="1552">
        <f>'8.Dgia'!C1670</f>
        <v>0</v>
      </c>
      <c r="D2387" s="1552">
        <f>'8.Dgia'!D1670</f>
        <v>0</v>
      </c>
      <c r="E2387" s="1775" t="str">
        <f>'8.Dgia'!E1670</f>
        <v>Đất đèn</v>
      </c>
      <c r="F2387" s="1786" t="str">
        <f>'8.Dgia'!G1670</f>
        <v>kg</v>
      </c>
      <c r="G2387" s="1965">
        <f>'8.Dgia'!H1670</f>
        <v>4.8</v>
      </c>
      <c r="H2387" s="1824">
        <f>GVL!$I$68</f>
        <v>13600</v>
      </c>
      <c r="I2387" s="1824">
        <f t="shared" si="17"/>
        <v>65280</v>
      </c>
    </row>
    <row r="2388" spans="2:12" ht="15">
      <c r="B2388" s="1551" t="str">
        <f>'8.Dgia'!B1671</f>
        <v/>
      </c>
      <c r="C2388" s="1552">
        <f>'8.Dgia'!C1671</f>
        <v>0</v>
      </c>
      <c r="D2388" s="1552">
        <f>'8.Dgia'!D1671</f>
        <v>0</v>
      </c>
      <c r="E2388" s="1770" t="str">
        <f>'8.Dgia'!E1671</f>
        <v xml:space="preserve">  B - Nhân công 4.0/7</v>
      </c>
      <c r="F2388" s="1745" t="s">
        <v>552</v>
      </c>
      <c r="G2388" s="1965">
        <f>'8.Dgia'!H1671</f>
        <v>26.5</v>
      </c>
      <c r="H2388" s="1824">
        <f>'16.NC'!$H$18</f>
        <v>256824</v>
      </c>
      <c r="I2388" s="1826">
        <f t="shared" si="17"/>
        <v>6805836</v>
      </c>
    </row>
    <row r="2389" spans="2:12" ht="15">
      <c r="B2389" s="1551" t="str">
        <f>'8.Dgia'!B1672</f>
        <v/>
      </c>
      <c r="C2389" s="1552">
        <f>'8.Dgia'!C1672</f>
        <v>0</v>
      </c>
      <c r="D2389" s="1552">
        <f>'8.Dgia'!D1672</f>
        <v>0</v>
      </c>
      <c r="E2389" s="1770" t="str">
        <f>'8.Dgia'!E1672</f>
        <v xml:space="preserve">  C - Máy thi công</v>
      </c>
      <c r="F2389" s="1786">
        <f>'8.Dgia'!G1672</f>
        <v>0</v>
      </c>
      <c r="G2389" s="1965">
        <f>'8.Dgia'!H1672</f>
        <v>0</v>
      </c>
      <c r="H2389" s="1824"/>
      <c r="I2389" s="1827">
        <f>SUM(I2390:I2392)</f>
        <v>1403916.4982045456</v>
      </c>
    </row>
    <row r="2390" spans="2:12" ht="15">
      <c r="B2390" s="1551" t="str">
        <f>'8.Dgia'!B1673</f>
        <v/>
      </c>
      <c r="C2390" s="1552">
        <f>'8.Dgia'!C1673</f>
        <v>0</v>
      </c>
      <c r="D2390" s="1552">
        <f>'8.Dgia'!D1673</f>
        <v>0</v>
      </c>
      <c r="E2390" s="1775" t="str">
        <f>'8.Dgia'!E1673</f>
        <v>Máy hàn 23kw</v>
      </c>
      <c r="F2390" s="1745" t="s">
        <v>5493</v>
      </c>
      <c r="G2390" s="1965">
        <f>'8.Dgia'!H1673</f>
        <v>4.25</v>
      </c>
      <c r="H2390" s="1824">
        <f>'9.may'!$P$510</f>
        <v>171649.155</v>
      </c>
      <c r="I2390" s="1824">
        <f>H2390*G2390</f>
        <v>729508.90874999994</v>
      </c>
    </row>
    <row r="2391" spans="2:12" ht="15">
      <c r="B2391" s="1551" t="str">
        <f>'8.Dgia'!B1674</f>
        <v/>
      </c>
      <c r="C2391" s="1552">
        <f>'8.Dgia'!C1674</f>
        <v>0</v>
      </c>
      <c r="D2391" s="1552">
        <f>'8.Dgia'!D1674</f>
        <v>0</v>
      </c>
      <c r="E2391" s="1775" t="str">
        <f>'8.Dgia'!E1674</f>
        <v>Máy cắt tôn</v>
      </c>
      <c r="F2391" s="1745" t="s">
        <v>5493</v>
      </c>
      <c r="G2391" s="1965">
        <f>'8.Dgia'!H1674</f>
        <v>0.4</v>
      </c>
      <c r="H2391" s="1824">
        <f>'9.may'!$P$553</f>
        <v>204698.78999999998</v>
      </c>
      <c r="I2391" s="1824">
        <f>H2391*G2391</f>
        <v>81879.516000000003</v>
      </c>
    </row>
    <row r="2392" spans="2:12" ht="15">
      <c r="B2392" s="1551" t="str">
        <f>'8.Dgia'!B1675</f>
        <v/>
      </c>
      <c r="C2392" s="1552">
        <f>'8.Dgia'!C1675</f>
        <v>0</v>
      </c>
      <c r="D2392" s="1552">
        <f>'8.Dgia'!D1675</f>
        <v>0</v>
      </c>
      <c r="E2392" s="1775" t="str">
        <f>'8.Dgia'!E1675</f>
        <v>Cần cẩu bánh xích 10T</v>
      </c>
      <c r="F2392" s="1745" t="s">
        <v>5493</v>
      </c>
      <c r="G2392" s="1965">
        <f>'8.Dgia'!H1675</f>
        <v>0.4</v>
      </c>
      <c r="H2392" s="1824">
        <f>'9.may'!$P$246</f>
        <v>1481320.1836363636</v>
      </c>
      <c r="I2392" s="1824">
        <f>H2392*G2392</f>
        <v>592528.07345454546</v>
      </c>
    </row>
    <row r="2393" spans="2:12" s="658" customFormat="1" ht="15">
      <c r="B2393" s="1677"/>
      <c r="C2393" s="1678"/>
      <c r="D2393" s="1678"/>
      <c r="E2393" s="1828" t="s">
        <v>5675</v>
      </c>
      <c r="F2393" s="1786">
        <f>$J$5</f>
        <v>0.02</v>
      </c>
      <c r="G2393" s="1780"/>
      <c r="H2393" s="1829"/>
      <c r="I2393" s="1830">
        <f>( I2381+I2388+I2389 )*F2393</f>
        <v>234844.59498797572</v>
      </c>
      <c r="J2393" s="850"/>
      <c r="K2393" s="850"/>
      <c r="L2393" s="850"/>
    </row>
    <row r="2394" spans="2:12" ht="15">
      <c r="B2394" s="1556"/>
      <c r="C2394" s="1557"/>
      <c r="D2394" s="1557"/>
      <c r="E2394" s="1831" t="s">
        <v>5676</v>
      </c>
      <c r="F2394" s="1786"/>
      <c r="G2394" s="1783"/>
      <c r="H2394" s="1832"/>
      <c r="I2394" s="1833">
        <f>I2393+I2393/F2393</f>
        <v>11977074.344386762</v>
      </c>
    </row>
    <row r="2395" spans="2:12" ht="15">
      <c r="B2395" s="1551"/>
      <c r="C2395" s="1552"/>
      <c r="D2395" s="1552"/>
      <c r="E2395" s="1834" t="s">
        <v>5677</v>
      </c>
      <c r="F2395" s="1786">
        <f>$K$5</f>
        <v>5.5E-2</v>
      </c>
      <c r="G2395" s="1772"/>
      <c r="H2395" s="1824"/>
      <c r="I2395" s="1835">
        <f>I2394*F2395</f>
        <v>658739.08894127188</v>
      </c>
    </row>
    <row r="2396" spans="2:12" ht="15">
      <c r="B2396" s="1551"/>
      <c r="C2396" s="1552"/>
      <c r="D2396" s="1552"/>
      <c r="E2396" s="1834" t="s">
        <v>5678</v>
      </c>
      <c r="F2396" s="1786">
        <f>$L$5</f>
        <v>0.06</v>
      </c>
      <c r="G2396" s="1772"/>
      <c r="H2396" s="1824"/>
      <c r="I2396" s="1835">
        <f>SUM(I2394:I2395)*F2396</f>
        <v>758148.80599968205</v>
      </c>
    </row>
    <row r="2397" spans="2:12" ht="14.25">
      <c r="B2397" s="1556"/>
      <c r="C2397" s="1557"/>
      <c r="D2397" s="1557"/>
      <c r="E2397" s="1831" t="s">
        <v>5679</v>
      </c>
      <c r="F2397" s="1787"/>
      <c r="G2397" s="1783"/>
      <c r="H2397" s="1832"/>
      <c r="I2397" s="1833">
        <f>SUM(I2394:I2396)</f>
        <v>13393962.239327716</v>
      </c>
    </row>
    <row r="2398" spans="2:12" ht="15">
      <c r="B2398" s="1551"/>
      <c r="C2398" s="1552"/>
      <c r="D2398" s="1552"/>
      <c r="E2398" s="1834" t="s">
        <v>5680</v>
      </c>
      <c r="F2398" s="1788">
        <f>$M$5</f>
        <v>0.1</v>
      </c>
      <c r="G2398" s="1772"/>
      <c r="H2398" s="1824"/>
      <c r="I2398" s="1835">
        <f>I2397*F2398</f>
        <v>1339396.2239327717</v>
      </c>
    </row>
    <row r="2399" spans="2:12" ht="14.25">
      <c r="B2399" s="1556"/>
      <c r="C2399" s="1557"/>
      <c r="D2399" s="1557"/>
      <c r="E2399" s="1831" t="s">
        <v>5681</v>
      </c>
      <c r="F2399" s="1787"/>
      <c r="G2399" s="1783"/>
      <c r="H2399" s="1832"/>
      <c r="I2399" s="1833">
        <f>SUM(I2397:I2398)</f>
        <v>14733358.463260487</v>
      </c>
    </row>
    <row r="2400" spans="2:12" ht="12.75">
      <c r="B2400" s="1551"/>
      <c r="C2400" s="1552"/>
      <c r="D2400" s="1552"/>
      <c r="E2400" s="1558" t="s">
        <v>5682</v>
      </c>
      <c r="F2400" s="1560">
        <f>$N$5</f>
        <v>0.01</v>
      </c>
      <c r="G2400" s="1553"/>
      <c r="H2400" s="1554"/>
      <c r="I2400" s="1559">
        <f>I2399*F2400</f>
        <v>147333.58463260488</v>
      </c>
    </row>
    <row r="2401" spans="1:12" ht="14.25">
      <c r="B2401" s="2123"/>
      <c r="C2401" s="1561"/>
      <c r="D2401" s="2124"/>
      <c r="E2401" s="2112" t="s">
        <v>5683</v>
      </c>
      <c r="F2401" s="2113"/>
      <c r="G2401" s="2125"/>
      <c r="H2401" s="2126"/>
      <c r="I2401" s="2110">
        <f>ROUND(I2399+I2400,-2)</f>
        <v>14880700</v>
      </c>
    </row>
    <row r="2402" spans="1:12" ht="28.5">
      <c r="A2402" s="657">
        <v>1</v>
      </c>
      <c r="B2402" s="1546">
        <f>IF(A2402&lt;&gt;0,COUNTA(A$7:$A2402),"")</f>
        <v>133</v>
      </c>
      <c r="C2402" s="1550">
        <f>'8.Dgia'!C1676</f>
        <v>1776</v>
      </c>
      <c r="D2402" s="1550" t="str">
        <f>'8.Dgia'!D1676</f>
        <v>AI.11911</v>
      </c>
      <c r="E2402" s="1766" t="s">
        <v>5979</v>
      </c>
      <c r="F2402" s="1789" t="s">
        <v>557</v>
      </c>
      <c r="G2402" s="1768">
        <f>'8.Dgia'!H1676</f>
        <v>0</v>
      </c>
      <c r="H2402" s="1823"/>
      <c r="I2402" s="1842"/>
      <c r="J2402" s="842">
        <f>+I2403</f>
        <v>1978268.1716183249</v>
      </c>
      <c r="K2402" s="842">
        <f>+I2410</f>
        <v>6805836</v>
      </c>
      <c r="L2402" s="842">
        <f>+I2411</f>
        <v>1403916.4982045456</v>
      </c>
    </row>
    <row r="2403" spans="1:12" ht="15">
      <c r="B2403" s="1551" t="str">
        <f>'8.Dgia'!B1677</f>
        <v/>
      </c>
      <c r="C2403" s="1552">
        <f>'8.Dgia'!C1677</f>
        <v>0</v>
      </c>
      <c r="D2403" s="1552">
        <f>'8.Dgia'!D1677</f>
        <v>0</v>
      </c>
      <c r="E2403" s="1770" t="str">
        <f>'8.Dgia'!E1677</f>
        <v xml:space="preserve">  A - Vật liệu</v>
      </c>
      <c r="F2403" s="1786">
        <f>'8.Dgia'!G1677</f>
        <v>0</v>
      </c>
      <c r="G2403" s="1772">
        <f>'8.Dgia'!H1677</f>
        <v>0</v>
      </c>
      <c r="H2403" s="1824"/>
      <c r="I2403" s="1825">
        <f>SUM(I2404:I2409)</f>
        <v>1978268.1716183249</v>
      </c>
    </row>
    <row r="2404" spans="1:12" ht="15">
      <c r="B2404" s="1551" t="str">
        <f>'8.Dgia'!B1678</f>
        <v/>
      </c>
      <c r="C2404" s="1552">
        <f>'8.Dgia'!C1678</f>
        <v>0</v>
      </c>
      <c r="D2404" s="1552" t="str">
        <f>'8.Dgia'!D1678</f>
        <v>KH</v>
      </c>
      <c r="E2404" s="1775" t="str">
        <f>'8.Dgia'!E1678</f>
        <v>Thép hình</v>
      </c>
      <c r="F2404" s="1786" t="str">
        <f>'8.Dgia'!G1678</f>
        <v xml:space="preserve"> kg </v>
      </c>
      <c r="G2404" s="1772">
        <f>'8.Dgia'!H1678</f>
        <v>56.285100000000007</v>
      </c>
      <c r="H2404" s="1824">
        <f>GVL!$I$170</f>
        <v>16703.248369172808</v>
      </c>
      <c r="I2404" s="1824">
        <f t="shared" ref="I2404:I2410" si="18">H2404*G2404</f>
        <v>940144.00478372851</v>
      </c>
    </row>
    <row r="2405" spans="1:12" ht="15">
      <c r="B2405" s="1551" t="str">
        <f>'8.Dgia'!B1679</f>
        <v/>
      </c>
      <c r="C2405" s="1552">
        <f>'8.Dgia'!C1679</f>
        <v>0</v>
      </c>
      <c r="D2405" s="1552" t="str">
        <f>'8.Dgia'!D1679</f>
        <v>KH</v>
      </c>
      <c r="E2405" s="1775" t="str">
        <f>'8.Dgia'!E1679</f>
        <v>Thép tấm</v>
      </c>
      <c r="F2405" s="1786" t="str">
        <f>'8.Dgia'!G1679</f>
        <v>kg</v>
      </c>
      <c r="G2405" s="1772">
        <f>'8.Dgia'!H1679</f>
        <v>28.440000000000005</v>
      </c>
      <c r="H2405" s="1824">
        <f>GVL!$I$175</f>
        <v>12871.348287272725</v>
      </c>
      <c r="I2405" s="1824">
        <f t="shared" si="18"/>
        <v>366061.14529003639</v>
      </c>
    </row>
    <row r="2406" spans="1:12" ht="15">
      <c r="B2406" s="1551" t="str">
        <f>'8.Dgia'!B1680</f>
        <v/>
      </c>
      <c r="C2406" s="1552">
        <f>'8.Dgia'!C1680</f>
        <v>0</v>
      </c>
      <c r="D2406" s="1552" t="str">
        <f>'8.Dgia'!D1680</f>
        <v>KH</v>
      </c>
      <c r="E2406" s="1775" t="str">
        <f>'8.Dgia'!E1680</f>
        <v>Thép tròn D&lt;=10</v>
      </c>
      <c r="F2406" s="1786" t="str">
        <f>'8.Dgia'!G1680</f>
        <v>kg</v>
      </c>
      <c r="G2406" s="1772">
        <f>'8.Dgia'!H1680</f>
        <v>5.5260000000000007</v>
      </c>
      <c r="H2406" s="1824">
        <f>GVL!$I$179</f>
        <v>16754.075560000001</v>
      </c>
      <c r="I2406" s="1824">
        <f t="shared" si="18"/>
        <v>92583.021544560019</v>
      </c>
    </row>
    <row r="2407" spans="1:12" ht="15">
      <c r="B2407" s="1551" t="str">
        <f>'8.Dgia'!B1681</f>
        <v/>
      </c>
      <c r="C2407" s="1552">
        <f>'8.Dgia'!C1681</f>
        <v>0</v>
      </c>
      <c r="D2407" s="1552">
        <f>'8.Dgia'!D1681</f>
        <v>0</v>
      </c>
      <c r="E2407" s="1775" t="str">
        <f>'8.Dgia'!E1681</f>
        <v>Que hàn</v>
      </c>
      <c r="F2407" s="1786" t="str">
        <f>'8.Dgia'!G1681</f>
        <v>kg</v>
      </c>
      <c r="G2407" s="1772">
        <f>'8.Dgia'!H1681</f>
        <v>22.66</v>
      </c>
      <c r="H2407" s="1824">
        <f>GVL!$I$153</f>
        <v>19090.909090909088</v>
      </c>
      <c r="I2407" s="1824">
        <f t="shared" si="18"/>
        <v>432599.99999999994</v>
      </c>
    </row>
    <row r="2408" spans="1:12" ht="15">
      <c r="B2408" s="1551" t="str">
        <f>'8.Dgia'!B1682</f>
        <v/>
      </c>
      <c r="C2408" s="1552">
        <f>'8.Dgia'!C1682</f>
        <v>0</v>
      </c>
      <c r="D2408" s="1552">
        <f>'8.Dgia'!D1682</f>
        <v>0</v>
      </c>
      <c r="E2408" s="1775" t="str">
        <f>'8.Dgia'!E1682</f>
        <v>Ô xy</v>
      </c>
      <c r="F2408" s="1786" t="s">
        <v>565</v>
      </c>
      <c r="G2408" s="1772">
        <f>'8.Dgia'!H1682</f>
        <v>1.7</v>
      </c>
      <c r="H2408" s="1824">
        <f>GVL!$I$130</f>
        <v>48000</v>
      </c>
      <c r="I2408" s="1824">
        <f t="shared" si="18"/>
        <v>81600</v>
      </c>
    </row>
    <row r="2409" spans="1:12" ht="15">
      <c r="B2409" s="1551" t="str">
        <f>'8.Dgia'!B1683</f>
        <v/>
      </c>
      <c r="C2409" s="1552">
        <f>'8.Dgia'!C1683</f>
        <v>0</v>
      </c>
      <c r="D2409" s="1552">
        <f>'8.Dgia'!D1683</f>
        <v>0</v>
      </c>
      <c r="E2409" s="1775" t="str">
        <f>'8.Dgia'!E1683</f>
        <v>Đất đèn</v>
      </c>
      <c r="F2409" s="1786" t="str">
        <f>'8.Dgia'!G1683</f>
        <v>kg</v>
      </c>
      <c r="G2409" s="1772">
        <f>'8.Dgia'!H1683</f>
        <v>4.8</v>
      </c>
      <c r="H2409" s="1824">
        <f>GVL!$I$68</f>
        <v>13600</v>
      </c>
      <c r="I2409" s="1824">
        <f t="shared" si="18"/>
        <v>65280</v>
      </c>
    </row>
    <row r="2410" spans="1:12" ht="15">
      <c r="B2410" s="1551" t="str">
        <f>'8.Dgia'!B1684</f>
        <v/>
      </c>
      <c r="C2410" s="1552">
        <f>'8.Dgia'!C1684</f>
        <v>0</v>
      </c>
      <c r="D2410" s="1552">
        <f>'8.Dgia'!D1684</f>
        <v>0</v>
      </c>
      <c r="E2410" s="1770" t="str">
        <f>'8.Dgia'!E1684</f>
        <v xml:space="preserve">  B - Nhân công 4.0/7</v>
      </c>
      <c r="F2410" s="1745" t="s">
        <v>552</v>
      </c>
      <c r="G2410" s="1772">
        <f>'8.Dgia'!H1684</f>
        <v>26.5</v>
      </c>
      <c r="H2410" s="1824">
        <f>'16.NC'!$H$18</f>
        <v>256824</v>
      </c>
      <c r="I2410" s="1826">
        <f t="shared" si="18"/>
        <v>6805836</v>
      </c>
    </row>
    <row r="2411" spans="1:12" ht="15">
      <c r="B2411" s="1551" t="str">
        <f>'8.Dgia'!B1685</f>
        <v/>
      </c>
      <c r="C2411" s="1552">
        <f>'8.Dgia'!C1685</f>
        <v>0</v>
      </c>
      <c r="D2411" s="1552">
        <f>'8.Dgia'!D1685</f>
        <v>0</v>
      </c>
      <c r="E2411" s="1770" t="str">
        <f>'8.Dgia'!E1685</f>
        <v xml:space="preserve">  C - Máy thi công</v>
      </c>
      <c r="F2411" s="1786">
        <f>'8.Dgia'!G1685</f>
        <v>0</v>
      </c>
      <c r="G2411" s="1772">
        <f>'8.Dgia'!H1685</f>
        <v>0</v>
      </c>
      <c r="H2411" s="1824"/>
      <c r="I2411" s="1827">
        <f>SUM(I2412:I2414)</f>
        <v>1403916.4982045456</v>
      </c>
    </row>
    <row r="2412" spans="1:12" ht="15">
      <c r="B2412" s="1551" t="str">
        <f>'8.Dgia'!B1686</f>
        <v/>
      </c>
      <c r="C2412" s="1552">
        <f>'8.Dgia'!C1686</f>
        <v>0</v>
      </c>
      <c r="D2412" s="1552">
        <f>'8.Dgia'!D1686</f>
        <v>0</v>
      </c>
      <c r="E2412" s="1775" t="str">
        <f>'8.Dgia'!E1686</f>
        <v>Máy hàn 23kw</v>
      </c>
      <c r="F2412" s="1745" t="s">
        <v>5493</v>
      </c>
      <c r="G2412" s="1772">
        <f>'8.Dgia'!H1686</f>
        <v>4.25</v>
      </c>
      <c r="H2412" s="1824">
        <f>'9.may'!$P$510</f>
        <v>171649.155</v>
      </c>
      <c r="I2412" s="1824">
        <f>H2412*G2412</f>
        <v>729508.90874999994</v>
      </c>
    </row>
    <row r="2413" spans="1:12" ht="15">
      <c r="B2413" s="1551" t="str">
        <f>'8.Dgia'!B1687</f>
        <v/>
      </c>
      <c r="C2413" s="1552">
        <f>'8.Dgia'!C1687</f>
        <v>0</v>
      </c>
      <c r="D2413" s="1552">
        <f>'8.Dgia'!D1687</f>
        <v>0</v>
      </c>
      <c r="E2413" s="1775" t="str">
        <f>'8.Dgia'!E1687</f>
        <v>Máy cắt tôn</v>
      </c>
      <c r="F2413" s="1745" t="s">
        <v>5493</v>
      </c>
      <c r="G2413" s="1772">
        <f>'8.Dgia'!H1687</f>
        <v>0.4</v>
      </c>
      <c r="H2413" s="1824">
        <f>'9.may'!$P$553</f>
        <v>204698.78999999998</v>
      </c>
      <c r="I2413" s="1824">
        <f>H2413*G2413</f>
        <v>81879.516000000003</v>
      </c>
    </row>
    <row r="2414" spans="1:12" ht="15">
      <c r="B2414" s="1551" t="str">
        <f>'8.Dgia'!B1688</f>
        <v/>
      </c>
      <c r="C2414" s="1552">
        <f>'8.Dgia'!C1688</f>
        <v>0</v>
      </c>
      <c r="D2414" s="1552">
        <f>'8.Dgia'!D1688</f>
        <v>0</v>
      </c>
      <c r="E2414" s="1775" t="str">
        <f>'8.Dgia'!E1688</f>
        <v>Cần cẩu bánh xích 10T</v>
      </c>
      <c r="F2414" s="1745" t="s">
        <v>5493</v>
      </c>
      <c r="G2414" s="1772">
        <f>'8.Dgia'!H1688</f>
        <v>0.4</v>
      </c>
      <c r="H2414" s="1824">
        <f>'9.may'!$P$246</f>
        <v>1481320.1836363636</v>
      </c>
      <c r="I2414" s="1824">
        <f>H2414*G2414</f>
        <v>592528.07345454546</v>
      </c>
    </row>
    <row r="2415" spans="1:12" s="658" customFormat="1" ht="15">
      <c r="B2415" s="1677"/>
      <c r="C2415" s="1678"/>
      <c r="D2415" s="1678"/>
      <c r="E2415" s="1828" t="s">
        <v>5675</v>
      </c>
      <c r="F2415" s="1786">
        <f>$J$5</f>
        <v>0.02</v>
      </c>
      <c r="G2415" s="1780"/>
      <c r="H2415" s="1829"/>
      <c r="I2415" s="1830">
        <f>( I2403+I2410+I2411 )*F2415</f>
        <v>203760.41339645744</v>
      </c>
      <c r="J2415" s="850"/>
      <c r="K2415" s="850"/>
      <c r="L2415" s="850"/>
    </row>
    <row r="2416" spans="1:12" ht="15">
      <c r="B2416" s="1556"/>
      <c r="C2416" s="1557"/>
      <c r="D2416" s="1557"/>
      <c r="E2416" s="1831" t="s">
        <v>5676</v>
      </c>
      <c r="F2416" s="1786"/>
      <c r="G2416" s="1783"/>
      <c r="H2416" s="1832"/>
      <c r="I2416" s="1833">
        <f>I2415+I2415/F2415</f>
        <v>10391781.083219329</v>
      </c>
    </row>
    <row r="2417" spans="1:12" ht="15">
      <c r="B2417" s="1551"/>
      <c r="C2417" s="1552"/>
      <c r="D2417" s="1552"/>
      <c r="E2417" s="1834" t="s">
        <v>5677</v>
      </c>
      <c r="F2417" s="1786">
        <f>$K$5</f>
        <v>5.5E-2</v>
      </c>
      <c r="G2417" s="1772"/>
      <c r="H2417" s="1824"/>
      <c r="I2417" s="1835">
        <f>I2416*F2417</f>
        <v>571547.9595770631</v>
      </c>
    </row>
    <row r="2418" spans="1:12" ht="15">
      <c r="B2418" s="1551"/>
      <c r="C2418" s="1552"/>
      <c r="D2418" s="1552"/>
      <c r="E2418" s="1834" t="s">
        <v>5678</v>
      </c>
      <c r="F2418" s="1786">
        <f>$L$5</f>
        <v>0.06</v>
      </c>
      <c r="G2418" s="1772"/>
      <c r="H2418" s="1824"/>
      <c r="I2418" s="1835">
        <f>SUM(I2416:I2417)*F2418</f>
        <v>657799.74256778345</v>
      </c>
    </row>
    <row r="2419" spans="1:12" ht="14.25">
      <c r="B2419" s="1556"/>
      <c r="C2419" s="1557"/>
      <c r="D2419" s="1557"/>
      <c r="E2419" s="1831" t="s">
        <v>5679</v>
      </c>
      <c r="F2419" s="1787"/>
      <c r="G2419" s="1783"/>
      <c r="H2419" s="1832"/>
      <c r="I2419" s="1833">
        <f>SUM(I2416:I2418)</f>
        <v>11621128.785364175</v>
      </c>
    </row>
    <row r="2420" spans="1:12" ht="15">
      <c r="B2420" s="1551"/>
      <c r="C2420" s="1552"/>
      <c r="D2420" s="1552"/>
      <c r="E2420" s="1834" t="s">
        <v>5680</v>
      </c>
      <c r="F2420" s="1788">
        <f>$M$5</f>
        <v>0.1</v>
      </c>
      <c r="G2420" s="1772"/>
      <c r="H2420" s="1824"/>
      <c r="I2420" s="1835">
        <f>I2419*F2420</f>
        <v>1162112.8785364176</v>
      </c>
    </row>
    <row r="2421" spans="1:12" ht="14.25">
      <c r="B2421" s="1556"/>
      <c r="C2421" s="1557"/>
      <c r="D2421" s="1557"/>
      <c r="E2421" s="1831" t="s">
        <v>5681</v>
      </c>
      <c r="F2421" s="1787"/>
      <c r="G2421" s="1783"/>
      <c r="H2421" s="1832"/>
      <c r="I2421" s="1833">
        <f>SUM(I2419:I2420)</f>
        <v>12783241.663900593</v>
      </c>
    </row>
    <row r="2422" spans="1:12" ht="12.75">
      <c r="B2422" s="1551"/>
      <c r="C2422" s="1552"/>
      <c r="D2422" s="1552"/>
      <c r="E2422" s="1558" t="s">
        <v>5682</v>
      </c>
      <c r="F2422" s="1560">
        <f>$N$5</f>
        <v>0.01</v>
      </c>
      <c r="G2422" s="1553"/>
      <c r="H2422" s="1554"/>
      <c r="I2422" s="1559">
        <f>I2421*F2422</f>
        <v>127832.41663900594</v>
      </c>
    </row>
    <row r="2423" spans="1:12" ht="14.25">
      <c r="B2423" s="2123"/>
      <c r="C2423" s="1561"/>
      <c r="D2423" s="2124"/>
      <c r="E2423" s="2112" t="s">
        <v>5683</v>
      </c>
      <c r="F2423" s="2113"/>
      <c r="G2423" s="2125"/>
      <c r="H2423" s="2126"/>
      <c r="I2423" s="2110">
        <f>ROUND(I2421+I2422,-2)</f>
        <v>12911100</v>
      </c>
    </row>
    <row r="2424" spans="1:12" ht="42.75">
      <c r="A2424" s="657">
        <v>1</v>
      </c>
      <c r="B2424" s="1546">
        <f>IF(A2424&lt;&gt;0,COUNTA(A$7:$A2424),"")</f>
        <v>134</v>
      </c>
      <c r="C2424" s="1550">
        <f>'8.Dgia'!C1689</f>
        <v>1776</v>
      </c>
      <c r="D2424" s="1550" t="str">
        <f>'8.Dgia'!D1689</f>
        <v>AI.11911</v>
      </c>
      <c r="E2424" s="1766" t="s">
        <v>5978</v>
      </c>
      <c r="F2424" s="1789" t="s">
        <v>557</v>
      </c>
      <c r="G2424" s="1768">
        <f>'8.Dgia'!H1689</f>
        <v>0</v>
      </c>
      <c r="H2424" s="1823"/>
      <c r="I2424" s="1842"/>
      <c r="J2424" s="842">
        <f>+I2425</f>
        <v>1978268.1716183249</v>
      </c>
    </row>
    <row r="2425" spans="1:12" ht="15">
      <c r="B2425" s="1551" t="str">
        <f>'8.Dgia'!B1690</f>
        <v/>
      </c>
      <c r="C2425" s="1552">
        <f>'8.Dgia'!C1690</f>
        <v>0</v>
      </c>
      <c r="D2425" s="1552">
        <f>'8.Dgia'!D1690</f>
        <v>0</v>
      </c>
      <c r="E2425" s="1770" t="str">
        <f>'8.Dgia'!E1690</f>
        <v xml:space="preserve">  A - Vật liệu</v>
      </c>
      <c r="F2425" s="1786">
        <f>'8.Dgia'!G1690</f>
        <v>0</v>
      </c>
      <c r="G2425" s="1772">
        <f>'8.Dgia'!H1690</f>
        <v>0</v>
      </c>
      <c r="H2425" s="1824"/>
      <c r="I2425" s="1825">
        <f>SUM(I2426:I2431)</f>
        <v>1978268.1716183249</v>
      </c>
    </row>
    <row r="2426" spans="1:12" ht="15">
      <c r="B2426" s="1551" t="str">
        <f>'8.Dgia'!B1691</f>
        <v/>
      </c>
      <c r="C2426" s="1552">
        <f>'8.Dgia'!C1691</f>
        <v>0</v>
      </c>
      <c r="D2426" s="1552" t="str">
        <f>'8.Dgia'!D1691</f>
        <v>KH</v>
      </c>
      <c r="E2426" s="1775" t="str">
        <f>'8.Dgia'!E1691</f>
        <v>Thép hình</v>
      </c>
      <c r="F2426" s="1786" t="str">
        <f>'8.Dgia'!G1691</f>
        <v xml:space="preserve"> kg </v>
      </c>
      <c r="G2426" s="1772">
        <f>'8.Dgia'!H1691</f>
        <v>56.285100000000007</v>
      </c>
      <c r="H2426" s="1824">
        <f>GVL!$I$170</f>
        <v>16703.248369172808</v>
      </c>
      <c r="I2426" s="1824">
        <f>H2426*G2426</f>
        <v>940144.00478372851</v>
      </c>
    </row>
    <row r="2427" spans="1:12" ht="15">
      <c r="B2427" s="1551" t="str">
        <f>'8.Dgia'!B1692</f>
        <v/>
      </c>
      <c r="C2427" s="1552">
        <f>'8.Dgia'!C1692</f>
        <v>0</v>
      </c>
      <c r="D2427" s="1552" t="str">
        <f>'8.Dgia'!D1692</f>
        <v>KH</v>
      </c>
      <c r="E2427" s="1775" t="str">
        <f>'8.Dgia'!E1692</f>
        <v>Thép tấm</v>
      </c>
      <c r="F2427" s="1786" t="str">
        <f>'8.Dgia'!G1692</f>
        <v>kg</v>
      </c>
      <c r="G2427" s="1964">
        <f>'8.Dgia'!H1692</f>
        <v>28.440000000000005</v>
      </c>
      <c r="H2427" s="1824">
        <f>GVL!$I$175</f>
        <v>12871.348287272725</v>
      </c>
      <c r="I2427" s="1824">
        <f t="shared" ref="I2427:I2431" si="19">H2427*G2427</f>
        <v>366061.14529003639</v>
      </c>
    </row>
    <row r="2428" spans="1:12" ht="15">
      <c r="B2428" s="1551" t="str">
        <f>'8.Dgia'!B1693</f>
        <v/>
      </c>
      <c r="C2428" s="1552">
        <f>'8.Dgia'!C1693</f>
        <v>0</v>
      </c>
      <c r="D2428" s="1552" t="str">
        <f>'8.Dgia'!D1693</f>
        <v>KH</v>
      </c>
      <c r="E2428" s="1775" t="str">
        <f>'8.Dgia'!E1693</f>
        <v>Thép tròn D&lt;=10</v>
      </c>
      <c r="F2428" s="1786" t="str">
        <f>'8.Dgia'!G1693</f>
        <v>kg</v>
      </c>
      <c r="G2428" s="1772">
        <f>'8.Dgia'!H1693</f>
        <v>5.5260000000000007</v>
      </c>
      <c r="H2428" s="1824">
        <f>GVL!$I$179</f>
        <v>16754.075560000001</v>
      </c>
      <c r="I2428" s="1824">
        <f t="shared" si="19"/>
        <v>92583.021544560019</v>
      </c>
    </row>
    <row r="2429" spans="1:12" ht="15">
      <c r="B2429" s="1551" t="str">
        <f>'8.Dgia'!B1694</f>
        <v/>
      </c>
      <c r="C2429" s="1552">
        <f>'8.Dgia'!C1694</f>
        <v>0</v>
      </c>
      <c r="D2429" s="1552">
        <f>'8.Dgia'!D1694</f>
        <v>0</v>
      </c>
      <c r="E2429" s="1775" t="str">
        <f>'8.Dgia'!E1694</f>
        <v>Que hàn</v>
      </c>
      <c r="F2429" s="1786" t="str">
        <f>'8.Dgia'!G1694</f>
        <v>kg</v>
      </c>
      <c r="G2429" s="1965">
        <f>'8.Dgia'!H1694</f>
        <v>22.66</v>
      </c>
      <c r="H2429" s="1824">
        <f>GVL!$I$153</f>
        <v>19090.909090909088</v>
      </c>
      <c r="I2429" s="1824">
        <f t="shared" si="19"/>
        <v>432599.99999999994</v>
      </c>
    </row>
    <row r="2430" spans="1:12" ht="15">
      <c r="B2430" s="1551" t="str">
        <f>'8.Dgia'!B1695</f>
        <v/>
      </c>
      <c r="C2430" s="1552">
        <f>'8.Dgia'!C1695</f>
        <v>0</v>
      </c>
      <c r="D2430" s="1552">
        <f>'8.Dgia'!D1695</f>
        <v>0</v>
      </c>
      <c r="E2430" s="1775" t="str">
        <f>'8.Dgia'!E1695</f>
        <v>Ô xy</v>
      </c>
      <c r="F2430" s="1786" t="s">
        <v>565</v>
      </c>
      <c r="G2430" s="1965">
        <f>'8.Dgia'!H1695</f>
        <v>1.7</v>
      </c>
      <c r="H2430" s="1824">
        <f>GVL!$I$130</f>
        <v>48000</v>
      </c>
      <c r="I2430" s="1824">
        <f t="shared" si="19"/>
        <v>81600</v>
      </c>
    </row>
    <row r="2431" spans="1:12" ht="15">
      <c r="B2431" s="1551" t="str">
        <f>'8.Dgia'!B1696</f>
        <v/>
      </c>
      <c r="C2431" s="1552">
        <f>'8.Dgia'!C1696</f>
        <v>0</v>
      </c>
      <c r="D2431" s="1552">
        <f>'8.Dgia'!D1696</f>
        <v>0</v>
      </c>
      <c r="E2431" s="1775" t="str">
        <f>'8.Dgia'!E1696</f>
        <v>Đất đèn</v>
      </c>
      <c r="F2431" s="1786" t="str">
        <f>'8.Dgia'!G1696</f>
        <v>kg</v>
      </c>
      <c r="G2431" s="1965">
        <f>'8.Dgia'!H1696</f>
        <v>4.8</v>
      </c>
      <c r="H2431" s="1824">
        <f>GVL!$I$68</f>
        <v>13600</v>
      </c>
      <c r="I2431" s="1824">
        <f t="shared" si="19"/>
        <v>65280</v>
      </c>
    </row>
    <row r="2432" spans="1:12" s="658" customFormat="1" ht="15">
      <c r="B2432" s="1677"/>
      <c r="C2432" s="1678"/>
      <c r="D2432" s="1678"/>
      <c r="E2432" s="1828" t="s">
        <v>5675</v>
      </c>
      <c r="F2432" s="1786">
        <f>$J$5</f>
        <v>0.02</v>
      </c>
      <c r="G2432" s="1780"/>
      <c r="H2432" s="1829"/>
      <c r="I2432" s="1830">
        <f>( I2425 )*F2432</f>
        <v>39565.363432366503</v>
      </c>
      <c r="J2432" s="850"/>
      <c r="K2432" s="850"/>
      <c r="L2432" s="850"/>
    </row>
    <row r="2433" spans="1:12" ht="15">
      <c r="B2433" s="1556"/>
      <c r="C2433" s="1557"/>
      <c r="D2433" s="1557"/>
      <c r="E2433" s="1831" t="s">
        <v>5676</v>
      </c>
      <c r="F2433" s="1786"/>
      <c r="G2433" s="1783"/>
      <c r="H2433" s="1832"/>
      <c r="I2433" s="1833">
        <f>I2432+I2432/F2432</f>
        <v>2017833.5350506916</v>
      </c>
    </row>
    <row r="2434" spans="1:12" ht="15">
      <c r="B2434" s="1551"/>
      <c r="C2434" s="1552"/>
      <c r="D2434" s="1552"/>
      <c r="E2434" s="1834" t="s">
        <v>5677</v>
      </c>
      <c r="F2434" s="1786">
        <f>$K$5</f>
        <v>5.5E-2</v>
      </c>
      <c r="G2434" s="1772"/>
      <c r="H2434" s="1824"/>
      <c r="I2434" s="1835">
        <f>I2433*F2434</f>
        <v>110980.84442778803</v>
      </c>
    </row>
    <row r="2435" spans="1:12" ht="15">
      <c r="B2435" s="1551"/>
      <c r="C2435" s="1552"/>
      <c r="D2435" s="1552"/>
      <c r="E2435" s="1834" t="s">
        <v>5678</v>
      </c>
      <c r="F2435" s="1786">
        <f>$L$5</f>
        <v>0.06</v>
      </c>
      <c r="G2435" s="1772"/>
      <c r="H2435" s="1824"/>
      <c r="I2435" s="1835">
        <f>SUM(I2433:I2434)*F2435</f>
        <v>127728.86276870879</v>
      </c>
    </row>
    <row r="2436" spans="1:12" ht="14.25">
      <c r="B2436" s="1556"/>
      <c r="C2436" s="1557"/>
      <c r="D2436" s="1557"/>
      <c r="E2436" s="1831" t="s">
        <v>5679</v>
      </c>
      <c r="F2436" s="1787"/>
      <c r="G2436" s="1783"/>
      <c r="H2436" s="1832"/>
      <c r="I2436" s="1833">
        <f>SUM(I2433:I2435)</f>
        <v>2256543.2422471885</v>
      </c>
    </row>
    <row r="2437" spans="1:12" ht="15">
      <c r="B2437" s="1551"/>
      <c r="C2437" s="1552"/>
      <c r="D2437" s="1552"/>
      <c r="E2437" s="1834" t="s">
        <v>5680</v>
      </c>
      <c r="F2437" s="1788">
        <f>$M$5</f>
        <v>0.1</v>
      </c>
      <c r="G2437" s="1772"/>
      <c r="H2437" s="1824"/>
      <c r="I2437" s="1835">
        <f>I2436*F2437</f>
        <v>225654.32422471885</v>
      </c>
    </row>
    <row r="2438" spans="1:12" ht="14.25">
      <c r="B2438" s="1556"/>
      <c r="C2438" s="1557"/>
      <c r="D2438" s="1557"/>
      <c r="E2438" s="1831" t="s">
        <v>5681</v>
      </c>
      <c r="F2438" s="1787"/>
      <c r="G2438" s="1783"/>
      <c r="H2438" s="1832"/>
      <c r="I2438" s="1833">
        <f>SUM(I2436:I2437)</f>
        <v>2482197.5664719073</v>
      </c>
    </row>
    <row r="2439" spans="1:12" ht="12.75">
      <c r="B2439" s="1551"/>
      <c r="C2439" s="1552"/>
      <c r="D2439" s="1552"/>
      <c r="E2439" s="1558" t="s">
        <v>5682</v>
      </c>
      <c r="F2439" s="1560">
        <f>$N$5</f>
        <v>0.01</v>
      </c>
      <c r="G2439" s="1553"/>
      <c r="H2439" s="1554"/>
      <c r="I2439" s="1559">
        <f>I2438*F2439</f>
        <v>24821.975664719073</v>
      </c>
    </row>
    <row r="2440" spans="1:12" ht="14.25">
      <c r="B2440" s="2123"/>
      <c r="C2440" s="1561"/>
      <c r="D2440" s="2124"/>
      <c r="E2440" s="2112" t="s">
        <v>5683</v>
      </c>
      <c r="F2440" s="2113"/>
      <c r="G2440" s="2125"/>
      <c r="H2440" s="2126"/>
      <c r="I2440" s="2110">
        <f>ROUND(I2438+I2439,-2)</f>
        <v>2507000</v>
      </c>
    </row>
    <row r="2441" spans="1:12" ht="28.5">
      <c r="A2441" s="657">
        <v>1</v>
      </c>
      <c r="B2441" s="1546">
        <f>IF(A2441&lt;&gt;0,COUNTA(A$7:$A2441),"")</f>
        <v>135</v>
      </c>
      <c r="C2441" s="1550">
        <f>'8.Dgia'!C1697</f>
        <v>1776</v>
      </c>
      <c r="D2441" s="1550" t="str">
        <f>'8.Dgia'!D1697</f>
        <v>AI.63311</v>
      </c>
      <c r="E2441" s="1766" t="str">
        <f>'8.Dgia'!E1697</f>
        <v>Lắp dựng, tháo dỡ hệ dàn giáo trên cạn (Định mức x 1.6 kể đến công tháo dỡ)</v>
      </c>
      <c r="F2441" s="1789" t="s">
        <v>557</v>
      </c>
      <c r="G2441" s="1768">
        <f>'8.Dgia'!H1697</f>
        <v>1.6</v>
      </c>
      <c r="H2441" s="1823"/>
      <c r="I2441" s="1823"/>
      <c r="J2441" s="842">
        <f>+I2442</f>
        <v>498300.38303982193</v>
      </c>
      <c r="K2441" s="842">
        <f>+I2447</f>
        <v>3903724.8000000003</v>
      </c>
      <c r="L2441" s="842">
        <f>+I2448</f>
        <v>1388987.9442000003</v>
      </c>
    </row>
    <row r="2442" spans="1:12" s="658" customFormat="1" ht="15">
      <c r="B2442" s="1551" t="str">
        <f>'8.Dgia'!B1698</f>
        <v/>
      </c>
      <c r="C2442" s="1552">
        <f>'8.Dgia'!C1698</f>
        <v>0</v>
      </c>
      <c r="D2442" s="1552">
        <f>'8.Dgia'!D1698</f>
        <v>0</v>
      </c>
      <c r="E2442" s="1770" t="str">
        <f>'8.Dgia'!E1698</f>
        <v xml:space="preserve">  A - Vật liệu</v>
      </c>
      <c r="F2442" s="1786">
        <f>'8.Dgia'!G1698</f>
        <v>0</v>
      </c>
      <c r="G2442" s="1772">
        <f>'8.Dgia'!H1698</f>
        <v>0</v>
      </c>
      <c r="H2442" s="1824"/>
      <c r="I2442" s="1825">
        <f>SUM(I2443:I2446)</f>
        <v>498300.38303982193</v>
      </c>
      <c r="J2442" s="850"/>
      <c r="K2442" s="850"/>
      <c r="L2442" s="850"/>
    </row>
    <row r="2443" spans="1:12" ht="15">
      <c r="B2443" s="1551" t="str">
        <f>'8.Dgia'!B1699</f>
        <v/>
      </c>
      <c r="C2443" s="1552">
        <f>'8.Dgia'!C1699</f>
        <v>0</v>
      </c>
      <c r="D2443" s="1552">
        <f>'8.Dgia'!D1699</f>
        <v>0</v>
      </c>
      <c r="E2443" s="1775" t="str">
        <f>'8.Dgia'!E1699</f>
        <v>Thép hình</v>
      </c>
      <c r="F2443" s="1786" t="str">
        <f>'8.Dgia'!G1699</f>
        <v xml:space="preserve"> kg </v>
      </c>
      <c r="G2443" s="1772">
        <f>'8.Dgia'!H1699</f>
        <v>0.72000000000000008</v>
      </c>
      <c r="H2443" s="1824">
        <f>GVL!$I$170</f>
        <v>16703.248369172808</v>
      </c>
      <c r="I2443" s="1824">
        <f>H2443*G2443</f>
        <v>12026.338825804423</v>
      </c>
    </row>
    <row r="2444" spans="1:12" ht="15">
      <c r="B2444" s="1551" t="str">
        <f>'8.Dgia'!B1700</f>
        <v/>
      </c>
      <c r="C2444" s="1552">
        <f>'8.Dgia'!C1700</f>
        <v>0</v>
      </c>
      <c r="D2444" s="1552">
        <f>'8.Dgia'!D1700</f>
        <v>0</v>
      </c>
      <c r="E2444" s="1775" t="str">
        <f>'8.Dgia'!E1700</f>
        <v>Bu lông M20</v>
      </c>
      <c r="F2444" s="1763" t="s">
        <v>567</v>
      </c>
      <c r="G2444" s="1772">
        <f>'8.Dgia'!H1700</f>
        <v>19.200000000000003</v>
      </c>
      <c r="H2444" s="1824">
        <f>GVL!$I$28</f>
        <v>5000</v>
      </c>
      <c r="I2444" s="1824">
        <f>H2444*G2444</f>
        <v>96000.000000000015</v>
      </c>
    </row>
    <row r="2445" spans="1:12" ht="15">
      <c r="B2445" s="1551" t="str">
        <f>'8.Dgia'!B1701</f>
        <v/>
      </c>
      <c r="C2445" s="1552">
        <f>'8.Dgia'!C1701</f>
        <v>0</v>
      </c>
      <c r="D2445" s="1552">
        <f>'8.Dgia'!D1701</f>
        <v>0</v>
      </c>
      <c r="E2445" s="1775" t="str">
        <f>'8.Dgia'!E1701</f>
        <v>Que hàn</v>
      </c>
      <c r="F2445" s="1786" t="str">
        <f>'8.Dgia'!G1701</f>
        <v xml:space="preserve"> kg </v>
      </c>
      <c r="G2445" s="1772">
        <f>'8.Dgia'!H1701</f>
        <v>19.200000000000003</v>
      </c>
      <c r="H2445" s="1824">
        <f>GVL!$I$153</f>
        <v>19090.909090909088</v>
      </c>
      <c r="I2445" s="1824">
        <f>H2445*G2445</f>
        <v>366545.45454545453</v>
      </c>
    </row>
    <row r="2446" spans="1:12" ht="15">
      <c r="B2446" s="1551" t="str">
        <f>'8.Dgia'!B1702</f>
        <v/>
      </c>
      <c r="C2446" s="1552">
        <f>'8.Dgia'!C1702</f>
        <v>0</v>
      </c>
      <c r="D2446" s="1552">
        <f>'8.Dgia'!D1702</f>
        <v>0</v>
      </c>
      <c r="E2446" s="1775" t="str">
        <f>'8.Dgia'!E1702</f>
        <v>Vật liệu khác</v>
      </c>
      <c r="F2446" s="1786" t="str">
        <f>'8.Dgia'!G1702</f>
        <v>%</v>
      </c>
      <c r="G2446" s="1772">
        <f>'8.Dgia'!H1702</f>
        <v>5</v>
      </c>
      <c r="H2446" s="1824">
        <f>SUM(I2443:I2445)</f>
        <v>474571.793371259</v>
      </c>
      <c r="I2446" s="1824">
        <f>H2446*G2446%</f>
        <v>23728.589668562952</v>
      </c>
    </row>
    <row r="2447" spans="1:12" s="658" customFormat="1" ht="15">
      <c r="B2447" s="1551" t="str">
        <f>'8.Dgia'!B1703</f>
        <v/>
      </c>
      <c r="C2447" s="1552">
        <f>'8.Dgia'!C1703</f>
        <v>0</v>
      </c>
      <c r="D2447" s="1552">
        <f>'8.Dgia'!D1703</f>
        <v>0</v>
      </c>
      <c r="E2447" s="1770" t="str">
        <f>'8.Dgia'!E1703</f>
        <v xml:space="preserve">  B - Nhân công 4.0/7</v>
      </c>
      <c r="F2447" s="1745" t="s">
        <v>552</v>
      </c>
      <c r="G2447" s="1772">
        <f>'8.Dgia'!H1703</f>
        <v>15.200000000000001</v>
      </c>
      <c r="H2447" s="1824">
        <f>'16.NC'!$H$18</f>
        <v>256824</v>
      </c>
      <c r="I2447" s="1826">
        <f>H2447*G2447</f>
        <v>3903724.8000000003</v>
      </c>
      <c r="J2447" s="850"/>
      <c r="K2447" s="850"/>
      <c r="L2447" s="850"/>
    </row>
    <row r="2448" spans="1:12" s="658" customFormat="1" ht="15">
      <c r="B2448" s="1551" t="str">
        <f>'8.Dgia'!B1704</f>
        <v/>
      </c>
      <c r="C2448" s="1552">
        <f>'8.Dgia'!C1704</f>
        <v>0</v>
      </c>
      <c r="D2448" s="1552">
        <f>'8.Dgia'!D1704</f>
        <v>0</v>
      </c>
      <c r="E2448" s="1770" t="str">
        <f>'8.Dgia'!E1704</f>
        <v xml:space="preserve">  C - Máy thi công</v>
      </c>
      <c r="F2448" s="1786">
        <f>'8.Dgia'!G1704</f>
        <v>0</v>
      </c>
      <c r="G2448" s="1772">
        <f>'8.Dgia'!H1704</f>
        <v>0</v>
      </c>
      <c r="H2448" s="1824"/>
      <c r="I2448" s="1827">
        <f>SUM(I2449:I2450)</f>
        <v>1388987.9442000003</v>
      </c>
      <c r="J2448" s="850"/>
      <c r="K2448" s="850"/>
      <c r="L2448" s="850"/>
    </row>
    <row r="2449" spans="1:12" ht="15">
      <c r="B2449" s="1551" t="str">
        <f>'8.Dgia'!B1705</f>
        <v/>
      </c>
      <c r="C2449" s="1552">
        <f>'8.Dgia'!C1705</f>
        <v>0</v>
      </c>
      <c r="D2449" s="1552">
        <f>'8.Dgia'!D1705</f>
        <v>0</v>
      </c>
      <c r="E2449" s="1775" t="str">
        <f>'8.Dgia'!E1705</f>
        <v>Cần cẩu bánh hơi 16T</v>
      </c>
      <c r="F2449" s="1745" t="s">
        <v>5493</v>
      </c>
      <c r="G2449" s="1772">
        <f>'8.Dgia'!H1705</f>
        <v>0.43200000000000005</v>
      </c>
      <c r="H2449" s="1824">
        <f>'9.may'!$P$235</f>
        <v>2023241.85</v>
      </c>
      <c r="I2449" s="1824">
        <f>H2449*G2449</f>
        <v>874040.47920000018</v>
      </c>
    </row>
    <row r="2450" spans="1:12" ht="15">
      <c r="B2450" s="1551" t="str">
        <f>'8.Dgia'!B1706</f>
        <v/>
      </c>
      <c r="C2450" s="1552">
        <f>'8.Dgia'!C1706</f>
        <v>0</v>
      </c>
      <c r="D2450" s="1552">
        <f>'8.Dgia'!D1706</f>
        <v>0</v>
      </c>
      <c r="E2450" s="1775" t="str">
        <f>'8.Dgia'!E1706</f>
        <v>Máy hàn 23kw</v>
      </c>
      <c r="F2450" s="1745" t="s">
        <v>5493</v>
      </c>
      <c r="G2450" s="1772">
        <f>'8.Dgia'!H1706</f>
        <v>3</v>
      </c>
      <c r="H2450" s="1824">
        <f>'9.may'!$P$510</f>
        <v>171649.155</v>
      </c>
      <c r="I2450" s="1824">
        <f>H2450*G2450</f>
        <v>514947.46499999997</v>
      </c>
    </row>
    <row r="2451" spans="1:12" s="658" customFormat="1" ht="15">
      <c r="B2451" s="1677"/>
      <c r="C2451" s="1678"/>
      <c r="D2451" s="1678"/>
      <c r="E2451" s="1828" t="s">
        <v>5675</v>
      </c>
      <c r="F2451" s="1786">
        <f>$J$5</f>
        <v>0.02</v>
      </c>
      <c r="G2451" s="1780"/>
      <c r="H2451" s="1829"/>
      <c r="I2451" s="1830">
        <f>( I2442+I2447+I2448 )*F2451</f>
        <v>115820.26254479647</v>
      </c>
      <c r="J2451" s="850"/>
      <c r="K2451" s="850"/>
      <c r="L2451" s="850"/>
    </row>
    <row r="2452" spans="1:12" ht="15">
      <c r="B2452" s="1556"/>
      <c r="C2452" s="1557"/>
      <c r="D2452" s="1557"/>
      <c r="E2452" s="1831" t="s">
        <v>5676</v>
      </c>
      <c r="F2452" s="1786"/>
      <c r="G2452" s="1783"/>
      <c r="H2452" s="1832"/>
      <c r="I2452" s="1833">
        <f>I2451+I2451/F2451</f>
        <v>5906833.3897846201</v>
      </c>
    </row>
    <row r="2453" spans="1:12" ht="15">
      <c r="B2453" s="1551"/>
      <c r="C2453" s="1552"/>
      <c r="D2453" s="1552"/>
      <c r="E2453" s="1834" t="s">
        <v>5677</v>
      </c>
      <c r="F2453" s="1786">
        <f>$K$5</f>
        <v>5.5E-2</v>
      </c>
      <c r="G2453" s="1772"/>
      <c r="H2453" s="1824"/>
      <c r="I2453" s="1835">
        <f>I2452*F2453</f>
        <v>324875.8364381541</v>
      </c>
    </row>
    <row r="2454" spans="1:12" ht="15">
      <c r="B2454" s="1551"/>
      <c r="C2454" s="1552"/>
      <c r="D2454" s="1552"/>
      <c r="E2454" s="1834" t="s">
        <v>5678</v>
      </c>
      <c r="F2454" s="1786">
        <f>$L$5</f>
        <v>0.06</v>
      </c>
      <c r="G2454" s="1772"/>
      <c r="H2454" s="1824"/>
      <c r="I2454" s="1835">
        <f>SUM(I2452:I2453)*F2454</f>
        <v>373902.55357336643</v>
      </c>
    </row>
    <row r="2455" spans="1:12" ht="14.25">
      <c r="B2455" s="1556"/>
      <c r="C2455" s="1557"/>
      <c r="D2455" s="1557"/>
      <c r="E2455" s="1831" t="s">
        <v>5679</v>
      </c>
      <c r="F2455" s="1787"/>
      <c r="G2455" s="1783"/>
      <c r="H2455" s="1832"/>
      <c r="I2455" s="1833">
        <f>SUM(I2452:I2454)</f>
        <v>6605611.7797961403</v>
      </c>
    </row>
    <row r="2456" spans="1:12" ht="15">
      <c r="B2456" s="1551"/>
      <c r="C2456" s="1552"/>
      <c r="D2456" s="1552"/>
      <c r="E2456" s="1834" t="s">
        <v>5680</v>
      </c>
      <c r="F2456" s="1788">
        <f>$M$5</f>
        <v>0.1</v>
      </c>
      <c r="G2456" s="1772"/>
      <c r="H2456" s="1824"/>
      <c r="I2456" s="1835">
        <f>I2455*F2456</f>
        <v>660561.17797961412</v>
      </c>
    </row>
    <row r="2457" spans="1:12" ht="14.25">
      <c r="B2457" s="1556"/>
      <c r="C2457" s="1557"/>
      <c r="D2457" s="1557"/>
      <c r="E2457" s="1831" t="s">
        <v>5681</v>
      </c>
      <c r="F2457" s="1787"/>
      <c r="G2457" s="1783"/>
      <c r="H2457" s="1832"/>
      <c r="I2457" s="1833">
        <f>SUM(I2455:I2456)</f>
        <v>7266172.9577757549</v>
      </c>
    </row>
    <row r="2458" spans="1:12" ht="12.75">
      <c r="B2458" s="1551"/>
      <c r="C2458" s="1552"/>
      <c r="D2458" s="1552"/>
      <c r="E2458" s="1558" t="s">
        <v>5682</v>
      </c>
      <c r="F2458" s="1560">
        <f>$N$5</f>
        <v>0.01</v>
      </c>
      <c r="G2458" s="1553"/>
      <c r="H2458" s="1554"/>
      <c r="I2458" s="1559">
        <f>I2457*F2458</f>
        <v>72661.729577757549</v>
      </c>
    </row>
    <row r="2459" spans="1:12" ht="14.25">
      <c r="B2459" s="2123"/>
      <c r="C2459" s="1561"/>
      <c r="D2459" s="2124"/>
      <c r="E2459" s="2112" t="s">
        <v>5683</v>
      </c>
      <c r="F2459" s="2113"/>
      <c r="G2459" s="2125"/>
      <c r="H2459" s="2126"/>
      <c r="I2459" s="2110">
        <f>ROUND(I2457+I2458,-2)</f>
        <v>7338800</v>
      </c>
    </row>
    <row r="2460" spans="1:12" ht="28.5">
      <c r="A2460" s="657">
        <v>1</v>
      </c>
      <c r="B2460" s="1546">
        <f>IF(A2460&lt;&gt;0,COUNTA(A$7:$A2460),"")</f>
        <v>136</v>
      </c>
      <c r="C2460" s="1550">
        <f>'8.Dgia'!C1717</f>
        <v>1776</v>
      </c>
      <c r="D2460" s="1550" t="str">
        <f>'8.Dgia'!D1717</f>
        <v>AC.22621</v>
      </c>
      <c r="E2460" s="1766" t="s">
        <v>5977</v>
      </c>
      <c r="F2460" s="1794" t="s">
        <v>543</v>
      </c>
      <c r="G2460" s="1768">
        <f>'8.Dgia'!H1717</f>
        <v>0</v>
      </c>
      <c r="H2460" s="1823"/>
      <c r="I2460" s="1823"/>
      <c r="J2460" s="842">
        <f>+I2461</f>
        <v>131686.71309252412</v>
      </c>
    </row>
    <row r="2461" spans="1:12" s="658" customFormat="1" ht="15">
      <c r="B2461" s="1551" t="str">
        <f>'8.Dgia'!B1718</f>
        <v/>
      </c>
      <c r="C2461" s="1552">
        <f>'8.Dgia'!C1718</f>
        <v>0</v>
      </c>
      <c r="D2461" s="1552">
        <f>'8.Dgia'!D1718</f>
        <v>0</v>
      </c>
      <c r="E2461" s="1770" t="str">
        <f>'8.Dgia'!E1718</f>
        <v xml:space="preserve">  A - Vật liệu</v>
      </c>
      <c r="F2461" s="1786">
        <f>'8.Dgia'!G1718</f>
        <v>0</v>
      </c>
      <c r="G2461" s="1772">
        <f>'8.Dgia'!H1718</f>
        <v>0</v>
      </c>
      <c r="H2461" s="1824"/>
      <c r="I2461" s="1825">
        <f>SUM(I2462:I2463)</f>
        <v>131686.71309252412</v>
      </c>
      <c r="J2461" s="850"/>
      <c r="K2461" s="850"/>
      <c r="L2461" s="850"/>
    </row>
    <row r="2462" spans="1:12" ht="15">
      <c r="B2462" s="1551" t="str">
        <f>'8.Dgia'!B1719</f>
        <v/>
      </c>
      <c r="C2462" s="1552">
        <f>'8.Dgia'!C1719</f>
        <v>0</v>
      </c>
      <c r="D2462" s="1552" t="str">
        <f>'8.Dgia'!D1719</f>
        <v>KH</v>
      </c>
      <c r="E2462" s="1775" t="str">
        <f>'8.Dgia'!E1719</f>
        <v>Cọc thép hình H250x250</v>
      </c>
      <c r="F2462" s="1786" t="str">
        <f>'8.Dgia'!G1719</f>
        <v xml:space="preserve"> m </v>
      </c>
      <c r="G2462" s="1772">
        <f>'8.Dgia'!H1719/100</f>
        <v>0.1052</v>
      </c>
      <c r="H2462" s="1824">
        <f>GVL!$I$44</f>
        <v>1239381.0289926224</v>
      </c>
      <c r="I2462" s="1824">
        <f>H2462*G2462</f>
        <v>130382.88425002388</v>
      </c>
    </row>
    <row r="2463" spans="1:12" ht="15">
      <c r="B2463" s="1551" t="str">
        <f>'8.Dgia'!B1720</f>
        <v/>
      </c>
      <c r="C2463" s="1552">
        <f>'8.Dgia'!C1720</f>
        <v>0</v>
      </c>
      <c r="D2463" s="1552">
        <f>'8.Dgia'!D1720</f>
        <v>0</v>
      </c>
      <c r="E2463" s="1775" t="str">
        <f>'8.Dgia'!E1720</f>
        <v>Vật liệu khác</v>
      </c>
      <c r="F2463" s="1786" t="str">
        <f>'8.Dgia'!G1720</f>
        <v>%</v>
      </c>
      <c r="G2463" s="1965">
        <f>'8.Dgia'!H1720</f>
        <v>1</v>
      </c>
      <c r="H2463" s="1824">
        <f>I2462</f>
        <v>130382.88425002388</v>
      </c>
      <c r="I2463" s="1824">
        <f>H2463*G2463%</f>
        <v>1303.8288425002388</v>
      </c>
    </row>
    <row r="2464" spans="1:12" s="658" customFormat="1" ht="15">
      <c r="B2464" s="1677"/>
      <c r="C2464" s="1678"/>
      <c r="D2464" s="1678"/>
      <c r="E2464" s="1828" t="s">
        <v>5675</v>
      </c>
      <c r="F2464" s="1786">
        <f>$J$5</f>
        <v>0.02</v>
      </c>
      <c r="G2464" s="1780"/>
      <c r="H2464" s="1829"/>
      <c r="I2464" s="1830">
        <f>( I2461 )*F2464</f>
        <v>2633.7342618504827</v>
      </c>
      <c r="J2464" s="850"/>
      <c r="K2464" s="850"/>
      <c r="L2464" s="850"/>
    </row>
    <row r="2465" spans="1:12" ht="15">
      <c r="B2465" s="1556"/>
      <c r="C2465" s="1557"/>
      <c r="D2465" s="1557"/>
      <c r="E2465" s="1831" t="s">
        <v>5676</v>
      </c>
      <c r="F2465" s="1786"/>
      <c r="G2465" s="1783"/>
      <c r="H2465" s="1832"/>
      <c r="I2465" s="1833">
        <f>I2464+I2464/F2464</f>
        <v>134320.4473543746</v>
      </c>
    </row>
    <row r="2466" spans="1:12" ht="15">
      <c r="B2466" s="1551"/>
      <c r="C2466" s="1552"/>
      <c r="D2466" s="1552"/>
      <c r="E2466" s="1834" t="s">
        <v>5677</v>
      </c>
      <c r="F2466" s="1786">
        <f>$K$5</f>
        <v>5.5E-2</v>
      </c>
      <c r="G2466" s="1772"/>
      <c r="H2466" s="1824"/>
      <c r="I2466" s="1835">
        <f>I2465*F2466</f>
        <v>7387.6246044906029</v>
      </c>
    </row>
    <row r="2467" spans="1:12" ht="15">
      <c r="B2467" s="1551"/>
      <c r="C2467" s="1552"/>
      <c r="D2467" s="1552"/>
      <c r="E2467" s="1834" t="s">
        <v>5678</v>
      </c>
      <c r="F2467" s="1786">
        <f>$L$5</f>
        <v>0.06</v>
      </c>
      <c r="G2467" s="1772"/>
      <c r="H2467" s="1824"/>
      <c r="I2467" s="1835">
        <f>SUM(I2465:I2466)*F2467</f>
        <v>8502.4843175319129</v>
      </c>
    </row>
    <row r="2468" spans="1:12" ht="14.25">
      <c r="B2468" s="1556"/>
      <c r="C2468" s="1557"/>
      <c r="D2468" s="1557"/>
      <c r="E2468" s="1831" t="s">
        <v>5679</v>
      </c>
      <c r="F2468" s="1787"/>
      <c r="G2468" s="1783"/>
      <c r="H2468" s="1832"/>
      <c r="I2468" s="1833">
        <f>SUM(I2465:I2467)</f>
        <v>150210.55627639714</v>
      </c>
    </row>
    <row r="2469" spans="1:12" ht="15">
      <c r="B2469" s="1551"/>
      <c r="C2469" s="1552"/>
      <c r="D2469" s="1552"/>
      <c r="E2469" s="1834" t="s">
        <v>5680</v>
      </c>
      <c r="F2469" s="1788">
        <f>$M$5</f>
        <v>0.1</v>
      </c>
      <c r="G2469" s="1772"/>
      <c r="H2469" s="1824"/>
      <c r="I2469" s="1835">
        <f>I2468*F2469</f>
        <v>15021.055627639715</v>
      </c>
    </row>
    <row r="2470" spans="1:12" ht="14.25">
      <c r="B2470" s="1556"/>
      <c r="C2470" s="1557"/>
      <c r="D2470" s="1557"/>
      <c r="E2470" s="1831" t="s">
        <v>5681</v>
      </c>
      <c r="F2470" s="1787"/>
      <c r="G2470" s="1783"/>
      <c r="H2470" s="1832"/>
      <c r="I2470" s="1833">
        <f>SUM(I2468:I2469)</f>
        <v>165231.61190403686</v>
      </c>
    </row>
    <row r="2471" spans="1:12" ht="12.75">
      <c r="B2471" s="1551"/>
      <c r="C2471" s="1552"/>
      <c r="D2471" s="1552"/>
      <c r="E2471" s="1558" t="s">
        <v>5682</v>
      </c>
      <c r="F2471" s="1560">
        <f>$N$5</f>
        <v>0.01</v>
      </c>
      <c r="G2471" s="1553"/>
      <c r="H2471" s="1554"/>
      <c r="I2471" s="1559">
        <f>I2470*F2471</f>
        <v>1652.3161190403687</v>
      </c>
    </row>
    <row r="2472" spans="1:12" ht="14.25">
      <c r="B2472" s="2123"/>
      <c r="C2472" s="1561"/>
      <c r="D2472" s="2124"/>
      <c r="E2472" s="2112" t="s">
        <v>5683</v>
      </c>
      <c r="F2472" s="2113"/>
      <c r="G2472" s="2125"/>
      <c r="H2472" s="2126"/>
      <c r="I2472" s="2110">
        <f>ROUND(I2470+I2471,-2)</f>
        <v>166900</v>
      </c>
    </row>
    <row r="2473" spans="1:12" ht="42.75">
      <c r="A2473" s="657">
        <v>1</v>
      </c>
      <c r="B2473" s="1546">
        <f>IF(A2473&lt;&gt;0,COUNTA(A$7:$A2473),"")</f>
        <v>137</v>
      </c>
      <c r="C2473" s="1550">
        <f>'8.Dgia'!C1721</f>
        <v>1776</v>
      </c>
      <c r="D2473" s="1550" t="str">
        <f>'8.Dgia'!D1721</f>
        <v>AC.22521</v>
      </c>
      <c r="E2473" s="1766" t="s">
        <v>5601</v>
      </c>
      <c r="F2473" s="1794" t="s">
        <v>543</v>
      </c>
      <c r="G2473" s="1768">
        <f>'8.Dgia'!H1721</f>
        <v>0</v>
      </c>
      <c r="H2473" s="1823"/>
      <c r="I2473" s="1823"/>
      <c r="J2473" s="842">
        <f>+I2474</f>
        <v>58457.884994495027</v>
      </c>
    </row>
    <row r="2474" spans="1:12" s="658" customFormat="1" ht="15">
      <c r="B2474" s="1551" t="str">
        <f>'8.Dgia'!B1722</f>
        <v/>
      </c>
      <c r="C2474" s="1552">
        <f>'8.Dgia'!C1722</f>
        <v>0</v>
      </c>
      <c r="D2474" s="1552">
        <f>'8.Dgia'!D1722</f>
        <v>0</v>
      </c>
      <c r="E2474" s="1770" t="str">
        <f>'8.Dgia'!E1722</f>
        <v xml:space="preserve">  A - Vật liệu</v>
      </c>
      <c r="F2474" s="1786">
        <f>'8.Dgia'!G1722</f>
        <v>0</v>
      </c>
      <c r="G2474" s="1772">
        <f>'8.Dgia'!H1722</f>
        <v>0</v>
      </c>
      <c r="H2474" s="1824"/>
      <c r="I2474" s="1825">
        <f>SUM(I2475:I2476)</f>
        <v>58457.884994495027</v>
      </c>
      <c r="J2474" s="850"/>
      <c r="K2474" s="850"/>
      <c r="L2474" s="850"/>
    </row>
    <row r="2475" spans="1:12" ht="15">
      <c r="B2475" s="1551" t="str">
        <f>'8.Dgia'!B1723</f>
        <v/>
      </c>
      <c r="C2475" s="1552">
        <f>'8.Dgia'!C1723</f>
        <v>0</v>
      </c>
      <c r="D2475" s="1552" t="str">
        <f>'8.Dgia'!D1723</f>
        <v>KH</v>
      </c>
      <c r="E2475" s="1775" t="str">
        <f>'8.Dgia'!E1723</f>
        <v>Cọc thép hình H250x250</v>
      </c>
      <c r="F2475" s="1786" t="str">
        <f>'8.Dgia'!G1723</f>
        <v xml:space="preserve"> m </v>
      </c>
      <c r="G2475" s="1772">
        <f>'8.Dgia'!H1723/100</f>
        <v>4.6700000000000005E-2</v>
      </c>
      <c r="H2475" s="1824">
        <f>GVL!$I$44</f>
        <v>1239381.0289926224</v>
      </c>
      <c r="I2475" s="1824">
        <f>H2475*G2475</f>
        <v>57879.094053955472</v>
      </c>
    </row>
    <row r="2476" spans="1:12" ht="15">
      <c r="B2476" s="1551" t="str">
        <f>'8.Dgia'!B1724</f>
        <v/>
      </c>
      <c r="C2476" s="1552">
        <f>'8.Dgia'!C1724</f>
        <v>0</v>
      </c>
      <c r="D2476" s="1552">
        <f>'8.Dgia'!D1724</f>
        <v>0</v>
      </c>
      <c r="E2476" s="1775" t="str">
        <f>'8.Dgia'!E1724</f>
        <v>Vật liệu khác</v>
      </c>
      <c r="F2476" s="1786" t="str">
        <f>'8.Dgia'!G1724</f>
        <v>%</v>
      </c>
      <c r="G2476" s="1772">
        <f>'8.Dgia'!H1724</f>
        <v>1</v>
      </c>
      <c r="H2476" s="1824">
        <f>I2475</f>
        <v>57879.094053955472</v>
      </c>
      <c r="I2476" s="1824">
        <f>H2476*G2476%</f>
        <v>578.79094053955475</v>
      </c>
    </row>
    <row r="2477" spans="1:12" s="658" customFormat="1" ht="15">
      <c r="B2477" s="1677"/>
      <c r="C2477" s="1678"/>
      <c r="D2477" s="1678"/>
      <c r="E2477" s="1828" t="s">
        <v>5675</v>
      </c>
      <c r="F2477" s="1786">
        <f>$J$5</f>
        <v>0.02</v>
      </c>
      <c r="G2477" s="1780"/>
      <c r="H2477" s="1829"/>
      <c r="I2477" s="1830">
        <f>( I2474 )*F2477</f>
        <v>1169.1576998899006</v>
      </c>
      <c r="J2477" s="850"/>
      <c r="K2477" s="850"/>
      <c r="L2477" s="850"/>
    </row>
    <row r="2478" spans="1:12" ht="15">
      <c r="B2478" s="1556"/>
      <c r="C2478" s="1557"/>
      <c r="D2478" s="1557"/>
      <c r="E2478" s="1831" t="s">
        <v>5676</v>
      </c>
      <c r="F2478" s="1786"/>
      <c r="G2478" s="1783"/>
      <c r="H2478" s="1832"/>
      <c r="I2478" s="1833">
        <f>I2477+I2477/F2477</f>
        <v>59627.042694384938</v>
      </c>
    </row>
    <row r="2479" spans="1:12" ht="15">
      <c r="B2479" s="1551"/>
      <c r="C2479" s="1552"/>
      <c r="D2479" s="1552"/>
      <c r="E2479" s="1834" t="s">
        <v>5677</v>
      </c>
      <c r="F2479" s="1786">
        <f>$K$5</f>
        <v>5.5E-2</v>
      </c>
      <c r="G2479" s="1772"/>
      <c r="H2479" s="1824"/>
      <c r="I2479" s="1835">
        <f>I2478*F2479</f>
        <v>3279.4873481911718</v>
      </c>
    </row>
    <row r="2480" spans="1:12" ht="15">
      <c r="B2480" s="1551"/>
      <c r="C2480" s="1552"/>
      <c r="D2480" s="1552"/>
      <c r="E2480" s="1834" t="s">
        <v>5678</v>
      </c>
      <c r="F2480" s="1786">
        <f>$L$5</f>
        <v>0.06</v>
      </c>
      <c r="G2480" s="1772"/>
      <c r="H2480" s="1824"/>
      <c r="I2480" s="1835">
        <f>SUM(I2478:I2479)*F2480</f>
        <v>3774.3918025545663</v>
      </c>
    </row>
    <row r="2481" spans="1:12" ht="14.25">
      <c r="B2481" s="1556"/>
      <c r="C2481" s="1557"/>
      <c r="D2481" s="1557"/>
      <c r="E2481" s="1831" t="s">
        <v>5679</v>
      </c>
      <c r="F2481" s="1787"/>
      <c r="G2481" s="1783"/>
      <c r="H2481" s="1832"/>
      <c r="I2481" s="1833">
        <f>SUM(I2478:I2480)</f>
        <v>66680.921845130681</v>
      </c>
    </row>
    <row r="2482" spans="1:12" ht="15">
      <c r="B2482" s="1551"/>
      <c r="C2482" s="1552"/>
      <c r="D2482" s="1552"/>
      <c r="E2482" s="1834" t="s">
        <v>5680</v>
      </c>
      <c r="F2482" s="1788">
        <f>$M$5</f>
        <v>0.1</v>
      </c>
      <c r="G2482" s="1772"/>
      <c r="H2482" s="1824"/>
      <c r="I2482" s="1835">
        <f>I2481*F2482</f>
        <v>6668.0921845130688</v>
      </c>
    </row>
    <row r="2483" spans="1:12" ht="14.25">
      <c r="B2483" s="1556"/>
      <c r="C2483" s="1557"/>
      <c r="D2483" s="1557"/>
      <c r="E2483" s="1831" t="s">
        <v>5681</v>
      </c>
      <c r="F2483" s="1787"/>
      <c r="G2483" s="1783"/>
      <c r="H2483" s="1832"/>
      <c r="I2483" s="1833">
        <f>SUM(I2481:I2482)</f>
        <v>73349.014029643746</v>
      </c>
    </row>
    <row r="2484" spans="1:12" ht="12.75">
      <c r="B2484" s="1551"/>
      <c r="C2484" s="1552"/>
      <c r="D2484" s="1552"/>
      <c r="E2484" s="1558" t="s">
        <v>5682</v>
      </c>
      <c r="F2484" s="1560">
        <f>$N$5</f>
        <v>0.01</v>
      </c>
      <c r="G2484" s="1553"/>
      <c r="H2484" s="1554"/>
      <c r="I2484" s="1559">
        <f>I2483*F2484</f>
        <v>733.49014029643752</v>
      </c>
    </row>
    <row r="2485" spans="1:12" ht="14.25">
      <c r="B2485" s="2123"/>
      <c r="C2485" s="1561"/>
      <c r="D2485" s="2124"/>
      <c r="E2485" s="2112" t="s">
        <v>5683</v>
      </c>
      <c r="F2485" s="2113"/>
      <c r="G2485" s="2125"/>
      <c r="H2485" s="2126"/>
      <c r="I2485" s="2110">
        <f>ROUND(I2483+I2484,-2)</f>
        <v>74100</v>
      </c>
    </row>
    <row r="2486" spans="1:12" ht="15" customHeight="1">
      <c r="A2486" s="657">
        <v>1</v>
      </c>
      <c r="B2486" s="1546">
        <f>IF(A2486&lt;&gt;0,COUNTA(A$7:$A2486),"")</f>
        <v>138</v>
      </c>
      <c r="C2486" s="1550">
        <f>'8.Dgia'!C1740</f>
        <v>1776</v>
      </c>
      <c r="D2486" s="1550" t="str">
        <f>'8.Dgia'!D1740</f>
        <v>AF.37110</v>
      </c>
      <c r="E2486" s="1766" t="str">
        <f>'8.Dgia'!E1740</f>
        <v>Bê tông C20 bịt đáy đá 4x6 trên cạn</v>
      </c>
      <c r="F2486" s="1794" t="str">
        <f>'8.Dgia'!G1740</f>
        <v>m3</v>
      </c>
      <c r="G2486" s="1768">
        <f>'8.Dgia'!H1740</f>
        <v>0</v>
      </c>
      <c r="H2486" s="1823"/>
      <c r="I2486" s="1823"/>
      <c r="J2486" s="842">
        <f>+I2487</f>
        <v>945324.09024425992</v>
      </c>
      <c r="K2486" s="842">
        <f>+I2491</f>
        <v>412678</v>
      </c>
      <c r="L2486" s="842">
        <f>+I2492</f>
        <v>211725.97582500003</v>
      </c>
    </row>
    <row r="2487" spans="1:12" s="658" customFormat="1" ht="15">
      <c r="B2487" s="1551" t="str">
        <f>'8.Dgia'!B1741</f>
        <v/>
      </c>
      <c r="C2487" s="1552">
        <f>'8.Dgia'!C1741</f>
        <v>0</v>
      </c>
      <c r="D2487" s="1552">
        <f>'8.Dgia'!D1741</f>
        <v>0</v>
      </c>
      <c r="E2487" s="1770" t="str">
        <f>'8.Dgia'!E1741</f>
        <v xml:space="preserve">  A - Vật liệu</v>
      </c>
      <c r="F2487" s="1786">
        <f>'8.Dgia'!G1741</f>
        <v>0</v>
      </c>
      <c r="G2487" s="1772">
        <f>'8.Dgia'!H1741</f>
        <v>0</v>
      </c>
      <c r="H2487" s="1824"/>
      <c r="I2487" s="1825">
        <f>SUM(I2488:I2490)</f>
        <v>945324.09024425992</v>
      </c>
      <c r="J2487" s="850"/>
      <c r="K2487" s="850"/>
      <c r="L2487" s="850"/>
    </row>
    <row r="2488" spans="1:12" ht="18" customHeight="1">
      <c r="B2488" s="1551" t="str">
        <f>'8.Dgia'!B1742</f>
        <v/>
      </c>
      <c r="C2488" s="1552">
        <f>'8.Dgia'!C1742</f>
        <v>0</v>
      </c>
      <c r="D2488" s="1552" t="str">
        <f>'8.Dgia'!D1742</f>
        <v>C3344</v>
      </c>
      <c r="E2488" s="1775" t="str">
        <f>'8.Dgia'!E1742</f>
        <v>Vữa Bê tông C20 đá 4x6 (độ sụt 14-17cm)</v>
      </c>
      <c r="F2488" s="1786" t="str">
        <f>'8.Dgia'!G1742</f>
        <v>m3</v>
      </c>
      <c r="G2488" s="1964">
        <f>'8.Dgia'!H1742</f>
        <v>1.03</v>
      </c>
      <c r="H2488" s="1824">
        <f>GVL!$I$192</f>
        <v>901907.22891883098</v>
      </c>
      <c r="I2488" s="1824">
        <f>H2488*G2488</f>
        <v>928964.44578639593</v>
      </c>
    </row>
    <row r="2489" spans="1:12" ht="15">
      <c r="B2489" s="1551" t="str">
        <f>'8.Dgia'!B1743</f>
        <v/>
      </c>
      <c r="C2489" s="1552">
        <f>'8.Dgia'!C1743</f>
        <v>0</v>
      </c>
      <c r="D2489" s="1552">
        <f>'8.Dgia'!D1743</f>
        <v>0</v>
      </c>
      <c r="E2489" s="1775" t="str">
        <f>'8.Dgia'!E1743</f>
        <v xml:space="preserve">Ống đổ D300 </v>
      </c>
      <c r="F2489" s="1786" t="str">
        <f>'8.Dgia'!G1743</f>
        <v>m</v>
      </c>
      <c r="G2489" s="1964">
        <f>'8.Dgia'!H1743</f>
        <v>0.05</v>
      </c>
      <c r="H2489" s="1824">
        <f>GVL!$I$131</f>
        <v>140000</v>
      </c>
      <c r="I2489" s="1824">
        <f>H2489*G2489</f>
        <v>7000</v>
      </c>
    </row>
    <row r="2490" spans="1:12" ht="15">
      <c r="B2490" s="1551" t="str">
        <f>'8.Dgia'!B1744</f>
        <v/>
      </c>
      <c r="C2490" s="1552">
        <f>'8.Dgia'!C1744</f>
        <v>0</v>
      </c>
      <c r="D2490" s="1552">
        <f>'8.Dgia'!D1744</f>
        <v>0</v>
      </c>
      <c r="E2490" s="1775" t="str">
        <f>'8.Dgia'!E1744</f>
        <v>Vật liệu khác</v>
      </c>
      <c r="F2490" s="1786" t="str">
        <f>'8.Dgia'!G1744</f>
        <v>%</v>
      </c>
      <c r="G2490" s="1964">
        <f>'8.Dgia'!H1744</f>
        <v>1</v>
      </c>
      <c r="H2490" s="1824">
        <f>SUM(I2488:I2489)</f>
        <v>935964.44578639593</v>
      </c>
      <c r="I2490" s="1824">
        <f>H2490*G2490%</f>
        <v>9359.6444578639603</v>
      </c>
    </row>
    <row r="2491" spans="1:12" s="658" customFormat="1" ht="15">
      <c r="B2491" s="1551" t="str">
        <f>'8.Dgia'!B1745</f>
        <v/>
      </c>
      <c r="C2491" s="1552">
        <f>'8.Dgia'!C1745</f>
        <v>0</v>
      </c>
      <c r="D2491" s="1552">
        <f>'8.Dgia'!D1745</f>
        <v>0</v>
      </c>
      <c r="E2491" s="1770" t="str">
        <f>'8.Dgia'!E1745</f>
        <v xml:space="preserve">  B - Nhân công 3.5/7</v>
      </c>
      <c r="F2491" s="1745" t="s">
        <v>552</v>
      </c>
      <c r="G2491" s="1964">
        <f>'8.Dgia'!H1745</f>
        <v>1.75</v>
      </c>
      <c r="H2491" s="1824">
        <f>'16.NC'!$H$16</f>
        <v>235816</v>
      </c>
      <c r="I2491" s="1826">
        <f>H2491*G2491</f>
        <v>412678</v>
      </c>
      <c r="J2491" s="850"/>
      <c r="K2491" s="850"/>
      <c r="L2491" s="850"/>
    </row>
    <row r="2492" spans="1:12" s="658" customFormat="1" ht="15">
      <c r="B2492" s="1551" t="str">
        <f>'8.Dgia'!B1746</f>
        <v/>
      </c>
      <c r="C2492" s="1552">
        <f>'8.Dgia'!C1746</f>
        <v>0</v>
      </c>
      <c r="D2492" s="1552">
        <f>'8.Dgia'!D1746</f>
        <v>0</v>
      </c>
      <c r="E2492" s="1770" t="str">
        <f>'8.Dgia'!E1746</f>
        <v xml:space="preserve">  C - Máy thi công</v>
      </c>
      <c r="F2492" s="1786">
        <f>'8.Dgia'!G1746</f>
        <v>0</v>
      </c>
      <c r="G2492" s="1964">
        <f>'8.Dgia'!H1746</f>
        <v>0</v>
      </c>
      <c r="H2492" s="1824"/>
      <c r="I2492" s="1827">
        <f>SUM(I2493:I2495)</f>
        <v>211725.97582500003</v>
      </c>
      <c r="J2492" s="850"/>
      <c r="K2492" s="850"/>
      <c r="L2492" s="850"/>
    </row>
    <row r="2493" spans="1:12" ht="15">
      <c r="B2493" s="1551" t="str">
        <f>'8.Dgia'!B1747</f>
        <v/>
      </c>
      <c r="C2493" s="1552">
        <f>'8.Dgia'!C1747</f>
        <v>0</v>
      </c>
      <c r="D2493" s="1552">
        <f>'8.Dgia'!D1747</f>
        <v>0</v>
      </c>
      <c r="E2493" s="1775" t="str">
        <f>'8.Dgia'!E1747</f>
        <v>Máy bơm BT 50m3/h</v>
      </c>
      <c r="F2493" s="1745" t="s">
        <v>5493</v>
      </c>
      <c r="G2493" s="1964">
        <f>'8.Dgia'!H1747</f>
        <v>0.05</v>
      </c>
      <c r="H2493" s="1824">
        <f>'9.may'!$P$362</f>
        <v>3446390.13</v>
      </c>
      <c r="I2493" s="1824">
        <f>H2493*G2493</f>
        <v>172319.50650000002</v>
      </c>
    </row>
    <row r="2494" spans="1:12" ht="15">
      <c r="B2494" s="1551" t="str">
        <f>'8.Dgia'!B1748</f>
        <v/>
      </c>
      <c r="C2494" s="1552">
        <f>'8.Dgia'!C1748</f>
        <v>0</v>
      </c>
      <c r="D2494" s="1552">
        <f>'8.Dgia'!D1748</f>
        <v>0</v>
      </c>
      <c r="E2494" s="1775" t="str">
        <f>'8.Dgia'!E1748</f>
        <v>Sà lan 200T</v>
      </c>
      <c r="F2494" s="1745" t="s">
        <v>5493</v>
      </c>
      <c r="G2494" s="1964">
        <f>'8.Dgia'!H1748</f>
        <v>0.05</v>
      </c>
      <c r="H2494" s="1824">
        <f>'9.may'!$P$652</f>
        <v>586485.6</v>
      </c>
      <c r="I2494" s="1824">
        <f>H2494*G2494</f>
        <v>29324.28</v>
      </c>
    </row>
    <row r="2495" spans="1:12" ht="15">
      <c r="B2495" s="1551" t="str">
        <f>'8.Dgia'!B1749</f>
        <v/>
      </c>
      <c r="C2495" s="1552">
        <f>'8.Dgia'!C1749</f>
        <v>0</v>
      </c>
      <c r="D2495" s="1552">
        <f>'8.Dgia'!D1749</f>
        <v>0</v>
      </c>
      <c r="E2495" s="1775" t="str">
        <f>'8.Dgia'!E1749</f>
        <v>Máy khác</v>
      </c>
      <c r="F2495" s="1786" t="str">
        <f>'8.Dgia'!G1749</f>
        <v>%</v>
      </c>
      <c r="G2495" s="1964">
        <f>'8.Dgia'!H1749</f>
        <v>5</v>
      </c>
      <c r="H2495" s="1824">
        <f>SUM(I2493:I2494)</f>
        <v>201643.78650000002</v>
      </c>
      <c r="I2495" s="1824">
        <f>H2495*G2495%</f>
        <v>10082.189325000001</v>
      </c>
    </row>
    <row r="2496" spans="1:12" s="658" customFormat="1" ht="15">
      <c r="B2496" s="1677"/>
      <c r="C2496" s="1678"/>
      <c r="D2496" s="1678"/>
      <c r="E2496" s="1828" t="s">
        <v>5675</v>
      </c>
      <c r="F2496" s="1786">
        <f>$J$5</f>
        <v>0.02</v>
      </c>
      <c r="G2496" s="1780"/>
      <c r="H2496" s="1829"/>
      <c r="I2496" s="1830">
        <f>( I2487+I2491+I2492 )*F2496</f>
        <v>31394.561321385201</v>
      </c>
      <c r="J2496" s="850"/>
      <c r="K2496" s="850"/>
      <c r="L2496" s="850"/>
    </row>
    <row r="2497" spans="1:12" ht="15">
      <c r="B2497" s="1556"/>
      <c r="C2497" s="1557"/>
      <c r="D2497" s="1557"/>
      <c r="E2497" s="1831" t="s">
        <v>5676</v>
      </c>
      <c r="F2497" s="1786"/>
      <c r="G2497" s="1783"/>
      <c r="H2497" s="1832"/>
      <c r="I2497" s="1833">
        <f>I2496+I2496/F2496</f>
        <v>1601122.6273906452</v>
      </c>
    </row>
    <row r="2498" spans="1:12" ht="15">
      <c r="B2498" s="1551"/>
      <c r="C2498" s="1552"/>
      <c r="D2498" s="1552"/>
      <c r="E2498" s="1834" t="s">
        <v>5677</v>
      </c>
      <c r="F2498" s="1786">
        <f>$K$5</f>
        <v>5.5E-2</v>
      </c>
      <c r="G2498" s="1772"/>
      <c r="H2498" s="1824"/>
      <c r="I2498" s="1835">
        <f>I2497*F2498</f>
        <v>88061.744506485484</v>
      </c>
    </row>
    <row r="2499" spans="1:12" ht="15">
      <c r="B2499" s="1551"/>
      <c r="C2499" s="1552"/>
      <c r="D2499" s="1552"/>
      <c r="E2499" s="1834" t="s">
        <v>5678</v>
      </c>
      <c r="F2499" s="1786">
        <f>$L$5</f>
        <v>0.06</v>
      </c>
      <c r="G2499" s="1772"/>
      <c r="H2499" s="1824"/>
      <c r="I2499" s="1835">
        <f>SUM(I2497:I2498)*F2499</f>
        <v>101351.06231382785</v>
      </c>
    </row>
    <row r="2500" spans="1:12" ht="14.25">
      <c r="B2500" s="1556"/>
      <c r="C2500" s="1557"/>
      <c r="D2500" s="1557"/>
      <c r="E2500" s="1831" t="s">
        <v>5679</v>
      </c>
      <c r="F2500" s="1787"/>
      <c r="G2500" s="1783"/>
      <c r="H2500" s="1832"/>
      <c r="I2500" s="1833">
        <f>SUM(I2497:I2499)</f>
        <v>1790535.4342109587</v>
      </c>
    </row>
    <row r="2501" spans="1:12" ht="15">
      <c r="B2501" s="1551"/>
      <c r="C2501" s="1552"/>
      <c r="D2501" s="1552"/>
      <c r="E2501" s="1834" t="s">
        <v>5680</v>
      </c>
      <c r="F2501" s="1788">
        <f>$M$5</f>
        <v>0.1</v>
      </c>
      <c r="G2501" s="1772"/>
      <c r="H2501" s="1824"/>
      <c r="I2501" s="1835">
        <f>I2500*F2501</f>
        <v>179053.54342109588</v>
      </c>
    </row>
    <row r="2502" spans="1:12" ht="14.25">
      <c r="B2502" s="1556"/>
      <c r="C2502" s="1557"/>
      <c r="D2502" s="1557"/>
      <c r="E2502" s="1831" t="s">
        <v>5681</v>
      </c>
      <c r="F2502" s="1787"/>
      <c r="G2502" s="1783"/>
      <c r="H2502" s="1832"/>
      <c r="I2502" s="1833">
        <f>SUM(I2500:I2501)</f>
        <v>1969588.9776320546</v>
      </c>
    </row>
    <row r="2503" spans="1:12" ht="12.75">
      <c r="B2503" s="1551"/>
      <c r="C2503" s="1552"/>
      <c r="D2503" s="1552"/>
      <c r="E2503" s="1558" t="s">
        <v>5682</v>
      </c>
      <c r="F2503" s="1560">
        <f>$N$5</f>
        <v>0.01</v>
      </c>
      <c r="G2503" s="1553"/>
      <c r="H2503" s="1554"/>
      <c r="I2503" s="1559">
        <f>I2502*F2503</f>
        <v>19695.889776320546</v>
      </c>
    </row>
    <row r="2504" spans="1:12" ht="14.25">
      <c r="B2504" s="2123"/>
      <c r="C2504" s="1561"/>
      <c r="D2504" s="2124"/>
      <c r="E2504" s="2112" t="s">
        <v>5683</v>
      </c>
      <c r="F2504" s="2113"/>
      <c r="G2504" s="2125"/>
      <c r="H2504" s="2126"/>
      <c r="I2504" s="2110">
        <f>ROUND(I2502+I2503,-2)</f>
        <v>1989300</v>
      </c>
    </row>
    <row r="2505" spans="1:12" ht="28.5">
      <c r="A2505" s="657">
        <v>1</v>
      </c>
      <c r="B2505" s="1546">
        <f>IF(A2505&lt;&gt;0,COUNTA(A$7:$A2505),"")</f>
        <v>139</v>
      </c>
      <c r="C2505" s="1550">
        <f>'8.Dgia'!C1750</f>
        <v>1776</v>
      </c>
      <c r="D2505" s="1550" t="str">
        <f>'8.Dgia'!D1750</f>
        <v>AI.11912</v>
      </c>
      <c r="E2505" s="1766" t="s">
        <v>5966</v>
      </c>
      <c r="F2505" s="1789" t="s">
        <v>557</v>
      </c>
      <c r="G2505" s="1768">
        <f>'8.Dgia'!H1750</f>
        <v>0.12000000000000001</v>
      </c>
      <c r="H2505" s="1823"/>
      <c r="I2505" s="1836"/>
      <c r="J2505" s="842">
        <f>+I2506</f>
        <v>2765922.5300122732</v>
      </c>
      <c r="K2505" s="842">
        <f>+I2513</f>
        <v>5806790.6399999997</v>
      </c>
      <c r="L2505" s="842">
        <f>+I2514</f>
        <v>1271422.0785818181</v>
      </c>
    </row>
    <row r="2506" spans="1:12" ht="15">
      <c r="B2506" s="1551" t="str">
        <f>'8.Dgia'!B1751</f>
        <v/>
      </c>
      <c r="C2506" s="1552">
        <f>'8.Dgia'!C1751</f>
        <v>0</v>
      </c>
      <c r="D2506" s="1552">
        <f>'8.Dgia'!D1751</f>
        <v>0</v>
      </c>
      <c r="E2506" s="1770" t="str">
        <f>'8.Dgia'!E1751</f>
        <v xml:space="preserve">  A - Vật liệu</v>
      </c>
      <c r="F2506" s="1786">
        <f>'8.Dgia'!G1751</f>
        <v>0</v>
      </c>
      <c r="G2506" s="1772">
        <f>'8.Dgia'!H1751</f>
        <v>0</v>
      </c>
      <c r="H2506" s="1824"/>
      <c r="I2506" s="1825">
        <f>SUM(I2507:I2512)</f>
        <v>2765922.5300122732</v>
      </c>
    </row>
    <row r="2507" spans="1:12" ht="15">
      <c r="B2507" s="1551" t="str">
        <f>'8.Dgia'!B1752</f>
        <v/>
      </c>
      <c r="C2507" s="1552">
        <f>'8.Dgia'!C1752</f>
        <v>0</v>
      </c>
      <c r="D2507" s="1552" t="str">
        <f>'8.Dgia'!D1752</f>
        <v>KH</v>
      </c>
      <c r="E2507" s="1775" t="str">
        <f>'8.Dgia'!E1752</f>
        <v>Thép hình</v>
      </c>
      <c r="F2507" s="1786" t="str">
        <f>'8.Dgia'!G1752</f>
        <v xml:space="preserve"> kg </v>
      </c>
      <c r="G2507" s="1772">
        <f>'8.Dgia'!H1752</f>
        <v>83.742000000000004</v>
      </c>
      <c r="H2507" s="1824">
        <f>GVL!$I$170</f>
        <v>16703.248369172808</v>
      </c>
      <c r="I2507" s="1824">
        <f t="shared" ref="I2507:I2513" si="20">H2507*G2507</f>
        <v>1398763.4249312694</v>
      </c>
    </row>
    <row r="2508" spans="1:12" ht="15">
      <c r="B2508" s="1551" t="str">
        <f>'8.Dgia'!B1753</f>
        <v/>
      </c>
      <c r="C2508" s="1552">
        <f>'8.Dgia'!C1753</f>
        <v>0</v>
      </c>
      <c r="D2508" s="1552" t="str">
        <f>'8.Dgia'!D1753</f>
        <v>KH</v>
      </c>
      <c r="E2508" s="1775" t="str">
        <f>'8.Dgia'!E1753</f>
        <v>Thép tấm</v>
      </c>
      <c r="F2508" s="1786" t="str">
        <f>'8.Dgia'!G1753</f>
        <v>kg</v>
      </c>
      <c r="G2508" s="1772">
        <f>'8.Dgia'!H1753</f>
        <v>43.457999999999998</v>
      </c>
      <c r="H2508" s="1824">
        <f>GVL!$I$175</f>
        <v>12871.348287272725</v>
      </c>
      <c r="I2508" s="1824">
        <f t="shared" si="20"/>
        <v>559363.05386829807</v>
      </c>
    </row>
    <row r="2509" spans="1:12" ht="15">
      <c r="B2509" s="1551" t="str">
        <f>'8.Dgia'!B1754</f>
        <v/>
      </c>
      <c r="C2509" s="1552">
        <f>'8.Dgia'!C1754</f>
        <v>0</v>
      </c>
      <c r="D2509" s="1552">
        <f>'8.Dgia'!D1754</f>
        <v>0</v>
      </c>
      <c r="E2509" s="1775" t="str">
        <f>'8.Dgia'!E1754</f>
        <v>Que hàn</v>
      </c>
      <c r="F2509" s="1786" t="str">
        <f>'8.Dgia'!G1754</f>
        <v>kg</v>
      </c>
      <c r="G2509" s="1772">
        <f>'8.Dgia'!H1754</f>
        <v>24.15</v>
      </c>
      <c r="H2509" s="1824">
        <f>GVL!$I$153</f>
        <v>19090.909090909088</v>
      </c>
      <c r="I2509" s="1824">
        <f t="shared" si="20"/>
        <v>461045.45454545447</v>
      </c>
    </row>
    <row r="2510" spans="1:12" ht="15">
      <c r="B2510" s="1551" t="str">
        <f>'8.Dgia'!B1755</f>
        <v/>
      </c>
      <c r="C2510" s="1552">
        <f>'8.Dgia'!C1755</f>
        <v>0</v>
      </c>
      <c r="D2510" s="1552">
        <f>'8.Dgia'!D1755</f>
        <v>0</v>
      </c>
      <c r="E2510" s="1775" t="str">
        <f>'8.Dgia'!E1755</f>
        <v>Ô xy</v>
      </c>
      <c r="F2510" s="1786" t="s">
        <v>565</v>
      </c>
      <c r="G2510" s="1772">
        <f>'8.Dgia'!H1755</f>
        <v>2.1</v>
      </c>
      <c r="H2510" s="1824">
        <f>GVL!$I$130</f>
        <v>48000</v>
      </c>
      <c r="I2510" s="1824">
        <f t="shared" si="20"/>
        <v>100800</v>
      </c>
    </row>
    <row r="2511" spans="1:12" ht="15">
      <c r="B2511" s="1551" t="str">
        <f>'8.Dgia'!B1756</f>
        <v/>
      </c>
      <c r="C2511" s="1552">
        <f>'8.Dgia'!C1756</f>
        <v>0</v>
      </c>
      <c r="D2511" s="1552">
        <f>'8.Dgia'!D1756</f>
        <v>0</v>
      </c>
      <c r="E2511" s="1775" t="str">
        <f>'8.Dgia'!E1756</f>
        <v>Đất đèn</v>
      </c>
      <c r="F2511" s="1786" t="str">
        <f>'8.Dgia'!G1756</f>
        <v>kg</v>
      </c>
      <c r="G2511" s="1772">
        <f>'8.Dgia'!H1756</f>
        <v>8.4</v>
      </c>
      <c r="H2511" s="1824">
        <f>GVL!$I$68</f>
        <v>13600</v>
      </c>
      <c r="I2511" s="1824">
        <f t="shared" si="20"/>
        <v>114240</v>
      </c>
    </row>
    <row r="2512" spans="1:12" ht="15">
      <c r="B2512" s="1551" t="str">
        <f>'8.Dgia'!B1757</f>
        <v/>
      </c>
      <c r="C2512" s="1552">
        <f>'8.Dgia'!C1757</f>
        <v>0</v>
      </c>
      <c r="D2512" s="1552">
        <f>'8.Dgia'!D1757</f>
        <v>0</v>
      </c>
      <c r="E2512" s="1775" t="str">
        <f>'8.Dgia'!E1757</f>
        <v>Vật liệu khác</v>
      </c>
      <c r="F2512" s="1786" t="str">
        <f>'8.Dgia'!G1757</f>
        <v>%</v>
      </c>
      <c r="G2512" s="1772">
        <f>'8.Dgia'!H1757</f>
        <v>5</v>
      </c>
      <c r="H2512" s="1824">
        <f>SUM(I2507:I2511)</f>
        <v>2634211.9333450221</v>
      </c>
      <c r="I2512" s="1824">
        <f>H2512*G2512%</f>
        <v>131710.59666725111</v>
      </c>
    </row>
    <row r="2513" spans="1:12" ht="15">
      <c r="B2513" s="1551" t="str">
        <f>'8.Dgia'!B1758</f>
        <v/>
      </c>
      <c r="C2513" s="1552">
        <f>'8.Dgia'!C1758</f>
        <v>0</v>
      </c>
      <c r="D2513" s="1552">
        <f>'8.Dgia'!D1758</f>
        <v>0</v>
      </c>
      <c r="E2513" s="1770" t="str">
        <f>'8.Dgia'!E1758</f>
        <v xml:space="preserve">  B - Nhân công 4.0/7</v>
      </c>
      <c r="F2513" s="1745" t="s">
        <v>552</v>
      </c>
      <c r="G2513" s="1772">
        <f>'8.Dgia'!H1758</f>
        <v>22.61</v>
      </c>
      <c r="H2513" s="1824">
        <f>'16.NC'!$H$18</f>
        <v>256824</v>
      </c>
      <c r="I2513" s="1826">
        <f t="shared" si="20"/>
        <v>5806790.6399999997</v>
      </c>
    </row>
    <row r="2514" spans="1:12" ht="15">
      <c r="B2514" s="1551" t="str">
        <f>'8.Dgia'!B1759</f>
        <v/>
      </c>
      <c r="C2514" s="1552">
        <f>'8.Dgia'!C1759</f>
        <v>0</v>
      </c>
      <c r="D2514" s="1552">
        <f>'8.Dgia'!D1759</f>
        <v>0</v>
      </c>
      <c r="E2514" s="1770" t="str">
        <f>'8.Dgia'!E1759</f>
        <v xml:space="preserve">  C - Máy thi công</v>
      </c>
      <c r="F2514" s="1786">
        <f>'8.Dgia'!G1759</f>
        <v>0</v>
      </c>
      <c r="G2514" s="1772">
        <f>'8.Dgia'!H1759</f>
        <v>0</v>
      </c>
      <c r="H2514" s="1824"/>
      <c r="I2514" s="1827">
        <f>SUM(I2515:I2517)</f>
        <v>1271422.0785818181</v>
      </c>
    </row>
    <row r="2515" spans="1:12" ht="15">
      <c r="B2515" s="1551" t="str">
        <f>'8.Dgia'!B1760</f>
        <v/>
      </c>
      <c r="C2515" s="1552">
        <f>'8.Dgia'!C1760</f>
        <v>0</v>
      </c>
      <c r="D2515" s="1552">
        <f>'8.Dgia'!D1760</f>
        <v>0</v>
      </c>
      <c r="E2515" s="1775" t="str">
        <f>'8.Dgia'!E1760</f>
        <v>Máy hàn 23kw</v>
      </c>
      <c r="F2515" s="1745" t="s">
        <v>5493</v>
      </c>
      <c r="G2515" s="1772">
        <f>'8.Dgia'!H1760</f>
        <v>4.5999999999999996</v>
      </c>
      <c r="H2515" s="1824">
        <f>'9.may'!$P$510</f>
        <v>171649.155</v>
      </c>
      <c r="I2515" s="1824">
        <f>H2515*G2515</f>
        <v>789586.1129999999</v>
      </c>
    </row>
    <row r="2516" spans="1:12" ht="15">
      <c r="B2516" s="1551" t="str">
        <f>'8.Dgia'!B1761</f>
        <v/>
      </c>
      <c r="C2516" s="1552">
        <f>'8.Dgia'!C1761</f>
        <v>0</v>
      </c>
      <c r="D2516" s="1552">
        <f>'8.Dgia'!D1761</f>
        <v>0</v>
      </c>
      <c r="E2516" s="1775" t="str">
        <f>'8.Dgia'!E1761</f>
        <v>Máy cắt tôn</v>
      </c>
      <c r="F2516" s="1745" t="s">
        <v>5493</v>
      </c>
      <c r="G2516" s="1772">
        <f>'8.Dgia'!H1761</f>
        <v>0.4</v>
      </c>
      <c r="H2516" s="1824">
        <f>'9.may'!$P$553</f>
        <v>204698.78999999998</v>
      </c>
      <c r="I2516" s="1824">
        <f>H2516*G2516</f>
        <v>81879.516000000003</v>
      </c>
    </row>
    <row r="2517" spans="1:12" ht="15">
      <c r="B2517" s="1551" t="str">
        <f>'8.Dgia'!B1762</f>
        <v/>
      </c>
      <c r="C2517" s="1552">
        <f>'8.Dgia'!C1762</f>
        <v>0</v>
      </c>
      <c r="D2517" s="1552">
        <f>'8.Dgia'!D1762</f>
        <v>0</v>
      </c>
      <c r="E2517" s="1775" t="str">
        <f>'8.Dgia'!E1762</f>
        <v>Cần cẩu bánh xích 10T</v>
      </c>
      <c r="F2517" s="1745" t="s">
        <v>5493</v>
      </c>
      <c r="G2517" s="1772">
        <f>'8.Dgia'!H1762</f>
        <v>0.27</v>
      </c>
      <c r="H2517" s="1824">
        <f>'9.may'!$P$246</f>
        <v>1481320.1836363636</v>
      </c>
      <c r="I2517" s="1824">
        <f>H2517*G2517</f>
        <v>399956.44958181819</v>
      </c>
    </row>
    <row r="2518" spans="1:12" s="658" customFormat="1" ht="15">
      <c r="B2518" s="1677"/>
      <c r="C2518" s="1678"/>
      <c r="D2518" s="1678"/>
      <c r="E2518" s="1828" t="s">
        <v>5675</v>
      </c>
      <c r="F2518" s="1786">
        <f>$J$5</f>
        <v>0.02</v>
      </c>
      <c r="G2518" s="1780"/>
      <c r="H2518" s="1829"/>
      <c r="I2518" s="1830">
        <f>( I2506+I2513+I2514 )*F2518</f>
        <v>196882.70497188182</v>
      </c>
      <c r="J2518" s="850"/>
      <c r="K2518" s="850"/>
      <c r="L2518" s="850"/>
    </row>
    <row r="2519" spans="1:12" ht="15">
      <c r="B2519" s="1556"/>
      <c r="C2519" s="1557"/>
      <c r="D2519" s="1557"/>
      <c r="E2519" s="1831" t="s">
        <v>5676</v>
      </c>
      <c r="F2519" s="1786"/>
      <c r="G2519" s="1783"/>
      <c r="H2519" s="1832"/>
      <c r="I2519" s="1833">
        <f>I2518+I2518/F2518</f>
        <v>10041017.953565972</v>
      </c>
    </row>
    <row r="2520" spans="1:12" ht="15">
      <c r="B2520" s="1551"/>
      <c r="C2520" s="1552"/>
      <c r="D2520" s="1552"/>
      <c r="E2520" s="1834" t="s">
        <v>5677</v>
      </c>
      <c r="F2520" s="1786">
        <f>$K$5</f>
        <v>5.5E-2</v>
      </c>
      <c r="G2520" s="1772"/>
      <c r="H2520" s="1824"/>
      <c r="I2520" s="1835">
        <f>I2519*F2520</f>
        <v>552255.98744612851</v>
      </c>
    </row>
    <row r="2521" spans="1:12" ht="15">
      <c r="B2521" s="1551"/>
      <c r="C2521" s="1552"/>
      <c r="D2521" s="1552"/>
      <c r="E2521" s="1834" t="s">
        <v>5678</v>
      </c>
      <c r="F2521" s="1786">
        <f>$L$5</f>
        <v>0.06</v>
      </c>
      <c r="G2521" s="1772"/>
      <c r="H2521" s="1824"/>
      <c r="I2521" s="1835">
        <f>SUM(I2519:I2520)*F2521</f>
        <v>635596.43646072608</v>
      </c>
    </row>
    <row r="2522" spans="1:12" ht="14.25">
      <c r="B2522" s="1556"/>
      <c r="C2522" s="1557"/>
      <c r="D2522" s="1557"/>
      <c r="E2522" s="1831" t="s">
        <v>5679</v>
      </c>
      <c r="F2522" s="1787"/>
      <c r="G2522" s="1783"/>
      <c r="H2522" s="1832"/>
      <c r="I2522" s="1833">
        <f>SUM(I2519:I2521)</f>
        <v>11228870.377472827</v>
      </c>
    </row>
    <row r="2523" spans="1:12" ht="15">
      <c r="B2523" s="1551"/>
      <c r="C2523" s="1552"/>
      <c r="D2523" s="1552"/>
      <c r="E2523" s="1834" t="s">
        <v>5680</v>
      </c>
      <c r="F2523" s="1788">
        <f>$M$5</f>
        <v>0.1</v>
      </c>
      <c r="G2523" s="1772"/>
      <c r="H2523" s="1824"/>
      <c r="I2523" s="1835">
        <f>I2522*F2523</f>
        <v>1122887.0377472828</v>
      </c>
    </row>
    <row r="2524" spans="1:12" ht="14.25">
      <c r="B2524" s="1556"/>
      <c r="C2524" s="1557"/>
      <c r="D2524" s="1557"/>
      <c r="E2524" s="1831" t="s">
        <v>5681</v>
      </c>
      <c r="F2524" s="1787"/>
      <c r="G2524" s="1783"/>
      <c r="H2524" s="1832"/>
      <c r="I2524" s="1833">
        <f>SUM(I2522:I2523)</f>
        <v>12351757.41522011</v>
      </c>
    </row>
    <row r="2525" spans="1:12" ht="12.75">
      <c r="B2525" s="1551"/>
      <c r="C2525" s="1552"/>
      <c r="D2525" s="1552"/>
      <c r="E2525" s="1558" t="s">
        <v>5682</v>
      </c>
      <c r="F2525" s="1560">
        <f>$N$5</f>
        <v>0.01</v>
      </c>
      <c r="G2525" s="1553"/>
      <c r="H2525" s="1554"/>
      <c r="I2525" s="1559">
        <f>I2524*F2525</f>
        <v>123517.57415220109</v>
      </c>
    </row>
    <row r="2526" spans="1:12" ht="14.25">
      <c r="B2526" s="2123"/>
      <c r="C2526" s="1561"/>
      <c r="D2526" s="2124"/>
      <c r="E2526" s="2112" t="s">
        <v>5683</v>
      </c>
      <c r="F2526" s="2113"/>
      <c r="G2526" s="2125"/>
      <c r="H2526" s="2126"/>
      <c r="I2526" s="2110">
        <f>ROUND(I2524+I2525,-2)</f>
        <v>12475300</v>
      </c>
    </row>
    <row r="2527" spans="1:12" ht="28.5">
      <c r="A2527" s="657">
        <v>1</v>
      </c>
      <c r="B2527" s="1546">
        <f>IF(A2527&lt;&gt;0,COUNTA(A$7:$A2527),"")</f>
        <v>140</v>
      </c>
      <c r="C2527" s="1550">
        <f>'8.Dgia'!C1763</f>
        <v>1776</v>
      </c>
      <c r="D2527" s="1550" t="str">
        <f>'8.Dgia'!D1763</f>
        <v>AI.11912</v>
      </c>
      <c r="E2527" s="1766" t="s">
        <v>5580</v>
      </c>
      <c r="F2527" s="1789" t="s">
        <v>557</v>
      </c>
      <c r="G2527" s="1768">
        <f>'8.Dgia'!H1763</f>
        <v>0.12340000000000001</v>
      </c>
      <c r="H2527" s="1823"/>
      <c r="I2527" s="1836"/>
      <c r="J2527" s="842">
        <f>+I2528</f>
        <v>2824176.7927565607</v>
      </c>
      <c r="K2527" s="842">
        <f>+I2535</f>
        <v>5806790.6399999997</v>
      </c>
      <c r="L2527" s="842">
        <f>+I2536</f>
        <v>1271422.0785818181</v>
      </c>
    </row>
    <row r="2528" spans="1:12" ht="15">
      <c r="B2528" s="1551" t="str">
        <f>'8.Dgia'!B1764</f>
        <v/>
      </c>
      <c r="C2528" s="1552">
        <f>'8.Dgia'!C1764</f>
        <v>0</v>
      </c>
      <c r="D2528" s="1552">
        <f>'8.Dgia'!D1764</f>
        <v>0</v>
      </c>
      <c r="E2528" s="1770" t="str">
        <f>'8.Dgia'!E1764</f>
        <v xml:space="preserve">  A - Vật liệu</v>
      </c>
      <c r="F2528" s="1786">
        <f>'8.Dgia'!G1764</f>
        <v>0</v>
      </c>
      <c r="G2528" s="1772">
        <f>'8.Dgia'!H1764</f>
        <v>0</v>
      </c>
      <c r="H2528" s="1824"/>
      <c r="I2528" s="1825">
        <f>SUM(I2529:I2534)</f>
        <v>2824176.7927565607</v>
      </c>
    </row>
    <row r="2529" spans="2:12" ht="15">
      <c r="B2529" s="1551" t="str">
        <f>'8.Dgia'!B1765</f>
        <v/>
      </c>
      <c r="C2529" s="1552">
        <f>'8.Dgia'!C1765</f>
        <v>0</v>
      </c>
      <c r="D2529" s="1552" t="str">
        <f>'8.Dgia'!D1765</f>
        <v>KH</v>
      </c>
      <c r="E2529" s="1775" t="str">
        <f>'8.Dgia'!E1765</f>
        <v>Thép hình</v>
      </c>
      <c r="F2529" s="1786" t="str">
        <f>'8.Dgia'!G1765</f>
        <v xml:space="preserve"> kg </v>
      </c>
      <c r="G2529" s="1772">
        <f>'8.Dgia'!H1765</f>
        <v>86.11469000000001</v>
      </c>
      <c r="H2529" s="1824">
        <f>GVL!$I$170</f>
        <v>16703.248369172808</v>
      </c>
      <c r="I2529" s="1824">
        <f t="shared" ref="I2529:I2535" si="21">H2529*G2529</f>
        <v>1438395.0553043222</v>
      </c>
    </row>
    <row r="2530" spans="2:12" ht="15">
      <c r="B2530" s="1551" t="str">
        <f>'8.Dgia'!B1766</f>
        <v/>
      </c>
      <c r="C2530" s="1552">
        <f>'8.Dgia'!C1766</f>
        <v>0</v>
      </c>
      <c r="D2530" s="1552" t="str">
        <f>'8.Dgia'!D1766</f>
        <v>KH</v>
      </c>
      <c r="E2530" s="1775" t="str">
        <f>'8.Dgia'!E1766</f>
        <v>Thép tấm</v>
      </c>
      <c r="F2530" s="1786" t="str">
        <f>'8.Dgia'!G1766</f>
        <v>kg</v>
      </c>
      <c r="G2530" s="1772">
        <f>'8.Dgia'!H1766</f>
        <v>44.689309999999999</v>
      </c>
      <c r="H2530" s="1824">
        <f>GVL!$I$175</f>
        <v>12871.348287272725</v>
      </c>
      <c r="I2530" s="1824">
        <f t="shared" si="21"/>
        <v>575211.67372789991</v>
      </c>
    </row>
    <row r="2531" spans="2:12" ht="15">
      <c r="B2531" s="1551" t="str">
        <f>'8.Dgia'!B1767</f>
        <v/>
      </c>
      <c r="C2531" s="1552">
        <f>'8.Dgia'!C1767</f>
        <v>0</v>
      </c>
      <c r="D2531" s="1552">
        <f>'8.Dgia'!D1767</f>
        <v>0</v>
      </c>
      <c r="E2531" s="1775" t="str">
        <f>'8.Dgia'!E1767</f>
        <v>Que hàn</v>
      </c>
      <c r="F2531" s="1786" t="str">
        <f>'8.Dgia'!G1767</f>
        <v>kg</v>
      </c>
      <c r="G2531" s="1772">
        <f>'8.Dgia'!H1767</f>
        <v>24.15</v>
      </c>
      <c r="H2531" s="1824">
        <f>GVL!$I$153</f>
        <v>19090.909090909088</v>
      </c>
      <c r="I2531" s="1824">
        <f t="shared" si="21"/>
        <v>461045.45454545447</v>
      </c>
    </row>
    <row r="2532" spans="2:12" ht="15">
      <c r="B2532" s="1551" t="str">
        <f>'8.Dgia'!B1768</f>
        <v/>
      </c>
      <c r="C2532" s="1552">
        <f>'8.Dgia'!C1768</f>
        <v>0</v>
      </c>
      <c r="D2532" s="1552">
        <f>'8.Dgia'!D1768</f>
        <v>0</v>
      </c>
      <c r="E2532" s="1775" t="str">
        <f>'8.Dgia'!E1768</f>
        <v>Ô xy</v>
      </c>
      <c r="F2532" s="1786" t="s">
        <v>565</v>
      </c>
      <c r="G2532" s="1965">
        <f>'8.Dgia'!H1768</f>
        <v>2.1</v>
      </c>
      <c r="H2532" s="1824">
        <f>GVL!$I$130</f>
        <v>48000</v>
      </c>
      <c r="I2532" s="1824">
        <f t="shared" si="21"/>
        <v>100800</v>
      </c>
    </row>
    <row r="2533" spans="2:12" ht="15">
      <c r="B2533" s="1551" t="str">
        <f>'8.Dgia'!B1769</f>
        <v/>
      </c>
      <c r="C2533" s="1552">
        <f>'8.Dgia'!C1769</f>
        <v>0</v>
      </c>
      <c r="D2533" s="1552">
        <f>'8.Dgia'!D1769</f>
        <v>0</v>
      </c>
      <c r="E2533" s="1775" t="str">
        <f>'8.Dgia'!E1769</f>
        <v>Đất đèn</v>
      </c>
      <c r="F2533" s="1786" t="str">
        <f>'8.Dgia'!G1769</f>
        <v>kg</v>
      </c>
      <c r="G2533" s="1965">
        <f>'8.Dgia'!H1769</f>
        <v>8.4</v>
      </c>
      <c r="H2533" s="1824">
        <f>GVL!$I$68</f>
        <v>13600</v>
      </c>
      <c r="I2533" s="1824">
        <f t="shared" si="21"/>
        <v>114240</v>
      </c>
    </row>
    <row r="2534" spans="2:12" ht="15">
      <c r="B2534" s="1551" t="str">
        <f>'8.Dgia'!B1770</f>
        <v/>
      </c>
      <c r="C2534" s="1552">
        <f>'8.Dgia'!C1770</f>
        <v>0</v>
      </c>
      <c r="D2534" s="1552">
        <f>'8.Dgia'!D1770</f>
        <v>0</v>
      </c>
      <c r="E2534" s="1775" t="str">
        <f>'8.Dgia'!E1770</f>
        <v>Vật liệu khác</v>
      </c>
      <c r="F2534" s="1786" t="str">
        <f>'8.Dgia'!G1770</f>
        <v>%</v>
      </c>
      <c r="G2534" s="1965">
        <f>'8.Dgia'!H1770</f>
        <v>5</v>
      </c>
      <c r="H2534" s="1824">
        <f>SUM(I2529:I2533)</f>
        <v>2689692.1835776768</v>
      </c>
      <c r="I2534" s="1824">
        <f>H2534*G2534%</f>
        <v>134484.60917888384</v>
      </c>
    </row>
    <row r="2535" spans="2:12" ht="15">
      <c r="B2535" s="1551" t="str">
        <f>'8.Dgia'!B1771</f>
        <v/>
      </c>
      <c r="C2535" s="1552">
        <f>'8.Dgia'!C1771</f>
        <v>0</v>
      </c>
      <c r="D2535" s="1552">
        <f>'8.Dgia'!D1771</f>
        <v>0</v>
      </c>
      <c r="E2535" s="1770" t="str">
        <f>'8.Dgia'!E1771</f>
        <v xml:space="preserve">  B - Nhân công 4.0/7</v>
      </c>
      <c r="F2535" s="1745" t="s">
        <v>552</v>
      </c>
      <c r="G2535" s="1965">
        <f>'8.Dgia'!H1771</f>
        <v>22.61</v>
      </c>
      <c r="H2535" s="1824">
        <f>'16.NC'!$H$18</f>
        <v>256824</v>
      </c>
      <c r="I2535" s="1826">
        <f t="shared" si="21"/>
        <v>5806790.6399999997</v>
      </c>
    </row>
    <row r="2536" spans="2:12" ht="15">
      <c r="B2536" s="1551" t="str">
        <f>'8.Dgia'!B1772</f>
        <v/>
      </c>
      <c r="C2536" s="1552">
        <f>'8.Dgia'!C1772</f>
        <v>0</v>
      </c>
      <c r="D2536" s="1552">
        <f>'8.Dgia'!D1772</f>
        <v>0</v>
      </c>
      <c r="E2536" s="1770" t="str">
        <f>'8.Dgia'!E1772</f>
        <v xml:space="preserve">  C - Máy thi công</v>
      </c>
      <c r="F2536" s="1786">
        <f>'8.Dgia'!G1772</f>
        <v>0</v>
      </c>
      <c r="G2536" s="1965">
        <f>'8.Dgia'!H1772</f>
        <v>0</v>
      </c>
      <c r="H2536" s="1824"/>
      <c r="I2536" s="1827">
        <f>SUM(I2537:I2539)</f>
        <v>1271422.0785818181</v>
      </c>
    </row>
    <row r="2537" spans="2:12" ht="15">
      <c r="B2537" s="1551" t="str">
        <f>'8.Dgia'!B1773</f>
        <v/>
      </c>
      <c r="C2537" s="1552">
        <f>'8.Dgia'!C1773</f>
        <v>0</v>
      </c>
      <c r="D2537" s="1552">
        <f>'8.Dgia'!D1773</f>
        <v>0</v>
      </c>
      <c r="E2537" s="1775" t="str">
        <f>'8.Dgia'!E1773</f>
        <v>Máy hàn 23kw</v>
      </c>
      <c r="F2537" s="1745" t="s">
        <v>5493</v>
      </c>
      <c r="G2537" s="1965">
        <f>'8.Dgia'!H1773</f>
        <v>4.5999999999999996</v>
      </c>
      <c r="H2537" s="1824">
        <f>'9.may'!$P$510</f>
        <v>171649.155</v>
      </c>
      <c r="I2537" s="1824">
        <f>H2537*G2537</f>
        <v>789586.1129999999</v>
      </c>
    </row>
    <row r="2538" spans="2:12" ht="15">
      <c r="B2538" s="1551" t="str">
        <f>'8.Dgia'!B1774</f>
        <v/>
      </c>
      <c r="C2538" s="1552">
        <f>'8.Dgia'!C1774</f>
        <v>0</v>
      </c>
      <c r="D2538" s="1552">
        <f>'8.Dgia'!D1774</f>
        <v>0</v>
      </c>
      <c r="E2538" s="1775" t="str">
        <f>'8.Dgia'!E1774</f>
        <v>Máy cắt tôn</v>
      </c>
      <c r="F2538" s="1745" t="s">
        <v>5493</v>
      </c>
      <c r="G2538" s="1965">
        <f>'8.Dgia'!H1774</f>
        <v>0.4</v>
      </c>
      <c r="H2538" s="1824">
        <f>'9.may'!$P$553</f>
        <v>204698.78999999998</v>
      </c>
      <c r="I2538" s="1824">
        <f>H2538*G2538</f>
        <v>81879.516000000003</v>
      </c>
    </row>
    <row r="2539" spans="2:12" ht="15">
      <c r="B2539" s="1551" t="str">
        <f>'8.Dgia'!B1775</f>
        <v/>
      </c>
      <c r="C2539" s="1552">
        <f>'8.Dgia'!C1775</f>
        <v>0</v>
      </c>
      <c r="D2539" s="1552">
        <f>'8.Dgia'!D1775</f>
        <v>0</v>
      </c>
      <c r="E2539" s="1775" t="str">
        <f>'8.Dgia'!E1775</f>
        <v>Cần cẩu bánh xích 10T</v>
      </c>
      <c r="F2539" s="1745" t="s">
        <v>5493</v>
      </c>
      <c r="G2539" s="1965">
        <f>'8.Dgia'!H1775</f>
        <v>0.27</v>
      </c>
      <c r="H2539" s="1824">
        <f>'9.may'!$P$246</f>
        <v>1481320.1836363636</v>
      </c>
      <c r="I2539" s="1824">
        <f>H2539*G2539</f>
        <v>399956.44958181819</v>
      </c>
    </row>
    <row r="2540" spans="2:12" s="658" customFormat="1" ht="15">
      <c r="B2540" s="1677"/>
      <c r="C2540" s="1678"/>
      <c r="D2540" s="1678"/>
      <c r="E2540" s="1828" t="s">
        <v>5675</v>
      </c>
      <c r="F2540" s="1786">
        <f>$J$5</f>
        <v>0.02</v>
      </c>
      <c r="G2540" s="1780"/>
      <c r="H2540" s="1829"/>
      <c r="I2540" s="1830">
        <f>( I2528+I2535+I2536 )*F2540</f>
        <v>198047.79022676754</v>
      </c>
      <c r="J2540" s="850"/>
      <c r="K2540" s="850"/>
      <c r="L2540" s="850"/>
    </row>
    <row r="2541" spans="2:12" ht="15">
      <c r="B2541" s="1556"/>
      <c r="C2541" s="1557"/>
      <c r="D2541" s="1557"/>
      <c r="E2541" s="1831" t="s">
        <v>5676</v>
      </c>
      <c r="F2541" s="1786"/>
      <c r="G2541" s="1783"/>
      <c r="H2541" s="1832"/>
      <c r="I2541" s="1833">
        <f>I2540+I2540/F2540</f>
        <v>10100437.301565144</v>
      </c>
    </row>
    <row r="2542" spans="2:12" ht="15">
      <c r="B2542" s="1551"/>
      <c r="C2542" s="1552"/>
      <c r="D2542" s="1552"/>
      <c r="E2542" s="1834" t="s">
        <v>5677</v>
      </c>
      <c r="F2542" s="1786">
        <f>$K$5</f>
        <v>5.5E-2</v>
      </c>
      <c r="G2542" s="1772"/>
      <c r="H2542" s="1824"/>
      <c r="I2542" s="1835">
        <f>I2541*F2542</f>
        <v>555524.0515860829</v>
      </c>
    </row>
    <row r="2543" spans="2:12" ht="15">
      <c r="B2543" s="1551"/>
      <c r="C2543" s="1552"/>
      <c r="D2543" s="1552"/>
      <c r="E2543" s="1834" t="s">
        <v>5678</v>
      </c>
      <c r="F2543" s="1786">
        <f>$L$5</f>
        <v>0.06</v>
      </c>
      <c r="G2543" s="1772"/>
      <c r="H2543" s="1824"/>
      <c r="I2543" s="1835">
        <f>SUM(I2541:I2542)*F2543</f>
        <v>639357.6811890736</v>
      </c>
    </row>
    <row r="2544" spans="2:12" ht="14.25">
      <c r="B2544" s="1556"/>
      <c r="C2544" s="1557"/>
      <c r="D2544" s="1557"/>
      <c r="E2544" s="1831" t="s">
        <v>5679</v>
      </c>
      <c r="F2544" s="1787"/>
      <c r="G2544" s="1783"/>
      <c r="H2544" s="1832"/>
      <c r="I2544" s="1833">
        <f>SUM(I2541:I2543)</f>
        <v>11295319.0343403</v>
      </c>
    </row>
    <row r="2545" spans="1:12" ht="15">
      <c r="B2545" s="1551"/>
      <c r="C2545" s="1552"/>
      <c r="D2545" s="1552"/>
      <c r="E2545" s="1834" t="s">
        <v>5680</v>
      </c>
      <c r="F2545" s="1788">
        <f>$M$5</f>
        <v>0.1</v>
      </c>
      <c r="G2545" s="1772"/>
      <c r="H2545" s="1824"/>
      <c r="I2545" s="1835">
        <f>I2544*F2545</f>
        <v>1129531.90343403</v>
      </c>
    </row>
    <row r="2546" spans="1:12" ht="14.25">
      <c r="B2546" s="1556"/>
      <c r="C2546" s="1557"/>
      <c r="D2546" s="1557"/>
      <c r="E2546" s="1831" t="s">
        <v>5681</v>
      </c>
      <c r="F2546" s="1787"/>
      <c r="G2546" s="1783"/>
      <c r="H2546" s="1832"/>
      <c r="I2546" s="1833">
        <f>SUM(I2544:I2545)</f>
        <v>12424850.93777433</v>
      </c>
    </row>
    <row r="2547" spans="1:12" ht="12.75">
      <c r="B2547" s="1551"/>
      <c r="C2547" s="1552"/>
      <c r="D2547" s="1552"/>
      <c r="E2547" s="1558" t="s">
        <v>5682</v>
      </c>
      <c r="F2547" s="1560">
        <f>$N$5</f>
        <v>0.01</v>
      </c>
      <c r="G2547" s="1553"/>
      <c r="H2547" s="1554"/>
      <c r="I2547" s="1559">
        <f>I2546*F2547</f>
        <v>124248.50937774331</v>
      </c>
    </row>
    <row r="2548" spans="1:12" ht="14.25">
      <c r="B2548" s="2123"/>
      <c r="C2548" s="1561"/>
      <c r="D2548" s="2124"/>
      <c r="E2548" s="2112" t="s">
        <v>5683</v>
      </c>
      <c r="F2548" s="2113"/>
      <c r="G2548" s="2125"/>
      <c r="H2548" s="2126"/>
      <c r="I2548" s="2110">
        <f>ROUND(I2546+I2547,-2)</f>
        <v>12549100</v>
      </c>
    </row>
    <row r="2549" spans="1:12" ht="14.25">
      <c r="A2549" s="657">
        <v>1</v>
      </c>
      <c r="B2549" s="1546">
        <f>IF(A2549&lt;&gt;0,COUNTA(A$7:$A2549),"")</f>
        <v>141</v>
      </c>
      <c r="C2549" s="1547">
        <f>'8.Dgia'!C1995</f>
        <v>1776</v>
      </c>
      <c r="D2549" s="1547" t="str">
        <f>'8.Dgia'!D1995</f>
        <v>AB.25121</v>
      </c>
      <c r="E2549" s="1740" t="str">
        <f>'8.Dgia'!E1995</f>
        <v>Đào đất chân khay</v>
      </c>
      <c r="F2549" s="1789" t="s">
        <v>545</v>
      </c>
      <c r="G2549" s="1742">
        <f>'8.Dgia'!H1995</f>
        <v>0</v>
      </c>
      <c r="H2549" s="1743"/>
      <c r="I2549" s="1843"/>
      <c r="K2549" s="842">
        <f>+I2550</f>
        <v>10438.172500000001</v>
      </c>
      <c r="L2549" s="842">
        <f>+I2551</f>
        <v>8484.1210622127255</v>
      </c>
    </row>
    <row r="2550" spans="1:12" ht="15">
      <c r="B2550" s="1536" t="str">
        <f>'8.Dgia'!B1996</f>
        <v/>
      </c>
      <c r="C2550" s="1537">
        <f>'8.Dgia'!C1996</f>
        <v>0</v>
      </c>
      <c r="D2550" s="1537">
        <f>'8.Dgia'!D1996</f>
        <v>0</v>
      </c>
      <c r="E2550" s="1744" t="str">
        <f>'8.Dgia'!E1996</f>
        <v xml:space="preserve">  B - Nhân công 3.0/7</v>
      </c>
      <c r="F2550" s="1745" t="s">
        <v>552</v>
      </c>
      <c r="G2550" s="1746">
        <f>'8.Dgia'!H1996/100</f>
        <v>4.7500000000000001E-2</v>
      </c>
      <c r="H2550" s="1747">
        <f>'16.NC'!$H$13</f>
        <v>219751</v>
      </c>
      <c r="I2550" s="1750">
        <f>H2550*G2550</f>
        <v>10438.172500000001</v>
      </c>
    </row>
    <row r="2551" spans="1:12" ht="15">
      <c r="B2551" s="1536" t="str">
        <f>'8.Dgia'!B1997</f>
        <v/>
      </c>
      <c r="C2551" s="1537">
        <f>'8.Dgia'!C1997</f>
        <v>0</v>
      </c>
      <c r="D2551" s="1537">
        <f>'8.Dgia'!D1997</f>
        <v>0</v>
      </c>
      <c r="E2551" s="1744" t="str">
        <f>'8.Dgia'!E1997</f>
        <v xml:space="preserve">  C - Máy thi công</v>
      </c>
      <c r="F2551" s="1763">
        <f>'8.Dgia'!G1997</f>
        <v>0</v>
      </c>
      <c r="G2551" s="1746">
        <f>'8.Dgia'!H1997/100</f>
        <v>0</v>
      </c>
      <c r="H2551" s="1793"/>
      <c r="I2551" s="1751">
        <f>+I2552</f>
        <v>8484.1210622127255</v>
      </c>
    </row>
    <row r="2552" spans="1:12" ht="15">
      <c r="B2552" s="1536" t="str">
        <f>'8.Dgia'!B1998</f>
        <v/>
      </c>
      <c r="C2552" s="1537">
        <f>'8.Dgia'!C1998</f>
        <v>0</v>
      </c>
      <c r="D2552" s="1537">
        <f>'8.Dgia'!D1998</f>
        <v>0</v>
      </c>
      <c r="E2552" s="1749" t="str">
        <f>'8.Dgia'!E1998</f>
        <v>Máy đào 1.25m3</v>
      </c>
      <c r="F2552" s="1745" t="s">
        <v>5493</v>
      </c>
      <c r="G2552" s="1746">
        <f>'8.Dgia'!H1998/100</f>
        <v>2.3699999999999997E-3</v>
      </c>
      <c r="H2552" s="1747">
        <f>'9.may'!$P$28</f>
        <v>3579797.9165454544</v>
      </c>
      <c r="I2552" s="1747">
        <f>H2552*G2552</f>
        <v>8484.1210622127255</v>
      </c>
    </row>
    <row r="2553" spans="1:12" s="658" customFormat="1" ht="15">
      <c r="B2553" s="1675"/>
      <c r="C2553" s="1676"/>
      <c r="D2553" s="1676"/>
      <c r="E2553" s="1752" t="s">
        <v>5675</v>
      </c>
      <c r="F2553" s="1763">
        <f>$J$5</f>
        <v>0.02</v>
      </c>
      <c r="G2553" s="1754"/>
      <c r="H2553" s="1755"/>
      <c r="I2553" s="1756">
        <f>( I2550+I2551 )*F2553</f>
        <v>378.44587124425453</v>
      </c>
      <c r="J2553" s="850"/>
      <c r="K2553" s="850"/>
      <c r="L2553" s="850"/>
    </row>
    <row r="2554" spans="1:12" ht="15">
      <c r="B2554" s="1540"/>
      <c r="C2554" s="1541"/>
      <c r="D2554" s="1541"/>
      <c r="E2554" s="1757" t="s">
        <v>5676</v>
      </c>
      <c r="F2554" s="1763"/>
      <c r="G2554" s="1759"/>
      <c r="H2554" s="1760"/>
      <c r="I2554" s="1761">
        <f>I2553+I2553/F2553</f>
        <v>19300.73943345698</v>
      </c>
    </row>
    <row r="2555" spans="1:12" ht="15">
      <c r="B2555" s="1536"/>
      <c r="C2555" s="1537"/>
      <c r="D2555" s="1537"/>
      <c r="E2555" s="1762" t="s">
        <v>5677</v>
      </c>
      <c r="F2555" s="1763">
        <f>$K$5</f>
        <v>5.5E-2</v>
      </c>
      <c r="G2555" s="1746"/>
      <c r="H2555" s="1747"/>
      <c r="I2555" s="1764">
        <f>I2554*F2555</f>
        <v>1061.540668840134</v>
      </c>
    </row>
    <row r="2556" spans="1:12" ht="15">
      <c r="B2556" s="1536"/>
      <c r="C2556" s="1537"/>
      <c r="D2556" s="1537"/>
      <c r="E2556" s="1762" t="s">
        <v>5678</v>
      </c>
      <c r="F2556" s="1763">
        <f>$L$5</f>
        <v>0.06</v>
      </c>
      <c r="G2556" s="1746"/>
      <c r="H2556" s="1747"/>
      <c r="I2556" s="1764">
        <f>SUM(I2554:I2555)*F2556</f>
        <v>1221.7368061378268</v>
      </c>
    </row>
    <row r="2557" spans="1:12" ht="14.25">
      <c r="B2557" s="1540"/>
      <c r="C2557" s="1541"/>
      <c r="D2557" s="1541"/>
      <c r="E2557" s="1757" t="s">
        <v>5679</v>
      </c>
      <c r="F2557" s="1791"/>
      <c r="G2557" s="1759"/>
      <c r="H2557" s="1760"/>
      <c r="I2557" s="1761">
        <f>SUM(I2554:I2556)</f>
        <v>21584.01690843494</v>
      </c>
    </row>
    <row r="2558" spans="1:12" ht="15">
      <c r="B2558" s="1536"/>
      <c r="C2558" s="1537"/>
      <c r="D2558" s="1537"/>
      <c r="E2558" s="1762" t="s">
        <v>5680</v>
      </c>
      <c r="F2558" s="1765">
        <f>$M$5</f>
        <v>0.1</v>
      </c>
      <c r="G2558" s="1746"/>
      <c r="H2558" s="1747"/>
      <c r="I2558" s="1764">
        <f>I2557*F2558</f>
        <v>2158.4016908434942</v>
      </c>
    </row>
    <row r="2559" spans="1:12" ht="14.25">
      <c r="B2559" s="1540"/>
      <c r="C2559" s="1541"/>
      <c r="D2559" s="1541"/>
      <c r="E2559" s="1757" t="s">
        <v>5681</v>
      </c>
      <c r="F2559" s="1791"/>
      <c r="G2559" s="1759"/>
      <c r="H2559" s="1760"/>
      <c r="I2559" s="1761">
        <f>SUM(I2557:I2558)</f>
        <v>23742.418599278433</v>
      </c>
    </row>
    <row r="2560" spans="1:12" ht="12.75">
      <c r="B2560" s="1536"/>
      <c r="C2560" s="1537"/>
      <c r="D2560" s="1537"/>
      <c r="E2560" s="1533" t="s">
        <v>5682</v>
      </c>
      <c r="F2560" s="1535">
        <f>$N$5</f>
        <v>0.01</v>
      </c>
      <c r="G2560" s="1538"/>
      <c r="H2560" s="1532"/>
      <c r="I2560" s="1534">
        <f>I2559*F2560</f>
        <v>237.42418599278434</v>
      </c>
    </row>
    <row r="2561" spans="1:12" ht="14.25">
      <c r="B2561" s="2104"/>
      <c r="C2561" s="1543"/>
      <c r="D2561" s="2105"/>
      <c r="E2561" s="2106" t="s">
        <v>5683</v>
      </c>
      <c r="F2561" s="2115"/>
      <c r="G2561" s="2108"/>
      <c r="H2561" s="2109"/>
      <c r="I2561" s="2110">
        <f>ROUND(I2559+I2560,-2)</f>
        <v>24000</v>
      </c>
    </row>
    <row r="2562" spans="1:12" ht="14.25">
      <c r="A2562" s="657">
        <v>1</v>
      </c>
      <c r="B2562" s="1546">
        <f>IF(A2562&lt;&gt;0,COUNTA(A$7:$A2562),"")</f>
        <v>142</v>
      </c>
      <c r="C2562" s="1550">
        <f>'8.Dgia'!C2003</f>
        <v>1776</v>
      </c>
      <c r="D2562" s="1550" t="str">
        <f>'8.Dgia'!D2003</f>
        <v>AB.13123</v>
      </c>
      <c r="E2562" s="1766" t="str">
        <f>'8.Dgia'!E2003</f>
        <v>Đắp đất chân khay bằng thủ công</v>
      </c>
      <c r="F2562" s="1794" t="str">
        <f>'8.Dgia'!G2003</f>
        <v>m3</v>
      </c>
      <c r="G2562" s="1768">
        <f>'8.Dgia'!H2003</f>
        <v>0</v>
      </c>
      <c r="H2562" s="1837"/>
      <c r="I2562" s="1837"/>
      <c r="K2562" s="842">
        <f>+I2563</f>
        <v>162615.74</v>
      </c>
    </row>
    <row r="2563" spans="1:12" ht="15">
      <c r="B2563" s="1551" t="str">
        <f>'8.Dgia'!B2004</f>
        <v/>
      </c>
      <c r="C2563" s="1552">
        <f>'8.Dgia'!C2004</f>
        <v>0</v>
      </c>
      <c r="D2563" s="1552">
        <f>'8.Dgia'!D2004</f>
        <v>0</v>
      </c>
      <c r="E2563" s="1770" t="str">
        <f>'8.Dgia'!E2004</f>
        <v xml:space="preserve">  B - Nhân công 3.0/7</v>
      </c>
      <c r="F2563" s="1745" t="s">
        <v>552</v>
      </c>
      <c r="G2563" s="1772">
        <f>'8.Dgia'!H2004</f>
        <v>0.74</v>
      </c>
      <c r="H2563" s="1824">
        <f>'16.NC'!$H$13</f>
        <v>219751</v>
      </c>
      <c r="I2563" s="1826">
        <f>H2563*G2563</f>
        <v>162615.74</v>
      </c>
    </row>
    <row r="2564" spans="1:12" s="658" customFormat="1" ht="15">
      <c r="B2564" s="1677"/>
      <c r="C2564" s="1678"/>
      <c r="D2564" s="1678"/>
      <c r="E2564" s="1828" t="s">
        <v>5675</v>
      </c>
      <c r="F2564" s="1786">
        <f>$J$5</f>
        <v>0.02</v>
      </c>
      <c r="G2564" s="1780"/>
      <c r="H2564" s="1829"/>
      <c r="I2564" s="1830">
        <f>( I2563 )*F2564</f>
        <v>3252.3148000000001</v>
      </c>
      <c r="J2564" s="850"/>
      <c r="K2564" s="850"/>
      <c r="L2564" s="850"/>
    </row>
    <row r="2565" spans="1:12" ht="15">
      <c r="B2565" s="1556"/>
      <c r="C2565" s="1557"/>
      <c r="D2565" s="1557"/>
      <c r="E2565" s="1831" t="s">
        <v>5676</v>
      </c>
      <c r="F2565" s="1786"/>
      <c r="G2565" s="1783"/>
      <c r="H2565" s="1832"/>
      <c r="I2565" s="1833">
        <f>I2564+I2564/F2564</f>
        <v>165868.05479999998</v>
      </c>
    </row>
    <row r="2566" spans="1:12" ht="15">
      <c r="B2566" s="1551"/>
      <c r="C2566" s="1552"/>
      <c r="D2566" s="1552"/>
      <c r="E2566" s="1834" t="s">
        <v>5677</v>
      </c>
      <c r="F2566" s="1786">
        <f>$K$5</f>
        <v>5.5E-2</v>
      </c>
      <c r="G2566" s="1772"/>
      <c r="H2566" s="1824"/>
      <c r="I2566" s="1835">
        <f>I2565*F2566</f>
        <v>9122.7430139999997</v>
      </c>
    </row>
    <row r="2567" spans="1:12" ht="15">
      <c r="B2567" s="1551"/>
      <c r="C2567" s="1552"/>
      <c r="D2567" s="1552"/>
      <c r="E2567" s="1834" t="s">
        <v>5678</v>
      </c>
      <c r="F2567" s="1786">
        <f>$L$5</f>
        <v>0.06</v>
      </c>
      <c r="G2567" s="1772"/>
      <c r="H2567" s="1824"/>
      <c r="I2567" s="1835">
        <f>SUM(I2565:I2566)*F2567</f>
        <v>10499.44786884</v>
      </c>
    </row>
    <row r="2568" spans="1:12" ht="14.25">
      <c r="B2568" s="1556"/>
      <c r="C2568" s="1557"/>
      <c r="D2568" s="1557"/>
      <c r="E2568" s="1831" t="s">
        <v>5679</v>
      </c>
      <c r="F2568" s="1787"/>
      <c r="G2568" s="1783"/>
      <c r="H2568" s="1832"/>
      <c r="I2568" s="1833">
        <f>SUM(I2565:I2567)</f>
        <v>185490.24568284</v>
      </c>
    </row>
    <row r="2569" spans="1:12" ht="15">
      <c r="B2569" s="1551"/>
      <c r="C2569" s="1552"/>
      <c r="D2569" s="1552"/>
      <c r="E2569" s="1834" t="s">
        <v>5680</v>
      </c>
      <c r="F2569" s="1788">
        <f>$M$5</f>
        <v>0.1</v>
      </c>
      <c r="G2569" s="1772"/>
      <c r="H2569" s="1824"/>
      <c r="I2569" s="1835">
        <f>I2568*F2569</f>
        <v>18549.024568284</v>
      </c>
    </row>
    <row r="2570" spans="1:12" ht="14.25">
      <c r="B2570" s="1556"/>
      <c r="C2570" s="1557"/>
      <c r="D2570" s="1557"/>
      <c r="E2570" s="1831" t="s">
        <v>5681</v>
      </c>
      <c r="F2570" s="1787"/>
      <c r="G2570" s="1783"/>
      <c r="H2570" s="1832"/>
      <c r="I2570" s="1833">
        <f>SUM(I2568:I2569)</f>
        <v>204039.27025112399</v>
      </c>
    </row>
    <row r="2571" spans="1:12" ht="12.75">
      <c r="B2571" s="1551"/>
      <c r="C2571" s="1552"/>
      <c r="D2571" s="1552"/>
      <c r="E2571" s="1558" t="s">
        <v>5682</v>
      </c>
      <c r="F2571" s="1560">
        <f>$N$5</f>
        <v>0.01</v>
      </c>
      <c r="G2571" s="1553"/>
      <c r="H2571" s="1554"/>
      <c r="I2571" s="1559">
        <f>I2570*F2571</f>
        <v>2040.39270251124</v>
      </c>
    </row>
    <row r="2572" spans="1:12" ht="14.25">
      <c r="B2572" s="2123"/>
      <c r="C2572" s="1561"/>
      <c r="D2572" s="2124"/>
      <c r="E2572" s="2112" t="s">
        <v>5683</v>
      </c>
      <c r="F2572" s="2113"/>
      <c r="G2572" s="2125"/>
      <c r="H2572" s="2126"/>
      <c r="I2572" s="2110">
        <f>ROUND(I2570+I2571,-2)</f>
        <v>206100</v>
      </c>
    </row>
    <row r="2573" spans="1:12" ht="14.25">
      <c r="A2573" s="657">
        <v>1</v>
      </c>
      <c r="B2573" s="1546">
        <f>IF(A2573&lt;&gt;0,COUNTA(A$7:$A2573),"")</f>
        <v>143</v>
      </c>
      <c r="C2573" s="1550">
        <f>'8.Dgia'!C2084</f>
        <v>1776</v>
      </c>
      <c r="D2573" s="1550" t="str">
        <f>'8.Dgia'!D2084</f>
        <v>AB.66123</v>
      </c>
      <c r="E2573" s="1766" t="str">
        <f>'8.Dgia'!E2084</f>
        <v>Đắp cát hạt mịn K=0.95</v>
      </c>
      <c r="F2573" s="1794" t="s">
        <v>545</v>
      </c>
      <c r="G2573" s="1768">
        <f>'8.Dgia'!H2084</f>
        <v>0</v>
      </c>
      <c r="H2573" s="1823"/>
      <c r="I2573" s="1837"/>
      <c r="J2573" s="842">
        <f>+I2574</f>
        <v>113720.62387221828</v>
      </c>
      <c r="K2573" s="842">
        <f>+I2576</f>
        <v>3296.2649999999999</v>
      </c>
      <c r="L2573" s="842">
        <f>+I2577</f>
        <v>6602.6755522760459</v>
      </c>
    </row>
    <row r="2574" spans="1:12" ht="15">
      <c r="B2574" s="1551" t="str">
        <f>'8.Dgia'!B2085</f>
        <v/>
      </c>
      <c r="C2574" s="1552">
        <f>'8.Dgia'!C2085</f>
        <v>0</v>
      </c>
      <c r="D2574" s="1552">
        <f>'8.Dgia'!D2085</f>
        <v>0</v>
      </c>
      <c r="E2574" s="1770" t="str">
        <f>'8.Dgia'!E2085</f>
        <v xml:space="preserve">  A - Vật liệu</v>
      </c>
      <c r="F2574" s="1786">
        <f>'8.Dgia'!G2085</f>
        <v>0</v>
      </c>
      <c r="G2574" s="1772">
        <f>'8.Dgia'!H2085</f>
        <v>0</v>
      </c>
      <c r="H2574" s="1824"/>
      <c r="I2574" s="1839">
        <f>I2575</f>
        <v>113720.62387221828</v>
      </c>
    </row>
    <row r="2575" spans="1:12" ht="15">
      <c r="B2575" s="1551" t="str">
        <f>'8.Dgia'!B2086</f>
        <v/>
      </c>
      <c r="C2575" s="1552">
        <f>'8.Dgia'!C2086</f>
        <v>0</v>
      </c>
      <c r="D2575" s="1552">
        <f>'8.Dgia'!D2086</f>
        <v>0</v>
      </c>
      <c r="E2575" s="1775" t="str">
        <f>'8.Dgia'!E2086</f>
        <v>Cát đen</v>
      </c>
      <c r="F2575" s="1786" t="str">
        <f>'8.Dgia'!G2086</f>
        <v>m3</v>
      </c>
      <c r="G2575" s="1772">
        <f>'8.Dgia'!H2086/100</f>
        <v>1.22</v>
      </c>
      <c r="H2575" s="1824">
        <f>GVL!$I$37</f>
        <v>93213.626124769085</v>
      </c>
      <c r="I2575" s="1824">
        <f>H2575*G2575</f>
        <v>113720.62387221828</v>
      </c>
    </row>
    <row r="2576" spans="1:12" ht="15">
      <c r="B2576" s="1551" t="str">
        <f>'8.Dgia'!B2087</f>
        <v/>
      </c>
      <c r="C2576" s="1552">
        <f>'8.Dgia'!C2087</f>
        <v>0</v>
      </c>
      <c r="D2576" s="1552">
        <f>'8.Dgia'!D2087</f>
        <v>0</v>
      </c>
      <c r="E2576" s="1770" t="str">
        <f>'8.Dgia'!E2087</f>
        <v xml:space="preserve">  B - Nhân công 3.0/7</v>
      </c>
      <c r="F2576" s="1745" t="s">
        <v>552</v>
      </c>
      <c r="G2576" s="1772">
        <f>'8.Dgia'!H2087/100</f>
        <v>1.4999999999999999E-2</v>
      </c>
      <c r="H2576" s="1824">
        <f>'16.NC'!$H$13</f>
        <v>219751</v>
      </c>
      <c r="I2576" s="1826">
        <f>H2576*G2576</f>
        <v>3296.2649999999999</v>
      </c>
    </row>
    <row r="2577" spans="1:12" ht="15">
      <c r="B2577" s="1551" t="str">
        <f>'8.Dgia'!B2088</f>
        <v/>
      </c>
      <c r="C2577" s="1552">
        <f>'8.Dgia'!C2088</f>
        <v>0</v>
      </c>
      <c r="D2577" s="1552">
        <f>'8.Dgia'!D2088</f>
        <v>0</v>
      </c>
      <c r="E2577" s="1770" t="str">
        <f>'8.Dgia'!E2088</f>
        <v xml:space="preserve">  C - Máy thi công</v>
      </c>
      <c r="F2577" s="1786">
        <f>'8.Dgia'!G2088</f>
        <v>0</v>
      </c>
      <c r="G2577" s="1772">
        <f>'8.Dgia'!H2088</f>
        <v>0</v>
      </c>
      <c r="H2577" s="1824"/>
      <c r="I2577" s="1841">
        <f>SUM(I2578:I2580)</f>
        <v>6602.6755522760459</v>
      </c>
    </row>
    <row r="2578" spans="1:12" ht="15">
      <c r="B2578" s="1551" t="str">
        <f>'8.Dgia'!B2089</f>
        <v/>
      </c>
      <c r="C2578" s="1552">
        <f>'8.Dgia'!C2089</f>
        <v>0</v>
      </c>
      <c r="D2578" s="1552">
        <f>'8.Dgia'!D2089</f>
        <v>0</v>
      </c>
      <c r="E2578" s="1775" t="str">
        <f>'8.Dgia'!E2089</f>
        <v>Lu bánh lốp 16T</v>
      </c>
      <c r="F2578" s="1745" t="s">
        <v>5493</v>
      </c>
      <c r="G2578" s="1772">
        <f>'8.Dgia'!H2089/100</f>
        <v>2.7400000000000002E-3</v>
      </c>
      <c r="H2578" s="1824">
        <f>'9.may'!$P$109</f>
        <v>1394407.2218181817</v>
      </c>
      <c r="I2578" s="1824">
        <f>H2578*G2578</f>
        <v>3820.6757877818181</v>
      </c>
    </row>
    <row r="2579" spans="1:12" ht="15">
      <c r="B2579" s="1551" t="str">
        <f>'8.Dgia'!B2090</f>
        <v/>
      </c>
      <c r="C2579" s="1552">
        <f>'8.Dgia'!C2090</f>
        <v>0</v>
      </c>
      <c r="D2579" s="1552">
        <f>'8.Dgia'!D2090</f>
        <v>0</v>
      </c>
      <c r="E2579" s="1775" t="str">
        <f>'8.Dgia'!E2090</f>
        <v>Máy ủi 110cv</v>
      </c>
      <c r="F2579" s="1745" t="s">
        <v>5493</v>
      </c>
      <c r="G2579" s="1772">
        <f>'8.Dgia'!H2090/100</f>
        <v>1.3700000000000001E-3</v>
      </c>
      <c r="H2579" s="1824">
        <f>'9.may'!$P$70</f>
        <v>1959433.0499999998</v>
      </c>
      <c r="I2579" s="1824">
        <f>H2579*G2579</f>
        <v>2684.4232784999999</v>
      </c>
    </row>
    <row r="2580" spans="1:12" ht="15">
      <c r="B2580" s="1551" t="str">
        <f>'8.Dgia'!B2091</f>
        <v/>
      </c>
      <c r="C2580" s="1552">
        <f>'8.Dgia'!C2091</f>
        <v>0</v>
      </c>
      <c r="D2580" s="1552">
        <f>'8.Dgia'!D2091</f>
        <v>0</v>
      </c>
      <c r="E2580" s="1775" t="str">
        <f>'8.Dgia'!E2091</f>
        <v>Máy khác</v>
      </c>
      <c r="F2580" s="1786" t="str">
        <f>'8.Dgia'!G2091</f>
        <v>%</v>
      </c>
      <c r="G2580" s="1772">
        <f>'8.Dgia'!H2091</f>
        <v>1.5</v>
      </c>
      <c r="H2580" s="1824">
        <f>SUM(I2578:I2579)</f>
        <v>6505.0990662818185</v>
      </c>
      <c r="I2580" s="1824">
        <f>H2580*G2580%</f>
        <v>97.576485994227269</v>
      </c>
    </row>
    <row r="2581" spans="1:12" s="658" customFormat="1" ht="15">
      <c r="B2581" s="1677"/>
      <c r="C2581" s="1678"/>
      <c r="D2581" s="1678"/>
      <c r="E2581" s="1828" t="s">
        <v>5675</v>
      </c>
      <c r="F2581" s="1786">
        <f>$J$5</f>
        <v>0.02</v>
      </c>
      <c r="G2581" s="1780"/>
      <c r="H2581" s="1829"/>
      <c r="I2581" s="1830">
        <f>( I2574+I2576+I2577 )*F2581</f>
        <v>2472.3912884898864</v>
      </c>
      <c r="J2581" s="850"/>
      <c r="K2581" s="850"/>
      <c r="L2581" s="850"/>
    </row>
    <row r="2582" spans="1:12" ht="15">
      <c r="B2582" s="1556"/>
      <c r="C2582" s="1557"/>
      <c r="D2582" s="1557"/>
      <c r="E2582" s="1831" t="s">
        <v>5676</v>
      </c>
      <c r="F2582" s="1786"/>
      <c r="G2582" s="1783"/>
      <c r="H2582" s="1832"/>
      <c r="I2582" s="1833">
        <f>I2581+I2581/F2581</f>
        <v>126091.9557129842</v>
      </c>
    </row>
    <row r="2583" spans="1:12" ht="15">
      <c r="B2583" s="1551"/>
      <c r="C2583" s="1552"/>
      <c r="D2583" s="1552"/>
      <c r="E2583" s="1834" t="s">
        <v>5677</v>
      </c>
      <c r="F2583" s="1786">
        <f>$K$5</f>
        <v>5.5E-2</v>
      </c>
      <c r="G2583" s="1772"/>
      <c r="H2583" s="1824"/>
      <c r="I2583" s="1835">
        <f>I2582*F2583</f>
        <v>6935.0575642141312</v>
      </c>
    </row>
    <row r="2584" spans="1:12" ht="15">
      <c r="B2584" s="1551"/>
      <c r="C2584" s="1552"/>
      <c r="D2584" s="1552"/>
      <c r="E2584" s="1834" t="s">
        <v>5678</v>
      </c>
      <c r="F2584" s="1786">
        <f>$L$5</f>
        <v>0.06</v>
      </c>
      <c r="G2584" s="1772"/>
      <c r="H2584" s="1824"/>
      <c r="I2584" s="1835">
        <f>SUM(I2582:I2583)*F2584</f>
        <v>7981.6207966318998</v>
      </c>
    </row>
    <row r="2585" spans="1:12" ht="14.25">
      <c r="B2585" s="1556"/>
      <c r="C2585" s="1557"/>
      <c r="D2585" s="1557"/>
      <c r="E2585" s="1831" t="s">
        <v>5679</v>
      </c>
      <c r="F2585" s="1787"/>
      <c r="G2585" s="1783"/>
      <c r="H2585" s="1832"/>
      <c r="I2585" s="1833">
        <f>SUM(I2582:I2584)</f>
        <v>141008.63407383024</v>
      </c>
    </row>
    <row r="2586" spans="1:12" ht="15">
      <c r="B2586" s="1551"/>
      <c r="C2586" s="1552"/>
      <c r="D2586" s="1552"/>
      <c r="E2586" s="1834" t="s">
        <v>5680</v>
      </c>
      <c r="F2586" s="1788">
        <f>$M$5</f>
        <v>0.1</v>
      </c>
      <c r="G2586" s="1772"/>
      <c r="H2586" s="1824"/>
      <c r="I2586" s="1835">
        <f>I2585*F2586</f>
        <v>14100.863407383025</v>
      </c>
    </row>
    <row r="2587" spans="1:12" ht="14.25">
      <c r="B2587" s="1556"/>
      <c r="C2587" s="1557"/>
      <c r="D2587" s="1557"/>
      <c r="E2587" s="1831" t="s">
        <v>5681</v>
      </c>
      <c r="F2587" s="1787"/>
      <c r="G2587" s="1783"/>
      <c r="H2587" s="1832"/>
      <c r="I2587" s="1833">
        <f>SUM(I2585:I2586)</f>
        <v>155109.49748121327</v>
      </c>
    </row>
    <row r="2588" spans="1:12" ht="12.75">
      <c r="B2588" s="1551"/>
      <c r="C2588" s="1552"/>
      <c r="D2588" s="1552"/>
      <c r="E2588" s="1558" t="s">
        <v>5682</v>
      </c>
      <c r="F2588" s="1560">
        <f>$N$5</f>
        <v>0.01</v>
      </c>
      <c r="G2588" s="1553"/>
      <c r="H2588" s="1554"/>
      <c r="I2588" s="1559">
        <f>I2587*F2588</f>
        <v>1551.0949748121327</v>
      </c>
    </row>
    <row r="2589" spans="1:12" ht="14.25">
      <c r="B2589" s="2123"/>
      <c r="C2589" s="1561"/>
      <c r="D2589" s="2124"/>
      <c r="E2589" s="2112" t="s">
        <v>5683</v>
      </c>
      <c r="F2589" s="2113"/>
      <c r="G2589" s="2125"/>
      <c r="H2589" s="2126"/>
      <c r="I2589" s="2110">
        <f>ROUND(I2587+I2588,-2)</f>
        <v>156700</v>
      </c>
    </row>
    <row r="2590" spans="1:12" ht="14.25">
      <c r="A2590" s="657">
        <v>1</v>
      </c>
      <c r="B2590" s="1546">
        <f>IF(A2590&lt;&gt;0,COUNTA(A$7:$A2590),"")</f>
        <v>144</v>
      </c>
      <c r="C2590" s="1548">
        <f>'8.Dgia'!C2100</f>
        <v>1776</v>
      </c>
      <c r="D2590" s="1548" t="str">
        <f>'8.Dgia'!D2100</f>
        <v>AL.16121</v>
      </c>
      <c r="E2590" s="1804" t="str">
        <f>'8.Dgia'!E2100</f>
        <v>Trải vải địa kỹ thuật R=12KN/m</v>
      </c>
      <c r="F2590" s="1789" t="s">
        <v>548</v>
      </c>
      <c r="G2590" s="1805">
        <f>'8.Dgia'!H2100</f>
        <v>0</v>
      </c>
      <c r="H2590" s="1806"/>
      <c r="I2590" s="1806"/>
      <c r="J2590" s="842">
        <f>+I2591</f>
        <v>16032</v>
      </c>
      <c r="K2590" s="842">
        <f>+I2594</f>
        <v>2782.6288</v>
      </c>
    </row>
    <row r="2591" spans="1:12" ht="15">
      <c r="B2591" s="362" t="str">
        <f>'8.Dgia'!B2101</f>
        <v/>
      </c>
      <c r="C2591" s="1482">
        <f>'8.Dgia'!C2101</f>
        <v>0</v>
      </c>
      <c r="D2591" s="1482">
        <f>'8.Dgia'!D2101</f>
        <v>0</v>
      </c>
      <c r="E2591" s="1808" t="str">
        <f>'8.Dgia'!E2101</f>
        <v xml:space="preserve">  A - Vật liệu</v>
      </c>
      <c r="F2591" s="1763">
        <f>'8.Dgia'!G2101</f>
        <v>0</v>
      </c>
      <c r="G2591" s="1809">
        <f>'8.Dgia'!H2101</f>
        <v>0</v>
      </c>
      <c r="H2591" s="1792"/>
      <c r="I2591" s="1810">
        <f>SUM(I2592:I2593)</f>
        <v>16032</v>
      </c>
    </row>
    <row r="2592" spans="1:12" ht="15">
      <c r="B2592" s="362" t="str">
        <f>'8.Dgia'!B2102</f>
        <v/>
      </c>
      <c r="C2592" s="1482">
        <f>'8.Dgia'!C2102</f>
        <v>0</v>
      </c>
      <c r="D2592" s="1482">
        <f>'8.Dgia'!D2102</f>
        <v>0</v>
      </c>
      <c r="E2592" s="1811" t="str">
        <f>'8.Dgia'!E2102</f>
        <v>Vải địa kỹ thuật R=12KN/m</v>
      </c>
      <c r="F2592" s="1763" t="str">
        <f>'8.Dgia'!G2102</f>
        <v>m2</v>
      </c>
      <c r="G2592" s="1809">
        <f>'8.Dgia'!H2102/100</f>
        <v>1.1000000000000001</v>
      </c>
      <c r="H2592" s="1792">
        <f>GVL!$I$188</f>
        <v>14545.454545454544</v>
      </c>
      <c r="I2592" s="1792">
        <f>H2592*G2592</f>
        <v>16000</v>
      </c>
    </row>
    <row r="2593" spans="1:12" ht="15">
      <c r="B2593" s="362" t="str">
        <f>'8.Dgia'!B2103</f>
        <v/>
      </c>
      <c r="C2593" s="1482">
        <f>'8.Dgia'!C2103</f>
        <v>0</v>
      </c>
      <c r="D2593" s="1482">
        <f>'8.Dgia'!D2103</f>
        <v>0</v>
      </c>
      <c r="E2593" s="1811" t="str">
        <f>'8.Dgia'!E2103</f>
        <v>Vật liệu khác</v>
      </c>
      <c r="F2593" s="1763" t="str">
        <f>'8.Dgia'!G2103</f>
        <v>%</v>
      </c>
      <c r="G2593" s="1809">
        <f>'8.Dgia'!H2103</f>
        <v>0.2</v>
      </c>
      <c r="H2593" s="1792">
        <f>+I2592</f>
        <v>16000</v>
      </c>
      <c r="I2593" s="1792">
        <f>H2593*G2593%</f>
        <v>32</v>
      </c>
    </row>
    <row r="2594" spans="1:12" ht="15">
      <c r="B2594" s="362" t="str">
        <f>'8.Dgia'!B2104</f>
        <v/>
      </c>
      <c r="C2594" s="1482">
        <f>'8.Dgia'!C2104</f>
        <v>0</v>
      </c>
      <c r="D2594" s="1482">
        <f>'8.Dgia'!D2104</f>
        <v>0</v>
      </c>
      <c r="E2594" s="1808" t="str">
        <f>'8.Dgia'!E2104</f>
        <v xml:space="preserve">  B - Nhân công 3.5/7</v>
      </c>
      <c r="F2594" s="1745" t="s">
        <v>552</v>
      </c>
      <c r="G2594" s="1809">
        <f>'8.Dgia'!H2104/100</f>
        <v>1.18E-2</v>
      </c>
      <c r="H2594" s="1747">
        <f>'16.NC'!$H$16</f>
        <v>235816</v>
      </c>
      <c r="I2594" s="1812">
        <f>H2594*G2594</f>
        <v>2782.6288</v>
      </c>
    </row>
    <row r="2595" spans="1:12" s="658" customFormat="1" ht="15">
      <c r="B2595" s="846"/>
      <c r="C2595" s="1528"/>
      <c r="D2595" s="1528"/>
      <c r="E2595" s="1813" t="s">
        <v>5675</v>
      </c>
      <c r="F2595" s="1763">
        <f>$J$5</f>
        <v>0.02</v>
      </c>
      <c r="G2595" s="1814"/>
      <c r="H2595" s="1815"/>
      <c r="I2595" s="1816">
        <f>( I2591+I2594 )*F2595</f>
        <v>376.292576</v>
      </c>
      <c r="J2595" s="850"/>
      <c r="K2595" s="850"/>
      <c r="L2595" s="850"/>
    </row>
    <row r="2596" spans="1:12" ht="15">
      <c r="B2596" s="856"/>
      <c r="C2596" s="1527"/>
      <c r="D2596" s="1527"/>
      <c r="E2596" s="1817" t="s">
        <v>5676</v>
      </c>
      <c r="F2596" s="1763"/>
      <c r="G2596" s="1818"/>
      <c r="H2596" s="1819"/>
      <c r="I2596" s="1820">
        <f>I2595+I2595/F2595</f>
        <v>19190.921375999998</v>
      </c>
    </row>
    <row r="2597" spans="1:12" ht="15">
      <c r="B2597" s="362"/>
      <c r="C2597" s="1482"/>
      <c r="D2597" s="1482"/>
      <c r="E2597" s="1821" t="s">
        <v>5677</v>
      </c>
      <c r="F2597" s="1763">
        <f>$K$5</f>
        <v>5.5E-2</v>
      </c>
      <c r="G2597" s="1809"/>
      <c r="H2597" s="1792"/>
      <c r="I2597" s="1822">
        <f>I2596*F2597</f>
        <v>1055.5006756799999</v>
      </c>
    </row>
    <row r="2598" spans="1:12" ht="15">
      <c r="B2598" s="362"/>
      <c r="C2598" s="1482"/>
      <c r="D2598" s="1482"/>
      <c r="E2598" s="1821" t="s">
        <v>5678</v>
      </c>
      <c r="F2598" s="1763">
        <f>$L$5</f>
        <v>0.06</v>
      </c>
      <c r="G2598" s="1809"/>
      <c r="H2598" s="1792"/>
      <c r="I2598" s="1822">
        <f>SUM(I2596:I2597)*F2598</f>
        <v>1214.7853231007998</v>
      </c>
    </row>
    <row r="2599" spans="1:12" ht="14.25">
      <c r="B2599" s="856"/>
      <c r="C2599" s="1527"/>
      <c r="D2599" s="1527"/>
      <c r="E2599" s="1817" t="s">
        <v>5679</v>
      </c>
      <c r="F2599" s="1791"/>
      <c r="G2599" s="1818"/>
      <c r="H2599" s="1819"/>
      <c r="I2599" s="1820">
        <f>SUM(I2596:I2598)</f>
        <v>21461.207374780799</v>
      </c>
    </row>
    <row r="2600" spans="1:12" ht="15">
      <c r="B2600" s="362"/>
      <c r="C2600" s="1482"/>
      <c r="D2600" s="1482"/>
      <c r="E2600" s="1821" t="s">
        <v>5680</v>
      </c>
      <c r="F2600" s="1765">
        <f>$M$5</f>
        <v>0.1</v>
      </c>
      <c r="G2600" s="1809"/>
      <c r="H2600" s="1792"/>
      <c r="I2600" s="1822">
        <f>I2599*F2600</f>
        <v>2146.1207374780802</v>
      </c>
    </row>
    <row r="2601" spans="1:12" ht="14.25">
      <c r="B2601" s="856"/>
      <c r="C2601" s="1527"/>
      <c r="D2601" s="1527"/>
      <c r="E2601" s="1817" t="s">
        <v>5681</v>
      </c>
      <c r="F2601" s="1791"/>
      <c r="G2601" s="1818"/>
      <c r="H2601" s="1819"/>
      <c r="I2601" s="1820">
        <f>SUM(I2599:I2600)</f>
        <v>23607.328112258878</v>
      </c>
    </row>
    <row r="2602" spans="1:12" ht="12.75">
      <c r="B2602" s="362"/>
      <c r="C2602" s="1482"/>
      <c r="D2602" s="1482"/>
      <c r="E2602" s="1475" t="s">
        <v>5682</v>
      </c>
      <c r="F2602" s="1535">
        <f>$N$5</f>
        <v>0.01</v>
      </c>
      <c r="G2602" s="1483"/>
      <c r="H2602" s="853"/>
      <c r="I2602" s="1476">
        <f>I2601*F2602</f>
        <v>236.07328112258878</v>
      </c>
    </row>
    <row r="2603" spans="1:12" ht="14.25">
      <c r="B2603" s="2119"/>
      <c r="C2603" s="1545"/>
      <c r="D2603" s="2120"/>
      <c r="E2603" s="2117" t="s">
        <v>5683</v>
      </c>
      <c r="F2603" s="2115"/>
      <c r="G2603" s="2121"/>
      <c r="H2603" s="2122"/>
      <c r="I2603" s="2110">
        <f>ROUND(I2601+I2602,-2)</f>
        <v>23800</v>
      </c>
    </row>
    <row r="2604" spans="1:12" ht="28.5">
      <c r="A2604" s="657">
        <v>1</v>
      </c>
      <c r="B2604" s="1546">
        <f>IF(A2604&lt;&gt;0,COUNTA(A$7:$A2604),"")</f>
        <v>145</v>
      </c>
      <c r="C2604" s="1548">
        <f>'8.Dgia'!C2105</f>
        <v>1776</v>
      </c>
      <c r="D2604" s="1548" t="str">
        <f>'8.Dgia'!D2105</f>
        <v>AL.16121</v>
      </c>
      <c r="E2604" s="1804" t="str">
        <f>'8.Dgia'!E2105</f>
        <v>Trải vải địa kỹ thuật cường độ cao R=200KN/m</v>
      </c>
      <c r="F2604" s="1789" t="str">
        <f>'8.Dgia'!G2105</f>
        <v>100m2</v>
      </c>
      <c r="G2604" s="1805">
        <f>'8.Dgia'!H2105</f>
        <v>0</v>
      </c>
      <c r="H2604" s="1806"/>
      <c r="I2604" s="1806"/>
      <c r="J2604" s="842">
        <f>+I2605</f>
        <v>4408800</v>
      </c>
      <c r="K2604" s="842">
        <f>+I2608</f>
        <v>278262.88</v>
      </c>
    </row>
    <row r="2605" spans="1:12" ht="15">
      <c r="B2605" s="362" t="str">
        <f>'8.Dgia'!B2106</f>
        <v/>
      </c>
      <c r="C2605" s="1482">
        <f>'8.Dgia'!C2106</f>
        <v>0</v>
      </c>
      <c r="D2605" s="1482">
        <f>'8.Dgia'!D2106</f>
        <v>0</v>
      </c>
      <c r="E2605" s="1808" t="str">
        <f>'8.Dgia'!E2106</f>
        <v xml:space="preserve">  A - Vật liệu</v>
      </c>
      <c r="F2605" s="1763">
        <f>'8.Dgia'!G2106</f>
        <v>0</v>
      </c>
      <c r="G2605" s="1809">
        <f>'8.Dgia'!H2106</f>
        <v>0</v>
      </c>
      <c r="H2605" s="1792"/>
      <c r="I2605" s="1810">
        <f>SUM(I2606:I2607)</f>
        <v>4408800</v>
      </c>
    </row>
    <row r="2606" spans="1:12" ht="18" customHeight="1">
      <c r="B2606" s="362" t="str">
        <f>'8.Dgia'!B2107</f>
        <v/>
      </c>
      <c r="C2606" s="1482">
        <f>'8.Dgia'!C2107</f>
        <v>0</v>
      </c>
      <c r="D2606" s="1482">
        <f>'8.Dgia'!D2107</f>
        <v>0</v>
      </c>
      <c r="E2606" s="1811" t="str">
        <f>'8.Dgia'!E2107</f>
        <v>Vải địa kỹ thuật cường độ cao R=200KN/m</v>
      </c>
      <c r="F2606" s="1763" t="str">
        <f>'8.Dgia'!G2107</f>
        <v>m2</v>
      </c>
      <c r="G2606" s="2102">
        <f>'8.Dgia'!H2107</f>
        <v>110</v>
      </c>
      <c r="H2606" s="1792">
        <f>GVL!$I$187</f>
        <v>40000</v>
      </c>
      <c r="I2606" s="1792">
        <f>H2606*G2606</f>
        <v>4400000</v>
      </c>
    </row>
    <row r="2607" spans="1:12" ht="15">
      <c r="B2607" s="362" t="str">
        <f>'8.Dgia'!B2108</f>
        <v/>
      </c>
      <c r="C2607" s="1482">
        <f>'8.Dgia'!C2108</f>
        <v>0</v>
      </c>
      <c r="D2607" s="1482">
        <f>'8.Dgia'!D2108</f>
        <v>0</v>
      </c>
      <c r="E2607" s="1811" t="str">
        <f>'8.Dgia'!E2108</f>
        <v>Vật liệu khác</v>
      </c>
      <c r="F2607" s="1763" t="str">
        <f>'8.Dgia'!G2108</f>
        <v>%</v>
      </c>
      <c r="G2607" s="1809">
        <f>'8.Dgia'!H2108</f>
        <v>0.2</v>
      </c>
      <c r="H2607" s="1792">
        <f>+I2606</f>
        <v>4400000</v>
      </c>
      <c r="I2607" s="1792">
        <f>H2607*G2607%</f>
        <v>8800</v>
      </c>
    </row>
    <row r="2608" spans="1:12" ht="15">
      <c r="B2608" s="362" t="str">
        <f>'8.Dgia'!B2109</f>
        <v/>
      </c>
      <c r="C2608" s="1482">
        <f>'8.Dgia'!C2109</f>
        <v>0</v>
      </c>
      <c r="D2608" s="1482">
        <f>'8.Dgia'!D2109</f>
        <v>0</v>
      </c>
      <c r="E2608" s="1808" t="str">
        <f>'8.Dgia'!E2109</f>
        <v xml:space="preserve">  B - Nhân công 3.5/7</v>
      </c>
      <c r="F2608" s="1745" t="s">
        <v>552</v>
      </c>
      <c r="G2608" s="1809">
        <f>'8.Dgia'!H2109</f>
        <v>1.18</v>
      </c>
      <c r="H2608" s="1747">
        <f>'16.NC'!$H$16</f>
        <v>235816</v>
      </c>
      <c r="I2608" s="1812">
        <f>H2608*G2608</f>
        <v>278262.88</v>
      </c>
    </row>
    <row r="2609" spans="1:12" s="658" customFormat="1" ht="15">
      <c r="B2609" s="846"/>
      <c r="C2609" s="1528"/>
      <c r="D2609" s="1528"/>
      <c r="E2609" s="1813" t="s">
        <v>5675</v>
      </c>
      <c r="F2609" s="1763">
        <f>$J$5</f>
        <v>0.02</v>
      </c>
      <c r="G2609" s="1814"/>
      <c r="H2609" s="1815"/>
      <c r="I2609" s="1816">
        <f>( I2605+I2608 )*F2609</f>
        <v>93741.257599999997</v>
      </c>
      <c r="J2609" s="850"/>
      <c r="K2609" s="850"/>
      <c r="L2609" s="850"/>
    </row>
    <row r="2610" spans="1:12" ht="15">
      <c r="B2610" s="856"/>
      <c r="C2610" s="1527"/>
      <c r="D2610" s="1527"/>
      <c r="E2610" s="1817" t="s">
        <v>5676</v>
      </c>
      <c r="F2610" s="1763"/>
      <c r="G2610" s="1818"/>
      <c r="H2610" s="1819"/>
      <c r="I2610" s="1820">
        <f>I2609+I2609/F2609</f>
        <v>4780804.1376</v>
      </c>
    </row>
    <row r="2611" spans="1:12" ht="15">
      <c r="B2611" s="362"/>
      <c r="C2611" s="1482"/>
      <c r="D2611" s="1482"/>
      <c r="E2611" s="1821" t="s">
        <v>5677</v>
      </c>
      <c r="F2611" s="1763">
        <f>$K$5</f>
        <v>5.5E-2</v>
      </c>
      <c r="G2611" s="1809"/>
      <c r="H2611" s="1792"/>
      <c r="I2611" s="1822">
        <f>I2610*F2611</f>
        <v>262944.22756800003</v>
      </c>
    </row>
    <row r="2612" spans="1:12" ht="15">
      <c r="B2612" s="362"/>
      <c r="C2612" s="1482"/>
      <c r="D2612" s="1482"/>
      <c r="E2612" s="1821" t="s">
        <v>5678</v>
      </c>
      <c r="F2612" s="1763">
        <f>$L$5</f>
        <v>0.06</v>
      </c>
      <c r="G2612" s="1809"/>
      <c r="H2612" s="1792"/>
      <c r="I2612" s="1822">
        <f>SUM(I2610:I2611)*F2612</f>
        <v>302624.90191007999</v>
      </c>
    </row>
    <row r="2613" spans="1:12" ht="14.25">
      <c r="B2613" s="856"/>
      <c r="C2613" s="1527"/>
      <c r="D2613" s="1527"/>
      <c r="E2613" s="1817" t="s">
        <v>5679</v>
      </c>
      <c r="F2613" s="1791"/>
      <c r="G2613" s="1818"/>
      <c r="H2613" s="1819"/>
      <c r="I2613" s="1820">
        <f>SUM(I2610:I2612)</f>
        <v>5346373.2670780793</v>
      </c>
    </row>
    <row r="2614" spans="1:12" ht="15">
      <c r="B2614" s="362"/>
      <c r="C2614" s="1482"/>
      <c r="D2614" s="1482"/>
      <c r="E2614" s="1821" t="s">
        <v>5680</v>
      </c>
      <c r="F2614" s="1765">
        <f>$M$5</f>
        <v>0.1</v>
      </c>
      <c r="G2614" s="1809"/>
      <c r="H2614" s="1792"/>
      <c r="I2614" s="1822">
        <f>I2613*F2614</f>
        <v>534637.32670780795</v>
      </c>
    </row>
    <row r="2615" spans="1:12" ht="14.25">
      <c r="B2615" s="856"/>
      <c r="C2615" s="1527"/>
      <c r="D2615" s="1527"/>
      <c r="E2615" s="1817" t="s">
        <v>5681</v>
      </c>
      <c r="F2615" s="1791"/>
      <c r="G2615" s="1818"/>
      <c r="H2615" s="1819"/>
      <c r="I2615" s="1820">
        <f>SUM(I2613:I2614)</f>
        <v>5881010.5937858876</v>
      </c>
    </row>
    <row r="2616" spans="1:12" ht="12.75">
      <c r="B2616" s="362"/>
      <c r="C2616" s="1482"/>
      <c r="D2616" s="1482"/>
      <c r="E2616" s="1475" t="s">
        <v>5682</v>
      </c>
      <c r="F2616" s="1535">
        <f>$N$5</f>
        <v>0.01</v>
      </c>
      <c r="G2616" s="1483"/>
      <c r="H2616" s="853"/>
      <c r="I2616" s="1476">
        <f>I2615*F2616</f>
        <v>58810.105937858876</v>
      </c>
    </row>
    <row r="2617" spans="1:12" ht="14.25">
      <c r="B2617" s="2119"/>
      <c r="C2617" s="1545"/>
      <c r="D2617" s="2120"/>
      <c r="E2617" s="2117" t="s">
        <v>5683</v>
      </c>
      <c r="F2617" s="2115"/>
      <c r="G2617" s="2121"/>
      <c r="H2617" s="2122"/>
      <c r="I2617" s="2110">
        <f>ROUND(I2615+I2616,-2)</f>
        <v>5939800</v>
      </c>
    </row>
    <row r="2618" spans="1:12" s="1336" customFormat="1" ht="14.25">
      <c r="A2618" s="657">
        <v>1</v>
      </c>
      <c r="B2618" s="1546">
        <f>IF(A2618&lt;&gt;0,COUNTA(A$7:$A2618),"")</f>
        <v>146</v>
      </c>
      <c r="C2618" s="1550">
        <f>'8.Dgia'!C2118</f>
        <v>1776</v>
      </c>
      <c r="D2618" s="1550" t="str">
        <f>'8.Dgia'!D2118</f>
        <v>AD.11212</v>
      </c>
      <c r="E2618" s="1766" t="str">
        <f>'8.Dgia'!E2118</f>
        <v>Cấp phối đá dăm (móng dưới)</v>
      </c>
      <c r="F2618" s="1794" t="str">
        <f>'8.Dgia'!G2118</f>
        <v>100m3</v>
      </c>
      <c r="G2618" s="1768">
        <f>'8.Dgia'!H2118</f>
        <v>0</v>
      </c>
      <c r="H2618" s="1837"/>
      <c r="I2618" s="1837"/>
      <c r="J2618" s="1425">
        <f>+I2619</f>
        <v>405389.28539434419</v>
      </c>
      <c r="K2618" s="1425">
        <f>+I2621</f>
        <v>10016.136</v>
      </c>
      <c r="L2618" s="1425">
        <f>+I2622</f>
        <v>24835.019419033364</v>
      </c>
    </row>
    <row r="2619" spans="1:12" ht="15">
      <c r="B2619" s="1551" t="str">
        <f>'8.Dgia'!B2119</f>
        <v/>
      </c>
      <c r="C2619" s="1552">
        <f>'8.Dgia'!C2119</f>
        <v>0</v>
      </c>
      <c r="D2619" s="1552">
        <f>'8.Dgia'!D2119</f>
        <v>0</v>
      </c>
      <c r="E2619" s="1770" t="str">
        <f>'8.Dgia'!E2119</f>
        <v xml:space="preserve">  A - Vật liệu</v>
      </c>
      <c r="F2619" s="1786">
        <f>'8.Dgia'!G2119</f>
        <v>0</v>
      </c>
      <c r="G2619" s="1772">
        <f>'8.Dgia'!H2119</f>
        <v>0</v>
      </c>
      <c r="H2619" s="1840"/>
      <c r="I2619" s="1839">
        <f>I2620</f>
        <v>405389.28539434419</v>
      </c>
    </row>
    <row r="2620" spans="1:12" ht="15">
      <c r="B2620" s="1551" t="str">
        <f>'8.Dgia'!B2120</f>
        <v/>
      </c>
      <c r="C2620" s="1552">
        <f>'8.Dgia'!C2120</f>
        <v>0</v>
      </c>
      <c r="D2620" s="1552">
        <f>'8.Dgia'!D2120</f>
        <v>0</v>
      </c>
      <c r="E2620" s="1775" t="str">
        <f>'8.Dgia'!E2120</f>
        <v>Cấp phối đá dăm loại 2</v>
      </c>
      <c r="F2620" s="1786" t="str">
        <f>'8.Dgia'!G2120</f>
        <v>m3</v>
      </c>
      <c r="G2620" s="1772">
        <f>'8.Dgia'!H2120/100</f>
        <v>1.42</v>
      </c>
      <c r="H2620" s="1824">
        <f>GVL!$I$35</f>
        <v>285485.41224953817</v>
      </c>
      <c r="I2620" s="1824">
        <f>H2620*G2620</f>
        <v>405389.28539434419</v>
      </c>
    </row>
    <row r="2621" spans="1:12" ht="15">
      <c r="B2621" s="1551" t="str">
        <f>'8.Dgia'!B2121</f>
        <v/>
      </c>
      <c r="C2621" s="1552">
        <f>'8.Dgia'!C2121</f>
        <v>0</v>
      </c>
      <c r="D2621" s="1552">
        <f>'8.Dgia'!D2121</f>
        <v>0</v>
      </c>
      <c r="E2621" s="1770" t="str">
        <f>'8.Dgia'!E2121</f>
        <v xml:space="preserve">  B - Nhân công 4.0/7</v>
      </c>
      <c r="F2621" s="1745" t="s">
        <v>552</v>
      </c>
      <c r="G2621" s="1772">
        <f>'8.Dgia'!H2121/100</f>
        <v>3.9E-2</v>
      </c>
      <c r="H2621" s="1824">
        <f>'16.NC'!$H$18</f>
        <v>256824</v>
      </c>
      <c r="I2621" s="1826">
        <f>H2621*G2621</f>
        <v>10016.136</v>
      </c>
    </row>
    <row r="2622" spans="1:12" ht="15">
      <c r="B2622" s="1551" t="str">
        <f>'8.Dgia'!B2122</f>
        <v/>
      </c>
      <c r="C2622" s="1552">
        <f>'8.Dgia'!C2122</f>
        <v>0</v>
      </c>
      <c r="D2622" s="1552">
        <f>'8.Dgia'!D2122</f>
        <v>0</v>
      </c>
      <c r="E2622" s="1770" t="str">
        <f>'8.Dgia'!E2122</f>
        <v xml:space="preserve">  C - Máy thi công</v>
      </c>
      <c r="F2622" s="1786">
        <f>'8.Dgia'!G2122</f>
        <v>0</v>
      </c>
      <c r="G2622" s="1772">
        <f>'8.Dgia'!H2122/100</f>
        <v>0</v>
      </c>
      <c r="H2622" s="1838"/>
      <c r="I2622" s="1841">
        <f>SUM(I2623:I2629)</f>
        <v>24835.019419033364</v>
      </c>
    </row>
    <row r="2623" spans="1:12" ht="15">
      <c r="B2623" s="1551" t="str">
        <f>'8.Dgia'!B2123</f>
        <v/>
      </c>
      <c r="C2623" s="1552">
        <f>'8.Dgia'!C2123</f>
        <v>0</v>
      </c>
      <c r="D2623" s="1552">
        <f>'8.Dgia'!D2123</f>
        <v>0</v>
      </c>
      <c r="E2623" s="1775" t="str">
        <f>'8.Dgia'!E2123</f>
        <v>Máy ủi 110cv</v>
      </c>
      <c r="F2623" s="1745" t="s">
        <v>5493</v>
      </c>
      <c r="G2623" s="1772">
        <f>'8.Dgia'!H2123/100</f>
        <v>4.1999999999999997E-3</v>
      </c>
      <c r="H2623" s="1824">
        <f>'9.may'!$P$70</f>
        <v>1959433.0499999998</v>
      </c>
      <c r="I2623" s="1824">
        <f t="shared" ref="I2623:I2628" si="22">H2623*G2623</f>
        <v>8229.6188099999981</v>
      </c>
    </row>
    <row r="2624" spans="1:12" ht="15">
      <c r="B2624" s="1551" t="str">
        <f>'8.Dgia'!B2124</f>
        <v/>
      </c>
      <c r="C2624" s="1552">
        <f>'8.Dgia'!C2124</f>
        <v>0</v>
      </c>
      <c r="D2624" s="1552">
        <f>'8.Dgia'!D2124</f>
        <v>0</v>
      </c>
      <c r="E2624" s="1775" t="str">
        <f>'8.Dgia'!E2124</f>
        <v>Máy san 108cv</v>
      </c>
      <c r="F2624" s="1745" t="s">
        <v>5493</v>
      </c>
      <c r="G2624" s="1772">
        <f>'8.Dgia'!H2124/100</f>
        <v>8.0000000000000004E-4</v>
      </c>
      <c r="H2624" s="1824">
        <f>'9.may'!$P$94</f>
        <v>1686858.9507272728</v>
      </c>
      <c r="I2624" s="1824">
        <f t="shared" si="22"/>
        <v>1349.4871605818182</v>
      </c>
    </row>
    <row r="2625" spans="1:12" ht="15">
      <c r="B2625" s="1551" t="str">
        <f>'8.Dgia'!B2125</f>
        <v/>
      </c>
      <c r="C2625" s="1552">
        <f>'8.Dgia'!C2125</f>
        <v>0</v>
      </c>
      <c r="D2625" s="1552">
        <f>'8.Dgia'!D2125</f>
        <v>0</v>
      </c>
      <c r="E2625" s="1775" t="str">
        <f>'8.Dgia'!E2125</f>
        <v>Máy lu rung 25T</v>
      </c>
      <c r="F2625" s="1745" t="s">
        <v>5493</v>
      </c>
      <c r="G2625" s="1772">
        <f>'8.Dgia'!H2125/100</f>
        <v>2.0999999999999999E-3</v>
      </c>
      <c r="H2625" s="1824">
        <f>'9.may'!$P$116</f>
        <v>3012470.1054545455</v>
      </c>
      <c r="I2625" s="1824">
        <f t="shared" si="22"/>
        <v>6326.1872214545447</v>
      </c>
    </row>
    <row r="2626" spans="1:12" ht="15">
      <c r="B2626" s="1551" t="str">
        <f>'8.Dgia'!B2126</f>
        <v/>
      </c>
      <c r="C2626" s="1552">
        <f>'8.Dgia'!C2126</f>
        <v>0</v>
      </c>
      <c r="D2626" s="1552">
        <f>'8.Dgia'!D2126</f>
        <v>0</v>
      </c>
      <c r="E2626" s="1775" t="str">
        <f>'8.Dgia'!E2126</f>
        <v>Lu bánh lốp 16T</v>
      </c>
      <c r="F2626" s="1745" t="s">
        <v>5493</v>
      </c>
      <c r="G2626" s="1772">
        <f>'8.Dgia'!H2126/100</f>
        <v>3.4000000000000002E-3</v>
      </c>
      <c r="H2626" s="1824">
        <f>'9.may'!$P$109</f>
        <v>1394407.2218181817</v>
      </c>
      <c r="I2626" s="1824">
        <f t="shared" si="22"/>
        <v>4740.9845541818177</v>
      </c>
    </row>
    <row r="2627" spans="1:12" ht="15">
      <c r="B2627" s="1551" t="str">
        <f>'8.Dgia'!B2127</f>
        <v/>
      </c>
      <c r="C2627" s="1552">
        <f>'8.Dgia'!C2127</f>
        <v>0</v>
      </c>
      <c r="D2627" s="1552">
        <f>'8.Dgia'!D2127</f>
        <v>0</v>
      </c>
      <c r="E2627" s="1775" t="str">
        <f>'8.Dgia'!E2127</f>
        <v>Máy lu bánh thép 10T</v>
      </c>
      <c r="F2627" s="1745" t="s">
        <v>5493</v>
      </c>
      <c r="G2627" s="1772">
        <f>'8.Dgia'!H2127/100</f>
        <v>2.0999999999999999E-3</v>
      </c>
      <c r="H2627" s="1824">
        <f>'9.may'!$P$122</f>
        <v>950702.42999999993</v>
      </c>
      <c r="I2627" s="1824">
        <f t="shared" si="22"/>
        <v>1996.4751029999998</v>
      </c>
    </row>
    <row r="2628" spans="1:12" ht="15">
      <c r="B2628" s="1551" t="str">
        <f>'8.Dgia'!B2128</f>
        <v/>
      </c>
      <c r="C2628" s="1552">
        <f>'8.Dgia'!C2128</f>
        <v>0</v>
      </c>
      <c r="D2628" s="1552">
        <f>'8.Dgia'!D2128</f>
        <v>0</v>
      </c>
      <c r="E2628" s="1775" t="str">
        <f>'8.Dgia'!E2128</f>
        <v>Ôtô tưới nước 5m3</v>
      </c>
      <c r="F2628" s="1745" t="s">
        <v>5493</v>
      </c>
      <c r="G2628" s="1772">
        <f>'8.Dgia'!H2128/100</f>
        <v>2.0999999999999999E-3</v>
      </c>
      <c r="H2628" s="1824">
        <f>'9.may'!$P$175</f>
        <v>985099.64727272722</v>
      </c>
      <c r="I2628" s="1824">
        <f t="shared" si="22"/>
        <v>2068.7092592727272</v>
      </c>
    </row>
    <row r="2629" spans="1:12" ht="15">
      <c r="B2629" s="1551" t="str">
        <f>'8.Dgia'!B2129</f>
        <v/>
      </c>
      <c r="C2629" s="1552">
        <f>'8.Dgia'!C2129</f>
        <v>0</v>
      </c>
      <c r="D2629" s="1552">
        <f>'8.Dgia'!D2129</f>
        <v>0</v>
      </c>
      <c r="E2629" s="1775" t="str">
        <f>'8.Dgia'!E2129</f>
        <v>Máy khác</v>
      </c>
      <c r="F2629" s="1786" t="str">
        <f>'8.Dgia'!G2129</f>
        <v>%</v>
      </c>
      <c r="G2629" s="1772">
        <f>'8.Dgia'!H2129</f>
        <v>0.5</v>
      </c>
      <c r="H2629" s="1824">
        <f>SUM(I2623:I2628)</f>
        <v>24711.462108490909</v>
      </c>
      <c r="I2629" s="1824">
        <f>H2629*G2629%</f>
        <v>123.55731054245454</v>
      </c>
    </row>
    <row r="2630" spans="1:12" s="658" customFormat="1" ht="15">
      <c r="B2630" s="1677"/>
      <c r="C2630" s="1678"/>
      <c r="D2630" s="1678"/>
      <c r="E2630" s="1828" t="s">
        <v>5675</v>
      </c>
      <c r="F2630" s="1786">
        <f>$J$5</f>
        <v>0.02</v>
      </c>
      <c r="G2630" s="1780"/>
      <c r="H2630" s="1829"/>
      <c r="I2630" s="1830">
        <f>( I2619+I2621+I2622 )*F2630</f>
        <v>8804.8088162675522</v>
      </c>
      <c r="J2630" s="850"/>
      <c r="K2630" s="850"/>
      <c r="L2630" s="850"/>
    </row>
    <row r="2631" spans="1:12" ht="15">
      <c r="B2631" s="1556"/>
      <c r="C2631" s="1557"/>
      <c r="D2631" s="1557"/>
      <c r="E2631" s="1831" t="s">
        <v>5676</v>
      </c>
      <c r="F2631" s="1786"/>
      <c r="G2631" s="1783"/>
      <c r="H2631" s="1832"/>
      <c r="I2631" s="1833">
        <f>I2630+I2630/F2630</f>
        <v>449045.24962964514</v>
      </c>
    </row>
    <row r="2632" spans="1:12" ht="15">
      <c r="B2632" s="1551"/>
      <c r="C2632" s="1552"/>
      <c r="D2632" s="1552"/>
      <c r="E2632" s="1834" t="s">
        <v>5677</v>
      </c>
      <c r="F2632" s="1786">
        <f>$K$5</f>
        <v>5.5E-2</v>
      </c>
      <c r="G2632" s="1772"/>
      <c r="H2632" s="1824"/>
      <c r="I2632" s="1835">
        <f>I2631*F2632</f>
        <v>24697.488729630484</v>
      </c>
    </row>
    <row r="2633" spans="1:12" ht="15">
      <c r="B2633" s="1551"/>
      <c r="C2633" s="1552"/>
      <c r="D2633" s="1552"/>
      <c r="E2633" s="1834" t="s">
        <v>5678</v>
      </c>
      <c r="F2633" s="1786">
        <f>$L$5</f>
        <v>0.06</v>
      </c>
      <c r="G2633" s="1772"/>
      <c r="H2633" s="1824"/>
      <c r="I2633" s="1835">
        <f>SUM(I2631:I2632)*F2633</f>
        <v>28424.564301556537</v>
      </c>
    </row>
    <row r="2634" spans="1:12" ht="14.25">
      <c r="B2634" s="1556"/>
      <c r="C2634" s="1557"/>
      <c r="D2634" s="1557"/>
      <c r="E2634" s="1831" t="s">
        <v>5679</v>
      </c>
      <c r="F2634" s="1787"/>
      <c r="G2634" s="1783"/>
      <c r="H2634" s="1832"/>
      <c r="I2634" s="1833">
        <f>SUM(I2631:I2633)</f>
        <v>502167.30266083218</v>
      </c>
    </row>
    <row r="2635" spans="1:12" ht="15">
      <c r="B2635" s="1551"/>
      <c r="C2635" s="1552"/>
      <c r="D2635" s="1552"/>
      <c r="E2635" s="1834" t="s">
        <v>5680</v>
      </c>
      <c r="F2635" s="1788">
        <f>$M$5</f>
        <v>0.1</v>
      </c>
      <c r="G2635" s="1772"/>
      <c r="H2635" s="1824"/>
      <c r="I2635" s="1835">
        <f>I2634*F2635</f>
        <v>50216.730266083221</v>
      </c>
    </row>
    <row r="2636" spans="1:12" ht="14.25">
      <c r="B2636" s="1556"/>
      <c r="C2636" s="1557"/>
      <c r="D2636" s="1557"/>
      <c r="E2636" s="1831" t="s">
        <v>5681</v>
      </c>
      <c r="F2636" s="1787"/>
      <c r="G2636" s="1783"/>
      <c r="H2636" s="1832"/>
      <c r="I2636" s="1833">
        <f>SUM(I2634:I2635)</f>
        <v>552384.03292691545</v>
      </c>
    </row>
    <row r="2637" spans="1:12" ht="12.75">
      <c r="B2637" s="1551"/>
      <c r="C2637" s="1552"/>
      <c r="D2637" s="1552"/>
      <c r="E2637" s="1558" t="s">
        <v>5682</v>
      </c>
      <c r="F2637" s="1560">
        <f>$N$5</f>
        <v>0.01</v>
      </c>
      <c r="G2637" s="1553"/>
      <c r="H2637" s="1554"/>
      <c r="I2637" s="1559">
        <f>I2636*F2637</f>
        <v>5523.8403292691546</v>
      </c>
    </row>
    <row r="2638" spans="1:12" ht="14.25">
      <c r="B2638" s="2123"/>
      <c r="C2638" s="1561"/>
      <c r="D2638" s="2124"/>
      <c r="E2638" s="2112" t="s">
        <v>5683</v>
      </c>
      <c r="F2638" s="2113"/>
      <c r="G2638" s="2125"/>
      <c r="H2638" s="2126"/>
      <c r="I2638" s="2110">
        <f>ROUND(I2636+I2637,-2)</f>
        <v>557900</v>
      </c>
    </row>
    <row r="2639" spans="1:12" ht="14.25">
      <c r="A2639" s="657">
        <v>1</v>
      </c>
      <c r="B2639" s="1546">
        <f>IF(A2639&lt;&gt;0,COUNTA(A$7:$A2639),"")</f>
        <v>147</v>
      </c>
      <c r="C2639" s="1547">
        <f>'8.Dgia'!C2270</f>
        <v>1776</v>
      </c>
      <c r="D2639" s="1547" t="str">
        <f>'8.Dgia'!D2270</f>
        <v>AE.11920</v>
      </c>
      <c r="E2639" s="1740" t="str">
        <f>'8.Dgia'!E2270</f>
        <v>Xây mái dốc thẳng bằng đá hộc C10</v>
      </c>
      <c r="F2639" s="1789" t="str">
        <f>'8.Dgia'!G2270</f>
        <v>m3</v>
      </c>
      <c r="G2639" s="1742">
        <f>'8.Dgia'!H2270</f>
        <v>0</v>
      </c>
      <c r="H2639" s="1844"/>
      <c r="I2639" s="1843"/>
      <c r="J2639" s="842">
        <f>+I2640</f>
        <v>662013.84887394588</v>
      </c>
      <c r="K2639" s="842">
        <f>+I2644</f>
        <v>516437.04</v>
      </c>
    </row>
    <row r="2640" spans="1:12" ht="15">
      <c r="B2640" s="1536" t="str">
        <f>'8.Dgia'!B2271</f>
        <v/>
      </c>
      <c r="C2640" s="1537">
        <f>'8.Dgia'!C2271</f>
        <v>0</v>
      </c>
      <c r="D2640" s="1537">
        <f>'8.Dgia'!D2271</f>
        <v>0</v>
      </c>
      <c r="E2640" s="1744" t="str">
        <f>'8.Dgia'!E2271</f>
        <v xml:space="preserve">  A - Vật liệu</v>
      </c>
      <c r="F2640" s="1763">
        <f>'8.Dgia'!G2271</f>
        <v>0</v>
      </c>
      <c r="G2640" s="1746">
        <f>'8.Dgia'!H2271</f>
        <v>0</v>
      </c>
      <c r="H2640" s="1845"/>
      <c r="I2640" s="1846">
        <f>SUM(I2641:I2643)</f>
        <v>662013.84887394588</v>
      </c>
    </row>
    <row r="2641" spans="1:12" ht="15">
      <c r="B2641" s="1536" t="str">
        <f>'8.Dgia'!B2272</f>
        <v/>
      </c>
      <c r="C2641" s="1537">
        <f>'8.Dgia'!C2272</f>
        <v>0</v>
      </c>
      <c r="D2641" s="1537">
        <f>'8.Dgia'!D2272</f>
        <v>0</v>
      </c>
      <c r="E2641" s="1749" t="str">
        <f>'8.Dgia'!E2272</f>
        <v>Đá hộc</v>
      </c>
      <c r="F2641" s="1763" t="str">
        <f>'8.Dgia'!G2272</f>
        <v>m3</v>
      </c>
      <c r="G2641" s="1746">
        <f>'8.Dgia'!H2272</f>
        <v>1.2</v>
      </c>
      <c r="H2641" s="1747">
        <f>GVL!$I$62</f>
        <v>326292.57724953815</v>
      </c>
      <c r="I2641" s="1747">
        <f>H2641*G2641</f>
        <v>391551.09269944578</v>
      </c>
    </row>
    <row r="2642" spans="1:12" ht="15">
      <c r="B2642" s="1536" t="str">
        <f>'8.Dgia'!B2273</f>
        <v/>
      </c>
      <c r="C2642" s="1537">
        <f>'8.Dgia'!C2273</f>
        <v>0</v>
      </c>
      <c r="D2642" s="1537">
        <f>'8.Dgia'!D2273</f>
        <v>0</v>
      </c>
      <c r="E2642" s="1749" t="str">
        <f>'8.Dgia'!E2273</f>
        <v>Đá 4x6</v>
      </c>
      <c r="F2642" s="1763" t="str">
        <f>'8.Dgia'!G2273</f>
        <v>m3</v>
      </c>
      <c r="G2642" s="1746">
        <f>'8.Dgia'!H2273</f>
        <v>5.7000000000000002E-2</v>
      </c>
      <c r="H2642" s="1747">
        <f>GVL!$I$60</f>
        <v>330147.95224953815</v>
      </c>
      <c r="I2642" s="1747">
        <f>H2642*G2642</f>
        <v>18818.433278223674</v>
      </c>
    </row>
    <row r="2643" spans="1:12" ht="15">
      <c r="B2643" s="1536" t="str">
        <f>'8.Dgia'!B2274</f>
        <v/>
      </c>
      <c r="C2643" s="1537">
        <f>'8.Dgia'!C2274</f>
        <v>0</v>
      </c>
      <c r="D2643" s="1537" t="str">
        <f>'8.Dgia'!D2274</f>
        <v>B2215</v>
      </c>
      <c r="E2643" s="1749" t="str">
        <f>'8.Dgia'!E2274</f>
        <v>Vữa xi măng C10</v>
      </c>
      <c r="F2643" s="1763" t="str">
        <f>'8.Dgia'!G2274</f>
        <v>m3</v>
      </c>
      <c r="G2643" s="1746">
        <f>'8.Dgia'!H2274</f>
        <v>0.42</v>
      </c>
      <c r="H2643" s="1747">
        <f>GVL!$I$205</f>
        <v>599153.14975303912</v>
      </c>
      <c r="I2643" s="1747">
        <f>H2643*G2643</f>
        <v>251644.32289627643</v>
      </c>
    </row>
    <row r="2644" spans="1:12" ht="15">
      <c r="B2644" s="1536" t="str">
        <f>'8.Dgia'!B2275</f>
        <v/>
      </c>
      <c r="C2644" s="1537">
        <f>'8.Dgia'!C2275</f>
        <v>0</v>
      </c>
      <c r="D2644" s="1537">
        <f>'8.Dgia'!D2275</f>
        <v>0</v>
      </c>
      <c r="E2644" s="1744" t="str">
        <f>'8.Dgia'!E2275</f>
        <v xml:space="preserve">  B - Nhân công 3.5/7</v>
      </c>
      <c r="F2644" s="1745" t="s">
        <v>552</v>
      </c>
      <c r="G2644" s="1746">
        <f>'8.Dgia'!H2275</f>
        <v>2.19</v>
      </c>
      <c r="H2644" s="1747">
        <f>'16.NC'!$H$16</f>
        <v>235816</v>
      </c>
      <c r="I2644" s="1750">
        <f>H2644*G2644</f>
        <v>516437.04</v>
      </c>
    </row>
    <row r="2645" spans="1:12" s="658" customFormat="1" ht="15">
      <c r="B2645" s="1675"/>
      <c r="C2645" s="1676"/>
      <c r="D2645" s="1676"/>
      <c r="E2645" s="1752" t="s">
        <v>5675</v>
      </c>
      <c r="F2645" s="1763">
        <f>$J$5</f>
        <v>0.02</v>
      </c>
      <c r="G2645" s="1754"/>
      <c r="H2645" s="1755"/>
      <c r="I2645" s="1756">
        <f>( I2640+I2644 )*F2645</f>
        <v>23569.017777478919</v>
      </c>
      <c r="J2645" s="850"/>
      <c r="K2645" s="850"/>
      <c r="L2645" s="850"/>
    </row>
    <row r="2646" spans="1:12" ht="15">
      <c r="B2646" s="1540"/>
      <c r="C2646" s="1541"/>
      <c r="D2646" s="1541"/>
      <c r="E2646" s="1757" t="s">
        <v>5676</v>
      </c>
      <c r="F2646" s="1763"/>
      <c r="G2646" s="1759"/>
      <c r="H2646" s="1760"/>
      <c r="I2646" s="1761">
        <f>I2645+I2645/F2645</f>
        <v>1202019.9066514249</v>
      </c>
    </row>
    <row r="2647" spans="1:12" ht="15">
      <c r="B2647" s="1536"/>
      <c r="C2647" s="1537"/>
      <c r="D2647" s="1537"/>
      <c r="E2647" s="1762" t="s">
        <v>5677</v>
      </c>
      <c r="F2647" s="1763">
        <f>$K$5</f>
        <v>5.5E-2</v>
      </c>
      <c r="G2647" s="1746"/>
      <c r="H2647" s="1747"/>
      <c r="I2647" s="1764">
        <f>I2646*F2647</f>
        <v>66111.094865828374</v>
      </c>
    </row>
    <row r="2648" spans="1:12" ht="15">
      <c r="B2648" s="1536"/>
      <c r="C2648" s="1537"/>
      <c r="D2648" s="1537"/>
      <c r="E2648" s="1762" t="s">
        <v>5678</v>
      </c>
      <c r="F2648" s="1763">
        <f>$L$5</f>
        <v>0.06</v>
      </c>
      <c r="G2648" s="1746"/>
      <c r="H2648" s="1747"/>
      <c r="I2648" s="1764">
        <f>SUM(I2646:I2647)*F2648</f>
        <v>76087.860091035196</v>
      </c>
    </row>
    <row r="2649" spans="1:12" ht="14.25">
      <c r="B2649" s="1540"/>
      <c r="C2649" s="1541"/>
      <c r="D2649" s="1541"/>
      <c r="E2649" s="1757" t="s">
        <v>5679</v>
      </c>
      <c r="F2649" s="1791"/>
      <c r="G2649" s="1759"/>
      <c r="H2649" s="1760"/>
      <c r="I2649" s="1761">
        <f>SUM(I2646:I2648)</f>
        <v>1344218.8616082885</v>
      </c>
    </row>
    <row r="2650" spans="1:12" ht="15">
      <c r="B2650" s="1536"/>
      <c r="C2650" s="1537"/>
      <c r="D2650" s="1537"/>
      <c r="E2650" s="1762" t="s">
        <v>5680</v>
      </c>
      <c r="F2650" s="1765">
        <f>$M$5</f>
        <v>0.1</v>
      </c>
      <c r="G2650" s="1746"/>
      <c r="H2650" s="1747"/>
      <c r="I2650" s="1764">
        <f>I2649*F2650</f>
        <v>134421.88616082884</v>
      </c>
    </row>
    <row r="2651" spans="1:12" ht="14.25">
      <c r="B2651" s="1540"/>
      <c r="C2651" s="1541"/>
      <c r="D2651" s="1541"/>
      <c r="E2651" s="1757" t="s">
        <v>5681</v>
      </c>
      <c r="F2651" s="1791"/>
      <c r="G2651" s="1759"/>
      <c r="H2651" s="1760"/>
      <c r="I2651" s="1761">
        <f>SUM(I2649:I2650)</f>
        <v>1478640.7477691174</v>
      </c>
    </row>
    <row r="2652" spans="1:12" ht="12.75">
      <c r="B2652" s="1536"/>
      <c r="C2652" s="1537"/>
      <c r="D2652" s="1537"/>
      <c r="E2652" s="1533" t="s">
        <v>5682</v>
      </c>
      <c r="F2652" s="1535">
        <f>$N$5</f>
        <v>0.01</v>
      </c>
      <c r="G2652" s="1538"/>
      <c r="H2652" s="1532"/>
      <c r="I2652" s="1534">
        <f>I2651*F2652</f>
        <v>14786.407477691173</v>
      </c>
    </row>
    <row r="2653" spans="1:12" ht="14.25">
      <c r="B2653" s="2104"/>
      <c r="C2653" s="1543"/>
      <c r="D2653" s="2105"/>
      <c r="E2653" s="2106" t="s">
        <v>5683</v>
      </c>
      <c r="F2653" s="2115"/>
      <c r="G2653" s="2108"/>
      <c r="H2653" s="2109"/>
      <c r="I2653" s="2110">
        <f>ROUND(I2651+I2652,-2)</f>
        <v>1493400</v>
      </c>
    </row>
    <row r="2654" spans="1:12" ht="14.25">
      <c r="A2654" s="657">
        <v>1</v>
      </c>
      <c r="B2654" s="1546">
        <f>IF(A2654&lt;&gt;0,COUNTA(A$7:$A2654),"")</f>
        <v>148</v>
      </c>
      <c r="C2654" s="1547">
        <f>'8.Dgia'!C2318</f>
        <v>0</v>
      </c>
      <c r="D2654" s="1547" t="str">
        <f>'8.Dgia'!D2318</f>
        <v>Tạm tính</v>
      </c>
      <c r="E2654" s="1740" t="str">
        <f>'8.Dgia'!E2318</f>
        <v>Bu lông M16</v>
      </c>
      <c r="F2654" s="1789" t="s">
        <v>307</v>
      </c>
      <c r="G2654" s="1742">
        <f>'8.Dgia'!H2318</f>
        <v>0</v>
      </c>
      <c r="H2654" s="1795"/>
      <c r="I2654" s="1795"/>
      <c r="J2654" s="842">
        <f>+I2655</f>
        <v>3500</v>
      </c>
    </row>
    <row r="2655" spans="1:12" s="658" customFormat="1" ht="15">
      <c r="B2655" s="1536" t="str">
        <f>'8.Dgia'!B2319</f>
        <v/>
      </c>
      <c r="C2655" s="1537">
        <f>'8.Dgia'!C2319</f>
        <v>0</v>
      </c>
      <c r="D2655" s="1537">
        <f>'8.Dgia'!D2319</f>
        <v>0</v>
      </c>
      <c r="E2655" s="1744" t="str">
        <f>'8.Dgia'!E2319</f>
        <v xml:space="preserve">  A - Vật liệu</v>
      </c>
      <c r="F2655" s="1763">
        <f>'8.Dgia'!G2319</f>
        <v>0</v>
      </c>
      <c r="G2655" s="1746">
        <f>'8.Dgia'!H2319</f>
        <v>0</v>
      </c>
      <c r="H2655" s="1796"/>
      <c r="I2655" s="1797">
        <f>+I2656</f>
        <v>3500</v>
      </c>
      <c r="J2655" s="850"/>
      <c r="K2655" s="850"/>
      <c r="L2655" s="850"/>
    </row>
    <row r="2656" spans="1:12" ht="15">
      <c r="B2656" s="1536" t="str">
        <f>'8.Dgia'!B2320</f>
        <v/>
      </c>
      <c r="C2656" s="1537">
        <f>'8.Dgia'!C2320</f>
        <v>0</v>
      </c>
      <c r="D2656" s="1537">
        <f>'8.Dgia'!D2320</f>
        <v>0</v>
      </c>
      <c r="E2656" s="1749" t="str">
        <f>'8.Dgia'!E2320</f>
        <v>Bu lông M16</v>
      </c>
      <c r="F2656" s="1763" t="s">
        <v>307</v>
      </c>
      <c r="G2656" s="1746">
        <f>'8.Dgia'!H2320</f>
        <v>1</v>
      </c>
      <c r="H2656" s="1796">
        <f>GVL!$I$27</f>
        <v>3500</v>
      </c>
      <c r="I2656" s="1796">
        <f>H2656*G2656</f>
        <v>3500</v>
      </c>
    </row>
    <row r="2657" spans="1:12" s="658" customFormat="1" ht="15">
      <c r="B2657" s="1675"/>
      <c r="C2657" s="1676"/>
      <c r="D2657" s="1676"/>
      <c r="E2657" s="1800" t="s">
        <v>5675</v>
      </c>
      <c r="F2657" s="1763">
        <f>$J$5</f>
        <v>0.02</v>
      </c>
      <c r="G2657" s="1754"/>
      <c r="H2657" s="1799"/>
      <c r="I2657" s="1799">
        <f>( I2655 )*F2657</f>
        <v>70</v>
      </c>
      <c r="J2657" s="850"/>
      <c r="K2657" s="850"/>
      <c r="L2657" s="850"/>
    </row>
    <row r="2658" spans="1:12" ht="15">
      <c r="B2658" s="1540"/>
      <c r="C2658" s="1541"/>
      <c r="D2658" s="1541"/>
      <c r="E2658" s="1801" t="s">
        <v>5676</v>
      </c>
      <c r="F2658" s="1763"/>
      <c r="G2658" s="1759"/>
      <c r="H2658" s="1802"/>
      <c r="I2658" s="1802">
        <f>I2657+I2657/F2657</f>
        <v>3570</v>
      </c>
    </row>
    <row r="2659" spans="1:12" ht="15">
      <c r="B2659" s="1536"/>
      <c r="C2659" s="1537"/>
      <c r="D2659" s="1537"/>
      <c r="E2659" s="1803" t="s">
        <v>5677</v>
      </c>
      <c r="F2659" s="1763">
        <f>$K$5</f>
        <v>5.5E-2</v>
      </c>
      <c r="G2659" s="1746"/>
      <c r="H2659" s="1796"/>
      <c r="I2659" s="1796">
        <f>I2658*F2659</f>
        <v>196.35</v>
      </c>
    </row>
    <row r="2660" spans="1:12" ht="15">
      <c r="B2660" s="1536"/>
      <c r="C2660" s="1537"/>
      <c r="D2660" s="1537"/>
      <c r="E2660" s="1803" t="s">
        <v>5678</v>
      </c>
      <c r="F2660" s="1763">
        <f>$L$5</f>
        <v>0.06</v>
      </c>
      <c r="G2660" s="1746"/>
      <c r="H2660" s="1796"/>
      <c r="I2660" s="1796">
        <f>SUM(I2658:I2659)*F2660</f>
        <v>225.98099999999999</v>
      </c>
    </row>
    <row r="2661" spans="1:12" ht="14.25">
      <c r="B2661" s="1540"/>
      <c r="C2661" s="1541"/>
      <c r="D2661" s="1541"/>
      <c r="E2661" s="1801" t="s">
        <v>5679</v>
      </c>
      <c r="F2661" s="1791"/>
      <c r="G2661" s="1759"/>
      <c r="H2661" s="1802"/>
      <c r="I2661" s="1802">
        <f>SUM(I2658:I2660)</f>
        <v>3992.3310000000001</v>
      </c>
    </row>
    <row r="2662" spans="1:12" ht="15">
      <c r="B2662" s="1536"/>
      <c r="C2662" s="1537"/>
      <c r="D2662" s="1537"/>
      <c r="E2662" s="1803" t="s">
        <v>5680</v>
      </c>
      <c r="F2662" s="1765">
        <f>$M$5</f>
        <v>0.1</v>
      </c>
      <c r="G2662" s="1746"/>
      <c r="H2662" s="1796"/>
      <c r="I2662" s="1796">
        <f>I2661*F2662</f>
        <v>399.23310000000004</v>
      </c>
    </row>
    <row r="2663" spans="1:12" ht="14.25">
      <c r="B2663" s="1540"/>
      <c r="C2663" s="1541"/>
      <c r="D2663" s="1541"/>
      <c r="E2663" s="1801" t="s">
        <v>5681</v>
      </c>
      <c r="F2663" s="1791"/>
      <c r="G2663" s="1759"/>
      <c r="H2663" s="1802"/>
      <c r="I2663" s="1802">
        <f>SUM(I2661:I2662)</f>
        <v>4391.5641000000005</v>
      </c>
    </row>
    <row r="2664" spans="1:12" ht="12.75">
      <c r="B2664" s="1536"/>
      <c r="C2664" s="1537"/>
      <c r="D2664" s="1537"/>
      <c r="E2664" s="1464" t="s">
        <v>5682</v>
      </c>
      <c r="F2664" s="1535">
        <f>$N$5</f>
        <v>0.01</v>
      </c>
      <c r="G2664" s="1538"/>
      <c r="H2664" s="1539"/>
      <c r="I2664" s="1539">
        <f>I2663*F2664</f>
        <v>43.915641000000008</v>
      </c>
    </row>
    <row r="2665" spans="1:12" ht="14.25">
      <c r="B2665" s="2116"/>
      <c r="C2665" s="1544"/>
      <c r="D2665" s="2116"/>
      <c r="E2665" s="2117" t="s">
        <v>5683</v>
      </c>
      <c r="F2665" s="2115"/>
      <c r="G2665" s="2117"/>
      <c r="H2665" s="2118"/>
      <c r="I2665" s="2110">
        <f>ROUND(I2663+I2664,-2)</f>
        <v>4400</v>
      </c>
    </row>
    <row r="2666" spans="1:12" ht="14.25">
      <c r="A2666" s="657">
        <v>1</v>
      </c>
      <c r="B2666" s="1546">
        <f>IF(A2666&lt;&gt;0,COUNTA(A$7:$A2666),"")</f>
        <v>149</v>
      </c>
      <c r="C2666" s="1547">
        <f>'8.Dgia'!C2321</f>
        <v>1776</v>
      </c>
      <c r="D2666" s="1547" t="s">
        <v>3552</v>
      </c>
      <c r="E2666" s="1740" t="str">
        <f>'8.Dgia'!E2321</f>
        <v>Thép neo mạ kẽm</v>
      </c>
      <c r="F2666" s="1789" t="s">
        <v>557</v>
      </c>
      <c r="G2666" s="1742">
        <f>'8.Dgia'!H2321</f>
        <v>0</v>
      </c>
      <c r="H2666" s="1743"/>
      <c r="I2666" s="1743"/>
      <c r="J2666" s="842">
        <f>+I2667</f>
        <v>40800000</v>
      </c>
      <c r="K2666" s="842">
        <f>+I2670</f>
        <v>2504034</v>
      </c>
      <c r="L2666" s="842">
        <f>+I2671</f>
        <v>480192.86971363635</v>
      </c>
    </row>
    <row r="2667" spans="1:12" s="658" customFormat="1" ht="15">
      <c r="B2667" s="1536" t="str">
        <f>'8.Dgia'!B2322</f>
        <v/>
      </c>
      <c r="C2667" s="1537">
        <f>'8.Dgia'!C2322</f>
        <v>0</v>
      </c>
      <c r="D2667" s="1537">
        <f>'8.Dgia'!D2322</f>
        <v>0</v>
      </c>
      <c r="E2667" s="1744" t="str">
        <f>'8.Dgia'!E2322</f>
        <v xml:space="preserve">  A - Vật liệu</v>
      </c>
      <c r="F2667" s="1763">
        <f>'8.Dgia'!G2322</f>
        <v>0</v>
      </c>
      <c r="G2667" s="1746">
        <f>'8.Dgia'!H2322</f>
        <v>0</v>
      </c>
      <c r="H2667" s="1747"/>
      <c r="I2667" s="1748">
        <f>SUM(I2668:I2669)</f>
        <v>40800000</v>
      </c>
      <c r="J2667" s="850"/>
      <c r="K2667" s="850"/>
      <c r="L2667" s="850"/>
    </row>
    <row r="2668" spans="1:12" s="658" customFormat="1" ht="18.75" customHeight="1">
      <c r="B2668" s="1536" t="str">
        <f>'8.Dgia'!B2323</f>
        <v/>
      </c>
      <c r="C2668" s="1537">
        <f>'8.Dgia'!C2323</f>
        <v>0</v>
      </c>
      <c r="D2668" s="1537" t="s">
        <v>5869</v>
      </c>
      <c r="E2668" s="1749" t="str">
        <f>'8.Dgia'!E2323</f>
        <v>Thép neo mạ kẽm</v>
      </c>
      <c r="F2668" s="1763" t="str">
        <f>'8.Dgia'!G2323</f>
        <v>kg</v>
      </c>
      <c r="G2668" s="1982">
        <f>'8.Dgia'!H2323</f>
        <v>1020</v>
      </c>
      <c r="H2668" s="1747">
        <f>GVL!$I$173</f>
        <v>32000</v>
      </c>
      <c r="I2668" s="1747">
        <f>H2668*G2668</f>
        <v>32640000</v>
      </c>
      <c r="J2668" s="850"/>
      <c r="K2668" s="850"/>
      <c r="L2668" s="850"/>
    </row>
    <row r="2669" spans="1:12" s="658" customFormat="1" ht="15">
      <c r="B2669" s="1536" t="str">
        <f>'8.Dgia'!B2324</f>
        <v/>
      </c>
      <c r="C2669" s="1537">
        <f>'8.Dgia'!C2324</f>
        <v>0</v>
      </c>
      <c r="D2669" s="1537">
        <f>'8.Dgia'!D2324</f>
        <v>0</v>
      </c>
      <c r="E2669" s="1749" t="str">
        <f>'8.Dgia'!E2324</f>
        <v>Gia công mạ kẽm</v>
      </c>
      <c r="F2669" s="1763" t="str">
        <f>'8.Dgia'!G2324</f>
        <v>kg</v>
      </c>
      <c r="G2669" s="1982">
        <f>'8.Dgia'!H2324</f>
        <v>1020</v>
      </c>
      <c r="H2669" s="1792">
        <f>GVL!$I$93</f>
        <v>8000</v>
      </c>
      <c r="I2669" s="1747">
        <f>H2669*G2669</f>
        <v>8160000</v>
      </c>
      <c r="J2669" s="850"/>
      <c r="K2669" s="850"/>
      <c r="L2669" s="850"/>
    </row>
    <row r="2670" spans="1:12" s="658" customFormat="1" ht="18" customHeight="1">
      <c r="B2670" s="1536" t="str">
        <f>'8.Dgia'!B2325</f>
        <v/>
      </c>
      <c r="C2670" s="1537">
        <f>'8.Dgia'!C2325</f>
        <v>0</v>
      </c>
      <c r="D2670" s="1537">
        <f>'8.Dgia'!D2325</f>
        <v>0</v>
      </c>
      <c r="E2670" s="1744" t="str">
        <f>'8.Dgia'!E2325</f>
        <v xml:space="preserve">  B - Nhân công 4.0/7</v>
      </c>
      <c r="F2670" s="1745" t="s">
        <v>552</v>
      </c>
      <c r="G2670" s="1981">
        <f>'8.Dgia'!H2325</f>
        <v>9.75</v>
      </c>
      <c r="H2670" s="1747">
        <f>'16.NC'!$H$18</f>
        <v>256824</v>
      </c>
      <c r="I2670" s="1750">
        <f>H2670*G2670</f>
        <v>2504034</v>
      </c>
      <c r="J2670" s="850"/>
      <c r="K2670" s="850"/>
      <c r="L2670" s="850"/>
    </row>
    <row r="2671" spans="1:12" s="658" customFormat="1" ht="15">
      <c r="B2671" s="1536" t="str">
        <f>'8.Dgia'!B2326</f>
        <v/>
      </c>
      <c r="C2671" s="1537">
        <f>'8.Dgia'!C2326</f>
        <v>0</v>
      </c>
      <c r="D2671" s="1537">
        <f>'8.Dgia'!D2326</f>
        <v>0</v>
      </c>
      <c r="E2671" s="1744" t="str">
        <f>'8.Dgia'!E2326</f>
        <v xml:space="preserve">  C - Máy thi công</v>
      </c>
      <c r="F2671" s="1763">
        <f>'8.Dgia'!G2326</f>
        <v>0</v>
      </c>
      <c r="G2671" s="1981">
        <f>'8.Dgia'!H2326</f>
        <v>0</v>
      </c>
      <c r="H2671" s="1747"/>
      <c r="I2671" s="1751">
        <f>SUM(I2672:I2674)</f>
        <v>480192.86971363635</v>
      </c>
      <c r="J2671" s="850"/>
      <c r="K2671" s="850"/>
      <c r="L2671" s="850"/>
    </row>
    <row r="2672" spans="1:12" s="658" customFormat="1" ht="15">
      <c r="B2672" s="1536" t="str">
        <f>'8.Dgia'!B2327</f>
        <v/>
      </c>
      <c r="C2672" s="1537">
        <f>'8.Dgia'!C2327</f>
        <v>0</v>
      </c>
      <c r="D2672" s="1537">
        <f>'8.Dgia'!D2327</f>
        <v>0</v>
      </c>
      <c r="E2672" s="1749" t="str">
        <f>'8.Dgia'!E2327</f>
        <v>Máy hàn 23kw</v>
      </c>
      <c r="F2672" s="1745" t="s">
        <v>5493</v>
      </c>
      <c r="G2672" s="1981">
        <f>'8.Dgia'!H2327</f>
        <v>1.73</v>
      </c>
      <c r="H2672" s="1747">
        <f>'9.may'!$P$510</f>
        <v>171649.155</v>
      </c>
      <c r="I2672" s="1747">
        <f>H2672*G2672</f>
        <v>296953.03814999998</v>
      </c>
      <c r="J2672" s="850"/>
      <c r="K2672" s="850"/>
      <c r="L2672" s="850"/>
    </row>
    <row r="2673" spans="1:12" s="658" customFormat="1" ht="15">
      <c r="B2673" s="1536" t="str">
        <f>'8.Dgia'!B2328</f>
        <v/>
      </c>
      <c r="C2673" s="1537">
        <f>'8.Dgia'!C2328</f>
        <v>0</v>
      </c>
      <c r="D2673" s="1537">
        <f>'8.Dgia'!D2328</f>
        <v>0</v>
      </c>
      <c r="E2673" s="1749" t="str">
        <f>'8.Dgia'!E2328</f>
        <v>Máy cắt uốn</v>
      </c>
      <c r="F2673" s="1745" t="s">
        <v>5493</v>
      </c>
      <c r="G2673" s="1981">
        <f>'8.Dgia'!H2328</f>
        <v>0.16</v>
      </c>
      <c r="H2673" s="1747">
        <f>'9.may'!$P$557</f>
        <v>80291.850000000006</v>
      </c>
      <c r="I2673" s="1747">
        <f>H2673*G2673</f>
        <v>12846.696000000002</v>
      </c>
      <c r="J2673" s="850"/>
      <c r="K2673" s="850"/>
      <c r="L2673" s="850"/>
    </row>
    <row r="2674" spans="1:12" s="658" customFormat="1" ht="15">
      <c r="B2674" s="1536" t="str">
        <f>'8.Dgia'!B2329</f>
        <v/>
      </c>
      <c r="C2674" s="1537">
        <f>'8.Dgia'!C2329</f>
        <v>0</v>
      </c>
      <c r="D2674" s="1537">
        <f>'8.Dgia'!D2329</f>
        <v>0</v>
      </c>
      <c r="E2674" s="1749" t="str">
        <f>'8.Dgia'!E2329</f>
        <v>Cần cẩu bánh xích 16T</v>
      </c>
      <c r="F2674" s="1745" t="s">
        <v>5493</v>
      </c>
      <c r="G2674" s="1981">
        <f>'8.Dgia'!H2329</f>
        <v>0.08</v>
      </c>
      <c r="H2674" s="1747">
        <f>'9.may'!$P$247</f>
        <v>2129914.1945454543</v>
      </c>
      <c r="I2674" s="1747">
        <f>H2674*G2674</f>
        <v>170393.13556363634</v>
      </c>
      <c r="J2674" s="850"/>
      <c r="K2674" s="850"/>
      <c r="L2674" s="850"/>
    </row>
    <row r="2675" spans="1:12" s="658" customFormat="1" ht="15">
      <c r="B2675" s="1675"/>
      <c r="C2675" s="1676"/>
      <c r="D2675" s="1676"/>
      <c r="E2675" s="1752" t="s">
        <v>5675</v>
      </c>
      <c r="F2675" s="1763">
        <f>$J$5</f>
        <v>0.02</v>
      </c>
      <c r="G2675" s="1754"/>
      <c r="H2675" s="1755"/>
      <c r="I2675" s="1756">
        <f>( I2667+I2670+I2671 )*F2675</f>
        <v>875684.53739427275</v>
      </c>
      <c r="J2675" s="850"/>
      <c r="K2675" s="850"/>
      <c r="L2675" s="850"/>
    </row>
    <row r="2676" spans="1:12" ht="15">
      <c r="B2676" s="1540"/>
      <c r="C2676" s="1541"/>
      <c r="D2676" s="1541"/>
      <c r="E2676" s="1757" t="s">
        <v>5676</v>
      </c>
      <c r="F2676" s="1763"/>
      <c r="G2676" s="1759"/>
      <c r="H2676" s="1760"/>
      <c r="I2676" s="1761">
        <f>I2675+I2675/F2675</f>
        <v>44659911.407107905</v>
      </c>
    </row>
    <row r="2677" spans="1:12" ht="15">
      <c r="B2677" s="1536"/>
      <c r="C2677" s="1537"/>
      <c r="D2677" s="1537"/>
      <c r="E2677" s="1762" t="s">
        <v>5677</v>
      </c>
      <c r="F2677" s="1763">
        <f>$K$5</f>
        <v>5.5E-2</v>
      </c>
      <c r="G2677" s="1746"/>
      <c r="H2677" s="1747"/>
      <c r="I2677" s="1764">
        <f>I2676*F2677</f>
        <v>2456295.1273909346</v>
      </c>
    </row>
    <row r="2678" spans="1:12" ht="15">
      <c r="B2678" s="1536"/>
      <c r="C2678" s="1537"/>
      <c r="D2678" s="1537"/>
      <c r="E2678" s="1762" t="s">
        <v>5678</v>
      </c>
      <c r="F2678" s="1763">
        <f>$L$5</f>
        <v>0.06</v>
      </c>
      <c r="G2678" s="1746"/>
      <c r="H2678" s="1747"/>
      <c r="I2678" s="1764">
        <f>SUM(I2676:I2677)*F2678</f>
        <v>2826972.3920699302</v>
      </c>
    </row>
    <row r="2679" spans="1:12" ht="14.25">
      <c r="B2679" s="1540"/>
      <c r="C2679" s="1541"/>
      <c r="D2679" s="1541"/>
      <c r="E2679" s="1757" t="s">
        <v>5679</v>
      </c>
      <c r="F2679" s="1791"/>
      <c r="G2679" s="1759"/>
      <c r="H2679" s="1760"/>
      <c r="I2679" s="1761">
        <f>SUM(I2676:I2678)</f>
        <v>49943178.926568769</v>
      </c>
    </row>
    <row r="2680" spans="1:12" ht="15">
      <c r="B2680" s="1536"/>
      <c r="C2680" s="1537"/>
      <c r="D2680" s="1537"/>
      <c r="E2680" s="1762" t="s">
        <v>5680</v>
      </c>
      <c r="F2680" s="1765">
        <f>$M$5</f>
        <v>0.1</v>
      </c>
      <c r="G2680" s="1746"/>
      <c r="H2680" s="1747"/>
      <c r="I2680" s="1764">
        <f>I2679*F2680</f>
        <v>4994317.8926568767</v>
      </c>
    </row>
    <row r="2681" spans="1:12" ht="14.25">
      <c r="B2681" s="1540"/>
      <c r="C2681" s="1541"/>
      <c r="D2681" s="1541"/>
      <c r="E2681" s="1757" t="s">
        <v>5681</v>
      </c>
      <c r="F2681" s="1791"/>
      <c r="G2681" s="1759"/>
      <c r="H2681" s="1760"/>
      <c r="I2681" s="1761">
        <f>SUM(I2679:I2680)</f>
        <v>54937496.819225647</v>
      </c>
    </row>
    <row r="2682" spans="1:12" ht="12.75">
      <c r="B2682" s="1536"/>
      <c r="C2682" s="1537"/>
      <c r="D2682" s="1537"/>
      <c r="E2682" s="1533" t="s">
        <v>5682</v>
      </c>
      <c r="F2682" s="1535">
        <f>$N$5</f>
        <v>0.01</v>
      </c>
      <c r="G2682" s="1538"/>
      <c r="H2682" s="1532"/>
      <c r="I2682" s="1534">
        <f>I2681*F2682</f>
        <v>549374.96819225652</v>
      </c>
    </row>
    <row r="2683" spans="1:12" ht="14.25">
      <c r="B2683" s="2104"/>
      <c r="C2683" s="1543"/>
      <c r="D2683" s="2105"/>
      <c r="E2683" s="2106" t="s">
        <v>5683</v>
      </c>
      <c r="F2683" s="2115"/>
      <c r="G2683" s="2108"/>
      <c r="H2683" s="2109"/>
      <c r="I2683" s="2110">
        <f>ROUND(I2681+I2682,-2)</f>
        <v>55486900</v>
      </c>
    </row>
    <row r="2684" spans="1:12" ht="14.25">
      <c r="A2684" s="657">
        <v>1</v>
      </c>
      <c r="B2684" s="1546">
        <f>IF(A2684&lt;&gt;0,COUNTA(A$7:$A2684),"")</f>
        <v>150</v>
      </c>
      <c r="C2684" s="1547">
        <f>'8.Dgia'!C2330</f>
        <v>1776</v>
      </c>
      <c r="D2684" s="1547" t="s">
        <v>29</v>
      </c>
      <c r="E2684" s="1740" t="str">
        <f>'8.Dgia'!E2330</f>
        <v>Bitum chèn mũ neo</v>
      </c>
      <c r="F2684" s="1789" t="str">
        <f>'8.Dgia'!G2330</f>
        <v>m3</v>
      </c>
      <c r="G2684" s="1742">
        <f>'8.Dgia'!H2330</f>
        <v>0</v>
      </c>
      <c r="H2684" s="1743"/>
      <c r="I2684" s="1743"/>
      <c r="J2684" s="842">
        <f>+I2685</f>
        <v>55000000</v>
      </c>
      <c r="K2684" s="842">
        <f>I2687</f>
        <v>8646586.666666666</v>
      </c>
    </row>
    <row r="2685" spans="1:12" s="658" customFormat="1" ht="15">
      <c r="B2685" s="1536" t="str">
        <f>'8.Dgia'!B2331</f>
        <v/>
      </c>
      <c r="C2685" s="1537">
        <f>'8.Dgia'!C2331</f>
        <v>0</v>
      </c>
      <c r="D2685" s="1537">
        <f>'8.Dgia'!D2331</f>
        <v>0</v>
      </c>
      <c r="E2685" s="1744" t="str">
        <f>'8.Dgia'!E2331</f>
        <v xml:space="preserve">  A - Vật liệu</v>
      </c>
      <c r="F2685" s="1763">
        <f>'8.Dgia'!G2331</f>
        <v>0</v>
      </c>
      <c r="G2685" s="1746">
        <f>'8.Dgia'!H2331</f>
        <v>0</v>
      </c>
      <c r="H2685" s="1747"/>
      <c r="I2685" s="1748">
        <f>+I2686</f>
        <v>55000000</v>
      </c>
      <c r="J2685" s="850"/>
      <c r="K2685" s="850"/>
      <c r="L2685" s="850"/>
    </row>
    <row r="2686" spans="1:12" ht="16.5" customHeight="1">
      <c r="B2686" s="1536" t="str">
        <f>'8.Dgia'!B2332</f>
        <v/>
      </c>
      <c r="C2686" s="1537">
        <f>'8.Dgia'!C2332</f>
        <v>0</v>
      </c>
      <c r="D2686" s="1537">
        <f>'8.Dgia'!D2332</f>
        <v>0</v>
      </c>
      <c r="E2686" s="1749" t="str">
        <f>'8.Dgia'!E2332</f>
        <v>Nhựa bitum</v>
      </c>
      <c r="F2686" s="1763" t="str">
        <f>'8.Dgia'!G2332</f>
        <v>kg</v>
      </c>
      <c r="G2686" s="1984">
        <f>'8.Dgia'!H2332</f>
        <v>1100</v>
      </c>
      <c r="H2686" s="1793">
        <f>GVL!$I$126</f>
        <v>50000</v>
      </c>
      <c r="I2686" s="1747">
        <f>H2686*G2686</f>
        <v>55000000</v>
      </c>
    </row>
    <row r="2687" spans="1:12" s="658" customFormat="1" ht="15" customHeight="1">
      <c r="B2687" s="1536" t="str">
        <f>'8.Dgia'!B2333</f>
        <v/>
      </c>
      <c r="C2687" s="1537">
        <f>'8.Dgia'!C2333</f>
        <v>0</v>
      </c>
      <c r="D2687" s="1537" t="s">
        <v>5869</v>
      </c>
      <c r="E2687" s="1744" t="str">
        <f>'8.Dgia'!E2333</f>
        <v xml:space="preserve">  B - Nhân công 3.5/7</v>
      </c>
      <c r="F2687" s="1745" t="s">
        <v>552</v>
      </c>
      <c r="G2687" s="1746">
        <f>'8.Dgia'!H2333</f>
        <v>36.666666666666664</v>
      </c>
      <c r="H2687" s="1747">
        <f>'16.NC'!$H$16</f>
        <v>235816</v>
      </c>
      <c r="I2687" s="1750">
        <f>H2687*G2687</f>
        <v>8646586.666666666</v>
      </c>
      <c r="J2687" s="850"/>
      <c r="K2687" s="850"/>
      <c r="L2687" s="850"/>
    </row>
    <row r="2688" spans="1:12" s="658" customFormat="1" ht="15">
      <c r="B2688" s="1675"/>
      <c r="C2688" s="1676"/>
      <c r="D2688" s="1676"/>
      <c r="E2688" s="1752" t="s">
        <v>5675</v>
      </c>
      <c r="F2688" s="1763">
        <f>$J$5</f>
        <v>0.02</v>
      </c>
      <c r="G2688" s="1754"/>
      <c r="H2688" s="1755"/>
      <c r="I2688" s="1756">
        <f>( I2685+I2687 )*F2688</f>
        <v>1272931.7333333334</v>
      </c>
      <c r="J2688" s="850"/>
      <c r="K2688" s="850"/>
      <c r="L2688" s="850"/>
    </row>
    <row r="2689" spans="1:12" ht="15">
      <c r="B2689" s="1540"/>
      <c r="C2689" s="1541"/>
      <c r="D2689" s="1541"/>
      <c r="E2689" s="1757" t="s">
        <v>5676</v>
      </c>
      <c r="F2689" s="1763"/>
      <c r="G2689" s="1759"/>
      <c r="H2689" s="1760"/>
      <c r="I2689" s="1761">
        <f>I2688+I2688/F2688</f>
        <v>64919518.400000006</v>
      </c>
    </row>
    <row r="2690" spans="1:12" ht="15">
      <c r="B2690" s="1536"/>
      <c r="C2690" s="1537"/>
      <c r="D2690" s="1537"/>
      <c r="E2690" s="1762" t="s">
        <v>5677</v>
      </c>
      <c r="F2690" s="1763">
        <f>$K$5</f>
        <v>5.5E-2</v>
      </c>
      <c r="G2690" s="1746"/>
      <c r="H2690" s="1747"/>
      <c r="I2690" s="1764">
        <f>I2689*F2690</f>
        <v>3570573.5120000006</v>
      </c>
    </row>
    <row r="2691" spans="1:12" ht="15">
      <c r="B2691" s="1536"/>
      <c r="C2691" s="1537"/>
      <c r="D2691" s="1537"/>
      <c r="E2691" s="1762" t="s">
        <v>5678</v>
      </c>
      <c r="F2691" s="1763">
        <f>$L$5</f>
        <v>0.06</v>
      </c>
      <c r="G2691" s="1746"/>
      <c r="H2691" s="1747"/>
      <c r="I2691" s="1764">
        <f>SUM(I2689:I2690)*F2691</f>
        <v>4109405.5147199999</v>
      </c>
    </row>
    <row r="2692" spans="1:12" ht="14.25">
      <c r="B2692" s="1540"/>
      <c r="C2692" s="1541"/>
      <c r="D2692" s="1541"/>
      <c r="E2692" s="1757" t="s">
        <v>5679</v>
      </c>
      <c r="F2692" s="1791"/>
      <c r="G2692" s="1759"/>
      <c r="H2692" s="1760"/>
      <c r="I2692" s="1761">
        <f>SUM(I2689:I2691)</f>
        <v>72599497.426719993</v>
      </c>
    </row>
    <row r="2693" spans="1:12" ht="15">
      <c r="B2693" s="1536"/>
      <c r="C2693" s="1537"/>
      <c r="D2693" s="1537"/>
      <c r="E2693" s="1762" t="s">
        <v>5680</v>
      </c>
      <c r="F2693" s="1765">
        <f>$M$5</f>
        <v>0.1</v>
      </c>
      <c r="G2693" s="1746"/>
      <c r="H2693" s="1747"/>
      <c r="I2693" s="1764">
        <f>I2692*F2693</f>
        <v>7259949.7426720001</v>
      </c>
    </row>
    <row r="2694" spans="1:12" ht="14.25">
      <c r="B2694" s="1540"/>
      <c r="C2694" s="1541"/>
      <c r="D2694" s="1541"/>
      <c r="E2694" s="1757" t="s">
        <v>5681</v>
      </c>
      <c r="F2694" s="1791"/>
      <c r="G2694" s="1759"/>
      <c r="H2694" s="1760"/>
      <c r="I2694" s="1761">
        <f>SUM(I2692:I2693)</f>
        <v>79859447.16939199</v>
      </c>
    </row>
    <row r="2695" spans="1:12" ht="12.75">
      <c r="B2695" s="1536"/>
      <c r="C2695" s="1537"/>
      <c r="D2695" s="1537"/>
      <c r="E2695" s="1533" t="s">
        <v>5682</v>
      </c>
      <c r="F2695" s="1535">
        <f>$N$5</f>
        <v>0.01</v>
      </c>
      <c r="G2695" s="1538"/>
      <c r="H2695" s="1532"/>
      <c r="I2695" s="1534">
        <f>I2694*F2695</f>
        <v>798594.47169391997</v>
      </c>
    </row>
    <row r="2696" spans="1:12" ht="14.25">
      <c r="B2696" s="2104"/>
      <c r="C2696" s="1543"/>
      <c r="D2696" s="2105"/>
      <c r="E2696" s="2106" t="s">
        <v>5683</v>
      </c>
      <c r="F2696" s="2115"/>
      <c r="G2696" s="2108"/>
      <c r="H2696" s="2109"/>
      <c r="I2696" s="2110">
        <f>ROUND(I2694+I2695,-2)</f>
        <v>80658000</v>
      </c>
    </row>
    <row r="2697" spans="1:12" ht="14.25">
      <c r="A2697" s="657">
        <v>1</v>
      </c>
      <c r="B2697" s="1546">
        <f>IF(A2697&lt;&gt;0,COUNTA(A$7:$A2697),"")</f>
        <v>151</v>
      </c>
      <c r="C2697" s="1547">
        <f>'8.Dgia'!C2334</f>
        <v>0</v>
      </c>
      <c r="D2697" s="1547" t="str">
        <f>'8.Dgia'!D2334</f>
        <v>Báo giá</v>
      </c>
      <c r="E2697" s="1740" t="str">
        <f>'8.Dgia'!E2334</f>
        <v>Lớp phòng nước</v>
      </c>
      <c r="F2697" s="1789" t="str">
        <f>'8.Dgia'!G2334</f>
        <v>m2</v>
      </c>
      <c r="G2697" s="1742">
        <f>'8.Dgia'!H2334</f>
        <v>0</v>
      </c>
      <c r="H2697" s="1795"/>
      <c r="I2697" s="1795"/>
      <c r="J2697" s="842">
        <f>+I2698</f>
        <v>130000</v>
      </c>
    </row>
    <row r="2698" spans="1:12" s="658" customFormat="1" ht="15">
      <c r="B2698" s="1536" t="str">
        <f>'8.Dgia'!B2335</f>
        <v/>
      </c>
      <c r="C2698" s="1537">
        <f>'8.Dgia'!C2335</f>
        <v>0</v>
      </c>
      <c r="D2698" s="1537">
        <f>'8.Dgia'!D2335</f>
        <v>0</v>
      </c>
      <c r="E2698" s="1744" t="str">
        <f>'8.Dgia'!E2335</f>
        <v xml:space="preserve">  A - Vật liệu</v>
      </c>
      <c r="F2698" s="1763">
        <f>'8.Dgia'!G2335</f>
        <v>0</v>
      </c>
      <c r="G2698" s="1746">
        <f>'8.Dgia'!H2335</f>
        <v>0</v>
      </c>
      <c r="H2698" s="1796"/>
      <c r="I2698" s="1797">
        <f>+I2699</f>
        <v>130000</v>
      </c>
      <c r="J2698" s="850"/>
      <c r="K2698" s="850"/>
      <c r="L2698" s="850"/>
    </row>
    <row r="2699" spans="1:12" ht="15">
      <c r="B2699" s="1536" t="str">
        <f>'8.Dgia'!B2336</f>
        <v/>
      </c>
      <c r="C2699" s="1537">
        <f>'8.Dgia'!C2336</f>
        <v>0</v>
      </c>
      <c r="D2699" s="1537">
        <f>'8.Dgia'!D2336</f>
        <v>0</v>
      </c>
      <c r="E2699" s="1749" t="str">
        <f>'8.Dgia'!E2336</f>
        <v>Lớp phòng nước</v>
      </c>
      <c r="F2699" s="1763" t="str">
        <f>'8.Dgia'!G2336</f>
        <v>m2</v>
      </c>
      <c r="G2699" s="1954">
        <f>'8.Dgia'!H2336</f>
        <v>1</v>
      </c>
      <c r="H2699" s="1796">
        <v>130000</v>
      </c>
      <c r="I2699" s="1796">
        <f>H2699*G2699</f>
        <v>130000</v>
      </c>
    </row>
    <row r="2700" spans="1:12" s="658" customFormat="1" ht="15">
      <c r="B2700" s="1675"/>
      <c r="C2700" s="1676"/>
      <c r="D2700" s="1676"/>
      <c r="E2700" s="1800" t="s">
        <v>5675</v>
      </c>
      <c r="F2700" s="1763">
        <f>$J$5</f>
        <v>0.02</v>
      </c>
      <c r="G2700" s="1754"/>
      <c r="H2700" s="1799"/>
      <c r="I2700" s="1799">
        <f>( I2698 )*F2700</f>
        <v>2600</v>
      </c>
      <c r="J2700" s="850"/>
      <c r="K2700" s="850"/>
      <c r="L2700" s="850"/>
    </row>
    <row r="2701" spans="1:12" ht="15">
      <c r="B2701" s="1540"/>
      <c r="C2701" s="1541"/>
      <c r="D2701" s="1541"/>
      <c r="E2701" s="1801" t="s">
        <v>5676</v>
      </c>
      <c r="F2701" s="1763"/>
      <c r="G2701" s="1759"/>
      <c r="H2701" s="1802"/>
      <c r="I2701" s="1802">
        <f>I2700+I2700/F2700</f>
        <v>132600</v>
      </c>
    </row>
    <row r="2702" spans="1:12" ht="15">
      <c r="B2702" s="1536"/>
      <c r="C2702" s="1537"/>
      <c r="D2702" s="1537"/>
      <c r="E2702" s="1803" t="s">
        <v>5677</v>
      </c>
      <c r="F2702" s="1763">
        <f>$K$5</f>
        <v>5.5E-2</v>
      </c>
      <c r="G2702" s="1746"/>
      <c r="H2702" s="1796"/>
      <c r="I2702" s="1796">
        <f>I2701*F2702</f>
        <v>7293</v>
      </c>
    </row>
    <row r="2703" spans="1:12" ht="15">
      <c r="B2703" s="1536"/>
      <c r="C2703" s="1537"/>
      <c r="D2703" s="1537"/>
      <c r="E2703" s="1803" t="s">
        <v>5678</v>
      </c>
      <c r="F2703" s="1763">
        <f>$L$5</f>
        <v>0.06</v>
      </c>
      <c r="G2703" s="1746"/>
      <c r="H2703" s="1796"/>
      <c r="I2703" s="1796">
        <f>SUM(I2701:I2702)*F2703</f>
        <v>8393.58</v>
      </c>
    </row>
    <row r="2704" spans="1:12" ht="14.25">
      <c r="B2704" s="1540"/>
      <c r="C2704" s="1541"/>
      <c r="D2704" s="1541"/>
      <c r="E2704" s="1801" t="s">
        <v>5679</v>
      </c>
      <c r="F2704" s="1791"/>
      <c r="G2704" s="1759"/>
      <c r="H2704" s="1802"/>
      <c r="I2704" s="1802">
        <f>SUM(I2701:I2703)</f>
        <v>148286.57999999999</v>
      </c>
    </row>
    <row r="2705" spans="1:12" ht="15">
      <c r="B2705" s="1536"/>
      <c r="C2705" s="1537"/>
      <c r="D2705" s="1537"/>
      <c r="E2705" s="1803" t="s">
        <v>5680</v>
      </c>
      <c r="F2705" s="1765">
        <f>$M$5</f>
        <v>0.1</v>
      </c>
      <c r="G2705" s="1746"/>
      <c r="H2705" s="1796"/>
      <c r="I2705" s="1796">
        <f>I2704*F2705</f>
        <v>14828.657999999999</v>
      </c>
    </row>
    <row r="2706" spans="1:12" ht="14.25">
      <c r="B2706" s="1540"/>
      <c r="C2706" s="1541"/>
      <c r="D2706" s="1541"/>
      <c r="E2706" s="1801" t="s">
        <v>5681</v>
      </c>
      <c r="F2706" s="1791"/>
      <c r="G2706" s="1759"/>
      <c r="H2706" s="1802"/>
      <c r="I2706" s="1802">
        <f>SUM(I2704:I2705)</f>
        <v>163115.23799999998</v>
      </c>
    </row>
    <row r="2707" spans="1:12" ht="12.75">
      <c r="B2707" s="1536"/>
      <c r="C2707" s="1537"/>
      <c r="D2707" s="1537"/>
      <c r="E2707" s="1464" t="s">
        <v>5682</v>
      </c>
      <c r="F2707" s="1535">
        <f>$N$5</f>
        <v>0.01</v>
      </c>
      <c r="G2707" s="1538"/>
      <c r="H2707" s="1539"/>
      <c r="I2707" s="1539">
        <f>I2706*F2707</f>
        <v>1631.1523799999998</v>
      </c>
    </row>
    <row r="2708" spans="1:12" ht="14.25">
      <c r="B2708" s="2116"/>
      <c r="C2708" s="1544"/>
      <c r="D2708" s="2116"/>
      <c r="E2708" s="2117" t="s">
        <v>5683</v>
      </c>
      <c r="F2708" s="2115"/>
      <c r="G2708" s="2117"/>
      <c r="H2708" s="2118"/>
      <c r="I2708" s="2110">
        <f>ROUND(I2706+I2707,-2)</f>
        <v>164700</v>
      </c>
    </row>
    <row r="2709" spans="1:12" ht="14.25">
      <c r="A2709" s="657">
        <v>1</v>
      </c>
      <c r="B2709" s="1546">
        <f>IF(A2709&lt;&gt;0,COUNTA(A$7:$A2709),"")</f>
        <v>152</v>
      </c>
      <c r="C2709" s="1547">
        <f>'8.Dgia'!C2337</f>
        <v>0</v>
      </c>
      <c r="D2709" s="1547" t="str">
        <f>'8.Dgia'!D2337</f>
        <v>Báo giá</v>
      </c>
      <c r="E2709" s="1740" t="str">
        <f>'8.Dgia'!E2337</f>
        <v>Đai ốc cầu D36 (để lại)</v>
      </c>
      <c r="F2709" s="1789" t="s">
        <v>307</v>
      </c>
      <c r="G2709" s="1742">
        <f>'8.Dgia'!H2337</f>
        <v>0</v>
      </c>
      <c r="H2709" s="1795"/>
      <c r="I2709" s="1795"/>
      <c r="J2709" s="842">
        <f>+I2710</f>
        <v>581000</v>
      </c>
    </row>
    <row r="2710" spans="1:12" s="658" customFormat="1" ht="15">
      <c r="B2710" s="1536" t="str">
        <f>'8.Dgia'!B2338</f>
        <v/>
      </c>
      <c r="C2710" s="1537">
        <f>'8.Dgia'!C2338</f>
        <v>0</v>
      </c>
      <c r="D2710" s="1537">
        <f>'8.Dgia'!D2338</f>
        <v>0</v>
      </c>
      <c r="E2710" s="1744" t="str">
        <f>'8.Dgia'!E2338</f>
        <v xml:space="preserve">  A - Vật liệu</v>
      </c>
      <c r="F2710" s="1763">
        <f>'8.Dgia'!G2338</f>
        <v>0</v>
      </c>
      <c r="G2710" s="1746">
        <f>'8.Dgia'!H2338</f>
        <v>0</v>
      </c>
      <c r="H2710" s="1796"/>
      <c r="I2710" s="1797">
        <f>+I2711</f>
        <v>581000</v>
      </c>
      <c r="J2710" s="850"/>
      <c r="K2710" s="850"/>
      <c r="L2710" s="850"/>
    </row>
    <row r="2711" spans="1:12" ht="15">
      <c r="B2711" s="1536" t="str">
        <f>'8.Dgia'!B2339</f>
        <v/>
      </c>
      <c r="C2711" s="1537">
        <f>'8.Dgia'!C2339</f>
        <v>0</v>
      </c>
      <c r="D2711" s="1537">
        <f>'8.Dgia'!D2339</f>
        <v>0</v>
      </c>
      <c r="E2711" s="1749" t="str">
        <f>'8.Dgia'!E2339</f>
        <v>Đai ốc cầu D36</v>
      </c>
      <c r="F2711" s="1763" t="s">
        <v>307</v>
      </c>
      <c r="G2711" s="1746">
        <f>'8.Dgia'!H2339</f>
        <v>1</v>
      </c>
      <c r="H2711" s="1796">
        <f>GVL!$I$64</f>
        <v>581000</v>
      </c>
      <c r="I2711" s="1796">
        <f>H2711*G2711</f>
        <v>581000</v>
      </c>
    </row>
    <row r="2712" spans="1:12" s="658" customFormat="1" ht="15">
      <c r="B2712" s="1675"/>
      <c r="C2712" s="1676"/>
      <c r="D2712" s="1676"/>
      <c r="E2712" s="1800" t="s">
        <v>5675</v>
      </c>
      <c r="F2712" s="1763">
        <f>$J$5</f>
        <v>0.02</v>
      </c>
      <c r="G2712" s="1754"/>
      <c r="H2712" s="1799"/>
      <c r="I2712" s="1799">
        <f>( I2710 )*F2712</f>
        <v>11620</v>
      </c>
      <c r="J2712" s="850"/>
      <c r="K2712" s="850"/>
      <c r="L2712" s="850"/>
    </row>
    <row r="2713" spans="1:12" ht="15">
      <c r="B2713" s="1540"/>
      <c r="C2713" s="1541"/>
      <c r="D2713" s="1541"/>
      <c r="E2713" s="1801" t="s">
        <v>5676</v>
      </c>
      <c r="F2713" s="1763"/>
      <c r="G2713" s="1759"/>
      <c r="H2713" s="1802"/>
      <c r="I2713" s="1802">
        <f>I2712+I2712/F2712</f>
        <v>592620</v>
      </c>
    </row>
    <row r="2714" spans="1:12" ht="15">
      <c r="B2714" s="1536"/>
      <c r="C2714" s="1537"/>
      <c r="D2714" s="1537"/>
      <c r="E2714" s="1803" t="s">
        <v>5677</v>
      </c>
      <c r="F2714" s="1763">
        <f>$K$5</f>
        <v>5.5E-2</v>
      </c>
      <c r="G2714" s="1746"/>
      <c r="H2714" s="1796"/>
      <c r="I2714" s="1796">
        <f>I2713*F2714</f>
        <v>32594.1</v>
      </c>
    </row>
    <row r="2715" spans="1:12" ht="15">
      <c r="B2715" s="1536"/>
      <c r="C2715" s="1537"/>
      <c r="D2715" s="1537"/>
      <c r="E2715" s="1803" t="s">
        <v>5678</v>
      </c>
      <c r="F2715" s="1763">
        <f>$L$5</f>
        <v>0.06</v>
      </c>
      <c r="G2715" s="1746"/>
      <c r="H2715" s="1796"/>
      <c r="I2715" s="1796">
        <f>SUM(I2713:I2714)*F2715</f>
        <v>37512.845999999998</v>
      </c>
    </row>
    <row r="2716" spans="1:12" ht="14.25">
      <c r="B2716" s="1540"/>
      <c r="C2716" s="1541"/>
      <c r="D2716" s="1541"/>
      <c r="E2716" s="1801" t="s">
        <v>5679</v>
      </c>
      <c r="F2716" s="1791"/>
      <c r="G2716" s="1759"/>
      <c r="H2716" s="1802"/>
      <c r="I2716" s="1802">
        <f>SUM(I2713:I2715)</f>
        <v>662726.946</v>
      </c>
    </row>
    <row r="2717" spans="1:12" ht="15">
      <c r="B2717" s="1536"/>
      <c r="C2717" s="1537"/>
      <c r="D2717" s="1537"/>
      <c r="E2717" s="1803" t="s">
        <v>5680</v>
      </c>
      <c r="F2717" s="1765">
        <f>$M$5</f>
        <v>0.1</v>
      </c>
      <c r="G2717" s="1746"/>
      <c r="H2717" s="1796"/>
      <c r="I2717" s="1796">
        <f>I2716*F2717</f>
        <v>66272.694600000003</v>
      </c>
    </row>
    <row r="2718" spans="1:12" ht="14.25">
      <c r="B2718" s="1540"/>
      <c r="C2718" s="1541"/>
      <c r="D2718" s="1541"/>
      <c r="E2718" s="1801" t="s">
        <v>5681</v>
      </c>
      <c r="F2718" s="1791"/>
      <c r="G2718" s="1759"/>
      <c r="H2718" s="1802"/>
      <c r="I2718" s="1802">
        <f>SUM(I2716:I2717)</f>
        <v>728999.64060000004</v>
      </c>
    </row>
    <row r="2719" spans="1:12" ht="12.75">
      <c r="B2719" s="1536"/>
      <c r="C2719" s="1537"/>
      <c r="D2719" s="1537"/>
      <c r="E2719" s="1464" t="s">
        <v>5682</v>
      </c>
      <c r="F2719" s="1535">
        <f>$N$5</f>
        <v>0.01</v>
      </c>
      <c r="G2719" s="1538"/>
      <c r="H2719" s="1539"/>
      <c r="I2719" s="1539">
        <f>I2718*F2719</f>
        <v>7289.9964060000002</v>
      </c>
    </row>
    <row r="2720" spans="1:12" ht="14.25">
      <c r="B2720" s="2116"/>
      <c r="C2720" s="1544"/>
      <c r="D2720" s="2116"/>
      <c r="E2720" s="2117" t="s">
        <v>5683</v>
      </c>
      <c r="F2720" s="2115"/>
      <c r="G2720" s="2117"/>
      <c r="H2720" s="2118"/>
      <c r="I2720" s="2110">
        <f>ROUND(I2718+I2719,-2)</f>
        <v>736300</v>
      </c>
    </row>
    <row r="2721" spans="1:12" ht="14.25">
      <c r="A2721" s="657">
        <v>1</v>
      </c>
      <c r="B2721" s="1546">
        <f>IF(A2721&lt;&gt;0,COUNTA(A$7:$A2721),"")</f>
        <v>153</v>
      </c>
      <c r="C2721" s="1547">
        <f>'8.Dgia'!C2340</f>
        <v>0</v>
      </c>
      <c r="D2721" s="1547" t="s">
        <v>529</v>
      </c>
      <c r="E2721" s="1740" t="s">
        <v>5976</v>
      </c>
      <c r="F2721" s="1789" t="s">
        <v>307</v>
      </c>
      <c r="G2721" s="1742">
        <f>'8.Dgia'!H2340</f>
        <v>0</v>
      </c>
      <c r="H2721" s="1795"/>
      <c r="I2721" s="1795"/>
      <c r="J2721" s="842">
        <f>+I2722</f>
        <v>104580</v>
      </c>
    </row>
    <row r="2722" spans="1:12" s="658" customFormat="1" ht="15">
      <c r="B2722" s="1536" t="str">
        <f>'8.Dgia'!B2341</f>
        <v/>
      </c>
      <c r="C2722" s="1537">
        <f>'8.Dgia'!C2341</f>
        <v>0</v>
      </c>
      <c r="D2722" s="1537">
        <f>'8.Dgia'!D2341</f>
        <v>0</v>
      </c>
      <c r="E2722" s="1744" t="str">
        <f>'8.Dgia'!E2341</f>
        <v xml:space="preserve">  A - Vật liệu</v>
      </c>
      <c r="F2722" s="1763">
        <f>'8.Dgia'!G2341</f>
        <v>0</v>
      </c>
      <c r="G2722" s="1746">
        <f>'8.Dgia'!H2341</f>
        <v>0</v>
      </c>
      <c r="H2722" s="1796"/>
      <c r="I2722" s="1797">
        <f>+I2723</f>
        <v>104580</v>
      </c>
      <c r="J2722" s="850"/>
      <c r="K2722" s="850"/>
      <c r="L2722" s="850"/>
    </row>
    <row r="2723" spans="1:12" ht="15">
      <c r="B2723" s="1536" t="str">
        <f>'8.Dgia'!B2342</f>
        <v/>
      </c>
      <c r="C2723" s="1537">
        <f>'8.Dgia'!C2342</f>
        <v>0</v>
      </c>
      <c r="D2723" s="1537">
        <f>'8.Dgia'!D2342</f>
        <v>0</v>
      </c>
      <c r="E2723" s="1749" t="str">
        <f>'8.Dgia'!E2342</f>
        <v>Đai ốc cầu D36</v>
      </c>
      <c r="F2723" s="1763" t="s">
        <v>307</v>
      </c>
      <c r="G2723" s="1746">
        <f>'8.Dgia'!H2342</f>
        <v>0.18</v>
      </c>
      <c r="H2723" s="1796">
        <f>GVL!$I$64</f>
        <v>581000</v>
      </c>
      <c r="I2723" s="1796">
        <f>H2723*G2723</f>
        <v>104580</v>
      </c>
    </row>
    <row r="2724" spans="1:12" s="658" customFormat="1" ht="15">
      <c r="B2724" s="1675"/>
      <c r="C2724" s="1676"/>
      <c r="D2724" s="1676"/>
      <c r="E2724" s="1800" t="s">
        <v>5675</v>
      </c>
      <c r="F2724" s="1763">
        <f>$J$5</f>
        <v>0.02</v>
      </c>
      <c r="G2724" s="1754"/>
      <c r="H2724" s="1799"/>
      <c r="I2724" s="1799">
        <f>( I2722 )*F2724</f>
        <v>2091.6</v>
      </c>
      <c r="J2724" s="850"/>
      <c r="K2724" s="850"/>
      <c r="L2724" s="850"/>
    </row>
    <row r="2725" spans="1:12" ht="15">
      <c r="B2725" s="1540"/>
      <c r="C2725" s="1541"/>
      <c r="D2725" s="1541"/>
      <c r="E2725" s="1801" t="s">
        <v>5676</v>
      </c>
      <c r="F2725" s="1763"/>
      <c r="G2725" s="1759"/>
      <c r="H2725" s="1802"/>
      <c r="I2725" s="1802">
        <f>I2724+I2724/F2724</f>
        <v>106671.6</v>
      </c>
    </row>
    <row r="2726" spans="1:12" ht="15">
      <c r="B2726" s="1536"/>
      <c r="C2726" s="1537"/>
      <c r="D2726" s="1537"/>
      <c r="E2726" s="1803" t="s">
        <v>5677</v>
      </c>
      <c r="F2726" s="1763">
        <f>$K$5</f>
        <v>5.5E-2</v>
      </c>
      <c r="G2726" s="1746"/>
      <c r="H2726" s="1796"/>
      <c r="I2726" s="1796">
        <f>I2725*F2726</f>
        <v>5866.9380000000001</v>
      </c>
    </row>
    <row r="2727" spans="1:12" ht="15">
      <c r="B2727" s="1536"/>
      <c r="C2727" s="1537"/>
      <c r="D2727" s="1537"/>
      <c r="E2727" s="1803" t="s">
        <v>5678</v>
      </c>
      <c r="F2727" s="1763">
        <f>$L$5</f>
        <v>0.06</v>
      </c>
      <c r="G2727" s="1746"/>
      <c r="H2727" s="1796"/>
      <c r="I2727" s="1796">
        <f>SUM(I2725:I2726)*F2727</f>
        <v>6752.3122800000001</v>
      </c>
    </row>
    <row r="2728" spans="1:12" ht="14.25">
      <c r="B2728" s="1540"/>
      <c r="C2728" s="1541"/>
      <c r="D2728" s="1541"/>
      <c r="E2728" s="1801" t="s">
        <v>5679</v>
      </c>
      <c r="F2728" s="1791"/>
      <c r="G2728" s="1759"/>
      <c r="H2728" s="1802"/>
      <c r="I2728" s="1802">
        <f>SUM(I2725:I2727)</f>
        <v>119290.85028</v>
      </c>
    </row>
    <row r="2729" spans="1:12" ht="15">
      <c r="B2729" s="1536"/>
      <c r="C2729" s="1537"/>
      <c r="D2729" s="1537"/>
      <c r="E2729" s="1803" t="s">
        <v>5680</v>
      </c>
      <c r="F2729" s="1765">
        <f>$M$5</f>
        <v>0.1</v>
      </c>
      <c r="G2729" s="1746"/>
      <c r="H2729" s="1796"/>
      <c r="I2729" s="1796">
        <f>I2728*F2729</f>
        <v>11929.085028000001</v>
      </c>
    </row>
    <row r="2730" spans="1:12" ht="14.25">
      <c r="B2730" s="1540"/>
      <c r="C2730" s="1541"/>
      <c r="D2730" s="1541"/>
      <c r="E2730" s="1801" t="s">
        <v>5681</v>
      </c>
      <c r="F2730" s="1791"/>
      <c r="G2730" s="1759"/>
      <c r="H2730" s="1802"/>
      <c r="I2730" s="1802">
        <f>SUM(I2728:I2729)</f>
        <v>131219.93530800001</v>
      </c>
    </row>
    <row r="2731" spans="1:12" ht="12.75">
      <c r="B2731" s="1536"/>
      <c r="C2731" s="1537"/>
      <c r="D2731" s="1537"/>
      <c r="E2731" s="1464" t="s">
        <v>5682</v>
      </c>
      <c r="F2731" s="1535">
        <f>$N$5</f>
        <v>0.01</v>
      </c>
      <c r="G2731" s="1538"/>
      <c r="H2731" s="1539"/>
      <c r="I2731" s="1539">
        <f>I2730*F2731</f>
        <v>1312.1993530800003</v>
      </c>
    </row>
    <row r="2732" spans="1:12" ht="14.25">
      <c r="B2732" s="2116"/>
      <c r="C2732" s="1544"/>
      <c r="D2732" s="2116"/>
      <c r="E2732" s="2117" t="s">
        <v>5683</v>
      </c>
      <c r="F2732" s="2115"/>
      <c r="G2732" s="2117"/>
      <c r="H2732" s="2118"/>
      <c r="I2732" s="2110">
        <f>ROUND(I2730+I2731,-2)</f>
        <v>132500</v>
      </c>
    </row>
    <row r="2733" spans="1:12" ht="14.25">
      <c r="A2733" s="657">
        <v>1</v>
      </c>
      <c r="B2733" s="1546">
        <f>IF(A2733&lt;&gt;0,COUNTA(A$7:$A2733),"")</f>
        <v>154</v>
      </c>
      <c r="C2733" s="1547">
        <f>'8.Dgia'!C2346</f>
        <v>0</v>
      </c>
      <c r="D2733" s="1547" t="str">
        <f>'8.Dgia'!D2346</f>
        <v>Báo giá</v>
      </c>
      <c r="E2733" s="1740" t="str">
        <f>'8.Dgia'!E2346</f>
        <v>Đai ốc hãm D36</v>
      </c>
      <c r="F2733" s="1789" t="s">
        <v>307</v>
      </c>
      <c r="G2733" s="1742">
        <f>'8.Dgia'!H2346</f>
        <v>0</v>
      </c>
      <c r="H2733" s="1795"/>
      <c r="I2733" s="1795"/>
      <c r="J2733" s="842">
        <f>+I2734</f>
        <v>581000</v>
      </c>
    </row>
    <row r="2734" spans="1:12" s="658" customFormat="1" ht="15">
      <c r="B2734" s="1536" t="str">
        <f>'8.Dgia'!B2347</f>
        <v/>
      </c>
      <c r="C2734" s="1537">
        <f>'8.Dgia'!C2347</f>
        <v>0</v>
      </c>
      <c r="D2734" s="1537">
        <f>'8.Dgia'!D2347</f>
        <v>0</v>
      </c>
      <c r="E2734" s="1744" t="str">
        <f>'8.Dgia'!E2347</f>
        <v xml:space="preserve">  A - Vật liệu</v>
      </c>
      <c r="F2734" s="1763">
        <f>'8.Dgia'!G2347</f>
        <v>0</v>
      </c>
      <c r="G2734" s="1746">
        <f>'8.Dgia'!H2347</f>
        <v>0</v>
      </c>
      <c r="H2734" s="1796"/>
      <c r="I2734" s="1797">
        <f>+I2735</f>
        <v>581000</v>
      </c>
      <c r="J2734" s="850"/>
      <c r="K2734" s="850"/>
      <c r="L2734" s="850"/>
    </row>
    <row r="2735" spans="1:12" ht="15.75" customHeight="1">
      <c r="B2735" s="1536" t="str">
        <f>'8.Dgia'!B2348</f>
        <v/>
      </c>
      <c r="C2735" s="1537">
        <f>'8.Dgia'!C2348</f>
        <v>0</v>
      </c>
      <c r="D2735" s="1537">
        <f>'8.Dgia'!D2348</f>
        <v>0</v>
      </c>
      <c r="E2735" s="1749" t="str">
        <f>'8.Dgia'!E2348</f>
        <v>Đai ốc hãm D36</v>
      </c>
      <c r="F2735" s="1763" t="s">
        <v>307</v>
      </c>
      <c r="G2735" s="1954">
        <f>'8.Dgia'!H2348</f>
        <v>1</v>
      </c>
      <c r="H2735" s="1796">
        <f>GVL!$I$65</f>
        <v>581000</v>
      </c>
      <c r="I2735" s="1796">
        <f>H2735*G2735</f>
        <v>581000</v>
      </c>
    </row>
    <row r="2736" spans="1:12" s="658" customFormat="1" ht="15">
      <c r="B2736" s="1675"/>
      <c r="C2736" s="1676"/>
      <c r="D2736" s="1676"/>
      <c r="E2736" s="1800" t="s">
        <v>5675</v>
      </c>
      <c r="F2736" s="1763">
        <f>$J$5</f>
        <v>0.02</v>
      </c>
      <c r="G2736" s="1754"/>
      <c r="H2736" s="1799"/>
      <c r="I2736" s="1799">
        <f>( I2734 )*F2736</f>
        <v>11620</v>
      </c>
      <c r="J2736" s="850"/>
      <c r="K2736" s="850"/>
      <c r="L2736" s="850"/>
    </row>
    <row r="2737" spans="1:12" ht="15">
      <c r="B2737" s="1540"/>
      <c r="C2737" s="1541"/>
      <c r="D2737" s="1541"/>
      <c r="E2737" s="1801" t="s">
        <v>5676</v>
      </c>
      <c r="F2737" s="1763"/>
      <c r="G2737" s="1759"/>
      <c r="H2737" s="1802"/>
      <c r="I2737" s="1802">
        <f>I2736+I2736/F2736</f>
        <v>592620</v>
      </c>
    </row>
    <row r="2738" spans="1:12" ht="15">
      <c r="B2738" s="1536"/>
      <c r="C2738" s="1537"/>
      <c r="D2738" s="1537"/>
      <c r="E2738" s="1803" t="s">
        <v>5677</v>
      </c>
      <c r="F2738" s="1763">
        <f>$K$5</f>
        <v>5.5E-2</v>
      </c>
      <c r="G2738" s="1746"/>
      <c r="H2738" s="1796"/>
      <c r="I2738" s="1796">
        <f>I2737*F2738</f>
        <v>32594.1</v>
      </c>
    </row>
    <row r="2739" spans="1:12" ht="15">
      <c r="B2739" s="1536"/>
      <c r="C2739" s="1537"/>
      <c r="D2739" s="1537"/>
      <c r="E2739" s="1803" t="s">
        <v>5678</v>
      </c>
      <c r="F2739" s="1763">
        <f>$L$5</f>
        <v>0.06</v>
      </c>
      <c r="G2739" s="1746"/>
      <c r="H2739" s="1796"/>
      <c r="I2739" s="1796">
        <f>SUM(I2737:I2738)*F2739</f>
        <v>37512.845999999998</v>
      </c>
    </row>
    <row r="2740" spans="1:12" ht="14.25">
      <c r="B2740" s="1540"/>
      <c r="C2740" s="1541"/>
      <c r="D2740" s="1541"/>
      <c r="E2740" s="1801" t="s">
        <v>5679</v>
      </c>
      <c r="F2740" s="1791"/>
      <c r="G2740" s="1759"/>
      <c r="H2740" s="1802"/>
      <c r="I2740" s="1802">
        <f>SUM(I2737:I2739)</f>
        <v>662726.946</v>
      </c>
    </row>
    <row r="2741" spans="1:12" ht="15">
      <c r="B2741" s="1536"/>
      <c r="C2741" s="1537"/>
      <c r="D2741" s="1537"/>
      <c r="E2741" s="1803" t="s">
        <v>5680</v>
      </c>
      <c r="F2741" s="1765">
        <f>$M$5</f>
        <v>0.1</v>
      </c>
      <c r="G2741" s="1746"/>
      <c r="H2741" s="1796"/>
      <c r="I2741" s="1796">
        <f>I2740*F2741</f>
        <v>66272.694600000003</v>
      </c>
    </row>
    <row r="2742" spans="1:12" ht="14.25">
      <c r="B2742" s="1540"/>
      <c r="C2742" s="1541"/>
      <c r="D2742" s="1541"/>
      <c r="E2742" s="1801" t="s">
        <v>5681</v>
      </c>
      <c r="F2742" s="1791"/>
      <c r="G2742" s="1759"/>
      <c r="H2742" s="1802"/>
      <c r="I2742" s="1802">
        <f>SUM(I2740:I2741)</f>
        <v>728999.64060000004</v>
      </c>
    </row>
    <row r="2743" spans="1:12" ht="12.75">
      <c r="B2743" s="1536"/>
      <c r="C2743" s="1537"/>
      <c r="D2743" s="1537"/>
      <c r="E2743" s="1464" t="s">
        <v>5682</v>
      </c>
      <c r="F2743" s="1535">
        <f>$N$5</f>
        <v>0.01</v>
      </c>
      <c r="G2743" s="1538"/>
      <c r="H2743" s="1539"/>
      <c r="I2743" s="1539">
        <f>I2742*F2743</f>
        <v>7289.9964060000002</v>
      </c>
    </row>
    <row r="2744" spans="1:12" ht="14.25">
      <c r="B2744" s="2116"/>
      <c r="C2744" s="1544"/>
      <c r="D2744" s="2116"/>
      <c r="E2744" s="2117" t="s">
        <v>5683</v>
      </c>
      <c r="F2744" s="2115"/>
      <c r="G2744" s="2117"/>
      <c r="H2744" s="2118"/>
      <c r="I2744" s="2110">
        <f>ROUND(I2742+I2743,-2)</f>
        <v>736300</v>
      </c>
    </row>
    <row r="2745" spans="1:12" ht="14.25">
      <c r="A2745" s="657">
        <v>1</v>
      </c>
      <c r="B2745" s="1546">
        <f>IF(A2745&lt;&gt;0,COUNTA(A$7:$A2745),"")</f>
        <v>155</v>
      </c>
      <c r="C2745" s="1547">
        <f>'8.Dgia'!C2349</f>
        <v>0</v>
      </c>
      <c r="D2745" s="1547" t="str">
        <f>'8.Dgia'!D2349</f>
        <v>Tạm tính</v>
      </c>
      <c r="E2745" s="1740" t="str">
        <f>'8.Dgia'!E2349</f>
        <v>Tấm plastic dày 2mm</v>
      </c>
      <c r="F2745" s="1789" t="str">
        <f>'8.Dgia'!G2349</f>
        <v>m2</v>
      </c>
      <c r="G2745" s="1742">
        <f>'8.Dgia'!H2349</f>
        <v>0</v>
      </c>
      <c r="H2745" s="1795"/>
      <c r="I2745" s="1795"/>
      <c r="J2745" s="842">
        <f>+I2746</f>
        <v>185000</v>
      </c>
    </row>
    <row r="2746" spans="1:12" s="658" customFormat="1" ht="15">
      <c r="B2746" s="1536" t="str">
        <f>'8.Dgia'!B2350</f>
        <v/>
      </c>
      <c r="C2746" s="1537">
        <f>'8.Dgia'!C2350</f>
        <v>0</v>
      </c>
      <c r="D2746" s="1537">
        <f>'8.Dgia'!D2350</f>
        <v>0</v>
      </c>
      <c r="E2746" s="1744" t="str">
        <f>'8.Dgia'!E2350</f>
        <v xml:space="preserve">  A - Vật liệu</v>
      </c>
      <c r="F2746" s="1763">
        <f>'8.Dgia'!G2350</f>
        <v>0</v>
      </c>
      <c r="G2746" s="1746">
        <f>'8.Dgia'!H2350</f>
        <v>0</v>
      </c>
      <c r="H2746" s="1796"/>
      <c r="I2746" s="1797">
        <f>+I2747</f>
        <v>185000</v>
      </c>
      <c r="J2746" s="850"/>
      <c r="K2746" s="850"/>
      <c r="L2746" s="850"/>
    </row>
    <row r="2747" spans="1:12" ht="16.5" customHeight="1">
      <c r="B2747" s="1536" t="str">
        <f>'8.Dgia'!B2351</f>
        <v/>
      </c>
      <c r="C2747" s="1537">
        <f>'8.Dgia'!C2351</f>
        <v>0</v>
      </c>
      <c r="D2747" s="1537">
        <f>'8.Dgia'!D2351</f>
        <v>0</v>
      </c>
      <c r="E2747" s="1749" t="str">
        <f>'8.Dgia'!E2351</f>
        <v>Tấm plastic dày 2mm</v>
      </c>
      <c r="F2747" s="1763" t="str">
        <f>'8.Dgia'!G2351</f>
        <v>m2</v>
      </c>
      <c r="G2747" s="1954">
        <f>'8.Dgia'!H2351</f>
        <v>1</v>
      </c>
      <c r="H2747" s="1796">
        <f>GVL!$I$166</f>
        <v>185000</v>
      </c>
      <c r="I2747" s="1796">
        <f>H2747*G2747</f>
        <v>185000</v>
      </c>
    </row>
    <row r="2748" spans="1:12" s="658" customFormat="1" ht="15">
      <c r="B2748" s="1675"/>
      <c r="C2748" s="1676"/>
      <c r="D2748" s="1676"/>
      <c r="E2748" s="1800" t="s">
        <v>5675</v>
      </c>
      <c r="F2748" s="1763">
        <f>$J$5</f>
        <v>0.02</v>
      </c>
      <c r="G2748" s="1754"/>
      <c r="H2748" s="1799"/>
      <c r="I2748" s="1799">
        <f>( I2746 )*F2748</f>
        <v>3700</v>
      </c>
      <c r="J2748" s="850"/>
      <c r="K2748" s="850"/>
      <c r="L2748" s="850"/>
    </row>
    <row r="2749" spans="1:12" ht="15">
      <c r="B2749" s="1540"/>
      <c r="C2749" s="1541"/>
      <c r="D2749" s="1541"/>
      <c r="E2749" s="1801" t="s">
        <v>5676</v>
      </c>
      <c r="F2749" s="1763"/>
      <c r="G2749" s="1759"/>
      <c r="H2749" s="1802"/>
      <c r="I2749" s="1802">
        <f>I2748+I2748/F2748</f>
        <v>188700</v>
      </c>
    </row>
    <row r="2750" spans="1:12" ht="15">
      <c r="B2750" s="1536"/>
      <c r="C2750" s="1537"/>
      <c r="D2750" s="1537"/>
      <c r="E2750" s="1803" t="s">
        <v>5677</v>
      </c>
      <c r="F2750" s="1763">
        <f>$K$5</f>
        <v>5.5E-2</v>
      </c>
      <c r="G2750" s="1746"/>
      <c r="H2750" s="1796"/>
      <c r="I2750" s="1796">
        <f>I2749*F2750</f>
        <v>10378.5</v>
      </c>
    </row>
    <row r="2751" spans="1:12" ht="15">
      <c r="B2751" s="1536"/>
      <c r="C2751" s="1537"/>
      <c r="D2751" s="1537"/>
      <c r="E2751" s="1803" t="s">
        <v>5678</v>
      </c>
      <c r="F2751" s="1763">
        <f>$L$5</f>
        <v>0.06</v>
      </c>
      <c r="G2751" s="1746"/>
      <c r="H2751" s="1796"/>
      <c r="I2751" s="1796">
        <f>SUM(I2749:I2750)*F2751</f>
        <v>11944.71</v>
      </c>
    </row>
    <row r="2752" spans="1:12" ht="14.25">
      <c r="B2752" s="1540"/>
      <c r="C2752" s="1541"/>
      <c r="D2752" s="1541"/>
      <c r="E2752" s="1801" t="s">
        <v>5679</v>
      </c>
      <c r="F2752" s="1791"/>
      <c r="G2752" s="1759"/>
      <c r="H2752" s="1802"/>
      <c r="I2752" s="1802">
        <f>SUM(I2749:I2751)</f>
        <v>211023.21</v>
      </c>
    </row>
    <row r="2753" spans="1:12" ht="15">
      <c r="B2753" s="1536"/>
      <c r="C2753" s="1537"/>
      <c r="D2753" s="1537"/>
      <c r="E2753" s="1803" t="s">
        <v>5680</v>
      </c>
      <c r="F2753" s="1765">
        <f>$M$5</f>
        <v>0.1</v>
      </c>
      <c r="G2753" s="1746"/>
      <c r="H2753" s="1796"/>
      <c r="I2753" s="1796">
        <f>I2752*F2753</f>
        <v>21102.321</v>
      </c>
    </row>
    <row r="2754" spans="1:12" ht="14.25">
      <c r="B2754" s="1540"/>
      <c r="C2754" s="1541"/>
      <c r="D2754" s="1541"/>
      <c r="E2754" s="1801" t="s">
        <v>5681</v>
      </c>
      <c r="F2754" s="1791"/>
      <c r="G2754" s="1759"/>
      <c r="H2754" s="1802"/>
      <c r="I2754" s="1802">
        <f>SUM(I2752:I2753)</f>
        <v>232125.53099999999</v>
      </c>
    </row>
    <row r="2755" spans="1:12" ht="12.75">
      <c r="B2755" s="1536"/>
      <c r="C2755" s="1537"/>
      <c r="D2755" s="1537"/>
      <c r="E2755" s="1464" t="s">
        <v>5682</v>
      </c>
      <c r="F2755" s="1535">
        <f>$N$5</f>
        <v>0.01</v>
      </c>
      <c r="G2755" s="1538"/>
      <c r="H2755" s="1539"/>
      <c r="I2755" s="1539">
        <f>I2754*F2755</f>
        <v>2321.25531</v>
      </c>
    </row>
    <row r="2756" spans="1:12" ht="14.25">
      <c r="B2756" s="2116"/>
      <c r="C2756" s="1544"/>
      <c r="D2756" s="2116"/>
      <c r="E2756" s="2117" t="s">
        <v>5683</v>
      </c>
      <c r="F2756" s="2115"/>
      <c r="G2756" s="2117"/>
      <c r="H2756" s="2118"/>
      <c r="I2756" s="2110">
        <f>ROUND(I2754+I2755,-2)</f>
        <v>234400</v>
      </c>
    </row>
    <row r="2757" spans="1:12" ht="14.25">
      <c r="A2757" s="657">
        <v>1</v>
      </c>
      <c r="B2757" s="1546">
        <f>IF(A2757&lt;&gt;0,COUNTA(A$7:$A2757),"")</f>
        <v>156</v>
      </c>
      <c r="C2757" s="1547">
        <f>'8.Dgia'!C2358</f>
        <v>0</v>
      </c>
      <c r="D2757" s="1547" t="str">
        <f>'8.Dgia'!D2358</f>
        <v>Tạm tính</v>
      </c>
      <c r="E2757" s="1740" t="str">
        <f>'8.Dgia'!E2358</f>
        <v>Tấm cao su dày 20mm</v>
      </c>
      <c r="F2757" s="1789" t="str">
        <f>'8.Dgia'!G2358</f>
        <v>m2</v>
      </c>
      <c r="G2757" s="1742">
        <f>'8.Dgia'!H2358</f>
        <v>0</v>
      </c>
      <c r="H2757" s="1795"/>
      <c r="I2757" s="1795"/>
      <c r="J2757" s="842">
        <f>+I2758</f>
        <v>1680000</v>
      </c>
    </row>
    <row r="2758" spans="1:12" s="658" customFormat="1" ht="15">
      <c r="B2758" s="1536" t="str">
        <f>'8.Dgia'!B2359</f>
        <v/>
      </c>
      <c r="C2758" s="1537">
        <f>'8.Dgia'!C2359</f>
        <v>0</v>
      </c>
      <c r="D2758" s="1537">
        <f>'8.Dgia'!D2359</f>
        <v>0</v>
      </c>
      <c r="E2758" s="1744" t="str">
        <f>'8.Dgia'!E2359</f>
        <v xml:space="preserve">  A - Vật liệu</v>
      </c>
      <c r="F2758" s="1763">
        <f>'8.Dgia'!G2359</f>
        <v>0</v>
      </c>
      <c r="G2758" s="1746">
        <f>'8.Dgia'!H2359</f>
        <v>0</v>
      </c>
      <c r="H2758" s="1796"/>
      <c r="I2758" s="1797">
        <f>+I2759</f>
        <v>1680000</v>
      </c>
      <c r="J2758" s="850"/>
      <c r="K2758" s="850"/>
      <c r="L2758" s="850"/>
    </row>
    <row r="2759" spans="1:12" ht="17.25" customHeight="1">
      <c r="B2759" s="1536" t="str">
        <f>'8.Dgia'!B2360</f>
        <v/>
      </c>
      <c r="C2759" s="1537">
        <f>'8.Dgia'!C2360</f>
        <v>0</v>
      </c>
      <c r="D2759" s="1537">
        <f>'8.Dgia'!D2360</f>
        <v>0</v>
      </c>
      <c r="E2759" s="1749" t="str">
        <f>'8.Dgia'!E2360</f>
        <v>Tấm cao su dày 20mm</v>
      </c>
      <c r="F2759" s="1763" t="str">
        <f>'8.Dgia'!G2360</f>
        <v>m2</v>
      </c>
      <c r="G2759" s="1982">
        <f>'8.Dgia'!H2360</f>
        <v>1</v>
      </c>
      <c r="H2759" s="1796">
        <f>GVL!$I$164</f>
        <v>1680000</v>
      </c>
      <c r="I2759" s="1796">
        <f>H2759*G2759</f>
        <v>1680000</v>
      </c>
    </row>
    <row r="2760" spans="1:12" s="658" customFormat="1" ht="15">
      <c r="B2760" s="1675"/>
      <c r="C2760" s="1676"/>
      <c r="D2760" s="1676"/>
      <c r="E2760" s="1800" t="s">
        <v>5675</v>
      </c>
      <c r="F2760" s="1763">
        <f>$J$5</f>
        <v>0.02</v>
      </c>
      <c r="G2760" s="1754"/>
      <c r="H2760" s="1799"/>
      <c r="I2760" s="1799">
        <f>( I2758 )*F2760</f>
        <v>33600</v>
      </c>
      <c r="J2760" s="850"/>
      <c r="K2760" s="850"/>
      <c r="L2760" s="850"/>
    </row>
    <row r="2761" spans="1:12" ht="15">
      <c r="B2761" s="1540"/>
      <c r="C2761" s="1541"/>
      <c r="D2761" s="1541"/>
      <c r="E2761" s="1801" t="s">
        <v>5676</v>
      </c>
      <c r="F2761" s="1763"/>
      <c r="G2761" s="1759"/>
      <c r="H2761" s="1802"/>
      <c r="I2761" s="1802">
        <f>I2760+I2760/F2760</f>
        <v>1713600</v>
      </c>
    </row>
    <row r="2762" spans="1:12" ht="15">
      <c r="B2762" s="1536"/>
      <c r="C2762" s="1537"/>
      <c r="D2762" s="1537"/>
      <c r="E2762" s="1803" t="s">
        <v>5677</v>
      </c>
      <c r="F2762" s="1763">
        <f>$K$5</f>
        <v>5.5E-2</v>
      </c>
      <c r="G2762" s="1746"/>
      <c r="H2762" s="1796"/>
      <c r="I2762" s="1796">
        <f>I2761*F2762</f>
        <v>94248</v>
      </c>
    </row>
    <row r="2763" spans="1:12" ht="15">
      <c r="B2763" s="1536"/>
      <c r="C2763" s="1537"/>
      <c r="D2763" s="1537"/>
      <c r="E2763" s="1803" t="s">
        <v>5678</v>
      </c>
      <c r="F2763" s="1763">
        <f>$L$5</f>
        <v>0.06</v>
      </c>
      <c r="G2763" s="1746"/>
      <c r="H2763" s="1796"/>
      <c r="I2763" s="1796">
        <f>SUM(I2761:I2762)*F2763</f>
        <v>108470.87999999999</v>
      </c>
    </row>
    <row r="2764" spans="1:12" ht="14.25">
      <c r="B2764" s="1540"/>
      <c r="C2764" s="1541"/>
      <c r="D2764" s="1541"/>
      <c r="E2764" s="1801" t="s">
        <v>5679</v>
      </c>
      <c r="F2764" s="1791"/>
      <c r="G2764" s="1759"/>
      <c r="H2764" s="1802"/>
      <c r="I2764" s="1802">
        <f>SUM(I2761:I2763)</f>
        <v>1916318.88</v>
      </c>
    </row>
    <row r="2765" spans="1:12" ht="15">
      <c r="B2765" s="1536"/>
      <c r="C2765" s="1537"/>
      <c r="D2765" s="1537"/>
      <c r="E2765" s="1803" t="s">
        <v>5680</v>
      </c>
      <c r="F2765" s="1765">
        <f>$M$5</f>
        <v>0.1</v>
      </c>
      <c r="G2765" s="1746"/>
      <c r="H2765" s="1796"/>
      <c r="I2765" s="1796">
        <f>I2764*F2765</f>
        <v>191631.88800000001</v>
      </c>
    </row>
    <row r="2766" spans="1:12" ht="14.25">
      <c r="B2766" s="1540"/>
      <c r="C2766" s="1541"/>
      <c r="D2766" s="1541"/>
      <c r="E2766" s="1801" t="s">
        <v>5681</v>
      </c>
      <c r="F2766" s="1791"/>
      <c r="G2766" s="1759"/>
      <c r="H2766" s="1802"/>
      <c r="I2766" s="1802">
        <f>SUM(I2764:I2765)</f>
        <v>2107950.7679999997</v>
      </c>
    </row>
    <row r="2767" spans="1:12" ht="12.75">
      <c r="B2767" s="1536"/>
      <c r="C2767" s="1537"/>
      <c r="D2767" s="1537"/>
      <c r="E2767" s="1464" t="s">
        <v>5682</v>
      </c>
      <c r="F2767" s="1535">
        <f>$N$5</f>
        <v>0.01</v>
      </c>
      <c r="G2767" s="1538"/>
      <c r="H2767" s="1539"/>
      <c r="I2767" s="1539">
        <f>I2766*F2767</f>
        <v>21079.507679999999</v>
      </c>
    </row>
    <row r="2768" spans="1:12" ht="14.25">
      <c r="B2768" s="2116"/>
      <c r="C2768" s="1544"/>
      <c r="D2768" s="2116"/>
      <c r="E2768" s="2117" t="s">
        <v>5683</v>
      </c>
      <c r="F2768" s="2115"/>
      <c r="G2768" s="2117"/>
      <c r="H2768" s="2118"/>
      <c r="I2768" s="2110">
        <f>ROUND(I2766+I2767,-2)</f>
        <v>2129000</v>
      </c>
    </row>
    <row r="2769" spans="1:12" ht="14.25">
      <c r="A2769" s="657">
        <v>1</v>
      </c>
      <c r="B2769" s="1546">
        <f>IF(A2769&lt;&gt;0,COUNTA(A$7:$A2769),"")</f>
        <v>157</v>
      </c>
      <c r="C2769" s="1547">
        <f>'8.Dgia'!C2361</f>
        <v>0</v>
      </c>
      <c r="D2769" s="1547" t="str">
        <f>'8.Dgia'!D2361</f>
        <v>Tạm tính</v>
      </c>
      <c r="E2769" s="1740" t="str">
        <f>'8.Dgia'!E2361</f>
        <v>Bu lông D16mm</v>
      </c>
      <c r="F2769" s="1789" t="s">
        <v>307</v>
      </c>
      <c r="G2769" s="1742">
        <f>'8.Dgia'!H2361</f>
        <v>0</v>
      </c>
      <c r="H2769" s="1795"/>
      <c r="I2769" s="1795"/>
      <c r="J2769" s="842">
        <f>+I2770</f>
        <v>3500</v>
      </c>
    </row>
    <row r="2770" spans="1:12" s="658" customFormat="1" ht="15">
      <c r="B2770" s="1536" t="str">
        <f>'8.Dgia'!B2362</f>
        <v/>
      </c>
      <c r="C2770" s="1537">
        <f>'8.Dgia'!C2362</f>
        <v>0</v>
      </c>
      <c r="D2770" s="1537">
        <f>'8.Dgia'!D2362</f>
        <v>0</v>
      </c>
      <c r="E2770" s="1744" t="str">
        <f>'8.Dgia'!E2362</f>
        <v xml:space="preserve">  A - Vật liệu</v>
      </c>
      <c r="F2770" s="1763">
        <f>'8.Dgia'!G2362</f>
        <v>0</v>
      </c>
      <c r="G2770" s="1746">
        <f>'8.Dgia'!H2362</f>
        <v>0</v>
      </c>
      <c r="H2770" s="1796"/>
      <c r="I2770" s="1797">
        <f>+I2771</f>
        <v>3500</v>
      </c>
      <c r="J2770" s="850"/>
      <c r="K2770" s="850"/>
      <c r="L2770" s="850"/>
    </row>
    <row r="2771" spans="1:12" ht="15">
      <c r="B2771" s="1536" t="str">
        <f>'8.Dgia'!B2363</f>
        <v/>
      </c>
      <c r="C2771" s="1537">
        <f>'8.Dgia'!C2363</f>
        <v>0</v>
      </c>
      <c r="D2771" s="1537">
        <f>'8.Dgia'!D2363</f>
        <v>0</v>
      </c>
      <c r="E2771" s="1749" t="str">
        <f>'8.Dgia'!E2363</f>
        <v>Bu lông D16mm</v>
      </c>
      <c r="F2771" s="1763" t="s">
        <v>307</v>
      </c>
      <c r="G2771" s="1746">
        <f>'8.Dgia'!H2363</f>
        <v>1</v>
      </c>
      <c r="H2771" s="1796">
        <f>GVL!$I$25</f>
        <v>3500</v>
      </c>
      <c r="I2771" s="1796">
        <f>H2771*G2771</f>
        <v>3500</v>
      </c>
    </row>
    <row r="2772" spans="1:12" s="658" customFormat="1" ht="15">
      <c r="B2772" s="1675"/>
      <c r="C2772" s="1676"/>
      <c r="D2772" s="1676"/>
      <c r="E2772" s="1800" t="s">
        <v>5675</v>
      </c>
      <c r="F2772" s="1763">
        <f>$J$5</f>
        <v>0.02</v>
      </c>
      <c r="G2772" s="1754"/>
      <c r="H2772" s="1799"/>
      <c r="I2772" s="1799">
        <f>( I2770 )*F2772</f>
        <v>70</v>
      </c>
      <c r="J2772" s="850"/>
      <c r="K2772" s="850"/>
      <c r="L2772" s="850"/>
    </row>
    <row r="2773" spans="1:12" ht="15">
      <c r="B2773" s="1540"/>
      <c r="C2773" s="1541"/>
      <c r="D2773" s="1541"/>
      <c r="E2773" s="1801" t="s">
        <v>5676</v>
      </c>
      <c r="F2773" s="1763"/>
      <c r="G2773" s="1759"/>
      <c r="H2773" s="1802"/>
      <c r="I2773" s="1802">
        <f>I2772+I2772/F2772</f>
        <v>3570</v>
      </c>
    </row>
    <row r="2774" spans="1:12" ht="15">
      <c r="B2774" s="1536"/>
      <c r="C2774" s="1537"/>
      <c r="D2774" s="1537"/>
      <c r="E2774" s="1803" t="s">
        <v>5677</v>
      </c>
      <c r="F2774" s="1763">
        <f>$K$5</f>
        <v>5.5E-2</v>
      </c>
      <c r="G2774" s="1746"/>
      <c r="H2774" s="1796"/>
      <c r="I2774" s="1796">
        <f>I2773*F2774</f>
        <v>196.35</v>
      </c>
    </row>
    <row r="2775" spans="1:12" ht="15">
      <c r="B2775" s="1536"/>
      <c r="C2775" s="1537"/>
      <c r="D2775" s="1537"/>
      <c r="E2775" s="1803" t="s">
        <v>5678</v>
      </c>
      <c r="F2775" s="1763">
        <f>$L$5</f>
        <v>0.06</v>
      </c>
      <c r="G2775" s="1746"/>
      <c r="H2775" s="1796"/>
      <c r="I2775" s="1796">
        <f>SUM(I2773:I2774)*F2775</f>
        <v>225.98099999999999</v>
      </c>
    </row>
    <row r="2776" spans="1:12" ht="14.25">
      <c r="B2776" s="1540"/>
      <c r="C2776" s="1541"/>
      <c r="D2776" s="1541"/>
      <c r="E2776" s="1801" t="s">
        <v>5679</v>
      </c>
      <c r="F2776" s="1791"/>
      <c r="G2776" s="1759"/>
      <c r="H2776" s="1802"/>
      <c r="I2776" s="1802">
        <f>SUM(I2773:I2775)</f>
        <v>3992.3310000000001</v>
      </c>
    </row>
    <row r="2777" spans="1:12" ht="15">
      <c r="B2777" s="1536"/>
      <c r="C2777" s="1537"/>
      <c r="D2777" s="1537"/>
      <c r="E2777" s="1803" t="s">
        <v>5680</v>
      </c>
      <c r="F2777" s="1765">
        <f>$M$5</f>
        <v>0.1</v>
      </c>
      <c r="G2777" s="1746"/>
      <c r="H2777" s="1796"/>
      <c r="I2777" s="1796">
        <f>I2776*F2777</f>
        <v>399.23310000000004</v>
      </c>
    </row>
    <row r="2778" spans="1:12" ht="14.25">
      <c r="B2778" s="1540"/>
      <c r="C2778" s="1541"/>
      <c r="D2778" s="1541"/>
      <c r="E2778" s="1801" t="s">
        <v>5681</v>
      </c>
      <c r="F2778" s="1791"/>
      <c r="G2778" s="1759"/>
      <c r="H2778" s="1802"/>
      <c r="I2778" s="1802">
        <f>SUM(I2776:I2777)</f>
        <v>4391.5641000000005</v>
      </c>
    </row>
    <row r="2779" spans="1:12" ht="12.75">
      <c r="B2779" s="1536"/>
      <c r="C2779" s="1537"/>
      <c r="D2779" s="1537"/>
      <c r="E2779" s="1464" t="s">
        <v>5682</v>
      </c>
      <c r="F2779" s="1535">
        <f>$N$5</f>
        <v>0.01</v>
      </c>
      <c r="G2779" s="1538"/>
      <c r="H2779" s="1539"/>
      <c r="I2779" s="1539">
        <f>I2778*F2779</f>
        <v>43.915641000000008</v>
      </c>
    </row>
    <row r="2780" spans="1:12" ht="14.25">
      <c r="B2780" s="2116"/>
      <c r="C2780" s="1544"/>
      <c r="D2780" s="2116"/>
      <c r="E2780" s="2117" t="s">
        <v>5683</v>
      </c>
      <c r="F2780" s="2115"/>
      <c r="G2780" s="2117"/>
      <c r="H2780" s="2118"/>
      <c r="I2780" s="2110">
        <f>ROUND(I2778+I2779,-2)</f>
        <v>4400</v>
      </c>
    </row>
    <row r="2781" spans="1:12" ht="14.25">
      <c r="A2781" s="657">
        <v>1</v>
      </c>
      <c r="B2781" s="1546">
        <f>IF(A2781&lt;&gt;0,COUNTA(A$7:$A2781),"")</f>
        <v>158</v>
      </c>
      <c r="C2781" s="1547">
        <f>'8.Dgia'!C2364</f>
        <v>0</v>
      </c>
      <c r="D2781" s="1547" t="s">
        <v>529</v>
      </c>
      <c r="E2781" s="1740" t="str">
        <f>'8.Dgia'!E2364</f>
        <v>Keo Epoxy</v>
      </c>
      <c r="F2781" s="1789" t="str">
        <f>'8.Dgia'!G2364</f>
        <v>m3</v>
      </c>
      <c r="G2781" s="1742">
        <f>'8.Dgia'!H2364</f>
        <v>0</v>
      </c>
      <c r="H2781" s="1795"/>
      <c r="I2781" s="1795"/>
      <c r="J2781" s="842">
        <f>+I2782</f>
        <v>494312000</v>
      </c>
    </row>
    <row r="2782" spans="1:12" s="658" customFormat="1" ht="15">
      <c r="B2782" s="1536" t="str">
        <f>'8.Dgia'!B2365</f>
        <v/>
      </c>
      <c r="C2782" s="1537">
        <f>'8.Dgia'!C2365</f>
        <v>0</v>
      </c>
      <c r="D2782" s="1537">
        <f>'8.Dgia'!D2365</f>
        <v>0</v>
      </c>
      <c r="E2782" s="1744" t="str">
        <f>'8.Dgia'!E2365</f>
        <v xml:space="preserve">  A - Vật liệu</v>
      </c>
      <c r="F2782" s="1763">
        <f>'8.Dgia'!G2365</f>
        <v>0</v>
      </c>
      <c r="G2782" s="1746">
        <f>'8.Dgia'!H2365</f>
        <v>0</v>
      </c>
      <c r="H2782" s="1796"/>
      <c r="I2782" s="1797">
        <f>+I2783</f>
        <v>494312000</v>
      </c>
      <c r="J2782" s="850"/>
      <c r="K2782" s="850"/>
      <c r="L2782" s="850"/>
    </row>
    <row r="2783" spans="1:12" ht="24">
      <c r="B2783" s="1536" t="str">
        <f>'8.Dgia'!B2366</f>
        <v/>
      </c>
      <c r="C2783" s="1537">
        <f>'8.Dgia'!C2366</f>
        <v>0</v>
      </c>
      <c r="D2783" s="1537" t="str">
        <f>'8.Dgia'!D2366</f>
        <v>(KL=1.4kg/lít)</v>
      </c>
      <c r="E2783" s="1749" t="str">
        <f>'8.Dgia'!E2366</f>
        <v>Keo Epoxy</v>
      </c>
      <c r="F2783" s="1763" t="str">
        <f>'8.Dgia'!G2366</f>
        <v>m3</v>
      </c>
      <c r="G2783" s="1984">
        <f>'8.Dgia'!H2366</f>
        <v>1400</v>
      </c>
      <c r="H2783" s="1796">
        <f>GVL!$I$109</f>
        <v>353080</v>
      </c>
      <c r="I2783" s="1796">
        <f>H2783*G2783</f>
        <v>494312000</v>
      </c>
    </row>
    <row r="2784" spans="1:12" s="658" customFormat="1" ht="15">
      <c r="B2784" s="1675"/>
      <c r="C2784" s="1676"/>
      <c r="D2784" s="1676"/>
      <c r="E2784" s="1800" t="s">
        <v>5675</v>
      </c>
      <c r="F2784" s="1763">
        <f>$J$5</f>
        <v>0.02</v>
      </c>
      <c r="G2784" s="1754"/>
      <c r="H2784" s="1799"/>
      <c r="I2784" s="1799">
        <f>( I2782 )*F2784</f>
        <v>9886240</v>
      </c>
      <c r="J2784" s="850"/>
      <c r="K2784" s="850"/>
      <c r="L2784" s="850"/>
    </row>
    <row r="2785" spans="1:12" ht="15">
      <c r="B2785" s="1540"/>
      <c r="C2785" s="1541"/>
      <c r="D2785" s="1541"/>
      <c r="E2785" s="1801" t="s">
        <v>5676</v>
      </c>
      <c r="F2785" s="1763"/>
      <c r="G2785" s="1759"/>
      <c r="H2785" s="1802"/>
      <c r="I2785" s="1802">
        <f>I2784+I2784/F2784</f>
        <v>504198240</v>
      </c>
    </row>
    <row r="2786" spans="1:12" ht="15">
      <c r="B2786" s="1536"/>
      <c r="C2786" s="1537"/>
      <c r="D2786" s="1537"/>
      <c r="E2786" s="1803" t="s">
        <v>5677</v>
      </c>
      <c r="F2786" s="1763">
        <f>$K$5</f>
        <v>5.5E-2</v>
      </c>
      <c r="G2786" s="1746"/>
      <c r="H2786" s="1796"/>
      <c r="I2786" s="1796">
        <f>I2785*F2786</f>
        <v>27730903.199999999</v>
      </c>
    </row>
    <row r="2787" spans="1:12" ht="15">
      <c r="B2787" s="1536"/>
      <c r="C2787" s="1537"/>
      <c r="D2787" s="1537"/>
      <c r="E2787" s="1803" t="s">
        <v>5678</v>
      </c>
      <c r="F2787" s="1763">
        <f>$L$5</f>
        <v>0.06</v>
      </c>
      <c r="G2787" s="1746"/>
      <c r="H2787" s="1796"/>
      <c r="I2787" s="1796">
        <f>SUM(I2785:I2786)*F2787</f>
        <v>31915748.591999996</v>
      </c>
    </row>
    <row r="2788" spans="1:12" ht="14.25">
      <c r="B2788" s="1540"/>
      <c r="C2788" s="1541"/>
      <c r="D2788" s="1541"/>
      <c r="E2788" s="1801" t="s">
        <v>5679</v>
      </c>
      <c r="F2788" s="1791"/>
      <c r="G2788" s="1759"/>
      <c r="H2788" s="1802"/>
      <c r="I2788" s="1802">
        <f>SUM(I2785:I2787)</f>
        <v>563844891.79199994</v>
      </c>
    </row>
    <row r="2789" spans="1:12" ht="15">
      <c r="B2789" s="1536"/>
      <c r="C2789" s="1537"/>
      <c r="D2789" s="1537"/>
      <c r="E2789" s="1803" t="s">
        <v>5680</v>
      </c>
      <c r="F2789" s="1765">
        <f>$M$5</f>
        <v>0.1</v>
      </c>
      <c r="G2789" s="1746"/>
      <c r="H2789" s="1796"/>
      <c r="I2789" s="1796">
        <f>I2788*F2789</f>
        <v>56384489.179199994</v>
      </c>
    </row>
    <row r="2790" spans="1:12" ht="14.25">
      <c r="B2790" s="1540"/>
      <c r="C2790" s="1541"/>
      <c r="D2790" s="1541"/>
      <c r="E2790" s="1801" t="s">
        <v>5681</v>
      </c>
      <c r="F2790" s="1791"/>
      <c r="G2790" s="1759"/>
      <c r="H2790" s="1802"/>
      <c r="I2790" s="1802">
        <f>SUM(I2788:I2789)</f>
        <v>620229380.97119999</v>
      </c>
    </row>
    <row r="2791" spans="1:12" ht="12.75">
      <c r="B2791" s="1536"/>
      <c r="C2791" s="1537"/>
      <c r="D2791" s="1537"/>
      <c r="E2791" s="1464" t="s">
        <v>5682</v>
      </c>
      <c r="F2791" s="1535">
        <f>$N$5</f>
        <v>0.01</v>
      </c>
      <c r="G2791" s="1538"/>
      <c r="H2791" s="1539"/>
      <c r="I2791" s="1539">
        <f>I2790*F2791</f>
        <v>6202293.8097120002</v>
      </c>
    </row>
    <row r="2792" spans="1:12" ht="14.25">
      <c r="B2792" s="2116"/>
      <c r="C2792" s="1544"/>
      <c r="D2792" s="2116"/>
      <c r="E2792" s="2117" t="s">
        <v>5683</v>
      </c>
      <c r="F2792" s="2115"/>
      <c r="G2792" s="2117"/>
      <c r="H2792" s="2118"/>
      <c r="I2792" s="2110">
        <f>ROUND(I2790+I2791,-2)</f>
        <v>626431700</v>
      </c>
    </row>
    <row r="2793" spans="1:12" ht="14.25">
      <c r="A2793" s="657">
        <v>1</v>
      </c>
      <c r="B2793" s="1546">
        <f>IF(A2793&lt;&gt;0,COUNTA(A$7:$A2793),"")</f>
        <v>159</v>
      </c>
      <c r="C2793" s="1547">
        <f>'8.Dgia'!C2367</f>
        <v>0</v>
      </c>
      <c r="D2793" s="1547" t="str">
        <f>'8.Dgia'!D2367</f>
        <v>Tạm tính</v>
      </c>
      <c r="E2793" s="1740" t="str">
        <f>'8.Dgia'!E2367</f>
        <v>Cung cấp lưới chắn rác bằng gang</v>
      </c>
      <c r="F2793" s="1789" t="str">
        <f>'8.Dgia'!G2367</f>
        <v>kg</v>
      </c>
      <c r="G2793" s="1742">
        <f>'8.Dgia'!H2367</f>
        <v>0</v>
      </c>
      <c r="H2793" s="1795"/>
      <c r="I2793" s="1795"/>
      <c r="J2793" s="842">
        <f>+I2794</f>
        <v>30000</v>
      </c>
    </row>
    <row r="2794" spans="1:12" s="658" customFormat="1" ht="15">
      <c r="B2794" s="1536" t="str">
        <f>'8.Dgia'!B2368</f>
        <v/>
      </c>
      <c r="C2794" s="1537">
        <f>'8.Dgia'!C2368</f>
        <v>0</v>
      </c>
      <c r="D2794" s="1537">
        <f>'8.Dgia'!D2368</f>
        <v>0</v>
      </c>
      <c r="E2794" s="1744" t="str">
        <f>'8.Dgia'!E2368</f>
        <v xml:space="preserve">  A - Vật liệu</v>
      </c>
      <c r="F2794" s="1763">
        <f>'8.Dgia'!G2368</f>
        <v>0</v>
      </c>
      <c r="G2794" s="1746">
        <f>'8.Dgia'!H2368</f>
        <v>0</v>
      </c>
      <c r="H2794" s="1796"/>
      <c r="I2794" s="1797">
        <f>+I2795</f>
        <v>30000</v>
      </c>
      <c r="J2794" s="850"/>
      <c r="K2794" s="850"/>
      <c r="L2794" s="850"/>
    </row>
    <row r="2795" spans="1:12" ht="15">
      <c r="B2795" s="1536" t="str">
        <f>'8.Dgia'!B2369</f>
        <v/>
      </c>
      <c r="C2795" s="1537">
        <f>'8.Dgia'!C2369</f>
        <v>0</v>
      </c>
      <c r="D2795" s="1537">
        <f>'8.Dgia'!D2369</f>
        <v>0</v>
      </c>
      <c r="E2795" s="1749" t="str">
        <f>'8.Dgia'!E2369</f>
        <v>Cung cấp lưới chắn rác bằng gang</v>
      </c>
      <c r="F2795" s="1763" t="str">
        <f>'8.Dgia'!G2369</f>
        <v>kg</v>
      </c>
      <c r="G2795" s="1981">
        <f>'8.Dgia'!H2369</f>
        <v>1</v>
      </c>
      <c r="H2795" s="1796">
        <f>GVL!$I$49</f>
        <v>30000</v>
      </c>
      <c r="I2795" s="1796">
        <f>H2795*G2795</f>
        <v>30000</v>
      </c>
    </row>
    <row r="2796" spans="1:12" s="658" customFormat="1" ht="15">
      <c r="B2796" s="1675"/>
      <c r="C2796" s="1676"/>
      <c r="D2796" s="1676"/>
      <c r="E2796" s="1800" t="s">
        <v>5675</v>
      </c>
      <c r="F2796" s="1763">
        <f>$J$5</f>
        <v>0.02</v>
      </c>
      <c r="G2796" s="1754"/>
      <c r="H2796" s="1799"/>
      <c r="I2796" s="1799">
        <f>( I2794 )*F2796</f>
        <v>600</v>
      </c>
      <c r="J2796" s="850"/>
      <c r="K2796" s="850"/>
      <c r="L2796" s="850"/>
    </row>
    <row r="2797" spans="1:12" ht="15">
      <c r="B2797" s="1540"/>
      <c r="C2797" s="1541"/>
      <c r="D2797" s="1541"/>
      <c r="E2797" s="1801" t="s">
        <v>5676</v>
      </c>
      <c r="F2797" s="1763"/>
      <c r="G2797" s="1759"/>
      <c r="H2797" s="1802"/>
      <c r="I2797" s="1802">
        <f>I2796+I2796/F2796</f>
        <v>30600</v>
      </c>
    </row>
    <row r="2798" spans="1:12" ht="15">
      <c r="B2798" s="1536"/>
      <c r="C2798" s="1537"/>
      <c r="D2798" s="1537"/>
      <c r="E2798" s="1803" t="s">
        <v>5677</v>
      </c>
      <c r="F2798" s="1763">
        <f>$K$5</f>
        <v>5.5E-2</v>
      </c>
      <c r="G2798" s="1746"/>
      <c r="H2798" s="1796"/>
      <c r="I2798" s="1796">
        <f>I2797*F2798</f>
        <v>1683</v>
      </c>
    </row>
    <row r="2799" spans="1:12" ht="15">
      <c r="B2799" s="1536"/>
      <c r="C2799" s="1537"/>
      <c r="D2799" s="1537"/>
      <c r="E2799" s="1803" t="s">
        <v>5678</v>
      </c>
      <c r="F2799" s="1763">
        <f>$L$5</f>
        <v>0.06</v>
      </c>
      <c r="G2799" s="1746"/>
      <c r="H2799" s="1796"/>
      <c r="I2799" s="1796">
        <f>SUM(I2797:I2798)*F2799</f>
        <v>1936.98</v>
      </c>
    </row>
    <row r="2800" spans="1:12" ht="14.25">
      <c r="B2800" s="1540"/>
      <c r="C2800" s="1541"/>
      <c r="D2800" s="1541"/>
      <c r="E2800" s="1801" t="s">
        <v>5679</v>
      </c>
      <c r="F2800" s="1791"/>
      <c r="G2800" s="1759"/>
      <c r="H2800" s="1802"/>
      <c r="I2800" s="1802">
        <f>SUM(I2797:I2799)</f>
        <v>34219.980000000003</v>
      </c>
    </row>
    <row r="2801" spans="1:12" ht="15">
      <c r="B2801" s="1536"/>
      <c r="C2801" s="1537"/>
      <c r="D2801" s="1537"/>
      <c r="E2801" s="1803" t="s">
        <v>5680</v>
      </c>
      <c r="F2801" s="1765">
        <f>$M$5</f>
        <v>0.1</v>
      </c>
      <c r="G2801" s="1746"/>
      <c r="H2801" s="1796"/>
      <c r="I2801" s="1796">
        <f>I2800*F2801</f>
        <v>3421.9980000000005</v>
      </c>
    </row>
    <row r="2802" spans="1:12" ht="14.25">
      <c r="B2802" s="1540"/>
      <c r="C2802" s="1541"/>
      <c r="D2802" s="1541"/>
      <c r="E2802" s="1801" t="s">
        <v>5681</v>
      </c>
      <c r="F2802" s="1791"/>
      <c r="G2802" s="1759"/>
      <c r="H2802" s="1802"/>
      <c r="I2802" s="1802">
        <f>SUM(I2800:I2801)</f>
        <v>37641.978000000003</v>
      </c>
    </row>
    <row r="2803" spans="1:12" ht="12.75">
      <c r="B2803" s="1536"/>
      <c r="C2803" s="1537"/>
      <c r="D2803" s="1537"/>
      <c r="E2803" s="1464" t="s">
        <v>5682</v>
      </c>
      <c r="F2803" s="1535">
        <f>$N$5</f>
        <v>0.01</v>
      </c>
      <c r="G2803" s="1538"/>
      <c r="H2803" s="1539"/>
      <c r="I2803" s="1539">
        <f>I2802*F2803</f>
        <v>376.41978000000006</v>
      </c>
    </row>
    <row r="2804" spans="1:12" ht="14.25">
      <c r="B2804" s="2116"/>
      <c r="C2804" s="1544"/>
      <c r="D2804" s="2116"/>
      <c r="E2804" s="2117" t="s">
        <v>5683</v>
      </c>
      <c r="F2804" s="2115"/>
      <c r="G2804" s="2117"/>
      <c r="H2804" s="2118"/>
      <c r="I2804" s="2110">
        <f>ROUND(I2802+I2803,-2)</f>
        <v>38000</v>
      </c>
    </row>
    <row r="2805" spans="1:12" ht="14.25">
      <c r="A2805" s="657">
        <v>1</v>
      </c>
      <c r="B2805" s="1546">
        <f>IF(A2805&lt;&gt;0,COUNTA(A$7:$A2805),"")</f>
        <v>160</v>
      </c>
      <c r="C2805" s="1547">
        <f>'8.Dgia'!C2437</f>
        <v>1776</v>
      </c>
      <c r="D2805" s="1547" t="s">
        <v>3552</v>
      </c>
      <c r="E2805" s="1740" t="str">
        <f>'8.Dgia'!E2437</f>
        <v>Thanh cường độ cao D36 (để lại)</v>
      </c>
      <c r="F2805" s="1789" t="s">
        <v>557</v>
      </c>
      <c r="G2805" s="1742">
        <f>'8.Dgia'!H2437</f>
        <v>0</v>
      </c>
      <c r="H2805" s="1795"/>
      <c r="I2805" s="1795"/>
      <c r="J2805" s="842">
        <f>+I2806</f>
        <v>89111686.414661184</v>
      </c>
      <c r="K2805" s="936">
        <f>+I2810</f>
        <v>2504034</v>
      </c>
      <c r="L2805" s="936">
        <f>+I2811</f>
        <v>480192.86971363635</v>
      </c>
    </row>
    <row r="2806" spans="1:12" ht="15">
      <c r="B2806" s="1536" t="str">
        <f>'8.Dgia'!B2438</f>
        <v/>
      </c>
      <c r="C2806" s="1537">
        <f>'8.Dgia'!C2438</f>
        <v>0</v>
      </c>
      <c r="D2806" s="1537">
        <f>'8.Dgia'!D2438</f>
        <v>0</v>
      </c>
      <c r="E2806" s="1744" t="str">
        <f>'8.Dgia'!E2438</f>
        <v xml:space="preserve">  A - Vật liệu</v>
      </c>
      <c r="F2806" s="1763">
        <f>'8.Dgia'!G2438</f>
        <v>0</v>
      </c>
      <c r="G2806" s="1746">
        <f>'8.Dgia'!H2438</f>
        <v>0</v>
      </c>
      <c r="H2806" s="1796"/>
      <c r="I2806" s="1797">
        <f>SUM(I2807:I2809)</f>
        <v>89111686.414661184</v>
      </c>
    </row>
    <row r="2807" spans="1:12" ht="15">
      <c r="B2807" s="1536" t="str">
        <f>'8.Dgia'!B2439</f>
        <v/>
      </c>
      <c r="C2807" s="1537">
        <f>'8.Dgia'!C2439</f>
        <v>0</v>
      </c>
      <c r="D2807" s="1537" t="s">
        <v>5869</v>
      </c>
      <c r="E2807" s="1749" t="str">
        <f>'8.Dgia'!E2439</f>
        <v>Thanh cường độ cao D36 (kg)</v>
      </c>
      <c r="F2807" s="1763" t="str">
        <f>'8.Dgia'!G2439</f>
        <v xml:space="preserve"> kg </v>
      </c>
      <c r="G2807" s="1982">
        <f>'8.Dgia'!H2439</f>
        <v>1020</v>
      </c>
      <c r="H2807" s="1796">
        <f>GVL!$I$168</f>
        <v>86980.172563393309</v>
      </c>
      <c r="I2807" s="1796">
        <f>H2807*G2807</f>
        <v>88719776.014661178</v>
      </c>
    </row>
    <row r="2808" spans="1:12" ht="15">
      <c r="B2808" s="1536" t="str">
        <f>'8.Dgia'!B2440</f>
        <v/>
      </c>
      <c r="C2808" s="1537">
        <f>'8.Dgia'!C2440</f>
        <v>0</v>
      </c>
      <c r="D2808" s="1537">
        <f>'8.Dgia'!D2440</f>
        <v>0</v>
      </c>
      <c r="E2808" s="1749" t="str">
        <f>'8.Dgia'!E2440</f>
        <v>Dây thép buộc</v>
      </c>
      <c r="F2808" s="1763" t="str">
        <f>'8.Dgia'!G2440</f>
        <v>kg</v>
      </c>
      <c r="G2808" s="1981">
        <f>'8.Dgia'!H2440</f>
        <v>14.28</v>
      </c>
      <c r="H2808" s="1796">
        <f>GVL!$I$89</f>
        <v>18180</v>
      </c>
      <c r="I2808" s="1796">
        <f>H2808*G2808</f>
        <v>259610.4</v>
      </c>
    </row>
    <row r="2809" spans="1:12" ht="15">
      <c r="B2809" s="1536" t="str">
        <f>'8.Dgia'!B2441</f>
        <v/>
      </c>
      <c r="C2809" s="1537">
        <f>'8.Dgia'!C2441</f>
        <v>0</v>
      </c>
      <c r="D2809" s="1537">
        <f>'8.Dgia'!D2441</f>
        <v>0</v>
      </c>
      <c r="E2809" s="1749" t="str">
        <f>'8.Dgia'!E2441</f>
        <v>Que hàn</v>
      </c>
      <c r="F2809" s="1763" t="str">
        <f>'8.Dgia'!G2441</f>
        <v>kg</v>
      </c>
      <c r="G2809" s="1981">
        <f>'8.Dgia'!H2441</f>
        <v>6.93</v>
      </c>
      <c r="H2809" s="1796">
        <f>GVL!$I$153</f>
        <v>19090.909090909088</v>
      </c>
      <c r="I2809" s="1796">
        <f>H2809*G2809</f>
        <v>132299.99999999997</v>
      </c>
    </row>
    <row r="2810" spans="1:12" ht="15">
      <c r="B2810" s="1536" t="str">
        <f>'8.Dgia'!B2442</f>
        <v/>
      </c>
      <c r="C2810" s="1537">
        <f>'8.Dgia'!C2442</f>
        <v>0</v>
      </c>
      <c r="D2810" s="1537">
        <f>'8.Dgia'!D2442</f>
        <v>0</v>
      </c>
      <c r="E2810" s="1744" t="str">
        <f>'8.Dgia'!E2442</f>
        <v xml:space="preserve">  B - Nhân công 4.0/7</v>
      </c>
      <c r="F2810" s="1745" t="s">
        <v>552</v>
      </c>
      <c r="G2810" s="1981">
        <f>'8.Dgia'!H2442</f>
        <v>9.75</v>
      </c>
      <c r="H2810" s="1796">
        <f>'16.NC'!$H$18</f>
        <v>256824</v>
      </c>
      <c r="I2810" s="1798">
        <f>H2810*G2810</f>
        <v>2504034</v>
      </c>
    </row>
    <row r="2811" spans="1:12" ht="15">
      <c r="B2811" s="1536" t="str">
        <f>'8.Dgia'!B2443</f>
        <v/>
      </c>
      <c r="C2811" s="1537">
        <f>'8.Dgia'!C2443</f>
        <v>0</v>
      </c>
      <c r="D2811" s="1537">
        <f>'8.Dgia'!D2443</f>
        <v>0</v>
      </c>
      <c r="E2811" s="1744" t="str">
        <f>'8.Dgia'!E2443</f>
        <v xml:space="preserve">  C - Máy thi công</v>
      </c>
      <c r="F2811" s="1763">
        <f>'8.Dgia'!G2443</f>
        <v>0</v>
      </c>
      <c r="G2811" s="1981">
        <f>'8.Dgia'!H2443</f>
        <v>0</v>
      </c>
      <c r="H2811" s="1796"/>
      <c r="I2811" s="1799">
        <f>SUM(I2812:I2814)</f>
        <v>480192.86971363635</v>
      </c>
    </row>
    <row r="2812" spans="1:12" ht="15">
      <c r="B2812" s="1536" t="str">
        <f>'8.Dgia'!B2444</f>
        <v/>
      </c>
      <c r="C2812" s="1537">
        <f>'8.Dgia'!C2444</f>
        <v>0</v>
      </c>
      <c r="D2812" s="1537">
        <f>'8.Dgia'!D2444</f>
        <v>0</v>
      </c>
      <c r="E2812" s="1749" t="str">
        <f>'8.Dgia'!E2444</f>
        <v>Máy hàn 23kw</v>
      </c>
      <c r="F2812" s="1745" t="s">
        <v>5493</v>
      </c>
      <c r="G2812" s="1981">
        <f>'8.Dgia'!H2444</f>
        <v>1.73</v>
      </c>
      <c r="H2812" s="1796">
        <f>'9.may'!$P$510</f>
        <v>171649.155</v>
      </c>
      <c r="I2812" s="1796">
        <f>H2812*G2812</f>
        <v>296953.03814999998</v>
      </c>
    </row>
    <row r="2813" spans="1:12" ht="15">
      <c r="B2813" s="1536" t="str">
        <f>'8.Dgia'!B2445</f>
        <v/>
      </c>
      <c r="C2813" s="1537">
        <f>'8.Dgia'!C2445</f>
        <v>0</v>
      </c>
      <c r="D2813" s="1537">
        <f>'8.Dgia'!D2445</f>
        <v>0</v>
      </c>
      <c r="E2813" s="1749" t="str">
        <f>'8.Dgia'!E2445</f>
        <v>Máy cắt uốn</v>
      </c>
      <c r="F2813" s="1745" t="s">
        <v>5493</v>
      </c>
      <c r="G2813" s="1981">
        <f>'8.Dgia'!H2445</f>
        <v>0.16</v>
      </c>
      <c r="H2813" s="1796">
        <f>'9.may'!$P$557</f>
        <v>80291.850000000006</v>
      </c>
      <c r="I2813" s="1796">
        <f>H2813*G2813</f>
        <v>12846.696000000002</v>
      </c>
    </row>
    <row r="2814" spans="1:12" ht="15">
      <c r="B2814" s="1536" t="str">
        <f>'8.Dgia'!B2446</f>
        <v/>
      </c>
      <c r="C2814" s="1537">
        <f>'8.Dgia'!C2446</f>
        <v>0</v>
      </c>
      <c r="D2814" s="1537">
        <f>'8.Dgia'!D2446</f>
        <v>0</v>
      </c>
      <c r="E2814" s="1749" t="str">
        <f>'8.Dgia'!E2446</f>
        <v>Cần cẩu bánh xích 16T</v>
      </c>
      <c r="F2814" s="1745" t="s">
        <v>5493</v>
      </c>
      <c r="G2814" s="1981">
        <f>'8.Dgia'!H2446</f>
        <v>0.08</v>
      </c>
      <c r="H2814" s="1796">
        <f>'9.may'!$P$247</f>
        <v>2129914.1945454543</v>
      </c>
      <c r="I2814" s="1796">
        <f>H2814*G2814</f>
        <v>170393.13556363634</v>
      </c>
    </row>
    <row r="2815" spans="1:12" s="658" customFormat="1" ht="15">
      <c r="B2815" s="1675"/>
      <c r="C2815" s="1676"/>
      <c r="D2815" s="1676"/>
      <c r="E2815" s="1800" t="s">
        <v>5675</v>
      </c>
      <c r="F2815" s="1763">
        <f>$J$5</f>
        <v>0.02</v>
      </c>
      <c r="G2815" s="1754"/>
      <c r="H2815" s="1799"/>
      <c r="I2815" s="1799">
        <f>( I2806+I2810+I2811 )*F2815</f>
        <v>1841918.2656874964</v>
      </c>
      <c r="J2815" s="850"/>
      <c r="K2815" s="850"/>
      <c r="L2815" s="850"/>
    </row>
    <row r="2816" spans="1:12" ht="15">
      <c r="B2816" s="1540"/>
      <c r="C2816" s="1541"/>
      <c r="D2816" s="1541"/>
      <c r="E2816" s="1801" t="s">
        <v>5676</v>
      </c>
      <c r="F2816" s="1763"/>
      <c r="G2816" s="1759"/>
      <c r="H2816" s="1802"/>
      <c r="I2816" s="1802">
        <f>I2815+I2815/F2815</f>
        <v>93937831.550062314</v>
      </c>
    </row>
    <row r="2817" spans="1:12" ht="15">
      <c r="B2817" s="1536"/>
      <c r="C2817" s="1537"/>
      <c r="D2817" s="1537"/>
      <c r="E2817" s="1803" t="s">
        <v>5677</v>
      </c>
      <c r="F2817" s="1763">
        <f>$K$5</f>
        <v>5.5E-2</v>
      </c>
      <c r="G2817" s="1746"/>
      <c r="H2817" s="1796"/>
      <c r="I2817" s="1796">
        <f>I2816*F2817</f>
        <v>5166580.7352534272</v>
      </c>
    </row>
    <row r="2818" spans="1:12" ht="15">
      <c r="B2818" s="1536"/>
      <c r="C2818" s="1537"/>
      <c r="D2818" s="1537"/>
      <c r="E2818" s="1803" t="s">
        <v>5678</v>
      </c>
      <c r="F2818" s="1763">
        <f>$L$5</f>
        <v>0.06</v>
      </c>
      <c r="G2818" s="1746"/>
      <c r="H2818" s="1796"/>
      <c r="I2818" s="1796">
        <f>SUM(I2816:I2817)*F2818</f>
        <v>5946264.7371189436</v>
      </c>
    </row>
    <row r="2819" spans="1:12" ht="14.25">
      <c r="B2819" s="1540"/>
      <c r="C2819" s="1541"/>
      <c r="D2819" s="1541"/>
      <c r="E2819" s="1801" t="s">
        <v>5679</v>
      </c>
      <c r="F2819" s="1791"/>
      <c r="G2819" s="1759"/>
      <c r="H2819" s="1802"/>
      <c r="I2819" s="1802">
        <f>SUM(I2816:I2818)</f>
        <v>105050677.02243468</v>
      </c>
    </row>
    <row r="2820" spans="1:12" ht="15">
      <c r="B2820" s="1536"/>
      <c r="C2820" s="1537"/>
      <c r="D2820" s="1537"/>
      <c r="E2820" s="1803" t="s">
        <v>5680</v>
      </c>
      <c r="F2820" s="1765">
        <f>$M$5</f>
        <v>0.1</v>
      </c>
      <c r="G2820" s="1746"/>
      <c r="H2820" s="1796"/>
      <c r="I2820" s="1796">
        <f>I2819*F2820</f>
        <v>10505067.70224347</v>
      </c>
    </row>
    <row r="2821" spans="1:12" ht="14.25">
      <c r="B2821" s="1540"/>
      <c r="C2821" s="1541"/>
      <c r="D2821" s="1541"/>
      <c r="E2821" s="1801" t="s">
        <v>5681</v>
      </c>
      <c r="F2821" s="1791"/>
      <c r="G2821" s="1759"/>
      <c r="H2821" s="1802"/>
      <c r="I2821" s="1802">
        <f>SUM(I2819:I2820)</f>
        <v>115555744.72467816</v>
      </c>
    </row>
    <row r="2822" spans="1:12" ht="12.75">
      <c r="B2822" s="1536"/>
      <c r="C2822" s="1537"/>
      <c r="D2822" s="1537"/>
      <c r="E2822" s="1464" t="s">
        <v>5682</v>
      </c>
      <c r="F2822" s="1535">
        <f>$N$5</f>
        <v>0.01</v>
      </c>
      <c r="G2822" s="1538"/>
      <c r="H2822" s="1539"/>
      <c r="I2822" s="1539">
        <f>I2821*F2822</f>
        <v>1155557.4472467816</v>
      </c>
    </row>
    <row r="2823" spans="1:12" ht="14.25">
      <c r="B2823" s="2116"/>
      <c r="C2823" s="1544"/>
      <c r="D2823" s="2116"/>
      <c r="E2823" s="2117" t="s">
        <v>5683</v>
      </c>
      <c r="F2823" s="2115"/>
      <c r="G2823" s="2117"/>
      <c r="H2823" s="2118"/>
      <c r="I2823" s="2110">
        <f>ROUND(I2821+I2822,-2)</f>
        <v>116711300</v>
      </c>
    </row>
    <row r="2824" spans="1:12" ht="28.5">
      <c r="A2824" s="657">
        <v>1</v>
      </c>
      <c r="B2824" s="1546">
        <f>IF(A2824&lt;&gt;0,COUNTA(A$7:$A2824),"")</f>
        <v>161</v>
      </c>
      <c r="C2824" s="1547">
        <f>'8.Dgia'!C2447</f>
        <v>1776</v>
      </c>
      <c r="D2824" s="1547" t="s">
        <v>3552</v>
      </c>
      <c r="E2824" s="1740" t="str">
        <f>'8.Dgia'!E2447</f>
        <v>Thanh cường độ cao D36 (thu hồi, KH=2%*9tháng+7%)</v>
      </c>
      <c r="F2824" s="1789" t="s">
        <v>557</v>
      </c>
      <c r="G2824" s="1742">
        <f>'8.Dgia'!H2447</f>
        <v>0</v>
      </c>
      <c r="H2824" s="1795"/>
      <c r="I2824" s="1795"/>
      <c r="J2824" s="842">
        <f>+I2825</f>
        <v>22571854.403665293</v>
      </c>
      <c r="K2824" s="936">
        <f>+I2829</f>
        <v>2504034</v>
      </c>
      <c r="L2824" s="936">
        <f>+I2830</f>
        <v>480192.86971363635</v>
      </c>
    </row>
    <row r="2825" spans="1:12" ht="15">
      <c r="B2825" s="1536" t="str">
        <f>'8.Dgia'!B2448</f>
        <v/>
      </c>
      <c r="C2825" s="1537">
        <f>'8.Dgia'!C2448</f>
        <v>0</v>
      </c>
      <c r="D2825" s="1537">
        <f>'8.Dgia'!D2448</f>
        <v>0</v>
      </c>
      <c r="E2825" s="1744" t="str">
        <f>'8.Dgia'!E2448</f>
        <v xml:space="preserve">  A - Vật liệu</v>
      </c>
      <c r="F2825" s="1763">
        <f>'8.Dgia'!G2448</f>
        <v>0</v>
      </c>
      <c r="G2825" s="1746">
        <f>'8.Dgia'!H2448</f>
        <v>0</v>
      </c>
      <c r="H2825" s="1796"/>
      <c r="I2825" s="1797">
        <f>SUM(I2826:I2828)</f>
        <v>22571854.403665293</v>
      </c>
    </row>
    <row r="2826" spans="1:12" ht="15">
      <c r="B2826" s="1536" t="str">
        <f>'8.Dgia'!B2449</f>
        <v/>
      </c>
      <c r="C2826" s="1537">
        <f>'8.Dgia'!C2449</f>
        <v>0</v>
      </c>
      <c r="D2826" s="1537" t="str">
        <f>'8.Dgia'!D2449</f>
        <v>KH</v>
      </c>
      <c r="E2826" s="1749" t="str">
        <f>'8.Dgia'!E2449</f>
        <v>Thanh cường độ cao D36 (kg)</v>
      </c>
      <c r="F2826" s="1763" t="str">
        <f>'8.Dgia'!G2449</f>
        <v xml:space="preserve"> kg </v>
      </c>
      <c r="G2826" s="1954">
        <f>'8.Dgia'!H2449</f>
        <v>255</v>
      </c>
      <c r="H2826" s="1796">
        <f>GVL!$I$168</f>
        <v>86980.172563393309</v>
      </c>
      <c r="I2826" s="1796">
        <f>H2826*G2826</f>
        <v>22179944.003665294</v>
      </c>
    </row>
    <row r="2827" spans="1:12" ht="15">
      <c r="B2827" s="1536" t="str">
        <f>'8.Dgia'!B2450</f>
        <v/>
      </c>
      <c r="C2827" s="1537">
        <f>'8.Dgia'!C2450</f>
        <v>0</v>
      </c>
      <c r="D2827" s="1537">
        <f>'8.Dgia'!D2450</f>
        <v>0</v>
      </c>
      <c r="E2827" s="1749" t="str">
        <f>'8.Dgia'!E2450</f>
        <v>Dây thép buộc</v>
      </c>
      <c r="F2827" s="1763" t="str">
        <f>'8.Dgia'!G2450</f>
        <v>kg</v>
      </c>
      <c r="G2827" s="1981">
        <f>'8.Dgia'!H2450</f>
        <v>14.28</v>
      </c>
      <c r="H2827" s="1796">
        <f>GVL!$I$89</f>
        <v>18180</v>
      </c>
      <c r="I2827" s="1796">
        <f>H2827*G2827</f>
        <v>259610.4</v>
      </c>
    </row>
    <row r="2828" spans="1:12" ht="15">
      <c r="B2828" s="1536" t="str">
        <f>'8.Dgia'!B2451</f>
        <v/>
      </c>
      <c r="C2828" s="1537">
        <f>'8.Dgia'!C2451</f>
        <v>0</v>
      </c>
      <c r="D2828" s="1537" t="s">
        <v>5869</v>
      </c>
      <c r="E2828" s="1749" t="str">
        <f>'8.Dgia'!E2451</f>
        <v>Que hàn</v>
      </c>
      <c r="F2828" s="1763" t="str">
        <f>'8.Dgia'!G2451</f>
        <v>kg</v>
      </c>
      <c r="G2828" s="1981">
        <f>'8.Dgia'!H2451</f>
        <v>6.93</v>
      </c>
      <c r="H2828" s="1796">
        <f>GVL!$I$153</f>
        <v>19090.909090909088</v>
      </c>
      <c r="I2828" s="1796">
        <f>H2828*G2828</f>
        <v>132299.99999999997</v>
      </c>
    </row>
    <row r="2829" spans="1:12" ht="15">
      <c r="B2829" s="1536" t="str">
        <f>'8.Dgia'!B2452</f>
        <v/>
      </c>
      <c r="C2829" s="1537">
        <f>'8.Dgia'!C2452</f>
        <v>0</v>
      </c>
      <c r="D2829" s="1537">
        <f>'8.Dgia'!D2452</f>
        <v>0</v>
      </c>
      <c r="E2829" s="1744" t="str">
        <f>'8.Dgia'!E2452</f>
        <v xml:space="preserve">  B - Nhân công 4.0/7</v>
      </c>
      <c r="F2829" s="1745" t="s">
        <v>552</v>
      </c>
      <c r="G2829" s="1981">
        <f>'8.Dgia'!H2452</f>
        <v>9.75</v>
      </c>
      <c r="H2829" s="1796">
        <f>'16.NC'!$H$18</f>
        <v>256824</v>
      </c>
      <c r="I2829" s="1798">
        <f>H2829*G2829</f>
        <v>2504034</v>
      </c>
    </row>
    <row r="2830" spans="1:12" ht="15">
      <c r="B2830" s="1536" t="str">
        <f>'8.Dgia'!B2453</f>
        <v/>
      </c>
      <c r="C2830" s="1537">
        <f>'8.Dgia'!C2453</f>
        <v>0</v>
      </c>
      <c r="D2830" s="1537">
        <f>'8.Dgia'!D2453</f>
        <v>0</v>
      </c>
      <c r="E2830" s="1744" t="str">
        <f>'8.Dgia'!E2453</f>
        <v xml:space="preserve">  C - Máy thi công</v>
      </c>
      <c r="F2830" s="1763">
        <f>'8.Dgia'!G2453</f>
        <v>0</v>
      </c>
      <c r="G2830" s="1981">
        <f>'8.Dgia'!H2453</f>
        <v>0</v>
      </c>
      <c r="H2830" s="1796"/>
      <c r="I2830" s="1799">
        <f>SUM(I2831:I2833)</f>
        <v>480192.86971363635</v>
      </c>
    </row>
    <row r="2831" spans="1:12" ht="15">
      <c r="B2831" s="1536" t="str">
        <f>'8.Dgia'!B2454</f>
        <v/>
      </c>
      <c r="C2831" s="1537">
        <f>'8.Dgia'!C2454</f>
        <v>0</v>
      </c>
      <c r="D2831" s="1537">
        <f>'8.Dgia'!D2454</f>
        <v>0</v>
      </c>
      <c r="E2831" s="1749" t="str">
        <f>'8.Dgia'!E2454</f>
        <v>Máy hàn 23kw</v>
      </c>
      <c r="F2831" s="1745" t="s">
        <v>5493</v>
      </c>
      <c r="G2831" s="1981">
        <f>'8.Dgia'!H2454</f>
        <v>1.73</v>
      </c>
      <c r="H2831" s="1796">
        <f>'9.may'!$P$510</f>
        <v>171649.155</v>
      </c>
      <c r="I2831" s="1796">
        <f>+H2831*G2831</f>
        <v>296953.03814999998</v>
      </c>
    </row>
    <row r="2832" spans="1:12" ht="15">
      <c r="B2832" s="1536" t="str">
        <f>'8.Dgia'!B2455</f>
        <v/>
      </c>
      <c r="C2832" s="1537">
        <f>'8.Dgia'!C2455</f>
        <v>0</v>
      </c>
      <c r="D2832" s="1537">
        <f>'8.Dgia'!D2455</f>
        <v>0</v>
      </c>
      <c r="E2832" s="1749" t="str">
        <f>'8.Dgia'!E2455</f>
        <v>Máy cắt uốn</v>
      </c>
      <c r="F2832" s="1745" t="s">
        <v>5493</v>
      </c>
      <c r="G2832" s="1981">
        <f>'8.Dgia'!H2455</f>
        <v>0.16</v>
      </c>
      <c r="H2832" s="1796">
        <f>'9.may'!$P$557</f>
        <v>80291.850000000006</v>
      </c>
      <c r="I2832" s="1796">
        <f>+H2832*G2832</f>
        <v>12846.696000000002</v>
      </c>
    </row>
    <row r="2833" spans="1:12" ht="15">
      <c r="B2833" s="1536" t="str">
        <f>'8.Dgia'!B2456</f>
        <v/>
      </c>
      <c r="C2833" s="1537">
        <f>'8.Dgia'!C2456</f>
        <v>0</v>
      </c>
      <c r="D2833" s="1537">
        <f>'8.Dgia'!D2456</f>
        <v>0</v>
      </c>
      <c r="E2833" s="1749" t="str">
        <f>'8.Dgia'!E2456</f>
        <v>Cần cẩu bánh xích 16T</v>
      </c>
      <c r="F2833" s="1745" t="s">
        <v>5493</v>
      </c>
      <c r="G2833" s="1981">
        <f>'8.Dgia'!H2456</f>
        <v>0.08</v>
      </c>
      <c r="H2833" s="1796">
        <f>'9.may'!$P$247</f>
        <v>2129914.1945454543</v>
      </c>
      <c r="I2833" s="1796">
        <f>+H2833*G2833</f>
        <v>170393.13556363634</v>
      </c>
    </row>
    <row r="2834" spans="1:12" s="658" customFormat="1" ht="15">
      <c r="B2834" s="1675"/>
      <c r="C2834" s="1676"/>
      <c r="D2834" s="1676"/>
      <c r="E2834" s="1800" t="s">
        <v>5675</v>
      </c>
      <c r="F2834" s="1763">
        <f>$J$5</f>
        <v>0.02</v>
      </c>
      <c r="G2834" s="1754"/>
      <c r="H2834" s="1799"/>
      <c r="I2834" s="1799">
        <f>( I2825+I2829+I2830 )*F2834</f>
        <v>511121.62546757865</v>
      </c>
      <c r="J2834" s="850"/>
      <c r="K2834" s="850"/>
      <c r="L2834" s="850"/>
    </row>
    <row r="2835" spans="1:12" ht="15">
      <c r="B2835" s="1540"/>
      <c r="C2835" s="1541"/>
      <c r="D2835" s="1541"/>
      <c r="E2835" s="1801" t="s">
        <v>5676</v>
      </c>
      <c r="F2835" s="1763"/>
      <c r="G2835" s="1759"/>
      <c r="H2835" s="1802"/>
      <c r="I2835" s="1802">
        <f>I2834+I2834/F2834</f>
        <v>26067202.898846511</v>
      </c>
    </row>
    <row r="2836" spans="1:12" ht="15">
      <c r="B2836" s="1536"/>
      <c r="C2836" s="1537"/>
      <c r="D2836" s="1537"/>
      <c r="E2836" s="1803" t="s">
        <v>5677</v>
      </c>
      <c r="F2836" s="1763">
        <f>$K$5</f>
        <v>5.5E-2</v>
      </c>
      <c r="G2836" s="1746"/>
      <c r="H2836" s="1796"/>
      <c r="I2836" s="1796">
        <f>I2835*F2836</f>
        <v>1433696.1594365581</v>
      </c>
    </row>
    <row r="2837" spans="1:12" ht="15">
      <c r="B2837" s="1536"/>
      <c r="C2837" s="1537"/>
      <c r="D2837" s="1537"/>
      <c r="E2837" s="1803" t="s">
        <v>5678</v>
      </c>
      <c r="F2837" s="1763">
        <f>$L$5</f>
        <v>0.06</v>
      </c>
      <c r="G2837" s="1746"/>
      <c r="H2837" s="1796"/>
      <c r="I2837" s="1796">
        <f>SUM(I2835:I2836)*F2837</f>
        <v>1650053.943496984</v>
      </c>
    </row>
    <row r="2838" spans="1:12" ht="14.25">
      <c r="B2838" s="1540"/>
      <c r="C2838" s="1541"/>
      <c r="D2838" s="1541"/>
      <c r="E2838" s="1801" t="s">
        <v>5679</v>
      </c>
      <c r="F2838" s="1791"/>
      <c r="G2838" s="1759"/>
      <c r="H2838" s="1802"/>
      <c r="I2838" s="1802">
        <f>SUM(I2835:I2837)</f>
        <v>29150953.001780052</v>
      </c>
    </row>
    <row r="2839" spans="1:12" ht="15">
      <c r="B2839" s="1536"/>
      <c r="C2839" s="1537"/>
      <c r="D2839" s="1537"/>
      <c r="E2839" s="1803" t="s">
        <v>5680</v>
      </c>
      <c r="F2839" s="1765">
        <f>$M$5</f>
        <v>0.1</v>
      </c>
      <c r="G2839" s="1746"/>
      <c r="H2839" s="1796"/>
      <c r="I2839" s="1796">
        <f>I2838*F2839</f>
        <v>2915095.3001780054</v>
      </c>
    </row>
    <row r="2840" spans="1:12" ht="14.25">
      <c r="B2840" s="1540"/>
      <c r="C2840" s="1541"/>
      <c r="D2840" s="1541"/>
      <c r="E2840" s="1801" t="s">
        <v>5681</v>
      </c>
      <c r="F2840" s="1791"/>
      <c r="G2840" s="1759"/>
      <c r="H2840" s="1802"/>
      <c r="I2840" s="1802">
        <f>SUM(I2838:I2839)</f>
        <v>32066048.301958058</v>
      </c>
    </row>
    <row r="2841" spans="1:12" ht="12.75">
      <c r="B2841" s="1536"/>
      <c r="C2841" s="1537"/>
      <c r="D2841" s="1537"/>
      <c r="E2841" s="1464" t="s">
        <v>5682</v>
      </c>
      <c r="F2841" s="1535">
        <f>$N$5</f>
        <v>0.01</v>
      </c>
      <c r="G2841" s="1538"/>
      <c r="H2841" s="1539"/>
      <c r="I2841" s="1539">
        <f>I2840*F2841</f>
        <v>320660.4830195806</v>
      </c>
    </row>
    <row r="2842" spans="1:12" ht="14.25">
      <c r="B2842" s="2116"/>
      <c r="C2842" s="1544"/>
      <c r="D2842" s="2116"/>
      <c r="E2842" s="2117" t="s">
        <v>5683</v>
      </c>
      <c r="F2842" s="2115"/>
      <c r="G2842" s="2117"/>
      <c r="H2842" s="2118"/>
      <c r="I2842" s="2110">
        <f>ROUND(I2840+I2841,-2)</f>
        <v>32386700</v>
      </c>
    </row>
    <row r="2843" spans="1:12" ht="14.25">
      <c r="A2843" s="657">
        <v>1</v>
      </c>
      <c r="B2843" s="1546">
        <f>IF(A2843&lt;&gt;0,COUNTA(A$7:$A2843),"")</f>
        <v>162</v>
      </c>
      <c r="C2843" s="1547">
        <f>'8.Dgia'!C2467</f>
        <v>1776</v>
      </c>
      <c r="D2843" s="2101" t="s">
        <v>3552</v>
      </c>
      <c r="E2843" s="1740" t="str">
        <f>'8.Dgia'!E2467</f>
        <v>Bản thép neo 180x180x45 (để lại)</v>
      </c>
      <c r="F2843" s="1789" t="s">
        <v>557</v>
      </c>
      <c r="G2843" s="1742">
        <f>'8.Dgia'!H2467</f>
        <v>0</v>
      </c>
      <c r="H2843" s="1795"/>
      <c r="I2843" s="1795"/>
      <c r="J2843" s="842">
        <f>+I2844</f>
        <v>17429223.736556262</v>
      </c>
      <c r="K2843" s="936">
        <f>+I2848</f>
        <v>2504034</v>
      </c>
      <c r="L2843" s="936">
        <f>+I2849</f>
        <v>480192.86971363635</v>
      </c>
    </row>
    <row r="2844" spans="1:12" ht="15">
      <c r="B2844" s="1536" t="str">
        <f>'8.Dgia'!B2468</f>
        <v/>
      </c>
      <c r="C2844" s="1537">
        <f>'8.Dgia'!C2468</f>
        <v>0</v>
      </c>
      <c r="D2844" s="1537">
        <f>'8.Dgia'!D2468</f>
        <v>0</v>
      </c>
      <c r="E2844" s="1744" t="str">
        <f>'8.Dgia'!E2468</f>
        <v xml:space="preserve">  A - Vật liệu</v>
      </c>
      <c r="F2844" s="1763">
        <f>'8.Dgia'!G2468</f>
        <v>0</v>
      </c>
      <c r="G2844" s="1746">
        <f>'8.Dgia'!H2468</f>
        <v>0</v>
      </c>
      <c r="H2844" s="1796"/>
      <c r="I2844" s="1797">
        <f>SUM(I2845:I2847)</f>
        <v>17429223.736556262</v>
      </c>
    </row>
    <row r="2845" spans="1:12" ht="15">
      <c r="B2845" s="1536" t="str">
        <f>'8.Dgia'!B2469</f>
        <v/>
      </c>
      <c r="C2845" s="1537">
        <f>'8.Dgia'!C2469</f>
        <v>0</v>
      </c>
      <c r="D2845" s="1537" t="s">
        <v>5869</v>
      </c>
      <c r="E2845" s="1749" t="str">
        <f>'8.Dgia'!E2469</f>
        <v>Bản thép neo 180x180x45</v>
      </c>
      <c r="F2845" s="1763" t="str">
        <f>'8.Dgia'!G2469</f>
        <v xml:space="preserve"> kg </v>
      </c>
      <c r="G2845" s="1981">
        <f>'8.Dgia'!H2469</f>
        <v>1020</v>
      </c>
      <c r="H2845" s="1796">
        <f>GVL!$I$9</f>
        <v>16703.248369172808</v>
      </c>
      <c r="I2845" s="1796">
        <f>H2845*G2845</f>
        <v>17037313.336556263</v>
      </c>
    </row>
    <row r="2846" spans="1:12" ht="15">
      <c r="B2846" s="1536" t="str">
        <f>'8.Dgia'!B2470</f>
        <v/>
      </c>
      <c r="C2846" s="1537">
        <f>'8.Dgia'!C2470</f>
        <v>0</v>
      </c>
      <c r="D2846" s="1537">
        <f>'8.Dgia'!D2470</f>
        <v>0</v>
      </c>
      <c r="E2846" s="1749" t="str">
        <f>'8.Dgia'!E2470</f>
        <v>Dây thép buộc</v>
      </c>
      <c r="F2846" s="1763" t="str">
        <f>'8.Dgia'!G2470</f>
        <v>kg</v>
      </c>
      <c r="G2846" s="1981">
        <f>'8.Dgia'!H2470</f>
        <v>14.28</v>
      </c>
      <c r="H2846" s="1796">
        <f>GVL!$I$89</f>
        <v>18180</v>
      </c>
      <c r="I2846" s="1796">
        <f>H2846*G2846</f>
        <v>259610.4</v>
      </c>
    </row>
    <row r="2847" spans="1:12" ht="15">
      <c r="B2847" s="1536" t="str">
        <f>'8.Dgia'!B2471</f>
        <v/>
      </c>
      <c r="C2847" s="1537">
        <f>'8.Dgia'!C2471</f>
        <v>0</v>
      </c>
      <c r="D2847" s="1537">
        <f>'8.Dgia'!D2471</f>
        <v>0</v>
      </c>
      <c r="E2847" s="1749" t="str">
        <f>'8.Dgia'!E2471</f>
        <v>Que hàn</v>
      </c>
      <c r="F2847" s="1763" t="str">
        <f>'8.Dgia'!G2471</f>
        <v>kg</v>
      </c>
      <c r="G2847" s="1981">
        <f>'8.Dgia'!H2471</f>
        <v>6.93</v>
      </c>
      <c r="H2847" s="1796">
        <f>GVL!$I$153</f>
        <v>19090.909090909088</v>
      </c>
      <c r="I2847" s="1796">
        <f>H2847*G2847</f>
        <v>132299.99999999997</v>
      </c>
    </row>
    <row r="2848" spans="1:12" ht="15">
      <c r="B2848" s="1536" t="str">
        <f>'8.Dgia'!B2472</f>
        <v/>
      </c>
      <c r="C2848" s="1537">
        <f>'8.Dgia'!C2472</f>
        <v>0</v>
      </c>
      <c r="D2848" s="1537">
        <f>'8.Dgia'!D2472</f>
        <v>0</v>
      </c>
      <c r="E2848" s="1744" t="str">
        <f>'8.Dgia'!E2472</f>
        <v xml:space="preserve">  B - Nhân công 4.0/7</v>
      </c>
      <c r="F2848" s="1745" t="s">
        <v>552</v>
      </c>
      <c r="G2848" s="1981">
        <f>'8.Dgia'!H2472</f>
        <v>9.75</v>
      </c>
      <c r="H2848" s="1796">
        <f>'16.NC'!$H$18</f>
        <v>256824</v>
      </c>
      <c r="I2848" s="1798">
        <f>H2848*G2848</f>
        <v>2504034</v>
      </c>
    </row>
    <row r="2849" spans="1:12" ht="15">
      <c r="B2849" s="1536" t="str">
        <f>'8.Dgia'!B2473</f>
        <v/>
      </c>
      <c r="C2849" s="1537">
        <f>'8.Dgia'!C2473</f>
        <v>0</v>
      </c>
      <c r="D2849" s="1537">
        <f>'8.Dgia'!D2473</f>
        <v>0</v>
      </c>
      <c r="E2849" s="1744" t="str">
        <f>'8.Dgia'!E2473</f>
        <v xml:space="preserve">  C - Máy thi công</v>
      </c>
      <c r="F2849" s="1763">
        <f>'8.Dgia'!G2473</f>
        <v>0</v>
      </c>
      <c r="G2849" s="1981">
        <f>'8.Dgia'!H2473</f>
        <v>0</v>
      </c>
      <c r="H2849" s="1796"/>
      <c r="I2849" s="1799">
        <f>SUM(I2850:I2852)</f>
        <v>480192.86971363635</v>
      </c>
    </row>
    <row r="2850" spans="1:12" ht="15">
      <c r="B2850" s="1536" t="str">
        <f>'8.Dgia'!B2474</f>
        <v/>
      </c>
      <c r="C2850" s="1537">
        <f>'8.Dgia'!C2474</f>
        <v>0</v>
      </c>
      <c r="D2850" s="1537">
        <f>'8.Dgia'!D2474</f>
        <v>0</v>
      </c>
      <c r="E2850" s="1749" t="str">
        <f>'8.Dgia'!E2474</f>
        <v>Máy hàn 23kw</v>
      </c>
      <c r="F2850" s="1745" t="s">
        <v>5493</v>
      </c>
      <c r="G2850" s="1981">
        <f>'8.Dgia'!H2474</f>
        <v>1.73</v>
      </c>
      <c r="H2850" s="1796">
        <f>'9.may'!$P$510</f>
        <v>171649.155</v>
      </c>
      <c r="I2850" s="1796">
        <f>+H2850*G2850</f>
        <v>296953.03814999998</v>
      </c>
    </row>
    <row r="2851" spans="1:12" ht="15">
      <c r="B2851" s="1536" t="str">
        <f>'8.Dgia'!B2475</f>
        <v/>
      </c>
      <c r="C2851" s="1537">
        <f>'8.Dgia'!C2475</f>
        <v>0</v>
      </c>
      <c r="D2851" s="1537">
        <f>'8.Dgia'!D2475</f>
        <v>0</v>
      </c>
      <c r="E2851" s="1749" t="str">
        <f>'8.Dgia'!E2475</f>
        <v>Máy cắt uốn</v>
      </c>
      <c r="F2851" s="1745" t="s">
        <v>5493</v>
      </c>
      <c r="G2851" s="1981">
        <f>'8.Dgia'!H2475</f>
        <v>0.16</v>
      </c>
      <c r="H2851" s="1796">
        <f>'9.may'!$P$557</f>
        <v>80291.850000000006</v>
      </c>
      <c r="I2851" s="1796">
        <f>+H2851*G2851</f>
        <v>12846.696000000002</v>
      </c>
    </row>
    <row r="2852" spans="1:12" ht="15">
      <c r="B2852" s="1536" t="str">
        <f>'8.Dgia'!B2476</f>
        <v/>
      </c>
      <c r="C2852" s="1537">
        <f>'8.Dgia'!C2476</f>
        <v>0</v>
      </c>
      <c r="D2852" s="1537">
        <f>'8.Dgia'!D2476</f>
        <v>0</v>
      </c>
      <c r="E2852" s="1749" t="str">
        <f>'8.Dgia'!E2476</f>
        <v>Cần cẩu bánh xích 16T</v>
      </c>
      <c r="F2852" s="1745" t="s">
        <v>5493</v>
      </c>
      <c r="G2852" s="1981">
        <f>'8.Dgia'!H2476</f>
        <v>0.08</v>
      </c>
      <c r="H2852" s="1796">
        <f>'9.may'!$P$247</f>
        <v>2129914.1945454543</v>
      </c>
      <c r="I2852" s="1796">
        <f>+H2852*G2852</f>
        <v>170393.13556363634</v>
      </c>
    </row>
    <row r="2853" spans="1:12" s="658" customFormat="1" ht="15">
      <c r="B2853" s="1675"/>
      <c r="C2853" s="1676"/>
      <c r="D2853" s="1676"/>
      <c r="E2853" s="1800" t="s">
        <v>5675</v>
      </c>
      <c r="F2853" s="1763">
        <f>$J$5</f>
        <v>0.02</v>
      </c>
      <c r="G2853" s="1754"/>
      <c r="H2853" s="1799"/>
      <c r="I2853" s="1799">
        <f>( I2844+I2848+I2849 )*F2853</f>
        <v>408269.01212539803</v>
      </c>
      <c r="J2853" s="850"/>
      <c r="K2853" s="850"/>
      <c r="L2853" s="850"/>
    </row>
    <row r="2854" spans="1:12" ht="15">
      <c r="B2854" s="1540"/>
      <c r="C2854" s="1541"/>
      <c r="D2854" s="1541"/>
      <c r="E2854" s="1801" t="s">
        <v>5676</v>
      </c>
      <c r="F2854" s="1763"/>
      <c r="G2854" s="1759"/>
      <c r="H2854" s="1802"/>
      <c r="I2854" s="1802">
        <f>I2853+I2853/F2853</f>
        <v>20821719.618395299</v>
      </c>
    </row>
    <row r="2855" spans="1:12" ht="15">
      <c r="B2855" s="1536"/>
      <c r="C2855" s="1537"/>
      <c r="D2855" s="1537"/>
      <c r="E2855" s="1803" t="s">
        <v>5677</v>
      </c>
      <c r="F2855" s="1763">
        <f>$K$5</f>
        <v>5.5E-2</v>
      </c>
      <c r="G2855" s="1746"/>
      <c r="H2855" s="1796"/>
      <c r="I2855" s="1796">
        <f>I2854*F2855</f>
        <v>1145194.5790117413</v>
      </c>
    </row>
    <row r="2856" spans="1:12" ht="15">
      <c r="B2856" s="1536"/>
      <c r="C2856" s="1537"/>
      <c r="D2856" s="1537"/>
      <c r="E2856" s="1803" t="s">
        <v>5678</v>
      </c>
      <c r="F2856" s="1763">
        <f>$L$5</f>
        <v>0.06</v>
      </c>
      <c r="G2856" s="1746"/>
      <c r="H2856" s="1796"/>
      <c r="I2856" s="1796">
        <f>SUM(I2854:I2855)*F2856</f>
        <v>1318014.8518444223</v>
      </c>
    </row>
    <row r="2857" spans="1:12" ht="14.25">
      <c r="B2857" s="1540"/>
      <c r="C2857" s="1541"/>
      <c r="D2857" s="1541"/>
      <c r="E2857" s="1801" t="s">
        <v>5679</v>
      </c>
      <c r="F2857" s="1791"/>
      <c r="G2857" s="1759"/>
      <c r="H2857" s="1802"/>
      <c r="I2857" s="1802">
        <f>SUM(I2854:I2856)</f>
        <v>23284929.049251463</v>
      </c>
    </row>
    <row r="2858" spans="1:12" ht="15">
      <c r="B2858" s="1536"/>
      <c r="C2858" s="1537"/>
      <c r="D2858" s="1537"/>
      <c r="E2858" s="1803" t="s">
        <v>5680</v>
      </c>
      <c r="F2858" s="1765">
        <f>$M$5</f>
        <v>0.1</v>
      </c>
      <c r="G2858" s="1746"/>
      <c r="H2858" s="1796"/>
      <c r="I2858" s="1796">
        <f>I2857*F2858</f>
        <v>2328492.9049251466</v>
      </c>
    </row>
    <row r="2859" spans="1:12" ht="14.25">
      <c r="B2859" s="1540"/>
      <c r="C2859" s="1541"/>
      <c r="D2859" s="1541"/>
      <c r="E2859" s="1801" t="s">
        <v>5681</v>
      </c>
      <c r="F2859" s="1791"/>
      <c r="G2859" s="1759"/>
      <c r="H2859" s="1802"/>
      <c r="I2859" s="1802">
        <f>SUM(I2857:I2858)</f>
        <v>25613421.954176608</v>
      </c>
    </row>
    <row r="2860" spans="1:12" ht="12.75">
      <c r="B2860" s="1536"/>
      <c r="C2860" s="1537"/>
      <c r="D2860" s="1537"/>
      <c r="E2860" s="1464" t="s">
        <v>5682</v>
      </c>
      <c r="F2860" s="1535">
        <f>$N$5</f>
        <v>0.01</v>
      </c>
      <c r="G2860" s="1538"/>
      <c r="H2860" s="1539"/>
      <c r="I2860" s="1539">
        <f>I2859*F2860</f>
        <v>256134.2195417661</v>
      </c>
    </row>
    <row r="2861" spans="1:12" ht="14.25">
      <c r="B2861" s="2116"/>
      <c r="C2861" s="1544"/>
      <c r="D2861" s="2116"/>
      <c r="E2861" s="2117" t="s">
        <v>5683</v>
      </c>
      <c r="F2861" s="2115"/>
      <c r="G2861" s="2117"/>
      <c r="H2861" s="2118"/>
      <c r="I2861" s="2110">
        <f>ROUND(I2859+I2860,-2)</f>
        <v>25869600</v>
      </c>
    </row>
    <row r="2862" spans="1:12" ht="28.5">
      <c r="A2862" s="657">
        <v>1</v>
      </c>
      <c r="B2862" s="1546">
        <f>IF(A2862&lt;&gt;0,COUNTA(A$7:$A2862),"")</f>
        <v>163</v>
      </c>
      <c r="C2862" s="1547">
        <f>'8.Dgia'!C2477</f>
        <v>1776</v>
      </c>
      <c r="D2862" s="1547" t="str">
        <f>'8.Dgia'!D2477</f>
        <v>AF.65130vd</v>
      </c>
      <c r="E2862" s="1740" t="str">
        <f>'8.Dgia'!E2477</f>
        <v>Bản thép neo 180x180x45 (thu hồi, KH=2%*9tháng+7%)</v>
      </c>
      <c r="F2862" s="1789" t="s">
        <v>557</v>
      </c>
      <c r="G2862" s="1742">
        <f>'8.Dgia'!H2477</f>
        <v>0</v>
      </c>
      <c r="H2862" s="1795"/>
      <c r="I2862" s="1795"/>
      <c r="J2862" s="842">
        <f>+I2863</f>
        <v>4651238.7341390662</v>
      </c>
      <c r="K2862" s="936">
        <f>+I2867</f>
        <v>2504034</v>
      </c>
      <c r="L2862" s="936">
        <f>+I2868</f>
        <v>480192.86971363635</v>
      </c>
    </row>
    <row r="2863" spans="1:12" ht="15">
      <c r="B2863" s="1536" t="str">
        <f>'8.Dgia'!B2478</f>
        <v/>
      </c>
      <c r="C2863" s="1537">
        <f>'8.Dgia'!C2478</f>
        <v>0</v>
      </c>
      <c r="D2863" s="1537">
        <f>'8.Dgia'!D2478</f>
        <v>0</v>
      </c>
      <c r="E2863" s="1744" t="str">
        <f>'8.Dgia'!E2478</f>
        <v xml:space="preserve">  A - Vật liệu</v>
      </c>
      <c r="F2863" s="1763">
        <f>'8.Dgia'!G2478</f>
        <v>0</v>
      </c>
      <c r="G2863" s="1746">
        <f>'8.Dgia'!H2478</f>
        <v>0</v>
      </c>
      <c r="H2863" s="1796"/>
      <c r="I2863" s="1797">
        <f>SUM(I2864:I2866)</f>
        <v>4651238.7341390662</v>
      </c>
    </row>
    <row r="2864" spans="1:12" ht="15">
      <c r="B2864" s="1536" t="str">
        <f>'8.Dgia'!B2479</f>
        <v/>
      </c>
      <c r="C2864" s="1537">
        <f>'8.Dgia'!C2479</f>
        <v>0</v>
      </c>
      <c r="D2864" s="1537" t="str">
        <f>'8.Dgia'!D2479</f>
        <v>KH</v>
      </c>
      <c r="E2864" s="1749" t="str">
        <f>'8.Dgia'!E2479</f>
        <v>Bản thép neo 180x180x45</v>
      </c>
      <c r="F2864" s="1763" t="str">
        <f>'8.Dgia'!G2479</f>
        <v xml:space="preserve"> kg </v>
      </c>
      <c r="G2864" s="1982">
        <f>'8.Dgia'!H2479</f>
        <v>255</v>
      </c>
      <c r="H2864" s="1796">
        <f>GVL!$I$9</f>
        <v>16703.248369172808</v>
      </c>
      <c r="I2864" s="1796">
        <f>H2864*G2864</f>
        <v>4259328.3341390658</v>
      </c>
    </row>
    <row r="2865" spans="2:12" ht="15">
      <c r="B2865" s="1536" t="str">
        <f>'8.Dgia'!B2480</f>
        <v/>
      </c>
      <c r="C2865" s="1537">
        <f>'8.Dgia'!C2480</f>
        <v>0</v>
      </c>
      <c r="D2865" s="1537">
        <f>'8.Dgia'!D2480</f>
        <v>0</v>
      </c>
      <c r="E2865" s="1749" t="str">
        <f>'8.Dgia'!E2480</f>
        <v>Dây thép buộc</v>
      </c>
      <c r="F2865" s="1763" t="str">
        <f>'8.Dgia'!G2480</f>
        <v>kg</v>
      </c>
      <c r="G2865" s="1982">
        <f>'8.Dgia'!H2480</f>
        <v>14.28</v>
      </c>
      <c r="H2865" s="1796">
        <f>GVL!$I$89</f>
        <v>18180</v>
      </c>
      <c r="I2865" s="1796">
        <f>H2865*G2865</f>
        <v>259610.4</v>
      </c>
    </row>
    <row r="2866" spans="2:12" ht="15">
      <c r="B2866" s="1536" t="str">
        <f>'8.Dgia'!B2481</f>
        <v/>
      </c>
      <c r="C2866" s="1537">
        <f>'8.Dgia'!C2481</f>
        <v>0</v>
      </c>
      <c r="D2866" s="1537">
        <f>'8.Dgia'!D2481</f>
        <v>0</v>
      </c>
      <c r="E2866" s="1749" t="str">
        <f>'8.Dgia'!E2481</f>
        <v>Que hàn</v>
      </c>
      <c r="F2866" s="1763" t="str">
        <f>'8.Dgia'!G2481</f>
        <v>kg</v>
      </c>
      <c r="G2866" s="1982">
        <f>'8.Dgia'!H2481</f>
        <v>6.93</v>
      </c>
      <c r="H2866" s="1796">
        <f>GVL!$I$153</f>
        <v>19090.909090909088</v>
      </c>
      <c r="I2866" s="1796">
        <f>H2866*G2866</f>
        <v>132299.99999999997</v>
      </c>
    </row>
    <row r="2867" spans="2:12" ht="15">
      <c r="B2867" s="1536" t="str">
        <f>'8.Dgia'!B2482</f>
        <v/>
      </c>
      <c r="C2867" s="1537">
        <f>'8.Dgia'!C2482</f>
        <v>0</v>
      </c>
      <c r="D2867" s="1537">
        <f>'8.Dgia'!D2482</f>
        <v>0</v>
      </c>
      <c r="E2867" s="1744" t="str">
        <f>'8.Dgia'!E2482</f>
        <v xml:space="preserve">  B - Nhân công 4.0/7</v>
      </c>
      <c r="F2867" s="1745" t="s">
        <v>552</v>
      </c>
      <c r="G2867" s="1982">
        <f>'8.Dgia'!H2482</f>
        <v>9.75</v>
      </c>
      <c r="H2867" s="1796">
        <f>'16.NC'!$H$18</f>
        <v>256824</v>
      </c>
      <c r="I2867" s="1798">
        <f>H2867*G2867</f>
        <v>2504034</v>
      </c>
    </row>
    <row r="2868" spans="2:12" ht="15">
      <c r="B2868" s="1536" t="str">
        <f>'8.Dgia'!B2483</f>
        <v/>
      </c>
      <c r="C2868" s="1537">
        <f>'8.Dgia'!C2483</f>
        <v>0</v>
      </c>
      <c r="D2868" s="1537">
        <f>'8.Dgia'!D2483</f>
        <v>0</v>
      </c>
      <c r="E2868" s="1744" t="str">
        <f>'8.Dgia'!E2483</f>
        <v xml:space="preserve">  C - Máy thi công</v>
      </c>
      <c r="F2868" s="1763">
        <f>'8.Dgia'!G2483</f>
        <v>0</v>
      </c>
      <c r="G2868" s="1982">
        <f>'8.Dgia'!H2483</f>
        <v>0</v>
      </c>
      <c r="H2868" s="1796"/>
      <c r="I2868" s="1799">
        <f>SUM(I2869:I2871)</f>
        <v>480192.86971363635</v>
      </c>
    </row>
    <row r="2869" spans="2:12" ht="15">
      <c r="B2869" s="1536" t="str">
        <f>'8.Dgia'!B2484</f>
        <v/>
      </c>
      <c r="C2869" s="1537">
        <f>'8.Dgia'!C2484</f>
        <v>0</v>
      </c>
      <c r="D2869" s="1537">
        <f>'8.Dgia'!D2484</f>
        <v>0</v>
      </c>
      <c r="E2869" s="1749" t="str">
        <f>'8.Dgia'!E2484</f>
        <v>Máy hàn 23kw</v>
      </c>
      <c r="F2869" s="1745" t="s">
        <v>5493</v>
      </c>
      <c r="G2869" s="1982">
        <f>'8.Dgia'!H2484</f>
        <v>1.73</v>
      </c>
      <c r="H2869" s="1796">
        <f>'9.may'!$P$510</f>
        <v>171649.155</v>
      </c>
      <c r="I2869" s="1796">
        <f>+H2869*G2869</f>
        <v>296953.03814999998</v>
      </c>
    </row>
    <row r="2870" spans="2:12" ht="15">
      <c r="B2870" s="1536" t="str">
        <f>'8.Dgia'!B2485</f>
        <v/>
      </c>
      <c r="C2870" s="1537">
        <f>'8.Dgia'!C2485</f>
        <v>0</v>
      </c>
      <c r="D2870" s="1537">
        <f>'8.Dgia'!D2485</f>
        <v>0</v>
      </c>
      <c r="E2870" s="1749" t="str">
        <f>'8.Dgia'!E2485</f>
        <v>Máy cắt uốn</v>
      </c>
      <c r="F2870" s="1745" t="s">
        <v>5493</v>
      </c>
      <c r="G2870" s="1982">
        <f>'8.Dgia'!H2485</f>
        <v>0.16</v>
      </c>
      <c r="H2870" s="1796">
        <f>'9.may'!$P$557</f>
        <v>80291.850000000006</v>
      </c>
      <c r="I2870" s="1796">
        <f>+H2870*G2870</f>
        <v>12846.696000000002</v>
      </c>
    </row>
    <row r="2871" spans="2:12" ht="15">
      <c r="B2871" s="1536" t="str">
        <f>'8.Dgia'!B2486</f>
        <v/>
      </c>
      <c r="C2871" s="1537">
        <f>'8.Dgia'!C2486</f>
        <v>0</v>
      </c>
      <c r="D2871" s="1537">
        <f>'8.Dgia'!D2486</f>
        <v>0</v>
      </c>
      <c r="E2871" s="1749" t="str">
        <f>'8.Dgia'!E2486</f>
        <v>Cần cẩu bánh xích 16T</v>
      </c>
      <c r="F2871" s="1745" t="s">
        <v>5493</v>
      </c>
      <c r="G2871" s="1982">
        <f>'8.Dgia'!H2486</f>
        <v>0.08</v>
      </c>
      <c r="H2871" s="1796">
        <f>'9.may'!$P$247</f>
        <v>2129914.1945454543</v>
      </c>
      <c r="I2871" s="1796">
        <f>+H2871*G2871</f>
        <v>170393.13556363634</v>
      </c>
      <c r="J2871" s="939"/>
      <c r="K2871" s="939"/>
      <c r="L2871" s="939"/>
    </row>
    <row r="2872" spans="2:12" s="658" customFormat="1" ht="15">
      <c r="B2872" s="1675"/>
      <c r="C2872" s="1676"/>
      <c r="D2872" s="1676"/>
      <c r="E2872" s="1800" t="s">
        <v>5675</v>
      </c>
      <c r="F2872" s="1763">
        <f>$J$5</f>
        <v>0.02</v>
      </c>
      <c r="G2872" s="1754"/>
      <c r="H2872" s="1799"/>
      <c r="I2872" s="1799">
        <f>( I2863+I2867+I2868 )*F2872</f>
        <v>152709.31207705406</v>
      </c>
      <c r="J2872" s="850"/>
      <c r="K2872" s="850"/>
      <c r="L2872" s="850"/>
    </row>
    <row r="2873" spans="2:12" ht="15">
      <c r="B2873" s="1540"/>
      <c r="C2873" s="1541"/>
      <c r="D2873" s="1541"/>
      <c r="E2873" s="1801" t="s">
        <v>5676</v>
      </c>
      <c r="F2873" s="1763"/>
      <c r="G2873" s="1759"/>
      <c r="H2873" s="1802"/>
      <c r="I2873" s="1802">
        <f>I2872+I2872/F2872</f>
        <v>7788174.9159297561</v>
      </c>
    </row>
    <row r="2874" spans="2:12" ht="15">
      <c r="B2874" s="1536"/>
      <c r="C2874" s="1537"/>
      <c r="D2874" s="1537"/>
      <c r="E2874" s="1803" t="s">
        <v>5677</v>
      </c>
      <c r="F2874" s="1763">
        <f>$K$5</f>
        <v>5.5E-2</v>
      </c>
      <c r="G2874" s="1746"/>
      <c r="H2874" s="1796"/>
      <c r="I2874" s="1796">
        <f>I2873*F2874</f>
        <v>428349.62037613656</v>
      </c>
    </row>
    <row r="2875" spans="2:12" ht="15">
      <c r="B2875" s="1536"/>
      <c r="C2875" s="1537"/>
      <c r="D2875" s="1537"/>
      <c r="E2875" s="1803" t="s">
        <v>5678</v>
      </c>
      <c r="F2875" s="1763">
        <f>$L$5</f>
        <v>0.06</v>
      </c>
      <c r="G2875" s="1746"/>
      <c r="H2875" s="1796"/>
      <c r="I2875" s="1796">
        <f>SUM(I2873:I2874)*F2875</f>
        <v>492991.47217835352</v>
      </c>
    </row>
    <row r="2876" spans="2:12" ht="14.25">
      <c r="B2876" s="1540"/>
      <c r="C2876" s="1541"/>
      <c r="D2876" s="1541"/>
      <c r="E2876" s="1801" t="s">
        <v>5679</v>
      </c>
      <c r="F2876" s="1791"/>
      <c r="G2876" s="1759"/>
      <c r="H2876" s="1802"/>
      <c r="I2876" s="1802">
        <f>SUM(I2873:I2875)</f>
        <v>8709516.0084842462</v>
      </c>
    </row>
    <row r="2877" spans="2:12" ht="15">
      <c r="B2877" s="1536"/>
      <c r="C2877" s="1537"/>
      <c r="D2877" s="1537"/>
      <c r="E2877" s="1803" t="s">
        <v>5680</v>
      </c>
      <c r="F2877" s="1765">
        <f>$M$5</f>
        <v>0.1</v>
      </c>
      <c r="G2877" s="1746"/>
      <c r="H2877" s="1796"/>
      <c r="I2877" s="1796">
        <f>I2876*F2877</f>
        <v>870951.60084842471</v>
      </c>
    </row>
    <row r="2878" spans="2:12" ht="14.25">
      <c r="B2878" s="1540"/>
      <c r="C2878" s="1541"/>
      <c r="D2878" s="1541"/>
      <c r="E2878" s="1801" t="s">
        <v>5681</v>
      </c>
      <c r="F2878" s="1791"/>
      <c r="G2878" s="1759"/>
      <c r="H2878" s="1802"/>
      <c r="I2878" s="1802">
        <f>SUM(I2876:I2877)</f>
        <v>9580467.6093326714</v>
      </c>
    </row>
    <row r="2879" spans="2:12" ht="12.75">
      <c r="B2879" s="1536"/>
      <c r="C2879" s="1537"/>
      <c r="D2879" s="1537"/>
      <c r="E2879" s="1464" t="s">
        <v>5682</v>
      </c>
      <c r="F2879" s="1535">
        <f>$N$5</f>
        <v>0.01</v>
      </c>
      <c r="G2879" s="1538"/>
      <c r="H2879" s="1539"/>
      <c r="I2879" s="1539">
        <f>I2878*F2879</f>
        <v>95804.676093326721</v>
      </c>
    </row>
    <row r="2880" spans="2:12" ht="14.25">
      <c r="B2880" s="2116"/>
      <c r="C2880" s="1544"/>
      <c r="D2880" s="2116"/>
      <c r="E2880" s="2117" t="s">
        <v>5683</v>
      </c>
      <c r="F2880" s="2115"/>
      <c r="G2880" s="2117"/>
      <c r="H2880" s="2118"/>
      <c r="I2880" s="2110">
        <f>ROUND(I2878+I2879,-2)</f>
        <v>9676300</v>
      </c>
    </row>
    <row r="2881" spans="1:12" ht="28.5">
      <c r="A2881" s="657">
        <v>1</v>
      </c>
      <c r="B2881" s="1546">
        <f>IF(A2881&lt;&gt;0,COUNTA(A$7:$A2881),"")</f>
        <v>164</v>
      </c>
      <c r="C2881" s="1550">
        <f>'8.Dgia'!C2525</f>
        <v>1776</v>
      </c>
      <c r="D2881" s="1550" t="str">
        <f>'8.Dgia'!D2525</f>
        <v>AC.22121</v>
      </c>
      <c r="E2881" s="1766" t="str">
        <f>'8.Dgia'!E2525</f>
        <v>Đóng cọc ván thép trên cạn, L&gt;12m (ngập đất)</v>
      </c>
      <c r="F2881" s="1794" t="s">
        <v>543</v>
      </c>
      <c r="G2881" s="1768">
        <f>'8.Dgia'!H2525</f>
        <v>0</v>
      </c>
      <c r="H2881" s="1823"/>
      <c r="I2881" s="1823"/>
      <c r="K2881" s="842">
        <f>+I2882</f>
        <v>22343.687999999998</v>
      </c>
      <c r="L2881" s="842">
        <f>+I2883</f>
        <v>80464.125934854543</v>
      </c>
    </row>
    <row r="2882" spans="1:12" s="658" customFormat="1" ht="15">
      <c r="B2882" s="1551" t="str">
        <f>'8.Dgia'!B2526</f>
        <v/>
      </c>
      <c r="C2882" s="1552">
        <f>'8.Dgia'!C2526</f>
        <v>0</v>
      </c>
      <c r="D2882" s="1552">
        <f>'8.Dgia'!D2526</f>
        <v>0</v>
      </c>
      <c r="E2882" s="1770" t="str">
        <f>'8.Dgia'!E2526</f>
        <v xml:space="preserve">  B - Nhân công 4.0/7</v>
      </c>
      <c r="F2882" s="1745" t="s">
        <v>552</v>
      </c>
      <c r="G2882" s="1772">
        <f>'8.Dgia'!H2526/100</f>
        <v>8.6999999999999994E-2</v>
      </c>
      <c r="H2882" s="1824">
        <f>'16.NC'!$H$18</f>
        <v>256824</v>
      </c>
      <c r="I2882" s="1826">
        <f>H2882*G2882</f>
        <v>22343.687999999998</v>
      </c>
      <c r="J2882" s="850"/>
      <c r="K2882" s="850"/>
      <c r="L2882" s="850"/>
    </row>
    <row r="2883" spans="1:12" s="658" customFormat="1" ht="15">
      <c r="B2883" s="1551" t="str">
        <f>'8.Dgia'!B2527</f>
        <v/>
      </c>
      <c r="C2883" s="1552">
        <f>'8.Dgia'!C2527</f>
        <v>0</v>
      </c>
      <c r="D2883" s="1552">
        <f>'8.Dgia'!D2527</f>
        <v>0</v>
      </c>
      <c r="E2883" s="1770" t="str">
        <f>'8.Dgia'!E2527</f>
        <v xml:space="preserve">  C - Máy thi công</v>
      </c>
      <c r="F2883" s="1786">
        <f>'8.Dgia'!G2527</f>
        <v>0</v>
      </c>
      <c r="G2883" s="1772">
        <f>'8.Dgia'!H2527/100</f>
        <v>0</v>
      </c>
      <c r="H2883" s="1824"/>
      <c r="I2883" s="1827">
        <f>SUM(I2884:I2885)</f>
        <v>80464.125934854543</v>
      </c>
      <c r="J2883" s="850"/>
      <c r="K2883" s="850"/>
      <c r="L2883" s="850"/>
    </row>
    <row r="2884" spans="1:12" ht="15">
      <c r="B2884" s="1551" t="str">
        <f>'8.Dgia'!B2528</f>
        <v/>
      </c>
      <c r="C2884" s="1552">
        <f>'8.Dgia'!C2528</f>
        <v>0</v>
      </c>
      <c r="D2884" s="1552">
        <f>'8.Dgia'!D2528</f>
        <v>0</v>
      </c>
      <c r="E2884" s="1775" t="str">
        <f>'8.Dgia'!E2528</f>
        <v>Máy đóng cọc tự hành 1.8T</v>
      </c>
      <c r="F2884" s="1745" t="s">
        <v>5493</v>
      </c>
      <c r="G2884" s="1772">
        <f>'8.Dgia'!H2528/100</f>
        <v>2.8999999999999998E-2</v>
      </c>
      <c r="H2884" s="1824">
        <f>'9.may'!$P$611</f>
        <v>2693810.7109090909</v>
      </c>
      <c r="I2884" s="1824">
        <f>H2884*G2884</f>
        <v>78120.510616363637</v>
      </c>
    </row>
    <row r="2885" spans="1:12" ht="15">
      <c r="B2885" s="1551" t="str">
        <f>'8.Dgia'!B2529</f>
        <v/>
      </c>
      <c r="C2885" s="1552">
        <f>'8.Dgia'!C2529</f>
        <v>0</v>
      </c>
      <c r="D2885" s="1552">
        <f>'8.Dgia'!D2529</f>
        <v>0</v>
      </c>
      <c r="E2885" s="1775" t="str">
        <f>'8.Dgia'!E2529</f>
        <v>Máy khác</v>
      </c>
      <c r="F2885" s="1786" t="str">
        <f>'8.Dgia'!G2529</f>
        <v>%</v>
      </c>
      <c r="G2885" s="1966">
        <f>'8.Dgia'!H2529</f>
        <v>3</v>
      </c>
      <c r="H2885" s="1824">
        <f>SUM(I2884:I2884)</f>
        <v>78120.510616363637</v>
      </c>
      <c r="I2885" s="1824">
        <f>H2885*G2885%</f>
        <v>2343.615318490909</v>
      </c>
    </row>
    <row r="2886" spans="1:12" s="658" customFormat="1" ht="15">
      <c r="B2886" s="1677"/>
      <c r="C2886" s="1678"/>
      <c r="D2886" s="1678"/>
      <c r="E2886" s="1828" t="s">
        <v>5675</v>
      </c>
      <c r="F2886" s="1786">
        <f>$J$5</f>
        <v>0.02</v>
      </c>
      <c r="G2886" s="1780"/>
      <c r="H2886" s="1829"/>
      <c r="I2886" s="1830">
        <f>( I2882+I2883 )*F2886</f>
        <v>2056.1562786970908</v>
      </c>
      <c r="J2886" s="850"/>
      <c r="K2886" s="850"/>
      <c r="L2886" s="850"/>
    </row>
    <row r="2887" spans="1:12" ht="15">
      <c r="B2887" s="1556"/>
      <c r="C2887" s="1557"/>
      <c r="D2887" s="1557"/>
      <c r="E2887" s="1831" t="s">
        <v>5676</v>
      </c>
      <c r="F2887" s="1786"/>
      <c r="G2887" s="1783"/>
      <c r="H2887" s="1832"/>
      <c r="I2887" s="1833">
        <f>I2886+I2886/F2886</f>
        <v>104863.97021355163</v>
      </c>
    </row>
    <row r="2888" spans="1:12" ht="15">
      <c r="B2888" s="1551"/>
      <c r="C2888" s="1552"/>
      <c r="D2888" s="1552"/>
      <c r="E2888" s="1834" t="s">
        <v>5677</v>
      </c>
      <c r="F2888" s="1786">
        <f>$K$5</f>
        <v>5.5E-2</v>
      </c>
      <c r="G2888" s="1772"/>
      <c r="H2888" s="1824"/>
      <c r="I2888" s="1835">
        <f>I2887*F2888</f>
        <v>5767.5183617453395</v>
      </c>
    </row>
    <row r="2889" spans="1:12" ht="15">
      <c r="B2889" s="1551"/>
      <c r="C2889" s="1552"/>
      <c r="D2889" s="1552"/>
      <c r="E2889" s="1834" t="s">
        <v>5678</v>
      </c>
      <c r="F2889" s="1786">
        <f>$L$5</f>
        <v>0.06</v>
      </c>
      <c r="G2889" s="1772"/>
      <c r="H2889" s="1824"/>
      <c r="I2889" s="1835">
        <f>SUM(I2887:I2888)*F2889</f>
        <v>6637.8893145178181</v>
      </c>
    </row>
    <row r="2890" spans="1:12" ht="14.25">
      <c r="B2890" s="1556"/>
      <c r="C2890" s="1557"/>
      <c r="D2890" s="1557"/>
      <c r="E2890" s="1831" t="s">
        <v>5679</v>
      </c>
      <c r="F2890" s="1787"/>
      <c r="G2890" s="1783"/>
      <c r="H2890" s="1832"/>
      <c r="I2890" s="1833">
        <f>SUM(I2887:I2889)</f>
        <v>117269.37788981479</v>
      </c>
    </row>
    <row r="2891" spans="1:12" ht="15">
      <c r="B2891" s="1551"/>
      <c r="C2891" s="1552"/>
      <c r="D2891" s="1552"/>
      <c r="E2891" s="1834" t="s">
        <v>5680</v>
      </c>
      <c r="F2891" s="1788">
        <f>$M$5</f>
        <v>0.1</v>
      </c>
      <c r="G2891" s="1772"/>
      <c r="H2891" s="1824"/>
      <c r="I2891" s="1835">
        <f>I2890*F2891</f>
        <v>11726.937788981479</v>
      </c>
    </row>
    <row r="2892" spans="1:12" ht="14.25">
      <c r="B2892" s="1556"/>
      <c r="C2892" s="1557"/>
      <c r="D2892" s="1557"/>
      <c r="E2892" s="1831" t="s">
        <v>5681</v>
      </c>
      <c r="F2892" s="1787"/>
      <c r="G2892" s="1783"/>
      <c r="H2892" s="1832"/>
      <c r="I2892" s="1833">
        <f>SUM(I2890:I2891)</f>
        <v>128996.31567879627</v>
      </c>
    </row>
    <row r="2893" spans="1:12" ht="12.75">
      <c r="B2893" s="1551"/>
      <c r="C2893" s="1552"/>
      <c r="D2893" s="1552"/>
      <c r="E2893" s="1558" t="s">
        <v>5682</v>
      </c>
      <c r="F2893" s="1560">
        <f>$N$5</f>
        <v>0.01</v>
      </c>
      <c r="G2893" s="1553"/>
      <c r="H2893" s="1554"/>
      <c r="I2893" s="1559">
        <f>I2892*F2893</f>
        <v>1289.9631567879626</v>
      </c>
    </row>
    <row r="2894" spans="1:12" ht="14.25">
      <c r="B2894" s="2123"/>
      <c r="C2894" s="1561"/>
      <c r="D2894" s="2124"/>
      <c r="E2894" s="2112" t="s">
        <v>5683</v>
      </c>
      <c r="F2894" s="2113"/>
      <c r="G2894" s="2125"/>
      <c r="H2894" s="2126"/>
      <c r="I2894" s="2110">
        <f>ROUND(I2892+I2893,-2)</f>
        <v>130300</v>
      </c>
    </row>
    <row r="2895" spans="1:12" ht="28.5">
      <c r="A2895" s="657">
        <v>1</v>
      </c>
      <c r="B2895" s="1546">
        <f>IF(A2895&lt;&gt;0,COUNTA(A$7:$A2895),"")</f>
        <v>165</v>
      </c>
      <c r="C2895" s="1550">
        <f>'8.Dgia'!C2530</f>
        <v>1776</v>
      </c>
      <c r="D2895" s="1550" t="str">
        <f>'8.Dgia'!D2530</f>
        <v>AC.22521</v>
      </c>
      <c r="E2895" s="1766" t="str">
        <f>'8.Dgia'!E2530</f>
        <v>Đóng cọc thép hình trên cạn L&gt;10m, đất C1 (ngập đất)</v>
      </c>
      <c r="F2895" s="1794" t="s">
        <v>543</v>
      </c>
      <c r="G2895" s="1768">
        <f>'8.Dgia'!H2530</f>
        <v>0</v>
      </c>
      <c r="H2895" s="1823"/>
      <c r="I2895" s="1823"/>
      <c r="K2895" s="842">
        <f>+I2896</f>
        <v>16128.547200000003</v>
      </c>
      <c r="L2895" s="842">
        <f>+I2897</f>
        <v>46306.979874714365</v>
      </c>
    </row>
    <row r="2896" spans="1:12" s="658" customFormat="1" ht="15">
      <c r="B2896" s="1551" t="str">
        <f>'8.Dgia'!B2531</f>
        <v/>
      </c>
      <c r="C2896" s="1552">
        <f>'8.Dgia'!C2531</f>
        <v>0</v>
      </c>
      <c r="D2896" s="1552">
        <f>'8.Dgia'!D2531</f>
        <v>0</v>
      </c>
      <c r="E2896" s="1770" t="str">
        <f>'8.Dgia'!E2531</f>
        <v xml:space="preserve">  B - Nhân công 4.0/7</v>
      </c>
      <c r="F2896" s="1745" t="s">
        <v>552</v>
      </c>
      <c r="G2896" s="1772">
        <f>'8.Dgia'!H2531/100</f>
        <v>6.2800000000000009E-2</v>
      </c>
      <c r="H2896" s="1824">
        <f>'16.NC'!$H$18</f>
        <v>256824</v>
      </c>
      <c r="I2896" s="1826">
        <f>H2896*G2896</f>
        <v>16128.547200000003</v>
      </c>
      <c r="J2896" s="850"/>
      <c r="K2896" s="850"/>
      <c r="L2896" s="850"/>
    </row>
    <row r="2897" spans="1:12" s="658" customFormat="1" ht="15">
      <c r="B2897" s="1551" t="str">
        <f>'8.Dgia'!B2532</f>
        <v/>
      </c>
      <c r="C2897" s="1552">
        <f>'8.Dgia'!C2532</f>
        <v>0</v>
      </c>
      <c r="D2897" s="1552">
        <f>'8.Dgia'!D2532</f>
        <v>0</v>
      </c>
      <c r="E2897" s="1770" t="str">
        <f>'8.Dgia'!E2532</f>
        <v xml:space="preserve">  C - Máy thi công</v>
      </c>
      <c r="F2897" s="1786">
        <f>'8.Dgia'!G2532</f>
        <v>0</v>
      </c>
      <c r="G2897" s="1772">
        <f>'8.Dgia'!H2532/100</f>
        <v>0</v>
      </c>
      <c r="H2897" s="1824"/>
      <c r="I2897" s="1827">
        <f>SUM(I2898:I2899)</f>
        <v>46306.979874714365</v>
      </c>
      <c r="J2897" s="850"/>
      <c r="K2897" s="850"/>
      <c r="L2897" s="850"/>
    </row>
    <row r="2898" spans="1:12" ht="15">
      <c r="B2898" s="1551" t="str">
        <f>'8.Dgia'!B2533</f>
        <v/>
      </c>
      <c r="C2898" s="1552">
        <f>'8.Dgia'!C2533</f>
        <v>0</v>
      </c>
      <c r="D2898" s="1552">
        <f>'8.Dgia'!D2533</f>
        <v>0</v>
      </c>
      <c r="E2898" s="1775" t="str">
        <f>'8.Dgia'!E2533</f>
        <v>Máy đóng cọc 1.2T</v>
      </c>
      <c r="F2898" s="1745" t="s">
        <v>5493</v>
      </c>
      <c r="G2898" s="1772">
        <f>'8.Dgia'!H2533/100</f>
        <v>3.1400000000000004E-2</v>
      </c>
      <c r="H2898" s="1824">
        <f>'9.may'!$P$615</f>
        <v>1452950.327090909</v>
      </c>
      <c r="I2898" s="1824">
        <f>H2898*G2898</f>
        <v>45622.640270654549</v>
      </c>
    </row>
    <row r="2899" spans="1:12" ht="15">
      <c r="B2899" s="1551" t="str">
        <f>'8.Dgia'!B2534</f>
        <v/>
      </c>
      <c r="C2899" s="1552">
        <f>'8.Dgia'!C2534</f>
        <v>0</v>
      </c>
      <c r="D2899" s="1552">
        <f>'8.Dgia'!D2534</f>
        <v>0</v>
      </c>
      <c r="E2899" s="1775" t="str">
        <f>'8.Dgia'!E2534</f>
        <v>Máy khác</v>
      </c>
      <c r="F2899" s="1786" t="str">
        <f>'8.Dgia'!G2534</f>
        <v>%</v>
      </c>
      <c r="G2899" s="1966">
        <f>'8.Dgia'!H2534</f>
        <v>1.5</v>
      </c>
      <c r="H2899" s="1824">
        <f>SUM(I2898:I2898)</f>
        <v>45622.640270654549</v>
      </c>
      <c r="I2899" s="1824">
        <f>H2899*G2899%</f>
        <v>684.33960405981816</v>
      </c>
    </row>
    <row r="2900" spans="1:12" s="658" customFormat="1" ht="15">
      <c r="B2900" s="1677"/>
      <c r="C2900" s="1678"/>
      <c r="D2900" s="1678"/>
      <c r="E2900" s="1828" t="s">
        <v>5675</v>
      </c>
      <c r="F2900" s="1786">
        <f>$J$5</f>
        <v>0.02</v>
      </c>
      <c r="G2900" s="1780"/>
      <c r="H2900" s="1829"/>
      <c r="I2900" s="1830">
        <f>( I2896+I2897 )*F2900</f>
        <v>1248.7105414942873</v>
      </c>
      <c r="J2900" s="850"/>
      <c r="K2900" s="850"/>
      <c r="L2900" s="850"/>
    </row>
    <row r="2901" spans="1:12" ht="15">
      <c r="B2901" s="1556"/>
      <c r="C2901" s="1557"/>
      <c r="D2901" s="1557"/>
      <c r="E2901" s="1831" t="s">
        <v>5676</v>
      </c>
      <c r="F2901" s="1786"/>
      <c r="G2901" s="1783"/>
      <c r="H2901" s="1832"/>
      <c r="I2901" s="1833">
        <f>I2900+I2900/F2900</f>
        <v>63684.237616208651</v>
      </c>
    </row>
    <row r="2902" spans="1:12" ht="15">
      <c r="B2902" s="1551"/>
      <c r="C2902" s="1552"/>
      <c r="D2902" s="1552"/>
      <c r="E2902" s="1834" t="s">
        <v>5677</v>
      </c>
      <c r="F2902" s="1786">
        <f>$K$5</f>
        <v>5.5E-2</v>
      </c>
      <c r="G2902" s="1772"/>
      <c r="H2902" s="1824"/>
      <c r="I2902" s="1835">
        <f>I2901*F2902</f>
        <v>3502.6330688914759</v>
      </c>
    </row>
    <row r="2903" spans="1:12" ht="15">
      <c r="B2903" s="1551"/>
      <c r="C2903" s="1552"/>
      <c r="D2903" s="1552"/>
      <c r="E2903" s="1834" t="s">
        <v>5678</v>
      </c>
      <c r="F2903" s="1786">
        <f>$L$5</f>
        <v>0.06</v>
      </c>
      <c r="G2903" s="1772"/>
      <c r="H2903" s="1824"/>
      <c r="I2903" s="1835">
        <f>SUM(I2901:I2902)*F2903</f>
        <v>4031.2122411060077</v>
      </c>
    </row>
    <row r="2904" spans="1:12" ht="14.25">
      <c r="B2904" s="1556"/>
      <c r="C2904" s="1557"/>
      <c r="D2904" s="1557"/>
      <c r="E2904" s="1831" t="s">
        <v>5679</v>
      </c>
      <c r="F2904" s="1787"/>
      <c r="G2904" s="1783"/>
      <c r="H2904" s="1832"/>
      <c r="I2904" s="1833">
        <f>SUM(I2901:I2903)</f>
        <v>71218.082926206145</v>
      </c>
    </row>
    <row r="2905" spans="1:12" ht="15">
      <c r="B2905" s="1551"/>
      <c r="C2905" s="1552"/>
      <c r="D2905" s="1552"/>
      <c r="E2905" s="1834" t="s">
        <v>5680</v>
      </c>
      <c r="F2905" s="1788">
        <f>$M$5</f>
        <v>0.1</v>
      </c>
      <c r="G2905" s="1772"/>
      <c r="H2905" s="1824"/>
      <c r="I2905" s="1835">
        <f>I2904*F2905</f>
        <v>7121.8082926206152</v>
      </c>
    </row>
    <row r="2906" spans="1:12" ht="14.25">
      <c r="B2906" s="1556"/>
      <c r="C2906" s="1557"/>
      <c r="D2906" s="1557"/>
      <c r="E2906" s="1831" t="s">
        <v>5681</v>
      </c>
      <c r="F2906" s="1787"/>
      <c r="G2906" s="1783"/>
      <c r="H2906" s="1832"/>
      <c r="I2906" s="1833">
        <f>SUM(I2904:I2905)</f>
        <v>78339.891218826757</v>
      </c>
    </row>
    <row r="2907" spans="1:12" ht="12.75">
      <c r="B2907" s="1551"/>
      <c r="C2907" s="1552"/>
      <c r="D2907" s="1552"/>
      <c r="E2907" s="1558" t="s">
        <v>5682</v>
      </c>
      <c r="F2907" s="1560">
        <f>$N$5</f>
        <v>0.01</v>
      </c>
      <c r="G2907" s="1553"/>
      <c r="H2907" s="1554"/>
      <c r="I2907" s="1559">
        <f>I2906*F2907</f>
        <v>783.39891218826756</v>
      </c>
    </row>
    <row r="2908" spans="1:12" ht="14.25">
      <c r="B2908" s="2123"/>
      <c r="C2908" s="1561"/>
      <c r="D2908" s="2124"/>
      <c r="E2908" s="2112" t="s">
        <v>5683</v>
      </c>
      <c r="F2908" s="2113"/>
      <c r="G2908" s="2125"/>
      <c r="H2908" s="2126"/>
      <c r="I2908" s="2110">
        <f>ROUND(I2906+I2907,-2)</f>
        <v>79100</v>
      </c>
    </row>
    <row r="2909" spans="1:12" ht="28.5">
      <c r="A2909" s="657">
        <v>1</v>
      </c>
      <c r="B2909" s="1546">
        <f>IF(A2909&lt;&gt;0,COUNTA(A$7:$A2909),"")</f>
        <v>166</v>
      </c>
      <c r="C2909" s="1550">
        <f>'8.Dgia'!C2535</f>
        <v>1776</v>
      </c>
      <c r="D2909" s="1550" t="str">
        <f>'8.Dgia'!D2535</f>
        <v>AC.22521</v>
      </c>
      <c r="E2909" s="1766" t="str">
        <f>'8.Dgia'!E2535</f>
        <v>Đóng cọc thép hình trên cạn L&lt;10m, đất C1 (ngập đất)</v>
      </c>
      <c r="F2909" s="1794" t="s">
        <v>543</v>
      </c>
      <c r="G2909" s="1768">
        <f>'8.Dgia'!H2535</f>
        <v>0</v>
      </c>
      <c r="H2909" s="1823"/>
      <c r="I2909" s="1823"/>
      <c r="K2909" s="842">
        <f>+I2910</f>
        <v>11402.9856</v>
      </c>
      <c r="L2909" s="842">
        <f>+I2911</f>
        <v>32900.607206646549</v>
      </c>
    </row>
    <row r="2910" spans="1:12" s="658" customFormat="1" ht="15">
      <c r="B2910" s="1551" t="str">
        <f>'8.Dgia'!B2536</f>
        <v/>
      </c>
      <c r="C2910" s="1552">
        <f>'8.Dgia'!C2536</f>
        <v>0</v>
      </c>
      <c r="D2910" s="1552">
        <f>'8.Dgia'!D2536</f>
        <v>0</v>
      </c>
      <c r="E2910" s="1770" t="str">
        <f>'8.Dgia'!E2536</f>
        <v xml:space="preserve">  B - Nhân công 4.0/7</v>
      </c>
      <c r="F2910" s="1745" t="s">
        <v>552</v>
      </c>
      <c r="G2910" s="1772">
        <f>'8.Dgia'!H2536/100</f>
        <v>4.4400000000000002E-2</v>
      </c>
      <c r="H2910" s="1824">
        <f>'16.NC'!$H$18</f>
        <v>256824</v>
      </c>
      <c r="I2910" s="1826">
        <f>H2910*G2910</f>
        <v>11402.9856</v>
      </c>
      <c r="J2910" s="850"/>
      <c r="K2910" s="850"/>
      <c r="L2910" s="850"/>
    </row>
    <row r="2911" spans="1:12" s="658" customFormat="1" ht="15">
      <c r="B2911" s="1551" t="str">
        <f>'8.Dgia'!B2537</f>
        <v/>
      </c>
      <c r="C2911" s="1552">
        <f>'8.Dgia'!C2537</f>
        <v>0</v>
      </c>
      <c r="D2911" s="1552">
        <f>'8.Dgia'!D2537</f>
        <v>0</v>
      </c>
      <c r="E2911" s="1770" t="str">
        <f>'8.Dgia'!E2537</f>
        <v xml:space="preserve">  C - Máy thi công</v>
      </c>
      <c r="F2911" s="1786">
        <f>'8.Dgia'!G2537</f>
        <v>0</v>
      </c>
      <c r="G2911" s="1772">
        <f>'8.Dgia'!H2537</f>
        <v>0</v>
      </c>
      <c r="H2911" s="1824"/>
      <c r="I2911" s="1827">
        <f>SUM(I2912:I2913)</f>
        <v>32900.607206646549</v>
      </c>
      <c r="J2911" s="850"/>
      <c r="K2911" s="850"/>
      <c r="L2911" s="850"/>
    </row>
    <row r="2912" spans="1:12" ht="15">
      <c r="B2912" s="1551" t="str">
        <f>'8.Dgia'!B2538</f>
        <v/>
      </c>
      <c r="C2912" s="1552">
        <f>'8.Dgia'!C2538</f>
        <v>0</v>
      </c>
      <c r="D2912" s="1552">
        <f>'8.Dgia'!D2538</f>
        <v>0</v>
      </c>
      <c r="E2912" s="1775" t="str">
        <f>'8.Dgia'!E2538</f>
        <v>Máy đóng cọc 1.2T</v>
      </c>
      <c r="F2912" s="1745" t="s">
        <v>5493</v>
      </c>
      <c r="G2912" s="1772">
        <f>'8.Dgia'!H2538/100</f>
        <v>2.2200000000000001E-2</v>
      </c>
      <c r="H2912" s="1824">
        <f>'9.may'!$P$615</f>
        <v>1452950.327090909</v>
      </c>
      <c r="I2912" s="1824">
        <f>H2912*G2912</f>
        <v>32255.497261418182</v>
      </c>
    </row>
    <row r="2913" spans="1:12" ht="15">
      <c r="B2913" s="1551" t="str">
        <f>'8.Dgia'!B2539</f>
        <v/>
      </c>
      <c r="C2913" s="1552">
        <f>'8.Dgia'!C2539</f>
        <v>0</v>
      </c>
      <c r="D2913" s="1552">
        <f>'8.Dgia'!D2539</f>
        <v>0</v>
      </c>
      <c r="E2913" s="1775" t="str">
        <f>'8.Dgia'!E2539</f>
        <v>Máy khác</v>
      </c>
      <c r="F2913" s="1786" t="str">
        <f>'8.Dgia'!G2539</f>
        <v>%</v>
      </c>
      <c r="G2913" s="1772">
        <f>'8.Dgia'!H2539</f>
        <v>2</v>
      </c>
      <c r="H2913" s="1824">
        <f>SUM(I2912:I2912)</f>
        <v>32255.497261418182</v>
      </c>
      <c r="I2913" s="1824">
        <f>H2913*G2913%</f>
        <v>645.1099452283637</v>
      </c>
    </row>
    <row r="2914" spans="1:12" s="658" customFormat="1" ht="15">
      <c r="B2914" s="1677"/>
      <c r="C2914" s="1678"/>
      <c r="D2914" s="1678"/>
      <c r="E2914" s="1828" t="s">
        <v>5675</v>
      </c>
      <c r="F2914" s="1786">
        <f>$J$5</f>
        <v>0.02</v>
      </c>
      <c r="G2914" s="1780"/>
      <c r="H2914" s="1829"/>
      <c r="I2914" s="1830">
        <f>( I2910+I2911 )*F2914</f>
        <v>886.07185613293098</v>
      </c>
      <c r="J2914" s="850"/>
      <c r="K2914" s="850"/>
      <c r="L2914" s="850"/>
    </row>
    <row r="2915" spans="1:12" ht="15">
      <c r="B2915" s="1556"/>
      <c r="C2915" s="1557"/>
      <c r="D2915" s="1557"/>
      <c r="E2915" s="1831" t="s">
        <v>5676</v>
      </c>
      <c r="F2915" s="1786"/>
      <c r="G2915" s="1783"/>
      <c r="H2915" s="1832"/>
      <c r="I2915" s="1833">
        <f>I2914+I2914/F2914</f>
        <v>45189.664662779483</v>
      </c>
    </row>
    <row r="2916" spans="1:12" ht="15">
      <c r="B2916" s="1551"/>
      <c r="C2916" s="1552"/>
      <c r="D2916" s="1552"/>
      <c r="E2916" s="1834" t="s">
        <v>5677</v>
      </c>
      <c r="F2916" s="1786">
        <f>$K$5</f>
        <v>5.5E-2</v>
      </c>
      <c r="G2916" s="1772"/>
      <c r="H2916" s="1824"/>
      <c r="I2916" s="1835">
        <f>I2915*F2916</f>
        <v>2485.4315564528715</v>
      </c>
    </row>
    <row r="2917" spans="1:12" ht="15">
      <c r="B2917" s="1551"/>
      <c r="C2917" s="1552"/>
      <c r="D2917" s="1552"/>
      <c r="E2917" s="1834" t="s">
        <v>5678</v>
      </c>
      <c r="F2917" s="1786">
        <f>$L$5</f>
        <v>0.06</v>
      </c>
      <c r="G2917" s="1772"/>
      <c r="H2917" s="1824"/>
      <c r="I2917" s="1835">
        <f>SUM(I2915:I2916)*F2917</f>
        <v>2860.5057731539414</v>
      </c>
    </row>
    <row r="2918" spans="1:12" ht="14.25">
      <c r="B2918" s="1556"/>
      <c r="C2918" s="1557"/>
      <c r="D2918" s="1557"/>
      <c r="E2918" s="1831" t="s">
        <v>5679</v>
      </c>
      <c r="F2918" s="1787"/>
      <c r="G2918" s="1783"/>
      <c r="H2918" s="1832"/>
      <c r="I2918" s="1833">
        <f>SUM(I2915:I2917)</f>
        <v>50535.601992386299</v>
      </c>
    </row>
    <row r="2919" spans="1:12" ht="15">
      <c r="B2919" s="1551"/>
      <c r="C2919" s="1552"/>
      <c r="D2919" s="1552"/>
      <c r="E2919" s="1834" t="s">
        <v>5680</v>
      </c>
      <c r="F2919" s="1788">
        <f>$M$5</f>
        <v>0.1</v>
      </c>
      <c r="G2919" s="1772"/>
      <c r="H2919" s="1824"/>
      <c r="I2919" s="1835">
        <f>I2918*F2919</f>
        <v>5053.56019923863</v>
      </c>
    </row>
    <row r="2920" spans="1:12" ht="14.25">
      <c r="B2920" s="1556"/>
      <c r="C2920" s="1557"/>
      <c r="D2920" s="1557"/>
      <c r="E2920" s="1831" t="s">
        <v>5681</v>
      </c>
      <c r="F2920" s="1787"/>
      <c r="G2920" s="1783"/>
      <c r="H2920" s="1832"/>
      <c r="I2920" s="1833">
        <f>SUM(I2918:I2919)</f>
        <v>55589.162191624928</v>
      </c>
    </row>
    <row r="2921" spans="1:12" ht="12.75">
      <c r="B2921" s="1551"/>
      <c r="C2921" s="1552"/>
      <c r="D2921" s="1552"/>
      <c r="E2921" s="1558" t="s">
        <v>5682</v>
      </c>
      <c r="F2921" s="1560">
        <f>$N$5</f>
        <v>0.01</v>
      </c>
      <c r="G2921" s="1553"/>
      <c r="H2921" s="1554"/>
      <c r="I2921" s="1559">
        <f>I2920*F2921</f>
        <v>555.89162191624928</v>
      </c>
    </row>
    <row r="2922" spans="1:12" ht="14.25">
      <c r="B2922" s="2123"/>
      <c r="C2922" s="1561"/>
      <c r="D2922" s="2124"/>
      <c r="E2922" s="2112" t="s">
        <v>5683</v>
      </c>
      <c r="F2922" s="2113"/>
      <c r="G2922" s="2125"/>
      <c r="H2922" s="2126"/>
      <c r="I2922" s="2110">
        <f>ROUND(I2920+I2921,-2)</f>
        <v>56100</v>
      </c>
    </row>
    <row r="2923" spans="1:12" ht="14.25">
      <c r="A2923" s="657">
        <v>1</v>
      </c>
      <c r="B2923" s="1546">
        <f>IF(A2923&lt;&gt;0,COUNTA(A$7:$A2923),"")</f>
        <v>167</v>
      </c>
      <c r="C2923" s="1550">
        <f>'8.Dgia'!C2540</f>
        <v>1776</v>
      </c>
      <c r="D2923" s="1550" t="str">
        <f>'8.Dgia'!D2540</f>
        <v>AC.23110</v>
      </c>
      <c r="E2923" s="1766" t="str">
        <f>'8.Dgia'!E2540</f>
        <v>Nhổ cọc thép hình trên cạn</v>
      </c>
      <c r="F2923" s="1794" t="s">
        <v>543</v>
      </c>
      <c r="G2923" s="1768">
        <f>'8.Dgia'!H2540</f>
        <v>0</v>
      </c>
      <c r="H2923" s="1823"/>
      <c r="I2923" s="1823"/>
      <c r="K2923" s="842">
        <f>+I2924</f>
        <v>6831.5184000000008</v>
      </c>
      <c r="L2923" s="842">
        <f>+I2925</f>
        <v>37821.962874550918</v>
      </c>
    </row>
    <row r="2924" spans="1:12" s="658" customFormat="1" ht="15">
      <c r="B2924" s="1551" t="str">
        <f>'8.Dgia'!B2541</f>
        <v/>
      </c>
      <c r="C2924" s="1552">
        <f>'8.Dgia'!C2541</f>
        <v>0</v>
      </c>
      <c r="D2924" s="1552">
        <f>'8.Dgia'!D2541</f>
        <v>0</v>
      </c>
      <c r="E2924" s="1770" t="str">
        <f>'8.Dgia'!E2541</f>
        <v xml:space="preserve">  B - Nhân công 4.0/7</v>
      </c>
      <c r="F2924" s="1745" t="s">
        <v>552</v>
      </c>
      <c r="G2924" s="1772">
        <f>'8.Dgia'!H2541/100</f>
        <v>2.6600000000000002E-2</v>
      </c>
      <c r="H2924" s="1824">
        <f>'16.NC'!$H$18</f>
        <v>256824</v>
      </c>
      <c r="I2924" s="1826">
        <f>H2924*G2924</f>
        <v>6831.5184000000008</v>
      </c>
      <c r="J2924" s="850"/>
      <c r="K2924" s="850"/>
      <c r="L2924" s="850"/>
    </row>
    <row r="2925" spans="1:12" s="658" customFormat="1" ht="15">
      <c r="B2925" s="1551" t="str">
        <f>'8.Dgia'!B2542</f>
        <v/>
      </c>
      <c r="C2925" s="1552">
        <f>'8.Dgia'!C2542</f>
        <v>0</v>
      </c>
      <c r="D2925" s="1552">
        <f>'8.Dgia'!D2542</f>
        <v>0</v>
      </c>
      <c r="E2925" s="1770" t="str">
        <f>'8.Dgia'!E2542</f>
        <v xml:space="preserve">  C - Máy thi công</v>
      </c>
      <c r="F2925" s="1786">
        <f>'8.Dgia'!G2542</f>
        <v>0</v>
      </c>
      <c r="G2925" s="1772">
        <f>'8.Dgia'!H2542</f>
        <v>0</v>
      </c>
      <c r="H2925" s="1824"/>
      <c r="I2925" s="1827">
        <f>SUM(I2926:I2927)</f>
        <v>37821.962874550918</v>
      </c>
      <c r="J2925" s="850"/>
      <c r="K2925" s="850"/>
      <c r="L2925" s="850"/>
    </row>
    <row r="2926" spans="1:12" ht="15">
      <c r="B2926" s="1551" t="str">
        <f>'8.Dgia'!B2543</f>
        <v/>
      </c>
      <c r="C2926" s="1552">
        <f>'8.Dgia'!C2543</f>
        <v>0</v>
      </c>
      <c r="D2926" s="1552">
        <f>'8.Dgia'!D2543</f>
        <v>0</v>
      </c>
      <c r="E2926" s="1775" t="str">
        <f>'8.Dgia'!E2543</f>
        <v>Cần cẩu bánh xích 25T</v>
      </c>
      <c r="F2926" s="1745" t="s">
        <v>5493</v>
      </c>
      <c r="G2926" s="1772">
        <f>'8.Dgia'!H2543/100</f>
        <v>1.3300000000000001E-2</v>
      </c>
      <c r="H2926" s="1824">
        <f>'9.may'!$P$248</f>
        <v>2787996.6736363638</v>
      </c>
      <c r="I2926" s="1824">
        <f>H2926*G2926</f>
        <v>37080.355759363643</v>
      </c>
    </row>
    <row r="2927" spans="1:12" ht="15">
      <c r="B2927" s="1551" t="str">
        <f>'8.Dgia'!B2544</f>
        <v/>
      </c>
      <c r="C2927" s="1552">
        <f>'8.Dgia'!C2544</f>
        <v>0</v>
      </c>
      <c r="D2927" s="1552">
        <f>'8.Dgia'!D2544</f>
        <v>0</v>
      </c>
      <c r="E2927" s="1775" t="str">
        <f>'8.Dgia'!E2544</f>
        <v>Máy khác</v>
      </c>
      <c r="F2927" s="1786" t="str">
        <f>'8.Dgia'!G2544</f>
        <v>%</v>
      </c>
      <c r="G2927" s="1772">
        <f>'8.Dgia'!H2544</f>
        <v>2</v>
      </c>
      <c r="H2927" s="1824">
        <f>SUM(I2926:I2926)</f>
        <v>37080.355759363643</v>
      </c>
      <c r="I2927" s="1824">
        <f>H2927*G2927%</f>
        <v>741.60711518727283</v>
      </c>
    </row>
    <row r="2928" spans="1:12" s="658" customFormat="1" ht="15">
      <c r="B2928" s="1677"/>
      <c r="C2928" s="1678"/>
      <c r="D2928" s="1678"/>
      <c r="E2928" s="1828" t="s">
        <v>5675</v>
      </c>
      <c r="F2928" s="1786">
        <f>$J$5</f>
        <v>0.02</v>
      </c>
      <c r="G2928" s="1780"/>
      <c r="H2928" s="1829"/>
      <c r="I2928" s="1830">
        <f>( I2924+I2925 )*F2928</f>
        <v>893.06962549101843</v>
      </c>
      <c r="J2928" s="850"/>
      <c r="K2928" s="850"/>
      <c r="L2928" s="850"/>
    </row>
    <row r="2929" spans="1:12" ht="15">
      <c r="B2929" s="1556"/>
      <c r="C2929" s="1557"/>
      <c r="D2929" s="1557"/>
      <c r="E2929" s="1831" t="s">
        <v>5676</v>
      </c>
      <c r="F2929" s="1786"/>
      <c r="G2929" s="1783"/>
      <c r="H2929" s="1832"/>
      <c r="I2929" s="1833">
        <f>I2928+I2928/F2928</f>
        <v>45546.550900041941</v>
      </c>
    </row>
    <row r="2930" spans="1:12" ht="15">
      <c r="B2930" s="1551"/>
      <c r="C2930" s="1552"/>
      <c r="D2930" s="1552"/>
      <c r="E2930" s="1834" t="s">
        <v>5677</v>
      </c>
      <c r="F2930" s="1786">
        <f>$K$5</f>
        <v>5.5E-2</v>
      </c>
      <c r="G2930" s="1772"/>
      <c r="H2930" s="1824"/>
      <c r="I2930" s="1835">
        <f>I2929*F2930</f>
        <v>2505.0602995023069</v>
      </c>
    </row>
    <row r="2931" spans="1:12" ht="15">
      <c r="B2931" s="1551"/>
      <c r="C2931" s="1552"/>
      <c r="D2931" s="1552"/>
      <c r="E2931" s="1834" t="s">
        <v>5678</v>
      </c>
      <c r="F2931" s="1786">
        <f>$L$5</f>
        <v>0.06</v>
      </c>
      <c r="G2931" s="1772"/>
      <c r="H2931" s="1824"/>
      <c r="I2931" s="1835">
        <f>SUM(I2929:I2930)*F2931</f>
        <v>2883.0966719726548</v>
      </c>
    </row>
    <row r="2932" spans="1:12" ht="14.25">
      <c r="B2932" s="1556"/>
      <c r="C2932" s="1557"/>
      <c r="D2932" s="1557"/>
      <c r="E2932" s="1831" t="s">
        <v>5679</v>
      </c>
      <c r="F2932" s="1787"/>
      <c r="G2932" s="1783"/>
      <c r="H2932" s="1832"/>
      <c r="I2932" s="1833">
        <f>SUM(I2929:I2931)</f>
        <v>50934.707871516905</v>
      </c>
    </row>
    <row r="2933" spans="1:12" ht="15">
      <c r="B2933" s="1551"/>
      <c r="C2933" s="1552"/>
      <c r="D2933" s="1552"/>
      <c r="E2933" s="1834" t="s">
        <v>5680</v>
      </c>
      <c r="F2933" s="1788">
        <f>$M$5</f>
        <v>0.1</v>
      </c>
      <c r="G2933" s="1772"/>
      <c r="H2933" s="1824"/>
      <c r="I2933" s="1835">
        <f>I2932*F2933</f>
        <v>5093.4707871516912</v>
      </c>
    </row>
    <row r="2934" spans="1:12" ht="14.25">
      <c r="B2934" s="1556"/>
      <c r="C2934" s="1557"/>
      <c r="D2934" s="1557"/>
      <c r="E2934" s="1831" t="s">
        <v>5681</v>
      </c>
      <c r="F2934" s="1787"/>
      <c r="G2934" s="1783"/>
      <c r="H2934" s="1832"/>
      <c r="I2934" s="1833">
        <f>SUM(I2932:I2933)</f>
        <v>56028.178658668592</v>
      </c>
    </row>
    <row r="2935" spans="1:12" ht="12.75">
      <c r="B2935" s="1551"/>
      <c r="C2935" s="1552"/>
      <c r="D2935" s="1552"/>
      <c r="E2935" s="1558" t="s">
        <v>5682</v>
      </c>
      <c r="F2935" s="1560">
        <f>$N$5</f>
        <v>0.01</v>
      </c>
      <c r="G2935" s="1553"/>
      <c r="H2935" s="1554"/>
      <c r="I2935" s="1559">
        <f>I2934*F2935</f>
        <v>560.28178658668594</v>
      </c>
    </row>
    <row r="2936" spans="1:12" ht="14.25">
      <c r="B2936" s="2123"/>
      <c r="C2936" s="1561"/>
      <c r="D2936" s="2124"/>
      <c r="E2936" s="2112" t="s">
        <v>5683</v>
      </c>
      <c r="F2936" s="2113"/>
      <c r="G2936" s="2125"/>
      <c r="H2936" s="2126"/>
      <c r="I2936" s="2110">
        <f>ROUND(I2934+I2935,-2)</f>
        <v>56600</v>
      </c>
    </row>
    <row r="2937" spans="1:12" ht="20.25" customHeight="1">
      <c r="A2937" s="657">
        <v>1</v>
      </c>
      <c r="B2937" s="1546">
        <f>IF(A2937&lt;&gt;0,COUNTA(A$7:$A2937),"")</f>
        <v>168</v>
      </c>
      <c r="C2937" s="1547">
        <f>'8.Dgia'!C2640</f>
        <v>159</v>
      </c>
      <c r="D2937" s="1547" t="str">
        <f>'8.Dgia'!D2640</f>
        <v>AF.37410</v>
      </c>
      <c r="E2937" s="1740" t="str">
        <f>'8.Dgia'!E2640</f>
        <v>Vữa không co ngót lấp lòng ống siêu âm</v>
      </c>
      <c r="F2937" s="1789" t="str">
        <f>'8.Dgia'!G2640</f>
        <v>m3</v>
      </c>
      <c r="G2937" s="1742">
        <f>'8.Dgia'!H2640</f>
        <v>0</v>
      </c>
      <c r="H2937" s="1743"/>
      <c r="I2937" s="1743"/>
      <c r="J2937" s="842">
        <f>+I2938</f>
        <v>3488894.8</v>
      </c>
      <c r="K2937" s="842">
        <f>+I2942</f>
        <v>7704720</v>
      </c>
      <c r="L2937" s="842">
        <f>+I2943</f>
        <v>99972.824400000012</v>
      </c>
    </row>
    <row r="2938" spans="1:12" s="658" customFormat="1" ht="15">
      <c r="B2938" s="1536" t="str">
        <f>'8.Dgia'!B2641</f>
        <v/>
      </c>
      <c r="C2938" s="1537">
        <f>'8.Dgia'!C2641</f>
        <v>0</v>
      </c>
      <c r="D2938" s="1537">
        <f>'8.Dgia'!D2641</f>
        <v>0</v>
      </c>
      <c r="E2938" s="1744" t="str">
        <f>'8.Dgia'!E2641</f>
        <v xml:space="preserve">  A - Vật liệu</v>
      </c>
      <c r="F2938" s="1763">
        <f>'8.Dgia'!G2641</f>
        <v>0</v>
      </c>
      <c r="G2938" s="1746">
        <f>'8.Dgia'!H2641</f>
        <v>0</v>
      </c>
      <c r="H2938" s="1747"/>
      <c r="I2938" s="1748">
        <f>SUM(I2939:I2941)</f>
        <v>3488894.8</v>
      </c>
      <c r="J2938" s="850"/>
      <c r="K2938" s="850"/>
      <c r="L2938" s="850"/>
    </row>
    <row r="2939" spans="1:12" ht="15">
      <c r="B2939" s="1536" t="str">
        <f>'8.Dgia'!B2642</f>
        <v/>
      </c>
      <c r="C2939" s="1537">
        <f>'8.Dgia'!C2642</f>
        <v>0</v>
      </c>
      <c r="D2939" s="1537" t="s">
        <v>5869</v>
      </c>
      <c r="E2939" s="1749" t="str">
        <f>'8.Dgia'!E2642</f>
        <v>Xi măng PC40</v>
      </c>
      <c r="F2939" s="1763" t="str">
        <f>'8.Dgia'!G2642</f>
        <v>kg</v>
      </c>
      <c r="G2939" s="1982">
        <f>'8.Dgia'!H2642</f>
        <v>1410</v>
      </c>
      <c r="H2939" s="1747">
        <f>GVL!$I$208</f>
        <v>1535</v>
      </c>
      <c r="I2939" s="1747">
        <f>H2939*G2939</f>
        <v>2164350</v>
      </c>
    </row>
    <row r="2940" spans="1:12" ht="15">
      <c r="B2940" s="1536" t="str">
        <f>'8.Dgia'!B2643</f>
        <v/>
      </c>
      <c r="C2940" s="1537">
        <f>'8.Dgia'!C2643</f>
        <v>0</v>
      </c>
      <c r="D2940" s="1537">
        <f>'8.Dgia'!D2643</f>
        <v>0</v>
      </c>
      <c r="E2940" s="1749" t="str">
        <f>'8.Dgia'!E2643</f>
        <v>Sikament R4</v>
      </c>
      <c r="F2940" s="1763" t="str">
        <f>'8.Dgia'!G2643</f>
        <v>kg</v>
      </c>
      <c r="G2940" s="1954">
        <f>'8.Dgia'!H2643</f>
        <v>8.11</v>
      </c>
      <c r="H2940" s="1747">
        <f>GVL!$I$158</f>
        <v>18880</v>
      </c>
      <c r="I2940" s="1747">
        <f>H2940*G2940</f>
        <v>153116.79999999999</v>
      </c>
    </row>
    <row r="2941" spans="1:12" ht="15">
      <c r="B2941" s="1536" t="str">
        <f>'8.Dgia'!B2644</f>
        <v/>
      </c>
      <c r="C2941" s="1537">
        <f>'8.Dgia'!C2644</f>
        <v>0</v>
      </c>
      <c r="D2941" s="1537">
        <f>'8.Dgia'!D2644</f>
        <v>0</v>
      </c>
      <c r="E2941" s="1749" t="str">
        <f>'8.Dgia'!E2644</f>
        <v>Sika IntraplastZ</v>
      </c>
      <c r="F2941" s="1763" t="str">
        <f>'8.Dgia'!G2644</f>
        <v>kg</v>
      </c>
      <c r="G2941" s="1954">
        <f>'8.Dgia'!H2644</f>
        <v>14.1</v>
      </c>
      <c r="H2941" s="1747">
        <f>GVL!$I$156</f>
        <v>83080</v>
      </c>
      <c r="I2941" s="1747">
        <f>H2941*G2941</f>
        <v>1171428</v>
      </c>
    </row>
    <row r="2942" spans="1:12" s="658" customFormat="1" ht="15">
      <c r="B2942" s="1536" t="str">
        <f>'8.Dgia'!B2646</f>
        <v/>
      </c>
      <c r="C2942" s="1537">
        <f>'8.Dgia'!C2646</f>
        <v>0</v>
      </c>
      <c r="D2942" s="1537">
        <f>'8.Dgia'!D2646</f>
        <v>0</v>
      </c>
      <c r="E2942" s="1744" t="str">
        <f>'8.Dgia'!E2646</f>
        <v xml:space="preserve">  B - Nhân công 4.0/7</v>
      </c>
      <c r="F2942" s="1745" t="s">
        <v>552</v>
      </c>
      <c r="G2942" s="1954">
        <v>30</v>
      </c>
      <c r="H2942" s="1747">
        <f>'16.NC'!$H$18</f>
        <v>256824</v>
      </c>
      <c r="I2942" s="1750">
        <f>H2942*G2942</f>
        <v>7704720</v>
      </c>
      <c r="J2942" s="850"/>
      <c r="K2942" s="850"/>
      <c r="L2942" s="850"/>
    </row>
    <row r="2943" spans="1:12" s="658" customFormat="1" ht="15">
      <c r="B2943" s="1536" t="str">
        <f>'8.Dgia'!B2647</f>
        <v/>
      </c>
      <c r="C2943" s="1537">
        <f>'8.Dgia'!C2647</f>
        <v>0</v>
      </c>
      <c r="D2943" s="1537">
        <f>'8.Dgia'!D2647</f>
        <v>0</v>
      </c>
      <c r="E2943" s="1744" t="str">
        <f>'8.Dgia'!E2647</f>
        <v xml:space="preserve">  C - Máy thi công</v>
      </c>
      <c r="F2943" s="1763">
        <f>'8.Dgia'!G2647</f>
        <v>0</v>
      </c>
      <c r="G2943" s="1746">
        <f>'8.Dgia'!H2647</f>
        <v>0</v>
      </c>
      <c r="H2943" s="1747"/>
      <c r="I2943" s="1751">
        <f>SUM(I2944:I2946)</f>
        <v>99972.824400000012</v>
      </c>
      <c r="J2943" s="850"/>
      <c r="K2943" s="850"/>
      <c r="L2943" s="850"/>
    </row>
    <row r="2944" spans="1:12" ht="15">
      <c r="B2944" s="1536" t="str">
        <f>'8.Dgia'!B2648</f>
        <v/>
      </c>
      <c r="C2944" s="1537">
        <f>'8.Dgia'!C2648</f>
        <v>0</v>
      </c>
      <c r="D2944" s="1537">
        <f>'8.Dgia'!D2648</f>
        <v>0</v>
      </c>
      <c r="E2944" s="1749" t="str">
        <f>'8.Dgia'!E2648</f>
        <v>Máy trộn vữa 80l</v>
      </c>
      <c r="F2944" s="1745" t="s">
        <v>5493</v>
      </c>
      <c r="G2944" s="1954">
        <f>'8.Dgia'!H2648</f>
        <v>0.2</v>
      </c>
      <c r="H2944" s="1747">
        <f>'9.may'!$P$340</f>
        <v>85162.991999999998</v>
      </c>
      <c r="I2944" s="1747">
        <f>H2944*G2944</f>
        <v>17032.598399999999</v>
      </c>
    </row>
    <row r="2945" spans="1:12" ht="15">
      <c r="B2945" s="1536" t="str">
        <f>'8.Dgia'!B2649</f>
        <v/>
      </c>
      <c r="C2945" s="1537">
        <f>'8.Dgia'!C2649</f>
        <v>0</v>
      </c>
      <c r="D2945" s="1537">
        <f>'8.Dgia'!D2649</f>
        <v>0</v>
      </c>
      <c r="E2945" s="1749" t="str">
        <f>'8.Dgia'!E2649</f>
        <v>Máy bơm vữa ximăng</v>
      </c>
      <c r="F2945" s="1745" t="s">
        <v>5493</v>
      </c>
      <c r="G2945" s="1954">
        <f>'8.Dgia'!H2649</f>
        <v>0.2</v>
      </c>
      <c r="H2945" s="1747">
        <f>'9.may'!$P$356</f>
        <v>211608.30000000002</v>
      </c>
      <c r="I2945" s="1747">
        <f>H2945*G2945</f>
        <v>42321.66</v>
      </c>
    </row>
    <row r="2946" spans="1:12" ht="15">
      <c r="B2946" s="1536" t="str">
        <f>'8.Dgia'!B2650</f>
        <v/>
      </c>
      <c r="C2946" s="1537">
        <f>'8.Dgia'!C2650</f>
        <v>0</v>
      </c>
      <c r="D2946" s="1537">
        <f>'8.Dgia'!D2650</f>
        <v>0</v>
      </c>
      <c r="E2946" s="1749" t="str">
        <f>'8.Dgia'!E2650</f>
        <v>Máy bơm nước 20Kw</v>
      </c>
      <c r="F2946" s="1745" t="s">
        <v>5493</v>
      </c>
      <c r="G2946" s="1954">
        <f>'8.Dgia'!H2650</f>
        <v>0.2</v>
      </c>
      <c r="H2946" s="1747">
        <f>'9.may'!$P$425</f>
        <v>203092.83000000002</v>
      </c>
      <c r="I2946" s="1747">
        <f>H2946*G2946</f>
        <v>40618.566000000006</v>
      </c>
    </row>
    <row r="2947" spans="1:12" s="658" customFormat="1" ht="15">
      <c r="B2947" s="1675"/>
      <c r="C2947" s="1676"/>
      <c r="D2947" s="1676"/>
      <c r="E2947" s="1752" t="s">
        <v>5675</v>
      </c>
      <c r="F2947" s="1763">
        <f>$J$5</f>
        <v>0.02</v>
      </c>
      <c r="G2947" s="1754"/>
      <c r="H2947" s="1755"/>
      <c r="I2947" s="1756">
        <f>( I2938+I2942+I2943 )*F2947</f>
        <v>225871.75248800003</v>
      </c>
      <c r="J2947" s="850"/>
      <c r="K2947" s="850"/>
      <c r="L2947" s="850"/>
    </row>
    <row r="2948" spans="1:12" ht="15">
      <c r="B2948" s="1540"/>
      <c r="C2948" s="1541"/>
      <c r="D2948" s="1541"/>
      <c r="E2948" s="1757" t="s">
        <v>5676</v>
      </c>
      <c r="F2948" s="1763"/>
      <c r="G2948" s="1759"/>
      <c r="H2948" s="1760"/>
      <c r="I2948" s="1761">
        <f>I2947+I2947/F2947</f>
        <v>11519459.376888001</v>
      </c>
    </row>
    <row r="2949" spans="1:12" ht="15">
      <c r="B2949" s="1536"/>
      <c r="C2949" s="1537"/>
      <c r="D2949" s="1537"/>
      <c r="E2949" s="1762" t="s">
        <v>5677</v>
      </c>
      <c r="F2949" s="1763">
        <f>$K$5</f>
        <v>5.5E-2</v>
      </c>
      <c r="G2949" s="1746"/>
      <c r="H2949" s="1747"/>
      <c r="I2949" s="1764">
        <f>I2948*F2949</f>
        <v>633570.26572884002</v>
      </c>
    </row>
    <row r="2950" spans="1:12" ht="15">
      <c r="B2950" s="1536"/>
      <c r="C2950" s="1537"/>
      <c r="D2950" s="1537"/>
      <c r="E2950" s="1762" t="s">
        <v>5678</v>
      </c>
      <c r="F2950" s="1763">
        <f>$L$5</f>
        <v>0.06</v>
      </c>
      <c r="G2950" s="1746"/>
      <c r="H2950" s="1747"/>
      <c r="I2950" s="1764">
        <f>SUM(I2948:I2949)*F2950</f>
        <v>729181.77855701046</v>
      </c>
    </row>
    <row r="2951" spans="1:12" ht="14.25">
      <c r="B2951" s="1540"/>
      <c r="C2951" s="1541"/>
      <c r="D2951" s="1541"/>
      <c r="E2951" s="1757" t="s">
        <v>5679</v>
      </c>
      <c r="F2951" s="1791"/>
      <c r="G2951" s="1759"/>
      <c r="H2951" s="1760"/>
      <c r="I2951" s="1761">
        <f>SUM(I2948:I2950)</f>
        <v>12882211.421173852</v>
      </c>
    </row>
    <row r="2952" spans="1:12" ht="15">
      <c r="B2952" s="1536"/>
      <c r="C2952" s="1537"/>
      <c r="D2952" s="1537"/>
      <c r="E2952" s="1762" t="s">
        <v>5680</v>
      </c>
      <c r="F2952" s="1765">
        <f>$M$5</f>
        <v>0.1</v>
      </c>
      <c r="G2952" s="1746"/>
      <c r="H2952" s="1747"/>
      <c r="I2952" s="1764">
        <f>I2951*F2952</f>
        <v>1288221.1421173853</v>
      </c>
    </row>
    <row r="2953" spans="1:12" ht="14.25">
      <c r="B2953" s="1540"/>
      <c r="C2953" s="1541"/>
      <c r="D2953" s="1541"/>
      <c r="E2953" s="1757" t="s">
        <v>5681</v>
      </c>
      <c r="F2953" s="1791"/>
      <c r="G2953" s="1759"/>
      <c r="H2953" s="1760"/>
      <c r="I2953" s="1761">
        <f>SUM(I2951:I2952)</f>
        <v>14170432.563291237</v>
      </c>
    </row>
    <row r="2954" spans="1:12" ht="12.75">
      <c r="B2954" s="1536"/>
      <c r="C2954" s="1537"/>
      <c r="D2954" s="1537"/>
      <c r="E2954" s="1533" t="s">
        <v>5682</v>
      </c>
      <c r="F2954" s="1535">
        <f>$N$5</f>
        <v>0.01</v>
      </c>
      <c r="G2954" s="1538"/>
      <c r="H2954" s="1532"/>
      <c r="I2954" s="1534">
        <f>I2953*F2954</f>
        <v>141704.32563291237</v>
      </c>
    </row>
    <row r="2955" spans="1:12" ht="14.25">
      <c r="B2955" s="2104"/>
      <c r="C2955" s="1543"/>
      <c r="D2955" s="2105"/>
      <c r="E2955" s="2106" t="s">
        <v>5683</v>
      </c>
      <c r="F2955" s="2115"/>
      <c r="G2955" s="2108"/>
      <c r="H2955" s="2109"/>
      <c r="I2955" s="2110">
        <f>ROUND(I2953+I2954,-2)</f>
        <v>14312100</v>
      </c>
    </row>
    <row r="2956" spans="1:12" ht="14.25">
      <c r="A2956" s="657">
        <v>1</v>
      </c>
      <c r="B2956" s="1546">
        <f>IF(A2956&lt;&gt;0,COUNTA(A$7:$A2956),"")</f>
        <v>169</v>
      </c>
      <c r="C2956" s="1547">
        <f>'8.Dgia'!C2657</f>
        <v>1776</v>
      </c>
      <c r="D2956" s="1547" t="str">
        <f>'8.Dgia'!D2657</f>
        <v>AK.98110</v>
      </c>
      <c r="E2956" s="1740" t="str">
        <f>'8.Dgia'!E2657</f>
        <v>Đá dăm đệm 1x2</v>
      </c>
      <c r="F2956" s="1789" t="str">
        <f>'8.Dgia'!G2657</f>
        <v>m3</v>
      </c>
      <c r="G2956" s="1742">
        <f>'8.Dgia'!H2657</f>
        <v>0</v>
      </c>
      <c r="H2956" s="1743"/>
      <c r="I2956" s="1743"/>
      <c r="J2956" s="842">
        <f>+I2957</f>
        <v>464986.58253687649</v>
      </c>
      <c r="K2956" s="842">
        <f>+I2960</f>
        <v>380099.52</v>
      </c>
      <c r="L2956" s="872"/>
    </row>
    <row r="2957" spans="1:12" ht="15">
      <c r="B2957" s="1536" t="str">
        <f>'8.Dgia'!B2658</f>
        <v/>
      </c>
      <c r="C2957" s="1537">
        <f>'8.Dgia'!C2658</f>
        <v>0</v>
      </c>
      <c r="D2957" s="1537">
        <f>'8.Dgia'!D2658</f>
        <v>0</v>
      </c>
      <c r="E2957" s="1744" t="str">
        <f>'8.Dgia'!E2658</f>
        <v xml:space="preserve">  A - Vật liệu</v>
      </c>
      <c r="F2957" s="1763">
        <f>'8.Dgia'!G2658</f>
        <v>0</v>
      </c>
      <c r="G2957" s="1746">
        <f>'8.Dgia'!H2658</f>
        <v>0</v>
      </c>
      <c r="H2957" s="1747"/>
      <c r="I2957" s="1748">
        <f>SUM(I2958:I2959)</f>
        <v>464986.58253687649</v>
      </c>
      <c r="L2957" s="872"/>
    </row>
    <row r="2958" spans="1:12" ht="15">
      <c r="B2958" s="1536" t="str">
        <f>'8.Dgia'!B2659</f>
        <v/>
      </c>
      <c r="C2958" s="1537">
        <f>'8.Dgia'!C2659</f>
        <v>0</v>
      </c>
      <c r="D2958" s="1537">
        <f>'8.Dgia'!D2659</f>
        <v>0</v>
      </c>
      <c r="E2958" s="1749" t="str">
        <f>'8.Dgia'!E2659</f>
        <v>Đá 1x2</v>
      </c>
      <c r="F2958" s="1763" t="str">
        <f>'8.Dgia'!G2659</f>
        <v>m3</v>
      </c>
      <c r="G2958" s="1981">
        <f>'8.Dgia'!H2659</f>
        <v>1.2</v>
      </c>
      <c r="H2958" s="1747">
        <f>GVL!$I$58</f>
        <v>364185.41224953817</v>
      </c>
      <c r="I2958" s="1747">
        <f>H2958*G2958</f>
        <v>437022.49469944579</v>
      </c>
      <c r="L2958" s="872"/>
    </row>
    <row r="2959" spans="1:12" ht="15">
      <c r="B2959" s="1536" t="str">
        <f>'8.Dgia'!B2660</f>
        <v/>
      </c>
      <c r="C2959" s="1537">
        <f>'8.Dgia'!C2660</f>
        <v>0</v>
      </c>
      <c r="D2959" s="1537">
        <f>'8.Dgia'!D2660</f>
        <v>0</v>
      </c>
      <c r="E2959" s="1749" t="str">
        <f>'8.Dgia'!E2660</f>
        <v>Cát đen</v>
      </c>
      <c r="F2959" s="1763" t="str">
        <f>'8.Dgia'!G2660</f>
        <v>m3</v>
      </c>
      <c r="G2959" s="1981">
        <f>'8.Dgia'!H2660</f>
        <v>0.3</v>
      </c>
      <c r="H2959" s="1747">
        <f>GVL!$I$37</f>
        <v>93213.626124769085</v>
      </c>
      <c r="I2959" s="1747">
        <f>H2959*G2959</f>
        <v>27964.087837430725</v>
      </c>
      <c r="L2959" s="872"/>
    </row>
    <row r="2960" spans="1:12" ht="15">
      <c r="B2960" s="1536" t="str">
        <f>'8.Dgia'!B2661</f>
        <v/>
      </c>
      <c r="C2960" s="1537">
        <f>'8.Dgia'!C2661</f>
        <v>0</v>
      </c>
      <c r="D2960" s="1537">
        <f>'8.Dgia'!D2661</f>
        <v>0</v>
      </c>
      <c r="E2960" s="1744" t="str">
        <f>'8.Dgia'!E2661</f>
        <v xml:space="preserve">  B - Nhân công 4.0/7</v>
      </c>
      <c r="F2960" s="1745" t="s">
        <v>552</v>
      </c>
      <c r="G2960" s="1746">
        <f>'8.Dgia'!H2661</f>
        <v>1.48</v>
      </c>
      <c r="H2960" s="1747">
        <f>'16.NC'!$H$18</f>
        <v>256824</v>
      </c>
      <c r="I2960" s="1750">
        <f>H2960*G2960</f>
        <v>380099.52</v>
      </c>
      <c r="L2960" s="872"/>
    </row>
    <row r="2961" spans="1:12" s="658" customFormat="1" ht="15">
      <c r="B2961" s="1675"/>
      <c r="C2961" s="1676"/>
      <c r="D2961" s="1676"/>
      <c r="E2961" s="1752" t="s">
        <v>5675</v>
      </c>
      <c r="F2961" s="1763">
        <f>$J$5</f>
        <v>0.02</v>
      </c>
      <c r="G2961" s="1754"/>
      <c r="H2961" s="1755"/>
      <c r="I2961" s="1756">
        <f>( I2957+I2960 )*F2961</f>
        <v>16901.722050737528</v>
      </c>
      <c r="J2961" s="850"/>
      <c r="K2961" s="850"/>
      <c r="L2961" s="850"/>
    </row>
    <row r="2962" spans="1:12" ht="15">
      <c r="B2962" s="1540"/>
      <c r="C2962" s="1541"/>
      <c r="D2962" s="1541"/>
      <c r="E2962" s="1757" t="s">
        <v>5676</v>
      </c>
      <c r="F2962" s="1763"/>
      <c r="G2962" s="1759"/>
      <c r="H2962" s="1760"/>
      <c r="I2962" s="1761">
        <f>I2961+I2961/F2961</f>
        <v>861987.82458761381</v>
      </c>
    </row>
    <row r="2963" spans="1:12" ht="15">
      <c r="B2963" s="1536"/>
      <c r="C2963" s="1537"/>
      <c r="D2963" s="1537"/>
      <c r="E2963" s="1762" t="s">
        <v>5677</v>
      </c>
      <c r="F2963" s="1763">
        <f>$K$5</f>
        <v>5.5E-2</v>
      </c>
      <c r="G2963" s="1746"/>
      <c r="H2963" s="1747"/>
      <c r="I2963" s="1764">
        <f>I2962*F2963</f>
        <v>47409.330352318757</v>
      </c>
    </row>
    <row r="2964" spans="1:12" ht="15">
      <c r="B2964" s="1536"/>
      <c r="C2964" s="1537"/>
      <c r="D2964" s="1537"/>
      <c r="E2964" s="1762" t="s">
        <v>5678</v>
      </c>
      <c r="F2964" s="1763">
        <f>$L$5</f>
        <v>0.06</v>
      </c>
      <c r="G2964" s="1746"/>
      <c r="H2964" s="1747"/>
      <c r="I2964" s="1764">
        <f>SUM(I2962:I2963)*F2964</f>
        <v>54563.829296395947</v>
      </c>
    </row>
    <row r="2965" spans="1:12" ht="14.25">
      <c r="B2965" s="1540"/>
      <c r="C2965" s="1541"/>
      <c r="D2965" s="1541"/>
      <c r="E2965" s="1757" t="s">
        <v>5679</v>
      </c>
      <c r="F2965" s="1791"/>
      <c r="G2965" s="1759"/>
      <c r="H2965" s="1760"/>
      <c r="I2965" s="1761">
        <f>SUM(I2962:I2964)</f>
        <v>963960.98423632851</v>
      </c>
    </row>
    <row r="2966" spans="1:12" ht="15">
      <c r="B2966" s="1536"/>
      <c r="C2966" s="1537"/>
      <c r="D2966" s="1537"/>
      <c r="E2966" s="1762" t="s">
        <v>5680</v>
      </c>
      <c r="F2966" s="1765">
        <f>$M$5</f>
        <v>0.1</v>
      </c>
      <c r="G2966" s="1746"/>
      <c r="H2966" s="1747"/>
      <c r="I2966" s="1764">
        <f>I2965*F2966</f>
        <v>96396.098423632851</v>
      </c>
    </row>
    <row r="2967" spans="1:12" ht="14.25">
      <c r="B2967" s="1540"/>
      <c r="C2967" s="1541"/>
      <c r="D2967" s="1541"/>
      <c r="E2967" s="1757" t="s">
        <v>5681</v>
      </c>
      <c r="F2967" s="1791"/>
      <c r="G2967" s="1759"/>
      <c r="H2967" s="1760"/>
      <c r="I2967" s="1761">
        <f>SUM(I2965:I2966)</f>
        <v>1060357.0826599614</v>
      </c>
    </row>
    <row r="2968" spans="1:12" ht="12.75">
      <c r="B2968" s="1536"/>
      <c r="C2968" s="1537"/>
      <c r="D2968" s="1537"/>
      <c r="E2968" s="1533" t="s">
        <v>5682</v>
      </c>
      <c r="F2968" s="1535">
        <f>$N$5</f>
        <v>0.01</v>
      </c>
      <c r="G2968" s="1538"/>
      <c r="H2968" s="1532"/>
      <c r="I2968" s="1534">
        <f>I2967*F2968</f>
        <v>10603.570826599615</v>
      </c>
    </row>
    <row r="2969" spans="1:12" ht="14.25">
      <c r="B2969" s="2104"/>
      <c r="C2969" s="1543"/>
      <c r="D2969" s="2105"/>
      <c r="E2969" s="2106" t="s">
        <v>5683</v>
      </c>
      <c r="F2969" s="2115"/>
      <c r="G2969" s="2108"/>
      <c r="H2969" s="2109"/>
      <c r="I2969" s="2110">
        <f>ROUND(I2967+I2968,-2)</f>
        <v>1071000</v>
      </c>
    </row>
    <row r="2970" spans="1:12" ht="14.25">
      <c r="A2970" s="657">
        <v>1</v>
      </c>
      <c r="B2970" s="1546">
        <f>IF(A2970&lt;&gt;0,COUNTA(A$7:$A2970),"")</f>
        <v>170</v>
      </c>
      <c r="C2970" s="1547">
        <f>'8.Dgia'!C2662</f>
        <v>1776</v>
      </c>
      <c r="D2970" s="1547" t="str">
        <f>'8.Dgia'!D2662</f>
        <v>AK.98110</v>
      </c>
      <c r="E2970" s="1740" t="str">
        <f>'8.Dgia'!E2662</f>
        <v>Đá 1x2</v>
      </c>
      <c r="F2970" s="1789" t="str">
        <f>'8.Dgia'!G2662</f>
        <v>m3</v>
      </c>
      <c r="G2970" s="1742">
        <f>'8.Dgia'!H2662</f>
        <v>0</v>
      </c>
      <c r="H2970" s="1743"/>
      <c r="I2970" s="1743"/>
      <c r="J2970" s="842">
        <f>+I2971</f>
        <v>437022.49469944579</v>
      </c>
      <c r="K2970" s="842">
        <f>+I2973</f>
        <v>380099.52</v>
      </c>
      <c r="L2970" s="872"/>
    </row>
    <row r="2971" spans="1:12" ht="15">
      <c r="B2971" s="1536" t="str">
        <f>'8.Dgia'!B2663</f>
        <v/>
      </c>
      <c r="C2971" s="1537">
        <f>'8.Dgia'!C2663</f>
        <v>0</v>
      </c>
      <c r="D2971" s="1537">
        <f>'8.Dgia'!D2663</f>
        <v>0</v>
      </c>
      <c r="E2971" s="1744" t="str">
        <f>'8.Dgia'!E2663</f>
        <v xml:space="preserve">  A - Vật liệu</v>
      </c>
      <c r="F2971" s="1763">
        <f>'8.Dgia'!G2663</f>
        <v>0</v>
      </c>
      <c r="G2971" s="1746">
        <f>'8.Dgia'!H2663</f>
        <v>0</v>
      </c>
      <c r="H2971" s="1747"/>
      <c r="I2971" s="1748">
        <f>SUM(I2972:I2972)</f>
        <v>437022.49469944579</v>
      </c>
      <c r="L2971" s="872"/>
    </row>
    <row r="2972" spans="1:12" ht="15">
      <c r="B2972" s="1536" t="str">
        <f>'8.Dgia'!B2664</f>
        <v/>
      </c>
      <c r="C2972" s="1537">
        <f>'8.Dgia'!C2664</f>
        <v>0</v>
      </c>
      <c r="D2972" s="1537">
        <f>'8.Dgia'!D2664</f>
        <v>0</v>
      </c>
      <c r="E2972" s="1749" t="str">
        <f>'8.Dgia'!E2664</f>
        <v>Đá 1x2</v>
      </c>
      <c r="F2972" s="1763" t="str">
        <f>'8.Dgia'!G2664</f>
        <v>m3</v>
      </c>
      <c r="G2972" s="1746">
        <f>'8.Dgia'!H2664</f>
        <v>1.2</v>
      </c>
      <c r="H2972" s="1747">
        <f>GVL!$I$58</f>
        <v>364185.41224953817</v>
      </c>
      <c r="I2972" s="1747">
        <f>H2972*G2972</f>
        <v>437022.49469944579</v>
      </c>
      <c r="L2972" s="872"/>
    </row>
    <row r="2973" spans="1:12" ht="15">
      <c r="B2973" s="1536" t="str">
        <f>'8.Dgia'!B2665</f>
        <v/>
      </c>
      <c r="C2973" s="1537">
        <f>'8.Dgia'!C2665</f>
        <v>0</v>
      </c>
      <c r="D2973" s="1537">
        <f>'8.Dgia'!D2665</f>
        <v>0</v>
      </c>
      <c r="E2973" s="1744" t="str">
        <f>'8.Dgia'!E2665</f>
        <v xml:space="preserve">  B - Nhân công 4.0/7</v>
      </c>
      <c r="F2973" s="1745" t="s">
        <v>552</v>
      </c>
      <c r="G2973" s="1746">
        <f>'8.Dgia'!H2665</f>
        <v>1.48</v>
      </c>
      <c r="H2973" s="1747">
        <f>'16.NC'!$H$18</f>
        <v>256824</v>
      </c>
      <c r="I2973" s="1750">
        <f>H2973*G2973</f>
        <v>380099.52</v>
      </c>
      <c r="L2973" s="872"/>
    </row>
    <row r="2974" spans="1:12" s="658" customFormat="1" ht="15">
      <c r="B2974" s="1675"/>
      <c r="C2974" s="1676"/>
      <c r="D2974" s="1676"/>
      <c r="E2974" s="1752" t="s">
        <v>5675</v>
      </c>
      <c r="F2974" s="1763">
        <f>$J$5</f>
        <v>0.02</v>
      </c>
      <c r="G2974" s="1754"/>
      <c r="H2974" s="1755"/>
      <c r="I2974" s="1756">
        <f>( I2971+I2973 )*F2974</f>
        <v>16342.440293988917</v>
      </c>
      <c r="J2974" s="850"/>
      <c r="K2974" s="850"/>
      <c r="L2974" s="850"/>
    </row>
    <row r="2975" spans="1:12" ht="15">
      <c r="B2975" s="1540"/>
      <c r="C2975" s="1541"/>
      <c r="D2975" s="1541"/>
      <c r="E2975" s="1757" t="s">
        <v>5676</v>
      </c>
      <c r="F2975" s="1763"/>
      <c r="G2975" s="1759"/>
      <c r="H2975" s="1760"/>
      <c r="I2975" s="1761">
        <f>I2974+I2974/F2974</f>
        <v>833464.45499343472</v>
      </c>
    </row>
    <row r="2976" spans="1:12" ht="15">
      <c r="B2976" s="1536"/>
      <c r="C2976" s="1537"/>
      <c r="D2976" s="1537"/>
      <c r="E2976" s="1762" t="s">
        <v>5677</v>
      </c>
      <c r="F2976" s="1763">
        <f>$K$5</f>
        <v>5.5E-2</v>
      </c>
      <c r="G2976" s="1746"/>
      <c r="H2976" s="1747"/>
      <c r="I2976" s="1764">
        <f>I2975*F2976</f>
        <v>45840.545024638908</v>
      </c>
    </row>
    <row r="2977" spans="1:12" ht="15">
      <c r="B2977" s="1536"/>
      <c r="C2977" s="1537"/>
      <c r="D2977" s="1537"/>
      <c r="E2977" s="1762" t="s">
        <v>5678</v>
      </c>
      <c r="F2977" s="1763">
        <f>$L$5</f>
        <v>0.06</v>
      </c>
      <c r="G2977" s="1746"/>
      <c r="H2977" s="1747"/>
      <c r="I2977" s="1764">
        <f>SUM(I2975:I2976)*F2977</f>
        <v>52758.300001084412</v>
      </c>
    </row>
    <row r="2978" spans="1:12" ht="14.25">
      <c r="B2978" s="1540"/>
      <c r="C2978" s="1541"/>
      <c r="D2978" s="1541"/>
      <c r="E2978" s="1757" t="s">
        <v>5679</v>
      </c>
      <c r="F2978" s="1791"/>
      <c r="G2978" s="1759"/>
      <c r="H2978" s="1760"/>
      <c r="I2978" s="1761">
        <f>SUM(I2975:I2977)</f>
        <v>932063.30001915805</v>
      </c>
    </row>
    <row r="2979" spans="1:12" ht="15">
      <c r="B2979" s="1536"/>
      <c r="C2979" s="1537"/>
      <c r="D2979" s="1537"/>
      <c r="E2979" s="1762" t="s">
        <v>5680</v>
      </c>
      <c r="F2979" s="1765">
        <f>$M$5</f>
        <v>0.1</v>
      </c>
      <c r="G2979" s="1746"/>
      <c r="H2979" s="1747"/>
      <c r="I2979" s="1764">
        <f>I2978*F2979</f>
        <v>93206.330001915805</v>
      </c>
    </row>
    <row r="2980" spans="1:12" ht="14.25">
      <c r="B2980" s="1540"/>
      <c r="C2980" s="1541"/>
      <c r="D2980" s="1541"/>
      <c r="E2980" s="1757" t="s">
        <v>5681</v>
      </c>
      <c r="F2980" s="1791"/>
      <c r="G2980" s="1759"/>
      <c r="H2980" s="1760"/>
      <c r="I2980" s="1761">
        <f>SUM(I2978:I2979)</f>
        <v>1025269.6300210739</v>
      </c>
    </row>
    <row r="2981" spans="1:12" ht="12.75">
      <c r="B2981" s="1536"/>
      <c r="C2981" s="1537"/>
      <c r="D2981" s="1537"/>
      <c r="E2981" s="1533" t="s">
        <v>5682</v>
      </c>
      <c r="F2981" s="1535">
        <f>$N$5</f>
        <v>0.01</v>
      </c>
      <c r="G2981" s="1538"/>
      <c r="H2981" s="1532"/>
      <c r="I2981" s="1534">
        <f>I2980*F2981</f>
        <v>10252.696300210739</v>
      </c>
    </row>
    <row r="2982" spans="1:12" ht="14.25">
      <c r="B2982" s="2104"/>
      <c r="C2982" s="1543"/>
      <c r="D2982" s="2105"/>
      <c r="E2982" s="2106" t="s">
        <v>5683</v>
      </c>
      <c r="F2982" s="2115"/>
      <c r="G2982" s="2108"/>
      <c r="H2982" s="2109"/>
      <c r="I2982" s="2110">
        <f>ROUND(I2980+I2981,-2)</f>
        <v>1035500</v>
      </c>
    </row>
    <row r="2983" spans="1:12" ht="14.25">
      <c r="A2983" s="657">
        <v>1</v>
      </c>
      <c r="B2983" s="1546">
        <f>IF(A2983&lt;&gt;0,COUNTA(A$7:$A2983),"")</f>
        <v>171</v>
      </c>
      <c r="C2983" s="1547">
        <f>'8.Dgia'!C2666</f>
        <v>1776</v>
      </c>
      <c r="D2983" s="1547" t="str">
        <f>'8.Dgia'!D2666</f>
        <v>AE.11910</v>
      </c>
      <c r="E2983" s="1740" t="str">
        <f>'8.Dgia'!E2666</f>
        <v>Xây mặt bằng đá hộc C10</v>
      </c>
      <c r="F2983" s="1789" t="str">
        <f>'8.Dgia'!G2666</f>
        <v>m3</v>
      </c>
      <c r="G2983" s="1742">
        <f>'8.Dgia'!H2666</f>
        <v>0</v>
      </c>
      <c r="H2983" s="1844"/>
      <c r="I2983" s="1843"/>
      <c r="J2983" s="842">
        <f>+I2984</f>
        <v>662013.84887394588</v>
      </c>
      <c r="K2983" s="842">
        <f>+I2988</f>
        <v>490497.28000000003</v>
      </c>
    </row>
    <row r="2984" spans="1:12" ht="15">
      <c r="B2984" s="1536" t="str">
        <f>'8.Dgia'!B2667</f>
        <v/>
      </c>
      <c r="C2984" s="1537">
        <f>'8.Dgia'!C2667</f>
        <v>0</v>
      </c>
      <c r="D2984" s="1537">
        <f>'8.Dgia'!D2667</f>
        <v>0</v>
      </c>
      <c r="E2984" s="1744" t="str">
        <f>'8.Dgia'!E2667</f>
        <v xml:space="preserve">  A - Vật liệu</v>
      </c>
      <c r="F2984" s="1763">
        <f>'8.Dgia'!G2667</f>
        <v>0</v>
      </c>
      <c r="G2984" s="1746">
        <f>'8.Dgia'!H2667</f>
        <v>0</v>
      </c>
      <c r="H2984" s="1845"/>
      <c r="I2984" s="1846">
        <f>SUM(I2985:I2987)</f>
        <v>662013.84887394588</v>
      </c>
    </row>
    <row r="2985" spans="1:12" ht="15">
      <c r="B2985" s="1536" t="str">
        <f>'8.Dgia'!B2668</f>
        <v/>
      </c>
      <c r="C2985" s="1537">
        <f>'8.Dgia'!C2668</f>
        <v>0</v>
      </c>
      <c r="D2985" s="1537">
        <f>'8.Dgia'!D2668</f>
        <v>0</v>
      </c>
      <c r="E2985" s="1749" t="str">
        <f>'8.Dgia'!E2668</f>
        <v>Đá hộc</v>
      </c>
      <c r="F2985" s="1763" t="str">
        <f>'8.Dgia'!G2668</f>
        <v>m3</v>
      </c>
      <c r="G2985" s="1746">
        <f>'8.Dgia'!H2668</f>
        <v>1.2</v>
      </c>
      <c r="H2985" s="1747">
        <f>GVL!$I$62</f>
        <v>326292.57724953815</v>
      </c>
      <c r="I2985" s="1747">
        <f>H2985*G2985</f>
        <v>391551.09269944578</v>
      </c>
    </row>
    <row r="2986" spans="1:12" ht="15">
      <c r="B2986" s="1536" t="str">
        <f>'8.Dgia'!B2669</f>
        <v/>
      </c>
      <c r="C2986" s="1537">
        <f>'8.Dgia'!C2669</f>
        <v>0</v>
      </c>
      <c r="D2986" s="1537">
        <f>'8.Dgia'!D2669</f>
        <v>0</v>
      </c>
      <c r="E2986" s="1749" t="str">
        <f>'8.Dgia'!E2669</f>
        <v>Đá 4x6</v>
      </c>
      <c r="F2986" s="1763" t="str">
        <f>'8.Dgia'!G2669</f>
        <v>m3</v>
      </c>
      <c r="G2986" s="1746">
        <f>'8.Dgia'!H2669</f>
        <v>5.7000000000000002E-2</v>
      </c>
      <c r="H2986" s="1747">
        <f>GVL!$I$60</f>
        <v>330147.95224953815</v>
      </c>
      <c r="I2986" s="1747">
        <f>H2986*G2986</f>
        <v>18818.433278223674</v>
      </c>
    </row>
    <row r="2987" spans="1:12" ht="15">
      <c r="B2987" s="1536" t="str">
        <f>'8.Dgia'!B2670</f>
        <v/>
      </c>
      <c r="C2987" s="1537">
        <f>'8.Dgia'!C2670</f>
        <v>0</v>
      </c>
      <c r="D2987" s="1537" t="str">
        <f>'8.Dgia'!D2670</f>
        <v>B2215</v>
      </c>
      <c r="E2987" s="1749" t="str">
        <f>'8.Dgia'!E2670</f>
        <v>Vữa xi măng C10</v>
      </c>
      <c r="F2987" s="1763" t="str">
        <f>'8.Dgia'!G2670</f>
        <v>m3</v>
      </c>
      <c r="G2987" s="1746">
        <f>'8.Dgia'!H2670</f>
        <v>0.42</v>
      </c>
      <c r="H2987" s="1747">
        <f>GVL!$I$205</f>
        <v>599153.14975303912</v>
      </c>
      <c r="I2987" s="1747">
        <f>H2987*G2987</f>
        <v>251644.32289627643</v>
      </c>
    </row>
    <row r="2988" spans="1:12" ht="15">
      <c r="B2988" s="1536" t="str">
        <f>'8.Dgia'!B2671</f>
        <v/>
      </c>
      <c r="C2988" s="1537">
        <f>'8.Dgia'!C2671</f>
        <v>0</v>
      </c>
      <c r="D2988" s="1537">
        <f>'8.Dgia'!D2671</f>
        <v>0</v>
      </c>
      <c r="E2988" s="1744" t="str">
        <f>'8.Dgia'!E2671</f>
        <v xml:space="preserve">  B - Nhân công 3.5/7</v>
      </c>
      <c r="F2988" s="1745" t="s">
        <v>552</v>
      </c>
      <c r="G2988" s="1746">
        <f>'8.Dgia'!H2671</f>
        <v>2.08</v>
      </c>
      <c r="H2988" s="1747">
        <f>'16.NC'!$H$16</f>
        <v>235816</v>
      </c>
      <c r="I2988" s="1750">
        <f>H2988*G2988</f>
        <v>490497.28000000003</v>
      </c>
    </row>
    <row r="2989" spans="1:12" s="658" customFormat="1" ht="15">
      <c r="B2989" s="1675"/>
      <c r="C2989" s="1676"/>
      <c r="D2989" s="1676"/>
      <c r="E2989" s="1752" t="s">
        <v>5675</v>
      </c>
      <c r="F2989" s="1763">
        <f>$J$5</f>
        <v>0.02</v>
      </c>
      <c r="G2989" s="1754"/>
      <c r="H2989" s="1755"/>
      <c r="I2989" s="1756">
        <f>( I2984+I2988 )*F2989</f>
        <v>23050.222577478919</v>
      </c>
      <c r="J2989" s="850"/>
      <c r="K2989" s="850"/>
      <c r="L2989" s="850"/>
    </row>
    <row r="2990" spans="1:12" ht="15">
      <c r="B2990" s="1540"/>
      <c r="C2990" s="1541"/>
      <c r="D2990" s="1541"/>
      <c r="E2990" s="1757" t="s">
        <v>5676</v>
      </c>
      <c r="F2990" s="1763"/>
      <c r="G2990" s="1759"/>
      <c r="H2990" s="1760"/>
      <c r="I2990" s="1761">
        <f>I2989+I2989/F2989</f>
        <v>1175561.3514514249</v>
      </c>
    </row>
    <row r="2991" spans="1:12" ht="15">
      <c r="B2991" s="1536"/>
      <c r="C2991" s="1537"/>
      <c r="D2991" s="1537"/>
      <c r="E2991" s="1762" t="s">
        <v>5677</v>
      </c>
      <c r="F2991" s="1763">
        <f>$K$5</f>
        <v>5.5E-2</v>
      </c>
      <c r="G2991" s="1746"/>
      <c r="H2991" s="1747"/>
      <c r="I2991" s="1764">
        <f>I2990*F2991</f>
        <v>64655.874329828366</v>
      </c>
    </row>
    <row r="2992" spans="1:12" ht="15">
      <c r="B2992" s="1536"/>
      <c r="C2992" s="1537"/>
      <c r="D2992" s="1537"/>
      <c r="E2992" s="1762" t="s">
        <v>5678</v>
      </c>
      <c r="F2992" s="1763">
        <f>$L$5</f>
        <v>0.06</v>
      </c>
      <c r="G2992" s="1746"/>
      <c r="H2992" s="1747"/>
      <c r="I2992" s="1764">
        <f>SUM(I2990:I2991)*F2992</f>
        <v>74413.033546875202</v>
      </c>
    </row>
    <row r="2993" spans="1:12" ht="14.25">
      <c r="B2993" s="1540"/>
      <c r="C2993" s="1541"/>
      <c r="D2993" s="1541"/>
      <c r="E2993" s="1757" t="s">
        <v>5679</v>
      </c>
      <c r="F2993" s="1791"/>
      <c r="G2993" s="1759"/>
      <c r="H2993" s="1760"/>
      <c r="I2993" s="1761">
        <f>SUM(I2990:I2992)</f>
        <v>1314630.2593281285</v>
      </c>
    </row>
    <row r="2994" spans="1:12" ht="15">
      <c r="B2994" s="1536"/>
      <c r="C2994" s="1537"/>
      <c r="D2994" s="1537"/>
      <c r="E2994" s="1762" t="s">
        <v>5680</v>
      </c>
      <c r="F2994" s="1765">
        <f>$M$5</f>
        <v>0.1</v>
      </c>
      <c r="G2994" s="1746"/>
      <c r="H2994" s="1747"/>
      <c r="I2994" s="1764">
        <f>I2993*F2994</f>
        <v>131463.02593281286</v>
      </c>
    </row>
    <row r="2995" spans="1:12" ht="14.25">
      <c r="B2995" s="1540"/>
      <c r="C2995" s="1541"/>
      <c r="D2995" s="1541"/>
      <c r="E2995" s="1757" t="s">
        <v>5681</v>
      </c>
      <c r="F2995" s="1791"/>
      <c r="G2995" s="1759"/>
      <c r="H2995" s="1760"/>
      <c r="I2995" s="1761">
        <f>SUM(I2993:I2994)</f>
        <v>1446093.2852609414</v>
      </c>
    </row>
    <row r="2996" spans="1:12" ht="12.75">
      <c r="B2996" s="1536"/>
      <c r="C2996" s="1537"/>
      <c r="D2996" s="1537"/>
      <c r="E2996" s="1533" t="s">
        <v>5682</v>
      </c>
      <c r="F2996" s="1535">
        <f>$N$5</f>
        <v>0.01</v>
      </c>
      <c r="G2996" s="1538"/>
      <c r="H2996" s="1532"/>
      <c r="I2996" s="1534">
        <f>I2995*F2996</f>
        <v>14460.932852609414</v>
      </c>
    </row>
    <row r="2997" spans="1:12" ht="14.25">
      <c r="B2997" s="2104"/>
      <c r="C2997" s="1543"/>
      <c r="D2997" s="2105"/>
      <c r="E2997" s="2106" t="s">
        <v>5683</v>
      </c>
      <c r="F2997" s="2115"/>
      <c r="G2997" s="2108"/>
      <c r="H2997" s="2109"/>
      <c r="I2997" s="2110">
        <f>ROUND(I2995+I2996,-2)</f>
        <v>1460600</v>
      </c>
    </row>
    <row r="2998" spans="1:12" ht="14.25">
      <c r="A2998" s="657">
        <v>1</v>
      </c>
      <c r="B2998" s="1546">
        <f>IF(A2998&lt;&gt;0,COUNTA(A$7:$A2998),"")</f>
        <v>172</v>
      </c>
      <c r="C2998" s="1547">
        <f>'8.Dgia'!C2672</f>
        <v>1776</v>
      </c>
      <c r="D2998" s="1547" t="str">
        <f>'8.Dgia'!D2672</f>
        <v>BB.19108</v>
      </c>
      <c r="E2998" s="1740" t="str">
        <f>'8.Dgia'!E2672</f>
        <v>Lắp đặt ống nhựa PVC D100</v>
      </c>
      <c r="F2998" s="1789" t="s">
        <v>543</v>
      </c>
      <c r="G2998" s="1742">
        <f>'8.Dgia'!H2672</f>
        <v>0</v>
      </c>
      <c r="H2998" s="1743"/>
      <c r="I2998" s="1743"/>
      <c r="J2998" s="842">
        <f>+I2999</f>
        <v>72828.282099999997</v>
      </c>
      <c r="K2998" s="842">
        <f>+I3002</f>
        <v>31858.741600000001</v>
      </c>
      <c r="L2998" s="872"/>
    </row>
    <row r="2999" spans="1:12" ht="15">
      <c r="B2999" s="1536" t="str">
        <f>'8.Dgia'!B2673</f>
        <v/>
      </c>
      <c r="C2999" s="1537">
        <f>'8.Dgia'!C2673</f>
        <v>0</v>
      </c>
      <c r="D2999" s="1537">
        <f>'8.Dgia'!D2673</f>
        <v>0</v>
      </c>
      <c r="E2999" s="1744" t="str">
        <f>'8.Dgia'!E2673</f>
        <v xml:space="preserve">  A - Vật liệu</v>
      </c>
      <c r="F2999" s="1763">
        <f>'8.Dgia'!G2673</f>
        <v>0</v>
      </c>
      <c r="G2999" s="1746">
        <f>'8.Dgia'!H2673</f>
        <v>0</v>
      </c>
      <c r="H2999" s="1747"/>
      <c r="I2999" s="1748">
        <f>SUM(I3000:I3001)</f>
        <v>72828.282099999997</v>
      </c>
      <c r="L2999" s="872"/>
    </row>
    <row r="3000" spans="1:12" ht="15">
      <c r="B3000" s="1536" t="str">
        <f>'8.Dgia'!B2674</f>
        <v/>
      </c>
      <c r="C3000" s="1537">
        <f>'8.Dgia'!C2674</f>
        <v>0</v>
      </c>
      <c r="D3000" s="1537">
        <f>'8.Dgia'!D2674</f>
        <v>0</v>
      </c>
      <c r="E3000" s="1749" t="str">
        <f>'8.Dgia'!E2674</f>
        <v>Ống nhựa D100</v>
      </c>
      <c r="F3000" s="1763" t="str">
        <f>'8.Dgia'!G2674</f>
        <v>m</v>
      </c>
      <c r="G3000" s="1746">
        <f>'8.Dgia'!H2674/100</f>
        <v>1.01</v>
      </c>
      <c r="H3000" s="1747">
        <f>GVL!$I$134</f>
        <v>72100</v>
      </c>
      <c r="I3000" s="1747">
        <f>H3000*G3000</f>
        <v>72821</v>
      </c>
      <c r="L3000" s="872"/>
    </row>
    <row r="3001" spans="1:12" ht="15">
      <c r="B3001" s="1536" t="str">
        <f>'8.Dgia'!B2677</f>
        <v/>
      </c>
      <c r="C3001" s="1537">
        <f>'8.Dgia'!C2677</f>
        <v>0</v>
      </c>
      <c r="D3001" s="1537">
        <f>'8.Dgia'!D2677</f>
        <v>0</v>
      </c>
      <c r="E3001" s="1749" t="str">
        <f>'8.Dgia'!E2677</f>
        <v>Vật liệu khác</v>
      </c>
      <c r="F3001" s="1763" t="str">
        <f>'8.Dgia'!G2677</f>
        <v>%</v>
      </c>
      <c r="G3001" s="1746">
        <f>'8.Dgia'!H2677</f>
        <v>0.01</v>
      </c>
      <c r="H3001" s="1747">
        <f>SUM(I3000:I3000)</f>
        <v>72821</v>
      </c>
      <c r="I3001" s="1747">
        <f>H3001*G3001%</f>
        <v>7.2821000000000007</v>
      </c>
      <c r="L3001" s="872"/>
    </row>
    <row r="3002" spans="1:12" ht="15">
      <c r="B3002" s="1536" t="str">
        <f>'8.Dgia'!B2678</f>
        <v/>
      </c>
      <c r="C3002" s="1537">
        <f>'8.Dgia'!C2678</f>
        <v>0</v>
      </c>
      <c r="D3002" s="1537">
        <f>'8.Dgia'!D2678</f>
        <v>0</v>
      </c>
      <c r="E3002" s="1744" t="str">
        <f>'8.Dgia'!E2678</f>
        <v xml:space="preserve">  B - Nhân công 3.5/7</v>
      </c>
      <c r="F3002" s="1745" t="s">
        <v>552</v>
      </c>
      <c r="G3002" s="1746">
        <f>'8.Dgia'!H2678/100</f>
        <v>0.1351</v>
      </c>
      <c r="H3002" s="1747">
        <f>'16.NC'!$H$16</f>
        <v>235816</v>
      </c>
      <c r="I3002" s="1750">
        <f>H3002*G3002</f>
        <v>31858.741600000001</v>
      </c>
      <c r="L3002" s="872"/>
    </row>
    <row r="3003" spans="1:12" s="658" customFormat="1" ht="15">
      <c r="B3003" s="1675"/>
      <c r="C3003" s="1676"/>
      <c r="D3003" s="1676"/>
      <c r="E3003" s="1752" t="s">
        <v>5675</v>
      </c>
      <c r="F3003" s="1763">
        <f>$J$5</f>
        <v>0.02</v>
      </c>
      <c r="G3003" s="1754"/>
      <c r="H3003" s="1755"/>
      <c r="I3003" s="1756">
        <f>( I2999+I3002 )*F3003</f>
        <v>2093.7404739999997</v>
      </c>
      <c r="J3003" s="850"/>
      <c r="K3003" s="850"/>
      <c r="L3003" s="850"/>
    </row>
    <row r="3004" spans="1:12" ht="15">
      <c r="B3004" s="1540"/>
      <c r="C3004" s="1541"/>
      <c r="D3004" s="1541"/>
      <c r="E3004" s="1757" t="s">
        <v>5676</v>
      </c>
      <c r="F3004" s="1763"/>
      <c r="G3004" s="1759"/>
      <c r="H3004" s="1760"/>
      <c r="I3004" s="1761">
        <f>I3003+I3003/F3003</f>
        <v>106780.764174</v>
      </c>
    </row>
    <row r="3005" spans="1:12" ht="15">
      <c r="B3005" s="1536"/>
      <c r="C3005" s="1537"/>
      <c r="D3005" s="1537"/>
      <c r="E3005" s="1762" t="s">
        <v>5677</v>
      </c>
      <c r="F3005" s="1763">
        <f>$K$5</f>
        <v>5.5E-2</v>
      </c>
      <c r="G3005" s="1746"/>
      <c r="H3005" s="1747"/>
      <c r="I3005" s="1764">
        <f>I3004*F3005</f>
        <v>5872.9420295700002</v>
      </c>
    </row>
    <row r="3006" spans="1:12" ht="15">
      <c r="B3006" s="1536"/>
      <c r="C3006" s="1537"/>
      <c r="D3006" s="1537"/>
      <c r="E3006" s="1762" t="s">
        <v>5678</v>
      </c>
      <c r="F3006" s="1763">
        <f>$L$5</f>
        <v>0.06</v>
      </c>
      <c r="G3006" s="1746"/>
      <c r="H3006" s="1747"/>
      <c r="I3006" s="1764">
        <f>SUM(I3004:I3005)*F3006</f>
        <v>6759.2223722141989</v>
      </c>
    </row>
    <row r="3007" spans="1:12" ht="14.25">
      <c r="B3007" s="1540"/>
      <c r="C3007" s="1541"/>
      <c r="D3007" s="1541"/>
      <c r="E3007" s="1757" t="s">
        <v>5679</v>
      </c>
      <c r="F3007" s="1791"/>
      <c r="G3007" s="1759"/>
      <c r="H3007" s="1760"/>
      <c r="I3007" s="1761">
        <f>SUM(I3004:I3006)</f>
        <v>119412.92857578419</v>
      </c>
    </row>
    <row r="3008" spans="1:12" ht="15">
      <c r="B3008" s="1536"/>
      <c r="C3008" s="1537"/>
      <c r="D3008" s="1537"/>
      <c r="E3008" s="1762" t="s">
        <v>5680</v>
      </c>
      <c r="F3008" s="1765">
        <f>$M$5</f>
        <v>0.1</v>
      </c>
      <c r="G3008" s="1746"/>
      <c r="H3008" s="1747"/>
      <c r="I3008" s="1764">
        <f>I3007*F3008</f>
        <v>11941.292857578419</v>
      </c>
    </row>
    <row r="3009" spans="1:12" ht="14.25">
      <c r="B3009" s="1540"/>
      <c r="C3009" s="1541"/>
      <c r="D3009" s="1541"/>
      <c r="E3009" s="1757" t="s">
        <v>5681</v>
      </c>
      <c r="F3009" s="1791"/>
      <c r="G3009" s="1759"/>
      <c r="H3009" s="1760"/>
      <c r="I3009" s="1761">
        <f>SUM(I3007:I3008)</f>
        <v>131354.2214333626</v>
      </c>
    </row>
    <row r="3010" spans="1:12" ht="12.75">
      <c r="B3010" s="1536"/>
      <c r="C3010" s="1537"/>
      <c r="D3010" s="1537"/>
      <c r="E3010" s="1533" t="s">
        <v>5682</v>
      </c>
      <c r="F3010" s="1535">
        <f>$N$5</f>
        <v>0.01</v>
      </c>
      <c r="G3010" s="1538"/>
      <c r="H3010" s="1532"/>
      <c r="I3010" s="1534">
        <f>I3009*F3010</f>
        <v>1313.5422143336261</v>
      </c>
    </row>
    <row r="3011" spans="1:12" ht="14.25">
      <c r="B3011" s="2104"/>
      <c r="C3011" s="1543"/>
      <c r="D3011" s="2105"/>
      <c r="E3011" s="2106" t="s">
        <v>5683</v>
      </c>
      <c r="F3011" s="2115"/>
      <c r="G3011" s="2108"/>
      <c r="H3011" s="2109"/>
      <c r="I3011" s="2110">
        <f>ROUND(I3009+I3010,-2)</f>
        <v>132700</v>
      </c>
    </row>
    <row r="3012" spans="1:12" ht="14.25">
      <c r="A3012" s="657">
        <v>1</v>
      </c>
      <c r="B3012" s="1546">
        <f>IF(A3012&lt;&gt;0,COUNTA(A$7:$A3012),"")</f>
        <v>173</v>
      </c>
      <c r="C3012" s="1547">
        <f>'8.Dgia'!C2679</f>
        <v>1776</v>
      </c>
      <c r="D3012" s="1547" t="str">
        <f>'8.Dgia'!D2679</f>
        <v>AI.64111</v>
      </c>
      <c r="E3012" s="1740" t="str">
        <f>'8.Dgia'!E2679</f>
        <v>Lắp dựng ống ghen dẹp 20x75mm</v>
      </c>
      <c r="F3012" s="1789" t="str">
        <f>'8.Dgia'!G2679</f>
        <v>m</v>
      </c>
      <c r="G3012" s="1742">
        <f>'8.Dgia'!H2679</f>
        <v>0</v>
      </c>
      <c r="H3012" s="1795"/>
      <c r="I3012" s="1795"/>
      <c r="J3012" s="842">
        <f>+I3013</f>
        <v>33291.96688178218</v>
      </c>
      <c r="K3012" s="842">
        <f>+I3020</f>
        <v>52396.68</v>
      </c>
      <c r="L3012" s="842">
        <f>+I3021</f>
        <v>1855.7290631250005</v>
      </c>
    </row>
    <row r="3013" spans="1:12" s="658" customFormat="1" ht="15">
      <c r="B3013" s="1536" t="str">
        <f>'8.Dgia'!B2680</f>
        <v/>
      </c>
      <c r="C3013" s="1537">
        <f>'8.Dgia'!C2680</f>
        <v>0</v>
      </c>
      <c r="D3013" s="1537">
        <f>'8.Dgia'!D2680</f>
        <v>0</v>
      </c>
      <c r="E3013" s="1744" t="str">
        <f>'8.Dgia'!E2680</f>
        <v xml:space="preserve">  A - Vật liệu</v>
      </c>
      <c r="F3013" s="1763">
        <f>'8.Dgia'!G2680</f>
        <v>0</v>
      </c>
      <c r="G3013" s="1746">
        <f>'8.Dgia'!H2680</f>
        <v>0</v>
      </c>
      <c r="H3013" s="1796"/>
      <c r="I3013" s="1797">
        <f>SUM(I3014:I3019)</f>
        <v>33291.96688178218</v>
      </c>
      <c r="J3013" s="850"/>
      <c r="K3013" s="850"/>
      <c r="L3013" s="850"/>
    </row>
    <row r="3014" spans="1:12" ht="15">
      <c r="B3014" s="1536" t="str">
        <f>'8.Dgia'!B2681</f>
        <v/>
      </c>
      <c r="C3014" s="1537">
        <f>'8.Dgia'!C2681</f>
        <v>0</v>
      </c>
      <c r="D3014" s="1537">
        <f>'8.Dgia'!D2681</f>
        <v>0</v>
      </c>
      <c r="E3014" s="1749" t="str">
        <f>'8.Dgia'!E2681</f>
        <v>Ống gen dẹp 20x75</v>
      </c>
      <c r="F3014" s="1763" t="str">
        <f>'8.Dgia'!G2681</f>
        <v>m</v>
      </c>
      <c r="G3014" s="1746">
        <f>'8.Dgia'!H2681</f>
        <v>1.02</v>
      </c>
      <c r="H3014" s="1796">
        <f>GVL!$I$133</f>
        <v>26363.63636363636</v>
      </c>
      <c r="I3014" s="1796">
        <f>H3014*G3014</f>
        <v>26890.909090909088</v>
      </c>
    </row>
    <row r="3015" spans="1:12" ht="15">
      <c r="B3015" s="1536" t="str">
        <f>'8.Dgia'!B2682</f>
        <v/>
      </c>
      <c r="C3015" s="1537">
        <f>'8.Dgia'!C2682</f>
        <v>0</v>
      </c>
      <c r="D3015" s="1537">
        <f>'8.Dgia'!D2682</f>
        <v>0</v>
      </c>
      <c r="E3015" s="1749" t="str">
        <f>'8.Dgia'!E2682</f>
        <v>Ống nối 20x75</v>
      </c>
      <c r="F3015" s="1763" t="str">
        <f>'8.Dgia'!G2682</f>
        <v>m</v>
      </c>
      <c r="G3015" s="1746">
        <f>'8.Dgia'!H2682</f>
        <v>0.06</v>
      </c>
      <c r="H3015" s="1796">
        <f>GVL!$I$138</f>
        <v>43000</v>
      </c>
      <c r="I3015" s="1796">
        <f>H3015*G3015</f>
        <v>2580</v>
      </c>
    </row>
    <row r="3016" spans="1:12" ht="15">
      <c r="B3016" s="1536" t="str">
        <f>'8.Dgia'!B2683</f>
        <v/>
      </c>
      <c r="C3016" s="1537">
        <f>'8.Dgia'!C2683</f>
        <v>0</v>
      </c>
      <c r="D3016" s="1537">
        <f>'8.Dgia'!D2683</f>
        <v>0</v>
      </c>
      <c r="E3016" s="1749" t="str">
        <f>'8.Dgia'!E2683</f>
        <v>Thép tròn D&lt;=10</v>
      </c>
      <c r="F3016" s="1763" t="str">
        <f>'8.Dgia'!G2683</f>
        <v>kg</v>
      </c>
      <c r="G3016" s="1746">
        <f>'8.Dgia'!H2683</f>
        <v>0.19</v>
      </c>
      <c r="H3016" s="1796">
        <f>GVL!$I$179</f>
        <v>16754.075560000001</v>
      </c>
      <c r="I3016" s="1796">
        <f>H3016*G3016</f>
        <v>3183.2743564000002</v>
      </c>
    </row>
    <row r="3017" spans="1:12" ht="15">
      <c r="B3017" s="1536" t="str">
        <f>'8.Dgia'!B2684</f>
        <v/>
      </c>
      <c r="C3017" s="1537">
        <f>'8.Dgia'!C2684</f>
        <v>0</v>
      </c>
      <c r="D3017" s="1537">
        <f>'8.Dgia'!D2684</f>
        <v>0</v>
      </c>
      <c r="E3017" s="1749" t="str">
        <f>'8.Dgia'!E2684</f>
        <v>Dây thép buộc</v>
      </c>
      <c r="F3017" s="1763" t="str">
        <f>'8.Dgia'!G2684</f>
        <v>kg</v>
      </c>
      <c r="G3017" s="1746">
        <f>'8.Dgia'!H2684</f>
        <v>1.2E-2</v>
      </c>
      <c r="H3017" s="1796">
        <f>GVL!$I$89</f>
        <v>18180</v>
      </c>
      <c r="I3017" s="1796">
        <f>H3017*G3017</f>
        <v>218.16</v>
      </c>
    </row>
    <row r="3018" spans="1:12" ht="15">
      <c r="B3018" s="1536" t="str">
        <f>'8.Dgia'!B2685</f>
        <v/>
      </c>
      <c r="C3018" s="1537">
        <f>'8.Dgia'!C2685</f>
        <v>0</v>
      </c>
      <c r="D3018" s="1537">
        <f>'8.Dgia'!D2685</f>
        <v>0</v>
      </c>
      <c r="E3018" s="1749" t="str">
        <f>'8.Dgia'!E2685</f>
        <v xml:space="preserve">Lưỡi cưa cắt </v>
      </c>
      <c r="F3018" s="1763" t="s">
        <v>567</v>
      </c>
      <c r="G3018" s="1746">
        <f>'8.Dgia'!H2685</f>
        <v>0.02</v>
      </c>
      <c r="H3018" s="1796">
        <f>GVL!$I$115</f>
        <v>4500</v>
      </c>
      <c r="I3018" s="1796">
        <f>H3018*G3018</f>
        <v>90</v>
      </c>
    </row>
    <row r="3019" spans="1:12" ht="15">
      <c r="B3019" s="1536" t="str">
        <f>'8.Dgia'!B2686</f>
        <v/>
      </c>
      <c r="C3019" s="1537">
        <f>'8.Dgia'!C2686</f>
        <v>0</v>
      </c>
      <c r="D3019" s="1537">
        <f>'8.Dgia'!D2686</f>
        <v>0</v>
      </c>
      <c r="E3019" s="1749" t="str">
        <f>'8.Dgia'!E2686</f>
        <v>Vật liệu khác</v>
      </c>
      <c r="F3019" s="1763" t="str">
        <f>'8.Dgia'!G2686</f>
        <v>%</v>
      </c>
      <c r="G3019" s="1954">
        <f>'8.Dgia'!H2686</f>
        <v>1</v>
      </c>
      <c r="H3019" s="1796">
        <f>SUM(I3014:I3018)</f>
        <v>32962.343447309089</v>
      </c>
      <c r="I3019" s="1796">
        <f>H3019*G3019%</f>
        <v>329.62343447309092</v>
      </c>
    </row>
    <row r="3020" spans="1:12" s="658" customFormat="1" ht="15">
      <c r="B3020" s="1536" t="str">
        <f>'8.Dgia'!B2687</f>
        <v/>
      </c>
      <c r="C3020" s="1537">
        <f>'8.Dgia'!C2687</f>
        <v>0</v>
      </c>
      <c r="D3020" s="1537">
        <f>'8.Dgia'!D2687</f>
        <v>0</v>
      </c>
      <c r="E3020" s="1744" t="str">
        <f>'8.Dgia'!E2687</f>
        <v xml:space="preserve">  B - Nhân công 4.5/7</v>
      </c>
      <c r="F3020" s="1745" t="s">
        <v>552</v>
      </c>
      <c r="G3020" s="1746">
        <f>'8.Dgia'!H2687</f>
        <v>0.19</v>
      </c>
      <c r="H3020" s="1796">
        <f>'16.NC'!$H$20</f>
        <v>275772</v>
      </c>
      <c r="I3020" s="1798">
        <f>H3020*G3020</f>
        <v>52396.68</v>
      </c>
      <c r="J3020" s="850"/>
      <c r="K3020" s="850"/>
      <c r="L3020" s="850"/>
    </row>
    <row r="3021" spans="1:12" s="658" customFormat="1" ht="15">
      <c r="B3021" s="1536" t="str">
        <f>'8.Dgia'!B2688</f>
        <v/>
      </c>
      <c r="C3021" s="1537">
        <f>'8.Dgia'!C2688</f>
        <v>0</v>
      </c>
      <c r="D3021" s="1537">
        <f>'8.Dgia'!D2688</f>
        <v>0</v>
      </c>
      <c r="E3021" s="1744" t="str">
        <f>'8.Dgia'!E2688</f>
        <v xml:space="preserve">  C - Máy thi công</v>
      </c>
      <c r="F3021" s="1763">
        <f>'8.Dgia'!G2688</f>
        <v>0</v>
      </c>
      <c r="G3021" s="1746">
        <f>'8.Dgia'!H2688</f>
        <v>0</v>
      </c>
      <c r="H3021" s="1796"/>
      <c r="I3021" s="1799">
        <f>SUM(I3022:I3023)</f>
        <v>1855.7290631250005</v>
      </c>
      <c r="J3021" s="850"/>
      <c r="K3021" s="850"/>
      <c r="L3021" s="850"/>
    </row>
    <row r="3022" spans="1:12" ht="15">
      <c r="B3022" s="1536" t="str">
        <f>'8.Dgia'!B2689</f>
        <v/>
      </c>
      <c r="C3022" s="1537">
        <f>'8.Dgia'!C2689</f>
        <v>0</v>
      </c>
      <c r="D3022" s="1537">
        <f>'8.Dgia'!D2689</f>
        <v>0</v>
      </c>
      <c r="E3022" s="1749" t="str">
        <f>'8.Dgia'!E2689</f>
        <v>Máy cưa kim loại 1.7kW</v>
      </c>
      <c r="F3022" s="1745" t="s">
        <v>5493</v>
      </c>
      <c r="G3022" s="1746">
        <f>'8.Dgia'!H2689</f>
        <v>2.5000000000000001E-2</v>
      </c>
      <c r="H3022" s="1796">
        <f>'9.may'!$P$559</f>
        <v>70694.440500000012</v>
      </c>
      <c r="I3022" s="1796">
        <f>H3022*G3022</f>
        <v>1767.3610125000005</v>
      </c>
    </row>
    <row r="3023" spans="1:12" ht="15">
      <c r="B3023" s="1536" t="str">
        <f>'8.Dgia'!B2690</f>
        <v/>
      </c>
      <c r="C3023" s="1537">
        <f>'8.Dgia'!C2690</f>
        <v>0</v>
      </c>
      <c r="D3023" s="1537">
        <f>'8.Dgia'!D2690</f>
        <v>0</v>
      </c>
      <c r="E3023" s="1749" t="str">
        <f>'8.Dgia'!E2690</f>
        <v>Máy khác</v>
      </c>
      <c r="F3023" s="1763" t="str">
        <f>'8.Dgia'!G2690</f>
        <v>%</v>
      </c>
      <c r="G3023" s="1954">
        <f>'8.Dgia'!H2690</f>
        <v>5</v>
      </c>
      <c r="H3023" s="1796">
        <f>I3022</f>
        <v>1767.3610125000005</v>
      </c>
      <c r="I3023" s="1796">
        <f>H3023*G3023%</f>
        <v>88.368050625000024</v>
      </c>
    </row>
    <row r="3024" spans="1:12" s="658" customFormat="1" ht="15">
      <c r="B3024" s="1675"/>
      <c r="C3024" s="1676"/>
      <c r="D3024" s="1676"/>
      <c r="E3024" s="1800" t="s">
        <v>5675</v>
      </c>
      <c r="F3024" s="1763">
        <f>$J$5</f>
        <v>0.02</v>
      </c>
      <c r="G3024" s="1754"/>
      <c r="H3024" s="1799"/>
      <c r="I3024" s="1799">
        <f>( I3013+I3020+I3021 )*F3024</f>
        <v>1750.887518898144</v>
      </c>
      <c r="J3024" s="850"/>
      <c r="K3024" s="850"/>
      <c r="L3024" s="850"/>
    </row>
    <row r="3025" spans="1:12" ht="15">
      <c r="B3025" s="1540"/>
      <c r="C3025" s="1541"/>
      <c r="D3025" s="1541"/>
      <c r="E3025" s="1801" t="s">
        <v>5676</v>
      </c>
      <c r="F3025" s="1763"/>
      <c r="G3025" s="1759"/>
      <c r="H3025" s="1802"/>
      <c r="I3025" s="1802">
        <f>I3024+I3024/F3024</f>
        <v>89295.263463805342</v>
      </c>
    </row>
    <row r="3026" spans="1:12" ht="15">
      <c r="B3026" s="1536"/>
      <c r="C3026" s="1537"/>
      <c r="D3026" s="1537"/>
      <c r="E3026" s="1803" t="s">
        <v>5677</v>
      </c>
      <c r="F3026" s="1763">
        <f>$K$5</f>
        <v>5.5E-2</v>
      </c>
      <c r="G3026" s="1746"/>
      <c r="H3026" s="1796"/>
      <c r="I3026" s="1796">
        <f>I3025*F3026</f>
        <v>4911.2394905092942</v>
      </c>
    </row>
    <row r="3027" spans="1:12" ht="15">
      <c r="B3027" s="1536"/>
      <c r="C3027" s="1537"/>
      <c r="D3027" s="1537"/>
      <c r="E3027" s="1803" t="s">
        <v>5678</v>
      </c>
      <c r="F3027" s="1763">
        <f>$L$5</f>
        <v>0.06</v>
      </c>
      <c r="G3027" s="1746"/>
      <c r="H3027" s="1796"/>
      <c r="I3027" s="1796">
        <f>SUM(I3025:I3026)*F3027</f>
        <v>5652.3901772588779</v>
      </c>
    </row>
    <row r="3028" spans="1:12" ht="14.25">
      <c r="B3028" s="1540"/>
      <c r="C3028" s="1541"/>
      <c r="D3028" s="1541"/>
      <c r="E3028" s="1801" t="s">
        <v>5679</v>
      </c>
      <c r="F3028" s="1791"/>
      <c r="G3028" s="1759"/>
      <c r="H3028" s="1802"/>
      <c r="I3028" s="1802">
        <f>SUM(I3025:I3027)</f>
        <v>99858.89313157351</v>
      </c>
    </row>
    <row r="3029" spans="1:12" ht="15">
      <c r="B3029" s="1536"/>
      <c r="C3029" s="1537"/>
      <c r="D3029" s="1537"/>
      <c r="E3029" s="1803" t="s">
        <v>5680</v>
      </c>
      <c r="F3029" s="1765">
        <f>$M$5</f>
        <v>0.1</v>
      </c>
      <c r="G3029" s="1746"/>
      <c r="H3029" s="1796"/>
      <c r="I3029" s="1796">
        <f>I3028*F3029</f>
        <v>9985.8893131573514</v>
      </c>
    </row>
    <row r="3030" spans="1:12" ht="14.25">
      <c r="B3030" s="1540"/>
      <c r="C3030" s="1541"/>
      <c r="D3030" s="1541"/>
      <c r="E3030" s="1801" t="s">
        <v>5681</v>
      </c>
      <c r="F3030" s="1791"/>
      <c r="G3030" s="1759"/>
      <c r="H3030" s="1802"/>
      <c r="I3030" s="1802">
        <f>SUM(I3028:I3029)</f>
        <v>109844.78244473087</v>
      </c>
    </row>
    <row r="3031" spans="1:12" ht="12.75">
      <c r="B3031" s="1536"/>
      <c r="C3031" s="1537"/>
      <c r="D3031" s="1537"/>
      <c r="E3031" s="1464" t="s">
        <v>5682</v>
      </c>
      <c r="F3031" s="1535">
        <f>$N$5</f>
        <v>0.01</v>
      </c>
      <c r="G3031" s="1538"/>
      <c r="H3031" s="1539"/>
      <c r="I3031" s="1539">
        <f>I3030*F3031</f>
        <v>1098.4478244473087</v>
      </c>
    </row>
    <row r="3032" spans="1:12" ht="14.25">
      <c r="B3032" s="2116"/>
      <c r="C3032" s="1544"/>
      <c r="D3032" s="2116"/>
      <c r="E3032" s="2117" t="s">
        <v>5683</v>
      </c>
      <c r="F3032" s="2115"/>
      <c r="G3032" s="2117"/>
      <c r="H3032" s="2118"/>
      <c r="I3032" s="2110">
        <f>ROUND(I3030+I3031,-2)</f>
        <v>110900</v>
      </c>
    </row>
    <row r="3033" spans="1:12" ht="14.25">
      <c r="A3033" s="657">
        <v>1</v>
      </c>
      <c r="B3033" s="1546">
        <f>IF(A3033&lt;&gt;0,COUNTA(A$7:$A3033),"")</f>
        <v>174</v>
      </c>
      <c r="C3033" s="1547">
        <f>'8.Dgia'!C2691</f>
        <v>0</v>
      </c>
      <c r="D3033" s="1547" t="str">
        <f>'8.Dgia'!D2691</f>
        <v>Tạm tính</v>
      </c>
      <c r="E3033" s="1740" t="str">
        <f>'8.Dgia'!E2691</f>
        <v>Bu lông M24x290</v>
      </c>
      <c r="F3033" s="1789" t="s">
        <v>307</v>
      </c>
      <c r="G3033" s="1742">
        <f>'8.Dgia'!H2691</f>
        <v>0</v>
      </c>
      <c r="H3033" s="1795"/>
      <c r="I3033" s="1795"/>
      <c r="J3033" s="842">
        <f>+I3034</f>
        <v>10000</v>
      </c>
    </row>
    <row r="3034" spans="1:12" s="658" customFormat="1" ht="15">
      <c r="B3034" s="1536" t="str">
        <f>'8.Dgia'!B2692</f>
        <v/>
      </c>
      <c r="C3034" s="1537">
        <f>'8.Dgia'!C2692</f>
        <v>0</v>
      </c>
      <c r="D3034" s="1537">
        <f>'8.Dgia'!D2692</f>
        <v>0</v>
      </c>
      <c r="E3034" s="1744" t="str">
        <f>'8.Dgia'!E2692</f>
        <v xml:space="preserve">  A - Vật liệu</v>
      </c>
      <c r="F3034" s="1763">
        <f>'8.Dgia'!G2692</f>
        <v>0</v>
      </c>
      <c r="G3034" s="1746">
        <f>'8.Dgia'!H2692</f>
        <v>0</v>
      </c>
      <c r="H3034" s="1796"/>
      <c r="I3034" s="1797">
        <f>+I3035</f>
        <v>10000</v>
      </c>
      <c r="J3034" s="850"/>
      <c r="K3034" s="850"/>
      <c r="L3034" s="850"/>
    </row>
    <row r="3035" spans="1:12" ht="15">
      <c r="B3035" s="1536" t="str">
        <f>'8.Dgia'!B2693</f>
        <v/>
      </c>
      <c r="C3035" s="1537">
        <f>'8.Dgia'!C2693</f>
        <v>0</v>
      </c>
      <c r="D3035" s="1537">
        <f>'8.Dgia'!D2693</f>
        <v>0</v>
      </c>
      <c r="E3035" s="1749" t="str">
        <f>'8.Dgia'!E2693</f>
        <v>Bu lông M24x290</v>
      </c>
      <c r="F3035" s="1763" t="s">
        <v>307</v>
      </c>
      <c r="G3035" s="1746">
        <f>'8.Dgia'!H2693</f>
        <v>1</v>
      </c>
      <c r="H3035" s="1796">
        <f>GVL!$I$29</f>
        <v>10000</v>
      </c>
      <c r="I3035" s="1796">
        <f>H3035*G3035</f>
        <v>10000</v>
      </c>
    </row>
    <row r="3036" spans="1:12" s="658" customFormat="1" ht="15">
      <c r="B3036" s="1675"/>
      <c r="C3036" s="1676"/>
      <c r="D3036" s="1676"/>
      <c r="E3036" s="1800" t="s">
        <v>5675</v>
      </c>
      <c r="F3036" s="1763">
        <f>$J$5</f>
        <v>0.02</v>
      </c>
      <c r="G3036" s="1754"/>
      <c r="H3036" s="1799"/>
      <c r="I3036" s="1799">
        <f>( I3034 )*F3036</f>
        <v>200</v>
      </c>
      <c r="J3036" s="850"/>
      <c r="K3036" s="850"/>
      <c r="L3036" s="850"/>
    </row>
    <row r="3037" spans="1:12" ht="15">
      <c r="B3037" s="1540"/>
      <c r="C3037" s="1541"/>
      <c r="D3037" s="1541"/>
      <c r="E3037" s="1801" t="s">
        <v>5676</v>
      </c>
      <c r="F3037" s="1763"/>
      <c r="G3037" s="1759"/>
      <c r="H3037" s="1802"/>
      <c r="I3037" s="1802">
        <f>I3036+I3036/F3036</f>
        <v>10200</v>
      </c>
    </row>
    <row r="3038" spans="1:12" ht="15">
      <c r="B3038" s="1536"/>
      <c r="C3038" s="1537"/>
      <c r="D3038" s="1537"/>
      <c r="E3038" s="1803" t="s">
        <v>5677</v>
      </c>
      <c r="F3038" s="1763">
        <f>$K$5</f>
        <v>5.5E-2</v>
      </c>
      <c r="G3038" s="1746"/>
      <c r="H3038" s="1796"/>
      <c r="I3038" s="1796">
        <f>I3037*F3038</f>
        <v>561</v>
      </c>
    </row>
    <row r="3039" spans="1:12" ht="15">
      <c r="B3039" s="1536"/>
      <c r="C3039" s="1537"/>
      <c r="D3039" s="1537"/>
      <c r="E3039" s="1803" t="s">
        <v>5678</v>
      </c>
      <c r="F3039" s="1763">
        <f>$L$5</f>
        <v>0.06</v>
      </c>
      <c r="G3039" s="1746"/>
      <c r="H3039" s="1796"/>
      <c r="I3039" s="1796">
        <f>SUM(I3037:I3038)*F3039</f>
        <v>645.66</v>
      </c>
    </row>
    <row r="3040" spans="1:12" ht="14.25">
      <c r="B3040" s="1540"/>
      <c r="C3040" s="1541"/>
      <c r="D3040" s="1541"/>
      <c r="E3040" s="1801" t="s">
        <v>5679</v>
      </c>
      <c r="F3040" s="1791"/>
      <c r="G3040" s="1759"/>
      <c r="H3040" s="1802"/>
      <c r="I3040" s="1802">
        <f>SUM(I3037:I3039)</f>
        <v>11406.66</v>
      </c>
    </row>
    <row r="3041" spans="1:12" ht="15">
      <c r="B3041" s="1536"/>
      <c r="C3041" s="1537"/>
      <c r="D3041" s="1537"/>
      <c r="E3041" s="1803" t="s">
        <v>5680</v>
      </c>
      <c r="F3041" s="1765">
        <f>$M$5</f>
        <v>0.1</v>
      </c>
      <c r="G3041" s="1746"/>
      <c r="H3041" s="1796"/>
      <c r="I3041" s="1796">
        <f>I3040*F3041</f>
        <v>1140.6659999999999</v>
      </c>
    </row>
    <row r="3042" spans="1:12" ht="14.25">
      <c r="B3042" s="1540"/>
      <c r="C3042" s="1541"/>
      <c r="D3042" s="1541"/>
      <c r="E3042" s="1801" t="s">
        <v>5681</v>
      </c>
      <c r="F3042" s="1791"/>
      <c r="G3042" s="1759"/>
      <c r="H3042" s="1802"/>
      <c r="I3042" s="1802">
        <f>SUM(I3040:I3041)</f>
        <v>12547.325999999999</v>
      </c>
    </row>
    <row r="3043" spans="1:12" ht="12.75">
      <c r="B3043" s="1536"/>
      <c r="C3043" s="1537"/>
      <c r="D3043" s="1537"/>
      <c r="E3043" s="1464" t="s">
        <v>5682</v>
      </c>
      <c r="F3043" s="1535">
        <f>$N$5</f>
        <v>0.01</v>
      </c>
      <c r="G3043" s="1538"/>
      <c r="H3043" s="1539"/>
      <c r="I3043" s="1539">
        <f>I3042*F3043</f>
        <v>125.47326</v>
      </c>
    </row>
    <row r="3044" spans="1:12" ht="14.25">
      <c r="B3044" s="2116"/>
      <c r="C3044" s="1544"/>
      <c r="D3044" s="2116"/>
      <c r="E3044" s="2117" t="s">
        <v>5683</v>
      </c>
      <c r="F3044" s="2115"/>
      <c r="G3044" s="2117"/>
      <c r="H3044" s="2118"/>
      <c r="I3044" s="2110">
        <f>ROUND(I3042+I3043,-2)</f>
        <v>12700</v>
      </c>
    </row>
    <row r="3045" spans="1:12" ht="14.25">
      <c r="A3045" s="657">
        <v>1</v>
      </c>
      <c r="B3045" s="1546">
        <f>IF(A3045&lt;&gt;0,COUNTA(A$7:$A3045),"")</f>
        <v>175</v>
      </c>
      <c r="C3045" s="1547">
        <f>'8.Dgia'!C2694</f>
        <v>0</v>
      </c>
      <c r="D3045" s="1547" t="str">
        <f>'8.Dgia'!D2694</f>
        <v>Tạm tính</v>
      </c>
      <c r="E3045" s="1740" t="str">
        <f>'8.Dgia'!E2694</f>
        <v>Bu lông M8x50</v>
      </c>
      <c r="F3045" s="1789" t="s">
        <v>307</v>
      </c>
      <c r="G3045" s="1742">
        <f>'8.Dgia'!H2694</f>
        <v>0</v>
      </c>
      <c r="H3045" s="1795"/>
      <c r="I3045" s="1795"/>
      <c r="J3045" s="842">
        <f>+I3046</f>
        <v>1200</v>
      </c>
    </row>
    <row r="3046" spans="1:12" s="658" customFormat="1" ht="15">
      <c r="B3046" s="1536" t="str">
        <f>'8.Dgia'!B2695</f>
        <v/>
      </c>
      <c r="C3046" s="1537">
        <f>'8.Dgia'!C2695</f>
        <v>0</v>
      </c>
      <c r="D3046" s="1537">
        <f>'8.Dgia'!D2695</f>
        <v>0</v>
      </c>
      <c r="E3046" s="1744" t="str">
        <f>'8.Dgia'!E2695</f>
        <v xml:space="preserve">  A - Vật liệu</v>
      </c>
      <c r="F3046" s="1763">
        <f>'8.Dgia'!G2695</f>
        <v>0</v>
      </c>
      <c r="G3046" s="1746">
        <f>'8.Dgia'!H2695</f>
        <v>0</v>
      </c>
      <c r="H3046" s="1796"/>
      <c r="I3046" s="1797">
        <f>+I3047</f>
        <v>1200</v>
      </c>
      <c r="J3046" s="850"/>
      <c r="K3046" s="850"/>
      <c r="L3046" s="850"/>
    </row>
    <row r="3047" spans="1:12" ht="15">
      <c r="B3047" s="1536" t="str">
        <f>'8.Dgia'!B2696</f>
        <v/>
      </c>
      <c r="C3047" s="1537">
        <f>'8.Dgia'!C2696</f>
        <v>0</v>
      </c>
      <c r="D3047" s="1537">
        <f>'8.Dgia'!D2696</f>
        <v>0</v>
      </c>
      <c r="E3047" s="1749" t="str">
        <f>'8.Dgia'!E2696</f>
        <v>Bu lông M8x50</v>
      </c>
      <c r="F3047" s="1763" t="s">
        <v>307</v>
      </c>
      <c r="G3047" s="1746">
        <f>'8.Dgia'!H2696</f>
        <v>1</v>
      </c>
      <c r="H3047" s="1796">
        <f>GVL!$I$30</f>
        <v>1200</v>
      </c>
      <c r="I3047" s="1796">
        <f>H3047*G3047</f>
        <v>1200</v>
      </c>
    </row>
    <row r="3048" spans="1:12" s="658" customFormat="1" ht="15">
      <c r="B3048" s="1675"/>
      <c r="C3048" s="1676"/>
      <c r="D3048" s="1676"/>
      <c r="E3048" s="1800" t="s">
        <v>5675</v>
      </c>
      <c r="F3048" s="1763">
        <f>$J$5</f>
        <v>0.02</v>
      </c>
      <c r="G3048" s="1754"/>
      <c r="H3048" s="1799"/>
      <c r="I3048" s="1799">
        <f>( I3046 )*F3048</f>
        <v>24</v>
      </c>
      <c r="J3048" s="850"/>
      <c r="K3048" s="850"/>
      <c r="L3048" s="850"/>
    </row>
    <row r="3049" spans="1:12" ht="15">
      <c r="B3049" s="1540"/>
      <c r="C3049" s="1541"/>
      <c r="D3049" s="1541"/>
      <c r="E3049" s="1801" t="s">
        <v>5676</v>
      </c>
      <c r="F3049" s="1763"/>
      <c r="G3049" s="1759"/>
      <c r="H3049" s="1802"/>
      <c r="I3049" s="1802">
        <f>I3048+I3048/F3048</f>
        <v>1224</v>
      </c>
    </row>
    <row r="3050" spans="1:12" ht="15">
      <c r="B3050" s="1536"/>
      <c r="C3050" s="1537"/>
      <c r="D3050" s="1537"/>
      <c r="E3050" s="1803" t="s">
        <v>5677</v>
      </c>
      <c r="F3050" s="1763">
        <f>$K$5</f>
        <v>5.5E-2</v>
      </c>
      <c r="G3050" s="1746"/>
      <c r="H3050" s="1796"/>
      <c r="I3050" s="1796">
        <f>I3049*F3050</f>
        <v>67.320000000000007</v>
      </c>
    </row>
    <row r="3051" spans="1:12" ht="15">
      <c r="B3051" s="1536"/>
      <c r="C3051" s="1537"/>
      <c r="D3051" s="1537"/>
      <c r="E3051" s="1803" t="s">
        <v>5678</v>
      </c>
      <c r="F3051" s="1763">
        <f>$L$5</f>
        <v>0.06</v>
      </c>
      <c r="G3051" s="1746"/>
      <c r="H3051" s="1796"/>
      <c r="I3051" s="1796">
        <f>SUM(I3049:I3050)*F3051</f>
        <v>77.479199999999992</v>
      </c>
    </row>
    <row r="3052" spans="1:12" ht="14.25">
      <c r="B3052" s="1540"/>
      <c r="C3052" s="1541"/>
      <c r="D3052" s="1541"/>
      <c r="E3052" s="1801" t="s">
        <v>5679</v>
      </c>
      <c r="F3052" s="1791"/>
      <c r="G3052" s="1759"/>
      <c r="H3052" s="1802"/>
      <c r="I3052" s="1802">
        <f>SUM(I3049:I3051)</f>
        <v>1368.7991999999999</v>
      </c>
    </row>
    <row r="3053" spans="1:12" ht="15">
      <c r="B3053" s="1536"/>
      <c r="C3053" s="1537"/>
      <c r="D3053" s="1537"/>
      <c r="E3053" s="1803" t="s">
        <v>5680</v>
      </c>
      <c r="F3053" s="1765">
        <f>$M$5</f>
        <v>0.1</v>
      </c>
      <c r="G3053" s="1746"/>
      <c r="H3053" s="1796"/>
      <c r="I3053" s="1796">
        <f>I3052*F3053</f>
        <v>136.87992</v>
      </c>
    </row>
    <row r="3054" spans="1:12" ht="14.25">
      <c r="B3054" s="1540"/>
      <c r="C3054" s="1541"/>
      <c r="D3054" s="1541"/>
      <c r="E3054" s="1801" t="s">
        <v>5681</v>
      </c>
      <c r="F3054" s="1791"/>
      <c r="G3054" s="1759"/>
      <c r="H3054" s="1802"/>
      <c r="I3054" s="1802">
        <f>SUM(I3052:I3053)</f>
        <v>1505.67912</v>
      </c>
    </row>
    <row r="3055" spans="1:12" ht="12.75">
      <c r="B3055" s="1536"/>
      <c r="C3055" s="1537"/>
      <c r="D3055" s="1537"/>
      <c r="E3055" s="1464" t="s">
        <v>5682</v>
      </c>
      <c r="F3055" s="1535">
        <f>$N$5</f>
        <v>0.01</v>
      </c>
      <c r="G3055" s="1538"/>
      <c r="H3055" s="1539"/>
      <c r="I3055" s="1539">
        <f>I3054*F3055</f>
        <v>15.056791200000001</v>
      </c>
    </row>
    <row r="3056" spans="1:12" ht="14.25">
      <c r="B3056" s="2116"/>
      <c r="C3056" s="1544"/>
      <c r="D3056" s="2116"/>
      <c r="E3056" s="2117" t="s">
        <v>5683</v>
      </c>
      <c r="F3056" s="2115"/>
      <c r="G3056" s="2117"/>
      <c r="H3056" s="2118"/>
      <c r="I3056" s="2110">
        <f>ROUND(I3054+I3055,-2)</f>
        <v>1500</v>
      </c>
    </row>
    <row r="3057" spans="1:12" ht="28.5">
      <c r="A3057" s="657">
        <v>1</v>
      </c>
      <c r="B3057" s="1546">
        <f>IF(A3057&lt;&gt;0,COUNTA(A$7:$A3057),"")</f>
        <v>176</v>
      </c>
      <c r="C3057" s="1550">
        <f>'8.Dgia'!C2697</f>
        <v>1776</v>
      </c>
      <c r="D3057" s="1550" t="str">
        <f>'8.Dgia'!D2697</f>
        <v>AI.11912</v>
      </c>
      <c r="E3057" s="1766" t="s">
        <v>5975</v>
      </c>
      <c r="F3057" s="1789" t="s">
        <v>557</v>
      </c>
      <c r="G3057" s="1768">
        <f>'8.Dgia'!H2697</f>
        <v>0</v>
      </c>
      <c r="H3057" s="1823"/>
      <c r="I3057" s="1842"/>
      <c r="J3057" s="842">
        <f>+I3058</f>
        <v>2594586.4631173112</v>
      </c>
      <c r="K3057" s="842">
        <f>+I3065</f>
        <v>5806790.6399999997</v>
      </c>
      <c r="L3057" s="842">
        <f>+I3066</f>
        <v>1271422.0785818181</v>
      </c>
    </row>
    <row r="3058" spans="1:12" ht="15">
      <c r="B3058" s="1551" t="str">
        <f>'8.Dgia'!B2698</f>
        <v/>
      </c>
      <c r="C3058" s="1552">
        <f>'8.Dgia'!C2698</f>
        <v>0</v>
      </c>
      <c r="D3058" s="1552">
        <f>'8.Dgia'!D2698</f>
        <v>0</v>
      </c>
      <c r="E3058" s="1770" t="str">
        <f>'8.Dgia'!E2698</f>
        <v xml:space="preserve">  A - Vật liệu</v>
      </c>
      <c r="F3058" s="1786">
        <f>'8.Dgia'!G2698</f>
        <v>0</v>
      </c>
      <c r="G3058" s="1772">
        <f>'8.Dgia'!H2698</f>
        <v>0</v>
      </c>
      <c r="H3058" s="1824"/>
      <c r="I3058" s="1825">
        <f>SUM(I3059:I3064)</f>
        <v>2594586.4631173112</v>
      </c>
    </row>
    <row r="3059" spans="1:12" ht="15">
      <c r="B3059" s="1551" t="str">
        <f>'8.Dgia'!B2699</f>
        <v/>
      </c>
      <c r="C3059" s="1552">
        <f>'8.Dgia'!C2699</f>
        <v>0</v>
      </c>
      <c r="D3059" s="1552" t="str">
        <f>'8.Dgia'!D2699</f>
        <v>KH</v>
      </c>
      <c r="E3059" s="1775" t="str">
        <f>'8.Dgia'!E2699</f>
        <v>Thép hình</v>
      </c>
      <c r="F3059" s="1786" t="str">
        <f>'8.Dgia'!G2699</f>
        <v xml:space="preserve"> kg </v>
      </c>
      <c r="G3059" s="1772">
        <f>'8.Dgia'!H2699</f>
        <v>76.763500000000008</v>
      </c>
      <c r="H3059" s="1824">
        <f>GVL!$I$170</f>
        <v>16703.248369172808</v>
      </c>
      <c r="I3059" s="1824">
        <f>H3059*G3059</f>
        <v>1282199.8061869971</v>
      </c>
    </row>
    <row r="3060" spans="1:12" ht="15">
      <c r="B3060" s="1551" t="str">
        <f>'8.Dgia'!B2700</f>
        <v/>
      </c>
      <c r="C3060" s="1552">
        <f>'8.Dgia'!C2700</f>
        <v>0</v>
      </c>
      <c r="D3060" s="1552" t="str">
        <f>'8.Dgia'!D2700</f>
        <v>KH</v>
      </c>
      <c r="E3060" s="1775" t="str">
        <f>'8.Dgia'!E2700</f>
        <v>Thép tấm</v>
      </c>
      <c r="F3060" s="1786" t="str">
        <f>'8.Dgia'!G2700</f>
        <v>kg</v>
      </c>
      <c r="G3060" s="1772">
        <f>'8.Dgia'!H2700</f>
        <v>39.836500000000001</v>
      </c>
      <c r="H3060" s="1824">
        <f>GVL!$I$175</f>
        <v>12871.348287272725</v>
      </c>
      <c r="I3060" s="1824">
        <f>H3060*G3060</f>
        <v>512749.46604593995</v>
      </c>
    </row>
    <row r="3061" spans="1:12" ht="15">
      <c r="B3061" s="1551" t="str">
        <f>'8.Dgia'!B2701</f>
        <v/>
      </c>
      <c r="C3061" s="1552">
        <f>'8.Dgia'!C2701</f>
        <v>0</v>
      </c>
      <c r="D3061" s="1552">
        <f>'8.Dgia'!D2701</f>
        <v>0</v>
      </c>
      <c r="E3061" s="1775" t="str">
        <f>'8.Dgia'!E2701</f>
        <v>Que hàn</v>
      </c>
      <c r="F3061" s="1786" t="str">
        <f>'8.Dgia'!G2701</f>
        <v>kg</v>
      </c>
      <c r="G3061" s="1965">
        <f>'8.Dgia'!H2701</f>
        <v>24.15</v>
      </c>
      <c r="H3061" s="1824">
        <f>GVL!$I$153</f>
        <v>19090.909090909088</v>
      </c>
      <c r="I3061" s="1824">
        <f>H3061*G3061</f>
        <v>461045.45454545447</v>
      </c>
    </row>
    <row r="3062" spans="1:12" ht="15">
      <c r="B3062" s="1551" t="str">
        <f>'8.Dgia'!B2702</f>
        <v/>
      </c>
      <c r="C3062" s="1552">
        <f>'8.Dgia'!C2702</f>
        <v>0</v>
      </c>
      <c r="D3062" s="1552">
        <f>'8.Dgia'!D2702</f>
        <v>0</v>
      </c>
      <c r="E3062" s="1775" t="str">
        <f>'8.Dgia'!E2702</f>
        <v>Ô xy</v>
      </c>
      <c r="F3062" s="1786" t="s">
        <v>565</v>
      </c>
      <c r="G3062" s="1965">
        <f>'8.Dgia'!H2702</f>
        <v>2.1</v>
      </c>
      <c r="H3062" s="1824">
        <f>GVL!$I$130</f>
        <v>48000</v>
      </c>
      <c r="I3062" s="1824">
        <f>H3062*G3062</f>
        <v>100800</v>
      </c>
    </row>
    <row r="3063" spans="1:12" ht="15">
      <c r="B3063" s="1551" t="str">
        <f>'8.Dgia'!B2703</f>
        <v/>
      </c>
      <c r="C3063" s="1552">
        <f>'8.Dgia'!C2703</f>
        <v>0</v>
      </c>
      <c r="D3063" s="1552">
        <f>'8.Dgia'!D2703</f>
        <v>0</v>
      </c>
      <c r="E3063" s="1775" t="str">
        <f>'8.Dgia'!E2703</f>
        <v>Đất đèn</v>
      </c>
      <c r="F3063" s="1786" t="str">
        <f>'8.Dgia'!G2703</f>
        <v>kg</v>
      </c>
      <c r="G3063" s="1965">
        <f>'8.Dgia'!H2703</f>
        <v>8.4</v>
      </c>
      <c r="H3063" s="1824">
        <f>GVL!$I$68</f>
        <v>13600</v>
      </c>
      <c r="I3063" s="1824">
        <f>H3063*G3063</f>
        <v>114240</v>
      </c>
    </row>
    <row r="3064" spans="1:12" ht="15">
      <c r="B3064" s="1551" t="str">
        <f>'8.Dgia'!B2704</f>
        <v/>
      </c>
      <c r="C3064" s="1552">
        <f>'8.Dgia'!C2704</f>
        <v>0</v>
      </c>
      <c r="D3064" s="1552">
        <f>'8.Dgia'!D2704</f>
        <v>0</v>
      </c>
      <c r="E3064" s="1775" t="str">
        <f>'8.Dgia'!E2704</f>
        <v>Vật liệu khác</v>
      </c>
      <c r="F3064" s="1786" t="str">
        <f>'8.Dgia'!G2704</f>
        <v>%</v>
      </c>
      <c r="G3064" s="1965">
        <f>'8.Dgia'!H2704</f>
        <v>5</v>
      </c>
      <c r="H3064" s="1824">
        <f>SUM(I3059:I3063)</f>
        <v>2471034.7267783917</v>
      </c>
      <c r="I3064" s="1824">
        <f>H3064*G3064%</f>
        <v>123551.7363389196</v>
      </c>
    </row>
    <row r="3065" spans="1:12" ht="15">
      <c r="B3065" s="1551" t="str">
        <f>'8.Dgia'!B2705</f>
        <v/>
      </c>
      <c r="C3065" s="1552">
        <f>'8.Dgia'!C2705</f>
        <v>0</v>
      </c>
      <c r="D3065" s="1552">
        <f>'8.Dgia'!D2705</f>
        <v>0</v>
      </c>
      <c r="E3065" s="1770" t="str">
        <f>'8.Dgia'!E2705</f>
        <v xml:space="preserve">  B - Nhân công 4.0/7</v>
      </c>
      <c r="F3065" s="1745" t="s">
        <v>552</v>
      </c>
      <c r="G3065" s="1965">
        <f>'8.Dgia'!H2705</f>
        <v>22.61</v>
      </c>
      <c r="H3065" s="1824">
        <f>'16.NC'!$H$18</f>
        <v>256824</v>
      </c>
      <c r="I3065" s="1826">
        <f>H3065*G3065</f>
        <v>5806790.6399999997</v>
      </c>
    </row>
    <row r="3066" spans="1:12" ht="15">
      <c r="B3066" s="1551" t="str">
        <f>'8.Dgia'!B2706</f>
        <v/>
      </c>
      <c r="C3066" s="1552">
        <f>'8.Dgia'!C2706</f>
        <v>0</v>
      </c>
      <c r="D3066" s="1552">
        <f>'8.Dgia'!D2706</f>
        <v>0</v>
      </c>
      <c r="E3066" s="1770" t="str">
        <f>'8.Dgia'!E2706</f>
        <v xml:space="preserve">  C - Máy thi công</v>
      </c>
      <c r="F3066" s="1786">
        <f>'8.Dgia'!G2706</f>
        <v>0</v>
      </c>
      <c r="G3066" s="1772">
        <f>'8.Dgia'!H2706</f>
        <v>0</v>
      </c>
      <c r="H3066" s="1824"/>
      <c r="I3066" s="1827">
        <f>SUM(I3067:I3069)</f>
        <v>1271422.0785818181</v>
      </c>
    </row>
    <row r="3067" spans="1:12" ht="15">
      <c r="B3067" s="1551" t="str">
        <f>'8.Dgia'!B2707</f>
        <v/>
      </c>
      <c r="C3067" s="1552">
        <f>'8.Dgia'!C2707</f>
        <v>0</v>
      </c>
      <c r="D3067" s="1552">
        <f>'8.Dgia'!D2707</f>
        <v>0</v>
      </c>
      <c r="E3067" s="1775" t="str">
        <f>'8.Dgia'!E2707</f>
        <v>Máy hàn 23kw</v>
      </c>
      <c r="F3067" s="1745" t="s">
        <v>5493</v>
      </c>
      <c r="G3067" s="1965">
        <f>'8.Dgia'!H2707</f>
        <v>4.5999999999999996</v>
      </c>
      <c r="H3067" s="1824">
        <f>'9.may'!$P$510</f>
        <v>171649.155</v>
      </c>
      <c r="I3067" s="1824">
        <f>H3067*G3067</f>
        <v>789586.1129999999</v>
      </c>
    </row>
    <row r="3068" spans="1:12" ht="15">
      <c r="B3068" s="1551" t="str">
        <f>'8.Dgia'!B2708</f>
        <v/>
      </c>
      <c r="C3068" s="1552">
        <f>'8.Dgia'!C2708</f>
        <v>0</v>
      </c>
      <c r="D3068" s="1552">
        <f>'8.Dgia'!D2708</f>
        <v>0</v>
      </c>
      <c r="E3068" s="1775" t="str">
        <f>'8.Dgia'!E2708</f>
        <v>Máy cắt tôn</v>
      </c>
      <c r="F3068" s="1745" t="s">
        <v>5493</v>
      </c>
      <c r="G3068" s="1965">
        <f>'8.Dgia'!H2708</f>
        <v>0.4</v>
      </c>
      <c r="H3068" s="1824">
        <f>'9.may'!$P$553</f>
        <v>204698.78999999998</v>
      </c>
      <c r="I3068" s="1824">
        <f>H3068*G3068</f>
        <v>81879.516000000003</v>
      </c>
    </row>
    <row r="3069" spans="1:12" ht="15">
      <c r="B3069" s="1551" t="str">
        <f>'8.Dgia'!B2709</f>
        <v/>
      </c>
      <c r="C3069" s="1552">
        <f>'8.Dgia'!C2709</f>
        <v>0</v>
      </c>
      <c r="D3069" s="1552">
        <f>'8.Dgia'!D2709</f>
        <v>0</v>
      </c>
      <c r="E3069" s="1775" t="str">
        <f>'8.Dgia'!E2709</f>
        <v>Cần cẩu bánh xích 10T</v>
      </c>
      <c r="F3069" s="1745" t="s">
        <v>5493</v>
      </c>
      <c r="G3069" s="1965">
        <f>'8.Dgia'!H2709</f>
        <v>0.27</v>
      </c>
      <c r="H3069" s="1824">
        <f>'9.may'!$P$246</f>
        <v>1481320.1836363636</v>
      </c>
      <c r="I3069" s="1824">
        <f>H3069*G3069</f>
        <v>399956.44958181819</v>
      </c>
    </row>
    <row r="3070" spans="1:12" s="658" customFormat="1" ht="15">
      <c r="B3070" s="1677"/>
      <c r="C3070" s="1678"/>
      <c r="D3070" s="1678"/>
      <c r="E3070" s="1828" t="s">
        <v>5675</v>
      </c>
      <c r="F3070" s="1786">
        <f>$J$5</f>
        <v>0.02</v>
      </c>
      <c r="G3070" s="1780"/>
      <c r="H3070" s="1829"/>
      <c r="I3070" s="1830">
        <f>( I3058+I3065+I3066 )*F3070</f>
        <v>193455.98363398257</v>
      </c>
      <c r="J3070" s="850"/>
      <c r="K3070" s="850"/>
      <c r="L3070" s="850"/>
    </row>
    <row r="3071" spans="1:12" ht="15">
      <c r="B3071" s="1556"/>
      <c r="C3071" s="1557"/>
      <c r="D3071" s="1557"/>
      <c r="E3071" s="1831" t="s">
        <v>5676</v>
      </c>
      <c r="F3071" s="1786"/>
      <c r="G3071" s="1783"/>
      <c r="H3071" s="1832"/>
      <c r="I3071" s="1833">
        <f>I3070+I3070/F3070</f>
        <v>9866255.1653331108</v>
      </c>
    </row>
    <row r="3072" spans="1:12" ht="15">
      <c r="B3072" s="1551"/>
      <c r="C3072" s="1552"/>
      <c r="D3072" s="1552"/>
      <c r="E3072" s="1834" t="s">
        <v>5677</v>
      </c>
      <c r="F3072" s="1786">
        <f>$K$5</f>
        <v>5.5E-2</v>
      </c>
      <c r="G3072" s="1772"/>
      <c r="H3072" s="1824"/>
      <c r="I3072" s="1835">
        <f>I3071*F3072</f>
        <v>542644.03409332107</v>
      </c>
    </row>
    <row r="3073" spans="1:12" ht="15">
      <c r="B3073" s="1551"/>
      <c r="C3073" s="1552"/>
      <c r="D3073" s="1552"/>
      <c r="E3073" s="1834" t="s">
        <v>5678</v>
      </c>
      <c r="F3073" s="1786">
        <f>$L$5</f>
        <v>0.06</v>
      </c>
      <c r="G3073" s="1772"/>
      <c r="H3073" s="1824"/>
      <c r="I3073" s="1835">
        <f>SUM(I3071:I3072)*F3073</f>
        <v>624533.95196558582</v>
      </c>
    </row>
    <row r="3074" spans="1:12" ht="14.25">
      <c r="B3074" s="1556"/>
      <c r="C3074" s="1557"/>
      <c r="D3074" s="1557"/>
      <c r="E3074" s="1831" t="s">
        <v>5679</v>
      </c>
      <c r="F3074" s="1787"/>
      <c r="G3074" s="1783"/>
      <c r="H3074" s="1832"/>
      <c r="I3074" s="1833">
        <f>SUM(I3071:I3073)</f>
        <v>11033433.151392017</v>
      </c>
    </row>
    <row r="3075" spans="1:12" ht="15">
      <c r="B3075" s="1551"/>
      <c r="C3075" s="1552"/>
      <c r="D3075" s="1552"/>
      <c r="E3075" s="1834" t="s">
        <v>5680</v>
      </c>
      <c r="F3075" s="1788">
        <f>$M$5</f>
        <v>0.1</v>
      </c>
      <c r="G3075" s="1772"/>
      <c r="H3075" s="1824"/>
      <c r="I3075" s="1835">
        <f>I3074*F3075</f>
        <v>1103343.3151392017</v>
      </c>
    </row>
    <row r="3076" spans="1:12" ht="14.25">
      <c r="B3076" s="1556"/>
      <c r="C3076" s="1557"/>
      <c r="D3076" s="1557"/>
      <c r="E3076" s="1831" t="s">
        <v>5681</v>
      </c>
      <c r="F3076" s="1787"/>
      <c r="G3076" s="1783"/>
      <c r="H3076" s="1832"/>
      <c r="I3076" s="1833">
        <f>SUM(I3074:I3075)</f>
        <v>12136776.466531219</v>
      </c>
    </row>
    <row r="3077" spans="1:12" ht="12.75">
      <c r="B3077" s="1551"/>
      <c r="C3077" s="1552"/>
      <c r="D3077" s="1552"/>
      <c r="E3077" s="1558" t="s">
        <v>5682</v>
      </c>
      <c r="F3077" s="1560">
        <f>$N$5</f>
        <v>0.01</v>
      </c>
      <c r="G3077" s="1553"/>
      <c r="H3077" s="1554"/>
      <c r="I3077" s="1559">
        <f>I3076*F3077</f>
        <v>121367.76466531219</v>
      </c>
    </row>
    <row r="3078" spans="1:12" ht="14.25">
      <c r="B3078" s="2123"/>
      <c r="C3078" s="1561"/>
      <c r="D3078" s="2124"/>
      <c r="E3078" s="2112" t="s">
        <v>5683</v>
      </c>
      <c r="F3078" s="2113"/>
      <c r="G3078" s="2125"/>
      <c r="H3078" s="2126"/>
      <c r="I3078" s="2110">
        <f>ROUND(I3076+I3077,-2)</f>
        <v>12258100</v>
      </c>
    </row>
    <row r="3079" spans="1:12" ht="28.5">
      <c r="A3079" s="657">
        <v>1</v>
      </c>
      <c r="B3079" s="1546">
        <f>IF(A3079&lt;&gt;0,COUNTA(A$7:$A3079),"")</f>
        <v>177</v>
      </c>
      <c r="C3079" s="1550">
        <f>'8.Dgia'!C2710</f>
        <v>1776</v>
      </c>
      <c r="D3079" s="1550" t="str">
        <f>'8.Dgia'!D2710</f>
        <v>AI.11912</v>
      </c>
      <c r="E3079" s="1766" t="s">
        <v>5974</v>
      </c>
      <c r="F3079" s="1789" t="s">
        <v>557</v>
      </c>
      <c r="G3079" s="1768">
        <f>'8.Dgia'!H2710</f>
        <v>0</v>
      </c>
      <c r="H3079" s="1823"/>
      <c r="I3079" s="1842"/>
      <c r="J3079" s="842">
        <f>+I3080</f>
        <v>2423250.3962223488</v>
      </c>
      <c r="K3079" s="842">
        <f>+I3087</f>
        <v>5804222.4000000004</v>
      </c>
      <c r="L3079" s="842">
        <f>+I3088</f>
        <v>1271422.0785818181</v>
      </c>
    </row>
    <row r="3080" spans="1:12" ht="15">
      <c r="B3080" s="1551" t="str">
        <f>'8.Dgia'!B2711</f>
        <v/>
      </c>
      <c r="C3080" s="1552">
        <f>'8.Dgia'!C2711</f>
        <v>0</v>
      </c>
      <c r="D3080" s="1552">
        <f>'8.Dgia'!D2711</f>
        <v>0</v>
      </c>
      <c r="E3080" s="1770" t="str">
        <f>'8.Dgia'!E2711</f>
        <v xml:space="preserve">  A - Vật liệu</v>
      </c>
      <c r="F3080" s="1786">
        <f>'8.Dgia'!G2711</f>
        <v>0</v>
      </c>
      <c r="G3080" s="1772">
        <f>'8.Dgia'!H2711</f>
        <v>0</v>
      </c>
      <c r="H3080" s="1824"/>
      <c r="I3080" s="1825">
        <f>SUM(I3081:I3086)</f>
        <v>2423250.3962223488</v>
      </c>
    </row>
    <row r="3081" spans="1:12" ht="15">
      <c r="B3081" s="1551" t="str">
        <f>'8.Dgia'!B2712</f>
        <v/>
      </c>
      <c r="C3081" s="1552">
        <f>'8.Dgia'!C2712</f>
        <v>0</v>
      </c>
      <c r="D3081" s="1552" t="str">
        <f>'8.Dgia'!D2712</f>
        <v>KH</v>
      </c>
      <c r="E3081" s="1775" t="str">
        <f>'8.Dgia'!E2712</f>
        <v>Thép hình</v>
      </c>
      <c r="F3081" s="1786" t="str">
        <f>'8.Dgia'!G2712</f>
        <v xml:space="preserve"> kg </v>
      </c>
      <c r="G3081" s="1772">
        <f>'8.Dgia'!H2712</f>
        <v>69.785000000000011</v>
      </c>
      <c r="H3081" s="1824">
        <f>GVL!$I$170</f>
        <v>16703.248369172808</v>
      </c>
      <c r="I3081" s="1824">
        <f>H3081*G3081</f>
        <v>1165636.1874427246</v>
      </c>
    </row>
    <row r="3082" spans="1:12" ht="15">
      <c r="B3082" s="1551" t="str">
        <f>'8.Dgia'!B2713</f>
        <v/>
      </c>
      <c r="C3082" s="1552">
        <f>'8.Dgia'!C2713</f>
        <v>0</v>
      </c>
      <c r="D3082" s="1552" t="str">
        <f>'8.Dgia'!D2713</f>
        <v>KH</v>
      </c>
      <c r="E3082" s="1775" t="str">
        <f>'8.Dgia'!E2713</f>
        <v>Thép tấm</v>
      </c>
      <c r="F3082" s="1786" t="str">
        <f>'8.Dgia'!G2713</f>
        <v>kg</v>
      </c>
      <c r="G3082" s="1772">
        <f>'8.Dgia'!H2713</f>
        <v>36.214999999999996</v>
      </c>
      <c r="H3082" s="1824">
        <f>GVL!$I$175</f>
        <v>12871.348287272725</v>
      </c>
      <c r="I3082" s="1824">
        <f>H3082*G3082</f>
        <v>466135.87822358171</v>
      </c>
    </row>
    <row r="3083" spans="1:12" ht="15">
      <c r="B3083" s="1551" t="str">
        <f>'8.Dgia'!B2714</f>
        <v/>
      </c>
      <c r="C3083" s="1552">
        <f>'8.Dgia'!C2714</f>
        <v>0</v>
      </c>
      <c r="D3083" s="1552">
        <f>'8.Dgia'!D2714</f>
        <v>0</v>
      </c>
      <c r="E3083" s="1775" t="str">
        <f>'8.Dgia'!E2714</f>
        <v>Que hàn</v>
      </c>
      <c r="F3083" s="1786" t="str">
        <f>'8.Dgia'!G2714</f>
        <v>kg</v>
      </c>
      <c r="G3083" s="1964">
        <f>'8.Dgia'!H2714</f>
        <v>24.15</v>
      </c>
      <c r="H3083" s="1824">
        <f>GVL!$I$153</f>
        <v>19090.909090909088</v>
      </c>
      <c r="I3083" s="1824">
        <f>H3083*G3083</f>
        <v>461045.45454545447</v>
      </c>
    </row>
    <row r="3084" spans="1:12" ht="15">
      <c r="B3084" s="1551" t="str">
        <f>'8.Dgia'!B2715</f>
        <v/>
      </c>
      <c r="C3084" s="1552">
        <f>'8.Dgia'!C2715</f>
        <v>0</v>
      </c>
      <c r="D3084" s="1552">
        <f>'8.Dgia'!D2715</f>
        <v>0</v>
      </c>
      <c r="E3084" s="1775" t="str">
        <f>'8.Dgia'!E2715</f>
        <v>Ô xy</v>
      </c>
      <c r="F3084" s="1786" t="s">
        <v>565</v>
      </c>
      <c r="G3084" s="1965">
        <f>'8.Dgia'!H2715</f>
        <v>2.1</v>
      </c>
      <c r="H3084" s="1824">
        <f>GVL!$I$130</f>
        <v>48000</v>
      </c>
      <c r="I3084" s="1824">
        <f>H3084*G3084</f>
        <v>100800</v>
      </c>
    </row>
    <row r="3085" spans="1:12" ht="15">
      <c r="B3085" s="1551" t="str">
        <f>'8.Dgia'!B2716</f>
        <v/>
      </c>
      <c r="C3085" s="1552">
        <f>'8.Dgia'!C2716</f>
        <v>0</v>
      </c>
      <c r="D3085" s="1552">
        <f>'8.Dgia'!D2716</f>
        <v>0</v>
      </c>
      <c r="E3085" s="1775" t="str">
        <f>'8.Dgia'!E2716</f>
        <v>Đất đèn</v>
      </c>
      <c r="F3085" s="1786" t="str">
        <f>'8.Dgia'!G2716</f>
        <v>kg</v>
      </c>
      <c r="G3085" s="1965">
        <f>'8.Dgia'!H2716</f>
        <v>8.4</v>
      </c>
      <c r="H3085" s="1824">
        <f>GVL!$I$68</f>
        <v>13600</v>
      </c>
      <c r="I3085" s="1824">
        <f>H3085*G3085</f>
        <v>114240</v>
      </c>
    </row>
    <row r="3086" spans="1:12" ht="15">
      <c r="B3086" s="1551" t="str">
        <f>'8.Dgia'!B2717</f>
        <v/>
      </c>
      <c r="C3086" s="1552">
        <f>'8.Dgia'!C2717</f>
        <v>0</v>
      </c>
      <c r="D3086" s="1552">
        <f>'8.Dgia'!D2717</f>
        <v>0</v>
      </c>
      <c r="E3086" s="1775" t="str">
        <f>'8.Dgia'!E2717</f>
        <v>Vật liệu khác</v>
      </c>
      <c r="F3086" s="1786" t="str">
        <f>'8.Dgia'!G2717</f>
        <v>%</v>
      </c>
      <c r="G3086" s="1965">
        <f>'8.Dgia'!H2717</f>
        <v>5</v>
      </c>
      <c r="H3086" s="1824">
        <f>SUM(I3081:I3085)</f>
        <v>2307857.5202117609</v>
      </c>
      <c r="I3086" s="1824">
        <f>H3086*G3086%</f>
        <v>115392.87601058805</v>
      </c>
    </row>
    <row r="3087" spans="1:12" ht="15">
      <c r="B3087" s="1551" t="str">
        <f>'8.Dgia'!B2718</f>
        <v/>
      </c>
      <c r="C3087" s="1552">
        <f>'8.Dgia'!C2718</f>
        <v>0</v>
      </c>
      <c r="D3087" s="1552">
        <f>'8.Dgia'!D2718</f>
        <v>0</v>
      </c>
      <c r="E3087" s="1770" t="str">
        <f>'8.Dgia'!E2718</f>
        <v xml:space="preserve">  B - Nhân công 4.0/7</v>
      </c>
      <c r="F3087" s="1745" t="s">
        <v>552</v>
      </c>
      <c r="G3087" s="1965">
        <f>'8.Dgia'!H2718</f>
        <v>22.6</v>
      </c>
      <c r="H3087" s="1824">
        <f>'16.NC'!$H$18</f>
        <v>256824</v>
      </c>
      <c r="I3087" s="1826">
        <f>H3087*G3087</f>
        <v>5804222.4000000004</v>
      </c>
    </row>
    <row r="3088" spans="1:12" ht="15">
      <c r="B3088" s="1551" t="str">
        <f>'8.Dgia'!B2719</f>
        <v/>
      </c>
      <c r="C3088" s="1552">
        <f>'8.Dgia'!C2719</f>
        <v>0</v>
      </c>
      <c r="D3088" s="1552">
        <f>'8.Dgia'!D2719</f>
        <v>0</v>
      </c>
      <c r="E3088" s="1770" t="str">
        <f>'8.Dgia'!E2719</f>
        <v xml:space="preserve">  C - Máy thi công</v>
      </c>
      <c r="F3088" s="1786">
        <f>'8.Dgia'!G2719</f>
        <v>0</v>
      </c>
      <c r="G3088" s="1965">
        <f>'8.Dgia'!H2719</f>
        <v>0</v>
      </c>
      <c r="H3088" s="1824"/>
      <c r="I3088" s="1827">
        <f>SUM(I3089:I3091)</f>
        <v>1271422.0785818181</v>
      </c>
    </row>
    <row r="3089" spans="1:12" ht="15">
      <c r="B3089" s="1551" t="str">
        <f>'8.Dgia'!B2720</f>
        <v/>
      </c>
      <c r="C3089" s="1552">
        <f>'8.Dgia'!C2720</f>
        <v>0</v>
      </c>
      <c r="D3089" s="1552">
        <f>'8.Dgia'!D2720</f>
        <v>0</v>
      </c>
      <c r="E3089" s="1775" t="str">
        <f>'8.Dgia'!E2720</f>
        <v>Máy hàn 23kw</v>
      </c>
      <c r="F3089" s="1745" t="s">
        <v>5493</v>
      </c>
      <c r="G3089" s="1965">
        <f>'8.Dgia'!H2720</f>
        <v>4.5999999999999996</v>
      </c>
      <c r="H3089" s="1824">
        <f>'9.may'!$P$510</f>
        <v>171649.155</v>
      </c>
      <c r="I3089" s="1824">
        <f>H3089*G3089</f>
        <v>789586.1129999999</v>
      </c>
    </row>
    <row r="3090" spans="1:12" ht="15">
      <c r="B3090" s="1551" t="str">
        <f>'8.Dgia'!B2721</f>
        <v/>
      </c>
      <c r="C3090" s="1552">
        <f>'8.Dgia'!C2721</f>
        <v>0</v>
      </c>
      <c r="D3090" s="1552">
        <f>'8.Dgia'!D2721</f>
        <v>0</v>
      </c>
      <c r="E3090" s="1775" t="str">
        <f>'8.Dgia'!E2721</f>
        <v>Máy cắt tôn</v>
      </c>
      <c r="F3090" s="1745" t="s">
        <v>5493</v>
      </c>
      <c r="G3090" s="1965">
        <f>'8.Dgia'!H2721</f>
        <v>0.4</v>
      </c>
      <c r="H3090" s="1824">
        <f>'9.may'!$P$553</f>
        <v>204698.78999999998</v>
      </c>
      <c r="I3090" s="1824">
        <f>H3090*G3090</f>
        <v>81879.516000000003</v>
      </c>
    </row>
    <row r="3091" spans="1:12" ht="15">
      <c r="B3091" s="1551" t="str">
        <f>'8.Dgia'!B2722</f>
        <v/>
      </c>
      <c r="C3091" s="1552">
        <f>'8.Dgia'!C2722</f>
        <v>0</v>
      </c>
      <c r="D3091" s="1552">
        <f>'8.Dgia'!D2722</f>
        <v>0</v>
      </c>
      <c r="E3091" s="1775" t="str">
        <f>'8.Dgia'!E2722</f>
        <v>Cần cẩu bánh xích 10T</v>
      </c>
      <c r="F3091" s="1745" t="s">
        <v>5493</v>
      </c>
      <c r="G3091" s="1772">
        <f>'8.Dgia'!H2722</f>
        <v>0.27</v>
      </c>
      <c r="H3091" s="1824">
        <f>'9.may'!$P$246</f>
        <v>1481320.1836363636</v>
      </c>
      <c r="I3091" s="1824">
        <f>H3091*G3091</f>
        <v>399956.44958181819</v>
      </c>
    </row>
    <row r="3092" spans="1:12" s="658" customFormat="1" ht="15">
      <c r="B3092" s="1677"/>
      <c r="C3092" s="1678"/>
      <c r="D3092" s="1678"/>
      <c r="E3092" s="1828" t="s">
        <v>5675</v>
      </c>
      <c r="F3092" s="1786">
        <f>$J$5</f>
        <v>0.02</v>
      </c>
      <c r="G3092" s="1780"/>
      <c r="H3092" s="1829"/>
      <c r="I3092" s="1830">
        <f>( I3080+I3087+I3088 )*F3092</f>
        <v>189977.89749608334</v>
      </c>
      <c r="J3092" s="850"/>
      <c r="K3092" s="850"/>
      <c r="L3092" s="850"/>
    </row>
    <row r="3093" spans="1:12" ht="15">
      <c r="B3093" s="1556"/>
      <c r="C3093" s="1557"/>
      <c r="D3093" s="1557"/>
      <c r="E3093" s="1831" t="s">
        <v>5676</v>
      </c>
      <c r="F3093" s="1786"/>
      <c r="G3093" s="1783"/>
      <c r="H3093" s="1832"/>
      <c r="I3093" s="1833">
        <f>I3092+I3092/F3092</f>
        <v>9688872.7723002508</v>
      </c>
    </row>
    <row r="3094" spans="1:12" ht="15">
      <c r="B3094" s="1551"/>
      <c r="C3094" s="1552"/>
      <c r="D3094" s="1552"/>
      <c r="E3094" s="1834" t="s">
        <v>5677</v>
      </c>
      <c r="F3094" s="1786">
        <f>$K$5</f>
        <v>5.5E-2</v>
      </c>
      <c r="G3094" s="1772"/>
      <c r="H3094" s="1824"/>
      <c r="I3094" s="1835">
        <f>I3093*F3094</f>
        <v>532888.00247651385</v>
      </c>
    </row>
    <row r="3095" spans="1:12" ht="15">
      <c r="B3095" s="1551"/>
      <c r="C3095" s="1552"/>
      <c r="D3095" s="1552"/>
      <c r="E3095" s="1834" t="s">
        <v>5678</v>
      </c>
      <c r="F3095" s="1786">
        <f>$L$5</f>
        <v>0.06</v>
      </c>
      <c r="G3095" s="1772"/>
      <c r="H3095" s="1824"/>
      <c r="I3095" s="1835">
        <f>SUM(I3093:I3094)*F3095</f>
        <v>613305.64648660587</v>
      </c>
    </row>
    <row r="3096" spans="1:12" ht="14.25">
      <c r="B3096" s="1556"/>
      <c r="C3096" s="1557"/>
      <c r="D3096" s="1557"/>
      <c r="E3096" s="1831" t="s">
        <v>5679</v>
      </c>
      <c r="F3096" s="1787"/>
      <c r="G3096" s="1783"/>
      <c r="H3096" s="1832"/>
      <c r="I3096" s="1833">
        <f>SUM(I3093:I3095)</f>
        <v>10835066.421263371</v>
      </c>
    </row>
    <row r="3097" spans="1:12" ht="15">
      <c r="B3097" s="1551"/>
      <c r="C3097" s="1552"/>
      <c r="D3097" s="1552"/>
      <c r="E3097" s="1834" t="s">
        <v>5680</v>
      </c>
      <c r="F3097" s="1788">
        <f>$M$5</f>
        <v>0.1</v>
      </c>
      <c r="G3097" s="1772"/>
      <c r="H3097" s="1824"/>
      <c r="I3097" s="1835">
        <f>I3096*F3097</f>
        <v>1083506.6421263372</v>
      </c>
    </row>
    <row r="3098" spans="1:12" ht="14.25">
      <c r="B3098" s="1556"/>
      <c r="C3098" s="1557"/>
      <c r="D3098" s="1557"/>
      <c r="E3098" s="1831" t="s">
        <v>5681</v>
      </c>
      <c r="F3098" s="1787"/>
      <c r="G3098" s="1783"/>
      <c r="H3098" s="1832"/>
      <c r="I3098" s="1833">
        <f>SUM(I3096:I3097)</f>
        <v>11918573.063389707</v>
      </c>
    </row>
    <row r="3099" spans="1:12" ht="12.75">
      <c r="B3099" s="1551"/>
      <c r="C3099" s="1552"/>
      <c r="D3099" s="1552"/>
      <c r="E3099" s="1558" t="s">
        <v>5682</v>
      </c>
      <c r="F3099" s="1560">
        <f>$N$5</f>
        <v>0.01</v>
      </c>
      <c r="G3099" s="1553"/>
      <c r="H3099" s="1554"/>
      <c r="I3099" s="1559">
        <f>I3098*F3099</f>
        <v>119185.73063389708</v>
      </c>
    </row>
    <row r="3100" spans="1:12" ht="14.25">
      <c r="B3100" s="2123"/>
      <c r="C3100" s="1561"/>
      <c r="D3100" s="2124"/>
      <c r="E3100" s="2112" t="s">
        <v>5683</v>
      </c>
      <c r="F3100" s="2113"/>
      <c r="G3100" s="2125"/>
      <c r="H3100" s="2126"/>
      <c r="I3100" s="2110">
        <f>ROUND(I3098+I3099,-2)</f>
        <v>12037800</v>
      </c>
    </row>
    <row r="3101" spans="1:12" ht="28.5">
      <c r="A3101" s="657">
        <v>1</v>
      </c>
      <c r="B3101" s="1546">
        <f>IF(A3101&lt;&gt;0,COUNTA(A$7:$A3101),"")</f>
        <v>178</v>
      </c>
      <c r="C3101" s="1550">
        <f>'8.Dgia'!C2723</f>
        <v>1776</v>
      </c>
      <c r="D3101" s="1550" t="str">
        <f>'8.Dgia'!D2723</f>
        <v>AI.11912</v>
      </c>
      <c r="E3101" s="1766" t="s">
        <v>5972</v>
      </c>
      <c r="F3101" s="1789" t="s">
        <v>557</v>
      </c>
      <c r="G3101" s="1768">
        <f>'8.Dgia'!H2723</f>
        <v>0</v>
      </c>
      <c r="H3101" s="1823"/>
      <c r="I3101" s="1842"/>
      <c r="J3101" s="842">
        <f>+I3102</f>
        <v>1631772.0656663063</v>
      </c>
    </row>
    <row r="3102" spans="1:12" ht="15">
      <c r="B3102" s="1551" t="str">
        <f>'8.Dgia'!B2724</f>
        <v/>
      </c>
      <c r="C3102" s="1552">
        <f>'8.Dgia'!C2724</f>
        <v>0</v>
      </c>
      <c r="D3102" s="1552">
        <f>'8.Dgia'!D2724</f>
        <v>0</v>
      </c>
      <c r="E3102" s="1770" t="str">
        <f>'8.Dgia'!E2724</f>
        <v xml:space="preserve">  A - Vật liệu</v>
      </c>
      <c r="F3102" s="1786">
        <f>'8.Dgia'!G2724</f>
        <v>0</v>
      </c>
      <c r="G3102" s="1772">
        <f>'8.Dgia'!H2724</f>
        <v>0</v>
      </c>
      <c r="H3102" s="1824"/>
      <c r="I3102" s="1825">
        <f>SUM(I3103:I3104)</f>
        <v>1631772.0656663063</v>
      </c>
    </row>
    <row r="3103" spans="1:12" ht="15">
      <c r="B3103" s="1551" t="str">
        <f>'8.Dgia'!B2725</f>
        <v/>
      </c>
      <c r="C3103" s="1552">
        <f>'8.Dgia'!C2725</f>
        <v>0</v>
      </c>
      <c r="D3103" s="1552" t="str">
        <f>'8.Dgia'!D2725</f>
        <v>KH</v>
      </c>
      <c r="E3103" s="1775" t="str">
        <f>'8.Dgia'!E2725</f>
        <v>Thép hình</v>
      </c>
      <c r="F3103" s="1786" t="str">
        <f>'8.Dgia'!G2725</f>
        <v xml:space="preserve"> kg </v>
      </c>
      <c r="G3103" s="1772">
        <f>'8.Dgia'!H2725</f>
        <v>69.785000000000011</v>
      </c>
      <c r="H3103" s="1824">
        <f>GVL!$I$170</f>
        <v>16703.248369172808</v>
      </c>
      <c r="I3103" s="1824">
        <f>H3103*G3103</f>
        <v>1165636.1874427246</v>
      </c>
    </row>
    <row r="3104" spans="1:12" ht="15">
      <c r="B3104" s="1551" t="str">
        <f>'8.Dgia'!B2726</f>
        <v/>
      </c>
      <c r="C3104" s="1552">
        <f>'8.Dgia'!C2726</f>
        <v>0</v>
      </c>
      <c r="D3104" s="1552" t="str">
        <f>'8.Dgia'!D2726</f>
        <v>KH</v>
      </c>
      <c r="E3104" s="1775" t="str">
        <f>'8.Dgia'!E2726</f>
        <v>Thép tấm</v>
      </c>
      <c r="F3104" s="1786" t="str">
        <f>'8.Dgia'!G2726</f>
        <v>kg</v>
      </c>
      <c r="G3104" s="1772">
        <f>'8.Dgia'!H2726</f>
        <v>36.214999999999996</v>
      </c>
      <c r="H3104" s="1824">
        <f>GVL!$I$175</f>
        <v>12871.348287272725</v>
      </c>
      <c r="I3104" s="1824">
        <f>H3104*G3104</f>
        <v>466135.87822358171</v>
      </c>
    </row>
    <row r="3105" spans="1:12" s="658" customFormat="1" ht="15">
      <c r="B3105" s="1677"/>
      <c r="C3105" s="1678"/>
      <c r="D3105" s="1678"/>
      <c r="E3105" s="1828" t="s">
        <v>5675</v>
      </c>
      <c r="F3105" s="1786">
        <f>$J$5</f>
        <v>0.02</v>
      </c>
      <c r="G3105" s="1780"/>
      <c r="H3105" s="1829"/>
      <c r="I3105" s="1830">
        <f>( I3102 )*F3105</f>
        <v>32635.441313326126</v>
      </c>
      <c r="J3105" s="850"/>
      <c r="K3105" s="850"/>
      <c r="L3105" s="850"/>
    </row>
    <row r="3106" spans="1:12" ht="15">
      <c r="B3106" s="1556"/>
      <c r="C3106" s="1557"/>
      <c r="D3106" s="1557"/>
      <c r="E3106" s="1831" t="s">
        <v>5676</v>
      </c>
      <c r="F3106" s="1786"/>
      <c r="G3106" s="1783"/>
      <c r="H3106" s="1832"/>
      <c r="I3106" s="1833">
        <f>I3105+I3105/F3105</f>
        <v>1664407.5069796324</v>
      </c>
    </row>
    <row r="3107" spans="1:12" ht="15">
      <c r="B3107" s="1551"/>
      <c r="C3107" s="1552"/>
      <c r="D3107" s="1552"/>
      <c r="E3107" s="1834" t="s">
        <v>5677</v>
      </c>
      <c r="F3107" s="1786">
        <f>$K$5</f>
        <v>5.5E-2</v>
      </c>
      <c r="G3107" s="1772"/>
      <c r="H3107" s="1824"/>
      <c r="I3107" s="1835">
        <f>I3106*F3107</f>
        <v>91542.412883879777</v>
      </c>
    </row>
    <row r="3108" spans="1:12" ht="15">
      <c r="B3108" s="1551"/>
      <c r="C3108" s="1552"/>
      <c r="D3108" s="1552"/>
      <c r="E3108" s="1834" t="s">
        <v>5678</v>
      </c>
      <c r="F3108" s="1786">
        <f>$L$5</f>
        <v>0.06</v>
      </c>
      <c r="G3108" s="1772"/>
      <c r="H3108" s="1824"/>
      <c r="I3108" s="1835">
        <f>SUM(I3106:I3107)*F3108</f>
        <v>105356.99519181073</v>
      </c>
    </row>
    <row r="3109" spans="1:12" ht="14.25">
      <c r="B3109" s="1556"/>
      <c r="C3109" s="1557"/>
      <c r="D3109" s="1557"/>
      <c r="E3109" s="1831" t="s">
        <v>5679</v>
      </c>
      <c r="F3109" s="1787"/>
      <c r="G3109" s="1783"/>
      <c r="H3109" s="1832"/>
      <c r="I3109" s="1833">
        <f>SUM(I3106:I3108)</f>
        <v>1861306.9150553229</v>
      </c>
    </row>
    <row r="3110" spans="1:12" ht="15">
      <c r="B3110" s="1551"/>
      <c r="C3110" s="1552"/>
      <c r="D3110" s="1552"/>
      <c r="E3110" s="1834" t="s">
        <v>5680</v>
      </c>
      <c r="F3110" s="1788">
        <f>$M$5</f>
        <v>0.1</v>
      </c>
      <c r="G3110" s="1772"/>
      <c r="H3110" s="1824"/>
      <c r="I3110" s="1835">
        <f>I3109*F3110</f>
        <v>186130.6915055323</v>
      </c>
    </row>
    <row r="3111" spans="1:12" ht="14.25">
      <c r="B3111" s="1556"/>
      <c r="C3111" s="1557"/>
      <c r="D3111" s="1557"/>
      <c r="E3111" s="1831" t="s">
        <v>5681</v>
      </c>
      <c r="F3111" s="1787"/>
      <c r="G3111" s="1783"/>
      <c r="H3111" s="1832"/>
      <c r="I3111" s="1833">
        <f>SUM(I3109:I3110)</f>
        <v>2047437.6065608552</v>
      </c>
    </row>
    <row r="3112" spans="1:12" ht="12.75">
      <c r="B3112" s="1551"/>
      <c r="C3112" s="1552"/>
      <c r="D3112" s="1552"/>
      <c r="E3112" s="1558" t="s">
        <v>5682</v>
      </c>
      <c r="F3112" s="1560">
        <f>$N$5</f>
        <v>0.01</v>
      </c>
      <c r="G3112" s="1553"/>
      <c r="H3112" s="1554"/>
      <c r="I3112" s="1559">
        <f>I3111*F3112</f>
        <v>20474.376065608551</v>
      </c>
    </row>
    <row r="3113" spans="1:12" ht="14.25">
      <c r="B3113" s="2123"/>
      <c r="C3113" s="1561"/>
      <c r="D3113" s="2124"/>
      <c r="E3113" s="2112" t="s">
        <v>5683</v>
      </c>
      <c r="F3113" s="2113"/>
      <c r="G3113" s="2125"/>
      <c r="H3113" s="2126"/>
      <c r="I3113" s="2110">
        <f>ROUND(I3111+I3112,-2)</f>
        <v>2067900</v>
      </c>
    </row>
    <row r="3114" spans="1:12" ht="30" customHeight="1">
      <c r="A3114" s="657">
        <v>1</v>
      </c>
      <c r="B3114" s="1546">
        <f>IF(A3114&lt;&gt;0,COUNTA(A$7:$A3114),"")</f>
        <v>179</v>
      </c>
      <c r="C3114" s="1550">
        <f>'8.Dgia'!C2727</f>
        <v>1776</v>
      </c>
      <c r="D3114" s="1550" t="str">
        <f>'8.Dgia'!D2727</f>
        <v>AI.11912</v>
      </c>
      <c r="E3114" s="1766" t="s">
        <v>5973</v>
      </c>
      <c r="F3114" s="1789" t="s">
        <v>557</v>
      </c>
      <c r="G3114" s="1768">
        <f>'8.Dgia'!H2727</f>
        <v>0</v>
      </c>
      <c r="H3114" s="1823"/>
      <c r="I3114" s="1842"/>
      <c r="J3114" s="842">
        <f>+I3115</f>
        <v>1631772.0656663063</v>
      </c>
    </row>
    <row r="3115" spans="1:12" ht="15">
      <c r="B3115" s="1551" t="str">
        <f>'8.Dgia'!B2728</f>
        <v/>
      </c>
      <c r="C3115" s="1552">
        <f>'8.Dgia'!C2728</f>
        <v>0</v>
      </c>
      <c r="D3115" s="1552">
        <f>'8.Dgia'!D2728</f>
        <v>0</v>
      </c>
      <c r="E3115" s="1770" t="str">
        <f>'8.Dgia'!E2728</f>
        <v xml:space="preserve">  A - Vật liệu</v>
      </c>
      <c r="F3115" s="1786">
        <f>'8.Dgia'!G2728</f>
        <v>0</v>
      </c>
      <c r="G3115" s="1772">
        <f>'8.Dgia'!H2728</f>
        <v>0</v>
      </c>
      <c r="H3115" s="1824"/>
      <c r="I3115" s="1825">
        <f>SUM(I3116:I3117)</f>
        <v>1631772.0656663063</v>
      </c>
    </row>
    <row r="3116" spans="1:12" ht="15">
      <c r="B3116" s="1551" t="str">
        <f>'8.Dgia'!B2729</f>
        <v/>
      </c>
      <c r="C3116" s="1552">
        <f>'8.Dgia'!C2729</f>
        <v>0</v>
      </c>
      <c r="D3116" s="1552" t="str">
        <f>'8.Dgia'!D2729</f>
        <v>KH</v>
      </c>
      <c r="E3116" s="1775" t="str">
        <f>'8.Dgia'!E2729</f>
        <v>Thép hình</v>
      </c>
      <c r="F3116" s="1786" t="str">
        <f>'8.Dgia'!G2729</f>
        <v xml:space="preserve"> kg </v>
      </c>
      <c r="G3116" s="1772">
        <f>'8.Dgia'!H2729</f>
        <v>69.785000000000011</v>
      </c>
      <c r="H3116" s="1824">
        <f>GVL!$I$170</f>
        <v>16703.248369172808</v>
      </c>
      <c r="I3116" s="1824">
        <f>H3116*G3116</f>
        <v>1165636.1874427246</v>
      </c>
    </row>
    <row r="3117" spans="1:12" ht="15">
      <c r="B3117" s="1551" t="str">
        <f>'8.Dgia'!B2730</f>
        <v/>
      </c>
      <c r="C3117" s="1552">
        <f>'8.Dgia'!C2730</f>
        <v>0</v>
      </c>
      <c r="D3117" s="1552" t="str">
        <f>'8.Dgia'!D2730</f>
        <v>KH</v>
      </c>
      <c r="E3117" s="1775" t="str">
        <f>'8.Dgia'!E2730</f>
        <v>Thép tấm</v>
      </c>
      <c r="F3117" s="1786" t="str">
        <f>'8.Dgia'!G2730</f>
        <v>kg</v>
      </c>
      <c r="G3117" s="1772">
        <f>'8.Dgia'!H2730</f>
        <v>36.214999999999996</v>
      </c>
      <c r="H3117" s="1824">
        <f>GVL!$I$175</f>
        <v>12871.348287272725</v>
      </c>
      <c r="I3117" s="1824">
        <f>H3117*G3117</f>
        <v>466135.87822358171</v>
      </c>
    </row>
    <row r="3118" spans="1:12" s="658" customFormat="1" ht="15">
      <c r="B3118" s="1677"/>
      <c r="C3118" s="1678"/>
      <c r="D3118" s="1678"/>
      <c r="E3118" s="1828" t="s">
        <v>5675</v>
      </c>
      <c r="F3118" s="1786">
        <f>$J$5</f>
        <v>0.02</v>
      </c>
      <c r="G3118" s="1780"/>
      <c r="H3118" s="1829"/>
      <c r="I3118" s="1830">
        <f>( I3115 )*F3118</f>
        <v>32635.441313326126</v>
      </c>
      <c r="J3118" s="850"/>
      <c r="K3118" s="850"/>
      <c r="L3118" s="850"/>
    </row>
    <row r="3119" spans="1:12" ht="15">
      <c r="B3119" s="1556"/>
      <c r="C3119" s="1557"/>
      <c r="D3119" s="1557"/>
      <c r="E3119" s="1831" t="s">
        <v>5676</v>
      </c>
      <c r="F3119" s="1786"/>
      <c r="G3119" s="1783"/>
      <c r="H3119" s="1832"/>
      <c r="I3119" s="1833">
        <f>I3118+I3118/F3118</f>
        <v>1664407.5069796324</v>
      </c>
    </row>
    <row r="3120" spans="1:12" ht="15">
      <c r="B3120" s="1551"/>
      <c r="C3120" s="1552"/>
      <c r="D3120" s="1552"/>
      <c r="E3120" s="1834" t="s">
        <v>5677</v>
      </c>
      <c r="F3120" s="1786">
        <f>$K$5</f>
        <v>5.5E-2</v>
      </c>
      <c r="G3120" s="1772"/>
      <c r="H3120" s="1824"/>
      <c r="I3120" s="1835">
        <f>I3119*F3120</f>
        <v>91542.412883879777</v>
      </c>
    </row>
    <row r="3121" spans="1:12" ht="15">
      <c r="B3121" s="1551"/>
      <c r="C3121" s="1552"/>
      <c r="D3121" s="1552"/>
      <c r="E3121" s="1834" t="s">
        <v>5678</v>
      </c>
      <c r="F3121" s="1786">
        <f>$L$5</f>
        <v>0.06</v>
      </c>
      <c r="G3121" s="1772"/>
      <c r="H3121" s="1824"/>
      <c r="I3121" s="1835">
        <f>SUM(I3119:I3120)*F3121</f>
        <v>105356.99519181073</v>
      </c>
    </row>
    <row r="3122" spans="1:12" ht="14.25">
      <c r="B3122" s="1556"/>
      <c r="C3122" s="1557"/>
      <c r="D3122" s="1557"/>
      <c r="E3122" s="1831" t="s">
        <v>5679</v>
      </c>
      <c r="F3122" s="1787"/>
      <c r="G3122" s="1783"/>
      <c r="H3122" s="1832"/>
      <c r="I3122" s="1833">
        <f>SUM(I3119:I3121)</f>
        <v>1861306.9150553229</v>
      </c>
    </row>
    <row r="3123" spans="1:12" ht="15">
      <c r="B3123" s="1551"/>
      <c r="C3123" s="1552"/>
      <c r="D3123" s="1552"/>
      <c r="E3123" s="1834" t="s">
        <v>5680</v>
      </c>
      <c r="F3123" s="1788">
        <f>$M$5</f>
        <v>0.1</v>
      </c>
      <c r="G3123" s="1772"/>
      <c r="H3123" s="1824"/>
      <c r="I3123" s="1835">
        <f>I3122*F3123</f>
        <v>186130.6915055323</v>
      </c>
    </row>
    <row r="3124" spans="1:12" ht="14.25">
      <c r="B3124" s="1556"/>
      <c r="C3124" s="1557"/>
      <c r="D3124" s="1557"/>
      <c r="E3124" s="1831" t="s">
        <v>5681</v>
      </c>
      <c r="F3124" s="1787"/>
      <c r="G3124" s="1783"/>
      <c r="H3124" s="1832"/>
      <c r="I3124" s="1833">
        <f>SUM(I3122:I3123)</f>
        <v>2047437.6065608552</v>
      </c>
    </row>
    <row r="3125" spans="1:12" ht="12.75">
      <c r="B3125" s="1551"/>
      <c r="C3125" s="1552"/>
      <c r="D3125" s="1552"/>
      <c r="E3125" s="1558" t="s">
        <v>5682</v>
      </c>
      <c r="F3125" s="1560">
        <f>$N$5</f>
        <v>0.01</v>
      </c>
      <c r="G3125" s="1553"/>
      <c r="H3125" s="1554"/>
      <c r="I3125" s="1559">
        <f>I3124*F3125</f>
        <v>20474.376065608551</v>
      </c>
    </row>
    <row r="3126" spans="1:12" ht="14.25">
      <c r="B3126" s="2123"/>
      <c r="C3126" s="1561"/>
      <c r="D3126" s="2124"/>
      <c r="E3126" s="2112" t="s">
        <v>5683</v>
      </c>
      <c r="F3126" s="2113"/>
      <c r="G3126" s="2125"/>
      <c r="H3126" s="2126"/>
      <c r="I3126" s="2110">
        <f>ROUND(I3124+I3125,-2)</f>
        <v>2067900</v>
      </c>
    </row>
    <row r="3127" spans="1:12" ht="28.5">
      <c r="A3127" s="657">
        <v>1</v>
      </c>
      <c r="B3127" s="1546">
        <f>IF(A3127&lt;&gt;0,COUNTA(A$7:$A3127),"")</f>
        <v>180</v>
      </c>
      <c r="C3127" s="1547">
        <f>'8.Dgia'!C2833</f>
        <v>1776</v>
      </c>
      <c r="D3127" s="1547" t="str">
        <f>'8.Dgia'!D2833</f>
        <v>AB.42233</v>
      </c>
      <c r="E3127" s="1740" t="str">
        <f>'8.Dgia'!E2833</f>
        <v>Vận chuyển bằng ôtô tự đổ, 10T, C3, L=4Km</v>
      </c>
      <c r="F3127" s="1789" t="s">
        <v>545</v>
      </c>
      <c r="G3127" s="1742">
        <f>'8.Dgia'!H2833</f>
        <v>0</v>
      </c>
      <c r="H3127" s="1743"/>
      <c r="I3127" s="1743"/>
      <c r="L3127" s="842">
        <f>+I3128</f>
        <v>32549.58983945454</v>
      </c>
    </row>
    <row r="3128" spans="1:12" ht="15">
      <c r="B3128" s="1536" t="str">
        <f>'8.Dgia'!B2834</f>
        <v/>
      </c>
      <c r="C3128" s="1537">
        <f>'8.Dgia'!C2834</f>
        <v>0</v>
      </c>
      <c r="D3128" s="1537">
        <f>'8.Dgia'!D2834</f>
        <v>0</v>
      </c>
      <c r="E3128" s="1744" t="str">
        <f>'8.Dgia'!E2834</f>
        <v xml:space="preserve">  C - Máy thi công</v>
      </c>
      <c r="F3128" s="1763">
        <f>'8.Dgia'!G2834</f>
        <v>0</v>
      </c>
      <c r="G3128" s="1746">
        <f>'8.Dgia'!H2834</f>
        <v>0</v>
      </c>
      <c r="H3128" s="1747"/>
      <c r="I3128" s="1751">
        <f>SUM(I3129:I3130)</f>
        <v>32549.58983945454</v>
      </c>
    </row>
    <row r="3129" spans="1:12" ht="15">
      <c r="B3129" s="1536" t="str">
        <f>'8.Dgia'!B2835</f>
        <v/>
      </c>
      <c r="C3129" s="1537">
        <f>'8.Dgia'!C2835</f>
        <v>0</v>
      </c>
      <c r="D3129" s="1537" t="str">
        <f>'8.Dgia'!D2835</f>
        <v>AB.41433</v>
      </c>
      <c r="E3129" s="1749" t="str">
        <f>'8.Dgia'!E2835</f>
        <v>Ôtô tự đổ 10T</v>
      </c>
      <c r="F3129" s="1745" t="s">
        <v>5493</v>
      </c>
      <c r="G3129" s="1746">
        <f>'8.Dgia'!H2835/100</f>
        <v>8.3999999999999995E-3</v>
      </c>
      <c r="H3129" s="1747">
        <f>'9.may'!$P$148</f>
        <v>1870666.0827272725</v>
      </c>
      <c r="I3129" s="1747">
        <f>H3129*G3129</f>
        <v>15713.595094909087</v>
      </c>
    </row>
    <row r="3130" spans="1:12" ht="15">
      <c r="B3130" s="1536" t="str">
        <f>'8.Dgia'!B2836</f>
        <v/>
      </c>
      <c r="C3130" s="1537">
        <f>'8.Dgia'!C2836</f>
        <v>0</v>
      </c>
      <c r="D3130" s="1537" t="str">
        <f>'8.Dgia'!D2836</f>
        <v>AB.42233</v>
      </c>
      <c r="E3130" s="1749" t="str">
        <f>'8.Dgia'!E2836</f>
        <v>Ôtô tự đổ 10T</v>
      </c>
      <c r="F3130" s="1745" t="s">
        <v>5493</v>
      </c>
      <c r="G3130" s="1746">
        <f>'8.Dgia'!H2836/100</f>
        <v>8.9999999999999993E-3</v>
      </c>
      <c r="H3130" s="1747">
        <f>'9.may'!$P$148</f>
        <v>1870666.0827272725</v>
      </c>
      <c r="I3130" s="1747">
        <f>H3130*G3130</f>
        <v>16835.994744545453</v>
      </c>
    </row>
    <row r="3131" spans="1:12" s="658" customFormat="1" ht="15">
      <c r="B3131" s="1675"/>
      <c r="C3131" s="1676"/>
      <c r="D3131" s="1676"/>
      <c r="E3131" s="1752" t="s">
        <v>5675</v>
      </c>
      <c r="F3131" s="1763">
        <f>$J$5</f>
        <v>0.02</v>
      </c>
      <c r="G3131" s="1754"/>
      <c r="H3131" s="1755"/>
      <c r="I3131" s="1756">
        <f>( I3128 )*F3131</f>
        <v>650.99179678909081</v>
      </c>
      <c r="J3131" s="850"/>
      <c r="K3131" s="850"/>
      <c r="L3131" s="850"/>
    </row>
    <row r="3132" spans="1:12" ht="15">
      <c r="B3132" s="1540"/>
      <c r="C3132" s="1541"/>
      <c r="D3132" s="1541"/>
      <c r="E3132" s="1757" t="s">
        <v>5676</v>
      </c>
      <c r="F3132" s="1763"/>
      <c r="G3132" s="1759"/>
      <c r="H3132" s="1760"/>
      <c r="I3132" s="1761">
        <f>I3131+I3131/F3131</f>
        <v>33200.581636243631</v>
      </c>
    </row>
    <row r="3133" spans="1:12" ht="15">
      <c r="B3133" s="1536"/>
      <c r="C3133" s="1537"/>
      <c r="D3133" s="1537"/>
      <c r="E3133" s="1762" t="s">
        <v>5677</v>
      </c>
      <c r="F3133" s="1763">
        <f>$K$5</f>
        <v>5.5E-2</v>
      </c>
      <c r="G3133" s="1746"/>
      <c r="H3133" s="1747"/>
      <c r="I3133" s="1764">
        <f>I3132*F3133</f>
        <v>1826.0319899933997</v>
      </c>
    </row>
    <row r="3134" spans="1:12" ht="15">
      <c r="B3134" s="1536"/>
      <c r="C3134" s="1537"/>
      <c r="D3134" s="1537"/>
      <c r="E3134" s="1762" t="s">
        <v>5678</v>
      </c>
      <c r="F3134" s="1763">
        <f>$L$5</f>
        <v>0.06</v>
      </c>
      <c r="G3134" s="1746"/>
      <c r="H3134" s="1747"/>
      <c r="I3134" s="1764">
        <f>SUM(I3132:I3133)*F3134</f>
        <v>2101.5968175742214</v>
      </c>
    </row>
    <row r="3135" spans="1:12" ht="14.25">
      <c r="B3135" s="1540"/>
      <c r="C3135" s="1541"/>
      <c r="D3135" s="1541"/>
      <c r="E3135" s="1757" t="s">
        <v>5679</v>
      </c>
      <c r="F3135" s="1791"/>
      <c r="G3135" s="1759"/>
      <c r="H3135" s="1760"/>
      <c r="I3135" s="1761">
        <f>SUM(I3132:I3134)</f>
        <v>37128.210443811251</v>
      </c>
    </row>
    <row r="3136" spans="1:12" ht="15">
      <c r="B3136" s="1536"/>
      <c r="C3136" s="1537"/>
      <c r="D3136" s="1537"/>
      <c r="E3136" s="1762" t="s">
        <v>5680</v>
      </c>
      <c r="F3136" s="1765">
        <f>$M$5</f>
        <v>0.1</v>
      </c>
      <c r="G3136" s="1746"/>
      <c r="H3136" s="1747"/>
      <c r="I3136" s="1764">
        <f>I3135*F3136</f>
        <v>3712.8210443811254</v>
      </c>
    </row>
    <row r="3137" spans="1:12" ht="14.25">
      <c r="B3137" s="1540"/>
      <c r="C3137" s="1541"/>
      <c r="D3137" s="1541"/>
      <c r="E3137" s="1757" t="s">
        <v>5681</v>
      </c>
      <c r="F3137" s="1791"/>
      <c r="G3137" s="1759"/>
      <c r="H3137" s="1760"/>
      <c r="I3137" s="1761">
        <f>SUM(I3135:I3136)</f>
        <v>40841.031488192377</v>
      </c>
    </row>
    <row r="3138" spans="1:12" ht="12.75">
      <c r="B3138" s="1536"/>
      <c r="C3138" s="1537"/>
      <c r="D3138" s="1537"/>
      <c r="E3138" s="1533" t="s">
        <v>5682</v>
      </c>
      <c r="F3138" s="1535">
        <f>$N$5</f>
        <v>0.01</v>
      </c>
      <c r="G3138" s="1538"/>
      <c r="H3138" s="1532"/>
      <c r="I3138" s="1534">
        <f>I3137*F3138</f>
        <v>408.4103148819238</v>
      </c>
    </row>
    <row r="3139" spans="1:12" ht="14.25">
      <c r="B3139" s="2104"/>
      <c r="C3139" s="1543"/>
      <c r="D3139" s="2105"/>
      <c r="E3139" s="2106" t="s">
        <v>5683</v>
      </c>
      <c r="F3139" s="2115"/>
      <c r="G3139" s="2108"/>
      <c r="H3139" s="2109"/>
      <c r="I3139" s="2110">
        <f>ROUND(I3137+I3138,-2)</f>
        <v>41200</v>
      </c>
    </row>
    <row r="3140" spans="1:12" ht="14.25">
      <c r="A3140" s="657">
        <v>1</v>
      </c>
      <c r="B3140" s="1546">
        <f>IF(A3140&lt;&gt;0,COUNTA(A$7:$A3140),"")</f>
        <v>181</v>
      </c>
      <c r="C3140" s="1550">
        <f>'8.Dgia'!C2962</f>
        <v>0</v>
      </c>
      <c r="D3140" s="1550" t="str">
        <f>'8.Dgia'!D2962</f>
        <v>Báo giá</v>
      </c>
      <c r="E3140" s="1766" t="str">
        <f>'8.Dgia'!E2962</f>
        <v>Cung cấp đai ốc M10</v>
      </c>
      <c r="F3140" s="1789" t="s">
        <v>307</v>
      </c>
      <c r="G3140" s="1768">
        <f>'8.Dgia'!H2962</f>
        <v>0</v>
      </c>
      <c r="H3140" s="1823"/>
      <c r="I3140" s="1823"/>
      <c r="J3140" s="842">
        <f>+I3141</f>
        <v>3000</v>
      </c>
    </row>
    <row r="3141" spans="1:12" ht="15">
      <c r="B3141" s="1551" t="str">
        <f>'8.Dgia'!B2963</f>
        <v/>
      </c>
      <c r="C3141" s="1552">
        <f>'8.Dgia'!C2963</f>
        <v>0</v>
      </c>
      <c r="D3141" s="1552">
        <f>'8.Dgia'!D2963</f>
        <v>0</v>
      </c>
      <c r="E3141" s="1770" t="str">
        <f>'8.Dgia'!E2963</f>
        <v xml:space="preserve">  A - Vật liệu</v>
      </c>
      <c r="F3141" s="1786">
        <f>'8.Dgia'!G2963</f>
        <v>0</v>
      </c>
      <c r="G3141" s="1772">
        <f>'8.Dgia'!H2963</f>
        <v>0</v>
      </c>
      <c r="H3141" s="1824"/>
      <c r="I3141" s="1825">
        <f>SUM(I3142:I3142)</f>
        <v>3000</v>
      </c>
    </row>
    <row r="3142" spans="1:12" ht="15">
      <c r="B3142" s="1551" t="str">
        <f>'8.Dgia'!B2964</f>
        <v/>
      </c>
      <c r="C3142" s="1552">
        <f>'8.Dgia'!C2964</f>
        <v>0</v>
      </c>
      <c r="D3142" s="1552">
        <f>'8.Dgia'!D2964</f>
        <v>0</v>
      </c>
      <c r="E3142" s="1775" t="str">
        <f>'8.Dgia'!E2964</f>
        <v>Đai ốc M10</v>
      </c>
      <c r="F3142" s="1763" t="s">
        <v>307</v>
      </c>
      <c r="G3142" s="1965">
        <f>'8.Dgia'!H2964</f>
        <v>1</v>
      </c>
      <c r="H3142" s="1824">
        <f>GVL!$I$66</f>
        <v>3000</v>
      </c>
      <c r="I3142" s="1824">
        <f>H3142*G3142</f>
        <v>3000</v>
      </c>
    </row>
    <row r="3143" spans="1:12" s="658" customFormat="1" ht="15">
      <c r="B3143" s="1677"/>
      <c r="C3143" s="1678"/>
      <c r="D3143" s="1678"/>
      <c r="E3143" s="1828" t="s">
        <v>5675</v>
      </c>
      <c r="F3143" s="1786">
        <f>$J$5</f>
        <v>0.02</v>
      </c>
      <c r="G3143" s="1780"/>
      <c r="H3143" s="1829"/>
      <c r="I3143" s="1830">
        <f>( I3141 )*F3143</f>
        <v>60</v>
      </c>
      <c r="J3143" s="850"/>
      <c r="K3143" s="850"/>
      <c r="L3143" s="850"/>
    </row>
    <row r="3144" spans="1:12" ht="15">
      <c r="B3144" s="1556"/>
      <c r="C3144" s="1557"/>
      <c r="D3144" s="1557"/>
      <c r="E3144" s="1831" t="s">
        <v>5676</v>
      </c>
      <c r="F3144" s="1786"/>
      <c r="G3144" s="1783"/>
      <c r="H3144" s="1832"/>
      <c r="I3144" s="1833">
        <f>I3143+I3143/F3143</f>
        <v>3060</v>
      </c>
    </row>
    <row r="3145" spans="1:12" ht="15">
      <c r="B3145" s="1551"/>
      <c r="C3145" s="1552"/>
      <c r="D3145" s="1552"/>
      <c r="E3145" s="1834" t="s">
        <v>5677</v>
      </c>
      <c r="F3145" s="1786">
        <f>$K$5</f>
        <v>5.5E-2</v>
      </c>
      <c r="G3145" s="1772"/>
      <c r="H3145" s="1824"/>
      <c r="I3145" s="1835">
        <f>I3144*F3145</f>
        <v>168.3</v>
      </c>
    </row>
    <row r="3146" spans="1:12" ht="15">
      <c r="B3146" s="1551"/>
      <c r="C3146" s="1552"/>
      <c r="D3146" s="1552"/>
      <c r="E3146" s="1834" t="s">
        <v>5678</v>
      </c>
      <c r="F3146" s="1786">
        <f>$L$5</f>
        <v>0.06</v>
      </c>
      <c r="G3146" s="1772"/>
      <c r="H3146" s="1824"/>
      <c r="I3146" s="1835">
        <f>SUM(I3144:I3145)*F3146</f>
        <v>193.69800000000001</v>
      </c>
    </row>
    <row r="3147" spans="1:12" ht="14.25">
      <c r="B3147" s="1556"/>
      <c r="C3147" s="1557"/>
      <c r="D3147" s="1557"/>
      <c r="E3147" s="1831" t="s">
        <v>5679</v>
      </c>
      <c r="F3147" s="1787"/>
      <c r="G3147" s="1783"/>
      <c r="H3147" s="1832"/>
      <c r="I3147" s="1833">
        <f>SUM(I3144:I3146)</f>
        <v>3421.998</v>
      </c>
    </row>
    <row r="3148" spans="1:12" ht="15">
      <c r="B3148" s="1551"/>
      <c r="C3148" s="1552"/>
      <c r="D3148" s="1552"/>
      <c r="E3148" s="1834" t="s">
        <v>5680</v>
      </c>
      <c r="F3148" s="1788">
        <f>$M$5</f>
        <v>0.1</v>
      </c>
      <c r="G3148" s="1772"/>
      <c r="H3148" s="1824"/>
      <c r="I3148" s="1835">
        <f>I3147*F3148</f>
        <v>342.19980000000004</v>
      </c>
    </row>
    <row r="3149" spans="1:12" ht="14.25">
      <c r="B3149" s="1556"/>
      <c r="C3149" s="1557"/>
      <c r="D3149" s="1557"/>
      <c r="E3149" s="1831" t="s">
        <v>5681</v>
      </c>
      <c r="F3149" s="1787"/>
      <c r="G3149" s="1783"/>
      <c r="H3149" s="1832"/>
      <c r="I3149" s="1833">
        <f>SUM(I3147:I3148)</f>
        <v>3764.1977999999999</v>
      </c>
    </row>
    <row r="3150" spans="1:12" ht="12.75">
      <c r="B3150" s="1551"/>
      <c r="C3150" s="1552"/>
      <c r="D3150" s="1552"/>
      <c r="E3150" s="1558" t="s">
        <v>5682</v>
      </c>
      <c r="F3150" s="1560">
        <f>$N$5</f>
        <v>0.01</v>
      </c>
      <c r="G3150" s="1553"/>
      <c r="H3150" s="1554"/>
      <c r="I3150" s="1559">
        <f>I3149*F3150</f>
        <v>37.641978000000002</v>
      </c>
    </row>
    <row r="3151" spans="1:12" ht="14.25">
      <c r="B3151" s="2123"/>
      <c r="C3151" s="1561"/>
      <c r="D3151" s="2124"/>
      <c r="E3151" s="2112" t="s">
        <v>5683</v>
      </c>
      <c r="F3151" s="2113"/>
      <c r="G3151" s="2125"/>
      <c r="H3151" s="2126"/>
      <c r="I3151" s="2110">
        <f>ROUND(I3149+I3150,-2)</f>
        <v>3800</v>
      </c>
    </row>
    <row r="3152" spans="1:12" ht="14.25">
      <c r="A3152" s="657">
        <v>1</v>
      </c>
      <c r="B3152" s="1546">
        <f>IF(A3152&lt;&gt;0,COUNTA(A$7:$A3152),"")</f>
        <v>182</v>
      </c>
      <c r="C3152" s="1550">
        <f>'8.Dgia'!C2965</f>
        <v>0</v>
      </c>
      <c r="D3152" s="1550" t="str">
        <f>'8.Dgia'!D2965</f>
        <v>Báo giá</v>
      </c>
      <c r="E3152" s="1766" t="str">
        <f>'8.Dgia'!E2965</f>
        <v>Cung cấp vít nở thép M12</v>
      </c>
      <c r="F3152" s="1789" t="s">
        <v>307</v>
      </c>
      <c r="G3152" s="1768">
        <f>'8.Dgia'!H2965</f>
        <v>0</v>
      </c>
      <c r="H3152" s="1823"/>
      <c r="I3152" s="1823"/>
      <c r="J3152" s="842">
        <f>+I3153</f>
        <v>3200</v>
      </c>
    </row>
    <row r="3153" spans="1:12" ht="15">
      <c r="B3153" s="1551" t="str">
        <f>'8.Dgia'!B2966</f>
        <v/>
      </c>
      <c r="C3153" s="1552">
        <f>'8.Dgia'!C2966</f>
        <v>0</v>
      </c>
      <c r="D3153" s="1552">
        <f>'8.Dgia'!D2966</f>
        <v>0</v>
      </c>
      <c r="E3153" s="1770" t="str">
        <f>'8.Dgia'!E2966</f>
        <v xml:space="preserve">  A - Vật liệu</v>
      </c>
      <c r="F3153" s="1786">
        <f>'8.Dgia'!G2966</f>
        <v>0</v>
      </c>
      <c r="G3153" s="1772">
        <f>'8.Dgia'!H2966</f>
        <v>0</v>
      </c>
      <c r="H3153" s="1824"/>
      <c r="I3153" s="1825">
        <f>SUM(I3154:I3154)</f>
        <v>3200</v>
      </c>
    </row>
    <row r="3154" spans="1:12" ht="15">
      <c r="B3154" s="1551" t="str">
        <f>'8.Dgia'!B2967</f>
        <v/>
      </c>
      <c r="C3154" s="1552">
        <f>'8.Dgia'!C2967</f>
        <v>0</v>
      </c>
      <c r="D3154" s="1552">
        <f>'8.Dgia'!D2967</f>
        <v>0</v>
      </c>
      <c r="E3154" s="1775" t="str">
        <f>'8.Dgia'!E2967</f>
        <v>Vít nở thép M12</v>
      </c>
      <c r="F3154" s="1763" t="s">
        <v>307</v>
      </c>
      <c r="G3154" s="1965">
        <f>'8.Dgia'!H2967</f>
        <v>1</v>
      </c>
      <c r="H3154" s="1824">
        <f>GVL!$I$189</f>
        <v>3200</v>
      </c>
      <c r="I3154" s="1824">
        <f>H3154*G3154</f>
        <v>3200</v>
      </c>
    </row>
    <row r="3155" spans="1:12" s="658" customFormat="1" ht="15">
      <c r="B3155" s="1677"/>
      <c r="C3155" s="1678"/>
      <c r="D3155" s="1678"/>
      <c r="E3155" s="1828" t="s">
        <v>5675</v>
      </c>
      <c r="F3155" s="1786">
        <f>$J$5</f>
        <v>0.02</v>
      </c>
      <c r="G3155" s="1780"/>
      <c r="H3155" s="1829"/>
      <c r="I3155" s="1830">
        <f>( I3153 )*F3155</f>
        <v>64</v>
      </c>
      <c r="J3155" s="850"/>
      <c r="K3155" s="850"/>
      <c r="L3155" s="850"/>
    </row>
    <row r="3156" spans="1:12" ht="15">
      <c r="B3156" s="1556"/>
      <c r="C3156" s="1557"/>
      <c r="D3156" s="1557"/>
      <c r="E3156" s="1831" t="s">
        <v>5676</v>
      </c>
      <c r="F3156" s="1786"/>
      <c r="G3156" s="1783"/>
      <c r="H3156" s="1832"/>
      <c r="I3156" s="1833">
        <f>I3155+I3155/F3155</f>
        <v>3264</v>
      </c>
    </row>
    <row r="3157" spans="1:12" ht="15">
      <c r="B3157" s="1551"/>
      <c r="C3157" s="1552"/>
      <c r="D3157" s="1552"/>
      <c r="E3157" s="1834" t="s">
        <v>5677</v>
      </c>
      <c r="F3157" s="1786">
        <f>$K$5</f>
        <v>5.5E-2</v>
      </c>
      <c r="G3157" s="1772"/>
      <c r="H3157" s="1824"/>
      <c r="I3157" s="1835">
        <f>I3156*F3157</f>
        <v>179.52</v>
      </c>
    </row>
    <row r="3158" spans="1:12" ht="15">
      <c r="B3158" s="1551"/>
      <c r="C3158" s="1552"/>
      <c r="D3158" s="1552"/>
      <c r="E3158" s="1834" t="s">
        <v>5678</v>
      </c>
      <c r="F3158" s="1786">
        <f>$L$5</f>
        <v>0.06</v>
      </c>
      <c r="G3158" s="1772"/>
      <c r="H3158" s="1824"/>
      <c r="I3158" s="1835">
        <f>SUM(I3156:I3157)*F3158</f>
        <v>206.6112</v>
      </c>
    </row>
    <row r="3159" spans="1:12" ht="14.25">
      <c r="B3159" s="1556"/>
      <c r="C3159" s="1557"/>
      <c r="D3159" s="1557"/>
      <c r="E3159" s="1831" t="s">
        <v>5679</v>
      </c>
      <c r="F3159" s="1787"/>
      <c r="G3159" s="1783"/>
      <c r="H3159" s="1832"/>
      <c r="I3159" s="1833">
        <f>SUM(I3156:I3158)</f>
        <v>3650.1311999999998</v>
      </c>
    </row>
    <row r="3160" spans="1:12" ht="15">
      <c r="B3160" s="1551"/>
      <c r="C3160" s="1552"/>
      <c r="D3160" s="1552"/>
      <c r="E3160" s="1834" t="s">
        <v>5680</v>
      </c>
      <c r="F3160" s="1788">
        <f>$M$5</f>
        <v>0.1</v>
      </c>
      <c r="G3160" s="1772"/>
      <c r="H3160" s="1824"/>
      <c r="I3160" s="1835">
        <f>I3159*F3160</f>
        <v>365.01312000000001</v>
      </c>
    </row>
    <row r="3161" spans="1:12" ht="14.25">
      <c r="B3161" s="1556"/>
      <c r="C3161" s="1557"/>
      <c r="D3161" s="1557"/>
      <c r="E3161" s="1831" t="s">
        <v>5681</v>
      </c>
      <c r="F3161" s="1787"/>
      <c r="G3161" s="1783"/>
      <c r="H3161" s="1832"/>
      <c r="I3161" s="1833">
        <f>SUM(I3159:I3160)</f>
        <v>4015.1443199999999</v>
      </c>
    </row>
    <row r="3162" spans="1:12" ht="12.75">
      <c r="B3162" s="1551"/>
      <c r="C3162" s="1552"/>
      <c r="D3162" s="1552"/>
      <c r="E3162" s="1558" t="s">
        <v>5682</v>
      </c>
      <c r="F3162" s="1560">
        <f>$N$5</f>
        <v>0.01</v>
      </c>
      <c r="G3162" s="1553"/>
      <c r="H3162" s="1554"/>
      <c r="I3162" s="1559">
        <f>I3161*F3162</f>
        <v>40.151443200000003</v>
      </c>
    </row>
    <row r="3163" spans="1:12" ht="14.25">
      <c r="B3163" s="2123"/>
      <c r="C3163" s="1561"/>
      <c r="D3163" s="2124"/>
      <c r="E3163" s="2112" t="s">
        <v>5683</v>
      </c>
      <c r="F3163" s="2113"/>
      <c r="G3163" s="2125"/>
      <c r="H3163" s="2126"/>
      <c r="I3163" s="2110">
        <f>ROUND(I3161+I3162,-2)</f>
        <v>4100</v>
      </c>
    </row>
    <row r="3164" spans="1:12" ht="17.25" customHeight="1">
      <c r="A3164" s="657">
        <v>1</v>
      </c>
      <c r="B3164" s="1546">
        <f>IF(A3164&lt;&gt;0,COUNTA(A$7:$A3164),"")</f>
        <v>183</v>
      </c>
      <c r="C3164" s="1550">
        <f>'8.Dgia'!C2970</f>
        <v>1776</v>
      </c>
      <c r="D3164" s="1550" t="str">
        <f>'8.Dgia'!D2970</f>
        <v>AF.11110</v>
      </c>
      <c r="E3164" s="1766" t="str">
        <f>'8.Dgia'!E2970</f>
        <v>Bê tông C10 lót móng đá 1x2, R&lt;250cm</v>
      </c>
      <c r="F3164" s="1794" t="str">
        <f>'8.Dgia'!G2970</f>
        <v>m3</v>
      </c>
      <c r="G3164" s="1768">
        <f>'8.Dgia'!H2970</f>
        <v>0</v>
      </c>
      <c r="H3164" s="1823"/>
      <c r="I3164" s="1823"/>
      <c r="J3164" s="842">
        <f>+I3165</f>
        <v>775161.30994878686</v>
      </c>
      <c r="K3164" s="842">
        <f>+I3167</f>
        <v>312046.42</v>
      </c>
      <c r="L3164" s="842">
        <f>+I3168</f>
        <v>23229.762015</v>
      </c>
    </row>
    <row r="3165" spans="1:12" s="658" customFormat="1" ht="15">
      <c r="B3165" s="1551" t="str">
        <f>'8.Dgia'!B2971</f>
        <v/>
      </c>
      <c r="C3165" s="1552">
        <f>'8.Dgia'!C2971</f>
        <v>0</v>
      </c>
      <c r="D3165" s="1552">
        <f>'8.Dgia'!D2971</f>
        <v>0</v>
      </c>
      <c r="E3165" s="1770" t="str">
        <f>'8.Dgia'!E2971</f>
        <v xml:space="preserve">  A - Vật liệu</v>
      </c>
      <c r="F3165" s="1786">
        <f>'8.Dgia'!G2971</f>
        <v>0</v>
      </c>
      <c r="G3165" s="1772">
        <f>'8.Dgia'!H2971</f>
        <v>0</v>
      </c>
      <c r="H3165" s="1824"/>
      <c r="I3165" s="1825">
        <f>+I3166</f>
        <v>775161.30994878686</v>
      </c>
      <c r="J3165" s="850"/>
      <c r="K3165" s="850"/>
      <c r="L3165" s="850"/>
    </row>
    <row r="3166" spans="1:12" ht="15">
      <c r="B3166" s="1551" t="str">
        <f>'8.Dgia'!B2972</f>
        <v/>
      </c>
      <c r="C3166" s="1552">
        <f>'8.Dgia'!C2972</f>
        <v>0</v>
      </c>
      <c r="D3166" s="1552" t="str">
        <f>'8.Dgia'!D2972</f>
        <v>C3122</v>
      </c>
      <c r="E3166" s="1775" t="str">
        <f>'8.Dgia'!E2972</f>
        <v>Vữa Bê tông C10 đá 1x2 SN 2-4</v>
      </c>
      <c r="F3166" s="1786" t="str">
        <f>'8.Dgia'!G2972</f>
        <v>m3</v>
      </c>
      <c r="G3166" s="1965">
        <f>'8.Dgia'!H2972</f>
        <v>1.03</v>
      </c>
      <c r="H3166" s="1824">
        <f>GVL!$I$190</f>
        <v>752583.79606678337</v>
      </c>
      <c r="I3166" s="1824">
        <f>H3166*G3166</f>
        <v>775161.30994878686</v>
      </c>
    </row>
    <row r="3167" spans="1:12" s="658" customFormat="1" ht="15">
      <c r="B3167" s="1551" t="str">
        <f>'8.Dgia'!B2973</f>
        <v/>
      </c>
      <c r="C3167" s="1552">
        <f>'8.Dgia'!C2973</f>
        <v>0</v>
      </c>
      <c r="D3167" s="1552">
        <f>'8.Dgia'!D2973</f>
        <v>0</v>
      </c>
      <c r="E3167" s="1770" t="str">
        <f>'8.Dgia'!E2973</f>
        <v xml:space="preserve">  B - Nhân công 3.0/7</v>
      </c>
      <c r="F3167" s="1745" t="s">
        <v>552</v>
      </c>
      <c r="G3167" s="1772">
        <f>'8.Dgia'!H2973</f>
        <v>1.42</v>
      </c>
      <c r="H3167" s="1824">
        <f>'16.NC'!$H$13</f>
        <v>219751</v>
      </c>
      <c r="I3167" s="1826">
        <f>H3167*G3167</f>
        <v>312046.42</v>
      </c>
      <c r="J3167" s="850"/>
      <c r="K3167" s="850"/>
      <c r="L3167" s="850"/>
    </row>
    <row r="3168" spans="1:12" s="658" customFormat="1" ht="15">
      <c r="B3168" s="1551" t="str">
        <f>'8.Dgia'!B2974</f>
        <v/>
      </c>
      <c r="C3168" s="1552">
        <f>'8.Dgia'!C2974</f>
        <v>0</v>
      </c>
      <c r="D3168" s="1552">
        <f>'8.Dgia'!D2974</f>
        <v>0</v>
      </c>
      <c r="E3168" s="1770" t="str">
        <f>'8.Dgia'!E2974</f>
        <v xml:space="preserve">  C - Máy thi công</v>
      </c>
      <c r="F3168" s="1786">
        <f>'8.Dgia'!G2974</f>
        <v>0</v>
      </c>
      <c r="G3168" s="1772">
        <f>'8.Dgia'!H2974</f>
        <v>0</v>
      </c>
      <c r="H3168" s="1824"/>
      <c r="I3168" s="1827">
        <f>SUM(I3169:I3170)</f>
        <v>23229.762015</v>
      </c>
      <c r="J3168" s="850"/>
      <c r="K3168" s="850"/>
      <c r="L3168" s="850"/>
    </row>
    <row r="3169" spans="1:12" ht="15">
      <c r="B3169" s="1551" t="str">
        <f>'8.Dgia'!B2975</f>
        <v/>
      </c>
      <c r="C3169" s="1552">
        <f>'8.Dgia'!C2975</f>
        <v>0</v>
      </c>
      <c r="D3169" s="1552">
        <f>'8.Dgia'!D2975</f>
        <v>0</v>
      </c>
      <c r="E3169" s="1775" t="str">
        <f>'8.Dgia'!E2975</f>
        <v>Máy trộn 250l</v>
      </c>
      <c r="F3169" s="1745" t="s">
        <v>5493</v>
      </c>
      <c r="G3169" s="1772">
        <f>'8.Dgia'!H2975</f>
        <v>9.5000000000000001E-2</v>
      </c>
      <c r="H3169" s="1824">
        <f>'9.may'!$P$333</f>
        <v>180447.90000000002</v>
      </c>
      <c r="I3169" s="1824">
        <f>H3169*G3169</f>
        <v>17142.550500000001</v>
      </c>
    </row>
    <row r="3170" spans="1:12" ht="15">
      <c r="B3170" s="1551" t="str">
        <f>'8.Dgia'!B2976</f>
        <v/>
      </c>
      <c r="C3170" s="1552">
        <f>'8.Dgia'!C2976</f>
        <v>0</v>
      </c>
      <c r="D3170" s="1552">
        <f>'8.Dgia'!D2976</f>
        <v>0</v>
      </c>
      <c r="E3170" s="1775" t="str">
        <f>'8.Dgia'!E2976</f>
        <v>Máy đầm bàn 1kw</v>
      </c>
      <c r="F3170" s="1745" t="s">
        <v>5493</v>
      </c>
      <c r="G3170" s="1772">
        <f>'8.Dgia'!H2976</f>
        <v>8.8999999999999996E-2</v>
      </c>
      <c r="H3170" s="1824">
        <f>'9.may'!$P$381</f>
        <v>68395.634999999995</v>
      </c>
      <c r="I3170" s="1824">
        <f>H3170*G3170</f>
        <v>6087.2115149999991</v>
      </c>
    </row>
    <row r="3171" spans="1:12" s="658" customFormat="1" ht="15">
      <c r="B3171" s="1677"/>
      <c r="C3171" s="1678"/>
      <c r="D3171" s="1678"/>
      <c r="E3171" s="1828" t="s">
        <v>5675</v>
      </c>
      <c r="F3171" s="1786">
        <f>$J$5</f>
        <v>0.02</v>
      </c>
      <c r="G3171" s="1780"/>
      <c r="H3171" s="1829"/>
      <c r="I3171" s="1830">
        <f>( I3165+I3167+I3168 )*F3171</f>
        <v>22208.749839275737</v>
      </c>
      <c r="J3171" s="850"/>
      <c r="K3171" s="850"/>
      <c r="L3171" s="850"/>
    </row>
    <row r="3172" spans="1:12" ht="15">
      <c r="B3172" s="1556"/>
      <c r="C3172" s="1557"/>
      <c r="D3172" s="1557"/>
      <c r="E3172" s="1831" t="s">
        <v>5676</v>
      </c>
      <c r="F3172" s="1786"/>
      <c r="G3172" s="1783"/>
      <c r="H3172" s="1832"/>
      <c r="I3172" s="1833">
        <f>I3171+I3171/F3171</f>
        <v>1132646.2418030626</v>
      </c>
    </row>
    <row r="3173" spans="1:12" ht="15">
      <c r="B3173" s="1551"/>
      <c r="C3173" s="1552"/>
      <c r="D3173" s="1552"/>
      <c r="E3173" s="1834" t="s">
        <v>5677</v>
      </c>
      <c r="F3173" s="1786">
        <f>$K$5</f>
        <v>5.5E-2</v>
      </c>
      <c r="G3173" s="1772"/>
      <c r="H3173" s="1824"/>
      <c r="I3173" s="1835">
        <f>I3172*F3173</f>
        <v>62295.543299168443</v>
      </c>
    </row>
    <row r="3174" spans="1:12" ht="15">
      <c r="B3174" s="1551"/>
      <c r="C3174" s="1552"/>
      <c r="D3174" s="1552"/>
      <c r="E3174" s="1834" t="s">
        <v>5678</v>
      </c>
      <c r="F3174" s="1786">
        <f>$L$5</f>
        <v>0.06</v>
      </c>
      <c r="G3174" s="1772"/>
      <c r="H3174" s="1824"/>
      <c r="I3174" s="1835">
        <f>SUM(I3172:I3173)*F3174</f>
        <v>71696.507106133853</v>
      </c>
    </row>
    <row r="3175" spans="1:12" ht="14.25">
      <c r="B3175" s="1556"/>
      <c r="C3175" s="1557"/>
      <c r="D3175" s="1557"/>
      <c r="E3175" s="1831" t="s">
        <v>5679</v>
      </c>
      <c r="F3175" s="1787"/>
      <c r="G3175" s="1783"/>
      <c r="H3175" s="1832"/>
      <c r="I3175" s="1833">
        <f>SUM(I3172:I3174)</f>
        <v>1266638.2922083647</v>
      </c>
    </row>
    <row r="3176" spans="1:12" ht="15">
      <c r="B3176" s="1551"/>
      <c r="C3176" s="1552"/>
      <c r="D3176" s="1552"/>
      <c r="E3176" s="1834" t="s">
        <v>5680</v>
      </c>
      <c r="F3176" s="1788">
        <f>$M$5</f>
        <v>0.1</v>
      </c>
      <c r="G3176" s="1772"/>
      <c r="H3176" s="1824"/>
      <c r="I3176" s="1835">
        <f>I3175*F3176</f>
        <v>126663.82922083647</v>
      </c>
    </row>
    <row r="3177" spans="1:12" ht="14.25">
      <c r="B3177" s="1556"/>
      <c r="C3177" s="1557"/>
      <c r="D3177" s="1557"/>
      <c r="E3177" s="1831" t="s">
        <v>5681</v>
      </c>
      <c r="F3177" s="1787"/>
      <c r="G3177" s="1783"/>
      <c r="H3177" s="1832"/>
      <c r="I3177" s="1833">
        <f>SUM(I3175:I3176)</f>
        <v>1393302.1214292012</v>
      </c>
    </row>
    <row r="3178" spans="1:12" ht="12.75">
      <c r="B3178" s="1551"/>
      <c r="C3178" s="1552"/>
      <c r="D3178" s="1552"/>
      <c r="E3178" s="1558" t="s">
        <v>5682</v>
      </c>
      <c r="F3178" s="1560">
        <f>$N$5</f>
        <v>0.01</v>
      </c>
      <c r="G3178" s="1553"/>
      <c r="H3178" s="1554"/>
      <c r="I3178" s="1559">
        <f>I3177*F3178</f>
        <v>13933.021214292012</v>
      </c>
    </row>
    <row r="3179" spans="1:12" ht="14.25">
      <c r="B3179" s="2123"/>
      <c r="C3179" s="1561"/>
      <c r="D3179" s="2124"/>
      <c r="E3179" s="2112" t="s">
        <v>5683</v>
      </c>
      <c r="F3179" s="2113"/>
      <c r="G3179" s="2125"/>
      <c r="H3179" s="2126"/>
      <c r="I3179" s="2110">
        <f>ROUND(I3177+I3178,-2)</f>
        <v>1407200</v>
      </c>
    </row>
    <row r="3180" spans="1:12" ht="14.25">
      <c r="A3180" s="657">
        <v>1</v>
      </c>
      <c r="B3180" s="1546">
        <f>IF(A3180&lt;&gt;0,COUNTA(A$7:$A3180),"")</f>
        <v>184</v>
      </c>
      <c r="C3180" s="1547">
        <f>'8.Dgia'!C3006</f>
        <v>1776</v>
      </c>
      <c r="D3180" s="1547" t="str">
        <f>'8.Dgia'!D3006</f>
        <v>AF.13410</v>
      </c>
      <c r="E3180" s="1740" t="str">
        <f>'8.Dgia'!E3006</f>
        <v>Bê tông C30</v>
      </c>
      <c r="F3180" s="1789" t="str">
        <f>'8.Dgia'!G3006</f>
        <v>m3</v>
      </c>
      <c r="G3180" s="1742">
        <f>'8.Dgia'!H3006</f>
        <v>0</v>
      </c>
      <c r="H3180" s="1795"/>
      <c r="I3180" s="1795"/>
      <c r="J3180" s="842">
        <f>+I3181</f>
        <v>1217026.3732372236</v>
      </c>
      <c r="K3180" s="842">
        <f>+I3187</f>
        <v>839504.96</v>
      </c>
      <c r="L3180" s="842">
        <f>+I3188</f>
        <v>30600.934050000003</v>
      </c>
    </row>
    <row r="3181" spans="1:12" s="658" customFormat="1" ht="15">
      <c r="B3181" s="1536" t="str">
        <f>'8.Dgia'!B3007</f>
        <v/>
      </c>
      <c r="C3181" s="1537">
        <f>'8.Dgia'!C3007</f>
        <v>0</v>
      </c>
      <c r="D3181" s="1537">
        <f>'8.Dgia'!D3007</f>
        <v>0</v>
      </c>
      <c r="E3181" s="1744" t="str">
        <f>'8.Dgia'!E3007</f>
        <v xml:space="preserve">  A - Vật liệu</v>
      </c>
      <c r="F3181" s="1763">
        <f>'8.Dgia'!G3007</f>
        <v>0</v>
      </c>
      <c r="G3181" s="1746">
        <f>'8.Dgia'!H3007</f>
        <v>0</v>
      </c>
      <c r="H3181" s="1796"/>
      <c r="I3181" s="1797">
        <f>SUM(I3182:I3186)</f>
        <v>1217026.3732372236</v>
      </c>
      <c r="J3181" s="850"/>
      <c r="K3181" s="850"/>
      <c r="L3181" s="850"/>
    </row>
    <row r="3182" spans="1:12" ht="15">
      <c r="B3182" s="1536" t="str">
        <f>'8.Dgia'!B3008</f>
        <v/>
      </c>
      <c r="C3182" s="1537">
        <f>'8.Dgia'!C3008</f>
        <v>0</v>
      </c>
      <c r="D3182" s="1537" t="str">
        <f>'8.Dgia'!D3008</f>
        <v>C3124</v>
      </c>
      <c r="E3182" s="1749" t="str">
        <f>'8.Dgia'!E3008</f>
        <v>Vữa bê tông đá 1x2 C20 SN 2-4</v>
      </c>
      <c r="F3182" s="1763" t="str">
        <f>'8.Dgia'!G3008</f>
        <v>m3</v>
      </c>
      <c r="G3182" s="1746">
        <f>'8.Dgia'!H3008</f>
        <v>1.0249999999999999</v>
      </c>
      <c r="H3182" s="1796">
        <f>GVL!$I$194</f>
        <v>884378.32894201751</v>
      </c>
      <c r="I3182" s="1796">
        <f>H3182*G3182</f>
        <v>906487.78716556786</v>
      </c>
    </row>
    <row r="3183" spans="1:12" ht="15">
      <c r="B3183" s="1536" t="str">
        <f>'8.Dgia'!B3009</f>
        <v/>
      </c>
      <c r="C3183" s="1537">
        <f>'8.Dgia'!C3009</f>
        <v>0</v>
      </c>
      <c r="D3183" s="1537">
        <f>'8.Dgia'!D3009</f>
        <v>0</v>
      </c>
      <c r="E3183" s="1749" t="str">
        <f>'8.Dgia'!E3009</f>
        <v>Gỗ</v>
      </c>
      <c r="F3183" s="1763" t="str">
        <f>'8.Dgia'!G3009</f>
        <v>m3</v>
      </c>
      <c r="G3183" s="1746">
        <f>'8.Dgia'!H3009</f>
        <v>4.9000000000000002E-2</v>
      </c>
      <c r="H3183" s="1796">
        <f>GVL!$I$96</f>
        <v>6000000</v>
      </c>
      <c r="I3183" s="1796">
        <f>H3183*G3183</f>
        <v>294000</v>
      </c>
    </row>
    <row r="3184" spans="1:12" ht="15">
      <c r="B3184" s="1536" t="str">
        <f>'8.Dgia'!B3010</f>
        <v/>
      </c>
      <c r="C3184" s="1537">
        <f>'8.Dgia'!C3010</f>
        <v>0</v>
      </c>
      <c r="D3184" s="1537">
        <f>'8.Dgia'!D3010</f>
        <v>0</v>
      </c>
      <c r="E3184" s="1749" t="str">
        <f>'8.Dgia'!E3010</f>
        <v>Đinh các loại</v>
      </c>
      <c r="F3184" s="1763" t="str">
        <f>'8.Dgia'!G3010</f>
        <v>kg</v>
      </c>
      <c r="G3184" s="1746">
        <f>'8.Dgia'!H3010</f>
        <v>0.19900000000000001</v>
      </c>
      <c r="H3184" s="1796">
        <f>GVL!$I$86</f>
        <v>18180</v>
      </c>
      <c r="I3184" s="1796">
        <f>H3184*G3184</f>
        <v>3617.82</v>
      </c>
    </row>
    <row r="3185" spans="1:12" ht="15">
      <c r="B3185" s="1536" t="str">
        <f>'8.Dgia'!B3011</f>
        <v/>
      </c>
      <c r="C3185" s="1537">
        <f>'8.Dgia'!C3011</f>
        <v>0</v>
      </c>
      <c r="D3185" s="1537">
        <f>'8.Dgia'!D3011</f>
        <v>0</v>
      </c>
      <c r="E3185" s="1749" t="str">
        <f>'8.Dgia'!E3011</f>
        <v>Đinh đỉa</v>
      </c>
      <c r="F3185" s="1763" t="s">
        <v>567</v>
      </c>
      <c r="G3185" s="1746">
        <f>'8.Dgia'!H3011</f>
        <v>0.871</v>
      </c>
      <c r="H3185" s="1796">
        <f>GVL!$I$87</f>
        <v>1000</v>
      </c>
      <c r="I3185" s="1796">
        <f>H3185*G3185</f>
        <v>871</v>
      </c>
    </row>
    <row r="3186" spans="1:12" ht="15">
      <c r="B3186" s="1536" t="str">
        <f>'8.Dgia'!B3012</f>
        <v/>
      </c>
      <c r="C3186" s="1537">
        <f>'8.Dgia'!C3012</f>
        <v>0</v>
      </c>
      <c r="D3186" s="1537">
        <f>'8.Dgia'!D3012</f>
        <v>0</v>
      </c>
      <c r="E3186" s="1749" t="str">
        <f>'8.Dgia'!E3012</f>
        <v>Vật liệu khác</v>
      </c>
      <c r="F3186" s="1763" t="str">
        <f>'8.Dgia'!G3012</f>
        <v>%</v>
      </c>
      <c r="G3186" s="1746">
        <f>'8.Dgia'!H3012</f>
        <v>1</v>
      </c>
      <c r="H3186" s="1796">
        <f>SUM(I3182:I3185)</f>
        <v>1204976.6071655678</v>
      </c>
      <c r="I3186" s="1796">
        <f>H3186*G3186%</f>
        <v>12049.766071655678</v>
      </c>
    </row>
    <row r="3187" spans="1:12" s="658" customFormat="1" ht="15">
      <c r="B3187" s="1536" t="str">
        <f>'8.Dgia'!B3013</f>
        <v/>
      </c>
      <c r="C3187" s="1537">
        <f>'8.Dgia'!C3013</f>
        <v>0</v>
      </c>
      <c r="D3187" s="1537">
        <f>'8.Dgia'!D3013</f>
        <v>0</v>
      </c>
      <c r="E3187" s="1744" t="str">
        <f>'8.Dgia'!E3013</f>
        <v xml:space="preserve">  B - Nhân công 3.5/7</v>
      </c>
      <c r="F3187" s="1745" t="s">
        <v>552</v>
      </c>
      <c r="G3187" s="1746">
        <f>'8.Dgia'!H3013</f>
        <v>3.56</v>
      </c>
      <c r="H3187" s="1796">
        <f>'16.NC'!$H$16</f>
        <v>235816</v>
      </c>
      <c r="I3187" s="1798">
        <f>H3187*G3187</f>
        <v>839504.96</v>
      </c>
      <c r="J3187" s="850"/>
      <c r="K3187" s="850"/>
      <c r="L3187" s="850"/>
    </row>
    <row r="3188" spans="1:12" s="658" customFormat="1" ht="15">
      <c r="B3188" s="1536" t="str">
        <f>'8.Dgia'!B3014</f>
        <v/>
      </c>
      <c r="C3188" s="1537">
        <f>'8.Dgia'!C3014</f>
        <v>0</v>
      </c>
      <c r="D3188" s="1537">
        <f>'8.Dgia'!D3014</f>
        <v>0</v>
      </c>
      <c r="E3188" s="1744" t="str">
        <f>'8.Dgia'!E3014</f>
        <v xml:space="preserve">  C - Máy thi công</v>
      </c>
      <c r="F3188" s="1763">
        <f>'8.Dgia'!G3014</f>
        <v>0</v>
      </c>
      <c r="G3188" s="1746">
        <f>'8.Dgia'!H3014</f>
        <v>0</v>
      </c>
      <c r="H3188" s="1796"/>
      <c r="I3188" s="1799">
        <f>SUM(I3189:I3190)</f>
        <v>30600.934050000003</v>
      </c>
      <c r="J3188" s="850"/>
      <c r="K3188" s="850"/>
      <c r="L3188" s="850"/>
    </row>
    <row r="3189" spans="1:12" ht="15">
      <c r="B3189" s="1536" t="str">
        <f>'8.Dgia'!B3015</f>
        <v/>
      </c>
      <c r="C3189" s="1537">
        <f>'8.Dgia'!C3015</f>
        <v>0</v>
      </c>
      <c r="D3189" s="1537">
        <f>'8.Dgia'!D3015</f>
        <v>0</v>
      </c>
      <c r="E3189" s="1749" t="str">
        <f>'8.Dgia'!E3015</f>
        <v>Máy trộn 250l</v>
      </c>
      <c r="F3189" s="1745" t="s">
        <v>5493</v>
      </c>
      <c r="G3189" s="1746">
        <f>'8.Dgia'!H3015</f>
        <v>9.5000000000000001E-2</v>
      </c>
      <c r="H3189" s="1796">
        <f>'9.may'!$P$333</f>
        <v>180447.90000000002</v>
      </c>
      <c r="I3189" s="1796">
        <f>H3189*G3189</f>
        <v>17142.550500000001</v>
      </c>
    </row>
    <row r="3190" spans="1:12" ht="15">
      <c r="B3190" s="1536" t="str">
        <f>'8.Dgia'!B3016</f>
        <v/>
      </c>
      <c r="C3190" s="1537">
        <f>'8.Dgia'!C3016</f>
        <v>0</v>
      </c>
      <c r="D3190" s="1537">
        <f>'8.Dgia'!D3016</f>
        <v>0</v>
      </c>
      <c r="E3190" s="1749" t="str">
        <f>'8.Dgia'!E3016</f>
        <v>Máy đầm dùi 1.5kw</v>
      </c>
      <c r="F3190" s="1745" t="s">
        <v>5493</v>
      </c>
      <c r="G3190" s="1746">
        <f>'8.Dgia'!H3016</f>
        <v>0.18</v>
      </c>
      <c r="H3190" s="1796">
        <f>'9.may'!$P$382</f>
        <v>74768.797500000001</v>
      </c>
      <c r="I3190" s="1796">
        <f>H3190*G3190</f>
        <v>13458.38355</v>
      </c>
    </row>
    <row r="3191" spans="1:12" s="658" customFormat="1" ht="15">
      <c r="B3191" s="1675"/>
      <c r="C3191" s="1676"/>
      <c r="D3191" s="1676"/>
      <c r="E3191" s="1800" t="s">
        <v>5675</v>
      </c>
      <c r="F3191" s="1763">
        <f>$J$5</f>
        <v>0.02</v>
      </c>
      <c r="G3191" s="1754"/>
      <c r="H3191" s="1799"/>
      <c r="I3191" s="1799">
        <f>( I3181+I3187+I3188 )*F3191</f>
        <v>41742.645345744473</v>
      </c>
      <c r="J3191" s="850"/>
      <c r="K3191" s="850"/>
      <c r="L3191" s="850"/>
    </row>
    <row r="3192" spans="1:12" ht="15">
      <c r="B3192" s="1540"/>
      <c r="C3192" s="1541"/>
      <c r="D3192" s="1541"/>
      <c r="E3192" s="1801" t="s">
        <v>5676</v>
      </c>
      <c r="F3192" s="1763"/>
      <c r="G3192" s="1759"/>
      <c r="H3192" s="1802"/>
      <c r="I3192" s="1802">
        <f>I3191+I3191/F3191</f>
        <v>2128874.9126329683</v>
      </c>
    </row>
    <row r="3193" spans="1:12" ht="15">
      <c r="B3193" s="1536"/>
      <c r="C3193" s="1537"/>
      <c r="D3193" s="1537"/>
      <c r="E3193" s="1803" t="s">
        <v>5677</v>
      </c>
      <c r="F3193" s="1763">
        <f>$K$5</f>
        <v>5.5E-2</v>
      </c>
      <c r="G3193" s="1746"/>
      <c r="H3193" s="1796"/>
      <c r="I3193" s="1796">
        <f>I3192*F3193</f>
        <v>117088.12019481325</v>
      </c>
    </row>
    <row r="3194" spans="1:12" ht="15">
      <c r="B3194" s="1536"/>
      <c r="C3194" s="1537"/>
      <c r="D3194" s="1537"/>
      <c r="E3194" s="1803" t="s">
        <v>5678</v>
      </c>
      <c r="F3194" s="1763">
        <f>$L$5</f>
        <v>0.06</v>
      </c>
      <c r="G3194" s="1746"/>
      <c r="H3194" s="1796"/>
      <c r="I3194" s="1796">
        <f>SUM(I3192:I3193)*F3194</f>
        <v>134757.78196966689</v>
      </c>
    </row>
    <row r="3195" spans="1:12" ht="14.25">
      <c r="B3195" s="1540"/>
      <c r="C3195" s="1541"/>
      <c r="D3195" s="1541"/>
      <c r="E3195" s="1801" t="s">
        <v>5679</v>
      </c>
      <c r="F3195" s="1791"/>
      <c r="G3195" s="1759"/>
      <c r="H3195" s="1802"/>
      <c r="I3195" s="1802">
        <f>SUM(I3192:I3194)</f>
        <v>2380720.8147974485</v>
      </c>
    </row>
    <row r="3196" spans="1:12" ht="15">
      <c r="B3196" s="1536"/>
      <c r="C3196" s="1537"/>
      <c r="D3196" s="1537"/>
      <c r="E3196" s="1803" t="s">
        <v>5680</v>
      </c>
      <c r="F3196" s="1765">
        <f>$M$5</f>
        <v>0.1</v>
      </c>
      <c r="G3196" s="1746"/>
      <c r="H3196" s="1796"/>
      <c r="I3196" s="1796">
        <f>I3195*F3196</f>
        <v>238072.08147974487</v>
      </c>
    </row>
    <row r="3197" spans="1:12" ht="14.25">
      <c r="B3197" s="1540"/>
      <c r="C3197" s="1541"/>
      <c r="D3197" s="1541"/>
      <c r="E3197" s="1801" t="s">
        <v>5681</v>
      </c>
      <c r="F3197" s="1791"/>
      <c r="G3197" s="1759"/>
      <c r="H3197" s="1802"/>
      <c r="I3197" s="1802">
        <f>SUM(I3195:I3196)</f>
        <v>2618792.8962771934</v>
      </c>
    </row>
    <row r="3198" spans="1:12" ht="12.75">
      <c r="B3198" s="1536"/>
      <c r="C3198" s="1537"/>
      <c r="D3198" s="1537"/>
      <c r="E3198" s="1464" t="s">
        <v>5682</v>
      </c>
      <c r="F3198" s="1535">
        <f>$N$5</f>
        <v>0.01</v>
      </c>
      <c r="G3198" s="1538"/>
      <c r="H3198" s="1539"/>
      <c r="I3198" s="1539">
        <f>I3197*F3198</f>
        <v>26187.928962771934</v>
      </c>
    </row>
    <row r="3199" spans="1:12" ht="14.25">
      <c r="B3199" s="2116"/>
      <c r="C3199" s="1544"/>
      <c r="D3199" s="2116"/>
      <c r="E3199" s="2117" t="s">
        <v>5683</v>
      </c>
      <c r="F3199" s="2115"/>
      <c r="G3199" s="2117"/>
      <c r="H3199" s="2118"/>
      <c r="I3199" s="2110">
        <f>ROUND(I3197+I3198,-2)</f>
        <v>2645000</v>
      </c>
    </row>
    <row r="3200" spans="1:12" ht="14.25">
      <c r="A3200" s="657">
        <v>1</v>
      </c>
      <c r="B3200" s="1546">
        <f>IF(A3200&lt;&gt;0,COUNTA(A$7:$A3200),"")</f>
        <v>185</v>
      </c>
      <c r="C3200" s="1550">
        <f>'8.Dgia'!C3049</f>
        <v>1776</v>
      </c>
      <c r="D3200" s="1550" t="str">
        <f>'8.Dgia'!D3049</f>
        <v>AF.61110</v>
      </c>
      <c r="E3200" s="1766" t="str">
        <f>'8.Dgia'!E3049</f>
        <v>Cốt thép D6 cọc tiêu</v>
      </c>
      <c r="F3200" s="1789" t="s">
        <v>557</v>
      </c>
      <c r="G3200" s="1768">
        <f>'8.Dgia'!H3049</f>
        <v>0</v>
      </c>
      <c r="H3200" s="1823"/>
      <c r="I3200" s="1836"/>
      <c r="J3200" s="842">
        <f>+I3201</f>
        <v>17227261.537800003</v>
      </c>
      <c r="K3200" s="842">
        <f>+I3204</f>
        <v>2669437.12</v>
      </c>
      <c r="L3200" s="842">
        <f>+I3205</f>
        <v>32116.740000000005</v>
      </c>
    </row>
    <row r="3201" spans="1:12" s="658" customFormat="1" ht="15">
      <c r="B3201" s="1551" t="str">
        <f>'8.Dgia'!B3050</f>
        <v/>
      </c>
      <c r="C3201" s="1552">
        <f>'8.Dgia'!C3050</f>
        <v>0</v>
      </c>
      <c r="D3201" s="1552">
        <f>'8.Dgia'!D3050</f>
        <v>0</v>
      </c>
      <c r="E3201" s="1770" t="str">
        <f>'8.Dgia'!E3050</f>
        <v xml:space="preserve">  A - Vật liệu</v>
      </c>
      <c r="F3201" s="1786">
        <f>'8.Dgia'!G3050</f>
        <v>0</v>
      </c>
      <c r="G3201" s="1772">
        <f>'8.Dgia'!H3050</f>
        <v>0</v>
      </c>
      <c r="H3201" s="1824"/>
      <c r="I3201" s="1825">
        <f>SUM(I3202:I3203)</f>
        <v>17227261.537800003</v>
      </c>
      <c r="J3201" s="850"/>
      <c r="K3201" s="850"/>
      <c r="L3201" s="850"/>
    </row>
    <row r="3202" spans="1:12" ht="15">
      <c r="B3202" s="1551" t="str">
        <f>'8.Dgia'!B3051</f>
        <v/>
      </c>
      <c r="C3202" s="1552">
        <f>'8.Dgia'!C3051</f>
        <v>0</v>
      </c>
      <c r="D3202" s="1552">
        <f>'8.Dgia'!D3051</f>
        <v>0</v>
      </c>
      <c r="E3202" s="1775" t="str">
        <f>'8.Dgia'!E3051</f>
        <v>Thép tròn D&lt;=10</v>
      </c>
      <c r="F3202" s="1786" t="str">
        <f>'8.Dgia'!G3051</f>
        <v>kg</v>
      </c>
      <c r="G3202" s="1965">
        <f>'8.Dgia'!H3051</f>
        <v>1005</v>
      </c>
      <c r="H3202" s="1824">
        <f>GVL!$I$179</f>
        <v>16754.075560000001</v>
      </c>
      <c r="I3202" s="1824">
        <f>H3202*G3202</f>
        <v>16837845.937800001</v>
      </c>
    </row>
    <row r="3203" spans="1:12" ht="15">
      <c r="B3203" s="1551" t="str">
        <f>'8.Dgia'!B3052</f>
        <v/>
      </c>
      <c r="C3203" s="1552">
        <f>'8.Dgia'!C3052</f>
        <v>0</v>
      </c>
      <c r="D3203" s="1552">
        <f>'8.Dgia'!D3052</f>
        <v>0</v>
      </c>
      <c r="E3203" s="1775" t="str">
        <f>'8.Dgia'!E3052</f>
        <v>Dây thép buộc</v>
      </c>
      <c r="F3203" s="1786" t="str">
        <f>'8.Dgia'!G3052</f>
        <v>kg</v>
      </c>
      <c r="G3203" s="1772">
        <f>'8.Dgia'!H3052</f>
        <v>21.42</v>
      </c>
      <c r="H3203" s="1824">
        <f>GVL!$I$89</f>
        <v>18180</v>
      </c>
      <c r="I3203" s="1824">
        <f>H3203*G3203</f>
        <v>389415.60000000003</v>
      </c>
    </row>
    <row r="3204" spans="1:12" s="658" customFormat="1" ht="15">
      <c r="B3204" s="1551" t="str">
        <f>'8.Dgia'!B3053</f>
        <v/>
      </c>
      <c r="C3204" s="1552">
        <f>'8.Dgia'!C3053</f>
        <v>0</v>
      </c>
      <c r="D3204" s="1552">
        <f>'8.Dgia'!D3053</f>
        <v>0</v>
      </c>
      <c r="E3204" s="1770" t="str">
        <f>'8.Dgia'!E3053</f>
        <v xml:space="preserve">  B - Nhân công 3.5/7</v>
      </c>
      <c r="F3204" s="1745" t="s">
        <v>552</v>
      </c>
      <c r="G3204" s="1772">
        <f>'8.Dgia'!H3053</f>
        <v>11.32</v>
      </c>
      <c r="H3204" s="1824">
        <f>'16.NC'!$H$16</f>
        <v>235816</v>
      </c>
      <c r="I3204" s="1826">
        <f>H3204*G3204</f>
        <v>2669437.12</v>
      </c>
      <c r="J3204" s="850"/>
      <c r="K3204" s="850"/>
      <c r="L3204" s="850"/>
    </row>
    <row r="3205" spans="1:12" s="658" customFormat="1" ht="15">
      <c r="B3205" s="1551" t="str">
        <f>'8.Dgia'!B3054</f>
        <v/>
      </c>
      <c r="C3205" s="1552">
        <f>'8.Dgia'!C3054</f>
        <v>0</v>
      </c>
      <c r="D3205" s="1552">
        <f>'8.Dgia'!D3054</f>
        <v>0</v>
      </c>
      <c r="E3205" s="1770" t="str">
        <f>'8.Dgia'!E3054</f>
        <v xml:space="preserve">  C - Máy thi công</v>
      </c>
      <c r="F3205" s="1786">
        <f>'8.Dgia'!G3054</f>
        <v>0</v>
      </c>
      <c r="G3205" s="1772">
        <f>'8.Dgia'!H3054</f>
        <v>0</v>
      </c>
      <c r="H3205" s="1824"/>
      <c r="I3205" s="1827">
        <f>SUM(I3206:I3206)</f>
        <v>32116.740000000005</v>
      </c>
      <c r="J3205" s="850"/>
      <c r="K3205" s="850"/>
      <c r="L3205" s="850"/>
    </row>
    <row r="3206" spans="1:12" ht="15">
      <c r="B3206" s="1551" t="str">
        <f>'8.Dgia'!B3055</f>
        <v/>
      </c>
      <c r="C3206" s="1552">
        <f>'8.Dgia'!C3055</f>
        <v>0</v>
      </c>
      <c r="D3206" s="1552">
        <f>'8.Dgia'!D3055</f>
        <v>0</v>
      </c>
      <c r="E3206" s="1775" t="str">
        <f>'8.Dgia'!E3055</f>
        <v>Máy cắt uốn</v>
      </c>
      <c r="F3206" s="1745" t="s">
        <v>5493</v>
      </c>
      <c r="G3206" s="1965">
        <f>'8.Dgia'!H3055</f>
        <v>0.4</v>
      </c>
      <c r="H3206" s="1824">
        <f>'9.may'!$P$557</f>
        <v>80291.850000000006</v>
      </c>
      <c r="I3206" s="1824">
        <f>H3206*G3206</f>
        <v>32116.740000000005</v>
      </c>
    </row>
    <row r="3207" spans="1:12" s="658" customFormat="1" ht="15">
      <c r="B3207" s="1677"/>
      <c r="C3207" s="1678"/>
      <c r="D3207" s="1678"/>
      <c r="E3207" s="1828" t="s">
        <v>5675</v>
      </c>
      <c r="F3207" s="1786">
        <f>$J$5</f>
        <v>0.02</v>
      </c>
      <c r="G3207" s="1780"/>
      <c r="H3207" s="1829"/>
      <c r="I3207" s="1830">
        <f>( I3201+I3204+I3205 )*F3207</f>
        <v>398576.30795600003</v>
      </c>
      <c r="J3207" s="850"/>
      <c r="K3207" s="850"/>
      <c r="L3207" s="850"/>
    </row>
    <row r="3208" spans="1:12" ht="15">
      <c r="B3208" s="1556"/>
      <c r="C3208" s="1557"/>
      <c r="D3208" s="1557"/>
      <c r="E3208" s="1831" t="s">
        <v>5676</v>
      </c>
      <c r="F3208" s="1786"/>
      <c r="G3208" s="1783"/>
      <c r="H3208" s="1832"/>
      <c r="I3208" s="1833">
        <f>I3207+I3207/F3207</f>
        <v>20327391.705756001</v>
      </c>
    </row>
    <row r="3209" spans="1:12" ht="15">
      <c r="B3209" s="1551"/>
      <c r="C3209" s="1552"/>
      <c r="D3209" s="1552"/>
      <c r="E3209" s="1834" t="s">
        <v>5677</v>
      </c>
      <c r="F3209" s="1786">
        <f>$K$5</f>
        <v>5.5E-2</v>
      </c>
      <c r="G3209" s="1772"/>
      <c r="H3209" s="1824"/>
      <c r="I3209" s="1835">
        <f>I3208*F3209</f>
        <v>1118006.54381658</v>
      </c>
    </row>
    <row r="3210" spans="1:12" ht="15">
      <c r="B3210" s="1551"/>
      <c r="C3210" s="1552"/>
      <c r="D3210" s="1552"/>
      <c r="E3210" s="1834" t="s">
        <v>5678</v>
      </c>
      <c r="F3210" s="1786">
        <f>$L$5</f>
        <v>0.06</v>
      </c>
      <c r="G3210" s="1772"/>
      <c r="H3210" s="1824"/>
      <c r="I3210" s="1835">
        <f>SUM(I3208:I3209)*F3210</f>
        <v>1286723.8949743549</v>
      </c>
    </row>
    <row r="3211" spans="1:12" ht="14.25">
      <c r="B3211" s="1556"/>
      <c r="C3211" s="1557"/>
      <c r="D3211" s="1557"/>
      <c r="E3211" s="1831" t="s">
        <v>5679</v>
      </c>
      <c r="F3211" s="1787"/>
      <c r="G3211" s="1783"/>
      <c r="H3211" s="1832"/>
      <c r="I3211" s="1833">
        <f>SUM(I3208:I3210)</f>
        <v>22732122.144546937</v>
      </c>
    </row>
    <row r="3212" spans="1:12" ht="15">
      <c r="B3212" s="1551"/>
      <c r="C3212" s="1552"/>
      <c r="D3212" s="1552"/>
      <c r="E3212" s="1834" t="s">
        <v>5680</v>
      </c>
      <c r="F3212" s="1788">
        <f>$M$5</f>
        <v>0.1</v>
      </c>
      <c r="G3212" s="1772"/>
      <c r="H3212" s="1824"/>
      <c r="I3212" s="1835">
        <f>I3211*F3212</f>
        <v>2273212.2144546937</v>
      </c>
    </row>
    <row r="3213" spans="1:12" ht="14.25">
      <c r="B3213" s="1556"/>
      <c r="C3213" s="1557"/>
      <c r="D3213" s="1557"/>
      <c r="E3213" s="1831" t="s">
        <v>5681</v>
      </c>
      <c r="F3213" s="1787"/>
      <c r="G3213" s="1783"/>
      <c r="H3213" s="1832"/>
      <c r="I3213" s="1833">
        <f>SUM(I3211:I3212)</f>
        <v>25005334.359001629</v>
      </c>
    </row>
    <row r="3214" spans="1:12" ht="12.75">
      <c r="B3214" s="1551"/>
      <c r="C3214" s="1552"/>
      <c r="D3214" s="1552"/>
      <c r="E3214" s="1558" t="s">
        <v>5682</v>
      </c>
      <c r="F3214" s="1560">
        <f>$N$5</f>
        <v>0.01</v>
      </c>
      <c r="G3214" s="1553"/>
      <c r="H3214" s="1554"/>
      <c r="I3214" s="1559">
        <f>I3213*F3214</f>
        <v>250053.3435900163</v>
      </c>
    </row>
    <row r="3215" spans="1:12" ht="14.25">
      <c r="B3215" s="2123"/>
      <c r="C3215" s="1561"/>
      <c r="D3215" s="2124"/>
      <c r="E3215" s="2112" t="s">
        <v>5683</v>
      </c>
      <c r="F3215" s="2113"/>
      <c r="G3215" s="2125"/>
      <c r="H3215" s="2126"/>
      <c r="I3215" s="2110">
        <f>ROUND(I3213+I3214,-2)</f>
        <v>25255400</v>
      </c>
    </row>
    <row r="3216" spans="1:12" ht="28.5">
      <c r="A3216" s="657">
        <v>1</v>
      </c>
      <c r="B3216" s="1546">
        <f>IF(A3216&lt;&gt;0,COUNTA(A$7:$A3216),"")</f>
        <v>186</v>
      </c>
      <c r="C3216" s="1550">
        <f>'8.Dgia'!C3111</f>
        <v>1776</v>
      </c>
      <c r="D3216" s="1550" t="str">
        <f>'8.Dgia'!D3111</f>
        <v>AC.22121vd</v>
      </c>
      <c r="E3216" s="1766" t="str">
        <f>'8.Dgia'!E3111</f>
        <v>Đóng cọc ván thép trên cạn, L&gt;12m ( không ngập đất, HS=0,75)</v>
      </c>
      <c r="F3216" s="1794" t="s">
        <v>543</v>
      </c>
      <c r="G3216" s="2082">
        <f>'8.Dgia'!H3111</f>
        <v>0.75</v>
      </c>
      <c r="H3216" s="1823"/>
      <c r="I3216" s="1823"/>
      <c r="K3216" s="842">
        <f>+I3217</f>
        <v>16757.765999999996</v>
      </c>
      <c r="L3216" s="842">
        <f>+I3218</f>
        <v>60348.094451140903</v>
      </c>
    </row>
    <row r="3217" spans="1:12" s="658" customFormat="1" ht="15">
      <c r="B3217" s="1551" t="str">
        <f>'8.Dgia'!B3112</f>
        <v/>
      </c>
      <c r="C3217" s="1552">
        <f>'8.Dgia'!C3112</f>
        <v>0</v>
      </c>
      <c r="D3217" s="1552">
        <f>'8.Dgia'!D3112</f>
        <v>0</v>
      </c>
      <c r="E3217" s="1770" t="str">
        <f>'8.Dgia'!E3112</f>
        <v xml:space="preserve">  B - Nhân công 4.0/7</v>
      </c>
      <c r="F3217" s="1745" t="s">
        <v>552</v>
      </c>
      <c r="G3217" s="1772">
        <f>'8.Dgia'!H3112/100</f>
        <v>6.5249999999999989E-2</v>
      </c>
      <c r="H3217" s="1824">
        <f>'16.NC'!$H$18</f>
        <v>256824</v>
      </c>
      <c r="I3217" s="1826">
        <f>H3217*G3217</f>
        <v>16757.765999999996</v>
      </c>
      <c r="J3217" s="850"/>
      <c r="K3217" s="850"/>
      <c r="L3217" s="850"/>
    </row>
    <row r="3218" spans="1:12" s="658" customFormat="1" ht="15">
      <c r="B3218" s="1551" t="str">
        <f>'8.Dgia'!B3113</f>
        <v/>
      </c>
      <c r="C3218" s="1552">
        <f>'8.Dgia'!C3113</f>
        <v>0</v>
      </c>
      <c r="D3218" s="1552">
        <f>'8.Dgia'!D3113</f>
        <v>0</v>
      </c>
      <c r="E3218" s="1770" t="str">
        <f>'8.Dgia'!E3113</f>
        <v xml:space="preserve">  C - Máy thi công</v>
      </c>
      <c r="F3218" s="1786">
        <f>'8.Dgia'!G3113</f>
        <v>0</v>
      </c>
      <c r="G3218" s="1772">
        <f>'8.Dgia'!H3113/100</f>
        <v>0</v>
      </c>
      <c r="H3218" s="1824"/>
      <c r="I3218" s="1827">
        <f>SUM(I3219:I3220)</f>
        <v>60348.094451140903</v>
      </c>
      <c r="J3218" s="850"/>
      <c r="K3218" s="850"/>
      <c r="L3218" s="850"/>
    </row>
    <row r="3219" spans="1:12" ht="15">
      <c r="B3219" s="1551" t="str">
        <f>'8.Dgia'!B3114</f>
        <v/>
      </c>
      <c r="C3219" s="1552">
        <f>'8.Dgia'!C3114</f>
        <v>0</v>
      </c>
      <c r="D3219" s="1552">
        <f>'8.Dgia'!D3114</f>
        <v>0</v>
      </c>
      <c r="E3219" s="1775" t="str">
        <f>'8.Dgia'!E3114</f>
        <v>Máy đóng cọc tự hành 1.8T</v>
      </c>
      <c r="F3219" s="1745" t="s">
        <v>5493</v>
      </c>
      <c r="G3219" s="1772">
        <f>'8.Dgia'!H3114/100</f>
        <v>2.1749999999999999E-2</v>
      </c>
      <c r="H3219" s="1824">
        <f>'9.may'!$P$611</f>
        <v>2693810.7109090909</v>
      </c>
      <c r="I3219" s="1824">
        <f>H3219*G3219</f>
        <v>58590.382962272721</v>
      </c>
    </row>
    <row r="3220" spans="1:12" ht="15">
      <c r="B3220" s="1551" t="str">
        <f>'8.Dgia'!B3115</f>
        <v/>
      </c>
      <c r="C3220" s="1552">
        <f>'8.Dgia'!C3115</f>
        <v>0</v>
      </c>
      <c r="D3220" s="1552">
        <f>'8.Dgia'!D3115</f>
        <v>0</v>
      </c>
      <c r="E3220" s="1775" t="str">
        <f>'8.Dgia'!E3115</f>
        <v>Máy khác</v>
      </c>
      <c r="F3220" s="1786" t="str">
        <f>'8.Dgia'!G3115</f>
        <v>%</v>
      </c>
      <c r="G3220" s="1965">
        <f>'8.Dgia'!H3115</f>
        <v>3</v>
      </c>
      <c r="H3220" s="1824">
        <f>SUM(I3219:I3219)</f>
        <v>58590.382962272721</v>
      </c>
      <c r="I3220" s="1824">
        <f>H3220*G3220%</f>
        <v>1757.7114888681815</v>
      </c>
    </row>
    <row r="3221" spans="1:12" s="658" customFormat="1" ht="15">
      <c r="B3221" s="1677"/>
      <c r="C3221" s="1678"/>
      <c r="D3221" s="1678"/>
      <c r="E3221" s="1828" t="s">
        <v>5675</v>
      </c>
      <c r="F3221" s="1786">
        <f>$J$5</f>
        <v>0.02</v>
      </c>
      <c r="G3221" s="1780"/>
      <c r="H3221" s="1829"/>
      <c r="I3221" s="1830">
        <f>( I3217+I3218 )*F3221</f>
        <v>1542.1172090228181</v>
      </c>
      <c r="J3221" s="850"/>
      <c r="K3221" s="850"/>
      <c r="L3221" s="850"/>
    </row>
    <row r="3222" spans="1:12" ht="15">
      <c r="B3222" s="1556"/>
      <c r="C3222" s="1557"/>
      <c r="D3222" s="1557"/>
      <c r="E3222" s="1831" t="s">
        <v>5676</v>
      </c>
      <c r="F3222" s="1786"/>
      <c r="G3222" s="1783"/>
      <c r="H3222" s="1832"/>
      <c r="I3222" s="1833">
        <f>I3221+I3221/F3221</f>
        <v>78647.977660163728</v>
      </c>
    </row>
    <row r="3223" spans="1:12" ht="15">
      <c r="B3223" s="1551"/>
      <c r="C3223" s="1552"/>
      <c r="D3223" s="1552"/>
      <c r="E3223" s="1834" t="s">
        <v>5677</v>
      </c>
      <c r="F3223" s="1786">
        <f>$K$5</f>
        <v>5.5E-2</v>
      </c>
      <c r="G3223" s="1772"/>
      <c r="H3223" s="1824"/>
      <c r="I3223" s="1835">
        <f>I3222*F3223</f>
        <v>4325.6387713090053</v>
      </c>
    </row>
    <row r="3224" spans="1:12" ht="15">
      <c r="B3224" s="1551"/>
      <c r="C3224" s="1552"/>
      <c r="D3224" s="1552"/>
      <c r="E3224" s="1834" t="s">
        <v>5678</v>
      </c>
      <c r="F3224" s="1786">
        <f>$L$5</f>
        <v>0.06</v>
      </c>
      <c r="G3224" s="1772"/>
      <c r="H3224" s="1824"/>
      <c r="I3224" s="1835">
        <f>SUM(I3222:I3223)*F3224</f>
        <v>4978.4169858883643</v>
      </c>
    </row>
    <row r="3225" spans="1:12" ht="14.25">
      <c r="B3225" s="1556"/>
      <c r="C3225" s="1557"/>
      <c r="D3225" s="1557"/>
      <c r="E3225" s="1831" t="s">
        <v>5679</v>
      </c>
      <c r="F3225" s="1787"/>
      <c r="G3225" s="1783"/>
      <c r="H3225" s="1832"/>
      <c r="I3225" s="1833">
        <f>SUM(I3222:I3224)</f>
        <v>87952.033417361105</v>
      </c>
    </row>
    <row r="3226" spans="1:12" ht="15">
      <c r="B3226" s="1551"/>
      <c r="C3226" s="1552"/>
      <c r="D3226" s="1552"/>
      <c r="E3226" s="1834" t="s">
        <v>5680</v>
      </c>
      <c r="F3226" s="1788">
        <f>$M$5</f>
        <v>0.1</v>
      </c>
      <c r="G3226" s="1772"/>
      <c r="H3226" s="1824"/>
      <c r="I3226" s="1835">
        <f>I3225*F3226</f>
        <v>8795.2033417361108</v>
      </c>
    </row>
    <row r="3227" spans="1:12" ht="14.25">
      <c r="B3227" s="1556"/>
      <c r="C3227" s="1557"/>
      <c r="D3227" s="1557"/>
      <c r="E3227" s="1831" t="s">
        <v>5681</v>
      </c>
      <c r="F3227" s="1787"/>
      <c r="G3227" s="1783"/>
      <c r="H3227" s="1832"/>
      <c r="I3227" s="1833">
        <f>SUM(I3225:I3226)</f>
        <v>96747.236759097214</v>
      </c>
    </row>
    <row r="3228" spans="1:12" ht="12.75">
      <c r="B3228" s="1551"/>
      <c r="C3228" s="1552"/>
      <c r="D3228" s="1552"/>
      <c r="E3228" s="1558" t="s">
        <v>5682</v>
      </c>
      <c r="F3228" s="1560">
        <f>$N$5</f>
        <v>0.01</v>
      </c>
      <c r="G3228" s="1553"/>
      <c r="H3228" s="1554"/>
      <c r="I3228" s="1559">
        <f>I3227*F3228</f>
        <v>967.47236759097211</v>
      </c>
    </row>
    <row r="3229" spans="1:12" ht="14.25">
      <c r="B3229" s="2123"/>
      <c r="C3229" s="1561"/>
      <c r="D3229" s="2124"/>
      <c r="E3229" s="2112" t="s">
        <v>5683</v>
      </c>
      <c r="F3229" s="2113"/>
      <c r="G3229" s="2125"/>
      <c r="H3229" s="2126"/>
      <c r="I3229" s="2110">
        <f>ROUND(I3227+I3228,-2)</f>
        <v>97700</v>
      </c>
    </row>
    <row r="3230" spans="1:12" ht="28.5" customHeight="1">
      <c r="A3230" s="657">
        <v>1</v>
      </c>
      <c r="B3230" s="1546">
        <f>IF(A3230&lt;&gt;0,COUNTA(A$7:$A3230),"")</f>
        <v>187</v>
      </c>
      <c r="C3230" s="1550">
        <f>'8.Dgia'!C3116</f>
        <v>1776</v>
      </c>
      <c r="D3230" s="1550" t="str">
        <f>'8.Dgia'!D3116</f>
        <v>AC.22521vd</v>
      </c>
      <c r="E3230" s="1766" t="str">
        <f>'8.Dgia'!E3116</f>
        <v>Đóng cọc thép hình trên cạn L&gt;10m, đất C1 ( không ngập đất, HS=0,75)</v>
      </c>
      <c r="F3230" s="1794" t="s">
        <v>543</v>
      </c>
      <c r="G3230" s="1768">
        <v>0.75</v>
      </c>
      <c r="H3230" s="1823"/>
      <c r="I3230" s="1823"/>
      <c r="K3230" s="842">
        <f>+I3231</f>
        <v>12096.410400000001</v>
      </c>
      <c r="L3230" s="842">
        <f>+I3232</f>
        <v>34730.234906035774</v>
      </c>
    </row>
    <row r="3231" spans="1:12" s="658" customFormat="1" ht="15">
      <c r="B3231" s="1551" t="str">
        <f>'8.Dgia'!B3117</f>
        <v/>
      </c>
      <c r="C3231" s="1552">
        <f>'8.Dgia'!C3117</f>
        <v>0</v>
      </c>
      <c r="D3231" s="1552">
        <f>'8.Dgia'!D3117</f>
        <v>0</v>
      </c>
      <c r="E3231" s="1770" t="str">
        <f>'8.Dgia'!E3117</f>
        <v xml:space="preserve">  B - Nhân công 4.0/7</v>
      </c>
      <c r="F3231" s="1745" t="s">
        <v>552</v>
      </c>
      <c r="G3231" s="1772">
        <f>'8.Dgia'!H3117/100</f>
        <v>4.7100000000000003E-2</v>
      </c>
      <c r="H3231" s="1824">
        <f>'16.NC'!$H$18</f>
        <v>256824</v>
      </c>
      <c r="I3231" s="1826">
        <f>H3231*G3231</f>
        <v>12096.410400000001</v>
      </c>
      <c r="J3231" s="850"/>
      <c r="K3231" s="850"/>
      <c r="L3231" s="850"/>
    </row>
    <row r="3232" spans="1:12" s="658" customFormat="1" ht="15">
      <c r="B3232" s="1551" t="str">
        <f>'8.Dgia'!B3118</f>
        <v/>
      </c>
      <c r="C3232" s="1552">
        <f>'8.Dgia'!C3118</f>
        <v>0</v>
      </c>
      <c r="D3232" s="1552">
        <f>'8.Dgia'!D3118</f>
        <v>0</v>
      </c>
      <c r="E3232" s="1770" t="str">
        <f>'8.Dgia'!E3118</f>
        <v xml:space="preserve">  C - Máy thi công</v>
      </c>
      <c r="F3232" s="1786">
        <f>'8.Dgia'!G3118</f>
        <v>0</v>
      </c>
      <c r="G3232" s="1772">
        <f>'8.Dgia'!H3118/100</f>
        <v>0</v>
      </c>
      <c r="H3232" s="1824"/>
      <c r="I3232" s="1827">
        <f>SUM(I3233:I3234)</f>
        <v>34730.234906035774</v>
      </c>
      <c r="J3232" s="850"/>
      <c r="K3232" s="850"/>
      <c r="L3232" s="850"/>
    </row>
    <row r="3233" spans="1:12" ht="15">
      <c r="B3233" s="1551" t="str">
        <f>'8.Dgia'!B3119</f>
        <v/>
      </c>
      <c r="C3233" s="1552">
        <f>'8.Dgia'!C3119</f>
        <v>0</v>
      </c>
      <c r="D3233" s="1552">
        <f>'8.Dgia'!D3119</f>
        <v>0</v>
      </c>
      <c r="E3233" s="1775" t="str">
        <f>'8.Dgia'!E3119</f>
        <v>Máy đóng cọc 1.2T</v>
      </c>
      <c r="F3233" s="1745" t="s">
        <v>5493</v>
      </c>
      <c r="G3233" s="1772">
        <f>'8.Dgia'!H3119/100</f>
        <v>2.3550000000000001E-2</v>
      </c>
      <c r="H3233" s="1824">
        <f>'9.may'!$P$615</f>
        <v>1452950.327090909</v>
      </c>
      <c r="I3233" s="1824">
        <f>H3233*G3233</f>
        <v>34216.980202990911</v>
      </c>
    </row>
    <row r="3234" spans="1:12" ht="15">
      <c r="B3234" s="1551" t="str">
        <f>'8.Dgia'!B3120</f>
        <v/>
      </c>
      <c r="C3234" s="1552">
        <f>'8.Dgia'!C3120</f>
        <v>0</v>
      </c>
      <c r="D3234" s="1552">
        <f>'8.Dgia'!D3120</f>
        <v>0</v>
      </c>
      <c r="E3234" s="1775" t="str">
        <f>'8.Dgia'!E3120</f>
        <v>Máy khác</v>
      </c>
      <c r="F3234" s="1786" t="str">
        <f>'8.Dgia'!G3120</f>
        <v>%</v>
      </c>
      <c r="G3234" s="1965">
        <f>'8.Dgia'!H3120</f>
        <v>1.5</v>
      </c>
      <c r="H3234" s="1824">
        <f>SUM(I3233:I3233)</f>
        <v>34216.980202990911</v>
      </c>
      <c r="I3234" s="1824">
        <f>H3234*G3234%</f>
        <v>513.25470304486362</v>
      </c>
    </row>
    <row r="3235" spans="1:12" s="658" customFormat="1" ht="15">
      <c r="B3235" s="1677"/>
      <c r="C3235" s="1678"/>
      <c r="D3235" s="1678"/>
      <c r="E3235" s="1828" t="s">
        <v>5675</v>
      </c>
      <c r="F3235" s="1786">
        <f>$J$5</f>
        <v>0.02</v>
      </c>
      <c r="G3235" s="1780"/>
      <c r="H3235" s="1829"/>
      <c r="I3235" s="1830">
        <f>( I3231+I3232 )*F3235</f>
        <v>936.53290612071555</v>
      </c>
      <c r="J3235" s="850"/>
      <c r="K3235" s="850"/>
      <c r="L3235" s="850"/>
    </row>
    <row r="3236" spans="1:12" ht="15">
      <c r="B3236" s="1556"/>
      <c r="C3236" s="1557"/>
      <c r="D3236" s="1557"/>
      <c r="E3236" s="1831" t="s">
        <v>5676</v>
      </c>
      <c r="F3236" s="1786"/>
      <c r="G3236" s="1783"/>
      <c r="H3236" s="1832"/>
      <c r="I3236" s="1833">
        <f>I3235+I3235/F3235</f>
        <v>47763.17821215649</v>
      </c>
    </row>
    <row r="3237" spans="1:12" ht="15">
      <c r="B3237" s="1551"/>
      <c r="C3237" s="1552"/>
      <c r="D3237" s="1552"/>
      <c r="E3237" s="1834" t="s">
        <v>5677</v>
      </c>
      <c r="F3237" s="1786">
        <f>$K$5</f>
        <v>5.5E-2</v>
      </c>
      <c r="G3237" s="1772"/>
      <c r="H3237" s="1824"/>
      <c r="I3237" s="1835">
        <f>I3236*F3237</f>
        <v>2626.9748016686071</v>
      </c>
    </row>
    <row r="3238" spans="1:12" ht="15">
      <c r="B3238" s="1551"/>
      <c r="C3238" s="1552"/>
      <c r="D3238" s="1552"/>
      <c r="E3238" s="1834" t="s">
        <v>5678</v>
      </c>
      <c r="F3238" s="1786">
        <f>$L$5</f>
        <v>0.06</v>
      </c>
      <c r="G3238" s="1772"/>
      <c r="H3238" s="1824"/>
      <c r="I3238" s="1835">
        <f>SUM(I3236:I3237)*F3238</f>
        <v>3023.4091808295057</v>
      </c>
    </row>
    <row r="3239" spans="1:12" ht="14.25">
      <c r="B3239" s="1556"/>
      <c r="C3239" s="1557"/>
      <c r="D3239" s="1557"/>
      <c r="E3239" s="1831" t="s">
        <v>5679</v>
      </c>
      <c r="F3239" s="1787"/>
      <c r="G3239" s="1783"/>
      <c r="H3239" s="1832"/>
      <c r="I3239" s="1833">
        <f>SUM(I3236:I3238)</f>
        <v>53413.562194654602</v>
      </c>
    </row>
    <row r="3240" spans="1:12" ht="15">
      <c r="B3240" s="1551"/>
      <c r="C3240" s="1552"/>
      <c r="D3240" s="1552"/>
      <c r="E3240" s="1834" t="s">
        <v>5680</v>
      </c>
      <c r="F3240" s="1788">
        <f>$M$5</f>
        <v>0.1</v>
      </c>
      <c r="G3240" s="1772"/>
      <c r="H3240" s="1824"/>
      <c r="I3240" s="1835">
        <f>I3239*F3240</f>
        <v>5341.3562194654605</v>
      </c>
    </row>
    <row r="3241" spans="1:12" ht="14.25">
      <c r="B3241" s="1556"/>
      <c r="C3241" s="1557"/>
      <c r="D3241" s="1557"/>
      <c r="E3241" s="1831" t="s">
        <v>5681</v>
      </c>
      <c r="F3241" s="1787"/>
      <c r="G3241" s="1783"/>
      <c r="H3241" s="1832"/>
      <c r="I3241" s="1833">
        <f>SUM(I3239:I3240)</f>
        <v>58754.91841412006</v>
      </c>
    </row>
    <row r="3242" spans="1:12" ht="12.75">
      <c r="B3242" s="1551"/>
      <c r="C3242" s="1552"/>
      <c r="D3242" s="1552"/>
      <c r="E3242" s="1558" t="s">
        <v>5682</v>
      </c>
      <c r="F3242" s="1560">
        <f>$N$5</f>
        <v>0.01</v>
      </c>
      <c r="G3242" s="1553"/>
      <c r="H3242" s="1554"/>
      <c r="I3242" s="1559">
        <f>I3241*F3242</f>
        <v>587.54918414120061</v>
      </c>
    </row>
    <row r="3243" spans="1:12" ht="14.25">
      <c r="B3243" s="2123"/>
      <c r="C3243" s="1561"/>
      <c r="D3243" s="2124"/>
      <c r="E3243" s="2112" t="s">
        <v>5683</v>
      </c>
      <c r="F3243" s="2113"/>
      <c r="G3243" s="2125"/>
      <c r="H3243" s="2126"/>
      <c r="I3243" s="2110">
        <f>ROUND(I3241+I3242,-2)</f>
        <v>59300</v>
      </c>
    </row>
    <row r="3244" spans="1:12" ht="30.75" customHeight="1">
      <c r="A3244" s="657">
        <v>1</v>
      </c>
      <c r="B3244" s="1546">
        <f>IF(A3244&lt;&gt;0,COUNTA(A$7:$A3244),"")</f>
        <v>188</v>
      </c>
      <c r="C3244" s="1550">
        <f>'8.Dgia'!C3121</f>
        <v>1776</v>
      </c>
      <c r="D3244" s="1550" t="str">
        <f>'8.Dgia'!D3121</f>
        <v>AC.22521vd</v>
      </c>
      <c r="E3244" s="1766" t="str">
        <f>'8.Dgia'!E3121</f>
        <v>Đóng cọc thép hình trên cạn L&lt;10m, đất C1 ( không ngập đất, HS=0,75)</v>
      </c>
      <c r="F3244" s="1794" t="s">
        <v>543</v>
      </c>
      <c r="G3244" s="1768">
        <f>'8.Dgia'!H3121</f>
        <v>0.75</v>
      </c>
      <c r="H3244" s="1823"/>
      <c r="I3244" s="1823"/>
      <c r="K3244" s="842">
        <f>+I3245</f>
        <v>8552.2392</v>
      </c>
      <c r="L3244" s="842">
        <f>+I3246</f>
        <v>24675.45540498491</v>
      </c>
    </row>
    <row r="3245" spans="1:12" s="658" customFormat="1" ht="15">
      <c r="B3245" s="1551" t="str">
        <f>'8.Dgia'!B3122</f>
        <v/>
      </c>
      <c r="C3245" s="1552">
        <f>'8.Dgia'!C3122</f>
        <v>0</v>
      </c>
      <c r="D3245" s="1552">
        <f>'8.Dgia'!D3122</f>
        <v>0</v>
      </c>
      <c r="E3245" s="1770" t="str">
        <f>'8.Dgia'!E3122</f>
        <v xml:space="preserve">  B - Nhân công 4.0/7</v>
      </c>
      <c r="F3245" s="1745" t="s">
        <v>552</v>
      </c>
      <c r="G3245" s="1772">
        <f>'8.Dgia'!H3122/100</f>
        <v>3.3300000000000003E-2</v>
      </c>
      <c r="H3245" s="1824">
        <f>'16.NC'!$H$18</f>
        <v>256824</v>
      </c>
      <c r="I3245" s="1826">
        <f>H3245*G3245</f>
        <v>8552.2392</v>
      </c>
      <c r="J3245" s="850"/>
      <c r="K3245" s="850"/>
      <c r="L3245" s="850"/>
    </row>
    <row r="3246" spans="1:12" s="658" customFormat="1" ht="15">
      <c r="B3246" s="1551" t="str">
        <f>'8.Dgia'!B3123</f>
        <v/>
      </c>
      <c r="C3246" s="1552">
        <f>'8.Dgia'!C3123</f>
        <v>0</v>
      </c>
      <c r="D3246" s="1552">
        <f>'8.Dgia'!D3123</f>
        <v>0</v>
      </c>
      <c r="E3246" s="1770" t="str">
        <f>'8.Dgia'!E3123</f>
        <v xml:space="preserve">  C - Máy thi công</v>
      </c>
      <c r="F3246" s="1786">
        <f>'8.Dgia'!G3123</f>
        <v>0</v>
      </c>
      <c r="G3246" s="1772">
        <f>'8.Dgia'!H3123</f>
        <v>0</v>
      </c>
      <c r="H3246" s="1824"/>
      <c r="I3246" s="1827">
        <f>SUM(I3247:I3248)</f>
        <v>24675.45540498491</v>
      </c>
      <c r="J3246" s="850"/>
      <c r="K3246" s="850"/>
      <c r="L3246" s="850"/>
    </row>
    <row r="3247" spans="1:12" ht="15">
      <c r="B3247" s="1551" t="str">
        <f>'8.Dgia'!B3124</f>
        <v/>
      </c>
      <c r="C3247" s="1552">
        <f>'8.Dgia'!C3124</f>
        <v>0</v>
      </c>
      <c r="D3247" s="1552">
        <f>'8.Dgia'!D3124</f>
        <v>0</v>
      </c>
      <c r="E3247" s="1775" t="str">
        <f>'8.Dgia'!E3124</f>
        <v>Máy đóng cọc 1.2T</v>
      </c>
      <c r="F3247" s="1745" t="s">
        <v>5493</v>
      </c>
      <c r="G3247" s="1772">
        <f>'8.Dgia'!H3124/100</f>
        <v>1.6650000000000002E-2</v>
      </c>
      <c r="H3247" s="1824">
        <f>'9.may'!$P$615</f>
        <v>1452950.327090909</v>
      </c>
      <c r="I3247" s="1824">
        <f>H3247*G3247</f>
        <v>24191.622946063639</v>
      </c>
    </row>
    <row r="3248" spans="1:12" ht="15">
      <c r="B3248" s="1551" t="str">
        <f>'8.Dgia'!B3125</f>
        <v/>
      </c>
      <c r="C3248" s="1552">
        <f>'8.Dgia'!C3125</f>
        <v>0</v>
      </c>
      <c r="D3248" s="1552">
        <f>'8.Dgia'!D3125</f>
        <v>0</v>
      </c>
      <c r="E3248" s="1775" t="str">
        <f>'8.Dgia'!E3125</f>
        <v>Máy khác</v>
      </c>
      <c r="F3248" s="1786" t="str">
        <f>'8.Dgia'!G3125</f>
        <v>%</v>
      </c>
      <c r="G3248" s="1965">
        <f>'8.Dgia'!H3125</f>
        <v>2</v>
      </c>
      <c r="H3248" s="1824">
        <f>SUM(I3247:I3247)</f>
        <v>24191.622946063639</v>
      </c>
      <c r="I3248" s="1824">
        <f>H3248*G3248%</f>
        <v>483.8324589212728</v>
      </c>
    </row>
    <row r="3249" spans="1:12" s="658" customFormat="1" ht="15">
      <c r="B3249" s="1677"/>
      <c r="C3249" s="1678"/>
      <c r="D3249" s="1678"/>
      <c r="E3249" s="1828" t="s">
        <v>5675</v>
      </c>
      <c r="F3249" s="1786">
        <f>$J$5</f>
        <v>0.02</v>
      </c>
      <c r="G3249" s="1780"/>
      <c r="H3249" s="1829"/>
      <c r="I3249" s="1830">
        <f>( I3245+I3246 )*F3249</f>
        <v>664.55389209969815</v>
      </c>
      <c r="J3249" s="850"/>
      <c r="K3249" s="850"/>
      <c r="L3249" s="850"/>
    </row>
    <row r="3250" spans="1:12" ht="15">
      <c r="B3250" s="1556"/>
      <c r="C3250" s="1557"/>
      <c r="D3250" s="1557"/>
      <c r="E3250" s="1831" t="s">
        <v>5676</v>
      </c>
      <c r="F3250" s="1786"/>
      <c r="G3250" s="1783"/>
      <c r="H3250" s="1832"/>
      <c r="I3250" s="1833">
        <f>I3249+I3249/F3249</f>
        <v>33892.248497084605</v>
      </c>
    </row>
    <row r="3251" spans="1:12" ht="15">
      <c r="B3251" s="1551"/>
      <c r="C3251" s="1552"/>
      <c r="D3251" s="1552"/>
      <c r="E3251" s="1834" t="s">
        <v>5677</v>
      </c>
      <c r="F3251" s="1786">
        <f>$K$5</f>
        <v>5.5E-2</v>
      </c>
      <c r="G3251" s="1772"/>
      <c r="H3251" s="1824"/>
      <c r="I3251" s="1835">
        <f>I3250*F3251</f>
        <v>1864.0736673396534</v>
      </c>
    </row>
    <row r="3252" spans="1:12" ht="15">
      <c r="B3252" s="1551"/>
      <c r="C3252" s="1552"/>
      <c r="D3252" s="1552"/>
      <c r="E3252" s="1834" t="s">
        <v>5678</v>
      </c>
      <c r="F3252" s="1786">
        <f>$L$5</f>
        <v>0.06</v>
      </c>
      <c r="G3252" s="1772"/>
      <c r="H3252" s="1824"/>
      <c r="I3252" s="1835">
        <f>SUM(I3250:I3251)*F3252</f>
        <v>2145.3793298654555</v>
      </c>
    </row>
    <row r="3253" spans="1:12" ht="14.25">
      <c r="B3253" s="1556"/>
      <c r="C3253" s="1557"/>
      <c r="D3253" s="1557"/>
      <c r="E3253" s="1831" t="s">
        <v>5679</v>
      </c>
      <c r="F3253" s="1787"/>
      <c r="G3253" s="1783"/>
      <c r="H3253" s="1832"/>
      <c r="I3253" s="1833">
        <f>SUM(I3250:I3252)</f>
        <v>37901.701494289715</v>
      </c>
    </row>
    <row r="3254" spans="1:12" ht="15">
      <c r="B3254" s="1551"/>
      <c r="C3254" s="1552"/>
      <c r="D3254" s="1552"/>
      <c r="E3254" s="1834" t="s">
        <v>5680</v>
      </c>
      <c r="F3254" s="1788">
        <f>$M$5</f>
        <v>0.1</v>
      </c>
      <c r="G3254" s="1772"/>
      <c r="H3254" s="1824"/>
      <c r="I3254" s="1835">
        <f>I3253*F3254</f>
        <v>3790.1701494289719</v>
      </c>
    </row>
    <row r="3255" spans="1:12" ht="14.25">
      <c r="B3255" s="1556"/>
      <c r="C3255" s="1557"/>
      <c r="D3255" s="1557"/>
      <c r="E3255" s="1831" t="s">
        <v>5681</v>
      </c>
      <c r="F3255" s="1787"/>
      <c r="G3255" s="1783"/>
      <c r="H3255" s="1832"/>
      <c r="I3255" s="1833">
        <f>SUM(I3253:I3254)</f>
        <v>41691.871643718689</v>
      </c>
    </row>
    <row r="3256" spans="1:12" ht="12.75">
      <c r="B3256" s="1551"/>
      <c r="C3256" s="1552"/>
      <c r="D3256" s="1552"/>
      <c r="E3256" s="1558" t="s">
        <v>5682</v>
      </c>
      <c r="F3256" s="1560">
        <f>$N$5</f>
        <v>0.01</v>
      </c>
      <c r="G3256" s="1553"/>
      <c r="H3256" s="1554"/>
      <c r="I3256" s="1559">
        <f>I3255*F3256</f>
        <v>416.9187164371869</v>
      </c>
    </row>
    <row r="3257" spans="1:12" ht="14.25">
      <c r="B3257" s="2123"/>
      <c r="C3257" s="1561"/>
      <c r="D3257" s="2124"/>
      <c r="E3257" s="2112" t="s">
        <v>5683</v>
      </c>
      <c r="F3257" s="2113"/>
      <c r="G3257" s="2125"/>
      <c r="H3257" s="2126"/>
      <c r="I3257" s="2110">
        <f>ROUND(I3255+I3256,-2)</f>
        <v>42100</v>
      </c>
    </row>
    <row r="3258" spans="1:12" ht="14.25">
      <c r="A3258" s="657">
        <v>1</v>
      </c>
      <c r="B3258" s="1546">
        <f>IF(A3258&lt;&gt;0,COUNTA(A$7:$A3258),"")</f>
        <v>189</v>
      </c>
      <c r="C3258" s="1547">
        <f>'8.Dgia'!C3144</f>
        <v>1776</v>
      </c>
      <c r="D3258" s="1547" t="str">
        <f>'8.Dgia'!D3144</f>
        <v>AF.33210</v>
      </c>
      <c r="E3258" s="1740" t="str">
        <f>'8.Dgia'!E3144</f>
        <v>Bê tông C35 mũ mố trụ trên cạn</v>
      </c>
      <c r="F3258" s="1789" t="str">
        <f>'8.Dgia'!G3144</f>
        <v>m3</v>
      </c>
      <c r="G3258" s="1742">
        <f>'8.Dgia'!H3144</f>
        <v>0</v>
      </c>
      <c r="H3258" s="1743"/>
      <c r="I3258" s="1743"/>
      <c r="J3258" s="842">
        <f>+I3259</f>
        <v>1202499.8673278564</v>
      </c>
      <c r="K3258" s="842">
        <f>+I3262</f>
        <v>738104.08</v>
      </c>
      <c r="L3258" s="842">
        <f>+I3263</f>
        <v>428299.85626744776</v>
      </c>
    </row>
    <row r="3259" spans="1:12" s="658" customFormat="1" ht="15">
      <c r="B3259" s="1536" t="str">
        <f>'8.Dgia'!B3145</f>
        <v/>
      </c>
      <c r="C3259" s="1537">
        <f>'8.Dgia'!C3145</f>
        <v>0</v>
      </c>
      <c r="D3259" s="1537">
        <f>'8.Dgia'!D3145</f>
        <v>0</v>
      </c>
      <c r="E3259" s="1744" t="str">
        <f>'8.Dgia'!E3145</f>
        <v xml:space="preserve">  A - Vật liệu</v>
      </c>
      <c r="F3259" s="1763">
        <f>'8.Dgia'!G3145</f>
        <v>0</v>
      </c>
      <c r="G3259" s="1746">
        <f>'8.Dgia'!H3145</f>
        <v>0</v>
      </c>
      <c r="H3259" s="1747"/>
      <c r="I3259" s="1748">
        <f>SUM(I3260:I3261)</f>
        <v>1202499.8673278564</v>
      </c>
      <c r="J3259" s="850"/>
      <c r="K3259" s="850"/>
      <c r="L3259" s="850"/>
    </row>
    <row r="3260" spans="1:12" ht="15" customHeight="1">
      <c r="B3260" s="1536" t="str">
        <f>'8.Dgia'!B3146</f>
        <v/>
      </c>
      <c r="C3260" s="1537">
        <f>'8.Dgia'!C3146</f>
        <v>0</v>
      </c>
      <c r="D3260" s="1537" t="str">
        <f>'8.Dgia'!D3146</f>
        <v>C3327</v>
      </c>
      <c r="E3260" s="1749" t="str">
        <f>'8.Dgia'!E3146</f>
        <v>Vữa bê tông đá 1x2 C35 (độ sụt 14-17cm)</v>
      </c>
      <c r="F3260" s="1763" t="str">
        <f>'8.Dgia'!G3146</f>
        <v>m3</v>
      </c>
      <c r="G3260" s="1746">
        <f>'8.Dgia'!H3146</f>
        <v>1.0149999999999999</v>
      </c>
      <c r="H3260" s="1747">
        <f>GVL!$I$199</f>
        <v>1167220.6239684112</v>
      </c>
      <c r="I3260" s="1747">
        <f>H3260*G3260</f>
        <v>1184728.9333279373</v>
      </c>
    </row>
    <row r="3261" spans="1:12" ht="15">
      <c r="B3261" s="1536" t="str">
        <f>'8.Dgia'!B3147</f>
        <v/>
      </c>
      <c r="C3261" s="1537">
        <f>'8.Dgia'!C3147</f>
        <v>0</v>
      </c>
      <c r="D3261" s="1537">
        <f>'8.Dgia'!D3147</f>
        <v>0</v>
      </c>
      <c r="E3261" s="1749" t="str">
        <f>'8.Dgia'!E3147</f>
        <v>Vật liệu khác</v>
      </c>
      <c r="F3261" s="1763" t="str">
        <f>'8.Dgia'!G3147</f>
        <v>%</v>
      </c>
      <c r="G3261" s="1954">
        <f>'8.Dgia'!H3147</f>
        <v>1.5</v>
      </c>
      <c r="H3261" s="1747">
        <f>I3260</f>
        <v>1184728.9333279373</v>
      </c>
      <c r="I3261" s="1747">
        <f>H3261*G3261%</f>
        <v>17770.93399991906</v>
      </c>
    </row>
    <row r="3262" spans="1:12" s="658" customFormat="1" ht="15">
      <c r="B3262" s="1536" t="str">
        <f>'8.Dgia'!B3148</f>
        <v/>
      </c>
      <c r="C3262" s="1537">
        <f>'8.Dgia'!C3148</f>
        <v>0</v>
      </c>
      <c r="D3262" s="1537">
        <f>'8.Dgia'!D3148</f>
        <v>0</v>
      </c>
      <c r="E3262" s="1744" t="str">
        <f>'8.Dgia'!E3148</f>
        <v xml:space="preserve">  B - Nhân công 3.5/7</v>
      </c>
      <c r="F3262" s="1745" t="s">
        <v>552</v>
      </c>
      <c r="G3262" s="1746">
        <f>'8.Dgia'!H3148</f>
        <v>3.13</v>
      </c>
      <c r="H3262" s="1747">
        <f>'16.NC'!$H$16</f>
        <v>235816</v>
      </c>
      <c r="I3262" s="1750">
        <f>H3262*G3262</f>
        <v>738104.08</v>
      </c>
      <c r="J3262" s="850"/>
      <c r="K3262" s="850"/>
      <c r="L3262" s="850"/>
    </row>
    <row r="3263" spans="1:12" s="658" customFormat="1" ht="15">
      <c r="B3263" s="1536" t="str">
        <f>'8.Dgia'!B3149</f>
        <v/>
      </c>
      <c r="C3263" s="1537">
        <f>'8.Dgia'!C3149</f>
        <v>0</v>
      </c>
      <c r="D3263" s="1537">
        <f>'8.Dgia'!D3149</f>
        <v>0</v>
      </c>
      <c r="E3263" s="1744" t="str">
        <f>'8.Dgia'!E3149</f>
        <v xml:space="preserve">  C - Máy thi công</v>
      </c>
      <c r="F3263" s="1763">
        <f>'8.Dgia'!G3149</f>
        <v>0</v>
      </c>
      <c r="G3263" s="1746">
        <f>'8.Dgia'!H3149</f>
        <v>0</v>
      </c>
      <c r="H3263" s="1747"/>
      <c r="I3263" s="1751">
        <f>SUM(I3264:I3267)</f>
        <v>428299.85626744776</v>
      </c>
      <c r="J3263" s="850"/>
      <c r="K3263" s="850"/>
      <c r="L3263" s="850"/>
    </row>
    <row r="3264" spans="1:12" ht="15">
      <c r="B3264" s="1536" t="str">
        <f>'8.Dgia'!B3150</f>
        <v/>
      </c>
      <c r="C3264" s="1537">
        <f>'8.Dgia'!C3150</f>
        <v>0</v>
      </c>
      <c r="D3264" s="1537">
        <f>'8.Dgia'!D3150</f>
        <v>0</v>
      </c>
      <c r="E3264" s="1749" t="str">
        <f>'8.Dgia'!E3150</f>
        <v>Cần cẩu bánh xích 25T</v>
      </c>
      <c r="F3264" s="1745" t="s">
        <v>5493</v>
      </c>
      <c r="G3264" s="1746">
        <f>'8.Dgia'!H3150</f>
        <v>6.7000000000000004E-2</v>
      </c>
      <c r="H3264" s="1747">
        <f>'9.may'!$P$248</f>
        <v>2787996.6736363638</v>
      </c>
      <c r="I3264" s="1747">
        <f>H3264*G3264</f>
        <v>186795.77713363638</v>
      </c>
    </row>
    <row r="3265" spans="1:12" ht="15">
      <c r="B3265" s="1536" t="str">
        <f>'8.Dgia'!B3151</f>
        <v/>
      </c>
      <c r="C3265" s="1537">
        <f>'8.Dgia'!C3151</f>
        <v>0</v>
      </c>
      <c r="D3265" s="1537">
        <f>'8.Dgia'!D3151</f>
        <v>0</v>
      </c>
      <c r="E3265" s="1749" t="str">
        <f>'8.Dgia'!E3151</f>
        <v>Máy bơm BT 50m3/h</v>
      </c>
      <c r="F3265" s="1745" t="s">
        <v>5493</v>
      </c>
      <c r="G3265" s="1746">
        <f>'8.Dgia'!H3151</f>
        <v>6.7000000000000004E-2</v>
      </c>
      <c r="H3265" s="1747">
        <f>'9.may'!$P$362</f>
        <v>3446390.13</v>
      </c>
      <c r="I3265" s="1747">
        <f>H3265*G3265</f>
        <v>230908.13871</v>
      </c>
    </row>
    <row r="3266" spans="1:12" ht="15">
      <c r="B3266" s="1536" t="str">
        <f>'8.Dgia'!B3152</f>
        <v/>
      </c>
      <c r="C3266" s="1537">
        <f>'8.Dgia'!C3152</f>
        <v>0</v>
      </c>
      <c r="D3266" s="1537">
        <f>'8.Dgia'!D3152</f>
        <v>0</v>
      </c>
      <c r="E3266" s="1749" t="str">
        <f>'8.Dgia'!E3152</f>
        <v>Máy đầm dùi 1.5kw</v>
      </c>
      <c r="F3266" s="1745" t="s">
        <v>5493</v>
      </c>
      <c r="G3266" s="1746">
        <f>'8.Dgia'!H3152</f>
        <v>8.5000000000000006E-2</v>
      </c>
      <c r="H3266" s="1747">
        <f>'9.may'!$P$382</f>
        <v>74768.797500000001</v>
      </c>
      <c r="I3266" s="1747">
        <f>H3266*G3266</f>
        <v>6355.3477875000008</v>
      </c>
    </row>
    <row r="3267" spans="1:12" ht="15">
      <c r="B3267" s="1536" t="str">
        <f>'8.Dgia'!B3153</f>
        <v/>
      </c>
      <c r="C3267" s="1537">
        <f>'8.Dgia'!C3153</f>
        <v>0</v>
      </c>
      <c r="D3267" s="1537">
        <f>'8.Dgia'!D3153</f>
        <v>0</v>
      </c>
      <c r="E3267" s="1749" t="str">
        <f>'8.Dgia'!E3153</f>
        <v>Máy khác</v>
      </c>
      <c r="F3267" s="1763" t="str">
        <f>'8.Dgia'!G3153</f>
        <v>%</v>
      </c>
      <c r="G3267" s="1954">
        <f>'8.Dgia'!H3153</f>
        <v>1</v>
      </c>
      <c r="H3267" s="1747">
        <f>SUM(I3264:I3266)</f>
        <v>424059.26363113639</v>
      </c>
      <c r="I3267" s="1747">
        <f>H3267*G3267%</f>
        <v>4240.592636311364</v>
      </c>
    </row>
    <row r="3268" spans="1:12" s="658" customFormat="1" ht="15">
      <c r="B3268" s="1675"/>
      <c r="C3268" s="1676"/>
      <c r="D3268" s="1676"/>
      <c r="E3268" s="1752" t="s">
        <v>5675</v>
      </c>
      <c r="F3268" s="1763">
        <f>$J$5</f>
        <v>0.02</v>
      </c>
      <c r="G3268" s="1754"/>
      <c r="H3268" s="1755"/>
      <c r="I3268" s="1756">
        <f>( I3259+I3262+I3263 )*F3268</f>
        <v>47378.076071906078</v>
      </c>
      <c r="J3268" s="850"/>
      <c r="K3268" s="850"/>
      <c r="L3268" s="850"/>
    </row>
    <row r="3269" spans="1:12" ht="15">
      <c r="B3269" s="1540"/>
      <c r="C3269" s="1541"/>
      <c r="D3269" s="1541"/>
      <c r="E3269" s="1757" t="s">
        <v>5676</v>
      </c>
      <c r="F3269" s="1763"/>
      <c r="G3269" s="1759"/>
      <c r="H3269" s="1760"/>
      <c r="I3269" s="1761">
        <f>I3268+I3268/F3268</f>
        <v>2416281.8796672099</v>
      </c>
    </row>
    <row r="3270" spans="1:12" ht="15">
      <c r="B3270" s="1536"/>
      <c r="C3270" s="1537"/>
      <c r="D3270" s="1537"/>
      <c r="E3270" s="1762" t="s">
        <v>5677</v>
      </c>
      <c r="F3270" s="1763">
        <f>$K$5</f>
        <v>5.5E-2</v>
      </c>
      <c r="G3270" s="1746"/>
      <c r="H3270" s="1747"/>
      <c r="I3270" s="1764">
        <f>I3269*F3270</f>
        <v>132895.50338169656</v>
      </c>
    </row>
    <row r="3271" spans="1:12" ht="15">
      <c r="B3271" s="1536"/>
      <c r="C3271" s="1537"/>
      <c r="D3271" s="1537"/>
      <c r="E3271" s="1762" t="s">
        <v>5678</v>
      </c>
      <c r="F3271" s="1763">
        <f>$L$5</f>
        <v>0.06</v>
      </c>
      <c r="G3271" s="1746"/>
      <c r="H3271" s="1747"/>
      <c r="I3271" s="1764">
        <f>SUM(I3269:I3270)*F3271</f>
        <v>152950.64298293437</v>
      </c>
    </row>
    <row r="3272" spans="1:12" ht="14.25">
      <c r="B3272" s="1540"/>
      <c r="C3272" s="1541"/>
      <c r="D3272" s="1541"/>
      <c r="E3272" s="1757" t="s">
        <v>5679</v>
      </c>
      <c r="F3272" s="1791"/>
      <c r="G3272" s="1759"/>
      <c r="H3272" s="1760"/>
      <c r="I3272" s="1761">
        <f>SUM(I3269:I3271)</f>
        <v>2702128.0260318406</v>
      </c>
    </row>
    <row r="3273" spans="1:12" ht="15">
      <c r="B3273" s="1536"/>
      <c r="C3273" s="1537"/>
      <c r="D3273" s="1537"/>
      <c r="E3273" s="1762" t="s">
        <v>5680</v>
      </c>
      <c r="F3273" s="1765">
        <f>$M$5</f>
        <v>0.1</v>
      </c>
      <c r="G3273" s="1746"/>
      <c r="H3273" s="1747"/>
      <c r="I3273" s="1764">
        <f>I3272*F3273</f>
        <v>270212.80260318407</v>
      </c>
    </row>
    <row r="3274" spans="1:12" ht="14.25">
      <c r="B3274" s="1540"/>
      <c r="C3274" s="1541"/>
      <c r="D3274" s="1541"/>
      <c r="E3274" s="1757" t="s">
        <v>5681</v>
      </c>
      <c r="F3274" s="1791"/>
      <c r="G3274" s="1759"/>
      <c r="H3274" s="1760"/>
      <c r="I3274" s="1761">
        <f>SUM(I3272:I3273)</f>
        <v>2972340.8286350248</v>
      </c>
    </row>
    <row r="3275" spans="1:12" ht="12.75">
      <c r="B3275" s="1536"/>
      <c r="C3275" s="1537"/>
      <c r="D3275" s="1537"/>
      <c r="E3275" s="1533" t="s">
        <v>5682</v>
      </c>
      <c r="F3275" s="1535">
        <f>$N$5</f>
        <v>0.01</v>
      </c>
      <c r="G3275" s="1538"/>
      <c r="H3275" s="1532"/>
      <c r="I3275" s="1534">
        <f>I3274*F3275</f>
        <v>29723.408286350248</v>
      </c>
    </row>
    <row r="3276" spans="1:12" ht="14.25">
      <c r="B3276" s="2104"/>
      <c r="C3276" s="1543"/>
      <c r="D3276" s="2105"/>
      <c r="E3276" s="2106" t="s">
        <v>5683</v>
      </c>
      <c r="F3276" s="2115"/>
      <c r="G3276" s="2108"/>
      <c r="H3276" s="2109"/>
      <c r="I3276" s="2110">
        <f>ROUND(I3274+I3275,-2)</f>
        <v>3002100</v>
      </c>
    </row>
    <row r="3277" spans="1:12" ht="28.5">
      <c r="A3277" s="657">
        <v>1</v>
      </c>
      <c r="B3277" s="1546">
        <f>IF(A3277&lt;&gt;0,COUNTA(A$7:$A3277),"")</f>
        <v>190</v>
      </c>
      <c r="C3277" s="1547">
        <f>'8.Dgia'!C3195</f>
        <v>1776</v>
      </c>
      <c r="D3277" s="1547" t="str">
        <f>'8.Dgia'!D3195</f>
        <v>AB.42231</v>
      </c>
      <c r="E3277" s="1740" t="str">
        <f>'8.Dgia'!E3195</f>
        <v>Vận chuyển bằng ôtô tự đổ, 10T, C1, L=4Km</v>
      </c>
      <c r="F3277" s="1789" t="s">
        <v>545</v>
      </c>
      <c r="G3277" s="1742">
        <f>'8.Dgia'!H3195</f>
        <v>0</v>
      </c>
      <c r="H3277" s="1743"/>
      <c r="I3277" s="1743"/>
      <c r="L3277" s="842">
        <f>+I3278</f>
        <v>25721.658637499997</v>
      </c>
    </row>
    <row r="3278" spans="1:12" ht="15">
      <c r="B3278" s="1536" t="str">
        <f>'8.Dgia'!B3196</f>
        <v/>
      </c>
      <c r="C3278" s="1537">
        <f>'8.Dgia'!C3196</f>
        <v>0</v>
      </c>
      <c r="D3278" s="1537">
        <f>'8.Dgia'!D3196</f>
        <v>0</v>
      </c>
      <c r="E3278" s="1744" t="str">
        <f>'8.Dgia'!E3196</f>
        <v xml:space="preserve">  C - Máy thi công</v>
      </c>
      <c r="F3278" s="1763">
        <f>'8.Dgia'!G3196</f>
        <v>0</v>
      </c>
      <c r="G3278" s="1746">
        <f>'8.Dgia'!H3196</f>
        <v>0</v>
      </c>
      <c r="H3278" s="1747"/>
      <c r="I3278" s="1751">
        <f>SUM(I3279:I3280)</f>
        <v>25721.658637499997</v>
      </c>
    </row>
    <row r="3279" spans="1:12" ht="15">
      <c r="B3279" s="1536" t="str">
        <f>'8.Dgia'!B3197</f>
        <v/>
      </c>
      <c r="C3279" s="1537">
        <f>'8.Dgia'!C3197</f>
        <v>0</v>
      </c>
      <c r="D3279" s="1537" t="str">
        <f>'8.Dgia'!D3197</f>
        <v>AB.41431</v>
      </c>
      <c r="E3279" s="1749" t="str">
        <f>'8.Dgia'!E3197</f>
        <v>Ôtô tự đổ 10T</v>
      </c>
      <c r="F3279" s="1745" t="s">
        <v>5493</v>
      </c>
      <c r="G3279" s="1746">
        <f>'8.Dgia'!H3197/100</f>
        <v>6.8500000000000002E-3</v>
      </c>
      <c r="H3279" s="1792">
        <f>'9.may'!$P$148</f>
        <v>1870666.0827272725</v>
      </c>
      <c r="I3279" s="1747">
        <f>H3279*G3279</f>
        <v>12814.062666681817</v>
      </c>
    </row>
    <row r="3280" spans="1:12" ht="15">
      <c r="B3280" s="1536" t="str">
        <f>'8.Dgia'!B3198</f>
        <v/>
      </c>
      <c r="C3280" s="1537">
        <f>'8.Dgia'!C3198</f>
        <v>0</v>
      </c>
      <c r="D3280" s="1537" t="str">
        <f>'8.Dgia'!D3198</f>
        <v>AB.42231</v>
      </c>
      <c r="E3280" s="1749" t="str">
        <f>'8.Dgia'!E3198</f>
        <v>Ôtô tự đổ 10T</v>
      </c>
      <c r="F3280" s="1745" t="s">
        <v>5493</v>
      </c>
      <c r="G3280" s="1746">
        <f>'8.Dgia'!H3198/100</f>
        <v>6.9000000000000008E-3</v>
      </c>
      <c r="H3280" s="1792">
        <f>'9.may'!$P$148</f>
        <v>1870666.0827272725</v>
      </c>
      <c r="I3280" s="1747">
        <f>H3280*G3280</f>
        <v>12907.595970818182</v>
      </c>
    </row>
    <row r="3281" spans="1:12" s="658" customFormat="1" ht="15">
      <c r="B3281" s="1675"/>
      <c r="C3281" s="1676"/>
      <c r="D3281" s="1676"/>
      <c r="E3281" s="1752" t="s">
        <v>5675</v>
      </c>
      <c r="F3281" s="1763">
        <f>$J$5</f>
        <v>0.02</v>
      </c>
      <c r="G3281" s="1754"/>
      <c r="H3281" s="1755"/>
      <c r="I3281" s="1756">
        <f>( I3278 )*F3281</f>
        <v>514.43317274999993</v>
      </c>
      <c r="J3281" s="850"/>
      <c r="K3281" s="850"/>
      <c r="L3281" s="850"/>
    </row>
    <row r="3282" spans="1:12" ht="15">
      <c r="B3282" s="1540"/>
      <c r="C3282" s="1541"/>
      <c r="D3282" s="1541"/>
      <c r="E3282" s="1757" t="s">
        <v>5676</v>
      </c>
      <c r="F3282" s="1763"/>
      <c r="G3282" s="1759"/>
      <c r="H3282" s="1760"/>
      <c r="I3282" s="1761">
        <f>I3281+I3281/F3281</f>
        <v>26236.091810249996</v>
      </c>
    </row>
    <row r="3283" spans="1:12" ht="15">
      <c r="B3283" s="1536"/>
      <c r="C3283" s="1537"/>
      <c r="D3283" s="1537"/>
      <c r="E3283" s="1762" t="s">
        <v>5677</v>
      </c>
      <c r="F3283" s="1763">
        <f>$K$5</f>
        <v>5.5E-2</v>
      </c>
      <c r="G3283" s="1746"/>
      <c r="H3283" s="1747"/>
      <c r="I3283" s="1764">
        <f>I3282*F3283</f>
        <v>1442.9850495637497</v>
      </c>
    </row>
    <row r="3284" spans="1:12" ht="15">
      <c r="B3284" s="1536"/>
      <c r="C3284" s="1537"/>
      <c r="D3284" s="1537"/>
      <c r="E3284" s="1762" t="s">
        <v>5678</v>
      </c>
      <c r="F3284" s="1763">
        <f>$L$5</f>
        <v>0.06</v>
      </c>
      <c r="G3284" s="1746"/>
      <c r="H3284" s="1747"/>
      <c r="I3284" s="1764">
        <f>SUM(I3282:I3283)*F3284</f>
        <v>1660.7446115888247</v>
      </c>
    </row>
    <row r="3285" spans="1:12" ht="14.25">
      <c r="B3285" s="1540"/>
      <c r="C3285" s="1541"/>
      <c r="D3285" s="1541"/>
      <c r="E3285" s="1757" t="s">
        <v>5679</v>
      </c>
      <c r="F3285" s="1791"/>
      <c r="G3285" s="1759"/>
      <c r="H3285" s="1760"/>
      <c r="I3285" s="1761">
        <f>SUM(I3282:I3284)</f>
        <v>29339.821471402571</v>
      </c>
    </row>
    <row r="3286" spans="1:12" ht="15">
      <c r="B3286" s="1536"/>
      <c r="C3286" s="1537"/>
      <c r="D3286" s="1537"/>
      <c r="E3286" s="1762" t="s">
        <v>5680</v>
      </c>
      <c r="F3286" s="1765">
        <f>$M$5</f>
        <v>0.1</v>
      </c>
      <c r="G3286" s="1746"/>
      <c r="H3286" s="1747"/>
      <c r="I3286" s="1764">
        <f>I3285*F3286</f>
        <v>2933.9821471402574</v>
      </c>
    </row>
    <row r="3287" spans="1:12" ht="14.25">
      <c r="B3287" s="1540"/>
      <c r="C3287" s="1541"/>
      <c r="D3287" s="1541"/>
      <c r="E3287" s="1757" t="s">
        <v>5681</v>
      </c>
      <c r="F3287" s="1791"/>
      <c r="G3287" s="1759"/>
      <c r="H3287" s="1760"/>
      <c r="I3287" s="1761">
        <f>SUM(I3285:I3286)</f>
        <v>32273.803618542828</v>
      </c>
    </row>
    <row r="3288" spans="1:12" ht="12.75">
      <c r="B3288" s="1536"/>
      <c r="C3288" s="1537"/>
      <c r="D3288" s="1537"/>
      <c r="E3288" s="1533" t="s">
        <v>5682</v>
      </c>
      <c r="F3288" s="1535">
        <f>$N$5</f>
        <v>0.01</v>
      </c>
      <c r="G3288" s="1538"/>
      <c r="H3288" s="1532"/>
      <c r="I3288" s="1534">
        <f>I3287*F3288</f>
        <v>322.73803618542831</v>
      </c>
    </row>
    <row r="3289" spans="1:12" ht="14.25">
      <c r="B3289" s="2104"/>
      <c r="C3289" s="1543"/>
      <c r="D3289" s="2105"/>
      <c r="E3289" s="2106" t="s">
        <v>5683</v>
      </c>
      <c r="F3289" s="2115"/>
      <c r="G3289" s="2108"/>
      <c r="H3289" s="2109"/>
      <c r="I3289" s="2110">
        <f>ROUND(I3287+I3288,-2)</f>
        <v>32600</v>
      </c>
    </row>
    <row r="3290" spans="1:12" ht="14.25">
      <c r="A3290" s="657">
        <v>1</v>
      </c>
      <c r="B3290" s="1546">
        <f>IF(A3290&lt;&gt;0,COUNTA(A$7:$A3290),"")</f>
        <v>191</v>
      </c>
      <c r="C3290" s="1547" t="str">
        <f>'8.Dgia'!C3218</f>
        <v>-</v>
      </c>
      <c r="D3290" s="1547" t="s">
        <v>529</v>
      </c>
      <c r="E3290" s="1740" t="str">
        <f>'8.Dgia'!E3218</f>
        <v>Dầm supper T 38.2m</v>
      </c>
      <c r="F3290" s="1789" t="s">
        <v>740</v>
      </c>
      <c r="G3290" s="1742">
        <f>'8.Dgia'!H3218</f>
        <v>0</v>
      </c>
      <c r="H3290" s="1795"/>
      <c r="I3290" s="1795"/>
      <c r="J3290" s="842">
        <f>+I3291</f>
        <v>400000000</v>
      </c>
    </row>
    <row r="3291" spans="1:12" ht="15">
      <c r="B3291" s="1536" t="str">
        <f>'8.Dgia'!B3219</f>
        <v/>
      </c>
      <c r="C3291" s="1537">
        <f>'8.Dgia'!C3219</f>
        <v>0</v>
      </c>
      <c r="D3291" s="1537">
        <f>'8.Dgia'!D3219</f>
        <v>0</v>
      </c>
      <c r="E3291" s="1744" t="str">
        <f>'8.Dgia'!E3219</f>
        <v xml:space="preserve">  A - Vật liệu</v>
      </c>
      <c r="F3291" s="1763">
        <f>'8.Dgia'!G3219</f>
        <v>0</v>
      </c>
      <c r="G3291" s="1746">
        <f>'8.Dgia'!H3219</f>
        <v>0</v>
      </c>
      <c r="H3291" s="1796"/>
      <c r="I3291" s="1797">
        <f>+I3292</f>
        <v>400000000</v>
      </c>
    </row>
    <row r="3292" spans="1:12" ht="15">
      <c r="B3292" s="1536" t="str">
        <f>'8.Dgia'!B3220</f>
        <v/>
      </c>
      <c r="C3292" s="1537">
        <f>'8.Dgia'!C3220</f>
        <v>0</v>
      </c>
      <c r="D3292" s="1537">
        <f>'8.Dgia'!D3220</f>
        <v>0</v>
      </c>
      <c r="E3292" s="1749" t="str">
        <f>'8.Dgia'!E3220</f>
        <v>Dầm supper T</v>
      </c>
      <c r="F3292" s="1763" t="s">
        <v>740</v>
      </c>
      <c r="G3292" s="1954">
        <f>'8.Dgia'!H3220</f>
        <v>1</v>
      </c>
      <c r="H3292" s="1796">
        <f>GVL!$I$67</f>
        <v>400000000</v>
      </c>
      <c r="I3292" s="1796">
        <f>H3292*G3292</f>
        <v>400000000</v>
      </c>
    </row>
    <row r="3293" spans="1:12" s="658" customFormat="1" ht="15">
      <c r="B3293" s="1675"/>
      <c r="C3293" s="1676"/>
      <c r="D3293" s="1676"/>
      <c r="E3293" s="1800" t="s">
        <v>5675</v>
      </c>
      <c r="F3293" s="1763">
        <f>$J$5</f>
        <v>0.02</v>
      </c>
      <c r="G3293" s="1754"/>
      <c r="H3293" s="1799"/>
      <c r="I3293" s="1799">
        <f>( I3291 )*F3293</f>
        <v>8000000</v>
      </c>
      <c r="J3293" s="850"/>
      <c r="K3293" s="850"/>
      <c r="L3293" s="850"/>
    </row>
    <row r="3294" spans="1:12" ht="15">
      <c r="B3294" s="1540"/>
      <c r="C3294" s="1541"/>
      <c r="D3294" s="1541"/>
      <c r="E3294" s="1801" t="s">
        <v>5676</v>
      </c>
      <c r="F3294" s="1763"/>
      <c r="G3294" s="1759"/>
      <c r="H3294" s="1802"/>
      <c r="I3294" s="1802">
        <f>I3293+I3293/F3293</f>
        <v>408000000</v>
      </c>
    </row>
    <row r="3295" spans="1:12" ht="15">
      <c r="B3295" s="1536"/>
      <c r="C3295" s="1537"/>
      <c r="D3295" s="1537"/>
      <c r="E3295" s="1803" t="s">
        <v>5677</v>
      </c>
      <c r="F3295" s="1763">
        <f>$K$5</f>
        <v>5.5E-2</v>
      </c>
      <c r="G3295" s="1746"/>
      <c r="H3295" s="1796"/>
      <c r="I3295" s="1796">
        <f>I3294*F3295</f>
        <v>22440000</v>
      </c>
    </row>
    <row r="3296" spans="1:12" ht="15">
      <c r="B3296" s="1536"/>
      <c r="C3296" s="1537"/>
      <c r="D3296" s="1537"/>
      <c r="E3296" s="1803" t="s">
        <v>5678</v>
      </c>
      <c r="F3296" s="1763">
        <f>$L$5</f>
        <v>0.06</v>
      </c>
      <c r="G3296" s="1746"/>
      <c r="H3296" s="1796"/>
      <c r="I3296" s="1796">
        <f>SUM(I3294:I3295)*F3296</f>
        <v>25826400</v>
      </c>
    </row>
    <row r="3297" spans="1:12" ht="14.25">
      <c r="B3297" s="1540"/>
      <c r="C3297" s="1541"/>
      <c r="D3297" s="1541"/>
      <c r="E3297" s="1801" t="s">
        <v>5679</v>
      </c>
      <c r="F3297" s="1791"/>
      <c r="G3297" s="1759"/>
      <c r="H3297" s="1802"/>
      <c r="I3297" s="1802">
        <f>SUM(I3294:I3296)</f>
        <v>456266400</v>
      </c>
    </row>
    <row r="3298" spans="1:12" ht="15">
      <c r="B3298" s="1536"/>
      <c r="C3298" s="1537"/>
      <c r="D3298" s="1537"/>
      <c r="E3298" s="1803" t="s">
        <v>5680</v>
      </c>
      <c r="F3298" s="1765">
        <f>$M$5</f>
        <v>0.1</v>
      </c>
      <c r="G3298" s="1746"/>
      <c r="H3298" s="1796"/>
      <c r="I3298" s="1796">
        <f>I3297*F3298</f>
        <v>45626640</v>
      </c>
    </row>
    <row r="3299" spans="1:12" ht="14.25">
      <c r="B3299" s="1540"/>
      <c r="C3299" s="1541"/>
      <c r="D3299" s="1541"/>
      <c r="E3299" s="1801" t="s">
        <v>5681</v>
      </c>
      <c r="F3299" s="1791"/>
      <c r="G3299" s="1759"/>
      <c r="H3299" s="1802"/>
      <c r="I3299" s="1802">
        <f>SUM(I3297:I3298)</f>
        <v>501893040</v>
      </c>
    </row>
    <row r="3300" spans="1:12" ht="12.75">
      <c r="B3300" s="1536"/>
      <c r="C3300" s="1537"/>
      <c r="D3300" s="1537"/>
      <c r="E3300" s="1464" t="s">
        <v>5682</v>
      </c>
      <c r="F3300" s="1535">
        <f>$N$5</f>
        <v>0.01</v>
      </c>
      <c r="G3300" s="1538"/>
      <c r="H3300" s="1539"/>
      <c r="I3300" s="1539">
        <f>I3299*F3300</f>
        <v>5018930.4000000004</v>
      </c>
    </row>
    <row r="3301" spans="1:12" ht="14.25">
      <c r="B3301" s="2116"/>
      <c r="C3301" s="1544"/>
      <c r="D3301" s="2116"/>
      <c r="E3301" s="2117" t="s">
        <v>5683</v>
      </c>
      <c r="F3301" s="2115"/>
      <c r="G3301" s="2117"/>
      <c r="H3301" s="2118"/>
      <c r="I3301" s="2110">
        <f>ROUND(I3299+I3300,-2)</f>
        <v>506912000</v>
      </c>
    </row>
    <row r="3302" spans="1:12" s="87" customFormat="1" ht="19.5" customHeight="1">
      <c r="A3302" s="657">
        <v>1</v>
      </c>
      <c r="B3302" s="1546">
        <f>IF(A3302&lt;&gt;0,COUNTA(A$7:$A3302),"")</f>
        <v>192</v>
      </c>
      <c r="C3302" s="1550">
        <f>'8.Dgia'!C3260</f>
        <v>1776</v>
      </c>
      <c r="D3302" s="1550" t="str">
        <f>'8.Dgia'!D3260</f>
        <v>AL.55120</v>
      </c>
      <c r="E3302" s="1766" t="str">
        <f>'8.Dgia'!E3260</f>
        <v>Khoan kiểm tra mùn mũi cọc khoan nhồi</v>
      </c>
      <c r="F3302" s="1794" t="str">
        <f>'8.Dgia'!G3260</f>
        <v>cọc</v>
      </c>
      <c r="G3302" s="1768">
        <f>'8.Dgia'!H3260</f>
        <v>0</v>
      </c>
      <c r="H3302" s="1769"/>
      <c r="I3302" s="1769"/>
      <c r="J3302" s="1529">
        <f>I3303</f>
        <v>5720</v>
      </c>
      <c r="K3302" s="707">
        <f>I3306</f>
        <v>2696652</v>
      </c>
      <c r="L3302" s="707">
        <f>I3307</f>
        <v>822116.57277272723</v>
      </c>
    </row>
    <row r="3303" spans="1:12" s="87" customFormat="1" ht="15">
      <c r="B3303" s="1551" t="str">
        <f>'8.Dgia'!B3261</f>
        <v/>
      </c>
      <c r="C3303" s="1552">
        <f>'8.Dgia'!C3261</f>
        <v>0</v>
      </c>
      <c r="D3303" s="1552">
        <f>'8.Dgia'!D3261</f>
        <v>0</v>
      </c>
      <c r="E3303" s="1770" t="str">
        <f>'8.Dgia'!E3261</f>
        <v xml:space="preserve">  A - Vật liệu</v>
      </c>
      <c r="F3303" s="1786">
        <f>'8.Dgia'!G3261</f>
        <v>0</v>
      </c>
      <c r="G3303" s="1772">
        <f>'8.Dgia'!H3261</f>
        <v>0</v>
      </c>
      <c r="H3303" s="1773"/>
      <c r="I3303" s="1774">
        <f>SUM(I3304:I3305)</f>
        <v>5720</v>
      </c>
      <c r="J3303" s="1530"/>
      <c r="K3303" s="816"/>
      <c r="L3303" s="816"/>
    </row>
    <row r="3304" spans="1:12" s="87" customFormat="1" ht="15">
      <c r="B3304" s="1551" t="str">
        <f>'8.Dgia'!B3262</f>
        <v/>
      </c>
      <c r="C3304" s="1552">
        <f>'8.Dgia'!C3262</f>
        <v>0</v>
      </c>
      <c r="D3304" s="1552">
        <f>'8.Dgia'!D3262</f>
        <v>0</v>
      </c>
      <c r="E3304" s="1775" t="str">
        <f>'8.Dgia'!E3262</f>
        <v>Cần khoan L=1,5m</v>
      </c>
      <c r="F3304" s="1786" t="str">
        <f>'8.Dgia'!G3262</f>
        <v>kg</v>
      </c>
      <c r="G3304" s="1772">
        <f>'8.Dgia'!H3262</f>
        <v>2.5999999999999999E-2</v>
      </c>
      <c r="H3304" s="1773">
        <f>GVL!$I$32</f>
        <v>95000</v>
      </c>
      <c r="I3304" s="1773">
        <f>H3304*G3304</f>
        <v>2470</v>
      </c>
      <c r="J3304" s="1529"/>
      <c r="K3304" s="707"/>
      <c r="L3304" s="707"/>
    </row>
    <row r="3305" spans="1:12" s="87" customFormat="1" ht="15">
      <c r="B3305" s="1551" t="str">
        <f>'8.Dgia'!B3263</f>
        <v/>
      </c>
      <c r="C3305" s="1552">
        <f>'8.Dgia'!C3263</f>
        <v>0</v>
      </c>
      <c r="D3305" s="1552">
        <f>'8.Dgia'!D3263</f>
        <v>0</v>
      </c>
      <c r="E3305" s="1775" t="str">
        <f>'8.Dgia'!E3263</f>
        <v>Mũi khoan</v>
      </c>
      <c r="F3305" s="1786" t="str">
        <f>'8.Dgia'!G3263</f>
        <v>kg</v>
      </c>
      <c r="G3305" s="1772">
        <f>'8.Dgia'!H3263</f>
        <v>6.5000000000000002E-2</v>
      </c>
      <c r="H3305" s="1773">
        <f>GVL!$I$120</f>
        <v>50000</v>
      </c>
      <c r="I3305" s="1773">
        <f>H3305*G3305</f>
        <v>3250</v>
      </c>
      <c r="J3305" s="1529"/>
      <c r="K3305" s="707"/>
      <c r="L3305" s="707"/>
    </row>
    <row r="3306" spans="1:12" s="87" customFormat="1" ht="15">
      <c r="B3306" s="1551" t="str">
        <f>'8.Dgia'!B3264</f>
        <v/>
      </c>
      <c r="C3306" s="1552">
        <f>'8.Dgia'!C3264</f>
        <v>0</v>
      </c>
      <c r="D3306" s="1552">
        <f>'8.Dgia'!D3264</f>
        <v>0</v>
      </c>
      <c r="E3306" s="1770" t="str">
        <f>'8.Dgia'!E3264</f>
        <v xml:space="preserve">  B - Nhân công 4.0/7</v>
      </c>
      <c r="F3306" s="1745" t="s">
        <v>552</v>
      </c>
      <c r="G3306" s="1964">
        <f>'8.Dgia'!H3264</f>
        <v>10.5</v>
      </c>
      <c r="H3306" s="1773">
        <f>'16.NC'!$H$18</f>
        <v>256824</v>
      </c>
      <c r="I3306" s="1776">
        <f>H3306*G3306</f>
        <v>2696652</v>
      </c>
      <c r="J3306" s="1530"/>
      <c r="K3306" s="816"/>
      <c r="L3306" s="816"/>
    </row>
    <row r="3307" spans="1:12" s="87" customFormat="1" ht="15">
      <c r="B3307" s="1551" t="str">
        <f>'8.Dgia'!B3265</f>
        <v/>
      </c>
      <c r="C3307" s="1552">
        <f>'8.Dgia'!C3265</f>
        <v>0</v>
      </c>
      <c r="D3307" s="1552">
        <f>'8.Dgia'!D3265</f>
        <v>0</v>
      </c>
      <c r="E3307" s="1770" t="str">
        <f>'8.Dgia'!E3265</f>
        <v xml:space="preserve">  C - Máy thi công</v>
      </c>
      <c r="F3307" s="1786">
        <f>'8.Dgia'!G3265</f>
        <v>0</v>
      </c>
      <c r="G3307" s="1964">
        <f>'8.Dgia'!H3265</f>
        <v>0</v>
      </c>
      <c r="H3307" s="1773"/>
      <c r="I3307" s="1777">
        <f>SUM(I3308:I3310)</f>
        <v>822116.57277272723</v>
      </c>
      <c r="J3307" s="1530"/>
      <c r="K3307" s="816"/>
      <c r="L3307" s="816"/>
    </row>
    <row r="3308" spans="1:12" s="87" customFormat="1" ht="15">
      <c r="B3308" s="1551" t="str">
        <f>'8.Dgia'!B3266</f>
        <v/>
      </c>
      <c r="C3308" s="1552">
        <f>'8.Dgia'!C3266</f>
        <v>0</v>
      </c>
      <c r="D3308" s="1552">
        <f>'8.Dgia'!D3266</f>
        <v>0</v>
      </c>
      <c r="E3308" s="1775" t="str">
        <f>'8.Dgia'!E3266</f>
        <v>Máy khoan xoay đập D76mm</v>
      </c>
      <c r="F3308" s="1745" t="s">
        <v>5493</v>
      </c>
      <c r="G3308" s="1964">
        <f>'8.Dgia'!H3266</f>
        <v>0.45</v>
      </c>
      <c r="H3308" s="1773">
        <f>'9.may'!$P$575</f>
        <v>416657.10000000003</v>
      </c>
      <c r="I3308" s="1773">
        <f>H3308*G3308</f>
        <v>187495.69500000001</v>
      </c>
      <c r="J3308" s="1529"/>
      <c r="K3308" s="707"/>
      <c r="L3308" s="707"/>
    </row>
    <row r="3309" spans="1:12" s="87" customFormat="1" ht="15">
      <c r="B3309" s="1551" t="str">
        <f>'8.Dgia'!B3267</f>
        <v/>
      </c>
      <c r="C3309" s="1552">
        <f>'8.Dgia'!C3267</f>
        <v>0</v>
      </c>
      <c r="D3309" s="1552">
        <f>'8.Dgia'!D3267</f>
        <v>0</v>
      </c>
      <c r="E3309" s="1775" t="str">
        <f>'8.Dgia'!E3267</f>
        <v>Máy nén khí 600m3/h</v>
      </c>
      <c r="F3309" s="1745" t="s">
        <v>5493</v>
      </c>
      <c r="G3309" s="1964">
        <f>'8.Dgia'!H3267</f>
        <v>0.45</v>
      </c>
      <c r="H3309" s="1773">
        <f>'9.may'!$P$488</f>
        <v>1323272.1545454543</v>
      </c>
      <c r="I3309" s="1773">
        <f>H3309*G3309</f>
        <v>595472.46954545449</v>
      </c>
      <c r="J3309" s="1529"/>
      <c r="K3309" s="707"/>
      <c r="L3309" s="707"/>
    </row>
    <row r="3310" spans="1:12" s="87" customFormat="1" ht="15">
      <c r="B3310" s="1551" t="str">
        <f>'8.Dgia'!B3268</f>
        <v/>
      </c>
      <c r="C3310" s="1552">
        <f>'8.Dgia'!C3268</f>
        <v>0</v>
      </c>
      <c r="D3310" s="1552">
        <f>'8.Dgia'!D3268</f>
        <v>0</v>
      </c>
      <c r="E3310" s="1775" t="str">
        <f>'8.Dgia'!E3268</f>
        <v>Máy khác</v>
      </c>
      <c r="F3310" s="1786" t="str">
        <f>'8.Dgia'!G3268</f>
        <v>%</v>
      </c>
      <c r="G3310" s="1965">
        <f>'8.Dgia'!H3268</f>
        <v>5</v>
      </c>
      <c r="H3310" s="1773">
        <f>SUM(I3308:I3309)</f>
        <v>782968.16454545455</v>
      </c>
      <c r="I3310" s="1773">
        <f>H3310*G3310%</f>
        <v>39148.408227272732</v>
      </c>
      <c r="J3310" s="1529"/>
      <c r="K3310" s="707"/>
      <c r="L3310" s="707"/>
    </row>
    <row r="3311" spans="1:12" s="658" customFormat="1" ht="15">
      <c r="B3311" s="1677"/>
      <c r="C3311" s="1678"/>
      <c r="D3311" s="1678"/>
      <c r="E3311" s="1778" t="s">
        <v>5675</v>
      </c>
      <c r="F3311" s="1786">
        <f>$J$5</f>
        <v>0.02</v>
      </c>
      <c r="G3311" s="1780"/>
      <c r="H3311" s="1777"/>
      <c r="I3311" s="1777">
        <f>( I3303+I3306+I3307 )*F3311</f>
        <v>70489.771455454553</v>
      </c>
      <c r="J3311" s="850"/>
      <c r="K3311" s="850"/>
      <c r="L3311" s="850"/>
    </row>
    <row r="3312" spans="1:12" ht="15">
      <c r="B3312" s="1556"/>
      <c r="C3312" s="1557"/>
      <c r="D3312" s="1557"/>
      <c r="E3312" s="1781" t="s">
        <v>5676</v>
      </c>
      <c r="F3312" s="1786"/>
      <c r="G3312" s="1783"/>
      <c r="H3312" s="1784"/>
      <c r="I3312" s="1784">
        <f>I3311+I3311/F3311</f>
        <v>3594978.344228182</v>
      </c>
    </row>
    <row r="3313" spans="1:77" ht="15">
      <c r="B3313" s="1551"/>
      <c r="C3313" s="1552"/>
      <c r="D3313" s="1552"/>
      <c r="E3313" s="1785" t="s">
        <v>5677</v>
      </c>
      <c r="F3313" s="1786">
        <f>$K$5</f>
        <v>5.5E-2</v>
      </c>
      <c r="G3313" s="1772"/>
      <c r="H3313" s="1773"/>
      <c r="I3313" s="1773">
        <f>I3312*F3313</f>
        <v>197723.80893255002</v>
      </c>
    </row>
    <row r="3314" spans="1:77" ht="15">
      <c r="B3314" s="1551"/>
      <c r="C3314" s="1552"/>
      <c r="D3314" s="1552"/>
      <c r="E3314" s="1785" t="s">
        <v>5678</v>
      </c>
      <c r="F3314" s="1786">
        <f>$L$5</f>
        <v>0.06</v>
      </c>
      <c r="G3314" s="1772"/>
      <c r="H3314" s="1773"/>
      <c r="I3314" s="1773">
        <f>SUM(I3312:I3313)*F3314</f>
        <v>227562.12918964392</v>
      </c>
    </row>
    <row r="3315" spans="1:77" ht="14.25">
      <c r="B3315" s="1556"/>
      <c r="C3315" s="1557"/>
      <c r="D3315" s="1557"/>
      <c r="E3315" s="1781" t="s">
        <v>5679</v>
      </c>
      <c r="F3315" s="1787"/>
      <c r="G3315" s="1783"/>
      <c r="H3315" s="1784"/>
      <c r="I3315" s="1784">
        <f>SUM(I3312:I3314)</f>
        <v>4020264.2823503762</v>
      </c>
    </row>
    <row r="3316" spans="1:77" ht="15">
      <c r="B3316" s="1551"/>
      <c r="C3316" s="1552"/>
      <c r="D3316" s="1552"/>
      <c r="E3316" s="1785" t="s">
        <v>5680</v>
      </c>
      <c r="F3316" s="1788">
        <f>$M$5</f>
        <v>0.1</v>
      </c>
      <c r="G3316" s="1772"/>
      <c r="H3316" s="1773"/>
      <c r="I3316" s="1773">
        <f>I3315*F3316</f>
        <v>402026.42823503766</v>
      </c>
    </row>
    <row r="3317" spans="1:77" ht="14.25">
      <c r="B3317" s="1556"/>
      <c r="C3317" s="1557"/>
      <c r="D3317" s="1557"/>
      <c r="E3317" s="1781" t="s">
        <v>5681</v>
      </c>
      <c r="F3317" s="1787"/>
      <c r="G3317" s="1783"/>
      <c r="H3317" s="1784"/>
      <c r="I3317" s="1784">
        <f>SUM(I3315:I3316)</f>
        <v>4422290.7105854135</v>
      </c>
    </row>
    <row r="3318" spans="1:77" ht="12.75">
      <c r="B3318" s="1551"/>
      <c r="C3318" s="1552"/>
      <c r="D3318" s="1552"/>
      <c r="E3318" s="1563" t="s">
        <v>5682</v>
      </c>
      <c r="F3318" s="1560">
        <f>$N$5</f>
        <v>0.01</v>
      </c>
      <c r="G3318" s="1553"/>
      <c r="H3318" s="1562"/>
      <c r="I3318" s="1562">
        <f>I3317*F3318</f>
        <v>44222.907105854138</v>
      </c>
    </row>
    <row r="3319" spans="1:77" ht="14.25">
      <c r="B3319" s="2111"/>
      <c r="C3319" s="1564"/>
      <c r="D3319" s="2111"/>
      <c r="E3319" s="2112" t="s">
        <v>5683</v>
      </c>
      <c r="F3319" s="2113"/>
      <c r="G3319" s="2112"/>
      <c r="H3319" s="2114"/>
      <c r="I3319" s="2110">
        <f>ROUND(I3317+I3318,-2)</f>
        <v>4466500</v>
      </c>
    </row>
    <row r="3320" spans="1:77" s="682" customFormat="1" ht="14.25">
      <c r="A3320" s="657">
        <v>1</v>
      </c>
      <c r="B3320" s="1546">
        <f>IF(A3320&lt;&gt;0,COUNTA(A$7:$A3320),"")</f>
        <v>193</v>
      </c>
      <c r="C3320" s="1547">
        <f>'8.Dgia'!C3269</f>
        <v>1776</v>
      </c>
      <c r="D3320" s="1547" t="str">
        <f>'8.Dgia'!D3269</f>
        <v>AI.62211vd</v>
      </c>
      <c r="E3320" s="1740" t="str">
        <f>'8.Dgia'!E3269</f>
        <v>Lắp ráp cấu kiện thép</v>
      </c>
      <c r="F3320" s="1789" t="s">
        <v>557</v>
      </c>
      <c r="G3320" s="1742">
        <f>'8.Dgia'!H3269</f>
        <v>0</v>
      </c>
      <c r="H3320" s="1795"/>
      <c r="I3320" s="1795"/>
      <c r="J3320" s="1529"/>
      <c r="K3320" s="707">
        <f>I3321</f>
        <v>1926180</v>
      </c>
      <c r="L3320" s="707">
        <f>I3322</f>
        <v>230902.09658181816</v>
      </c>
      <c r="M3320" s="87"/>
      <c r="N3320" s="87"/>
      <c r="O3320" s="87"/>
      <c r="P3320" s="87"/>
      <c r="Q3320" s="87"/>
      <c r="R3320" s="87"/>
      <c r="S3320" s="87"/>
      <c r="T3320" s="87"/>
      <c r="U3320" s="87"/>
      <c r="V3320" s="87"/>
      <c r="W3320" s="87"/>
      <c r="X3320" s="87"/>
      <c r="Y3320" s="87"/>
      <c r="Z3320" s="87"/>
      <c r="AA3320" s="87"/>
      <c r="AB3320" s="87"/>
      <c r="AC3320" s="87"/>
      <c r="AD3320" s="87"/>
      <c r="AE3320" s="87"/>
      <c r="AF3320" s="87"/>
      <c r="AG3320" s="87"/>
      <c r="AH3320" s="87"/>
      <c r="AI3320" s="87"/>
      <c r="AJ3320" s="87"/>
      <c r="AK3320" s="87"/>
      <c r="AL3320" s="87"/>
      <c r="AM3320" s="87"/>
      <c r="AN3320" s="87"/>
      <c r="AO3320" s="87"/>
      <c r="AP3320" s="87"/>
      <c r="AQ3320" s="87"/>
      <c r="AR3320" s="87"/>
      <c r="AS3320" s="87"/>
      <c r="AT3320" s="87"/>
      <c r="AU3320" s="87"/>
      <c r="AV3320" s="87"/>
      <c r="AW3320" s="87"/>
      <c r="AX3320" s="87"/>
      <c r="AY3320" s="87"/>
      <c r="AZ3320" s="87"/>
      <c r="BA3320" s="87"/>
      <c r="BB3320" s="87"/>
      <c r="BC3320" s="87"/>
      <c r="BD3320" s="87"/>
      <c r="BE3320" s="87"/>
      <c r="BF3320" s="87"/>
      <c r="BG3320" s="87"/>
      <c r="BH3320" s="87"/>
      <c r="BI3320" s="87"/>
      <c r="BJ3320" s="87"/>
      <c r="BK3320" s="87"/>
      <c r="BL3320" s="87"/>
      <c r="BM3320" s="87"/>
      <c r="BN3320" s="87"/>
      <c r="BO3320" s="87"/>
      <c r="BP3320" s="87"/>
      <c r="BQ3320" s="87"/>
      <c r="BR3320" s="87"/>
      <c r="BS3320" s="87"/>
      <c r="BT3320" s="87"/>
      <c r="BU3320" s="87"/>
      <c r="BV3320" s="87"/>
      <c r="BW3320" s="87"/>
      <c r="BX3320" s="87"/>
      <c r="BY3320" s="87"/>
    </row>
    <row r="3321" spans="1:77" s="682" customFormat="1" ht="15">
      <c r="B3321" s="1536" t="str">
        <f>'8.Dgia'!B3270</f>
        <v/>
      </c>
      <c r="C3321" s="1537">
        <f>'8.Dgia'!C3270</f>
        <v>0</v>
      </c>
      <c r="D3321" s="1537">
        <f>'8.Dgia'!D3270</f>
        <v>0</v>
      </c>
      <c r="E3321" s="1744" t="str">
        <f>'8.Dgia'!E3270</f>
        <v xml:space="preserve">  B - Nhân công 4.0/7</v>
      </c>
      <c r="F3321" s="1745" t="s">
        <v>552</v>
      </c>
      <c r="G3321" s="1954">
        <f>'8.Dgia'!H3270</f>
        <v>7.5</v>
      </c>
      <c r="H3321" s="1796">
        <f>'16.NC'!$H$18</f>
        <v>256824</v>
      </c>
      <c r="I3321" s="1798">
        <f>H3321*G3321</f>
        <v>1926180</v>
      </c>
      <c r="J3321" s="1529"/>
      <c r="K3321" s="707"/>
      <c r="L3321" s="707"/>
    </row>
    <row r="3322" spans="1:77" s="87" customFormat="1" ht="15">
      <c r="B3322" s="1536" t="str">
        <f>'8.Dgia'!B3271</f>
        <v/>
      </c>
      <c r="C3322" s="1537">
        <f>'8.Dgia'!C3271</f>
        <v>0</v>
      </c>
      <c r="D3322" s="1537">
        <f>'8.Dgia'!D3271</f>
        <v>0</v>
      </c>
      <c r="E3322" s="1744" t="str">
        <f>'8.Dgia'!E3271</f>
        <v xml:space="preserve">  C - Máy thi công</v>
      </c>
      <c r="F3322" s="1763">
        <f>'8.Dgia'!G3271</f>
        <v>0</v>
      </c>
      <c r="G3322" s="1746">
        <f>'8.Dgia'!H3271</f>
        <v>0</v>
      </c>
      <c r="H3322" s="1796"/>
      <c r="I3322" s="1799">
        <f>SUM(I3323:I3323)</f>
        <v>230902.09658181816</v>
      </c>
      <c r="J3322" s="1529"/>
      <c r="K3322" s="707"/>
      <c r="L3322" s="707"/>
    </row>
    <row r="3323" spans="1:77" s="87" customFormat="1" ht="15">
      <c r="B3323" s="1536" t="str">
        <f>'8.Dgia'!B3272</f>
        <v/>
      </c>
      <c r="C3323" s="1537">
        <f>'8.Dgia'!C3272</f>
        <v>0</v>
      </c>
      <c r="D3323" s="1537">
        <f>'8.Dgia'!D3272</f>
        <v>0</v>
      </c>
      <c r="E3323" s="1749" t="str">
        <f>'8.Dgia'!E3272</f>
        <v>Cần trục ôtô 25T</v>
      </c>
      <c r="F3323" s="1745" t="s">
        <v>5493</v>
      </c>
      <c r="G3323" s="1746">
        <f>'8.Dgia'!H3272</f>
        <v>0.08</v>
      </c>
      <c r="H3323" s="1796">
        <f>'9.may'!$P$228</f>
        <v>2886276.207272727</v>
      </c>
      <c r="I3323" s="1796">
        <f>H3323*G3323</f>
        <v>230902.09658181816</v>
      </c>
      <c r="J3323" s="1529"/>
      <c r="K3323" s="707"/>
      <c r="L3323" s="707"/>
    </row>
    <row r="3324" spans="1:77" s="658" customFormat="1" ht="15">
      <c r="B3324" s="1675"/>
      <c r="C3324" s="1676"/>
      <c r="D3324" s="1676"/>
      <c r="E3324" s="1800" t="s">
        <v>5675</v>
      </c>
      <c r="F3324" s="1763">
        <f>$J$5</f>
        <v>0.02</v>
      </c>
      <c r="G3324" s="1754"/>
      <c r="H3324" s="1799"/>
      <c r="I3324" s="1799">
        <f>( I3321+I3322 )*F3324</f>
        <v>43141.641931636361</v>
      </c>
      <c r="J3324" s="850"/>
      <c r="K3324" s="850"/>
      <c r="L3324" s="850"/>
    </row>
    <row r="3325" spans="1:77" ht="15">
      <c r="B3325" s="1540"/>
      <c r="C3325" s="1541"/>
      <c r="D3325" s="1541"/>
      <c r="E3325" s="1801" t="s">
        <v>5676</v>
      </c>
      <c r="F3325" s="1763"/>
      <c r="G3325" s="1759"/>
      <c r="H3325" s="1802"/>
      <c r="I3325" s="1802">
        <f>I3324+I3324/F3324</f>
        <v>2200223.7385134543</v>
      </c>
    </row>
    <row r="3326" spans="1:77" ht="15">
      <c r="B3326" s="1536"/>
      <c r="C3326" s="1537"/>
      <c r="D3326" s="1537"/>
      <c r="E3326" s="1803" t="s">
        <v>5677</v>
      </c>
      <c r="F3326" s="1763">
        <f>$K$5</f>
        <v>5.5E-2</v>
      </c>
      <c r="G3326" s="1746"/>
      <c r="H3326" s="1796"/>
      <c r="I3326" s="1796">
        <f>I3325*F3326</f>
        <v>121012.30561823999</v>
      </c>
    </row>
    <row r="3327" spans="1:77" ht="15">
      <c r="B3327" s="1536"/>
      <c r="C3327" s="1537"/>
      <c r="D3327" s="1537"/>
      <c r="E3327" s="1803" t="s">
        <v>5678</v>
      </c>
      <c r="F3327" s="1763">
        <f>$L$5</f>
        <v>0.06</v>
      </c>
      <c r="G3327" s="1746"/>
      <c r="H3327" s="1796"/>
      <c r="I3327" s="1796">
        <f>SUM(I3325:I3326)*F3327</f>
        <v>139274.16264790166</v>
      </c>
    </row>
    <row r="3328" spans="1:77" ht="14.25">
      <c r="B3328" s="1540"/>
      <c r="C3328" s="1541"/>
      <c r="D3328" s="1541"/>
      <c r="E3328" s="1801" t="s">
        <v>5679</v>
      </c>
      <c r="F3328" s="1791"/>
      <c r="G3328" s="1759"/>
      <c r="H3328" s="1802"/>
      <c r="I3328" s="1802">
        <f>SUM(I3325:I3327)</f>
        <v>2460510.2067795959</v>
      </c>
    </row>
    <row r="3329" spans="1:12" ht="15">
      <c r="B3329" s="1536"/>
      <c r="C3329" s="1537"/>
      <c r="D3329" s="1537"/>
      <c r="E3329" s="1803" t="s">
        <v>5680</v>
      </c>
      <c r="F3329" s="1765">
        <f>$M$5</f>
        <v>0.1</v>
      </c>
      <c r="G3329" s="1746"/>
      <c r="H3329" s="1796"/>
      <c r="I3329" s="1796">
        <f>I3328*F3329</f>
        <v>246051.0206779596</v>
      </c>
    </row>
    <row r="3330" spans="1:12" ht="14.25">
      <c r="B3330" s="1540"/>
      <c r="C3330" s="1541"/>
      <c r="D3330" s="1541"/>
      <c r="E3330" s="1801" t="s">
        <v>5681</v>
      </c>
      <c r="F3330" s="1791"/>
      <c r="G3330" s="1759"/>
      <c r="H3330" s="1802"/>
      <c r="I3330" s="1802">
        <f>SUM(I3328:I3329)</f>
        <v>2706561.2274575555</v>
      </c>
    </row>
    <row r="3331" spans="1:12" ht="12.75">
      <c r="B3331" s="1536"/>
      <c r="C3331" s="1537"/>
      <c r="D3331" s="1537"/>
      <c r="E3331" s="1464" t="s">
        <v>5682</v>
      </c>
      <c r="F3331" s="1535">
        <f>$N$5</f>
        <v>0.01</v>
      </c>
      <c r="G3331" s="1538"/>
      <c r="H3331" s="1539"/>
      <c r="I3331" s="1539">
        <f>I3330*F3331</f>
        <v>27065.612274575557</v>
      </c>
    </row>
    <row r="3332" spans="1:12" ht="14.25">
      <c r="B3332" s="2116"/>
      <c r="C3332" s="1544"/>
      <c r="D3332" s="2116"/>
      <c r="E3332" s="2117" t="s">
        <v>5683</v>
      </c>
      <c r="F3332" s="2115"/>
      <c r="G3332" s="2117"/>
      <c r="H3332" s="2118"/>
      <c r="I3332" s="2110">
        <f>ROUND(I3330+I3331,-2)</f>
        <v>2733600</v>
      </c>
    </row>
    <row r="3333" spans="1:12" s="1336" customFormat="1" ht="14.25">
      <c r="A3333" s="657">
        <v>1</v>
      </c>
      <c r="B3333" s="1546">
        <f>IF(A3333&lt;&gt;0,COUNTA(A$7:$A3333),"")</f>
        <v>194</v>
      </c>
      <c r="C3333" s="1550">
        <f>'8.Dgia'!C3273</f>
        <v>1779</v>
      </c>
      <c r="D3333" s="1550" t="str">
        <f>'8.Dgia'!D3273</f>
        <v>CQ.16003</v>
      </c>
      <c r="E3333" s="1766" t="str">
        <f>'8.Dgia'!E3273</f>
        <v>Nén tĩnh thử tải cọc khoan nhồi</v>
      </c>
      <c r="F3333" s="1789" t="s">
        <v>557</v>
      </c>
      <c r="G3333" s="1768">
        <f>'8.Dgia'!H3273</f>
        <v>0</v>
      </c>
      <c r="H3333" s="1769"/>
      <c r="I3333" s="1769"/>
      <c r="J3333" s="1735">
        <f>I3334</f>
        <v>20671.720585501491</v>
      </c>
      <c r="K3333" s="1736">
        <f>I3339</f>
        <v>41199.808000000005</v>
      </c>
      <c r="L3333" s="1736">
        <f>I3342</f>
        <v>52566.824952409093</v>
      </c>
    </row>
    <row r="3334" spans="1:12" ht="15">
      <c r="B3334" s="1551" t="str">
        <f>'8.Dgia'!B3274</f>
        <v/>
      </c>
      <c r="C3334" s="1552">
        <f>'8.Dgia'!C3274</f>
        <v>0</v>
      </c>
      <c r="D3334" s="1552">
        <f>'8.Dgia'!D3274</f>
        <v>0</v>
      </c>
      <c r="E3334" s="1770" t="str">
        <f>'8.Dgia'!E3274</f>
        <v xml:space="preserve">  A - Vật liệu</v>
      </c>
      <c r="F3334" s="1786">
        <f>'8.Dgia'!G3274</f>
        <v>0</v>
      </c>
      <c r="G3334" s="1772">
        <f>'8.Dgia'!H3274</f>
        <v>0</v>
      </c>
      <c r="H3334" s="1773"/>
      <c r="I3334" s="1774">
        <f>SUM(I3335:I3338)</f>
        <v>20671.720585501491</v>
      </c>
      <c r="J3334" s="1529"/>
      <c r="K3334" s="707"/>
      <c r="L3334" s="707"/>
    </row>
    <row r="3335" spans="1:12" ht="15">
      <c r="B3335" s="1551" t="str">
        <f>'8.Dgia'!B3275</f>
        <v/>
      </c>
      <c r="C3335" s="1552">
        <f>'8.Dgia'!C3275</f>
        <v>0</v>
      </c>
      <c r="D3335" s="1552">
        <f>'8.Dgia'!D3275</f>
        <v>0</v>
      </c>
      <c r="E3335" s="1775" t="str">
        <f>'8.Dgia'!E3275</f>
        <v>Thép hình</v>
      </c>
      <c r="F3335" s="1786" t="str">
        <f>'8.Dgia'!G3275</f>
        <v>kg</v>
      </c>
      <c r="G3335" s="1772">
        <f>'8.Dgia'!H3275</f>
        <v>0.48</v>
      </c>
      <c r="H3335" s="1773">
        <f>GVL!$I$170</f>
        <v>16703.248369172808</v>
      </c>
      <c r="I3335" s="1773">
        <f>H3335*G3335</f>
        <v>8017.5592172029474</v>
      </c>
      <c r="J3335" s="1529"/>
      <c r="K3335" s="707"/>
      <c r="L3335" s="707"/>
    </row>
    <row r="3336" spans="1:12" ht="15">
      <c r="B3336" s="1551" t="str">
        <f>'8.Dgia'!B3276</f>
        <v/>
      </c>
      <c r="C3336" s="1552">
        <f>'8.Dgia'!C3276</f>
        <v>0</v>
      </c>
      <c r="D3336" s="1552">
        <f>'8.Dgia'!D3276</f>
        <v>0</v>
      </c>
      <c r="E3336" s="1775" t="str">
        <f>'8.Dgia'!E3276</f>
        <v>Bê tông C15</v>
      </c>
      <c r="F3336" s="1786" t="str">
        <f>'8.Dgia'!G3276</f>
        <v>m3</v>
      </c>
      <c r="G3336" s="1772">
        <f>'8.Dgia'!H3276</f>
        <v>8.9999999999999993E-3</v>
      </c>
      <c r="H3336" s="1773">
        <f>I3357+I3360+I3361</f>
        <v>1271977.0801522112</v>
      </c>
      <c r="I3336" s="1773">
        <f>H3336*G3336</f>
        <v>11447.793721369901</v>
      </c>
      <c r="J3336" s="1529"/>
      <c r="K3336" s="707"/>
      <c r="L3336" s="707"/>
    </row>
    <row r="3337" spans="1:12" ht="15">
      <c r="B3337" s="1551" t="str">
        <f>'8.Dgia'!B3277</f>
        <v/>
      </c>
      <c r="C3337" s="1552">
        <f>'8.Dgia'!C3277</f>
        <v>0</v>
      </c>
      <c r="D3337" s="1552">
        <f>'8.Dgia'!D3277</f>
        <v>0</v>
      </c>
      <c r="E3337" s="1775" t="str">
        <f>'8.Dgia'!E3277</f>
        <v>Dầu kích</v>
      </c>
      <c r="F3337" s="1786" t="str">
        <f>'8.Dgia'!G3277</f>
        <v>kg</v>
      </c>
      <c r="G3337" s="1772">
        <f>'8.Dgia'!H3277</f>
        <v>1.2E-2</v>
      </c>
      <c r="H3337" s="1773">
        <f>GVL!$I$75</f>
        <v>18500</v>
      </c>
      <c r="I3337" s="1773">
        <f>H3337*G3337</f>
        <v>222</v>
      </c>
      <c r="J3337" s="1529"/>
      <c r="K3337" s="707"/>
      <c r="L3337" s="707"/>
    </row>
    <row r="3338" spans="1:12" ht="15">
      <c r="B3338" s="1551" t="str">
        <f>'8.Dgia'!B3278</f>
        <v/>
      </c>
      <c r="C3338" s="1552">
        <f>'8.Dgia'!C3278</f>
        <v>0</v>
      </c>
      <c r="D3338" s="1552">
        <f>'8.Dgia'!D3278</f>
        <v>0</v>
      </c>
      <c r="E3338" s="1775" t="str">
        <f>'8.Dgia'!E3278</f>
        <v>Vật liệu khác</v>
      </c>
      <c r="F3338" s="1786" t="str">
        <f>'8.Dgia'!G3278</f>
        <v>%</v>
      </c>
      <c r="G3338" s="1965">
        <f>'8.Dgia'!H3278</f>
        <v>5</v>
      </c>
      <c r="H3338" s="1773">
        <f>SUM(I3335:I3337)</f>
        <v>19687.352938572847</v>
      </c>
      <c r="I3338" s="1773">
        <f>H3338*G3338%</f>
        <v>984.36764692864244</v>
      </c>
      <c r="J3338" s="1529"/>
      <c r="K3338" s="707"/>
      <c r="L3338" s="707"/>
    </row>
    <row r="3339" spans="1:12" ht="15">
      <c r="B3339" s="1551" t="str">
        <f>'8.Dgia'!B3279</f>
        <v/>
      </c>
      <c r="C3339" s="1552">
        <f>'8.Dgia'!C3279</f>
        <v>0</v>
      </c>
      <c r="D3339" s="1552">
        <f>'8.Dgia'!D3279</f>
        <v>0</v>
      </c>
      <c r="E3339" s="1770" t="str">
        <f>'8.Dgia'!E3279</f>
        <v xml:space="preserve">  B - Nhân công</v>
      </c>
      <c r="F3339" s="1745" t="s">
        <v>552</v>
      </c>
      <c r="G3339" s="1772">
        <f>'8.Dgia'!H3279</f>
        <v>0</v>
      </c>
      <c r="H3339" s="1773"/>
      <c r="I3339" s="1776">
        <f>SUM(I3340:I3341)</f>
        <v>41199.808000000005</v>
      </c>
      <c r="J3339" s="1529"/>
      <c r="K3339" s="707"/>
      <c r="L3339" s="707"/>
    </row>
    <row r="3340" spans="1:12" ht="15">
      <c r="B3340" s="1551" t="str">
        <f>'8.Dgia'!B3280</f>
        <v/>
      </c>
      <c r="C3340" s="1552">
        <f>'8.Dgia'!C3280</f>
        <v>0</v>
      </c>
      <c r="D3340" s="1552">
        <f>'8.Dgia'!D3280</f>
        <v>0</v>
      </c>
      <c r="E3340" s="1770" t="str">
        <f>'8.Dgia'!E3280</f>
        <v xml:space="preserve">  B - Nhân công 5.0/7</v>
      </c>
      <c r="F3340" s="1745" t="s">
        <v>552</v>
      </c>
      <c r="G3340" s="1772">
        <f>'8.Dgia'!H3280</f>
        <v>2.5999999999999999E-2</v>
      </c>
      <c r="H3340" s="1773">
        <f>'16.NC'!$H$21</f>
        <v>300488</v>
      </c>
      <c r="I3340" s="1776">
        <f>H3340*G3340</f>
        <v>7812.6879999999992</v>
      </c>
      <c r="J3340" s="1529"/>
      <c r="K3340" s="707"/>
      <c r="L3340" s="707"/>
    </row>
    <row r="3341" spans="1:12" ht="15">
      <c r="B3341" s="1551" t="str">
        <f>'8.Dgia'!B3281</f>
        <v/>
      </c>
      <c r="C3341" s="1552">
        <f>'8.Dgia'!C3281</f>
        <v>0</v>
      </c>
      <c r="D3341" s="1552">
        <f>'8.Dgia'!D3281</f>
        <v>0</v>
      </c>
      <c r="E3341" s="1770" t="str">
        <f>'8.Dgia'!E3281</f>
        <v xml:space="preserve">  B - Nhân công 4.0/7</v>
      </c>
      <c r="F3341" s="1745" t="s">
        <v>552</v>
      </c>
      <c r="G3341" s="1772">
        <f>'8.Dgia'!H3281</f>
        <v>0.13</v>
      </c>
      <c r="H3341" s="1773">
        <f>'16.NC'!$H$18</f>
        <v>256824</v>
      </c>
      <c r="I3341" s="1776">
        <f>H3341*G3341</f>
        <v>33387.120000000003</v>
      </c>
      <c r="J3341" s="1529"/>
      <c r="K3341" s="707"/>
      <c r="L3341" s="707"/>
    </row>
    <row r="3342" spans="1:12" ht="15">
      <c r="B3342" s="1551" t="str">
        <f>'8.Dgia'!B3282</f>
        <v/>
      </c>
      <c r="C3342" s="1552">
        <f>'8.Dgia'!C3282</f>
        <v>0</v>
      </c>
      <c r="D3342" s="1552">
        <f>'8.Dgia'!D3282</f>
        <v>0</v>
      </c>
      <c r="E3342" s="1770" t="str">
        <f>'8.Dgia'!E3282</f>
        <v xml:space="preserve">  C - Máy thi công</v>
      </c>
      <c r="F3342" s="1786">
        <f>'8.Dgia'!G3282</f>
        <v>0</v>
      </c>
      <c r="G3342" s="1772">
        <f>'8.Dgia'!H3282</f>
        <v>0</v>
      </c>
      <c r="H3342" s="1773"/>
      <c r="I3342" s="1777">
        <f>SUM(I3343:I3346)</f>
        <v>52566.824952409093</v>
      </c>
      <c r="J3342" s="1529"/>
      <c r="K3342" s="707"/>
      <c r="L3342" s="707"/>
    </row>
    <row r="3343" spans="1:12" ht="15">
      <c r="B3343" s="1551" t="str">
        <f>'8.Dgia'!B3283</f>
        <v/>
      </c>
      <c r="C3343" s="1552">
        <f>'8.Dgia'!C3283</f>
        <v>0</v>
      </c>
      <c r="D3343" s="1552">
        <f>'8.Dgia'!D3283</f>
        <v>0</v>
      </c>
      <c r="E3343" s="1775" t="str">
        <f>'8.Dgia'!E3283</f>
        <v>Kích 500T</v>
      </c>
      <c r="F3343" s="1745" t="s">
        <v>5493</v>
      </c>
      <c r="G3343" s="1772">
        <f>'8.Dgia'!H3283</f>
        <v>1.7999999999999999E-2</v>
      </c>
      <c r="H3343" s="1773">
        <f>'9.may'!$P$747</f>
        <v>132935.79</v>
      </c>
      <c r="I3343" s="1773">
        <f>H3343*G3343</f>
        <v>2392.84422</v>
      </c>
      <c r="J3343" s="1529"/>
      <c r="K3343" s="707"/>
      <c r="L3343" s="707"/>
    </row>
    <row r="3344" spans="1:12" ht="15">
      <c r="B3344" s="1551" t="str">
        <f>'8.Dgia'!B3284</f>
        <v/>
      </c>
      <c r="C3344" s="1552">
        <f>'8.Dgia'!C3284</f>
        <v>0</v>
      </c>
      <c r="D3344" s="1552">
        <f>'8.Dgia'!D3284</f>
        <v>0</v>
      </c>
      <c r="E3344" s="1775" t="str">
        <f>'8.Dgia'!E3284</f>
        <v>Máy thủy bình</v>
      </c>
      <c r="F3344" s="1745" t="s">
        <v>5493</v>
      </c>
      <c r="G3344" s="1772">
        <f>'8.Dgia'!H3284</f>
        <v>1.7999999999999999E-2</v>
      </c>
      <c r="H3344" s="1773">
        <f>'9.may'!$P$895</f>
        <v>15269.73</v>
      </c>
      <c r="I3344" s="1773">
        <f>H3344*G3344</f>
        <v>274.85513999999995</v>
      </c>
      <c r="J3344" s="1529"/>
      <c r="K3344" s="707"/>
      <c r="L3344" s="707"/>
    </row>
    <row r="3345" spans="1:12" ht="15">
      <c r="B3345" s="1551" t="str">
        <f>'8.Dgia'!B3285</f>
        <v/>
      </c>
      <c r="C3345" s="1552">
        <f>'8.Dgia'!C3285</f>
        <v>0</v>
      </c>
      <c r="D3345" s="1552">
        <f>'8.Dgia'!D3285</f>
        <v>0</v>
      </c>
      <c r="E3345" s="1775" t="str">
        <f>'8.Dgia'!E3285</f>
        <v>Cần cẩu bánh xích 25T</v>
      </c>
      <c r="F3345" s="1745" t="s">
        <v>5493</v>
      </c>
      <c r="G3345" s="1772">
        <f>'8.Dgia'!H3285</f>
        <v>1.7000000000000001E-2</v>
      </c>
      <c r="H3345" s="1773">
        <f>'9.may'!$P$248</f>
        <v>2787996.6736363638</v>
      </c>
      <c r="I3345" s="1773">
        <f>H3345*G3345</f>
        <v>47395.943451818188</v>
      </c>
      <c r="J3345" s="1529"/>
      <c r="K3345" s="707"/>
      <c r="L3345" s="707"/>
    </row>
    <row r="3346" spans="1:12" ht="15">
      <c r="B3346" s="1551" t="str">
        <f>'8.Dgia'!B3286</f>
        <v/>
      </c>
      <c r="C3346" s="1552">
        <f>'8.Dgia'!C3286</f>
        <v>0</v>
      </c>
      <c r="D3346" s="1552">
        <f>'8.Dgia'!D3286</f>
        <v>0</v>
      </c>
      <c r="E3346" s="1775" t="str">
        <f>'8.Dgia'!E3286</f>
        <v>Máy khác</v>
      </c>
      <c r="F3346" s="1786" t="str">
        <f>'8.Dgia'!G3286</f>
        <v>%</v>
      </c>
      <c r="G3346" s="1965">
        <f>'8.Dgia'!H3286</f>
        <v>5</v>
      </c>
      <c r="H3346" s="1773">
        <f>SUM(I3343:I3345)</f>
        <v>50063.642811818187</v>
      </c>
      <c r="I3346" s="1773">
        <f>H3346*G3346%</f>
        <v>2503.1821405909095</v>
      </c>
      <c r="J3346" s="1529"/>
      <c r="K3346" s="707"/>
      <c r="L3346" s="707"/>
    </row>
    <row r="3347" spans="1:12" s="658" customFormat="1" ht="15">
      <c r="B3347" s="1677"/>
      <c r="C3347" s="1678"/>
      <c r="D3347" s="1678"/>
      <c r="E3347" s="1778" t="s">
        <v>5675</v>
      </c>
      <c r="F3347" s="1786">
        <f>$J$5</f>
        <v>0.02</v>
      </c>
      <c r="G3347" s="1780"/>
      <c r="H3347" s="1777"/>
      <c r="I3347" s="1777">
        <f>( I3334+I3339+I3342 )*F3347</f>
        <v>2288.767070758212</v>
      </c>
      <c r="J3347" s="850"/>
      <c r="K3347" s="850"/>
      <c r="L3347" s="850"/>
    </row>
    <row r="3348" spans="1:12" ht="15">
      <c r="B3348" s="1556"/>
      <c r="C3348" s="1557"/>
      <c r="D3348" s="1557"/>
      <c r="E3348" s="1781" t="s">
        <v>5676</v>
      </c>
      <c r="F3348" s="1786"/>
      <c r="G3348" s="1783"/>
      <c r="H3348" s="1784"/>
      <c r="I3348" s="1784">
        <f>I3347+I3347/F3347</f>
        <v>116727.1206086688</v>
      </c>
    </row>
    <row r="3349" spans="1:12" ht="15">
      <c r="B3349" s="1551"/>
      <c r="C3349" s="1552"/>
      <c r="D3349" s="1552"/>
      <c r="E3349" s="1785" t="s">
        <v>5677</v>
      </c>
      <c r="F3349" s="1786">
        <f>$K$5</f>
        <v>5.5E-2</v>
      </c>
      <c r="G3349" s="1772"/>
      <c r="H3349" s="1773"/>
      <c r="I3349" s="1773">
        <f>I3348*F3349</f>
        <v>6419.991633476784</v>
      </c>
    </row>
    <row r="3350" spans="1:12" ht="15">
      <c r="B3350" s="1551"/>
      <c r="C3350" s="1552"/>
      <c r="D3350" s="1552"/>
      <c r="E3350" s="1785" t="s">
        <v>5678</v>
      </c>
      <c r="F3350" s="1786">
        <f>$L$5</f>
        <v>0.06</v>
      </c>
      <c r="G3350" s="1772"/>
      <c r="H3350" s="1773"/>
      <c r="I3350" s="1773">
        <f>SUM(I3348:I3349)*F3350</f>
        <v>7388.826734528735</v>
      </c>
    </row>
    <row r="3351" spans="1:12" ht="14.25">
      <c r="B3351" s="1556"/>
      <c r="C3351" s="1557"/>
      <c r="D3351" s="1557"/>
      <c r="E3351" s="1781" t="s">
        <v>5679</v>
      </c>
      <c r="F3351" s="1787"/>
      <c r="G3351" s="1783"/>
      <c r="H3351" s="1784"/>
      <c r="I3351" s="1784">
        <f>SUM(I3348:I3350)</f>
        <v>130535.93897667431</v>
      </c>
    </row>
    <row r="3352" spans="1:12" ht="15">
      <c r="B3352" s="1551"/>
      <c r="C3352" s="1552"/>
      <c r="D3352" s="1552"/>
      <c r="E3352" s="1785" t="s">
        <v>5680</v>
      </c>
      <c r="F3352" s="1788">
        <f>$M$5</f>
        <v>0.1</v>
      </c>
      <c r="G3352" s="1772"/>
      <c r="H3352" s="1773"/>
      <c r="I3352" s="1773">
        <f>I3351*F3352</f>
        <v>13053.593897667432</v>
      </c>
    </row>
    <row r="3353" spans="1:12" ht="14.25">
      <c r="B3353" s="1556"/>
      <c r="C3353" s="1557"/>
      <c r="D3353" s="1557"/>
      <c r="E3353" s="1781" t="s">
        <v>5681</v>
      </c>
      <c r="F3353" s="1787"/>
      <c r="G3353" s="1783"/>
      <c r="H3353" s="1784"/>
      <c r="I3353" s="1784">
        <f>SUM(I3351:I3352)</f>
        <v>143589.53287434173</v>
      </c>
    </row>
    <row r="3354" spans="1:12" ht="12.75">
      <c r="B3354" s="1551"/>
      <c r="C3354" s="1552"/>
      <c r="D3354" s="1552"/>
      <c r="E3354" s="1563" t="s">
        <v>5682</v>
      </c>
      <c r="F3354" s="1560">
        <f>$N$5</f>
        <v>0.01</v>
      </c>
      <c r="G3354" s="1553"/>
      <c r="H3354" s="1562"/>
      <c r="I3354" s="1562">
        <f>I3353*F3354</f>
        <v>1435.8953287434174</v>
      </c>
    </row>
    <row r="3355" spans="1:12" ht="14.25">
      <c r="B3355" s="2111"/>
      <c r="C3355" s="1564"/>
      <c r="D3355" s="2111"/>
      <c r="E3355" s="2112" t="s">
        <v>5683</v>
      </c>
      <c r="F3355" s="2113"/>
      <c r="G3355" s="2112"/>
      <c r="H3355" s="2114"/>
      <c r="I3355" s="2110">
        <f>ROUND(I3353+I3354,-2)</f>
        <v>145000</v>
      </c>
    </row>
    <row r="3356" spans="1:12" ht="14.25">
      <c r="A3356" s="657">
        <v>1</v>
      </c>
      <c r="B3356" s="1546">
        <f>IF(A3356&lt;&gt;0,COUNTA(A$7:$A3356),"")</f>
        <v>195</v>
      </c>
      <c r="C3356" s="1550">
        <f>'8.Dgia'!C3287</f>
        <v>1779</v>
      </c>
      <c r="D3356" s="1550" t="str">
        <f>'8.Dgia'!D3287</f>
        <v>AG.11110</v>
      </c>
      <c r="E3356" s="1766" t="str">
        <f>'8.Dgia'!E3287</f>
        <v>Bê tông C15</v>
      </c>
      <c r="F3356" s="1794" t="str">
        <f>'8.Dgia'!G3287</f>
        <v>m3</v>
      </c>
      <c r="G3356" s="1768">
        <f>'8.Dgia'!H3287</f>
        <v>0</v>
      </c>
      <c r="H3356" s="1769"/>
      <c r="I3356" s="1769"/>
      <c r="J3356" s="1529">
        <f>I3357</f>
        <v>836171.72269721131</v>
      </c>
      <c r="K3356" s="707">
        <f>I3360</f>
        <v>402144.33</v>
      </c>
      <c r="L3356" s="707">
        <f>I3361</f>
        <v>33661.027455000003</v>
      </c>
    </row>
    <row r="3357" spans="1:12" ht="15">
      <c r="B3357" s="1551" t="str">
        <f>'8.Dgia'!B3288</f>
        <v/>
      </c>
      <c r="C3357" s="1552">
        <f>'8.Dgia'!C3288</f>
        <v>0</v>
      </c>
      <c r="D3357" s="1552">
        <f>'8.Dgia'!D3288</f>
        <v>0</v>
      </c>
      <c r="E3357" s="1770" t="str">
        <f>'8.Dgia'!E3288</f>
        <v xml:space="preserve">  A - Vật liệu</v>
      </c>
      <c r="F3357" s="1786">
        <f>'8.Dgia'!G3288</f>
        <v>0</v>
      </c>
      <c r="G3357" s="1772">
        <f>'8.Dgia'!H3288</f>
        <v>0</v>
      </c>
      <c r="H3357" s="1773"/>
      <c r="I3357" s="1774">
        <f>SUM(I3358:I3359)</f>
        <v>836171.72269721131</v>
      </c>
      <c r="J3357" s="1529"/>
      <c r="K3357" s="707"/>
      <c r="L3357" s="707"/>
    </row>
    <row r="3358" spans="1:12" ht="15">
      <c r="B3358" s="1551" t="str">
        <f>'8.Dgia'!B3289</f>
        <v/>
      </c>
      <c r="C3358" s="1552">
        <f>'8.Dgia'!C3289</f>
        <v>0</v>
      </c>
      <c r="D3358" s="1552" t="str">
        <f>'8.Dgia'!D3289</f>
        <v>C3123</v>
      </c>
      <c r="E3358" s="1775" t="str">
        <f>'8.Dgia'!E3289</f>
        <v>Vữa bê tông đá 1x2 C15 SN 2-4</v>
      </c>
      <c r="F3358" s="1786" t="str">
        <f>'8.Dgia'!G3289</f>
        <v>m3</v>
      </c>
      <c r="G3358" s="1772">
        <f>'8.Dgia'!H3289</f>
        <v>1.0149999999999999</v>
      </c>
      <c r="H3358" s="1773">
        <f>GVL!$I$193</f>
        <v>819715.92549294059</v>
      </c>
      <c r="I3358" s="1773">
        <f>H3358*G3358</f>
        <v>832011.66437533463</v>
      </c>
      <c r="J3358" s="1529"/>
      <c r="K3358" s="707"/>
      <c r="L3358" s="707"/>
    </row>
    <row r="3359" spans="1:12" ht="15">
      <c r="B3359" s="1551" t="str">
        <f>'8.Dgia'!B3290</f>
        <v/>
      </c>
      <c r="C3359" s="1552">
        <f>'8.Dgia'!C3290</f>
        <v>0</v>
      </c>
      <c r="D3359" s="1552">
        <f>'8.Dgia'!D3290</f>
        <v>0</v>
      </c>
      <c r="E3359" s="1775" t="str">
        <f>'8.Dgia'!E3290</f>
        <v>Vật liệu khác</v>
      </c>
      <c r="F3359" s="1786" t="str">
        <f>'8.Dgia'!G3290</f>
        <v>%</v>
      </c>
      <c r="G3359" s="1964">
        <f>'8.Dgia'!H3290</f>
        <v>0.5</v>
      </c>
      <c r="H3359" s="1773">
        <f>I3358</f>
        <v>832011.66437533463</v>
      </c>
      <c r="I3359" s="1773">
        <f>H3359*G3359%</f>
        <v>4160.0583218766733</v>
      </c>
      <c r="J3359" s="1529"/>
      <c r="K3359" s="707"/>
      <c r="L3359" s="707"/>
    </row>
    <row r="3360" spans="1:12" ht="15">
      <c r="B3360" s="1551" t="str">
        <f>'8.Dgia'!B3291</f>
        <v/>
      </c>
      <c r="C3360" s="1552">
        <f>'8.Dgia'!C3291</f>
        <v>0</v>
      </c>
      <c r="D3360" s="1552">
        <f>'8.Dgia'!D3291</f>
        <v>0</v>
      </c>
      <c r="E3360" s="1770" t="str">
        <f>'8.Dgia'!E3291</f>
        <v xml:space="preserve">  B - Nhân công 3.0/7</v>
      </c>
      <c r="F3360" s="1745" t="s">
        <v>552</v>
      </c>
      <c r="G3360" s="1772">
        <f>'8.Dgia'!H3291</f>
        <v>1.83</v>
      </c>
      <c r="H3360" s="1773">
        <f>'16.NC'!$H$13</f>
        <v>219751</v>
      </c>
      <c r="I3360" s="1776">
        <f>H3360*G3360</f>
        <v>402144.33</v>
      </c>
      <c r="J3360" s="1529"/>
      <c r="K3360" s="707"/>
      <c r="L3360" s="707"/>
    </row>
    <row r="3361" spans="1:12" ht="15">
      <c r="B3361" s="1551" t="str">
        <f>'8.Dgia'!B3292</f>
        <v/>
      </c>
      <c r="C3361" s="1552">
        <f>'8.Dgia'!C3292</f>
        <v>0</v>
      </c>
      <c r="D3361" s="1552">
        <f>'8.Dgia'!D3292</f>
        <v>0</v>
      </c>
      <c r="E3361" s="1770" t="str">
        <f>'8.Dgia'!E3292</f>
        <v xml:space="preserve">  C - Máy thi công</v>
      </c>
      <c r="F3361" s="1786">
        <f>'8.Dgia'!G3292</f>
        <v>0</v>
      </c>
      <c r="G3361" s="1772">
        <f>'8.Dgia'!H3292</f>
        <v>0</v>
      </c>
      <c r="H3361" s="1773"/>
      <c r="I3361" s="1777">
        <f>SUM(I3362:I3364)</f>
        <v>33661.027455000003</v>
      </c>
      <c r="J3361" s="1529"/>
      <c r="K3361" s="707"/>
      <c r="L3361" s="707"/>
    </row>
    <row r="3362" spans="1:12" ht="15">
      <c r="B3362" s="1551" t="str">
        <f>'8.Dgia'!B3293</f>
        <v/>
      </c>
      <c r="C3362" s="1552">
        <f>'8.Dgia'!C3293</f>
        <v>0</v>
      </c>
      <c r="D3362" s="1552">
        <f>'8.Dgia'!D3293</f>
        <v>0</v>
      </c>
      <c r="E3362" s="1775" t="str">
        <f>'8.Dgia'!E3293</f>
        <v>Máy trộn 250l</v>
      </c>
      <c r="F3362" s="1786" t="str">
        <f>'8.Dgia'!G3293</f>
        <v>ca</v>
      </c>
      <c r="G3362" s="1772">
        <f>'8.Dgia'!H3293</f>
        <v>9.5000000000000001E-2</v>
      </c>
      <c r="H3362" s="1773">
        <f>'9.may'!$P$333</f>
        <v>180447.90000000002</v>
      </c>
      <c r="I3362" s="1773">
        <f>H3362*G3362</f>
        <v>17142.550500000001</v>
      </c>
      <c r="J3362" s="1529"/>
      <c r="K3362" s="707"/>
      <c r="L3362" s="707"/>
    </row>
    <row r="3363" spans="1:12" ht="15">
      <c r="B3363" s="1551" t="str">
        <f>'8.Dgia'!B3294</f>
        <v/>
      </c>
      <c r="C3363" s="1552">
        <f>'8.Dgia'!C3294</f>
        <v>0</v>
      </c>
      <c r="D3363" s="1552">
        <f>'8.Dgia'!D3294</f>
        <v>0</v>
      </c>
      <c r="E3363" s="1775" t="str">
        <f>'8.Dgia'!E3294</f>
        <v>Máy đầm dùi 1.5KW</v>
      </c>
      <c r="F3363" s="1786" t="str">
        <f>'8.Dgia'!G3294</f>
        <v>ca</v>
      </c>
      <c r="G3363" s="1772">
        <f>'8.Dgia'!H3294</f>
        <v>0.18</v>
      </c>
      <c r="H3363" s="1773">
        <f>'9.may'!$P$382</f>
        <v>74768.797500000001</v>
      </c>
      <c r="I3363" s="1773">
        <f>H3363*G3363</f>
        <v>13458.38355</v>
      </c>
      <c r="J3363" s="1529"/>
      <c r="K3363" s="707"/>
      <c r="L3363" s="707"/>
    </row>
    <row r="3364" spans="1:12" ht="15">
      <c r="B3364" s="1551" t="str">
        <f>'8.Dgia'!B3295</f>
        <v/>
      </c>
      <c r="C3364" s="1552">
        <f>'8.Dgia'!C3295</f>
        <v>0</v>
      </c>
      <c r="D3364" s="1552">
        <f>'8.Dgia'!D3295</f>
        <v>0</v>
      </c>
      <c r="E3364" s="1775" t="str">
        <f>'8.Dgia'!E3295</f>
        <v>Máy khác</v>
      </c>
      <c r="F3364" s="1786" t="str">
        <f>'8.Dgia'!G3295</f>
        <v>%</v>
      </c>
      <c r="G3364" s="1966">
        <f>'8.Dgia'!H3295</f>
        <v>10</v>
      </c>
      <c r="H3364" s="1773">
        <f>SUM(I3362:I3363)</f>
        <v>30600.934050000003</v>
      </c>
      <c r="I3364" s="1773">
        <f>H3364*G3364%</f>
        <v>3060.0934050000005</v>
      </c>
      <c r="J3364" s="1529"/>
      <c r="K3364" s="707"/>
      <c r="L3364" s="707"/>
    </row>
    <row r="3365" spans="1:12" s="658" customFormat="1" ht="15">
      <c r="B3365" s="1677"/>
      <c r="C3365" s="1678"/>
      <c r="D3365" s="1678"/>
      <c r="E3365" s="1778" t="s">
        <v>5675</v>
      </c>
      <c r="F3365" s="1786">
        <f>$J$5</f>
        <v>0.02</v>
      </c>
      <c r="G3365" s="1780"/>
      <c r="H3365" s="1777"/>
      <c r="I3365" s="1777">
        <f>( I3357+I3360+I3361 )*F3365</f>
        <v>25439.541603044225</v>
      </c>
      <c r="J3365" s="850"/>
      <c r="K3365" s="850"/>
      <c r="L3365" s="850"/>
    </row>
    <row r="3366" spans="1:12" ht="15">
      <c r="B3366" s="1556"/>
      <c r="C3366" s="1557"/>
      <c r="D3366" s="1557"/>
      <c r="E3366" s="1781" t="s">
        <v>5676</v>
      </c>
      <c r="F3366" s="1786"/>
      <c r="G3366" s="1783"/>
      <c r="H3366" s="1784"/>
      <c r="I3366" s="1784">
        <f>I3365+I3365/F3365</f>
        <v>1297416.6217552554</v>
      </c>
    </row>
    <row r="3367" spans="1:12" ht="15">
      <c r="B3367" s="1551"/>
      <c r="C3367" s="1552"/>
      <c r="D3367" s="1552"/>
      <c r="E3367" s="1785" t="s">
        <v>5677</v>
      </c>
      <c r="F3367" s="1786">
        <f>$K$5</f>
        <v>5.5E-2</v>
      </c>
      <c r="G3367" s="1772"/>
      <c r="H3367" s="1773"/>
      <c r="I3367" s="1773">
        <f>I3366*F3367</f>
        <v>71357.914196539044</v>
      </c>
    </row>
    <row r="3368" spans="1:12" ht="15">
      <c r="B3368" s="1551"/>
      <c r="C3368" s="1552"/>
      <c r="D3368" s="1552"/>
      <c r="E3368" s="1785" t="s">
        <v>5678</v>
      </c>
      <c r="F3368" s="1786">
        <f>$L$5</f>
        <v>0.06</v>
      </c>
      <c r="G3368" s="1772"/>
      <c r="H3368" s="1773"/>
      <c r="I3368" s="1773">
        <f>SUM(I3366:I3367)*F3368</f>
        <v>82126.472157107652</v>
      </c>
    </row>
    <row r="3369" spans="1:12" ht="14.25">
      <c r="B3369" s="1556"/>
      <c r="C3369" s="1557"/>
      <c r="D3369" s="1557"/>
      <c r="E3369" s="1781" t="s">
        <v>5679</v>
      </c>
      <c r="F3369" s="1787"/>
      <c r="G3369" s="1783"/>
      <c r="H3369" s="1784"/>
      <c r="I3369" s="1784">
        <f>SUM(I3366:I3368)</f>
        <v>1450901.008108902</v>
      </c>
    </row>
    <row r="3370" spans="1:12" ht="15">
      <c r="B3370" s="1551"/>
      <c r="C3370" s="1552"/>
      <c r="D3370" s="1552"/>
      <c r="E3370" s="1785" t="s">
        <v>5680</v>
      </c>
      <c r="F3370" s="1788">
        <f>$M$5</f>
        <v>0.1</v>
      </c>
      <c r="G3370" s="1772"/>
      <c r="H3370" s="1773"/>
      <c r="I3370" s="1773">
        <f>I3369*F3370</f>
        <v>145090.1008108902</v>
      </c>
    </row>
    <row r="3371" spans="1:12" ht="14.25">
      <c r="B3371" s="1556"/>
      <c r="C3371" s="1557"/>
      <c r="D3371" s="1557"/>
      <c r="E3371" s="1781" t="s">
        <v>5681</v>
      </c>
      <c r="F3371" s="1787"/>
      <c r="G3371" s="1783"/>
      <c r="H3371" s="1784"/>
      <c r="I3371" s="1784">
        <f>SUM(I3369:I3370)</f>
        <v>1595991.1089197923</v>
      </c>
    </row>
    <row r="3372" spans="1:12" ht="12.75">
      <c r="B3372" s="1551"/>
      <c r="C3372" s="1552"/>
      <c r="D3372" s="1552"/>
      <c r="E3372" s="1563" t="s">
        <v>5682</v>
      </c>
      <c r="F3372" s="1560">
        <f>$N$5</f>
        <v>0.01</v>
      </c>
      <c r="G3372" s="1553"/>
      <c r="H3372" s="1562"/>
      <c r="I3372" s="1562">
        <f>I3371*F3372</f>
        <v>15959.911089197924</v>
      </c>
    </row>
    <row r="3373" spans="1:12" ht="14.25">
      <c r="B3373" s="2111"/>
      <c r="C3373" s="1564"/>
      <c r="D3373" s="2111"/>
      <c r="E3373" s="2112" t="s">
        <v>5683</v>
      </c>
      <c r="F3373" s="2113"/>
      <c r="G3373" s="2112"/>
      <c r="H3373" s="2114"/>
      <c r="I3373" s="2110">
        <f>ROUND(I3371+I3372,-2)</f>
        <v>1612000</v>
      </c>
    </row>
    <row r="3374" spans="1:12" ht="14.25">
      <c r="A3374" s="657">
        <v>1</v>
      </c>
      <c r="B3374" s="1546">
        <f>IF(A3374&lt;&gt;0,COUNTA(A$7:$A3374),"")</f>
        <v>196</v>
      </c>
      <c r="C3374" s="1547">
        <f>'8.Dgia'!C3296</f>
        <v>1779</v>
      </c>
      <c r="D3374" s="1547" t="s">
        <v>5488</v>
      </c>
      <c r="E3374" s="1740" t="str">
        <f>'8.Dgia'!E3296</f>
        <v>Cẩu lắp đối trọng 6 lần lên xuống</v>
      </c>
      <c r="F3374" s="1789" t="s">
        <v>557</v>
      </c>
      <c r="G3374" s="1742">
        <f>'8.Dgia'!H3296</f>
        <v>0</v>
      </c>
      <c r="H3374" s="1795"/>
      <c r="I3374" s="1795"/>
      <c r="J3374" s="1529"/>
      <c r="K3374" s="707">
        <f>I3375</f>
        <v>16693.560000000001</v>
      </c>
      <c r="L3374" s="707">
        <f>I3376</f>
        <v>25091.970062727272</v>
      </c>
    </row>
    <row r="3375" spans="1:12" ht="15">
      <c r="B3375" s="1536" t="str">
        <f>'8.Dgia'!B3297</f>
        <v/>
      </c>
      <c r="C3375" s="1537">
        <f>'8.Dgia'!C3297</f>
        <v>0</v>
      </c>
      <c r="D3375" s="1537" t="str">
        <f>'8.Dgia'!D3297</f>
        <v>HS=50%</v>
      </c>
      <c r="E3375" s="1744" t="str">
        <f>'8.Dgia'!E3297</f>
        <v xml:space="preserve">  B - Nhân công 4.0/7</v>
      </c>
      <c r="F3375" s="1745" t="s">
        <v>552</v>
      </c>
      <c r="G3375" s="1746">
        <f>'8.Dgia'!H3297</f>
        <v>6.5000000000000002E-2</v>
      </c>
      <c r="H3375" s="1796">
        <f>'16.NC'!$H$18</f>
        <v>256824</v>
      </c>
      <c r="I3375" s="1798">
        <f>H3375*G3375</f>
        <v>16693.560000000001</v>
      </c>
      <c r="J3375" s="1529"/>
      <c r="K3375" s="707"/>
      <c r="L3375" s="707"/>
    </row>
    <row r="3376" spans="1:12" ht="15">
      <c r="B3376" s="1536" t="str">
        <f>'8.Dgia'!B3298</f>
        <v/>
      </c>
      <c r="C3376" s="1537">
        <f>'8.Dgia'!C3298</f>
        <v>0</v>
      </c>
      <c r="D3376" s="1537" t="str">
        <f>'8.Dgia'!D3298</f>
        <v>HS=50%</v>
      </c>
      <c r="E3376" s="1744" t="str">
        <f>'8.Dgia'!E3298</f>
        <v xml:space="preserve">  C - Máy thi công</v>
      </c>
      <c r="F3376" s="1763">
        <f>'8.Dgia'!G3298</f>
        <v>0</v>
      </c>
      <c r="G3376" s="1746">
        <f>'8.Dgia'!H3298</f>
        <v>0</v>
      </c>
      <c r="H3376" s="1796"/>
      <c r="I3376" s="1799">
        <f>SUM(I3377)</f>
        <v>25091.970062727272</v>
      </c>
      <c r="J3376" s="1529"/>
      <c r="K3376" s="707"/>
      <c r="L3376" s="707"/>
    </row>
    <row r="3377" spans="1:15" ht="15">
      <c r="B3377" s="1536" t="str">
        <f>'8.Dgia'!B3299</f>
        <v/>
      </c>
      <c r="C3377" s="1537">
        <f>'8.Dgia'!C3299</f>
        <v>0</v>
      </c>
      <c r="D3377" s="1537" t="s">
        <v>5869</v>
      </c>
      <c r="E3377" s="1749" t="str">
        <f>'8.Dgia'!E3299</f>
        <v>Cần cẩu bánh xích 25T</v>
      </c>
      <c r="F3377" s="1745" t="s">
        <v>5493</v>
      </c>
      <c r="G3377" s="1746">
        <f>'8.Dgia'!H3299</f>
        <v>8.9999999999999993E-3</v>
      </c>
      <c r="H3377" s="1796">
        <f>'9.may'!$P$248</f>
        <v>2787996.6736363638</v>
      </c>
      <c r="I3377" s="1796">
        <f>H3377*G3377</f>
        <v>25091.970062727272</v>
      </c>
      <c r="J3377" s="1529"/>
      <c r="K3377" s="707"/>
      <c r="L3377" s="707"/>
    </row>
    <row r="3378" spans="1:15" s="658" customFormat="1" ht="15">
      <c r="B3378" s="1675"/>
      <c r="C3378" s="1676"/>
      <c r="D3378" s="1676"/>
      <c r="E3378" s="1800" t="s">
        <v>5675</v>
      </c>
      <c r="F3378" s="1763">
        <f>$J$5</f>
        <v>0.02</v>
      </c>
      <c r="G3378" s="1754"/>
      <c r="H3378" s="1799"/>
      <c r="I3378" s="1799">
        <f>( I3375+I3376 )*F3378</f>
        <v>835.71060125454551</v>
      </c>
      <c r="J3378" s="850"/>
      <c r="K3378" s="850"/>
      <c r="L3378" s="850"/>
    </row>
    <row r="3379" spans="1:15" ht="15">
      <c r="B3379" s="1540"/>
      <c r="C3379" s="1541"/>
      <c r="D3379" s="1541"/>
      <c r="E3379" s="1801" t="s">
        <v>5676</v>
      </c>
      <c r="F3379" s="1763"/>
      <c r="G3379" s="1759"/>
      <c r="H3379" s="1802"/>
      <c r="I3379" s="1802">
        <f>I3378+I3378/F3378</f>
        <v>42621.240663981822</v>
      </c>
    </row>
    <row r="3380" spans="1:15" ht="15">
      <c r="B3380" s="1536"/>
      <c r="C3380" s="1537"/>
      <c r="D3380" s="1537"/>
      <c r="E3380" s="1803" t="s">
        <v>5677</v>
      </c>
      <c r="F3380" s="1763">
        <f>$K$5</f>
        <v>5.5E-2</v>
      </c>
      <c r="G3380" s="1746"/>
      <c r="H3380" s="1796"/>
      <c r="I3380" s="1796">
        <f>I3379*F3380</f>
        <v>2344.1682365190004</v>
      </c>
    </row>
    <row r="3381" spans="1:15" ht="15">
      <c r="B3381" s="1536"/>
      <c r="C3381" s="1537"/>
      <c r="D3381" s="1537"/>
      <c r="E3381" s="1803" t="s">
        <v>5678</v>
      </c>
      <c r="F3381" s="1763">
        <f>$L$5</f>
        <v>0.06</v>
      </c>
      <c r="G3381" s="1746"/>
      <c r="H3381" s="1796"/>
      <c r="I3381" s="1796">
        <f>SUM(I3379:I3380)*F3381</f>
        <v>2697.924534030049</v>
      </c>
    </row>
    <row r="3382" spans="1:15" ht="14.25">
      <c r="B3382" s="1540"/>
      <c r="C3382" s="1541"/>
      <c r="D3382" s="1541"/>
      <c r="E3382" s="1801" t="s">
        <v>5679</v>
      </c>
      <c r="F3382" s="1791"/>
      <c r="G3382" s="1759"/>
      <c r="H3382" s="1802"/>
      <c r="I3382" s="1802">
        <f>SUM(I3379:I3381)</f>
        <v>47663.333434530869</v>
      </c>
    </row>
    <row r="3383" spans="1:15" ht="15">
      <c r="B3383" s="1536"/>
      <c r="C3383" s="1537"/>
      <c r="D3383" s="1537"/>
      <c r="E3383" s="1803" t="s">
        <v>5680</v>
      </c>
      <c r="F3383" s="1765">
        <f>$M$5</f>
        <v>0.1</v>
      </c>
      <c r="G3383" s="1746"/>
      <c r="H3383" s="1796"/>
      <c r="I3383" s="1796">
        <f>I3382*F3383</f>
        <v>4766.3333434530869</v>
      </c>
    </row>
    <row r="3384" spans="1:15" ht="14.25">
      <c r="B3384" s="1540"/>
      <c r="C3384" s="1541"/>
      <c r="D3384" s="1541"/>
      <c r="E3384" s="1801" t="s">
        <v>5681</v>
      </c>
      <c r="F3384" s="1791"/>
      <c r="G3384" s="1759"/>
      <c r="H3384" s="1802"/>
      <c r="I3384" s="1802">
        <f>SUM(I3382:I3383)</f>
        <v>52429.666777983955</v>
      </c>
    </row>
    <row r="3385" spans="1:15" ht="12.75">
      <c r="B3385" s="1536"/>
      <c r="C3385" s="1537"/>
      <c r="D3385" s="1537"/>
      <c r="E3385" s="1464" t="s">
        <v>5682</v>
      </c>
      <c r="F3385" s="1535">
        <f>$N$5</f>
        <v>0.01</v>
      </c>
      <c r="G3385" s="1538"/>
      <c r="H3385" s="1539"/>
      <c r="I3385" s="1539">
        <f>I3384*F3385</f>
        <v>524.29666777983959</v>
      </c>
    </row>
    <row r="3386" spans="1:15" s="2009" customFormat="1" ht="14.25">
      <c r="B3386" s="2127"/>
      <c r="C3386" s="1679"/>
      <c r="D3386" s="2127"/>
      <c r="E3386" s="2128" t="s">
        <v>5683</v>
      </c>
      <c r="F3386" s="2129"/>
      <c r="G3386" s="2128"/>
      <c r="H3386" s="2130"/>
      <c r="I3386" s="2110">
        <f>ROUND(I3384+I3385,-2)</f>
        <v>53000</v>
      </c>
      <c r="J3386" s="2010"/>
      <c r="K3386" s="2010"/>
      <c r="L3386" s="2010"/>
    </row>
    <row r="3387" spans="1:15" s="2009" customFormat="1" ht="15" customHeight="1">
      <c r="A3387" s="657">
        <v>1</v>
      </c>
      <c r="B3387" s="1546">
        <f>IF(A3387&lt;&gt;0,COUNTA(A$7:$A3387),"")</f>
        <v>197</v>
      </c>
      <c r="C3387" s="1547">
        <f>'[4]Du toan chi tiet'!C2660</f>
        <v>0</v>
      </c>
      <c r="D3387" s="2096" t="s">
        <v>5892</v>
      </c>
      <c r="E3387" s="1789" t="s">
        <v>5893</v>
      </c>
      <c r="F3387" s="2065" t="s">
        <v>557</v>
      </c>
      <c r="G3387" s="1795"/>
      <c r="H3387" s="1795"/>
      <c r="I3387" s="1546"/>
      <c r="J3387" s="1547"/>
      <c r="K3387" s="1740"/>
      <c r="L3387" s="1789"/>
      <c r="M3387" s="1742"/>
      <c r="N3387" s="1795"/>
      <c r="O3387" s="1795"/>
    </row>
    <row r="3388" spans="1:15" ht="15" customHeight="1">
      <c r="B3388" s="1994"/>
      <c r="C3388" s="1995" t="s">
        <v>415</v>
      </c>
      <c r="D3388" s="1995" t="s">
        <v>415</v>
      </c>
      <c r="E3388" s="1770" t="s">
        <v>2032</v>
      </c>
      <c r="F3388" s="1994" t="s">
        <v>526</v>
      </c>
      <c r="G3388" s="1996"/>
      <c r="H3388" s="1997"/>
      <c r="I3388" s="2007">
        <f>SUM(I3389:I3395)</f>
        <v>25342.704254488854</v>
      </c>
      <c r="J3388" s="1998"/>
    </row>
    <row r="3389" spans="1:15" ht="15" customHeight="1">
      <c r="B3389" s="1999"/>
      <c r="C3389" s="2000" t="s">
        <v>415</v>
      </c>
      <c r="D3389" s="2000"/>
      <c r="E3389" s="2001" t="s">
        <v>5491</v>
      </c>
      <c r="F3389" s="1999" t="s">
        <v>558</v>
      </c>
      <c r="G3389" s="2002">
        <v>1.2999999999999999E-2</v>
      </c>
      <c r="H3389" s="2003">
        <f>GVL!$I$75</f>
        <v>18500</v>
      </c>
      <c r="I3389" s="2006">
        <f>G3389*H3389</f>
        <v>240.5</v>
      </c>
      <c r="J3389" s="2003"/>
    </row>
    <row r="3390" spans="1:15" ht="15" customHeight="1">
      <c r="B3390" s="1999"/>
      <c r="C3390" s="2000" t="s">
        <v>415</v>
      </c>
      <c r="D3390" s="2000"/>
      <c r="E3390" s="2001" t="s">
        <v>563</v>
      </c>
      <c r="F3390" s="1999" t="s">
        <v>558</v>
      </c>
      <c r="G3390" s="2002">
        <v>0.56000000000000005</v>
      </c>
      <c r="H3390" s="2003">
        <f>GVL!$I$170</f>
        <v>16703.248369172808</v>
      </c>
      <c r="I3390" s="2006">
        <f t="shared" ref="I3390:I3394" si="23">G3390*H3390</f>
        <v>9353.8190867367739</v>
      </c>
      <c r="J3390" s="2003"/>
    </row>
    <row r="3391" spans="1:15" ht="15" customHeight="1">
      <c r="B3391" s="1999"/>
      <c r="C3391" s="2000"/>
      <c r="D3391" s="2000"/>
      <c r="E3391" s="2001" t="s">
        <v>588</v>
      </c>
      <c r="F3391" s="1999" t="s">
        <v>545</v>
      </c>
      <c r="G3391" s="2002">
        <v>4.2209999999999999E-3</v>
      </c>
      <c r="H3391" s="2003">
        <f>GVL!$I$39</f>
        <v>128096.80157931453</v>
      </c>
      <c r="I3391" s="2006">
        <f t="shared" si="23"/>
        <v>540.69659946628667</v>
      </c>
      <c r="J3391" s="2003"/>
    </row>
    <row r="3392" spans="1:15" ht="15" customHeight="1">
      <c r="B3392" s="1999"/>
      <c r="C3392" s="2000"/>
      <c r="D3392" s="2000"/>
      <c r="E3392" s="2001" t="s">
        <v>750</v>
      </c>
      <c r="F3392" s="1999" t="s">
        <v>545</v>
      </c>
      <c r="G3392" s="2002">
        <v>7.9019999999999993E-3</v>
      </c>
      <c r="H3392" s="2003">
        <f>GVL!$I$58</f>
        <v>364185.41224953817</v>
      </c>
      <c r="I3392" s="2006">
        <f t="shared" si="23"/>
        <v>2877.7931275958504</v>
      </c>
      <c r="J3392" s="2003"/>
    </row>
    <row r="3393" spans="2:10" ht="15" customHeight="1">
      <c r="B3393" s="1999"/>
      <c r="C3393" s="2000"/>
      <c r="D3393" s="2000"/>
      <c r="E3393" s="2001" t="s">
        <v>589</v>
      </c>
      <c r="F3393" s="1999" t="s">
        <v>464</v>
      </c>
      <c r="G3393" s="2002">
        <v>1.665</v>
      </c>
      <c r="H3393" s="2004">
        <f>GVL!$I$129</f>
        <v>4000</v>
      </c>
      <c r="I3393" s="2006">
        <f t="shared" si="23"/>
        <v>6660</v>
      </c>
      <c r="J3393" s="2003"/>
    </row>
    <row r="3394" spans="2:10" ht="15" customHeight="1">
      <c r="B3394" s="1999"/>
      <c r="C3394" s="2000"/>
      <c r="D3394" s="2000"/>
      <c r="E3394" s="2001" t="s">
        <v>587</v>
      </c>
      <c r="F3394" s="1999" t="s">
        <v>558</v>
      </c>
      <c r="G3394" s="2002">
        <v>3.0779999999999998</v>
      </c>
      <c r="H3394" s="2003">
        <f>GVL!$I$207</f>
        <v>1450</v>
      </c>
      <c r="I3394" s="2006">
        <f t="shared" si="23"/>
        <v>4463.0999999999995</v>
      </c>
      <c r="J3394" s="2003"/>
    </row>
    <row r="3395" spans="2:10" ht="15" customHeight="1">
      <c r="B3395" s="1999"/>
      <c r="C3395" s="2000"/>
      <c r="D3395" s="2000"/>
      <c r="E3395" s="2001" t="s">
        <v>555</v>
      </c>
      <c r="F3395" s="1999" t="s">
        <v>554</v>
      </c>
      <c r="G3395" s="2002">
        <v>0.05</v>
      </c>
      <c r="H3395" s="2003">
        <f>SUM(I3389:I3394)</f>
        <v>24135.908813798909</v>
      </c>
      <c r="I3395" s="2006">
        <f>G3395*H3395</f>
        <v>1206.7954406899455</v>
      </c>
      <c r="J3395" s="2003"/>
    </row>
    <row r="3396" spans="2:10" ht="15" customHeight="1">
      <c r="B3396" s="1994"/>
      <c r="C3396" s="1995" t="s">
        <v>415</v>
      </c>
      <c r="D3396" s="1995"/>
      <c r="E3396" s="2008" t="s">
        <v>5894</v>
      </c>
      <c r="F3396" s="1994" t="s">
        <v>527</v>
      </c>
      <c r="G3396" s="1996"/>
      <c r="H3396" s="1997"/>
      <c r="I3396" s="2007">
        <f>SUM(I3397:I3398)</f>
        <v>48139.216</v>
      </c>
      <c r="J3396" s="1998"/>
    </row>
    <row r="3397" spans="2:10" ht="15" customHeight="1">
      <c r="B3397" s="1999"/>
      <c r="C3397" s="2000" t="s">
        <v>415</v>
      </c>
      <c r="D3397" s="2000"/>
      <c r="E3397" s="2001" t="s">
        <v>5895</v>
      </c>
      <c r="F3397" s="1999" t="s">
        <v>552</v>
      </c>
      <c r="G3397" s="2002">
        <v>0.15</v>
      </c>
      <c r="H3397" s="1796">
        <f>'16.NC'!$H$18</f>
        <v>256824</v>
      </c>
      <c r="I3397" s="2006">
        <f>G3397*H3397</f>
        <v>38523.599999999999</v>
      </c>
      <c r="J3397" s="2003"/>
    </row>
    <row r="3398" spans="2:10" ht="15" customHeight="1">
      <c r="B3398" s="1999"/>
      <c r="C3398" s="2000"/>
      <c r="D3398" s="2000"/>
      <c r="E3398" s="2001" t="s">
        <v>5896</v>
      </c>
      <c r="F3398" s="1999" t="s">
        <v>552</v>
      </c>
      <c r="G3398" s="2002">
        <v>3.2000000000000001E-2</v>
      </c>
      <c r="H3398" s="2003">
        <f>NC!$N$114</f>
        <v>300488</v>
      </c>
      <c r="I3398" s="2006">
        <f>G3398*H3398</f>
        <v>9615.616</v>
      </c>
      <c r="J3398" s="2003"/>
    </row>
    <row r="3399" spans="2:10" ht="15" customHeight="1">
      <c r="B3399" s="1994"/>
      <c r="C3399" s="1995" t="s">
        <v>415</v>
      </c>
      <c r="D3399" s="1995"/>
      <c r="E3399" s="2008" t="s">
        <v>5897</v>
      </c>
      <c r="F3399" s="1994" t="s">
        <v>528</v>
      </c>
      <c r="G3399" s="1996"/>
      <c r="H3399" s="1997"/>
      <c r="I3399" s="2007">
        <f>SUM(I3400:I3402)</f>
        <v>55639.636159090907</v>
      </c>
      <c r="J3399" s="1998"/>
    </row>
    <row r="3400" spans="2:10" ht="15" customHeight="1">
      <c r="B3400" s="1999"/>
      <c r="C3400" s="2000" t="s">
        <v>415</v>
      </c>
      <c r="D3400" s="2000"/>
      <c r="E3400" s="2005" t="s">
        <v>5898</v>
      </c>
      <c r="F3400" s="1999" t="s">
        <v>5493</v>
      </c>
      <c r="G3400" s="2002">
        <v>1.9E-2</v>
      </c>
      <c r="H3400" s="2003">
        <f>'9.may'!$P$248</f>
        <v>2787996.6736363638</v>
      </c>
      <c r="I3400" s="2006">
        <f t="shared" ref="I3400:I3402" si="24">G3400*H3400</f>
        <v>52971.936799090909</v>
      </c>
      <c r="J3400" s="2003"/>
    </row>
    <row r="3401" spans="2:10" ht="15" customHeight="1">
      <c r="B3401" s="1999"/>
      <c r="C3401" s="2000"/>
      <c r="D3401" s="2000"/>
      <c r="E3401" s="2001" t="s">
        <v>663</v>
      </c>
      <c r="F3401" s="1999" t="s">
        <v>5493</v>
      </c>
      <c r="G3401" s="2002">
        <v>1.7999999999999999E-2</v>
      </c>
      <c r="H3401" s="2003">
        <f>'9.may'!$P$747</f>
        <v>132935.79</v>
      </c>
      <c r="I3401" s="2006">
        <f t="shared" si="24"/>
        <v>2392.84422</v>
      </c>
      <c r="J3401" s="2003"/>
    </row>
    <row r="3402" spans="2:10" ht="15" customHeight="1">
      <c r="B3402" s="1999"/>
      <c r="C3402" s="2000" t="s">
        <v>415</v>
      </c>
      <c r="D3402" s="2000"/>
      <c r="E3402" s="2001" t="s">
        <v>5498</v>
      </c>
      <c r="F3402" s="1999" t="s">
        <v>5493</v>
      </c>
      <c r="G3402" s="2002">
        <v>1.7999999999999999E-2</v>
      </c>
      <c r="H3402" s="2003">
        <f>'9.may'!$P$895</f>
        <v>15269.73</v>
      </c>
      <c r="I3402" s="2006">
        <f t="shared" si="24"/>
        <v>274.85513999999995</v>
      </c>
      <c r="J3402" s="2003"/>
    </row>
    <row r="3403" spans="2:10" ht="15" customHeight="1">
      <c r="B3403" s="1675"/>
      <c r="C3403" s="1676"/>
      <c r="D3403" s="324"/>
      <c r="E3403" s="1800" t="s">
        <v>5675</v>
      </c>
      <c r="F3403" s="1763">
        <f>$J$5</f>
        <v>0.02</v>
      </c>
      <c r="G3403" s="1754"/>
      <c r="H3403" s="1799"/>
      <c r="I3403" s="1799">
        <f>(I3399+I3396+I3388)*F3403</f>
        <v>2582.4311282715953</v>
      </c>
    </row>
    <row r="3404" spans="2:10" ht="15" customHeight="1">
      <c r="B3404" s="1540"/>
      <c r="C3404" s="1541"/>
      <c r="D3404" s="324"/>
      <c r="E3404" s="1801" t="s">
        <v>5676</v>
      </c>
      <c r="F3404" s="1763"/>
      <c r="G3404" s="1759"/>
      <c r="H3404" s="1802"/>
      <c r="I3404" s="1802">
        <f>I3403+I3399+I3396+I3388</f>
        <v>131703.98754185135</v>
      </c>
    </row>
    <row r="3405" spans="2:10" ht="15" customHeight="1">
      <c r="B3405" s="1536"/>
      <c r="C3405" s="1537"/>
      <c r="D3405" s="324"/>
      <c r="E3405" s="1803" t="s">
        <v>5677</v>
      </c>
      <c r="F3405" s="1763">
        <f>$K$5</f>
        <v>5.5E-2</v>
      </c>
      <c r="G3405" s="1746"/>
      <c r="H3405" s="1796"/>
      <c r="I3405" s="1796">
        <f>I3404*F3405</f>
        <v>7243.7193148018241</v>
      </c>
    </row>
    <row r="3406" spans="2:10" ht="15" customHeight="1">
      <c r="B3406" s="1536"/>
      <c r="C3406" s="1537"/>
      <c r="D3406" s="324"/>
      <c r="E3406" s="1803" t="s">
        <v>5678</v>
      </c>
      <c r="F3406" s="1763">
        <f>$L$5</f>
        <v>0.06</v>
      </c>
      <c r="G3406" s="1746"/>
      <c r="H3406" s="1796"/>
      <c r="I3406" s="1796">
        <f>SUM(I3404:I3405)*F3406</f>
        <v>8336.86241139919</v>
      </c>
    </row>
    <row r="3407" spans="2:10" ht="15" customHeight="1">
      <c r="B3407" s="1540"/>
      <c r="C3407" s="1541"/>
      <c r="D3407" s="324"/>
      <c r="E3407" s="1801" t="s">
        <v>5679</v>
      </c>
      <c r="F3407" s="1791"/>
      <c r="G3407" s="1759"/>
      <c r="H3407" s="1802"/>
      <c r="I3407" s="1802">
        <f>SUM(I3404:I3406)</f>
        <v>147284.56926805238</v>
      </c>
    </row>
    <row r="3408" spans="2:10" ht="15" customHeight="1">
      <c r="B3408" s="1536"/>
      <c r="C3408" s="1537"/>
      <c r="D3408" s="324"/>
      <c r="E3408" s="1803" t="s">
        <v>5680</v>
      </c>
      <c r="F3408" s="1765">
        <f>$M$5</f>
        <v>0.1</v>
      </c>
      <c r="G3408" s="1746"/>
      <c r="H3408" s="1796"/>
      <c r="I3408" s="1796">
        <f>I3407*F3408</f>
        <v>14728.456926805238</v>
      </c>
    </row>
    <row r="3409" spans="2:9" ht="15" customHeight="1">
      <c r="B3409" s="1540"/>
      <c r="C3409" s="1541"/>
      <c r="D3409" s="324"/>
      <c r="E3409" s="1801" t="s">
        <v>5681</v>
      </c>
      <c r="F3409" s="1791"/>
      <c r="G3409" s="1759"/>
      <c r="H3409" s="1802"/>
      <c r="I3409" s="1802">
        <f>I3408+I3407</f>
        <v>162013.02619485761</v>
      </c>
    </row>
    <row r="3410" spans="2:9" ht="12.75">
      <c r="B3410" s="1536"/>
      <c r="C3410" s="1537"/>
      <c r="D3410" s="1537"/>
      <c r="E3410" s="1464" t="s">
        <v>5682</v>
      </c>
      <c r="F3410" s="1535">
        <f>$N$5</f>
        <v>0.01</v>
      </c>
      <c r="G3410" s="1538"/>
      <c r="H3410" s="1539"/>
      <c r="I3410" s="1539">
        <f>I3409*F3410</f>
        <v>1620.1302619485762</v>
      </c>
    </row>
    <row r="3411" spans="2:9" ht="15" customHeight="1">
      <c r="B3411" s="2127"/>
      <c r="C3411" s="1737"/>
      <c r="D3411" s="2131"/>
      <c r="E3411" s="2128" t="s">
        <v>5683</v>
      </c>
      <c r="F3411" s="2129"/>
      <c r="G3411" s="2128"/>
      <c r="H3411" s="2130"/>
      <c r="I3411" s="2132">
        <f>ROUND(I3409+I3410,-2)</f>
        <v>163600</v>
      </c>
    </row>
  </sheetData>
  <autoFilter ref="E1:F3411"/>
  <conditionalFormatting sqref="I3388:I3402">
    <cfRule type="cellIs" dxfId="0" priority="1" stopIfTrue="1" operator="equal">
      <formula>1</formula>
    </cfRule>
  </conditionalFormatting>
  <pageMargins left="0.87" right="0.32" top="0.38" bottom="0.49" header="0" footer="0.32"/>
  <pageSetup paperSize="9" scale="90" firstPageNumber="30" orientation="portrait" blackAndWhite="1" r:id="rId1"/>
  <headerFooter>
    <oddFooter>&amp;CPage &amp;P of CTC</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O1577"/>
  <sheetViews>
    <sheetView showZeros="0" showRuler="0" view="pageBreakPreview" zoomScaleNormal="100" zoomScaleSheetLayoutView="100" workbookViewId="0">
      <pane ySplit="6" topLeftCell="A1099" activePane="bottomLeft" state="frozen"/>
      <selection activeCell="G3221" sqref="G3221"/>
      <selection pane="bottomLeft" activeCell="G3221" sqref="G3221"/>
    </sheetView>
  </sheetViews>
  <sheetFormatPr defaultRowHeight="18.75" customHeight="1"/>
  <cols>
    <col min="1" max="1" width="2.7109375" style="657" customWidth="1"/>
    <col min="2" max="2" width="6.7109375" style="657" customWidth="1"/>
    <col min="3" max="3" width="7.28515625" style="657" hidden="1" customWidth="1"/>
    <col min="4" max="4" width="9.7109375" style="657" customWidth="1"/>
    <col min="5" max="5" width="42.140625" style="959" customWidth="1"/>
    <col min="6" max="6" width="8" style="657" customWidth="1"/>
    <col min="7" max="7" width="9.7109375" style="700" customWidth="1"/>
    <col min="8" max="8" width="11.140625" style="932" customWidth="1"/>
    <col min="9" max="9" width="12.85546875" style="960" customWidth="1"/>
    <col min="10" max="10" width="12.28515625" style="842" bestFit="1" customWidth="1"/>
    <col min="11" max="12" width="11.28515625" style="842" bestFit="1" customWidth="1"/>
    <col min="13" max="13" width="4.85546875" style="657" bestFit="1" customWidth="1"/>
    <col min="14" max="14" width="3.85546875" style="657" bestFit="1" customWidth="1"/>
    <col min="15" max="16384" width="9.140625" style="657"/>
  </cols>
  <sheetData>
    <row r="1" spans="1:15" s="826" customFormat="1" ht="23.25" customHeight="1">
      <c r="B1" s="1652" t="s">
        <v>2136</v>
      </c>
      <c r="C1" s="824"/>
      <c r="D1" s="824"/>
      <c r="E1" s="822"/>
      <c r="F1" s="824"/>
      <c r="G1" s="824"/>
      <c r="H1" s="824"/>
      <c r="I1" s="825"/>
      <c r="J1" s="826">
        <f>'DGCT Cau'!J1</f>
        <v>0</v>
      </c>
    </row>
    <row r="2" spans="1:15" s="1656" customFormat="1" ht="20.100000000000001" customHeight="1">
      <c r="B2" s="1653" t="str">
        <f>GiaDuThau!A2</f>
        <v>DỰ ÁN ĐẦU TƯ XÂY DỰNG CẦU LONG BÌNH – CHREY THOM</v>
      </c>
      <c r="C2" s="1654"/>
      <c r="D2" s="1654"/>
      <c r="E2" s="1570"/>
      <c r="F2" s="1654"/>
      <c r="G2" s="1654"/>
      <c r="H2" s="1654"/>
      <c r="I2" s="1655"/>
    </row>
    <row r="3" spans="1:15" s="1656" customFormat="1" ht="20.100000000000001" customHeight="1">
      <c r="B3" s="1653" t="str">
        <f>GiaDuThau!A3</f>
        <v>HẠNG MỤC: PHẦN CẦU, PHẦN TUYẾN, CHIẾU SÁNG (PHÍA BỜ VIỆT NAM)</v>
      </c>
      <c r="C3" s="1654"/>
      <c r="D3" s="1654"/>
      <c r="E3" s="1570"/>
      <c r="F3" s="1654"/>
      <c r="G3" s="1654"/>
      <c r="H3" s="1654"/>
      <c r="I3" s="1655"/>
    </row>
    <row r="4" spans="1:15" s="826" customFormat="1" ht="12.75">
      <c r="B4" s="830"/>
      <c r="C4" s="824"/>
      <c r="D4" s="824"/>
      <c r="E4" s="822"/>
      <c r="F4" s="824"/>
      <c r="G4" s="824"/>
      <c r="H4" s="824"/>
      <c r="I4" s="763" t="s">
        <v>5084</v>
      </c>
    </row>
    <row r="5" spans="1:15" s="831" customFormat="1" ht="24" customHeight="1">
      <c r="B5" s="1967" t="s">
        <v>524</v>
      </c>
      <c r="C5" s="1051" t="s">
        <v>281</v>
      </c>
      <c r="D5" s="1968" t="s">
        <v>533</v>
      </c>
      <c r="E5" s="1969" t="s">
        <v>285</v>
      </c>
      <c r="F5" s="1967" t="s">
        <v>282</v>
      </c>
      <c r="G5" s="1969" t="s">
        <v>283</v>
      </c>
      <c r="H5" s="1970" t="s">
        <v>284</v>
      </c>
      <c r="I5" s="1971" t="s">
        <v>569</v>
      </c>
      <c r="J5" s="1468">
        <v>0.02</v>
      </c>
      <c r="K5" s="1469">
        <f>5.5%*1.05</f>
        <v>5.7750000000000003E-2</v>
      </c>
      <c r="L5" s="1468">
        <v>0.06</v>
      </c>
      <c r="M5" s="1468">
        <v>0.1</v>
      </c>
      <c r="N5" s="1468">
        <v>0.01</v>
      </c>
      <c r="O5" s="821"/>
    </row>
    <row r="6" spans="1:15" s="831" customFormat="1" ht="15.75" customHeight="1">
      <c r="B6" s="1734">
        <v>1</v>
      </c>
      <c r="C6" s="1734">
        <v>2</v>
      </c>
      <c r="D6" s="1734">
        <v>2</v>
      </c>
      <c r="E6" s="1734">
        <v>3</v>
      </c>
      <c r="F6" s="1734">
        <v>4</v>
      </c>
      <c r="G6" s="1734">
        <v>5</v>
      </c>
      <c r="H6" s="1734">
        <v>6</v>
      </c>
      <c r="I6" s="1734">
        <v>7</v>
      </c>
      <c r="J6" s="1488">
        <f>(1+J5)*(1+K5)*(1+L5)*(1+M5)*(1+N5)</f>
        <v>1.2705832623000002</v>
      </c>
      <c r="K6" s="832"/>
      <c r="L6" s="832"/>
    </row>
    <row r="7" spans="1:15" ht="15">
      <c r="A7" s="657">
        <v>1</v>
      </c>
      <c r="B7" s="1549">
        <f>IF(A7&lt;&gt;0,COUNTA(A$7:$A7),"")</f>
        <v>1</v>
      </c>
      <c r="C7" s="1555">
        <f>'8.Dgia'!C78</f>
        <v>1776</v>
      </c>
      <c r="D7" s="1696" t="str">
        <f>'8.Dgia'!D78</f>
        <v>AK.94111</v>
      </c>
      <c r="E7" s="1848" t="str">
        <f>'8.Dgia'!E78</f>
        <v>Quét nhựa bitum nóng</v>
      </c>
      <c r="F7" s="1849" t="str">
        <f>'8.Dgia'!G78</f>
        <v>m2</v>
      </c>
      <c r="G7" s="1850">
        <f>'8.Dgia'!H78</f>
        <v>0</v>
      </c>
      <c r="H7" s="1851"/>
      <c r="I7" s="1852"/>
      <c r="J7" s="842">
        <f>+I8</f>
        <v>108003</v>
      </c>
      <c r="K7" s="842">
        <f>+I12</f>
        <v>15065.400000000001</v>
      </c>
    </row>
    <row r="8" spans="1:15" s="658" customFormat="1" ht="15">
      <c r="B8" s="1551" t="str">
        <f>'8.Dgia'!B79</f>
        <v/>
      </c>
      <c r="C8" s="1555">
        <f>'8.Dgia'!C79</f>
        <v>0</v>
      </c>
      <c r="D8" s="1552">
        <f>'8.Dgia'!D79</f>
        <v>0</v>
      </c>
      <c r="E8" s="1775" t="str">
        <f>'8.Dgia'!E79</f>
        <v xml:space="preserve">  A - Vật liệu</v>
      </c>
      <c r="F8" s="1771">
        <f>'8.Dgia'!G79</f>
        <v>0</v>
      </c>
      <c r="G8" s="1772">
        <f>'8.Dgia'!H79</f>
        <v>0</v>
      </c>
      <c r="H8" s="1853"/>
      <c r="I8" s="1854">
        <f>SUM(I9:I11)</f>
        <v>108003</v>
      </c>
      <c r="J8" s="850"/>
      <c r="K8" s="850"/>
      <c r="L8" s="850"/>
    </row>
    <row r="9" spans="1:15" ht="15">
      <c r="B9" s="1551" t="str">
        <f>'8.Dgia'!B80</f>
        <v/>
      </c>
      <c r="C9" s="1555">
        <f>'8.Dgia'!C80</f>
        <v>0</v>
      </c>
      <c r="D9" s="1552">
        <f>'8.Dgia'!D80</f>
        <v>0</v>
      </c>
      <c r="E9" s="1775" t="str">
        <f>'8.Dgia'!E80</f>
        <v>Nhựa bitum</v>
      </c>
      <c r="F9" s="1771" t="str">
        <f>'8.Dgia'!G80</f>
        <v>kg</v>
      </c>
      <c r="G9" s="1772">
        <f>'8.Dgia'!H80</f>
        <v>2.1</v>
      </c>
      <c r="H9" s="1855">
        <f>GVL!$I$126</f>
        <v>50000</v>
      </c>
      <c r="I9" s="1824">
        <f>H9*G9</f>
        <v>105000</v>
      </c>
    </row>
    <row r="10" spans="1:15" ht="15">
      <c r="B10" s="1551" t="str">
        <f>'8.Dgia'!B81</f>
        <v/>
      </c>
      <c r="C10" s="1555">
        <f>'8.Dgia'!C81</f>
        <v>0</v>
      </c>
      <c r="D10" s="1552">
        <f>'8.Dgia'!D81</f>
        <v>0</v>
      </c>
      <c r="E10" s="1775" t="str">
        <f>'8.Dgia'!E81</f>
        <v>Bột đá</v>
      </c>
      <c r="F10" s="1771" t="str">
        <f>'8.Dgia'!G81</f>
        <v>kg</v>
      </c>
      <c r="G10" s="1772">
        <f>'8.Dgia'!H81</f>
        <v>1.206</v>
      </c>
      <c r="H10" s="1853">
        <f>GVL!$I$24</f>
        <v>500</v>
      </c>
      <c r="I10" s="1824">
        <f>H10*G10</f>
        <v>603</v>
      </c>
    </row>
    <row r="11" spans="1:15" ht="15">
      <c r="B11" s="1551" t="str">
        <f>'8.Dgia'!B82</f>
        <v/>
      </c>
      <c r="C11" s="1555">
        <f>'8.Dgia'!C82</f>
        <v>0</v>
      </c>
      <c r="D11" s="1552">
        <f>'8.Dgia'!D82</f>
        <v>0</v>
      </c>
      <c r="E11" s="1775" t="str">
        <f>'8.Dgia'!E82</f>
        <v>Củi</v>
      </c>
      <c r="F11" s="1771" t="str">
        <f>'8.Dgia'!G82</f>
        <v>kg</v>
      </c>
      <c r="G11" s="1772">
        <f>'8.Dgia'!H82</f>
        <v>2</v>
      </c>
      <c r="H11" s="1853">
        <f>GVL!$I$48</f>
        <v>1200</v>
      </c>
      <c r="I11" s="1824">
        <f>H11*G11</f>
        <v>2400</v>
      </c>
    </row>
    <row r="12" spans="1:15" s="658" customFormat="1" ht="15">
      <c r="B12" s="1551" t="str">
        <f>'8.Dgia'!B83</f>
        <v/>
      </c>
      <c r="C12" s="1555">
        <f>'8.Dgia'!C83</f>
        <v>0</v>
      </c>
      <c r="D12" s="1552">
        <f>'8.Dgia'!D83</f>
        <v>0</v>
      </c>
      <c r="E12" s="1775" t="str">
        <f>'8.Dgia'!E83</f>
        <v xml:space="preserve">  B - Nhân công 3.5/7</v>
      </c>
      <c r="F12" s="1771" t="s">
        <v>552</v>
      </c>
      <c r="G12" s="1772">
        <f>'8.Dgia'!H83</f>
        <v>7.0000000000000007E-2</v>
      </c>
      <c r="H12" s="1853">
        <f>'16.NC'!$G$16</f>
        <v>215220</v>
      </c>
      <c r="I12" s="1854">
        <f>H12*G12</f>
        <v>15065.400000000001</v>
      </c>
      <c r="J12" s="850"/>
      <c r="K12" s="850"/>
      <c r="L12" s="850"/>
    </row>
    <row r="13" spans="1:15" ht="15">
      <c r="B13" s="1551"/>
      <c r="C13" s="1555"/>
      <c r="D13" s="1552"/>
      <c r="E13" s="1828" t="s">
        <v>5675</v>
      </c>
      <c r="F13" s="1856">
        <f>$J$5</f>
        <v>0.02</v>
      </c>
      <c r="G13" s="1772"/>
      <c r="H13" s="1853"/>
      <c r="I13" s="1857">
        <f>(I8+I12)*F13</f>
        <v>2461.3679999999999</v>
      </c>
    </row>
    <row r="14" spans="1:15" ht="15">
      <c r="B14" s="1551"/>
      <c r="C14" s="1555"/>
      <c r="D14" s="1552"/>
      <c r="E14" s="1831" t="s">
        <v>5676</v>
      </c>
      <c r="F14" s="1831"/>
      <c r="G14" s="1772"/>
      <c r="H14" s="1853"/>
      <c r="I14" s="1833">
        <f>I13+I13/F13</f>
        <v>125529.768</v>
      </c>
    </row>
    <row r="15" spans="1:15" ht="15">
      <c r="B15" s="1551"/>
      <c r="C15" s="1555"/>
      <c r="D15" s="1552"/>
      <c r="E15" s="1834" t="s">
        <v>5677</v>
      </c>
      <c r="F15" s="1858">
        <f>$K$5</f>
        <v>5.7750000000000003E-2</v>
      </c>
      <c r="G15" s="1772"/>
      <c r="H15" s="1853"/>
      <c r="I15" s="1835">
        <f>I14*F15</f>
        <v>7249.344102</v>
      </c>
    </row>
    <row r="16" spans="1:15" ht="15">
      <c r="B16" s="1551"/>
      <c r="C16" s="1555"/>
      <c r="D16" s="1552"/>
      <c r="E16" s="1834" t="s">
        <v>5678</v>
      </c>
      <c r="F16" s="1856">
        <f>$L$5</f>
        <v>0.06</v>
      </c>
      <c r="G16" s="1772"/>
      <c r="H16" s="1853"/>
      <c r="I16" s="1835">
        <f>SUM(I14:I15)*F16</f>
        <v>7966.746726119999</v>
      </c>
    </row>
    <row r="17" spans="1:12" ht="15">
      <c r="B17" s="1551"/>
      <c r="C17" s="1555"/>
      <c r="D17" s="1552"/>
      <c r="E17" s="1831" t="s">
        <v>5679</v>
      </c>
      <c r="F17" s="1831"/>
      <c r="G17" s="1772"/>
      <c r="H17" s="1853"/>
      <c r="I17" s="1833">
        <f>SUM(I14:I16)</f>
        <v>140745.85882811999</v>
      </c>
    </row>
    <row r="18" spans="1:12" ht="15">
      <c r="B18" s="1551"/>
      <c r="C18" s="1555"/>
      <c r="D18" s="1552"/>
      <c r="E18" s="1834" t="s">
        <v>5680</v>
      </c>
      <c r="F18" s="1856">
        <f>$M$5</f>
        <v>0.1</v>
      </c>
      <c r="G18" s="1772"/>
      <c r="H18" s="1853"/>
      <c r="I18" s="1835">
        <f>I17*F18</f>
        <v>14074.585882812</v>
      </c>
    </row>
    <row r="19" spans="1:12" ht="15">
      <c r="B19" s="1551"/>
      <c r="C19" s="1555"/>
      <c r="D19" s="1552"/>
      <c r="E19" s="1831" t="s">
        <v>5681</v>
      </c>
      <c r="F19" s="1831"/>
      <c r="G19" s="1772"/>
      <c r="H19" s="1853"/>
      <c r="I19" s="1833">
        <f>SUM(I17:I18)</f>
        <v>154820.444710932</v>
      </c>
    </row>
    <row r="20" spans="1:12" ht="12.75">
      <c r="B20" s="1551"/>
      <c r="C20" s="1555"/>
      <c r="D20" s="1552"/>
      <c r="E20" s="1558" t="s">
        <v>5682</v>
      </c>
      <c r="F20" s="1595">
        <f>$N$5</f>
        <v>0.01</v>
      </c>
      <c r="G20" s="1553"/>
      <c r="H20" s="1594"/>
      <c r="I20" s="1559">
        <f>I19*F20</f>
        <v>1548.20444710932</v>
      </c>
    </row>
    <row r="21" spans="1:12" ht="15">
      <c r="B21" s="1596"/>
      <c r="C21" s="1597"/>
      <c r="D21" s="1597"/>
      <c r="E21" s="1859" t="s">
        <v>5683</v>
      </c>
      <c r="F21" s="1859"/>
      <c r="G21" s="1860"/>
      <c r="H21" s="1861"/>
      <c r="I21" s="1862">
        <f>ROUND(I19+I20,-2)</f>
        <v>156400</v>
      </c>
    </row>
    <row r="22" spans="1:12" ht="15">
      <c r="A22" s="657">
        <v>1</v>
      </c>
      <c r="B22" s="1549">
        <f>IF(A22&lt;&gt;0,COUNTA(A$7:$A22),"")</f>
        <v>2</v>
      </c>
      <c r="C22" s="1555">
        <f>'8.Dgia'!C119</f>
        <v>1776</v>
      </c>
      <c r="D22" s="1696" t="str">
        <f>'8.Dgia'!D119</f>
        <v>AB.65130</v>
      </c>
      <c r="E22" s="1848" t="str">
        <f>'8.Dgia'!E119</f>
        <v>Đắp đất công trình (đất tận dụng)</v>
      </c>
      <c r="F22" s="1849" t="s">
        <v>545</v>
      </c>
      <c r="G22" s="1850">
        <f>'8.Dgia'!H119</f>
        <v>0</v>
      </c>
      <c r="H22" s="1851"/>
      <c r="I22" s="1852"/>
      <c r="K22" s="842">
        <f>+I23</f>
        <v>23628.594400000002</v>
      </c>
      <c r="L22" s="842">
        <f>+I24</f>
        <v>5661.6262078090913</v>
      </c>
    </row>
    <row r="23" spans="1:12" s="658" customFormat="1" ht="15">
      <c r="B23" s="1551" t="str">
        <f>'8.Dgia'!B120</f>
        <v/>
      </c>
      <c r="C23" s="1555">
        <f>'8.Dgia'!C120</f>
        <v>0</v>
      </c>
      <c r="D23" s="1552">
        <f>'8.Dgia'!D120</f>
        <v>0</v>
      </c>
      <c r="E23" s="1775" t="str">
        <f>'8.Dgia'!E120</f>
        <v xml:space="preserve">  B - Nhân công 4.0/7</v>
      </c>
      <c r="F23" s="1771" t="s">
        <v>552</v>
      </c>
      <c r="G23" s="1772">
        <f>'8.Dgia'!H120/100</f>
        <v>0.1018</v>
      </c>
      <c r="H23" s="1853">
        <f>'16.NC'!$G$18</f>
        <v>232108</v>
      </c>
      <c r="I23" s="1854">
        <f>H23*G23</f>
        <v>23628.594400000002</v>
      </c>
      <c r="J23" s="850"/>
      <c r="K23" s="850"/>
      <c r="L23" s="850"/>
    </row>
    <row r="24" spans="1:12" s="658" customFormat="1" ht="15">
      <c r="B24" s="1551" t="str">
        <f>'8.Dgia'!B121</f>
        <v/>
      </c>
      <c r="C24" s="1555">
        <f>'8.Dgia'!C121</f>
        <v>0</v>
      </c>
      <c r="D24" s="1552">
        <f>'8.Dgia'!D121</f>
        <v>0</v>
      </c>
      <c r="E24" s="1775" t="str">
        <f>'8.Dgia'!E121</f>
        <v xml:space="preserve">  C - Máy thi công</v>
      </c>
      <c r="F24" s="1771">
        <f>'8.Dgia'!G121</f>
        <v>0</v>
      </c>
      <c r="G24" s="1772"/>
      <c r="H24" s="1853"/>
      <c r="I24" s="1854">
        <f>SUM(I25:I25)</f>
        <v>5661.6262078090913</v>
      </c>
      <c r="J24" s="850"/>
      <c r="K24" s="850"/>
      <c r="L24" s="850"/>
    </row>
    <row r="25" spans="1:12" ht="15">
      <c r="B25" s="1551" t="str">
        <f>'8.Dgia'!B122</f>
        <v/>
      </c>
      <c r="C25" s="1555">
        <f>'8.Dgia'!C122</f>
        <v>0</v>
      </c>
      <c r="D25" s="1552">
        <f>'8.Dgia'!D122</f>
        <v>0</v>
      </c>
      <c r="E25" s="1775" t="str">
        <f>'8.Dgia'!E122</f>
        <v>Đầm cóc</v>
      </c>
      <c r="F25" s="1771" t="s">
        <v>5493</v>
      </c>
      <c r="G25" s="1772">
        <f>'8.Dgia'!H122/100</f>
        <v>5.0900000000000001E-2</v>
      </c>
      <c r="H25" s="1853">
        <f>'9.may'!$P$98</f>
        <v>111230.37736363636</v>
      </c>
      <c r="I25" s="1824">
        <f>H25*G25</f>
        <v>5661.6262078090913</v>
      </c>
    </row>
    <row r="26" spans="1:12" ht="15">
      <c r="B26" s="1551"/>
      <c r="C26" s="1555"/>
      <c r="D26" s="1552"/>
      <c r="E26" s="1828" t="s">
        <v>5675</v>
      </c>
      <c r="F26" s="1856">
        <f>$J$5</f>
        <v>0.02</v>
      </c>
      <c r="G26" s="1772"/>
      <c r="H26" s="1853"/>
      <c r="I26" s="1857">
        <f>(I23+I24)*F26</f>
        <v>585.80441215618191</v>
      </c>
    </row>
    <row r="27" spans="1:12" ht="15">
      <c r="B27" s="1551"/>
      <c r="C27" s="1555"/>
      <c r="D27" s="1552"/>
      <c r="E27" s="1831" t="s">
        <v>5676</v>
      </c>
      <c r="F27" s="1831"/>
      <c r="G27" s="1772"/>
      <c r="H27" s="1853"/>
      <c r="I27" s="1833">
        <f>I26+I26/F26</f>
        <v>29876.02501996528</v>
      </c>
    </row>
    <row r="28" spans="1:12" ht="15">
      <c r="B28" s="1551"/>
      <c r="C28" s="1555"/>
      <c r="D28" s="1552"/>
      <c r="E28" s="1834" t="s">
        <v>5677</v>
      </c>
      <c r="F28" s="1858">
        <f>$K$5</f>
        <v>5.7750000000000003E-2</v>
      </c>
      <c r="G28" s="1772"/>
      <c r="H28" s="1853"/>
      <c r="I28" s="1835">
        <f>I27*F28</f>
        <v>1725.3404449029949</v>
      </c>
    </row>
    <row r="29" spans="1:12" ht="15">
      <c r="B29" s="1551"/>
      <c r="C29" s="1555"/>
      <c r="D29" s="1552"/>
      <c r="E29" s="1834" t="s">
        <v>5678</v>
      </c>
      <c r="F29" s="1856">
        <f>$L$5</f>
        <v>0.06</v>
      </c>
      <c r="G29" s="1772"/>
      <c r="H29" s="1853"/>
      <c r="I29" s="1835">
        <f>SUM(I27:I28)*F29</f>
        <v>1896.0819278920965</v>
      </c>
    </row>
    <row r="30" spans="1:12" ht="15">
      <c r="B30" s="1551"/>
      <c r="C30" s="1555"/>
      <c r="D30" s="1552"/>
      <c r="E30" s="1831" t="s">
        <v>5679</v>
      </c>
      <c r="F30" s="1831"/>
      <c r="G30" s="1772"/>
      <c r="H30" s="1853"/>
      <c r="I30" s="1833">
        <f>SUM(I27:I29)</f>
        <v>33497.447392760369</v>
      </c>
    </row>
    <row r="31" spans="1:12" ht="15">
      <c r="B31" s="1551"/>
      <c r="C31" s="1555"/>
      <c r="D31" s="1552"/>
      <c r="E31" s="1834" t="s">
        <v>5680</v>
      </c>
      <c r="F31" s="1856">
        <f>$M$5</f>
        <v>0.1</v>
      </c>
      <c r="G31" s="1772"/>
      <c r="H31" s="1853"/>
      <c r="I31" s="1835">
        <f>I30*F31</f>
        <v>3349.7447392760369</v>
      </c>
    </row>
    <row r="32" spans="1:12" ht="15">
      <c r="B32" s="1551"/>
      <c r="C32" s="1555"/>
      <c r="D32" s="1552"/>
      <c r="E32" s="1831" t="s">
        <v>5681</v>
      </c>
      <c r="F32" s="1831"/>
      <c r="G32" s="1772"/>
      <c r="H32" s="1853"/>
      <c r="I32" s="1833">
        <f>SUM(I30:I31)</f>
        <v>36847.192132036405</v>
      </c>
    </row>
    <row r="33" spans="1:12" ht="12.75">
      <c r="B33" s="1551"/>
      <c r="C33" s="1555"/>
      <c r="D33" s="1552"/>
      <c r="E33" s="1558" t="s">
        <v>5682</v>
      </c>
      <c r="F33" s="1595">
        <f>$N$5</f>
        <v>0.01</v>
      </c>
      <c r="G33" s="1553"/>
      <c r="H33" s="1594"/>
      <c r="I33" s="1559">
        <f>I32*F33</f>
        <v>368.47192132036406</v>
      </c>
    </row>
    <row r="34" spans="1:12" ht="15">
      <c r="B34" s="1596"/>
      <c r="C34" s="1597"/>
      <c r="D34" s="1597"/>
      <c r="E34" s="1859" t="s">
        <v>5683</v>
      </c>
      <c r="F34" s="1859"/>
      <c r="G34" s="1860"/>
      <c r="H34" s="1861"/>
      <c r="I34" s="1862">
        <f>ROUND(I32+I33,-2)</f>
        <v>37200</v>
      </c>
    </row>
    <row r="35" spans="1:12" ht="15">
      <c r="A35" s="657">
        <v>1</v>
      </c>
      <c r="B35" s="1549">
        <f>IF(A35&lt;&gt;0,COUNTA(A$7:$A35),"")</f>
        <v>3</v>
      </c>
      <c r="C35" s="1555">
        <f>'8.Dgia'!C129</f>
        <v>1776</v>
      </c>
      <c r="D35" s="1696" t="str">
        <f>'8.Dgia'!D129</f>
        <v>AB.64112</v>
      </c>
      <c r="E35" s="1848" t="str">
        <f>'8.Dgia'!E129</f>
        <v>Đắp đất công trình (đất sét bao)</v>
      </c>
      <c r="F35" s="1849" t="s">
        <v>545</v>
      </c>
      <c r="G35" s="1850">
        <f>'8.Dgia'!H129</f>
        <v>0</v>
      </c>
      <c r="H35" s="1851"/>
      <c r="I35" s="1852"/>
      <c r="J35" s="842">
        <f>I36</f>
        <v>67100</v>
      </c>
      <c r="K35" s="842">
        <f>+I38</f>
        <v>3465.2969999999996</v>
      </c>
      <c r="L35" s="842">
        <f>+I39</f>
        <v>7992.2498960659086</v>
      </c>
    </row>
    <row r="36" spans="1:12" ht="15">
      <c r="B36" s="1551" t="str">
        <f>'8.Dgia'!B130</f>
        <v/>
      </c>
      <c r="C36" s="1555">
        <f>'8.Dgia'!C130</f>
        <v>0</v>
      </c>
      <c r="D36" s="1552">
        <f>'8.Dgia'!D130</f>
        <v>0</v>
      </c>
      <c r="E36" s="2018" t="str">
        <f>'8.Dgia'!E130</f>
        <v xml:space="preserve">  A - Vật liệu</v>
      </c>
      <c r="F36" s="1771">
        <f>'8.Dgia'!G130</f>
        <v>0</v>
      </c>
      <c r="G36" s="1772">
        <f>'8.Dgia'!H130</f>
        <v>0</v>
      </c>
      <c r="H36" s="1853"/>
      <c r="I36" s="1854">
        <f>+I37</f>
        <v>67100</v>
      </c>
    </row>
    <row r="37" spans="1:12" ht="15">
      <c r="B37" s="1551" t="str">
        <f>'8.Dgia'!B131</f>
        <v/>
      </c>
      <c r="C37" s="1555">
        <f>'8.Dgia'!C131</f>
        <v>0</v>
      </c>
      <c r="D37" s="1552">
        <f>'8.Dgia'!D131</f>
        <v>0</v>
      </c>
      <c r="E37" s="1775" t="str">
        <f>'8.Dgia'!E131</f>
        <v>Đất sét</v>
      </c>
      <c r="F37" s="1771" t="str">
        <f>'8.Dgia'!G131</f>
        <v>m3</v>
      </c>
      <c r="G37" s="1772">
        <f>'8.Dgia'!H131/100</f>
        <v>1.1000000000000001</v>
      </c>
      <c r="H37" s="1853">
        <f>GVL!$I$69</f>
        <v>61000</v>
      </c>
      <c r="I37" s="1824">
        <f>H37*G37</f>
        <v>67100</v>
      </c>
    </row>
    <row r="38" spans="1:12" s="658" customFormat="1" ht="15">
      <c r="B38" s="1551" t="str">
        <f>'8.Dgia'!B132</f>
        <v/>
      </c>
      <c r="C38" s="1555">
        <f>'8.Dgia'!C132</f>
        <v>0</v>
      </c>
      <c r="D38" s="1552">
        <f>'8.Dgia'!D132</f>
        <v>0</v>
      </c>
      <c r="E38" s="1775" t="str">
        <f>'8.Dgia'!E132</f>
        <v xml:space="preserve">  B - Nhân công 3.0/7</v>
      </c>
      <c r="F38" s="1771" t="s">
        <v>552</v>
      </c>
      <c r="G38" s="1772">
        <f>'8.Dgia'!H132/100</f>
        <v>1.7399999999999999E-2</v>
      </c>
      <c r="H38" s="1853">
        <f>'16.NC'!$G$13</f>
        <v>199155</v>
      </c>
      <c r="I38" s="1854">
        <f>H38*G38</f>
        <v>3465.2969999999996</v>
      </c>
      <c r="J38" s="850"/>
      <c r="K38" s="850"/>
      <c r="L38" s="850"/>
    </row>
    <row r="39" spans="1:12" s="658" customFormat="1" ht="15">
      <c r="B39" s="1551" t="str">
        <f>'8.Dgia'!B133</f>
        <v/>
      </c>
      <c r="C39" s="1555">
        <f>'8.Dgia'!C133</f>
        <v>0</v>
      </c>
      <c r="D39" s="1552">
        <f>'8.Dgia'!D133</f>
        <v>0</v>
      </c>
      <c r="E39" s="1775" t="str">
        <f>'8.Dgia'!E133</f>
        <v xml:space="preserve">  C - Máy thi công</v>
      </c>
      <c r="F39" s="1771">
        <f>'8.Dgia'!G133</f>
        <v>0</v>
      </c>
      <c r="G39" s="1772">
        <f>'8.Dgia'!H133/100</f>
        <v>0</v>
      </c>
      <c r="H39" s="1853"/>
      <c r="I39" s="1854">
        <f>SUM(I40:I42)</f>
        <v>7992.2498960659086</v>
      </c>
      <c r="J39" s="850"/>
      <c r="K39" s="850"/>
      <c r="L39" s="850"/>
    </row>
    <row r="40" spans="1:12" ht="15">
      <c r="B40" s="1551" t="str">
        <f>'8.Dgia'!B134</f>
        <v/>
      </c>
      <c r="C40" s="1555">
        <f>'8.Dgia'!C134</f>
        <v>0</v>
      </c>
      <c r="D40" s="1552">
        <f>'8.Dgia'!D134</f>
        <v>0</v>
      </c>
      <c r="E40" s="1775" t="str">
        <f>'8.Dgia'!E134</f>
        <v>Máy đầm 9T</v>
      </c>
      <c r="F40" s="1771" t="s">
        <v>5493</v>
      </c>
      <c r="G40" s="1772">
        <f>'8.Dgia'!H134/100</f>
        <v>3.0000000000000001E-3</v>
      </c>
      <c r="H40" s="1853">
        <f>'9.may'!$P$726</f>
        <v>1644996.0845454545</v>
      </c>
      <c r="I40" s="1824">
        <f>H40*G40</f>
        <v>4934.9882536363639</v>
      </c>
    </row>
    <row r="41" spans="1:12" ht="15">
      <c r="B41" s="1551" t="str">
        <f>'8.Dgia'!B135</f>
        <v/>
      </c>
      <c r="C41" s="1555">
        <f>'8.Dgia'!C135</f>
        <v>0</v>
      </c>
      <c r="D41" s="1552">
        <f>'8.Dgia'!D135</f>
        <v>0</v>
      </c>
      <c r="E41" s="1775" t="str">
        <f>'8.Dgia'!E135</f>
        <v>Máy ủi 110cv</v>
      </c>
      <c r="F41" s="1771" t="s">
        <v>5493</v>
      </c>
      <c r="G41" s="1772">
        <f>'8.Dgia'!H135/100</f>
        <v>1.5E-3</v>
      </c>
      <c r="H41" s="1853">
        <f>'9.may'!$P$70</f>
        <v>1959433.0499999998</v>
      </c>
      <c r="I41" s="1824">
        <f>H41*G41</f>
        <v>2939.1495749999999</v>
      </c>
    </row>
    <row r="42" spans="1:12" ht="15">
      <c r="B42" s="1551" t="str">
        <f>'8.Dgia'!B136</f>
        <v/>
      </c>
      <c r="C42" s="1555">
        <f>'8.Dgia'!C136</f>
        <v>0</v>
      </c>
      <c r="D42" s="1552">
        <f>'8.Dgia'!D136</f>
        <v>0</v>
      </c>
      <c r="E42" s="1775" t="str">
        <f>'8.Dgia'!E136</f>
        <v>Máy khác</v>
      </c>
      <c r="F42" s="1771" t="str">
        <f>'8.Dgia'!G136</f>
        <v>%</v>
      </c>
      <c r="G42" s="1772">
        <f>'8.Dgia'!H136</f>
        <v>1.5</v>
      </c>
      <c r="H42" s="1853">
        <f>SUM(I40:I41)</f>
        <v>7874.1378286363633</v>
      </c>
      <c r="I42" s="1824">
        <f>H42*G42%</f>
        <v>118.11206742954545</v>
      </c>
    </row>
    <row r="43" spans="1:12" ht="15">
      <c r="B43" s="1551"/>
      <c r="C43" s="1555"/>
      <c r="D43" s="1552"/>
      <c r="E43" s="1828" t="s">
        <v>5675</v>
      </c>
      <c r="F43" s="1856">
        <f>$J$5</f>
        <v>0.02</v>
      </c>
      <c r="G43" s="1772"/>
      <c r="H43" s="1853"/>
      <c r="I43" s="1857">
        <f>(I36+I38+I39)*F43</f>
        <v>1571.1509379213185</v>
      </c>
    </row>
    <row r="44" spans="1:12" ht="15">
      <c r="B44" s="1551"/>
      <c r="C44" s="1555"/>
      <c r="D44" s="1552"/>
      <c r="E44" s="1831" t="s">
        <v>5676</v>
      </c>
      <c r="F44" s="1831"/>
      <c r="G44" s="1772"/>
      <c r="H44" s="1853"/>
      <c r="I44" s="1833">
        <f>I43+I43/F43</f>
        <v>80128.697833987244</v>
      </c>
    </row>
    <row r="45" spans="1:12" ht="15">
      <c r="B45" s="1551"/>
      <c r="C45" s="1555"/>
      <c r="D45" s="1552"/>
      <c r="E45" s="1834" t="s">
        <v>5677</v>
      </c>
      <c r="F45" s="1858">
        <f>$K$5</f>
        <v>5.7750000000000003E-2</v>
      </c>
      <c r="G45" s="1772"/>
      <c r="H45" s="1853"/>
      <c r="I45" s="1835">
        <f>I44*F45</f>
        <v>4627.4322999127635</v>
      </c>
    </row>
    <row r="46" spans="1:12" ht="15">
      <c r="B46" s="1551"/>
      <c r="C46" s="1555"/>
      <c r="D46" s="1552"/>
      <c r="E46" s="1834" t="s">
        <v>5678</v>
      </c>
      <c r="F46" s="1856">
        <f>$L$5</f>
        <v>0.06</v>
      </c>
      <c r="G46" s="1772"/>
      <c r="H46" s="1853"/>
      <c r="I46" s="1835">
        <f>SUM(I44:I45)*F46</f>
        <v>5085.3678080340005</v>
      </c>
    </row>
    <row r="47" spans="1:12" ht="15">
      <c r="B47" s="1551"/>
      <c r="C47" s="1555"/>
      <c r="D47" s="1552"/>
      <c r="E47" s="1831" t="s">
        <v>5679</v>
      </c>
      <c r="F47" s="1831"/>
      <c r="G47" s="1772"/>
      <c r="H47" s="1853"/>
      <c r="I47" s="1833">
        <f>SUM(I44:I46)</f>
        <v>89841.497941934009</v>
      </c>
    </row>
    <row r="48" spans="1:12" ht="15">
      <c r="B48" s="1551"/>
      <c r="C48" s="1555"/>
      <c r="D48" s="1552"/>
      <c r="E48" s="1834" t="s">
        <v>5680</v>
      </c>
      <c r="F48" s="1856">
        <f>$M$5</f>
        <v>0.1</v>
      </c>
      <c r="G48" s="1772"/>
      <c r="H48" s="1853"/>
      <c r="I48" s="1835">
        <f>I47*F48</f>
        <v>8984.1497941934012</v>
      </c>
    </row>
    <row r="49" spans="1:12" ht="15">
      <c r="B49" s="1551"/>
      <c r="C49" s="1555"/>
      <c r="D49" s="1552"/>
      <c r="E49" s="1831" t="s">
        <v>5681</v>
      </c>
      <c r="F49" s="1831"/>
      <c r="G49" s="1772"/>
      <c r="H49" s="1853"/>
      <c r="I49" s="1833">
        <f>SUM(I47:I48)</f>
        <v>98825.647736127416</v>
      </c>
    </row>
    <row r="50" spans="1:12" ht="12.75">
      <c r="B50" s="1551"/>
      <c r="C50" s="1555"/>
      <c r="D50" s="1552"/>
      <c r="E50" s="1558" t="s">
        <v>5682</v>
      </c>
      <c r="F50" s="1595">
        <f>$N$5</f>
        <v>0.01</v>
      </c>
      <c r="G50" s="1553"/>
      <c r="H50" s="1594"/>
      <c r="I50" s="1559">
        <f>I49*F50</f>
        <v>988.25647736127416</v>
      </c>
    </row>
    <row r="51" spans="1:12" ht="15">
      <c r="B51" s="1596"/>
      <c r="C51" s="1597"/>
      <c r="D51" s="1597"/>
      <c r="E51" s="1859" t="s">
        <v>5683</v>
      </c>
      <c r="F51" s="1859"/>
      <c r="G51" s="1860"/>
      <c r="H51" s="1861"/>
      <c r="I51" s="1862">
        <f>ROUND(I49+I50,-2)</f>
        <v>99800</v>
      </c>
    </row>
    <row r="52" spans="1:12" ht="15">
      <c r="A52" s="657">
        <v>1</v>
      </c>
      <c r="B52" s="1549">
        <f>IF(A52&lt;&gt;0,COUNTA(A$7:$A52),"")</f>
        <v>4</v>
      </c>
      <c r="C52" s="1555">
        <f>'8.Dgia'!C148</f>
        <v>1776</v>
      </c>
      <c r="D52" s="1696" t="str">
        <f>'8.Dgia'!D148</f>
        <v>AI.13111</v>
      </c>
      <c r="E52" s="1848" t="str">
        <f>'8.Dgia'!E148</f>
        <v>Sản xuất thép ống/thép bản</v>
      </c>
      <c r="F52" s="1849" t="str">
        <f>'8.Dgia'!G148</f>
        <v>tấn/ton</v>
      </c>
      <c r="G52" s="1850">
        <f>'8.Dgia'!H148</f>
        <v>0</v>
      </c>
      <c r="H52" s="1851"/>
      <c r="I52" s="1852"/>
      <c r="J52" s="842">
        <f>+I53</f>
        <v>16338958.146260861</v>
      </c>
      <c r="K52" s="842">
        <f>+I61</f>
        <v>8761889.2999999989</v>
      </c>
      <c r="L52" s="842">
        <f>+I62</f>
        <v>816316.44661049999</v>
      </c>
    </row>
    <row r="53" spans="1:12" s="658" customFormat="1" ht="15">
      <c r="B53" s="1551" t="str">
        <f>'8.Dgia'!B149</f>
        <v/>
      </c>
      <c r="C53" s="1555">
        <f>'8.Dgia'!C149</f>
        <v>0</v>
      </c>
      <c r="D53" s="1552">
        <f>'8.Dgia'!D149</f>
        <v>0</v>
      </c>
      <c r="E53" s="2018" t="str">
        <f>'8.Dgia'!E149</f>
        <v xml:space="preserve">  A - Vật liệu</v>
      </c>
      <c r="F53" s="1771">
        <f>'8.Dgia'!G149</f>
        <v>0</v>
      </c>
      <c r="G53" s="1772">
        <f>'8.Dgia'!H149</f>
        <v>0</v>
      </c>
      <c r="H53" s="1853"/>
      <c r="I53" s="1854">
        <f>SUM(I54:I60)</f>
        <v>16338958.146260861</v>
      </c>
      <c r="J53" s="850"/>
      <c r="K53" s="850"/>
      <c r="L53" s="850"/>
    </row>
    <row r="54" spans="1:12" ht="15">
      <c r="B54" s="1551" t="str">
        <f>'8.Dgia'!B150</f>
        <v/>
      </c>
      <c r="C54" s="1555">
        <f>'8.Dgia'!C150</f>
        <v>0</v>
      </c>
      <c r="D54" s="1552">
        <f>'8.Dgia'!D150</f>
        <v>0</v>
      </c>
      <c r="E54" s="1775" t="str">
        <f>'8.Dgia'!E150</f>
        <v>Thép tấm</v>
      </c>
      <c r="F54" s="1771" t="str">
        <f>'8.Dgia'!G150</f>
        <v>kg</v>
      </c>
      <c r="G54" s="1772">
        <f>'8.Dgia'!H150</f>
        <v>825</v>
      </c>
      <c r="H54" s="1853">
        <f>GVL!$I$175</f>
        <v>12871.348287272725</v>
      </c>
      <c r="I54" s="1824">
        <f t="shared" ref="I54:I59" si="0">H54*G54</f>
        <v>10618862.336999999</v>
      </c>
    </row>
    <row r="55" spans="1:12" ht="15">
      <c r="B55" s="1551" t="str">
        <f>'8.Dgia'!B151</f>
        <v/>
      </c>
      <c r="C55" s="1555">
        <f>'8.Dgia'!C151</f>
        <v>0</v>
      </c>
      <c r="D55" s="1552">
        <f>'8.Dgia'!D151</f>
        <v>0</v>
      </c>
      <c r="E55" s="1775" t="str">
        <f>'8.Dgia'!E151</f>
        <v>Thép tròn D&lt;=18</v>
      </c>
      <c r="F55" s="1771" t="str">
        <f>'8.Dgia'!G151</f>
        <v>kg</v>
      </c>
      <c r="G55" s="1772">
        <f>'8.Dgia'!H151</f>
        <v>275.5</v>
      </c>
      <c r="H55" s="1853">
        <f>GVL!$I$180</f>
        <v>16604.075560000001</v>
      </c>
      <c r="I55" s="1824">
        <f t="shared" si="0"/>
        <v>4574422.81678</v>
      </c>
    </row>
    <row r="56" spans="1:12" ht="15">
      <c r="B56" s="1551" t="str">
        <f>'8.Dgia'!B152</f>
        <v/>
      </c>
      <c r="C56" s="1555">
        <f>'8.Dgia'!C152</f>
        <v>0</v>
      </c>
      <c r="D56" s="1552">
        <f>'8.Dgia'!D152</f>
        <v>0</v>
      </c>
      <c r="E56" s="1775" t="str">
        <f>'8.Dgia'!E152</f>
        <v>Ô xy</v>
      </c>
      <c r="F56" s="1771" t="s">
        <v>565</v>
      </c>
      <c r="G56" s="1772">
        <f>'8.Dgia'!H152</f>
        <v>3.3</v>
      </c>
      <c r="H56" s="1853">
        <f>GVL!$I$130</f>
        <v>48000</v>
      </c>
      <c r="I56" s="1824">
        <f t="shared" si="0"/>
        <v>158400</v>
      </c>
    </row>
    <row r="57" spans="1:12" ht="15">
      <c r="B57" s="1551" t="str">
        <f>'8.Dgia'!B153</f>
        <v/>
      </c>
      <c r="C57" s="1555">
        <f>'8.Dgia'!C153</f>
        <v>0</v>
      </c>
      <c r="D57" s="1552">
        <f>'8.Dgia'!D153</f>
        <v>0</v>
      </c>
      <c r="E57" s="1775" t="str">
        <f>'8.Dgia'!E153</f>
        <v>Đất đèn</v>
      </c>
      <c r="F57" s="1771" t="str">
        <f>'8.Dgia'!G153</f>
        <v>kg</v>
      </c>
      <c r="G57" s="1772">
        <f>'8.Dgia'!H153</f>
        <v>14.8</v>
      </c>
      <c r="H57" s="1853">
        <f>GVL!$I$68</f>
        <v>13600</v>
      </c>
      <c r="I57" s="1824">
        <f t="shared" si="0"/>
        <v>201280</v>
      </c>
    </row>
    <row r="58" spans="1:12" ht="15">
      <c r="B58" s="1551" t="str">
        <f>'8.Dgia'!B154</f>
        <v/>
      </c>
      <c r="C58" s="1555">
        <f>'8.Dgia'!C154</f>
        <v>0</v>
      </c>
      <c r="D58" s="1552">
        <f>'8.Dgia'!D154</f>
        <v>0</v>
      </c>
      <c r="E58" s="1775" t="str">
        <f>'8.Dgia'!E154</f>
        <v>Đá mài</v>
      </c>
      <c r="F58" s="1771" t="str">
        <f>'8.Dgia'!G154</f>
        <v>viên</v>
      </c>
      <c r="G58" s="1772">
        <f>'8.Dgia'!H154</f>
        <v>0.7</v>
      </c>
      <c r="H58" s="1853">
        <f>GVL!$I$63</f>
        <v>25000</v>
      </c>
      <c r="I58" s="1824">
        <f t="shared" si="0"/>
        <v>17500</v>
      </c>
    </row>
    <row r="59" spans="1:12" ht="15">
      <c r="B59" s="1551" t="str">
        <f>'8.Dgia'!B155</f>
        <v/>
      </c>
      <c r="C59" s="1555">
        <f>'8.Dgia'!C155</f>
        <v>0</v>
      </c>
      <c r="D59" s="1552">
        <f>'8.Dgia'!D155</f>
        <v>0</v>
      </c>
      <c r="E59" s="1775" t="str">
        <f>'8.Dgia'!E155</f>
        <v>Que hàn</v>
      </c>
      <c r="F59" s="1771" t="str">
        <f>'8.Dgia'!G155</f>
        <v>kg</v>
      </c>
      <c r="G59" s="1772">
        <f>'8.Dgia'!H155</f>
        <v>19.38</v>
      </c>
      <c r="H59" s="1853">
        <f>GVL!$I$153</f>
        <v>19090.909090909088</v>
      </c>
      <c r="I59" s="1824">
        <f t="shared" si="0"/>
        <v>369981.81818181812</v>
      </c>
    </row>
    <row r="60" spans="1:12" ht="15">
      <c r="B60" s="1551" t="str">
        <f>'8.Dgia'!B156</f>
        <v/>
      </c>
      <c r="C60" s="1555">
        <f>'8.Dgia'!C156</f>
        <v>0</v>
      </c>
      <c r="D60" s="1552">
        <f>'8.Dgia'!D156</f>
        <v>0</v>
      </c>
      <c r="E60" s="1775" t="str">
        <f>'8.Dgia'!E156</f>
        <v>Vật liệu khác</v>
      </c>
      <c r="F60" s="1771" t="str">
        <f>'8.Dgia'!G156</f>
        <v>%</v>
      </c>
      <c r="G60" s="1772">
        <f>'8.Dgia'!H156</f>
        <v>2.5</v>
      </c>
      <c r="H60" s="1853">
        <f>SUM(I54:I59)</f>
        <v>15940446.971961817</v>
      </c>
      <c r="I60" s="1824">
        <f>H60*G60%</f>
        <v>398511.17429904547</v>
      </c>
    </row>
    <row r="61" spans="1:12" s="658" customFormat="1" ht="15">
      <c r="B61" s="1551" t="str">
        <f>'8.Dgia'!B157</f>
        <v/>
      </c>
      <c r="C61" s="1555">
        <f>'8.Dgia'!C157</f>
        <v>0</v>
      </c>
      <c r="D61" s="1552">
        <f>'8.Dgia'!D157</f>
        <v>0</v>
      </c>
      <c r="E61" s="1775" t="str">
        <f>'8.Dgia'!E157</f>
        <v xml:space="preserve">  B - Nhân công 4.5/7</v>
      </c>
      <c r="F61" s="1771" t="s">
        <v>552</v>
      </c>
      <c r="G61" s="1772">
        <f>'8.Dgia'!H157</f>
        <v>34.9</v>
      </c>
      <c r="H61" s="1853">
        <f>'16.NC'!$G$20</f>
        <v>251057</v>
      </c>
      <c r="I61" s="1854">
        <f>H61*G61</f>
        <v>8761889.2999999989</v>
      </c>
      <c r="J61" s="850"/>
      <c r="K61" s="850"/>
      <c r="L61" s="850"/>
    </row>
    <row r="62" spans="1:12" s="658" customFormat="1" ht="15">
      <c r="B62" s="1551" t="str">
        <f>'8.Dgia'!B158</f>
        <v/>
      </c>
      <c r="C62" s="1555">
        <f>'8.Dgia'!C158</f>
        <v>0</v>
      </c>
      <c r="D62" s="1552">
        <f>'8.Dgia'!D158</f>
        <v>0</v>
      </c>
      <c r="E62" s="1775" t="str">
        <f>'8.Dgia'!E158</f>
        <v xml:space="preserve">  C - Máy thi công</v>
      </c>
      <c r="F62" s="1771">
        <f>'8.Dgia'!G158</f>
        <v>0</v>
      </c>
      <c r="G62" s="1772">
        <f>'8.Dgia'!H158</f>
        <v>0</v>
      </c>
      <c r="H62" s="1853"/>
      <c r="I62" s="1854">
        <f>SUM(I63:I66)</f>
        <v>816316.44661049999</v>
      </c>
      <c r="J62" s="850"/>
      <c r="K62" s="850"/>
      <c r="L62" s="850"/>
    </row>
    <row r="63" spans="1:12" ht="15">
      <c r="B63" s="2020"/>
      <c r="C63" s="1555">
        <f>'8.Dgia'!C159</f>
        <v>0</v>
      </c>
      <c r="D63" s="1552">
        <f>'8.Dgia'!D159</f>
        <v>0</v>
      </c>
      <c r="E63" s="1775" t="str">
        <f>'8.Dgia'!E159</f>
        <v>Máy hàn 23kw</v>
      </c>
      <c r="F63" s="1771" t="s">
        <v>5493</v>
      </c>
      <c r="G63" s="1772">
        <f>'8.Dgia'!H159</f>
        <v>3.23</v>
      </c>
      <c r="H63" s="1853">
        <f>'9.may'!$P$510</f>
        <v>171649.155</v>
      </c>
      <c r="I63" s="1824">
        <f>H63*G63</f>
        <v>554426.77064999996</v>
      </c>
    </row>
    <row r="64" spans="1:12" ht="15">
      <c r="B64" s="1551" t="str">
        <f>'8.Dgia'!B160</f>
        <v/>
      </c>
      <c r="C64" s="1555">
        <f>'8.Dgia'!C160</f>
        <v>0</v>
      </c>
      <c r="D64" s="1552">
        <f>'8.Dgia'!D160</f>
        <v>0</v>
      </c>
      <c r="E64" s="1775" t="str">
        <f>'8.Dgia'!E160</f>
        <v>Máy mài 2.7kw</v>
      </c>
      <c r="F64" s="1771" t="s">
        <v>5493</v>
      </c>
      <c r="G64" s="1772">
        <f>'8.Dgia'!H160</f>
        <v>1.55</v>
      </c>
      <c r="H64" s="1853">
        <f>'9.may'!$P$564</f>
        <v>67591.852499999994</v>
      </c>
      <c r="I64" s="1824">
        <f>H64*G64</f>
        <v>104767.37137499999</v>
      </c>
    </row>
    <row r="65" spans="1:12" ht="15">
      <c r="B65" s="1551" t="str">
        <f>'8.Dgia'!B161</f>
        <v/>
      </c>
      <c r="C65" s="1555">
        <f>'8.Dgia'!C161</f>
        <v>0</v>
      </c>
      <c r="D65" s="1552">
        <f>'8.Dgia'!D161</f>
        <v>0</v>
      </c>
      <c r="E65" s="1775" t="str">
        <f>'8.Dgia'!E161</f>
        <v>Máy khoan 2.5kw</v>
      </c>
      <c r="F65" s="1771" t="s">
        <v>5493</v>
      </c>
      <c r="G65" s="1772">
        <f>'8.Dgia'!H161</f>
        <v>1.55</v>
      </c>
      <c r="H65" s="1853">
        <f>'9.may'!$P$757</f>
        <v>91042.645000000004</v>
      </c>
      <c r="I65" s="1824">
        <f>H65*G65</f>
        <v>141116.09975000002</v>
      </c>
    </row>
    <row r="66" spans="1:12" ht="15">
      <c r="B66" s="1551" t="str">
        <f>'8.Dgia'!B162</f>
        <v/>
      </c>
      <c r="C66" s="1555">
        <f>'8.Dgia'!C162</f>
        <v>0</v>
      </c>
      <c r="D66" s="1552">
        <f>'8.Dgia'!D162</f>
        <v>0</v>
      </c>
      <c r="E66" s="1775" t="str">
        <f>'8.Dgia'!E162</f>
        <v>Máy khác</v>
      </c>
      <c r="F66" s="1771" t="str">
        <f>'8.Dgia'!G162</f>
        <v>%</v>
      </c>
      <c r="G66" s="1772">
        <f>'8.Dgia'!H162</f>
        <v>2</v>
      </c>
      <c r="H66" s="1853">
        <f>SUM(I63:I65)</f>
        <v>800310.241775</v>
      </c>
      <c r="I66" s="1824">
        <f>H66*G66%</f>
        <v>16006.204835500001</v>
      </c>
    </row>
    <row r="67" spans="1:12" ht="15">
      <c r="B67" s="1551"/>
      <c r="C67" s="1555"/>
      <c r="D67" s="1552"/>
      <c r="E67" s="1828" t="s">
        <v>5675</v>
      </c>
      <c r="F67" s="1856">
        <f>$J$5</f>
        <v>0.02</v>
      </c>
      <c r="G67" s="1772"/>
      <c r="H67" s="1853"/>
      <c r="I67" s="1863">
        <f>(I53+I61+I62)*F67</f>
        <v>518343.27785742725</v>
      </c>
    </row>
    <row r="68" spans="1:12" ht="15">
      <c r="B68" s="1551"/>
      <c r="C68" s="1555"/>
      <c r="D68" s="1552"/>
      <c r="E68" s="1831" t="s">
        <v>5676</v>
      </c>
      <c r="F68" s="1831"/>
      <c r="G68" s="1772"/>
      <c r="H68" s="1853"/>
      <c r="I68" s="1833">
        <f>I67+I67/F67</f>
        <v>26435507.170728788</v>
      </c>
    </row>
    <row r="69" spans="1:12" ht="15">
      <c r="B69" s="1551"/>
      <c r="C69" s="1555"/>
      <c r="D69" s="1552"/>
      <c r="E69" s="1834" t="s">
        <v>5677</v>
      </c>
      <c r="F69" s="1858">
        <f>$K$5</f>
        <v>5.7750000000000003E-2</v>
      </c>
      <c r="G69" s="1772"/>
      <c r="H69" s="1853"/>
      <c r="I69" s="1835">
        <f>I68*F69</f>
        <v>1526650.5391095877</v>
      </c>
    </row>
    <row r="70" spans="1:12" ht="15">
      <c r="B70" s="1551"/>
      <c r="C70" s="1555"/>
      <c r="D70" s="1552"/>
      <c r="E70" s="1834" t="s">
        <v>5678</v>
      </c>
      <c r="F70" s="1856">
        <f>$L$5</f>
        <v>0.06</v>
      </c>
      <c r="G70" s="1772"/>
      <c r="H70" s="1853"/>
      <c r="I70" s="1835">
        <f>SUM(I68:I69)*F70</f>
        <v>1677729.4625903026</v>
      </c>
    </row>
    <row r="71" spans="1:12" ht="15">
      <c r="B71" s="1551"/>
      <c r="C71" s="1555"/>
      <c r="D71" s="1552"/>
      <c r="E71" s="1831" t="s">
        <v>5679</v>
      </c>
      <c r="F71" s="1831"/>
      <c r="G71" s="1772"/>
      <c r="H71" s="1853"/>
      <c r="I71" s="1833">
        <f>SUM(I68:I70)</f>
        <v>29639887.172428679</v>
      </c>
    </row>
    <row r="72" spans="1:12" ht="15">
      <c r="B72" s="1551"/>
      <c r="C72" s="1555"/>
      <c r="D72" s="1552"/>
      <c r="E72" s="1834" t="s">
        <v>5680</v>
      </c>
      <c r="F72" s="1856">
        <f>$M$5</f>
        <v>0.1</v>
      </c>
      <c r="G72" s="1772"/>
      <c r="H72" s="1853"/>
      <c r="I72" s="1835">
        <f>I71*F72</f>
        <v>2963988.7172428682</v>
      </c>
    </row>
    <row r="73" spans="1:12" ht="15">
      <c r="B73" s="1551"/>
      <c r="C73" s="1555"/>
      <c r="D73" s="1552"/>
      <c r="E73" s="1831" t="s">
        <v>5681</v>
      </c>
      <c r="F73" s="1831"/>
      <c r="G73" s="1772"/>
      <c r="H73" s="1853"/>
      <c r="I73" s="1833">
        <f>SUM(I71:I72)</f>
        <v>32603875.889671545</v>
      </c>
    </row>
    <row r="74" spans="1:12" ht="12.75">
      <c r="B74" s="1551"/>
      <c r="C74" s="1555"/>
      <c r="D74" s="1552"/>
      <c r="E74" s="1558" t="s">
        <v>5682</v>
      </c>
      <c r="F74" s="1595">
        <f>$N$5</f>
        <v>0.01</v>
      </c>
      <c r="G74" s="1553"/>
      <c r="H74" s="1594"/>
      <c r="I74" s="1559">
        <f>I73*F74</f>
        <v>326038.75889671547</v>
      </c>
    </row>
    <row r="75" spans="1:12" ht="15">
      <c r="B75" s="1596"/>
      <c r="C75" s="1597"/>
      <c r="D75" s="1597"/>
      <c r="E75" s="1859" t="s">
        <v>5683</v>
      </c>
      <c r="F75" s="1859"/>
      <c r="G75" s="1860"/>
      <c r="H75" s="1861"/>
      <c r="I75" s="1862">
        <f>ROUND(I73+I74,-2)</f>
        <v>32929900</v>
      </c>
    </row>
    <row r="76" spans="1:12" ht="15">
      <c r="A76" s="657">
        <v>1</v>
      </c>
      <c r="B76" s="1549">
        <f>IF(A76&lt;&gt;0,COUNTA(A$7:$A76),"")</f>
        <v>5</v>
      </c>
      <c r="C76" s="1495">
        <f>'8.Dgia'!C204</f>
        <v>1776</v>
      </c>
      <c r="D76" s="1693" t="str">
        <f>'8.Dgia'!D204</f>
        <v>AI.64211</v>
      </c>
      <c r="E76" s="1864" t="str">
        <f>'8.Dgia'!E204</f>
        <v>Lắp đặt kết cấu thép</v>
      </c>
      <c r="F76" s="1865" t="str">
        <f>'8.Dgia'!G204</f>
        <v>tấn/ton</v>
      </c>
      <c r="G76" s="1866">
        <f>'8.Dgia'!H204</f>
        <v>0</v>
      </c>
      <c r="H76" s="1867"/>
      <c r="I76" s="1868"/>
      <c r="J76" s="842">
        <f>+I77</f>
        <v>694869.05453000008</v>
      </c>
      <c r="K76" s="842">
        <f>+I82</f>
        <v>3876203.5999999996</v>
      </c>
      <c r="L76" s="842">
        <f>+I83</f>
        <v>290773.66856999998</v>
      </c>
    </row>
    <row r="77" spans="1:12" s="658" customFormat="1" ht="15">
      <c r="B77" s="1691" t="str">
        <f>'8.Dgia'!B205</f>
        <v/>
      </c>
      <c r="C77" s="1495">
        <f>'8.Dgia'!C205</f>
        <v>0</v>
      </c>
      <c r="D77" s="1537">
        <f>'8.Dgia'!D205</f>
        <v>0</v>
      </c>
      <c r="E77" s="2019" t="str">
        <f>'8.Dgia'!E205</f>
        <v xml:space="preserve">  A - Vật liệu</v>
      </c>
      <c r="F77" s="1745">
        <f>'8.Dgia'!G205</f>
        <v>0</v>
      </c>
      <c r="G77" s="1746">
        <f>'8.Dgia'!H205</f>
        <v>0</v>
      </c>
      <c r="H77" s="1869"/>
      <c r="I77" s="1870">
        <f>SUM(I78:I81)</f>
        <v>694869.05453000008</v>
      </c>
      <c r="J77" s="850"/>
      <c r="K77" s="850"/>
      <c r="L77" s="850"/>
    </row>
    <row r="78" spans="1:12" ht="15">
      <c r="B78" s="1691" t="str">
        <f>'8.Dgia'!B206</f>
        <v/>
      </c>
      <c r="C78" s="1495">
        <f>'8.Dgia'!C206</f>
        <v>0</v>
      </c>
      <c r="D78" s="1537">
        <f>'8.Dgia'!D206</f>
        <v>0</v>
      </c>
      <c r="E78" s="1749" t="str">
        <f>'8.Dgia'!E206</f>
        <v>Que hàn</v>
      </c>
      <c r="F78" s="1745" t="str">
        <f>'8.Dgia'!G206</f>
        <v>kg</v>
      </c>
      <c r="G78" s="1746">
        <f>'8.Dgia'!H206</f>
        <v>3.87</v>
      </c>
      <c r="H78" s="1869">
        <f>GVL!$I$153</f>
        <v>19090.909090909088</v>
      </c>
      <c r="I78" s="1747">
        <f>H78*G78</f>
        <v>73881.818181818177</v>
      </c>
    </row>
    <row r="79" spans="1:12" ht="15">
      <c r="B79" s="1691" t="str">
        <f>'8.Dgia'!B207</f>
        <v/>
      </c>
      <c r="C79" s="1495">
        <f>'8.Dgia'!C207</f>
        <v>0</v>
      </c>
      <c r="D79" s="1537">
        <f>'8.Dgia'!D207</f>
        <v>0</v>
      </c>
      <c r="E79" s="1749" t="str">
        <f>'8.Dgia'!E207</f>
        <v>Thép tròn D&lt;=18</v>
      </c>
      <c r="F79" s="1745" t="str">
        <f>'8.Dgia'!G207</f>
        <v>kg</v>
      </c>
      <c r="G79" s="1746">
        <f>'8.Dgia'!H207</f>
        <v>17.5</v>
      </c>
      <c r="H79" s="1869">
        <f>GVL!$I$180</f>
        <v>16604.075560000001</v>
      </c>
      <c r="I79" s="1747">
        <f>H79*G79</f>
        <v>290571.3223</v>
      </c>
    </row>
    <row r="80" spans="1:12" ht="15">
      <c r="B80" s="1691" t="str">
        <f>'8.Dgia'!B208</f>
        <v/>
      </c>
      <c r="C80" s="1495">
        <f>'8.Dgia'!C208</f>
        <v>0</v>
      </c>
      <c r="D80" s="1537">
        <f>'8.Dgia'!D208</f>
        <v>0</v>
      </c>
      <c r="E80" s="1749" t="str">
        <f>'8.Dgia'!E208</f>
        <v>Dây thép buộc</v>
      </c>
      <c r="F80" s="1745" t="str">
        <f>'8.Dgia'!G208</f>
        <v>kg</v>
      </c>
      <c r="G80" s="1746">
        <f>'8.Dgia'!H208</f>
        <v>14.7</v>
      </c>
      <c r="H80" s="1869">
        <f>GVL!$I$89</f>
        <v>18180</v>
      </c>
      <c r="I80" s="1747">
        <f>H80*G80</f>
        <v>267246</v>
      </c>
    </row>
    <row r="81" spans="1:12" ht="15">
      <c r="B81" s="1691" t="str">
        <f>'8.Dgia'!B209</f>
        <v/>
      </c>
      <c r="C81" s="1495">
        <f>'8.Dgia'!C209</f>
        <v>0</v>
      </c>
      <c r="D81" s="1537">
        <f>'8.Dgia'!D209</f>
        <v>0</v>
      </c>
      <c r="E81" s="1749" t="str">
        <f>'8.Dgia'!E209</f>
        <v>Vật liệu khác</v>
      </c>
      <c r="F81" s="1745" t="str">
        <f>'8.Dgia'!G209</f>
        <v>%</v>
      </c>
      <c r="G81" s="1746">
        <f>'8.Dgia'!H209</f>
        <v>10</v>
      </c>
      <c r="H81" s="1869">
        <f>SUM(I78:I80)</f>
        <v>631699.14048181823</v>
      </c>
      <c r="I81" s="1747">
        <f>H81*G81%</f>
        <v>63169.914048181825</v>
      </c>
    </row>
    <row r="82" spans="1:12" s="658" customFormat="1" ht="15">
      <c r="A82" s="657"/>
      <c r="B82" s="2020"/>
      <c r="C82" s="1495">
        <f>'8.Dgia'!C210</f>
        <v>0</v>
      </c>
      <c r="D82" s="1537">
        <f>'8.Dgia'!D210</f>
        <v>0</v>
      </c>
      <c r="E82" s="1749" t="str">
        <f>'8.Dgia'!E210</f>
        <v xml:space="preserve">  B - Nhân công 4.0/7</v>
      </c>
      <c r="F82" s="1771" t="s">
        <v>552</v>
      </c>
      <c r="G82" s="1746">
        <f>'8.Dgia'!H210</f>
        <v>16.7</v>
      </c>
      <c r="H82" s="1869">
        <f>'16.NC'!$G$18</f>
        <v>232108</v>
      </c>
      <c r="I82" s="1870">
        <f>H82*G82</f>
        <v>3876203.5999999996</v>
      </c>
      <c r="J82" s="850"/>
      <c r="K82" s="850"/>
      <c r="L82" s="850"/>
    </row>
    <row r="83" spans="1:12" s="658" customFormat="1" ht="15">
      <c r="B83" s="1691" t="str">
        <f>'8.Dgia'!B211</f>
        <v/>
      </c>
      <c r="C83" s="1495">
        <f>'8.Dgia'!C211</f>
        <v>0</v>
      </c>
      <c r="D83" s="1537">
        <f>'8.Dgia'!D211</f>
        <v>0</v>
      </c>
      <c r="E83" s="1749" t="str">
        <f>'8.Dgia'!E211</f>
        <v xml:space="preserve">  C - Máy thi công</v>
      </c>
      <c r="F83" s="1745">
        <f>'8.Dgia'!G211</f>
        <v>0</v>
      </c>
      <c r="G83" s="1746">
        <f>'8.Dgia'!H211</f>
        <v>0</v>
      </c>
      <c r="H83" s="1869"/>
      <c r="I83" s="1870">
        <f>SUM(I84:I85)</f>
        <v>290773.66856999998</v>
      </c>
      <c r="J83" s="850"/>
      <c r="K83" s="850"/>
      <c r="L83" s="850"/>
    </row>
    <row r="84" spans="1:12" ht="15">
      <c r="B84" s="1691" t="str">
        <f>'8.Dgia'!B212</f>
        <v/>
      </c>
      <c r="C84" s="1495">
        <f>'8.Dgia'!C212</f>
        <v>0</v>
      </c>
      <c r="D84" s="1537">
        <f>'8.Dgia'!D212</f>
        <v>0</v>
      </c>
      <c r="E84" s="1749" t="str">
        <f>'8.Dgia'!E212</f>
        <v>Máy hàn 23Kw</v>
      </c>
      <c r="F84" s="1771" t="s">
        <v>5493</v>
      </c>
      <c r="G84" s="1746">
        <f>'8.Dgia'!H212</f>
        <v>1.54</v>
      </c>
      <c r="H84" s="1869">
        <f>'9.may'!$P$510</f>
        <v>171649.155</v>
      </c>
      <c r="I84" s="1747">
        <f>H84*G84</f>
        <v>264339.69870000001</v>
      </c>
    </row>
    <row r="85" spans="1:12" ht="15">
      <c r="B85" s="1691" t="str">
        <f>'8.Dgia'!B213</f>
        <v/>
      </c>
      <c r="C85" s="1495">
        <f>'8.Dgia'!C213</f>
        <v>0</v>
      </c>
      <c r="D85" s="1537">
        <f>'8.Dgia'!D213</f>
        <v>0</v>
      </c>
      <c r="E85" s="1749" t="str">
        <f>'8.Dgia'!E213</f>
        <v>Máy khác</v>
      </c>
      <c r="F85" s="1745" t="str">
        <f>'8.Dgia'!G213</f>
        <v>%</v>
      </c>
      <c r="G85" s="1746">
        <f>'8.Dgia'!H213</f>
        <v>10</v>
      </c>
      <c r="H85" s="1869">
        <f>I84</f>
        <v>264339.69870000001</v>
      </c>
      <c r="I85" s="1747">
        <f>H85*G85%</f>
        <v>26433.969870000001</v>
      </c>
    </row>
    <row r="86" spans="1:12" ht="15">
      <c r="B86" s="1691"/>
      <c r="C86" s="1495"/>
      <c r="D86" s="1537"/>
      <c r="E86" s="1752" t="s">
        <v>5675</v>
      </c>
      <c r="F86" s="1871">
        <f>$J$5</f>
        <v>0.02</v>
      </c>
      <c r="G86" s="1746"/>
      <c r="H86" s="1869"/>
      <c r="I86" s="1872">
        <f>(I77+I82+I83)*F86</f>
        <v>97236.926461999989</v>
      </c>
    </row>
    <row r="87" spans="1:12" ht="15">
      <c r="B87" s="1691"/>
      <c r="C87" s="1495"/>
      <c r="D87" s="1537"/>
      <c r="E87" s="1757" t="s">
        <v>5676</v>
      </c>
      <c r="F87" s="1757"/>
      <c r="G87" s="1746"/>
      <c r="H87" s="1869"/>
      <c r="I87" s="1761">
        <f>I86+I86/F86</f>
        <v>4959083.2495619999</v>
      </c>
    </row>
    <row r="88" spans="1:12" ht="15">
      <c r="B88" s="1691"/>
      <c r="C88" s="1495"/>
      <c r="D88" s="1537"/>
      <c r="E88" s="1762" t="s">
        <v>5677</v>
      </c>
      <c r="F88" s="1873">
        <f>$K$5</f>
        <v>5.7750000000000003E-2</v>
      </c>
      <c r="G88" s="1746"/>
      <c r="H88" s="1869"/>
      <c r="I88" s="1764">
        <f>I87*F88</f>
        <v>286387.05766220554</v>
      </c>
    </row>
    <row r="89" spans="1:12" ht="15">
      <c r="B89" s="1691"/>
      <c r="C89" s="1495"/>
      <c r="D89" s="1537"/>
      <c r="E89" s="1762" t="s">
        <v>5678</v>
      </c>
      <c r="F89" s="1871">
        <f>$L$5</f>
        <v>0.06</v>
      </c>
      <c r="G89" s="1746"/>
      <c r="H89" s="1869"/>
      <c r="I89" s="1764">
        <f>SUM(I87:I88)*F89</f>
        <v>314728.2184334523</v>
      </c>
    </row>
    <row r="90" spans="1:12" ht="15">
      <c r="B90" s="1691"/>
      <c r="C90" s="1495"/>
      <c r="D90" s="1537"/>
      <c r="E90" s="1757" t="s">
        <v>5679</v>
      </c>
      <c r="F90" s="1757"/>
      <c r="G90" s="1746"/>
      <c r="H90" s="1869"/>
      <c r="I90" s="1761">
        <f>SUM(I87:I89)</f>
        <v>5560198.5256576575</v>
      </c>
    </row>
    <row r="91" spans="1:12" ht="15">
      <c r="B91" s="1691"/>
      <c r="C91" s="1495"/>
      <c r="D91" s="1537"/>
      <c r="E91" s="1762" t="s">
        <v>5680</v>
      </c>
      <c r="F91" s="1871">
        <f>$M$5</f>
        <v>0.1</v>
      </c>
      <c r="G91" s="1746"/>
      <c r="H91" s="1869"/>
      <c r="I91" s="1764">
        <f>I90*F91</f>
        <v>556019.85256576573</v>
      </c>
    </row>
    <row r="92" spans="1:12" ht="15">
      <c r="B92" s="1691"/>
      <c r="C92" s="1495"/>
      <c r="D92" s="1537"/>
      <c r="E92" s="1757" t="s">
        <v>5681</v>
      </c>
      <c r="F92" s="1757"/>
      <c r="G92" s="1746"/>
      <c r="H92" s="1869"/>
      <c r="I92" s="1761">
        <f>SUM(I90:I91)</f>
        <v>6116218.3782234229</v>
      </c>
    </row>
    <row r="93" spans="1:12" ht="12.75">
      <c r="B93" s="1691"/>
      <c r="C93" s="1495"/>
      <c r="D93" s="1537"/>
      <c r="E93" s="1498" t="s">
        <v>5682</v>
      </c>
      <c r="F93" s="1497">
        <f>$N$5</f>
        <v>0.01</v>
      </c>
      <c r="G93" s="1692"/>
      <c r="H93" s="1496"/>
      <c r="I93" s="1499">
        <f>I92*F93</f>
        <v>61162.183782234228</v>
      </c>
    </row>
    <row r="94" spans="1:12" ht="15">
      <c r="B94" s="1500"/>
      <c r="C94" s="1501"/>
      <c r="D94" s="1501"/>
      <c r="E94" s="1874" t="s">
        <v>5683</v>
      </c>
      <c r="F94" s="1874"/>
      <c r="G94" s="1875"/>
      <c r="H94" s="1876"/>
      <c r="I94" s="1862">
        <f>ROUND(I92+I93,-2)</f>
        <v>6177400</v>
      </c>
    </row>
    <row r="95" spans="1:12" ht="15">
      <c r="A95" s="657">
        <v>1</v>
      </c>
      <c r="B95" s="1549">
        <f>IF(A95&lt;&gt;0,COUNTA(A$7:$A95),"")</f>
        <v>6</v>
      </c>
      <c r="C95" s="1555">
        <f>'8.Dgia'!C448</f>
        <v>1776</v>
      </c>
      <c r="D95" s="1696" t="str">
        <f>'8.Dgia'!D448</f>
        <v>AF.11410</v>
      </c>
      <c r="E95" s="1848" t="str">
        <f>'8.Dgia'!E448</f>
        <v>Bê tông C20 sân cống</v>
      </c>
      <c r="F95" s="1849" t="str">
        <f>'8.Dgia'!G448</f>
        <v>m3</v>
      </c>
      <c r="G95" s="1850">
        <f>'8.Dgia'!H448</f>
        <v>0</v>
      </c>
      <c r="H95" s="1851"/>
      <c r="I95" s="1852"/>
      <c r="J95" s="842">
        <f>+I96</f>
        <v>915552.66503722349</v>
      </c>
      <c r="K95" s="842">
        <f>+I99</f>
        <v>479963.55000000005</v>
      </c>
      <c r="L95" s="842">
        <f>+I100</f>
        <v>23796.9734775</v>
      </c>
    </row>
    <row r="96" spans="1:12" s="658" customFormat="1" ht="15">
      <c r="B96" s="1551" t="str">
        <f>'8.Dgia'!B449</f>
        <v/>
      </c>
      <c r="C96" s="1555">
        <f>'8.Dgia'!C449</f>
        <v>0</v>
      </c>
      <c r="D96" s="1552">
        <f>'8.Dgia'!D449</f>
        <v>0</v>
      </c>
      <c r="E96" s="2018" t="str">
        <f>'8.Dgia'!E449</f>
        <v xml:space="preserve">  A - Vật liệu</v>
      </c>
      <c r="F96" s="1771">
        <f>'8.Dgia'!G449</f>
        <v>0</v>
      </c>
      <c r="G96" s="1772">
        <f>'8.Dgia'!H449</f>
        <v>0</v>
      </c>
      <c r="H96" s="1853"/>
      <c r="I96" s="1854">
        <f>SUM(I97:I98)</f>
        <v>915552.66503722349</v>
      </c>
      <c r="J96" s="850"/>
      <c r="K96" s="850"/>
      <c r="L96" s="850"/>
    </row>
    <row r="97" spans="1:12" ht="15">
      <c r="B97" s="1551" t="str">
        <f>'8.Dgia'!B450</f>
        <v/>
      </c>
      <c r="C97" s="1555">
        <f>'8.Dgia'!C450</f>
        <v>0</v>
      </c>
      <c r="D97" s="1552" t="str">
        <f>'8.Dgia'!D450</f>
        <v>C3124</v>
      </c>
      <c r="E97" s="1775" t="str">
        <f>'8.Dgia'!E450</f>
        <v>Vữa bê tông đá 1x2 C20 SN 2-4</v>
      </c>
      <c r="F97" s="1771" t="str">
        <f>'8.Dgia'!G450</f>
        <v>m3</v>
      </c>
      <c r="G97" s="1772">
        <f>'8.Dgia'!H450</f>
        <v>1.0249999999999999</v>
      </c>
      <c r="H97" s="1853">
        <f>GVL!$I$194</f>
        <v>884378.32894201751</v>
      </c>
      <c r="I97" s="1824">
        <f>H97*G97</f>
        <v>906487.78716556786</v>
      </c>
    </row>
    <row r="98" spans="1:12" ht="15">
      <c r="B98" s="1551" t="str">
        <f>'8.Dgia'!B451</f>
        <v/>
      </c>
      <c r="C98" s="1555">
        <f>'8.Dgia'!C451</f>
        <v>0</v>
      </c>
      <c r="D98" s="1552">
        <f>'8.Dgia'!D451</f>
        <v>0</v>
      </c>
      <c r="E98" s="1775" t="str">
        <f>'8.Dgia'!E451</f>
        <v>Vật liệu khác</v>
      </c>
      <c r="F98" s="1771" t="str">
        <f>'8.Dgia'!G451</f>
        <v>%</v>
      </c>
      <c r="G98" s="1772">
        <f>'8.Dgia'!H451</f>
        <v>1</v>
      </c>
      <c r="H98" s="1853">
        <f>I97</f>
        <v>906487.78716556786</v>
      </c>
      <c r="I98" s="1824">
        <f>H98*G98%</f>
        <v>9064.877871655679</v>
      </c>
    </row>
    <row r="99" spans="1:12" s="658" customFormat="1" ht="15">
      <c r="B99" s="1551" t="str">
        <f>'8.Dgia'!B452</f>
        <v/>
      </c>
      <c r="C99" s="1555">
        <f>'8.Dgia'!C452</f>
        <v>0</v>
      </c>
      <c r="D99" s="1552">
        <f>'8.Dgia'!D452</f>
        <v>0</v>
      </c>
      <c r="E99" s="1775" t="str">
        <f>'8.Dgia'!E452</f>
        <v xml:space="preserve">  B - Nhân công 3.0/7</v>
      </c>
      <c r="F99" s="1771" t="s">
        <v>552</v>
      </c>
      <c r="G99" s="1772">
        <f>'8.Dgia'!H452</f>
        <v>2.41</v>
      </c>
      <c r="H99" s="1853">
        <f>'16.NC'!$G$13</f>
        <v>199155</v>
      </c>
      <c r="I99" s="1854">
        <f>H99*G99</f>
        <v>479963.55000000005</v>
      </c>
      <c r="J99" s="850"/>
      <c r="K99" s="850"/>
      <c r="L99" s="850"/>
    </row>
    <row r="100" spans="1:12" s="658" customFormat="1" ht="15">
      <c r="B100" s="1551" t="str">
        <f>'8.Dgia'!B453</f>
        <v/>
      </c>
      <c r="C100" s="1555">
        <f>'8.Dgia'!C453</f>
        <v>0</v>
      </c>
      <c r="D100" s="1552">
        <f>'8.Dgia'!D453</f>
        <v>0</v>
      </c>
      <c r="E100" s="1775" t="str">
        <f>'8.Dgia'!E453</f>
        <v xml:space="preserve">  C - Máy thi công</v>
      </c>
      <c r="F100" s="1771">
        <f>'8.Dgia'!G453</f>
        <v>0</v>
      </c>
      <c r="G100" s="1772">
        <f>'8.Dgia'!H453</f>
        <v>0</v>
      </c>
      <c r="H100" s="1853"/>
      <c r="I100" s="1854">
        <f>SUM(I101:I102)</f>
        <v>23796.9734775</v>
      </c>
      <c r="J100" s="850"/>
      <c r="K100" s="850"/>
      <c r="L100" s="850"/>
    </row>
    <row r="101" spans="1:12" ht="15">
      <c r="B101" s="2020"/>
      <c r="C101" s="1555">
        <f>'8.Dgia'!C454</f>
        <v>0</v>
      </c>
      <c r="D101" s="1552">
        <f>'8.Dgia'!D454</f>
        <v>0</v>
      </c>
      <c r="E101" s="1775" t="str">
        <f>'8.Dgia'!E454</f>
        <v>Máy trộn 250l</v>
      </c>
      <c r="F101" s="1771" t="s">
        <v>5493</v>
      </c>
      <c r="G101" s="1772">
        <f>'8.Dgia'!H454</f>
        <v>9.5000000000000001E-2</v>
      </c>
      <c r="H101" s="1853">
        <f>'9.may'!$P$333</f>
        <v>180447.90000000002</v>
      </c>
      <c r="I101" s="1824">
        <f>H101*G101</f>
        <v>17142.550500000001</v>
      </c>
    </row>
    <row r="102" spans="1:12" ht="15">
      <c r="B102" s="1551" t="str">
        <f>'8.Dgia'!B455</f>
        <v/>
      </c>
      <c r="C102" s="1555">
        <f>'8.Dgia'!C455</f>
        <v>0</v>
      </c>
      <c r="D102" s="1552">
        <f>'8.Dgia'!D455</f>
        <v>0</v>
      </c>
      <c r="E102" s="1775" t="str">
        <f>'8.Dgia'!E455</f>
        <v>Máy đầm dùi 1.5kw</v>
      </c>
      <c r="F102" s="1771" t="s">
        <v>5493</v>
      </c>
      <c r="G102" s="1772">
        <f>'8.Dgia'!H455</f>
        <v>8.8999999999999996E-2</v>
      </c>
      <c r="H102" s="1853">
        <f>'9.may'!$P$382</f>
        <v>74768.797500000001</v>
      </c>
      <c r="I102" s="1824">
        <f>H102*G102</f>
        <v>6654.4229774999994</v>
      </c>
    </row>
    <row r="103" spans="1:12" ht="15">
      <c r="B103" s="1551"/>
      <c r="C103" s="1555"/>
      <c r="D103" s="1552"/>
      <c r="E103" s="1828" t="s">
        <v>5675</v>
      </c>
      <c r="F103" s="1856">
        <f>$J$5</f>
        <v>0.02</v>
      </c>
      <c r="G103" s="1772"/>
      <c r="H103" s="1853"/>
      <c r="I103" s="1863">
        <f>( I96+I99+I100 )*F103</f>
        <v>28386.26377029447</v>
      </c>
    </row>
    <row r="104" spans="1:12" ht="15">
      <c r="B104" s="1551"/>
      <c r="C104" s="1555"/>
      <c r="D104" s="1552"/>
      <c r="E104" s="1831" t="s">
        <v>5676</v>
      </c>
      <c r="F104" s="1831"/>
      <c r="G104" s="1772"/>
      <c r="H104" s="1853"/>
      <c r="I104" s="1833">
        <f>I103+I103/F103</f>
        <v>1447699.4522850178</v>
      </c>
    </row>
    <row r="105" spans="1:12" ht="15">
      <c r="B105" s="1551"/>
      <c r="C105" s="1555"/>
      <c r="D105" s="1552"/>
      <c r="E105" s="1834" t="s">
        <v>5677</v>
      </c>
      <c r="F105" s="1858">
        <f>$K$5</f>
        <v>5.7750000000000003E-2</v>
      </c>
      <c r="G105" s="1772"/>
      <c r="H105" s="1853"/>
      <c r="I105" s="1835">
        <f>I104*F105</f>
        <v>83604.64336945978</v>
      </c>
    </row>
    <row r="106" spans="1:12" ht="15">
      <c r="B106" s="1551"/>
      <c r="C106" s="1555"/>
      <c r="D106" s="1552"/>
      <c r="E106" s="1834" t="s">
        <v>5678</v>
      </c>
      <c r="F106" s="1856">
        <f>$L$5</f>
        <v>0.06</v>
      </c>
      <c r="G106" s="1772"/>
      <c r="H106" s="1853"/>
      <c r="I106" s="1835">
        <f>SUM(I104:I105)*F106</f>
        <v>91878.245739268648</v>
      </c>
    </row>
    <row r="107" spans="1:12" ht="15">
      <c r="B107" s="1551"/>
      <c r="C107" s="1555"/>
      <c r="D107" s="1552"/>
      <c r="E107" s="1831" t="s">
        <v>5679</v>
      </c>
      <c r="F107" s="1831"/>
      <c r="G107" s="1772"/>
      <c r="H107" s="1853"/>
      <c r="I107" s="1833">
        <f>SUM(I104:I106)</f>
        <v>1623182.3413937462</v>
      </c>
    </row>
    <row r="108" spans="1:12" ht="15">
      <c r="B108" s="1551"/>
      <c r="C108" s="1555"/>
      <c r="D108" s="1552"/>
      <c r="E108" s="1834" t="s">
        <v>5680</v>
      </c>
      <c r="F108" s="1856">
        <f>$M$5</f>
        <v>0.1</v>
      </c>
      <c r="G108" s="1772"/>
      <c r="H108" s="1853"/>
      <c r="I108" s="1835">
        <f>I107*F108</f>
        <v>162318.23413937463</v>
      </c>
    </row>
    <row r="109" spans="1:12" ht="15">
      <c r="B109" s="1551"/>
      <c r="C109" s="1555"/>
      <c r="D109" s="1552"/>
      <c r="E109" s="1831" t="s">
        <v>5681</v>
      </c>
      <c r="F109" s="1831"/>
      <c r="G109" s="1772"/>
      <c r="H109" s="1853"/>
      <c r="I109" s="1833">
        <f>SUM(I107:I108)</f>
        <v>1785500.5755331209</v>
      </c>
    </row>
    <row r="110" spans="1:12" ht="12.75">
      <c r="B110" s="1551"/>
      <c r="C110" s="1555"/>
      <c r="D110" s="1552"/>
      <c r="E110" s="1558" t="s">
        <v>5682</v>
      </c>
      <c r="F110" s="1595">
        <f>$N$5</f>
        <v>0.01</v>
      </c>
      <c r="G110" s="1553"/>
      <c r="H110" s="1594"/>
      <c r="I110" s="1559">
        <f>I109*F110</f>
        <v>17855.005755331211</v>
      </c>
    </row>
    <row r="111" spans="1:12" ht="15">
      <c r="B111" s="1596"/>
      <c r="C111" s="1597"/>
      <c r="D111" s="1597"/>
      <c r="E111" s="1859" t="s">
        <v>5683</v>
      </c>
      <c r="F111" s="1859"/>
      <c r="G111" s="1860"/>
      <c r="H111" s="1861"/>
      <c r="I111" s="1862">
        <f>ROUND(I109+I110,-2)</f>
        <v>1803400</v>
      </c>
    </row>
    <row r="112" spans="1:12" ht="15">
      <c r="A112" s="657">
        <v>1</v>
      </c>
      <c r="B112" s="1549">
        <f>IF(A112&lt;&gt;0,COUNTA(A$7:$A112),"")</f>
        <v>7</v>
      </c>
      <c r="C112" s="1555">
        <f>'8.Dgia'!C1115</f>
        <v>1776</v>
      </c>
      <c r="D112" s="1696" t="str">
        <f>'8.Dgia'!D1115</f>
        <v>AF.82111</v>
      </c>
      <c r="E112" s="1848" t="str">
        <f>'8.Dgia'!E1115</f>
        <v>Ván khuôn (tường, cột, dầm, giằng…)</v>
      </c>
      <c r="F112" s="1849" t="str">
        <f>'8.Dgia'!G1115</f>
        <v>100m2</v>
      </c>
      <c r="G112" s="1850">
        <f>'8.Dgia'!H1115</f>
        <v>0</v>
      </c>
      <c r="H112" s="1851"/>
      <c r="I112" s="1852"/>
      <c r="J112" s="842">
        <f>+I113</f>
        <v>4793838.3108242452</v>
      </c>
      <c r="K112" s="842">
        <f>+I119</f>
        <v>8885094.2400000002</v>
      </c>
      <c r="L112" s="842">
        <f>+I120</f>
        <v>294440.26094999997</v>
      </c>
    </row>
    <row r="113" spans="2:12" s="658" customFormat="1" ht="15">
      <c r="B113" s="1551" t="str">
        <f>'8.Dgia'!B1116</f>
        <v/>
      </c>
      <c r="C113" s="1555">
        <f>'8.Dgia'!C1116</f>
        <v>0</v>
      </c>
      <c r="D113" s="1552">
        <f>'8.Dgia'!D1116</f>
        <v>0</v>
      </c>
      <c r="E113" s="2018" t="str">
        <f>'8.Dgia'!E1116</f>
        <v xml:space="preserve">  A - Vật liệu</v>
      </c>
      <c r="F113" s="1771">
        <f>'8.Dgia'!G1116</f>
        <v>0</v>
      </c>
      <c r="G113" s="1772">
        <f>'8.Dgia'!H1116</f>
        <v>0</v>
      </c>
      <c r="H113" s="1853"/>
      <c r="I113" s="1854">
        <f>SUM(I114:I118)</f>
        <v>4793838.3108242452</v>
      </c>
      <c r="J113" s="850"/>
      <c r="K113" s="850"/>
      <c r="L113" s="850"/>
    </row>
    <row r="114" spans="2:12" ht="15">
      <c r="B114" s="1551" t="str">
        <f>'8.Dgia'!B1117</f>
        <v/>
      </c>
      <c r="C114" s="1555">
        <f>'8.Dgia'!C1117</f>
        <v>0</v>
      </c>
      <c r="D114" s="1552">
        <f>'8.Dgia'!D1117</f>
        <v>0</v>
      </c>
      <c r="E114" s="1775" t="str">
        <f>'8.Dgia'!E1117</f>
        <v>Thép tấm</v>
      </c>
      <c r="F114" s="1771" t="str">
        <f>'8.Dgia'!G1117</f>
        <v>kg</v>
      </c>
      <c r="G114" s="1772">
        <f>'8.Dgia'!H1117</f>
        <v>51.81</v>
      </c>
      <c r="H114" s="1853">
        <f>GVL!$I$175</f>
        <v>12871.348287272725</v>
      </c>
      <c r="I114" s="1824">
        <f>H114*G114</f>
        <v>666864.55476359988</v>
      </c>
    </row>
    <row r="115" spans="2:12" ht="15">
      <c r="B115" s="1551" t="str">
        <f>'8.Dgia'!B1118</f>
        <v/>
      </c>
      <c r="C115" s="1555">
        <f>'8.Dgia'!C1118</f>
        <v>0</v>
      </c>
      <c r="D115" s="1552">
        <f>'8.Dgia'!D1118</f>
        <v>0</v>
      </c>
      <c r="E115" s="1775" t="str">
        <f>'8.Dgia'!E1118</f>
        <v>Thép hình</v>
      </c>
      <c r="F115" s="1771" t="str">
        <f>'8.Dgia'!G1118</f>
        <v>kg</v>
      </c>
      <c r="G115" s="1772">
        <f>'8.Dgia'!H1118</f>
        <v>48.84</v>
      </c>
      <c r="H115" s="1853">
        <f>GVL!$I$170</f>
        <v>16703.248369172808</v>
      </c>
      <c r="I115" s="1824">
        <f>H115*G115</f>
        <v>815786.65035040001</v>
      </c>
    </row>
    <row r="116" spans="2:12" ht="15">
      <c r="B116" s="1551" t="str">
        <f>'8.Dgia'!B1119</f>
        <v/>
      </c>
      <c r="C116" s="1555">
        <f>'8.Dgia'!C1119</f>
        <v>0</v>
      </c>
      <c r="D116" s="1552">
        <f>'8.Dgia'!D1119</f>
        <v>0</v>
      </c>
      <c r="E116" s="1775" t="str">
        <f>'8.Dgia'!E1119</f>
        <v>Gỗ</v>
      </c>
      <c r="F116" s="1771" t="str">
        <f>'8.Dgia'!G1119</f>
        <v>m3</v>
      </c>
      <c r="G116" s="1772">
        <f>'8.Dgia'!H1119</f>
        <v>0.496</v>
      </c>
      <c r="H116" s="1853">
        <f>GVL!$I$96</f>
        <v>6000000</v>
      </c>
      <c r="I116" s="1824">
        <f>H116*G116</f>
        <v>2976000</v>
      </c>
    </row>
    <row r="117" spans="2:12" ht="15">
      <c r="B117" s="2020"/>
      <c r="C117" s="1555">
        <f>'8.Dgia'!C1120</f>
        <v>0</v>
      </c>
      <c r="D117" s="1552">
        <f>'8.Dgia'!D1120</f>
        <v>0</v>
      </c>
      <c r="E117" s="1775" t="str">
        <f>'8.Dgia'!E1120</f>
        <v>Que hàn</v>
      </c>
      <c r="F117" s="1771" t="str">
        <f>'8.Dgia'!G1120</f>
        <v>kg</v>
      </c>
      <c r="G117" s="1772">
        <f>'8.Dgia'!H1120</f>
        <v>5.6</v>
      </c>
      <c r="H117" s="1853">
        <f>GVL!$I$153</f>
        <v>19090.909090909088</v>
      </c>
      <c r="I117" s="1824">
        <f>H117*G117</f>
        <v>106909.09090909088</v>
      </c>
    </row>
    <row r="118" spans="2:12" ht="15">
      <c r="B118" s="1551" t="str">
        <f>'8.Dgia'!B1121</f>
        <v/>
      </c>
      <c r="C118" s="1555">
        <f>'8.Dgia'!C1121</f>
        <v>0</v>
      </c>
      <c r="D118" s="1552">
        <f>'8.Dgia'!D1121</f>
        <v>0</v>
      </c>
      <c r="E118" s="1775" t="str">
        <f>'8.Dgia'!E1121</f>
        <v>Vật liệu khác</v>
      </c>
      <c r="F118" s="1771" t="str">
        <f>'8.Dgia'!G1121</f>
        <v>%</v>
      </c>
      <c r="G118" s="1772">
        <f>'8.Dgia'!H1121</f>
        <v>5</v>
      </c>
      <c r="H118" s="1853">
        <f>SUM(I114:I117)</f>
        <v>4565560.2960230904</v>
      </c>
      <c r="I118" s="1824">
        <f>H118*G118%</f>
        <v>228278.01480115452</v>
      </c>
    </row>
    <row r="119" spans="2:12" s="658" customFormat="1" ht="15">
      <c r="B119" s="1551" t="str">
        <f>'8.Dgia'!B1122</f>
        <v/>
      </c>
      <c r="C119" s="1555">
        <f>'8.Dgia'!C1122</f>
        <v>0</v>
      </c>
      <c r="D119" s="1552">
        <f>'8.Dgia'!D1122</f>
        <v>0</v>
      </c>
      <c r="E119" s="1775" t="str">
        <f>'8.Dgia'!E1122</f>
        <v xml:space="preserve">  B - Nhân công 4.0/7</v>
      </c>
      <c r="F119" s="1771" t="s">
        <v>552</v>
      </c>
      <c r="G119" s="1772">
        <f>'8.Dgia'!H1122</f>
        <v>38.28</v>
      </c>
      <c r="H119" s="1853">
        <f>'16.NC'!$G$18</f>
        <v>232108</v>
      </c>
      <c r="I119" s="1854">
        <f>H119*G119</f>
        <v>8885094.2400000002</v>
      </c>
      <c r="J119" s="850"/>
      <c r="K119" s="850"/>
      <c r="L119" s="850"/>
    </row>
    <row r="120" spans="2:12" s="658" customFormat="1" ht="15">
      <c r="B120" s="1551" t="str">
        <f>'8.Dgia'!B1123</f>
        <v/>
      </c>
      <c r="C120" s="1555">
        <f>'8.Dgia'!C1123</f>
        <v>0</v>
      </c>
      <c r="D120" s="1552">
        <f>'8.Dgia'!D1123</f>
        <v>0</v>
      </c>
      <c r="E120" s="1775" t="str">
        <f>'8.Dgia'!E1123</f>
        <v xml:space="preserve">  C - Máy thi công</v>
      </c>
      <c r="F120" s="1771">
        <f>'8.Dgia'!G1123</f>
        <v>0</v>
      </c>
      <c r="G120" s="1772">
        <f>'8.Dgia'!H1123</f>
        <v>0</v>
      </c>
      <c r="H120" s="1853"/>
      <c r="I120" s="1854">
        <f>SUM(I121:I123)</f>
        <v>294440.26094999997</v>
      </c>
      <c r="J120" s="850"/>
      <c r="K120" s="850"/>
      <c r="L120" s="850"/>
    </row>
    <row r="121" spans="2:12" ht="15">
      <c r="B121" s="1551" t="str">
        <f>'8.Dgia'!B1124</f>
        <v/>
      </c>
      <c r="C121" s="1555">
        <f>'8.Dgia'!C1124</f>
        <v>0</v>
      </c>
      <c r="D121" s="1552">
        <f>'8.Dgia'!D1124</f>
        <v>0</v>
      </c>
      <c r="E121" s="1775" t="str">
        <f>'8.Dgia'!E1124</f>
        <v>Máy hàn 23kw</v>
      </c>
      <c r="F121" s="1771" t="s">
        <v>5493</v>
      </c>
      <c r="G121" s="1772">
        <f>'8.Dgia'!H1124</f>
        <v>1.5</v>
      </c>
      <c r="H121" s="1853">
        <f>'9.may'!$P$510</f>
        <v>171649.155</v>
      </c>
      <c r="I121" s="1824">
        <f>H121*G121</f>
        <v>257473.73249999998</v>
      </c>
    </row>
    <row r="122" spans="2:12" ht="15">
      <c r="B122" s="1551" t="str">
        <f>'8.Dgia'!B1125</f>
        <v/>
      </c>
      <c r="C122" s="1555">
        <f>'8.Dgia'!C1125</f>
        <v>0</v>
      </c>
      <c r="D122" s="1552">
        <f>'8.Dgia'!D1125</f>
        <v>0</v>
      </c>
      <c r="E122" s="1775" t="str">
        <f>'8.Dgia'!E1125</f>
        <v>Vận thăng 0.8T</v>
      </c>
      <c r="F122" s="1771" t="s">
        <v>5493</v>
      </c>
      <c r="G122" s="1772">
        <f>'8.Dgia'!H1125</f>
        <v>0.25</v>
      </c>
      <c r="H122" s="1853">
        <f>'9.may'!$P$295</f>
        <v>124772.76000000001</v>
      </c>
      <c r="I122" s="1824">
        <f>H122*G122</f>
        <v>31193.190000000002</v>
      </c>
    </row>
    <row r="123" spans="2:12" ht="15">
      <c r="B123" s="1551" t="str">
        <f>'8.Dgia'!B1126</f>
        <v/>
      </c>
      <c r="C123" s="1555">
        <f>'8.Dgia'!C1126</f>
        <v>0</v>
      </c>
      <c r="D123" s="1552">
        <f>'8.Dgia'!D1126</f>
        <v>0</v>
      </c>
      <c r="E123" s="1775" t="str">
        <f>'8.Dgia'!E1126</f>
        <v>Máy khác</v>
      </c>
      <c r="F123" s="1771" t="str">
        <f>'8.Dgia'!G1126</f>
        <v>%</v>
      </c>
      <c r="G123" s="1772">
        <f>'8.Dgia'!H1126</f>
        <v>2</v>
      </c>
      <c r="H123" s="1853">
        <f>SUM(I121:I122)</f>
        <v>288666.92249999999</v>
      </c>
      <c r="I123" s="1824">
        <f>H123*G123%</f>
        <v>5773.3384500000002</v>
      </c>
    </row>
    <row r="124" spans="2:12" ht="15">
      <c r="B124" s="1551"/>
      <c r="C124" s="1555"/>
      <c r="D124" s="1552"/>
      <c r="E124" s="1828" t="s">
        <v>5675</v>
      </c>
      <c r="F124" s="1856">
        <f>$J$5</f>
        <v>0.02</v>
      </c>
      <c r="G124" s="1772"/>
      <c r="H124" s="1853"/>
      <c r="I124" s="1863">
        <f>( I113+I119+I120 )*F124</f>
        <v>279467.45623548492</v>
      </c>
    </row>
    <row r="125" spans="2:12" ht="15">
      <c r="B125" s="1551"/>
      <c r="C125" s="1555"/>
      <c r="D125" s="1552"/>
      <c r="E125" s="1831" t="s">
        <v>5676</v>
      </c>
      <c r="F125" s="1831"/>
      <c r="G125" s="1772"/>
      <c r="H125" s="1853"/>
      <c r="I125" s="1833">
        <f>I124+I124/F124</f>
        <v>14252840.268009732</v>
      </c>
    </row>
    <row r="126" spans="2:12" ht="15">
      <c r="B126" s="1551"/>
      <c r="C126" s="1555"/>
      <c r="D126" s="1552"/>
      <c r="E126" s="1834" t="s">
        <v>5677</v>
      </c>
      <c r="F126" s="1858">
        <f>$K$5</f>
        <v>5.7750000000000003E-2</v>
      </c>
      <c r="G126" s="1772"/>
      <c r="H126" s="1853"/>
      <c r="I126" s="1835">
        <f>I125*F126</f>
        <v>823101.52547756198</v>
      </c>
    </row>
    <row r="127" spans="2:12" ht="15">
      <c r="B127" s="1551"/>
      <c r="C127" s="1555"/>
      <c r="D127" s="1552"/>
      <c r="E127" s="1834" t="s">
        <v>5678</v>
      </c>
      <c r="F127" s="1856">
        <f>$L$5</f>
        <v>0.06</v>
      </c>
      <c r="G127" s="1772"/>
      <c r="H127" s="1853"/>
      <c r="I127" s="1835">
        <f>SUM(I125:I126)*F127</f>
        <v>904556.50760923757</v>
      </c>
    </row>
    <row r="128" spans="2:12" ht="15">
      <c r="B128" s="1551"/>
      <c r="C128" s="1555"/>
      <c r="D128" s="1552"/>
      <c r="E128" s="1831" t="s">
        <v>5679</v>
      </c>
      <c r="F128" s="1831"/>
      <c r="G128" s="1772"/>
      <c r="H128" s="1853"/>
      <c r="I128" s="1833">
        <f>SUM(I125:I127)</f>
        <v>15980498.301096531</v>
      </c>
    </row>
    <row r="129" spans="1:12" ht="15">
      <c r="B129" s="1551"/>
      <c r="C129" s="1555"/>
      <c r="D129" s="1552"/>
      <c r="E129" s="1834" t="s">
        <v>5680</v>
      </c>
      <c r="F129" s="1856">
        <f>$M$5</f>
        <v>0.1</v>
      </c>
      <c r="G129" s="1772"/>
      <c r="H129" s="1853"/>
      <c r="I129" s="1835">
        <f>I128*F129</f>
        <v>1598049.8301096531</v>
      </c>
    </row>
    <row r="130" spans="1:12" ht="15">
      <c r="B130" s="1551"/>
      <c r="C130" s="1555"/>
      <c r="D130" s="1552"/>
      <c r="E130" s="1831" t="s">
        <v>5681</v>
      </c>
      <c r="F130" s="1831"/>
      <c r="G130" s="1772"/>
      <c r="H130" s="1853"/>
      <c r="I130" s="1833">
        <f>SUM(I128:I129)</f>
        <v>17578548.131206185</v>
      </c>
    </row>
    <row r="131" spans="1:12" ht="12.75">
      <c r="B131" s="1551"/>
      <c r="C131" s="1555"/>
      <c r="D131" s="1552"/>
      <c r="E131" s="1558" t="s">
        <v>5682</v>
      </c>
      <c r="F131" s="1595">
        <f>$N$5</f>
        <v>0.01</v>
      </c>
      <c r="G131" s="1553"/>
      <c r="H131" s="1594"/>
      <c r="I131" s="1559">
        <f>I130*F131</f>
        <v>175785.48131206186</v>
      </c>
    </row>
    <row r="132" spans="1:12" ht="15">
      <c r="B132" s="1596"/>
      <c r="C132" s="1597"/>
      <c r="D132" s="1597"/>
      <c r="E132" s="1859" t="s">
        <v>5683</v>
      </c>
      <c r="F132" s="1859"/>
      <c r="G132" s="1860"/>
      <c r="H132" s="1861"/>
      <c r="I132" s="1862">
        <f>ROUND(I130+I131,-2)</f>
        <v>17754300</v>
      </c>
    </row>
    <row r="133" spans="1:12" ht="15">
      <c r="A133" s="657">
        <v>1</v>
      </c>
      <c r="B133" s="1549">
        <f>IF(A133&lt;&gt;0,COUNTA(A$7:$A133),"")</f>
        <v>8</v>
      </c>
      <c r="C133" s="1555">
        <f>'8.Dgia'!C1176</f>
        <v>1776</v>
      </c>
      <c r="D133" s="1696" t="str">
        <f>'8.Dgia'!D1176</f>
        <v>AG.13221</v>
      </c>
      <c r="E133" s="1848" t="str">
        <f>'8.Dgia'!E1176</f>
        <v>Cốt thép D&lt;=10 đúc sẵn</v>
      </c>
      <c r="F133" s="1849" t="str">
        <f>'8.Dgia'!G1176</f>
        <v>tấn/ton</v>
      </c>
      <c r="G133" s="1850">
        <f>'8.Dgia'!H1176</f>
        <v>0</v>
      </c>
      <c r="H133" s="1851"/>
      <c r="I133" s="1852"/>
      <c r="J133" s="842">
        <f>+I134</f>
        <v>17227261.537800003</v>
      </c>
      <c r="K133" s="842">
        <f>+I137</f>
        <v>3680262.0000000005</v>
      </c>
      <c r="L133" s="842">
        <f>+I138</f>
        <v>32116.740000000005</v>
      </c>
    </row>
    <row r="134" spans="1:12" ht="15">
      <c r="B134" s="1551" t="str">
        <f>'8.Dgia'!B1177</f>
        <v/>
      </c>
      <c r="C134" s="1555">
        <f>'8.Dgia'!C1177</f>
        <v>0</v>
      </c>
      <c r="D134" s="1552">
        <f>'8.Dgia'!D1177</f>
        <v>0</v>
      </c>
      <c r="E134" s="2018" t="str">
        <f>'8.Dgia'!E1177</f>
        <v xml:space="preserve">  A - Vật liệu</v>
      </c>
      <c r="F134" s="1771">
        <f>'8.Dgia'!G1177</f>
        <v>0</v>
      </c>
      <c r="G134" s="1772">
        <f>'8.Dgia'!H1177</f>
        <v>0</v>
      </c>
      <c r="H134" s="1853"/>
      <c r="I134" s="1854">
        <f>SUM(I135:I136)</f>
        <v>17227261.537800003</v>
      </c>
    </row>
    <row r="135" spans="1:12" ht="15">
      <c r="B135" s="1551" t="str">
        <f>'8.Dgia'!B1178</f>
        <v/>
      </c>
      <c r="C135" s="1555">
        <f>'8.Dgia'!C1178</f>
        <v>0</v>
      </c>
      <c r="D135" s="1552">
        <f>'8.Dgia'!D1178</f>
        <v>0</v>
      </c>
      <c r="E135" s="1775" t="str">
        <f>'8.Dgia'!E1178</f>
        <v>Thép tròn D&lt;=10</v>
      </c>
      <c r="F135" s="1771" t="str">
        <f>'8.Dgia'!G1178</f>
        <v>kg</v>
      </c>
      <c r="G135" s="1772">
        <f>'8.Dgia'!H1178</f>
        <v>1005</v>
      </c>
      <c r="H135" s="1853">
        <f>GVL!$I$179</f>
        <v>16754.075560000001</v>
      </c>
      <c r="I135" s="1824">
        <f>H135*G135</f>
        <v>16837845.937800001</v>
      </c>
    </row>
    <row r="136" spans="1:12" ht="15">
      <c r="B136" s="1551" t="str">
        <f>'8.Dgia'!B1179</f>
        <v/>
      </c>
      <c r="C136" s="1555">
        <f>'8.Dgia'!C1179</f>
        <v>0</v>
      </c>
      <c r="D136" s="1552">
        <f>'8.Dgia'!D1179</f>
        <v>0</v>
      </c>
      <c r="E136" s="1775" t="str">
        <f>'8.Dgia'!E1179</f>
        <v>Dây thép buộc</v>
      </c>
      <c r="F136" s="1771" t="str">
        <f>'8.Dgia'!G1179</f>
        <v>kg</v>
      </c>
      <c r="G136" s="1772">
        <f>'8.Dgia'!H1179</f>
        <v>21.42</v>
      </c>
      <c r="H136" s="1853">
        <f>GVL!$I$89</f>
        <v>18180</v>
      </c>
      <c r="I136" s="1824">
        <f>H136*G136</f>
        <v>389415.60000000003</v>
      </c>
    </row>
    <row r="137" spans="1:12" ht="15">
      <c r="B137" s="1551" t="str">
        <f>'8.Dgia'!B1180</f>
        <v/>
      </c>
      <c r="C137" s="1555">
        <f>'8.Dgia'!C1180</f>
        <v>0</v>
      </c>
      <c r="D137" s="1552">
        <f>'8.Dgia'!D1180</f>
        <v>0</v>
      </c>
      <c r="E137" s="1775" t="str">
        <f>'8.Dgia'!E1180</f>
        <v xml:space="preserve">  B - Nhân công 3.5/7</v>
      </c>
      <c r="F137" s="1771" t="s">
        <v>552</v>
      </c>
      <c r="G137" s="1772">
        <f>'8.Dgia'!H1180</f>
        <v>17.100000000000001</v>
      </c>
      <c r="H137" s="1853">
        <f>'16.NC'!$G$16</f>
        <v>215220</v>
      </c>
      <c r="I137" s="1854">
        <f>H137*G137</f>
        <v>3680262.0000000005</v>
      </c>
    </row>
    <row r="138" spans="1:12" ht="15">
      <c r="B138" s="1551" t="str">
        <f>'8.Dgia'!B1181</f>
        <v/>
      </c>
      <c r="C138" s="1555">
        <f>'8.Dgia'!C1181</f>
        <v>0</v>
      </c>
      <c r="D138" s="1552">
        <f>'8.Dgia'!D1181</f>
        <v>0</v>
      </c>
      <c r="E138" s="1775" t="str">
        <f>'8.Dgia'!E1181</f>
        <v xml:space="preserve">  C - Máy thi công</v>
      </c>
      <c r="F138" s="1771">
        <f>'8.Dgia'!G1181</f>
        <v>0</v>
      </c>
      <c r="G138" s="1772">
        <f>'8.Dgia'!H1181</f>
        <v>0</v>
      </c>
      <c r="H138" s="1853"/>
      <c r="I138" s="1854">
        <f>+I139</f>
        <v>32116.740000000005</v>
      </c>
    </row>
    <row r="139" spans="1:12" ht="15">
      <c r="B139" s="1551" t="str">
        <f>'8.Dgia'!B1182</f>
        <v/>
      </c>
      <c r="C139" s="1555">
        <f>'8.Dgia'!C1182</f>
        <v>0</v>
      </c>
      <c r="D139" s="1552">
        <f>'8.Dgia'!D1182</f>
        <v>0</v>
      </c>
      <c r="E139" s="1775" t="str">
        <f>'8.Dgia'!E1182</f>
        <v>Máy cắt uốn</v>
      </c>
      <c r="F139" s="1771" t="s">
        <v>5493</v>
      </c>
      <c r="G139" s="1772">
        <f>'8.Dgia'!H1182</f>
        <v>0.4</v>
      </c>
      <c r="H139" s="1853">
        <f>'9.may'!$P$557</f>
        <v>80291.850000000006</v>
      </c>
      <c r="I139" s="1824">
        <f>H139*G139</f>
        <v>32116.740000000005</v>
      </c>
    </row>
    <row r="140" spans="1:12" ht="15">
      <c r="B140" s="2020"/>
      <c r="C140" s="1555"/>
      <c r="D140" s="1552"/>
      <c r="E140" s="1828" t="s">
        <v>5675</v>
      </c>
      <c r="F140" s="1856">
        <f>$J$5</f>
        <v>0.02</v>
      </c>
      <c r="G140" s="1772"/>
      <c r="H140" s="1853"/>
      <c r="I140" s="1863">
        <f>( I134+I137+I138 )*F140</f>
        <v>418792.80555600004</v>
      </c>
    </row>
    <row r="141" spans="1:12" ht="15">
      <c r="B141" s="1551"/>
      <c r="C141" s="1555"/>
      <c r="D141" s="1552"/>
      <c r="E141" s="1831" t="s">
        <v>5676</v>
      </c>
      <c r="F141" s="1831"/>
      <c r="G141" s="1772"/>
      <c r="H141" s="1853"/>
      <c r="I141" s="1833">
        <f>I140+I140/F140</f>
        <v>21358433.083356</v>
      </c>
    </row>
    <row r="142" spans="1:12" ht="15">
      <c r="B142" s="1551"/>
      <c r="C142" s="1555"/>
      <c r="D142" s="1552"/>
      <c r="E142" s="1834" t="s">
        <v>5677</v>
      </c>
      <c r="F142" s="1858">
        <f>$K$5</f>
        <v>5.7750000000000003E-2</v>
      </c>
      <c r="G142" s="1772"/>
      <c r="H142" s="1853"/>
      <c r="I142" s="1835">
        <f>I141*F142</f>
        <v>1233449.5105638092</v>
      </c>
    </row>
    <row r="143" spans="1:12" ht="15">
      <c r="B143" s="1551"/>
      <c r="C143" s="1555"/>
      <c r="D143" s="1552"/>
      <c r="E143" s="1834" t="s">
        <v>5678</v>
      </c>
      <c r="F143" s="1856">
        <f>$L$5</f>
        <v>0.06</v>
      </c>
      <c r="G143" s="1772"/>
      <c r="H143" s="1853"/>
      <c r="I143" s="1835">
        <f>SUM(I141:I142)*F143</f>
        <v>1355512.9556351886</v>
      </c>
    </row>
    <row r="144" spans="1:12" ht="15">
      <c r="B144" s="1551"/>
      <c r="C144" s="1555"/>
      <c r="D144" s="1552"/>
      <c r="E144" s="1831" t="s">
        <v>5679</v>
      </c>
      <c r="F144" s="1831"/>
      <c r="G144" s="1772"/>
      <c r="H144" s="1853"/>
      <c r="I144" s="1833">
        <f>SUM(I141:I143)</f>
        <v>23947395.549555</v>
      </c>
    </row>
    <row r="145" spans="1:12" ht="15">
      <c r="B145" s="1551"/>
      <c r="C145" s="1555"/>
      <c r="D145" s="1552"/>
      <c r="E145" s="1834" t="s">
        <v>5680</v>
      </c>
      <c r="F145" s="1856">
        <f>$M$5</f>
        <v>0.1</v>
      </c>
      <c r="G145" s="1772"/>
      <c r="H145" s="1853"/>
      <c r="I145" s="1835">
        <f>I144*F145</f>
        <v>2394739.5549555002</v>
      </c>
    </row>
    <row r="146" spans="1:12" ht="15">
      <c r="B146" s="1551"/>
      <c r="C146" s="1555"/>
      <c r="D146" s="1552"/>
      <c r="E146" s="1831" t="s">
        <v>5681</v>
      </c>
      <c r="F146" s="1831"/>
      <c r="G146" s="1772"/>
      <c r="H146" s="1853"/>
      <c r="I146" s="1833">
        <f>SUM(I144:I145)</f>
        <v>26342135.104510501</v>
      </c>
    </row>
    <row r="147" spans="1:12" ht="12.75">
      <c r="B147" s="1551"/>
      <c r="C147" s="1555"/>
      <c r="D147" s="1552"/>
      <c r="E147" s="1558" t="s">
        <v>5682</v>
      </c>
      <c r="F147" s="1595">
        <f>$N$5</f>
        <v>0.01</v>
      </c>
      <c r="G147" s="1553"/>
      <c r="H147" s="1594"/>
      <c r="I147" s="1559">
        <f>I146*F147</f>
        <v>263421.35104510502</v>
      </c>
    </row>
    <row r="148" spans="1:12" ht="15">
      <c r="B148" s="1596"/>
      <c r="C148" s="1597"/>
      <c r="D148" s="1597"/>
      <c r="E148" s="1859" t="s">
        <v>5683</v>
      </c>
      <c r="F148" s="1859"/>
      <c r="G148" s="1860"/>
      <c r="H148" s="1861"/>
      <c r="I148" s="1862">
        <f>ROUND(I146+I147,-2)</f>
        <v>26605600</v>
      </c>
    </row>
    <row r="149" spans="1:12" ht="15">
      <c r="A149" s="657">
        <v>1</v>
      </c>
      <c r="B149" s="1549">
        <f>IF(A149&lt;&gt;0,COUNTA(A$7:$A149),"")</f>
        <v>9</v>
      </c>
      <c r="C149" s="1555">
        <f>'8.Dgia'!C1183</f>
        <v>1776</v>
      </c>
      <c r="D149" s="1696" t="str">
        <f>'8.Dgia'!D1183</f>
        <v>AG.32211</v>
      </c>
      <c r="E149" s="1848" t="str">
        <f>'8.Dgia'!E1183</f>
        <v>Ván khuôn kết cấu đúc sẵn</v>
      </c>
      <c r="F149" s="1849" t="str">
        <f>'8.Dgia'!G1183</f>
        <v>100m2</v>
      </c>
      <c r="G149" s="1850">
        <f>'8.Dgia'!H1183</f>
        <v>0</v>
      </c>
      <c r="H149" s="1851"/>
      <c r="I149" s="1852"/>
      <c r="J149" s="842">
        <f>+I150</f>
        <v>557014.28542626358</v>
      </c>
      <c r="K149" s="842">
        <f>+I155</f>
        <v>7371750.0800000001</v>
      </c>
      <c r="L149" s="842">
        <f>+I156</f>
        <v>136203.60449249999</v>
      </c>
    </row>
    <row r="150" spans="1:12" ht="15">
      <c r="B150" s="1551" t="str">
        <f>'8.Dgia'!B1184</f>
        <v/>
      </c>
      <c r="C150" s="1555">
        <f>'8.Dgia'!C1184</f>
        <v>0</v>
      </c>
      <c r="D150" s="1552">
        <f>'8.Dgia'!D1184</f>
        <v>0</v>
      </c>
      <c r="E150" s="2018" t="str">
        <f>'8.Dgia'!E1184</f>
        <v xml:space="preserve">  A - Vật liệu</v>
      </c>
      <c r="F150" s="1771">
        <f>'8.Dgia'!G1184</f>
        <v>0</v>
      </c>
      <c r="G150" s="1772">
        <f>'8.Dgia'!H1184</f>
        <v>0</v>
      </c>
      <c r="H150" s="1853"/>
      <c r="I150" s="1854">
        <f>SUM(I151:I154)</f>
        <v>557014.28542626358</v>
      </c>
    </row>
    <row r="151" spans="1:12" ht="15">
      <c r="B151" s="1551" t="str">
        <f>'8.Dgia'!B1185</f>
        <v/>
      </c>
      <c r="C151" s="1555">
        <f>'8.Dgia'!C1185</f>
        <v>0</v>
      </c>
      <c r="D151" s="1552">
        <f>'8.Dgia'!D1185</f>
        <v>0</v>
      </c>
      <c r="E151" s="1775" t="str">
        <f>'8.Dgia'!E1185</f>
        <v>Thép tấm</v>
      </c>
      <c r="F151" s="1771" t="str">
        <f>'8.Dgia'!G1185</f>
        <v>kg</v>
      </c>
      <c r="G151" s="1772">
        <f>'8.Dgia'!H1185</f>
        <v>17.27</v>
      </c>
      <c r="H151" s="1853">
        <f>GVL!$I$175</f>
        <v>12871.348287272725</v>
      </c>
      <c r="I151" s="1824">
        <f>H151*G151</f>
        <v>222288.18492119995</v>
      </c>
    </row>
    <row r="152" spans="1:12" ht="15">
      <c r="B152" s="1551" t="str">
        <f>'8.Dgia'!B1186</f>
        <v/>
      </c>
      <c r="C152" s="1555">
        <f>'8.Dgia'!C1186</f>
        <v>0</v>
      </c>
      <c r="D152" s="1552">
        <f>'8.Dgia'!D1186</f>
        <v>0</v>
      </c>
      <c r="E152" s="1775" t="str">
        <f>'8.Dgia'!E1186</f>
        <v>Thép hình</v>
      </c>
      <c r="F152" s="1771" t="str">
        <f>'8.Dgia'!G1186</f>
        <v>kg</v>
      </c>
      <c r="G152" s="1772">
        <f>'8.Dgia'!H1186</f>
        <v>16.28</v>
      </c>
      <c r="H152" s="1853">
        <f>GVL!$I$170</f>
        <v>16703.248369172808</v>
      </c>
      <c r="I152" s="1824">
        <f>H152*G152</f>
        <v>271928.88345013332</v>
      </c>
    </row>
    <row r="153" spans="1:12" ht="15">
      <c r="B153" s="2020"/>
      <c r="C153" s="1555">
        <f>'8.Dgia'!C1187</f>
        <v>0</v>
      </c>
      <c r="D153" s="1552">
        <f>'8.Dgia'!D1187</f>
        <v>0</v>
      </c>
      <c r="E153" s="1775" t="str">
        <f>'8.Dgia'!E1187</f>
        <v>Que hàn</v>
      </c>
      <c r="F153" s="1771" t="str">
        <f>'8.Dgia'!G1187</f>
        <v>kg</v>
      </c>
      <c r="G153" s="1772">
        <f>'8.Dgia'!H1187</f>
        <v>1.9</v>
      </c>
      <c r="H153" s="1853">
        <f>GVL!$I$153</f>
        <v>19090.909090909088</v>
      </c>
      <c r="I153" s="1824">
        <f>H153*G153</f>
        <v>36272.727272727265</v>
      </c>
    </row>
    <row r="154" spans="1:12" ht="15">
      <c r="B154" s="1551" t="str">
        <f>'8.Dgia'!B1188</f>
        <v/>
      </c>
      <c r="C154" s="1555">
        <f>'8.Dgia'!C1188</f>
        <v>0</v>
      </c>
      <c r="D154" s="1552">
        <f>'8.Dgia'!D1188</f>
        <v>0</v>
      </c>
      <c r="E154" s="1775" t="str">
        <f>'8.Dgia'!E1188</f>
        <v>Vật liệu khác</v>
      </c>
      <c r="F154" s="1771" t="str">
        <f>'8.Dgia'!G1188</f>
        <v>%</v>
      </c>
      <c r="G154" s="1772">
        <f>'8.Dgia'!H1188</f>
        <v>5</v>
      </c>
      <c r="H154" s="1853">
        <f>SUM(I151:I153)</f>
        <v>530489.79564406059</v>
      </c>
      <c r="I154" s="1824">
        <f>H154*G154%</f>
        <v>26524.489782203033</v>
      </c>
    </row>
    <row r="155" spans="1:12" ht="15">
      <c r="B155" s="1551" t="str">
        <f>'8.Dgia'!B1189</f>
        <v/>
      </c>
      <c r="C155" s="1555">
        <f>'8.Dgia'!C1189</f>
        <v>0</v>
      </c>
      <c r="D155" s="1552">
        <f>'8.Dgia'!D1189</f>
        <v>0</v>
      </c>
      <c r="E155" s="1775" t="str">
        <f>'8.Dgia'!E1189</f>
        <v xml:space="preserve">  B - Nhân công 4.0/7</v>
      </c>
      <c r="F155" s="1771" t="s">
        <v>552</v>
      </c>
      <c r="G155" s="1772">
        <f>'8.Dgia'!H1189</f>
        <v>31.76</v>
      </c>
      <c r="H155" s="1853">
        <f>'16.NC'!$G$18</f>
        <v>232108</v>
      </c>
      <c r="I155" s="1854">
        <f>H155*G155</f>
        <v>7371750.0800000001</v>
      </c>
    </row>
    <row r="156" spans="1:12" ht="15">
      <c r="B156" s="1551" t="str">
        <f>'8.Dgia'!B1190</f>
        <v/>
      </c>
      <c r="C156" s="1555">
        <f>'8.Dgia'!C1190</f>
        <v>0</v>
      </c>
      <c r="D156" s="1552">
        <f>'8.Dgia'!D1190</f>
        <v>0</v>
      </c>
      <c r="E156" s="1775" t="str">
        <f>'8.Dgia'!E1190</f>
        <v xml:space="preserve">  C - Máy thi công</v>
      </c>
      <c r="F156" s="1771">
        <f>'8.Dgia'!G1190</f>
        <v>0</v>
      </c>
      <c r="G156" s="1772">
        <f>'8.Dgia'!H1190</f>
        <v>0</v>
      </c>
      <c r="H156" s="1853"/>
      <c r="I156" s="1854">
        <f>SUM(I157:I158)</f>
        <v>136203.60449249999</v>
      </c>
    </row>
    <row r="157" spans="1:12" ht="15">
      <c r="B157" s="1551" t="str">
        <f>'8.Dgia'!B1191</f>
        <v/>
      </c>
      <c r="C157" s="1555">
        <f>'8.Dgia'!C1191</f>
        <v>0</v>
      </c>
      <c r="D157" s="1552">
        <f>'8.Dgia'!D1191</f>
        <v>0</v>
      </c>
      <c r="E157" s="1775" t="str">
        <f>'8.Dgia'!E1191</f>
        <v>Máy hàn 23kw</v>
      </c>
      <c r="F157" s="1771" t="s">
        <v>5493</v>
      </c>
      <c r="G157" s="1772">
        <f>'8.Dgia'!H1191</f>
        <v>0.69</v>
      </c>
      <c r="H157" s="1853">
        <f>'9.may'!$P$510</f>
        <v>171649.155</v>
      </c>
      <c r="I157" s="1824">
        <f>H157*G157</f>
        <v>118437.91694999998</v>
      </c>
    </row>
    <row r="158" spans="1:12" ht="15">
      <c r="B158" s="1551" t="str">
        <f>'8.Dgia'!B1192</f>
        <v/>
      </c>
      <c r="C158" s="1555">
        <f>'8.Dgia'!C1192</f>
        <v>0</v>
      </c>
      <c r="D158" s="1552">
        <f>'8.Dgia'!D1192</f>
        <v>0</v>
      </c>
      <c r="E158" s="1775" t="str">
        <f>'8.Dgia'!E1192</f>
        <v>Máy khác</v>
      </c>
      <c r="F158" s="1771" t="str">
        <f>'8.Dgia'!G1192</f>
        <v>%</v>
      </c>
      <c r="G158" s="1772">
        <f>'8.Dgia'!H1192</f>
        <v>15</v>
      </c>
      <c r="H158" s="1853">
        <f>I157</f>
        <v>118437.91694999998</v>
      </c>
      <c r="I158" s="1824">
        <f>H158*G158%</f>
        <v>17765.687542499996</v>
      </c>
    </row>
    <row r="159" spans="1:12" ht="15">
      <c r="B159" s="1551"/>
      <c r="C159" s="1555"/>
      <c r="D159" s="1552"/>
      <c r="E159" s="1828" t="s">
        <v>5675</v>
      </c>
      <c r="F159" s="1856">
        <f>$J$5</f>
        <v>0.02</v>
      </c>
      <c r="G159" s="1772"/>
      <c r="H159" s="1853"/>
      <c r="I159" s="1863">
        <f>( I150+I155+I156 )*F159</f>
        <v>161299.35939837529</v>
      </c>
    </row>
    <row r="160" spans="1:12" ht="15">
      <c r="B160" s="1551"/>
      <c r="C160" s="1555"/>
      <c r="D160" s="1552"/>
      <c r="E160" s="1831" t="s">
        <v>5676</v>
      </c>
      <c r="F160" s="1831"/>
      <c r="G160" s="1772"/>
      <c r="H160" s="1853"/>
      <c r="I160" s="1833">
        <f>I159+I159/F159</f>
        <v>8226267.3293171395</v>
      </c>
    </row>
    <row r="161" spans="1:12" ht="15">
      <c r="B161" s="1551"/>
      <c r="C161" s="1555"/>
      <c r="D161" s="1552"/>
      <c r="E161" s="1834" t="s">
        <v>5677</v>
      </c>
      <c r="F161" s="1858">
        <f>$K$5</f>
        <v>5.7750000000000003E-2</v>
      </c>
      <c r="G161" s="1772"/>
      <c r="H161" s="1853"/>
      <c r="I161" s="1835">
        <f>I160*F161</f>
        <v>475066.93826806481</v>
      </c>
    </row>
    <row r="162" spans="1:12" ht="15">
      <c r="B162" s="1551"/>
      <c r="C162" s="1555"/>
      <c r="D162" s="1552"/>
      <c r="E162" s="1834" t="s">
        <v>5678</v>
      </c>
      <c r="F162" s="1856">
        <f>$L$5</f>
        <v>0.06</v>
      </c>
      <c r="G162" s="1772"/>
      <c r="H162" s="1853"/>
      <c r="I162" s="1835">
        <f>SUM(I160:I161)*F162</f>
        <v>522080.05605511228</v>
      </c>
    </row>
    <row r="163" spans="1:12" ht="15">
      <c r="B163" s="1551"/>
      <c r="C163" s="1555"/>
      <c r="D163" s="1552"/>
      <c r="E163" s="1831" t="s">
        <v>5679</v>
      </c>
      <c r="F163" s="1831"/>
      <c r="G163" s="1772"/>
      <c r="H163" s="1853"/>
      <c r="I163" s="1833">
        <f>SUM(I160:I162)</f>
        <v>9223414.3236403167</v>
      </c>
    </row>
    <row r="164" spans="1:12" ht="15">
      <c r="B164" s="1551"/>
      <c r="C164" s="1555"/>
      <c r="D164" s="1552"/>
      <c r="E164" s="1834" t="s">
        <v>5680</v>
      </c>
      <c r="F164" s="1856">
        <f>$M$5</f>
        <v>0.1</v>
      </c>
      <c r="G164" s="1772"/>
      <c r="H164" s="1853"/>
      <c r="I164" s="1835">
        <f>I163*F164</f>
        <v>922341.43236403167</v>
      </c>
    </row>
    <row r="165" spans="1:12" ht="15">
      <c r="B165" s="1551"/>
      <c r="C165" s="1555"/>
      <c r="D165" s="1552"/>
      <c r="E165" s="1831" t="s">
        <v>5681</v>
      </c>
      <c r="F165" s="1831"/>
      <c r="G165" s="1772"/>
      <c r="H165" s="1853"/>
      <c r="I165" s="1833">
        <f>SUM(I163:I164)</f>
        <v>10145755.756004348</v>
      </c>
    </row>
    <row r="166" spans="1:12" ht="12.75">
      <c r="B166" s="1551"/>
      <c r="C166" s="1555"/>
      <c r="D166" s="1552"/>
      <c r="E166" s="1558" t="s">
        <v>5682</v>
      </c>
      <c r="F166" s="1595">
        <f>$N$5</f>
        <v>0.01</v>
      </c>
      <c r="G166" s="1553"/>
      <c r="H166" s="1594"/>
      <c r="I166" s="1559">
        <f>I165*F166</f>
        <v>101457.55756004348</v>
      </c>
    </row>
    <row r="167" spans="1:12" ht="15">
      <c r="B167" s="1596"/>
      <c r="C167" s="1597"/>
      <c r="D167" s="1597"/>
      <c r="E167" s="1859" t="s">
        <v>5683</v>
      </c>
      <c r="F167" s="1859"/>
      <c r="G167" s="1860"/>
      <c r="H167" s="1861"/>
      <c r="I167" s="1862">
        <f>ROUND(I165+I166,-2)</f>
        <v>10247200</v>
      </c>
    </row>
    <row r="168" spans="1:12" ht="15" customHeight="1">
      <c r="A168" s="657">
        <v>1</v>
      </c>
      <c r="B168" s="1549">
        <f>IF(A168&lt;&gt;0,COUNTA(A$7:$A168),"")</f>
        <v>10</v>
      </c>
      <c r="C168" s="1555">
        <f>'8.Dgia'!C1195</f>
        <v>1776</v>
      </c>
      <c r="D168" s="1696" t="str">
        <f>'8.Dgia'!D1195</f>
        <v>AG.42121vd</v>
      </c>
      <c r="E168" s="1848" t="str">
        <f>'8.Dgia'!E1195</f>
        <v>Đắp đê bao bằng bao tải đất</v>
      </c>
      <c r="F168" s="1849" t="s">
        <v>5793</v>
      </c>
      <c r="G168" s="1850">
        <f>'8.Dgia'!H1195</f>
        <v>0</v>
      </c>
      <c r="H168" s="1851"/>
      <c r="I168" s="1852"/>
      <c r="K168" s="842">
        <f>+I169</f>
        <v>58027</v>
      </c>
    </row>
    <row r="169" spans="1:12" s="658" customFormat="1" ht="15">
      <c r="B169" s="1551" t="str">
        <f>'8.Dgia'!B1196</f>
        <v/>
      </c>
      <c r="C169" s="1555">
        <f>'8.Dgia'!C1196</f>
        <v>0</v>
      </c>
      <c r="D169" s="1552">
        <f>'8.Dgia'!D1196</f>
        <v>0</v>
      </c>
      <c r="E169" s="1775" t="str">
        <f>'8.Dgia'!E1196</f>
        <v xml:space="preserve">  B - Nhân công 4.0/7</v>
      </c>
      <c r="F169" s="1771" t="s">
        <v>552</v>
      </c>
      <c r="G169" s="1772">
        <f>'8.Dgia'!H1196</f>
        <v>0.25</v>
      </c>
      <c r="H169" s="1853">
        <f>'16.NC'!$G$18</f>
        <v>232108</v>
      </c>
      <c r="I169" s="1854">
        <f>H169*G169</f>
        <v>58027</v>
      </c>
      <c r="J169" s="850"/>
      <c r="K169" s="850"/>
      <c r="L169" s="850"/>
    </row>
    <row r="170" spans="1:12" ht="15">
      <c r="B170" s="1551"/>
      <c r="C170" s="1555"/>
      <c r="D170" s="1552"/>
      <c r="E170" s="1828" t="s">
        <v>5675</v>
      </c>
      <c r="F170" s="1856">
        <f>$J$5</f>
        <v>0.02</v>
      </c>
      <c r="G170" s="1772"/>
      <c r="H170" s="1853"/>
      <c r="I170" s="1863">
        <f>( I169 )*F170</f>
        <v>1160.54</v>
      </c>
    </row>
    <row r="171" spans="1:12" ht="15">
      <c r="B171" s="1551"/>
      <c r="C171" s="1555"/>
      <c r="D171" s="1552"/>
      <c r="E171" s="1831" t="s">
        <v>5676</v>
      </c>
      <c r="F171" s="1831"/>
      <c r="G171" s="1772"/>
      <c r="H171" s="1853"/>
      <c r="I171" s="1833">
        <f>I170+I170/F170</f>
        <v>59187.54</v>
      </c>
    </row>
    <row r="172" spans="1:12" ht="15">
      <c r="B172" s="1551"/>
      <c r="C172" s="1555"/>
      <c r="D172" s="1552"/>
      <c r="E172" s="1834" t="s">
        <v>5677</v>
      </c>
      <c r="F172" s="1858">
        <f>$K$5</f>
        <v>5.7750000000000003E-2</v>
      </c>
      <c r="G172" s="1772"/>
      <c r="H172" s="1853"/>
      <c r="I172" s="1835">
        <f>I171*F172</f>
        <v>3418.0804350000003</v>
      </c>
    </row>
    <row r="173" spans="1:12" ht="15">
      <c r="B173" s="1551"/>
      <c r="C173" s="1555"/>
      <c r="D173" s="1552"/>
      <c r="E173" s="1834" t="s">
        <v>5678</v>
      </c>
      <c r="F173" s="1856">
        <f>$L$5</f>
        <v>0.06</v>
      </c>
      <c r="G173" s="1772"/>
      <c r="H173" s="1853"/>
      <c r="I173" s="1835">
        <f>SUM(I171:I172)*F173</f>
        <v>3756.3372261</v>
      </c>
    </row>
    <row r="174" spans="1:12" ht="15">
      <c r="B174" s="1551"/>
      <c r="C174" s="1555"/>
      <c r="D174" s="1552"/>
      <c r="E174" s="1831" t="s">
        <v>5679</v>
      </c>
      <c r="F174" s="1831"/>
      <c r="G174" s="1772"/>
      <c r="H174" s="1853"/>
      <c r="I174" s="1833">
        <f>SUM(I171:I173)</f>
        <v>66361.957661100008</v>
      </c>
    </row>
    <row r="175" spans="1:12" ht="15">
      <c r="B175" s="1551"/>
      <c r="C175" s="1555"/>
      <c r="D175" s="1552"/>
      <c r="E175" s="1834" t="s">
        <v>5680</v>
      </c>
      <c r="F175" s="1856">
        <f>$M$5</f>
        <v>0.1</v>
      </c>
      <c r="G175" s="1772"/>
      <c r="H175" s="1853"/>
      <c r="I175" s="1835">
        <f>I174*F175</f>
        <v>6636.1957661100014</v>
      </c>
    </row>
    <row r="176" spans="1:12" ht="15">
      <c r="B176" s="1551"/>
      <c r="C176" s="1555"/>
      <c r="D176" s="1552"/>
      <c r="E176" s="1831" t="s">
        <v>5681</v>
      </c>
      <c r="F176" s="1831"/>
      <c r="G176" s="1772"/>
      <c r="H176" s="1853"/>
      <c r="I176" s="1833">
        <f>SUM(I174:I175)</f>
        <v>72998.153427210011</v>
      </c>
    </row>
    <row r="177" spans="1:12" ht="12.75">
      <c r="B177" s="1551"/>
      <c r="C177" s="1555"/>
      <c r="D177" s="1552"/>
      <c r="E177" s="1558" t="s">
        <v>5682</v>
      </c>
      <c r="F177" s="1595">
        <f>$N$5</f>
        <v>0.01</v>
      </c>
      <c r="G177" s="1553"/>
      <c r="H177" s="1594"/>
      <c r="I177" s="1559">
        <f>I176*F177</f>
        <v>729.98153427210013</v>
      </c>
    </row>
    <row r="178" spans="1:12" ht="15">
      <c r="B178" s="1596"/>
      <c r="C178" s="1597"/>
      <c r="D178" s="1597"/>
      <c r="E178" s="1859" t="s">
        <v>5683</v>
      </c>
      <c r="F178" s="1859"/>
      <c r="G178" s="1860"/>
      <c r="H178" s="1861"/>
      <c r="I178" s="1862">
        <f>ROUND(I176+I177,-2)</f>
        <v>73700</v>
      </c>
    </row>
    <row r="179" spans="1:12" ht="30">
      <c r="A179" s="657">
        <v>1</v>
      </c>
      <c r="B179" s="1549">
        <f>IF(A179&lt;&gt;0,COUNTA(A$7:$A179),"")</f>
        <v>11</v>
      </c>
      <c r="C179" s="1555">
        <f>'8.Dgia'!C1197</f>
        <v>1776</v>
      </c>
      <c r="D179" s="1696" t="str">
        <f>'8.Dgia'!D1197</f>
        <v>AG.41511</v>
      </c>
      <c r="E179" s="1848" t="str">
        <f>'8.Dgia'!E1197</f>
        <v>Lắp đặt kết cấu đúc sẵn, trọng lượng &lt;=3tấn (không tính vật liệu)</v>
      </c>
      <c r="F179" s="1849" t="str">
        <f>'8.Dgia'!G1197</f>
        <v>cấu kiện</v>
      </c>
      <c r="G179" s="1850">
        <f>'8.Dgia'!H1197</f>
        <v>0</v>
      </c>
      <c r="H179" s="1851"/>
      <c r="I179" s="1852"/>
      <c r="K179" s="842">
        <f>+I180</f>
        <v>20889.719999999998</v>
      </c>
      <c r="L179" s="842">
        <f>+I181</f>
        <v>47994.14312727272</v>
      </c>
    </row>
    <row r="180" spans="1:12" s="658" customFormat="1" ht="15">
      <c r="B180" s="1551" t="str">
        <f>'8.Dgia'!B1198</f>
        <v/>
      </c>
      <c r="C180" s="1555">
        <f>'8.Dgia'!C1198</f>
        <v>0</v>
      </c>
      <c r="D180" s="1552">
        <f>'8.Dgia'!D1198</f>
        <v>0</v>
      </c>
      <c r="E180" s="1775" t="str">
        <f>'8.Dgia'!E1198</f>
        <v xml:space="preserve">  B - Nhân công 4.0/7</v>
      </c>
      <c r="F180" s="1771" t="s">
        <v>552</v>
      </c>
      <c r="G180" s="1772">
        <f>'8.Dgia'!H1198</f>
        <v>0.09</v>
      </c>
      <c r="H180" s="1853">
        <f>'16.NC'!$G$18</f>
        <v>232108</v>
      </c>
      <c r="I180" s="1854">
        <f>H180*G180</f>
        <v>20889.719999999998</v>
      </c>
      <c r="J180" s="850"/>
      <c r="K180" s="850"/>
      <c r="L180" s="850"/>
    </row>
    <row r="181" spans="1:12" s="658" customFormat="1" ht="15">
      <c r="A181" s="657"/>
      <c r="B181" s="2020"/>
      <c r="C181" s="1555">
        <f>'8.Dgia'!C1199</f>
        <v>0</v>
      </c>
      <c r="D181" s="1552">
        <f>'8.Dgia'!D1199</f>
        <v>0</v>
      </c>
      <c r="E181" s="1775" t="str">
        <f>'8.Dgia'!E1199</f>
        <v xml:space="preserve">  C - Máy thi công</v>
      </c>
      <c r="F181" s="1771">
        <f>'8.Dgia'!G1199</f>
        <v>0</v>
      </c>
      <c r="G181" s="1772">
        <f>'8.Dgia'!H1199</f>
        <v>0</v>
      </c>
      <c r="H181" s="1853"/>
      <c r="I181" s="1854">
        <f>SUM(I182:I183)</f>
        <v>47994.14312727272</v>
      </c>
      <c r="J181" s="850"/>
      <c r="K181" s="850"/>
      <c r="L181" s="850"/>
    </row>
    <row r="182" spans="1:12" ht="15">
      <c r="B182" s="1551" t="str">
        <f>'8.Dgia'!B1200</f>
        <v/>
      </c>
      <c r="C182" s="1555">
        <f>'8.Dgia'!C1200</f>
        <v>0</v>
      </c>
      <c r="D182" s="1552">
        <f>'8.Dgia'!D1200</f>
        <v>0</v>
      </c>
      <c r="E182" s="1775" t="str">
        <f>'8.Dgia'!E1200</f>
        <v>Cần trục ôtô 10T</v>
      </c>
      <c r="F182" s="1771" t="s">
        <v>5493</v>
      </c>
      <c r="G182" s="1772">
        <f>'8.Dgia'!H1200</f>
        <v>1.7999999999999999E-2</v>
      </c>
      <c r="H182" s="1853">
        <f>'9.may'!$P$225</f>
        <v>1712734.8681818182</v>
      </c>
      <c r="I182" s="1824">
        <f>H182*G182</f>
        <v>30829.227627272725</v>
      </c>
    </row>
    <row r="183" spans="1:12" ht="15">
      <c r="B183" s="1551" t="str">
        <f>'8.Dgia'!B1201</f>
        <v/>
      </c>
      <c r="C183" s="1555">
        <f>'8.Dgia'!C1201</f>
        <v>0</v>
      </c>
      <c r="D183" s="1552">
        <f>'8.Dgia'!D1201</f>
        <v>0</v>
      </c>
      <c r="E183" s="1775" t="str">
        <f>'8.Dgia'!E1201</f>
        <v>Máy hàn 23kw</v>
      </c>
      <c r="F183" s="1771" t="s">
        <v>5493</v>
      </c>
      <c r="G183" s="1772">
        <f>'8.Dgia'!H1201</f>
        <v>0.1</v>
      </c>
      <c r="H183" s="1853">
        <f>'9.may'!$P$510</f>
        <v>171649.155</v>
      </c>
      <c r="I183" s="1824">
        <f>H183*G183</f>
        <v>17164.915499999999</v>
      </c>
    </row>
    <row r="184" spans="1:12" ht="15">
      <c r="B184" s="1551"/>
      <c r="C184" s="1555"/>
      <c r="D184" s="1552"/>
      <c r="E184" s="1828" t="s">
        <v>5675</v>
      </c>
      <c r="F184" s="1856">
        <f>$J$5</f>
        <v>0.02</v>
      </c>
      <c r="G184" s="1772"/>
      <c r="H184" s="1853"/>
      <c r="I184" s="1863">
        <f>( I180+I181 )*F184</f>
        <v>1377.6772625454544</v>
      </c>
    </row>
    <row r="185" spans="1:12" ht="15">
      <c r="B185" s="1551"/>
      <c r="C185" s="1555"/>
      <c r="D185" s="1552"/>
      <c r="E185" s="1831" t="s">
        <v>5676</v>
      </c>
      <c r="F185" s="1831"/>
      <c r="G185" s="1772"/>
      <c r="H185" s="1853"/>
      <c r="I185" s="1833">
        <f>I184+I184/F184</f>
        <v>70261.540389818183</v>
      </c>
    </row>
    <row r="186" spans="1:12" ht="15">
      <c r="B186" s="1551"/>
      <c r="C186" s="1555"/>
      <c r="D186" s="1552"/>
      <c r="E186" s="1834" t="s">
        <v>5677</v>
      </c>
      <c r="F186" s="1858">
        <f>$K$5</f>
        <v>5.7750000000000003E-2</v>
      </c>
      <c r="G186" s="1772"/>
      <c r="H186" s="1853"/>
      <c r="I186" s="1835">
        <f>I185*F186</f>
        <v>4057.6039575120003</v>
      </c>
    </row>
    <row r="187" spans="1:12" ht="15">
      <c r="B187" s="1551"/>
      <c r="C187" s="1555"/>
      <c r="D187" s="1552"/>
      <c r="E187" s="1834" t="s">
        <v>5678</v>
      </c>
      <c r="F187" s="1856">
        <f>$L$5</f>
        <v>0.06</v>
      </c>
      <c r="G187" s="1772"/>
      <c r="H187" s="1853"/>
      <c r="I187" s="1835">
        <f>SUM(I185:I186)*F187</f>
        <v>4459.1486608398109</v>
      </c>
    </row>
    <row r="188" spans="1:12" ht="15">
      <c r="B188" s="1551"/>
      <c r="C188" s="1555"/>
      <c r="D188" s="1552"/>
      <c r="E188" s="1831" t="s">
        <v>5679</v>
      </c>
      <c r="F188" s="1831"/>
      <c r="G188" s="1772"/>
      <c r="H188" s="1853"/>
      <c r="I188" s="1833">
        <f>SUM(I185:I187)</f>
        <v>78778.293008169989</v>
      </c>
    </row>
    <row r="189" spans="1:12" ht="15">
      <c r="B189" s="1551"/>
      <c r="C189" s="1555"/>
      <c r="D189" s="1552"/>
      <c r="E189" s="1834" t="s">
        <v>5680</v>
      </c>
      <c r="F189" s="1856">
        <f>$M$5</f>
        <v>0.1</v>
      </c>
      <c r="G189" s="1772"/>
      <c r="H189" s="1853"/>
      <c r="I189" s="1835">
        <f>I188*F189</f>
        <v>7877.8293008169994</v>
      </c>
    </row>
    <row r="190" spans="1:12" ht="15">
      <c r="B190" s="1551"/>
      <c r="C190" s="1555"/>
      <c r="D190" s="1552"/>
      <c r="E190" s="1831" t="s">
        <v>5681</v>
      </c>
      <c r="F190" s="1831"/>
      <c r="G190" s="1772"/>
      <c r="H190" s="1853"/>
      <c r="I190" s="1833">
        <f>SUM(I188:I189)</f>
        <v>86656.122308986989</v>
      </c>
    </row>
    <row r="191" spans="1:12" ht="12.75">
      <c r="B191" s="1551"/>
      <c r="C191" s="1555"/>
      <c r="D191" s="1552"/>
      <c r="E191" s="1558" t="s">
        <v>5682</v>
      </c>
      <c r="F191" s="1595">
        <f>$N$5</f>
        <v>0.01</v>
      </c>
      <c r="G191" s="1553"/>
      <c r="H191" s="1594"/>
      <c r="I191" s="1559">
        <f>I190*F191</f>
        <v>866.56122308986994</v>
      </c>
    </row>
    <row r="192" spans="1:12" ht="15">
      <c r="B192" s="1596"/>
      <c r="C192" s="1597"/>
      <c r="D192" s="1597"/>
      <c r="E192" s="1859" t="s">
        <v>5683</v>
      </c>
      <c r="F192" s="1859"/>
      <c r="G192" s="1860"/>
      <c r="H192" s="1861"/>
      <c r="I192" s="1862">
        <f>ROUND(I190+I191,-2)</f>
        <v>87500</v>
      </c>
    </row>
    <row r="193" spans="1:12" ht="15">
      <c r="A193" s="657">
        <v>1</v>
      </c>
      <c r="B193" s="1549">
        <f>IF(A193&lt;&gt;0,COUNTA(A$7:$A193),"")</f>
        <v>12</v>
      </c>
      <c r="C193" s="1555">
        <f>'8.Dgia'!C1258</f>
        <v>1776</v>
      </c>
      <c r="D193" s="1696" t="str">
        <f>'8.Dgia'!D1258</f>
        <v>AG.13212</v>
      </c>
      <c r="E193" s="1848" t="str">
        <f>'8.Dgia'!E1258</f>
        <v>Cốt thép D&lt;18 đúc sẵn</v>
      </c>
      <c r="F193" s="1849" t="str">
        <f>'8.Dgia'!G1258</f>
        <v>tấn/ton</v>
      </c>
      <c r="G193" s="1850">
        <f>'8.Dgia'!H1258</f>
        <v>0</v>
      </c>
      <c r="H193" s="1851"/>
      <c r="I193" s="1852"/>
      <c r="J193" s="842">
        <f>+I194</f>
        <v>17283967.4712</v>
      </c>
      <c r="K193" s="842">
        <f>+I198</f>
        <v>2827990.8000000003</v>
      </c>
      <c r="L193" s="842">
        <f>+I199</f>
        <v>390791.14468499995</v>
      </c>
    </row>
    <row r="194" spans="1:12" s="658" customFormat="1" ht="15">
      <c r="B194" s="1551" t="str">
        <f>'8.Dgia'!B1259</f>
        <v/>
      </c>
      <c r="C194" s="1555">
        <f>'8.Dgia'!C1259</f>
        <v>0</v>
      </c>
      <c r="D194" s="1552">
        <f>'8.Dgia'!D1259</f>
        <v>0</v>
      </c>
      <c r="E194" s="2018" t="str">
        <f>'8.Dgia'!E1259</f>
        <v xml:space="preserve">  A - Vật liệu</v>
      </c>
      <c r="F194" s="1771">
        <f>'8.Dgia'!G1259</f>
        <v>0</v>
      </c>
      <c r="G194" s="1772">
        <f>'8.Dgia'!H1259</f>
        <v>0</v>
      </c>
      <c r="H194" s="1853"/>
      <c r="I194" s="1854">
        <f>SUM(I195:I197)</f>
        <v>17283967.4712</v>
      </c>
      <c r="J194" s="850"/>
      <c r="K194" s="850"/>
      <c r="L194" s="850"/>
    </row>
    <row r="195" spans="1:12" ht="15">
      <c r="B195" s="1551" t="str">
        <f>'8.Dgia'!B1260</f>
        <v/>
      </c>
      <c r="C195" s="1555">
        <f>'8.Dgia'!C1260</f>
        <v>0</v>
      </c>
      <c r="D195" s="1552">
        <f>'8.Dgia'!D1260</f>
        <v>0</v>
      </c>
      <c r="E195" s="1775" t="str">
        <f>'8.Dgia'!E1260</f>
        <v>Thép tròn D&lt;=18</v>
      </c>
      <c r="F195" s="1771" t="str">
        <f>'8.Dgia'!G1260</f>
        <v>kg</v>
      </c>
      <c r="G195" s="1772">
        <f>'8.Dgia'!H1260</f>
        <v>1020</v>
      </c>
      <c r="H195" s="1853">
        <f>GVL!$I$180</f>
        <v>16604.075560000001</v>
      </c>
      <c r="I195" s="1824">
        <f>H195*G195</f>
        <v>16936157.071200002</v>
      </c>
    </row>
    <row r="196" spans="1:12" ht="15">
      <c r="B196" s="2020"/>
      <c r="C196" s="1555">
        <f>'8.Dgia'!C1261</f>
        <v>0</v>
      </c>
      <c r="D196" s="1552">
        <f>'8.Dgia'!D1261</f>
        <v>0</v>
      </c>
      <c r="E196" s="1775" t="str">
        <f>'8.Dgia'!E1261</f>
        <v>Dây thép buộc</v>
      </c>
      <c r="F196" s="1771" t="str">
        <f>'8.Dgia'!G1261</f>
        <v>kg</v>
      </c>
      <c r="G196" s="1772">
        <f>'8.Dgia'!H1261</f>
        <v>14.28</v>
      </c>
      <c r="H196" s="1853">
        <f>GVL!$I$89</f>
        <v>18180</v>
      </c>
      <c r="I196" s="1824">
        <f>H196*G196</f>
        <v>259610.4</v>
      </c>
    </row>
    <row r="197" spans="1:12" ht="15">
      <c r="B197" s="1551" t="str">
        <f>'8.Dgia'!B1262</f>
        <v/>
      </c>
      <c r="C197" s="1555">
        <f>'8.Dgia'!C1262</f>
        <v>0</v>
      </c>
      <c r="D197" s="1552">
        <f>'8.Dgia'!D1262</f>
        <v>0</v>
      </c>
      <c r="E197" s="1775" t="str">
        <f>'8.Dgia'!E1262</f>
        <v>Que hàn</v>
      </c>
      <c r="F197" s="1771" t="str">
        <f>'8.Dgia'!G1262</f>
        <v>kg</v>
      </c>
      <c r="G197" s="1772">
        <f>'8.Dgia'!H1262</f>
        <v>4.62</v>
      </c>
      <c r="H197" s="1853">
        <f>GVL!$I$153</f>
        <v>19090.909090909088</v>
      </c>
      <c r="I197" s="1824">
        <f>H197*G197</f>
        <v>88199.999999999985</v>
      </c>
    </row>
    <row r="198" spans="1:12" s="658" customFormat="1" ht="15">
      <c r="B198" s="1551" t="str">
        <f>'8.Dgia'!B1263</f>
        <v/>
      </c>
      <c r="C198" s="1555">
        <f>'8.Dgia'!C1263</f>
        <v>0</v>
      </c>
      <c r="D198" s="1552">
        <f>'8.Dgia'!D1263</f>
        <v>0</v>
      </c>
      <c r="E198" s="1775" t="str">
        <f>'8.Dgia'!E1263</f>
        <v xml:space="preserve">  B - Nhân công 3.5/7</v>
      </c>
      <c r="F198" s="1771" t="s">
        <v>552</v>
      </c>
      <c r="G198" s="1772">
        <f>'8.Dgia'!H1263</f>
        <v>13.14</v>
      </c>
      <c r="H198" s="1853">
        <f>'16.NC'!$G$16</f>
        <v>215220</v>
      </c>
      <c r="I198" s="1854">
        <f>H198*G198</f>
        <v>2827990.8000000003</v>
      </c>
      <c r="J198" s="850"/>
      <c r="K198" s="850"/>
      <c r="L198" s="850"/>
    </row>
    <row r="199" spans="1:12" s="658" customFormat="1" ht="15">
      <c r="B199" s="1551" t="str">
        <f>'8.Dgia'!B1264</f>
        <v/>
      </c>
      <c r="C199" s="1555">
        <f>'8.Dgia'!C1264</f>
        <v>0</v>
      </c>
      <c r="D199" s="1552">
        <f>'8.Dgia'!D1264</f>
        <v>0</v>
      </c>
      <c r="E199" s="1775" t="str">
        <f>'8.Dgia'!E1264</f>
        <v xml:space="preserve">  C - Máy thi công</v>
      </c>
      <c r="F199" s="1771">
        <f>'8.Dgia'!G1264</f>
        <v>0</v>
      </c>
      <c r="G199" s="1772">
        <f>'8.Dgia'!H1264</f>
        <v>0</v>
      </c>
      <c r="H199" s="1853"/>
      <c r="I199" s="1854">
        <f>SUM(I200:I201)</f>
        <v>390791.14468499995</v>
      </c>
      <c r="J199" s="850"/>
      <c r="K199" s="850"/>
      <c r="L199" s="850"/>
    </row>
    <row r="200" spans="1:12" ht="15">
      <c r="B200" s="1551" t="str">
        <f>'8.Dgia'!B1265</f>
        <v/>
      </c>
      <c r="C200" s="1555">
        <f>'8.Dgia'!C1265</f>
        <v>0</v>
      </c>
      <c r="D200" s="1552">
        <f>'8.Dgia'!D1265</f>
        <v>0</v>
      </c>
      <c r="E200" s="1775" t="str">
        <f>'8.Dgia'!E1265</f>
        <v>Máy hàn 23kw</v>
      </c>
      <c r="F200" s="1771" t="s">
        <v>5493</v>
      </c>
      <c r="G200" s="1772">
        <f>'8.Dgia'!H1265</f>
        <v>2.1269999999999998</v>
      </c>
      <c r="H200" s="1853">
        <f>'9.may'!$P$510</f>
        <v>171649.155</v>
      </c>
      <c r="I200" s="1824">
        <f>H200*G200</f>
        <v>365097.75268499996</v>
      </c>
    </row>
    <row r="201" spans="1:12" ht="15">
      <c r="B201" s="1551" t="str">
        <f>'8.Dgia'!B1266</f>
        <v/>
      </c>
      <c r="C201" s="1555">
        <f>'8.Dgia'!C1266</f>
        <v>0</v>
      </c>
      <c r="D201" s="1552">
        <f>'8.Dgia'!D1266</f>
        <v>0</v>
      </c>
      <c r="E201" s="1775" t="str">
        <f>'8.Dgia'!E1266</f>
        <v>Máy cắt uốn</v>
      </c>
      <c r="F201" s="1771" t="s">
        <v>5493</v>
      </c>
      <c r="G201" s="1772">
        <f>'8.Dgia'!H1266</f>
        <v>0.32</v>
      </c>
      <c r="H201" s="1853">
        <f>'9.may'!$P$557</f>
        <v>80291.850000000006</v>
      </c>
      <c r="I201" s="1824">
        <f>H201*G201</f>
        <v>25693.392000000003</v>
      </c>
    </row>
    <row r="202" spans="1:12" ht="15">
      <c r="B202" s="1551"/>
      <c r="C202" s="1555"/>
      <c r="D202" s="1552"/>
      <c r="E202" s="1828" t="s">
        <v>5675</v>
      </c>
      <c r="F202" s="1856">
        <f>$J$5</f>
        <v>0.02</v>
      </c>
      <c r="G202" s="1772"/>
      <c r="H202" s="1853"/>
      <c r="I202" s="1863">
        <f>( I194+I198+I199 )*F202</f>
        <v>410054.98831770004</v>
      </c>
    </row>
    <row r="203" spans="1:12" ht="15">
      <c r="B203" s="1551"/>
      <c r="C203" s="1555"/>
      <c r="D203" s="1552"/>
      <c r="E203" s="1831" t="s">
        <v>5676</v>
      </c>
      <c r="F203" s="1831"/>
      <c r="G203" s="1772"/>
      <c r="H203" s="1853"/>
      <c r="I203" s="1833">
        <f>I202+I202/F202</f>
        <v>20912804.4042027</v>
      </c>
    </row>
    <row r="204" spans="1:12" ht="15">
      <c r="B204" s="1551"/>
      <c r="C204" s="1555"/>
      <c r="D204" s="1552"/>
      <c r="E204" s="1834" t="s">
        <v>5677</v>
      </c>
      <c r="F204" s="1858">
        <f>$K$5</f>
        <v>5.7750000000000003E-2</v>
      </c>
      <c r="G204" s="1772"/>
      <c r="H204" s="1853"/>
      <c r="I204" s="1835">
        <f>I203*F204</f>
        <v>1207714.4543427059</v>
      </c>
    </row>
    <row r="205" spans="1:12" ht="15">
      <c r="B205" s="1551"/>
      <c r="C205" s="1555"/>
      <c r="D205" s="1552"/>
      <c r="E205" s="1834" t="s">
        <v>5678</v>
      </c>
      <c r="F205" s="1856">
        <f>$L$5</f>
        <v>0.06</v>
      </c>
      <c r="G205" s="1772"/>
      <c r="H205" s="1853"/>
      <c r="I205" s="1835">
        <f>SUM(I203:I204)*F205</f>
        <v>1327231.1315127241</v>
      </c>
    </row>
    <row r="206" spans="1:12" ht="15">
      <c r="B206" s="1551"/>
      <c r="C206" s="1555"/>
      <c r="D206" s="1552"/>
      <c r="E206" s="1831" t="s">
        <v>5679</v>
      </c>
      <c r="F206" s="1831"/>
      <c r="G206" s="1772"/>
      <c r="H206" s="1853"/>
      <c r="I206" s="1833">
        <f>SUM(I203:I205)</f>
        <v>23447749.990058128</v>
      </c>
    </row>
    <row r="207" spans="1:12" ht="15">
      <c r="B207" s="1551"/>
      <c r="C207" s="1555"/>
      <c r="D207" s="1552"/>
      <c r="E207" s="1834" t="s">
        <v>5680</v>
      </c>
      <c r="F207" s="1856">
        <f>$M$5</f>
        <v>0.1</v>
      </c>
      <c r="G207" s="1772"/>
      <c r="H207" s="1853"/>
      <c r="I207" s="1835">
        <f>I206*F207</f>
        <v>2344774.9990058127</v>
      </c>
    </row>
    <row r="208" spans="1:12" ht="15">
      <c r="B208" s="1551"/>
      <c r="C208" s="1555"/>
      <c r="D208" s="1552"/>
      <c r="E208" s="1831" t="s">
        <v>5681</v>
      </c>
      <c r="F208" s="1831"/>
      <c r="G208" s="1772"/>
      <c r="H208" s="1853"/>
      <c r="I208" s="1833">
        <f>SUM(I206:I207)</f>
        <v>25792524.989063941</v>
      </c>
    </row>
    <row r="209" spans="1:12" ht="12.75">
      <c r="B209" s="1551"/>
      <c r="C209" s="1555"/>
      <c r="D209" s="1552"/>
      <c r="E209" s="1558" t="s">
        <v>5682</v>
      </c>
      <c r="F209" s="1595">
        <f>$N$5</f>
        <v>0.01</v>
      </c>
      <c r="G209" s="1553"/>
      <c r="H209" s="1594"/>
      <c r="I209" s="1559">
        <f>I208*F209</f>
        <v>257925.24989063942</v>
      </c>
    </row>
    <row r="210" spans="1:12" ht="15">
      <c r="B210" s="1596"/>
      <c r="C210" s="1597"/>
      <c r="D210" s="1597"/>
      <c r="E210" s="1859" t="s">
        <v>5683</v>
      </c>
      <c r="F210" s="1859"/>
      <c r="G210" s="1860"/>
      <c r="H210" s="1861"/>
      <c r="I210" s="1862">
        <f>ROUND(I208+I209,-2)</f>
        <v>26050500</v>
      </c>
    </row>
    <row r="211" spans="1:12" ht="15">
      <c r="A211" s="657">
        <v>1</v>
      </c>
      <c r="B211" s="1549">
        <f>IF(A211&lt;&gt;0,COUNTA(A$7:$A211),"")</f>
        <v>13</v>
      </c>
      <c r="C211" s="1555">
        <f>'8.Dgia'!C1267</f>
        <v>1776</v>
      </c>
      <c r="D211" s="1696" t="str">
        <f>'8.Dgia'!D1267</f>
        <v>AG.13211</v>
      </c>
      <c r="E211" s="1848" t="str">
        <f>'8.Dgia'!E1267</f>
        <v>Cốt thép D&lt;=10 đúc sẵn</v>
      </c>
      <c r="F211" s="1849" t="str">
        <f>'8.Dgia'!G1267</f>
        <v>tấn/ton</v>
      </c>
      <c r="G211" s="1850">
        <f>'8.Dgia'!H1267</f>
        <v>0</v>
      </c>
      <c r="H211" s="1851"/>
      <c r="I211" s="1852"/>
      <c r="J211" s="842">
        <f>+I212</f>
        <v>17227261.537800003</v>
      </c>
      <c r="K211" s="842">
        <f>+I215</f>
        <v>4599251.4000000004</v>
      </c>
      <c r="L211" s="842">
        <f>+I216</f>
        <v>38540.088000000003</v>
      </c>
    </row>
    <row r="212" spans="1:12" s="658" customFormat="1" ht="15">
      <c r="B212" s="1551" t="str">
        <f>'8.Dgia'!B1268</f>
        <v/>
      </c>
      <c r="C212" s="1555">
        <f>'8.Dgia'!C1268</f>
        <v>0</v>
      </c>
      <c r="D212" s="1552">
        <f>'8.Dgia'!D1268</f>
        <v>0</v>
      </c>
      <c r="E212" s="2018" t="str">
        <f>'8.Dgia'!E1268</f>
        <v xml:space="preserve">  A - Vật liệu</v>
      </c>
      <c r="F212" s="1771">
        <f>'8.Dgia'!G1268</f>
        <v>0</v>
      </c>
      <c r="G212" s="1772">
        <f>'8.Dgia'!H1268</f>
        <v>0</v>
      </c>
      <c r="H212" s="1853"/>
      <c r="I212" s="1854">
        <f>SUM(I213:I214)</f>
        <v>17227261.537800003</v>
      </c>
      <c r="J212" s="850"/>
      <c r="K212" s="850"/>
      <c r="L212" s="850"/>
    </row>
    <row r="213" spans="1:12" ht="15">
      <c r="B213" s="1551" t="str">
        <f>'8.Dgia'!B1269</f>
        <v/>
      </c>
      <c r="C213" s="1555">
        <f>'8.Dgia'!C1269</f>
        <v>0</v>
      </c>
      <c r="D213" s="1552">
        <f>'8.Dgia'!D1269</f>
        <v>0</v>
      </c>
      <c r="E213" s="1775" t="str">
        <f>'8.Dgia'!E1269</f>
        <v>Thép tròn D&lt;=10</v>
      </c>
      <c r="F213" s="1771" t="str">
        <f>'8.Dgia'!G1269</f>
        <v>kg</v>
      </c>
      <c r="G213" s="1772">
        <f>'8.Dgia'!H1269</f>
        <v>1005</v>
      </c>
      <c r="H213" s="1853">
        <f>GVL!$I$179</f>
        <v>16754.075560000001</v>
      </c>
      <c r="I213" s="1824">
        <f>H213*G213</f>
        <v>16837845.937800001</v>
      </c>
    </row>
    <row r="214" spans="1:12" ht="15">
      <c r="B214" s="1551" t="str">
        <f>'8.Dgia'!B1270</f>
        <v/>
      </c>
      <c r="C214" s="1555">
        <f>'8.Dgia'!C1270</f>
        <v>0</v>
      </c>
      <c r="D214" s="1552">
        <f>'8.Dgia'!D1270</f>
        <v>0</v>
      </c>
      <c r="E214" s="1775" t="str">
        <f>'8.Dgia'!E1270</f>
        <v>Dây thép buộc</v>
      </c>
      <c r="F214" s="1771" t="str">
        <f>'8.Dgia'!G1270</f>
        <v>kg</v>
      </c>
      <c r="G214" s="1772">
        <f>'8.Dgia'!H1270</f>
        <v>21.42</v>
      </c>
      <c r="H214" s="1853">
        <f>GVL!$I$89</f>
        <v>18180</v>
      </c>
      <c r="I214" s="1824">
        <f>H214*G214</f>
        <v>389415.60000000003</v>
      </c>
    </row>
    <row r="215" spans="1:12" s="658" customFormat="1" ht="15">
      <c r="B215" s="1551" t="str">
        <f>'8.Dgia'!B1271</f>
        <v/>
      </c>
      <c r="C215" s="1555">
        <f>'8.Dgia'!C1271</f>
        <v>0</v>
      </c>
      <c r="D215" s="1552">
        <f>'8.Dgia'!D1271</f>
        <v>0</v>
      </c>
      <c r="E215" s="1775" t="str">
        <f>'8.Dgia'!E1271</f>
        <v xml:space="preserve">  B - Nhân công 3.5/7</v>
      </c>
      <c r="F215" s="1771" t="s">
        <v>552</v>
      </c>
      <c r="G215" s="1772">
        <f>'8.Dgia'!H1271</f>
        <v>21.37</v>
      </c>
      <c r="H215" s="1853">
        <f>'16.NC'!$G$16</f>
        <v>215220</v>
      </c>
      <c r="I215" s="1854">
        <f>H215*G215</f>
        <v>4599251.4000000004</v>
      </c>
      <c r="J215" s="850"/>
      <c r="K215" s="850"/>
      <c r="L215" s="850"/>
    </row>
    <row r="216" spans="1:12" s="658" customFormat="1" ht="15">
      <c r="B216" s="1551" t="str">
        <f>'8.Dgia'!B1272</f>
        <v/>
      </c>
      <c r="C216" s="1555">
        <f>'8.Dgia'!C1272</f>
        <v>0</v>
      </c>
      <c r="D216" s="1552">
        <f>'8.Dgia'!D1272</f>
        <v>0</v>
      </c>
      <c r="E216" s="1775" t="str">
        <f>'8.Dgia'!E1272</f>
        <v xml:space="preserve">  C - Máy thi công</v>
      </c>
      <c r="F216" s="1771">
        <f>'8.Dgia'!G1272</f>
        <v>0</v>
      </c>
      <c r="G216" s="1772">
        <f>'8.Dgia'!H1272</f>
        <v>0</v>
      </c>
      <c r="H216" s="1853"/>
      <c r="I216" s="1854">
        <f>SUM(I217:I217)</f>
        <v>38540.088000000003</v>
      </c>
      <c r="J216" s="850"/>
      <c r="K216" s="850"/>
      <c r="L216" s="850"/>
    </row>
    <row r="217" spans="1:12" ht="15">
      <c r="B217" s="1551" t="str">
        <f>'8.Dgia'!B1273</f>
        <v/>
      </c>
      <c r="C217" s="1555">
        <f>'8.Dgia'!C1273</f>
        <v>0</v>
      </c>
      <c r="D217" s="1552">
        <f>'8.Dgia'!D1273</f>
        <v>0</v>
      </c>
      <c r="E217" s="1775" t="str">
        <f>'8.Dgia'!E1273</f>
        <v>Máy cắt uốn</v>
      </c>
      <c r="F217" s="1771" t="s">
        <v>5493</v>
      </c>
      <c r="G217" s="1772">
        <f>'8.Dgia'!H1273</f>
        <v>0.48</v>
      </c>
      <c r="H217" s="1853">
        <f>'9.may'!$P$557</f>
        <v>80291.850000000006</v>
      </c>
      <c r="I217" s="1824">
        <f>H217*G217</f>
        <v>38540.088000000003</v>
      </c>
    </row>
    <row r="218" spans="1:12" ht="15">
      <c r="B218" s="2020"/>
      <c r="C218" s="1555"/>
      <c r="D218" s="1552"/>
      <c r="E218" s="1828" t="s">
        <v>5675</v>
      </c>
      <c r="F218" s="1856">
        <f>$J$5</f>
        <v>0.02</v>
      </c>
      <c r="G218" s="1772"/>
      <c r="H218" s="1853"/>
      <c r="I218" s="1863">
        <f>( I212+I215+I216 )*F218</f>
        <v>437301.06051600009</v>
      </c>
    </row>
    <row r="219" spans="1:12" ht="15">
      <c r="B219" s="1551"/>
      <c r="C219" s="1555"/>
      <c r="D219" s="1552"/>
      <c r="E219" s="1831" t="s">
        <v>5676</v>
      </c>
      <c r="F219" s="1831"/>
      <c r="G219" s="1772"/>
      <c r="H219" s="1853"/>
      <c r="I219" s="1833">
        <f>I218+I218/F218</f>
        <v>22302354.086316004</v>
      </c>
    </row>
    <row r="220" spans="1:12" ht="15">
      <c r="B220" s="1551"/>
      <c r="C220" s="1555"/>
      <c r="D220" s="1552"/>
      <c r="E220" s="1834" t="s">
        <v>5677</v>
      </c>
      <c r="F220" s="1858">
        <f>$K$5</f>
        <v>5.7750000000000003E-2</v>
      </c>
      <c r="G220" s="1772"/>
      <c r="H220" s="1853"/>
      <c r="I220" s="1835">
        <f>I219*F220</f>
        <v>1287960.9484847493</v>
      </c>
    </row>
    <row r="221" spans="1:12" ht="15">
      <c r="B221" s="1551"/>
      <c r="C221" s="1555"/>
      <c r="D221" s="1552"/>
      <c r="E221" s="1834" t="s">
        <v>5678</v>
      </c>
      <c r="F221" s="1856">
        <f>$L$5</f>
        <v>0.06</v>
      </c>
      <c r="G221" s="1772"/>
      <c r="H221" s="1853"/>
      <c r="I221" s="1835">
        <f>SUM(I219:I220)*F221</f>
        <v>1415418.9020880451</v>
      </c>
    </row>
    <row r="222" spans="1:12" ht="15">
      <c r="B222" s="1551"/>
      <c r="C222" s="1555"/>
      <c r="D222" s="1552"/>
      <c r="E222" s="1831" t="s">
        <v>5679</v>
      </c>
      <c r="F222" s="1831"/>
      <c r="G222" s="1772"/>
      <c r="H222" s="1853"/>
      <c r="I222" s="1833">
        <f>SUM(I219:I221)</f>
        <v>25005733.936888799</v>
      </c>
    </row>
    <row r="223" spans="1:12" ht="15">
      <c r="B223" s="1551"/>
      <c r="C223" s="1555"/>
      <c r="D223" s="1552"/>
      <c r="E223" s="1834" t="s">
        <v>5680</v>
      </c>
      <c r="F223" s="1856">
        <f>$M$5</f>
        <v>0.1</v>
      </c>
      <c r="G223" s="1772"/>
      <c r="H223" s="1853"/>
      <c r="I223" s="1835">
        <f>I222*F223</f>
        <v>2500573.3936888799</v>
      </c>
    </row>
    <row r="224" spans="1:12" ht="15">
      <c r="B224" s="1551"/>
      <c r="C224" s="1555"/>
      <c r="D224" s="1552"/>
      <c r="E224" s="1831" t="s">
        <v>5681</v>
      </c>
      <c r="F224" s="1831"/>
      <c r="G224" s="1772"/>
      <c r="H224" s="1853"/>
      <c r="I224" s="1833">
        <f>SUM(I222:I223)</f>
        <v>27506307.330577679</v>
      </c>
    </row>
    <row r="225" spans="1:11" ht="12.75">
      <c r="B225" s="1551"/>
      <c r="C225" s="1555"/>
      <c r="D225" s="1552"/>
      <c r="E225" s="1558" t="s">
        <v>5682</v>
      </c>
      <c r="F225" s="1595">
        <f>$N$5</f>
        <v>0.01</v>
      </c>
      <c r="G225" s="1553"/>
      <c r="H225" s="1594"/>
      <c r="I225" s="1559">
        <f>I224*F225</f>
        <v>275063.07330577681</v>
      </c>
    </row>
    <row r="226" spans="1:11" ht="15">
      <c r="B226" s="1596"/>
      <c r="C226" s="1597"/>
      <c r="D226" s="1597"/>
      <c r="E226" s="1859" t="s">
        <v>5683</v>
      </c>
      <c r="F226" s="1859"/>
      <c r="G226" s="1860"/>
      <c r="H226" s="1861"/>
      <c r="I226" s="1862">
        <f>ROUND(I224+I225,-2)</f>
        <v>27781400</v>
      </c>
    </row>
    <row r="227" spans="1:11" ht="15">
      <c r="A227" s="657">
        <v>1</v>
      </c>
      <c r="B227" s="1549">
        <f>IF(A227&lt;&gt;0,COUNTA(A$7:$A227),"")</f>
        <v>14</v>
      </c>
      <c r="C227" s="1472">
        <f>'8.Dgia'!C1304</f>
        <v>1776</v>
      </c>
      <c r="D227" s="1694" t="str">
        <f>'8.Dgia'!D1304</f>
        <v>AK.83421</v>
      </c>
      <c r="E227" s="1877" t="str">
        <f>'8.Dgia'!E1304</f>
        <v>Sơn lan can 2 lớp</v>
      </c>
      <c r="F227" s="1878" t="str">
        <f>'8.Dgia'!G1304</f>
        <v>m2</v>
      </c>
      <c r="G227" s="1879">
        <f>'8.Dgia'!H1304</f>
        <v>0</v>
      </c>
      <c r="H227" s="1880"/>
      <c r="I227" s="1881"/>
      <c r="J227" s="842">
        <f>+I228</f>
        <v>18045.068632268634</v>
      </c>
      <c r="K227" s="842">
        <f>+I232</f>
        <v>18508.919999999998</v>
      </c>
    </row>
    <row r="228" spans="1:11" ht="15">
      <c r="B228" s="362" t="str">
        <f>'8.Dgia'!B1305</f>
        <v/>
      </c>
      <c r="C228" s="1472">
        <f>'8.Dgia'!C1305</f>
        <v>0</v>
      </c>
      <c r="D228" s="1482">
        <f>'8.Dgia'!D1305</f>
        <v>0</v>
      </c>
      <c r="E228" s="2011" t="str">
        <f>'8.Dgia'!E1305</f>
        <v xml:space="preserve">  A - Vật liệu</v>
      </c>
      <c r="F228" s="1882">
        <f>'8.Dgia'!G1305</f>
        <v>0</v>
      </c>
      <c r="G228" s="1809">
        <f>'8.Dgia'!H1305</f>
        <v>0</v>
      </c>
      <c r="H228" s="1883"/>
      <c r="I228" s="1884">
        <f>SUM(I229:I231)</f>
        <v>18045.068632268634</v>
      </c>
    </row>
    <row r="229" spans="1:11" ht="15">
      <c r="B229" s="362" t="str">
        <f>'8.Dgia'!B1306</f>
        <v/>
      </c>
      <c r="C229" s="1472">
        <f>'8.Dgia'!C1306</f>
        <v>0</v>
      </c>
      <c r="D229" s="1482">
        <f>'8.Dgia'!D1306</f>
        <v>0</v>
      </c>
      <c r="E229" s="1811" t="str">
        <f>'8.Dgia'!E1306</f>
        <v xml:space="preserve">Sơn </v>
      </c>
      <c r="F229" s="1882" t="str">
        <f>'8.Dgia'!G1306</f>
        <v>kg</v>
      </c>
      <c r="G229" s="1809">
        <f>'8.Dgia'!H1306</f>
        <v>0.16400000000000001</v>
      </c>
      <c r="H229" s="1883">
        <f>GVL!$I$159</f>
        <v>86666.666666666672</v>
      </c>
      <c r="I229" s="1792">
        <f>H229*G229</f>
        <v>14213.333333333334</v>
      </c>
    </row>
    <row r="230" spans="1:11" ht="15">
      <c r="B230" s="362" t="str">
        <f>'8.Dgia'!B1307</f>
        <v/>
      </c>
      <c r="C230" s="1472">
        <f>'8.Dgia'!C1307</f>
        <v>0</v>
      </c>
      <c r="D230" s="1482">
        <f>'8.Dgia'!D1307</f>
        <v>0</v>
      </c>
      <c r="E230" s="1811" t="str">
        <f>'8.Dgia'!E1307</f>
        <v>Xăng</v>
      </c>
      <c r="F230" s="1882" t="str">
        <f>'8.Dgia'!G1307</f>
        <v>kg</v>
      </c>
      <c r="G230" s="1809">
        <f>'8.Dgia'!H1307</f>
        <v>0.11799999999999999</v>
      </c>
      <c r="H230" s="1883">
        <f>GVL!$I$206</f>
        <v>30958.230958230957</v>
      </c>
      <c r="I230" s="1792">
        <f>H230*G230</f>
        <v>3653.0712530712526</v>
      </c>
    </row>
    <row r="231" spans="1:11" ht="15">
      <c r="B231" s="362" t="str">
        <f>'8.Dgia'!B1308</f>
        <v/>
      </c>
      <c r="C231" s="1472">
        <f>'8.Dgia'!C1308</f>
        <v>0</v>
      </c>
      <c r="D231" s="1482">
        <f>'8.Dgia'!D1308</f>
        <v>0</v>
      </c>
      <c r="E231" s="1811" t="str">
        <f>'8.Dgia'!E1308</f>
        <v>Vật liệu khác</v>
      </c>
      <c r="F231" s="1882" t="str">
        <f>'8.Dgia'!G1308</f>
        <v>%</v>
      </c>
      <c r="G231" s="1809">
        <f>'8.Dgia'!H1308</f>
        <v>1</v>
      </c>
      <c r="H231" s="1883">
        <f>SUM(I229:I230)</f>
        <v>17866.404586404587</v>
      </c>
      <c r="I231" s="1792">
        <f>H231*G231%</f>
        <v>178.66404586404587</v>
      </c>
    </row>
    <row r="232" spans="1:11" ht="15">
      <c r="B232" s="362" t="str">
        <f>'8.Dgia'!B1309</f>
        <v/>
      </c>
      <c r="C232" s="1472">
        <f>'8.Dgia'!C1309</f>
        <v>0</v>
      </c>
      <c r="D232" s="1482">
        <f>'8.Dgia'!D1309</f>
        <v>0</v>
      </c>
      <c r="E232" s="1811" t="str">
        <f>'8.Dgia'!E1309</f>
        <v xml:space="preserve">  B - Nhân công 3.5/7</v>
      </c>
      <c r="F232" s="1771" t="s">
        <v>552</v>
      </c>
      <c r="G232" s="1809">
        <f>'8.Dgia'!H1309</f>
        <v>8.5999999999999993E-2</v>
      </c>
      <c r="H232" s="1869">
        <f>'16.NC'!$G$16</f>
        <v>215220</v>
      </c>
      <c r="I232" s="1884">
        <f>H232*G232</f>
        <v>18508.919999999998</v>
      </c>
    </row>
    <row r="233" spans="1:11" ht="15">
      <c r="B233" s="362"/>
      <c r="C233" s="1472"/>
      <c r="D233" s="1482"/>
      <c r="E233" s="1813" t="s">
        <v>5675</v>
      </c>
      <c r="F233" s="1885">
        <f>$J$5</f>
        <v>0.02</v>
      </c>
      <c r="G233" s="1809"/>
      <c r="H233" s="1883"/>
      <c r="I233" s="1886">
        <f>( I228+I232 )*F233</f>
        <v>731.07977264537271</v>
      </c>
    </row>
    <row r="234" spans="1:11" ht="15">
      <c r="B234" s="362"/>
      <c r="C234" s="1472"/>
      <c r="D234" s="1482"/>
      <c r="E234" s="1817" t="s">
        <v>5676</v>
      </c>
      <c r="F234" s="1817"/>
      <c r="G234" s="1809"/>
      <c r="H234" s="1883"/>
      <c r="I234" s="1820">
        <f>I233+I233/F233</f>
        <v>37285.068404914011</v>
      </c>
    </row>
    <row r="235" spans="1:11" ht="15">
      <c r="B235" s="1695"/>
      <c r="C235" s="1472"/>
      <c r="D235" s="1482"/>
      <c r="E235" s="1821" t="s">
        <v>5677</v>
      </c>
      <c r="F235" s="1887">
        <f>$K$5</f>
        <v>5.7750000000000003E-2</v>
      </c>
      <c r="G235" s="1809"/>
      <c r="H235" s="1883"/>
      <c r="I235" s="1822">
        <f>I234*F235</f>
        <v>2153.2127003837841</v>
      </c>
    </row>
    <row r="236" spans="1:11" ht="15">
      <c r="B236" s="362"/>
      <c r="C236" s="1472"/>
      <c r="D236" s="1482"/>
      <c r="E236" s="1821" t="s">
        <v>5678</v>
      </c>
      <c r="F236" s="1885">
        <f>$L$5</f>
        <v>0.06</v>
      </c>
      <c r="G236" s="1809"/>
      <c r="H236" s="1883"/>
      <c r="I236" s="1822">
        <f>SUM(I234:I235)*F236</f>
        <v>2366.2968663178676</v>
      </c>
    </row>
    <row r="237" spans="1:11" ht="15">
      <c r="B237" s="362"/>
      <c r="C237" s="1472"/>
      <c r="D237" s="1482"/>
      <c r="E237" s="1817" t="s">
        <v>5679</v>
      </c>
      <c r="F237" s="1817"/>
      <c r="G237" s="1809"/>
      <c r="H237" s="1883"/>
      <c r="I237" s="1820">
        <f>SUM(I234:I236)</f>
        <v>41804.577971615661</v>
      </c>
    </row>
    <row r="238" spans="1:11" ht="15">
      <c r="B238" s="362"/>
      <c r="C238" s="1472"/>
      <c r="D238" s="1482"/>
      <c r="E238" s="1821" t="s">
        <v>5680</v>
      </c>
      <c r="F238" s="1885">
        <f>$M$5</f>
        <v>0.1</v>
      </c>
      <c r="G238" s="1809"/>
      <c r="H238" s="1883"/>
      <c r="I238" s="1822">
        <f>I237*F238</f>
        <v>4180.4577971615663</v>
      </c>
    </row>
    <row r="239" spans="1:11" ht="15">
      <c r="B239" s="362"/>
      <c r="C239" s="1472"/>
      <c r="D239" s="1482"/>
      <c r="E239" s="1817" t="s">
        <v>5681</v>
      </c>
      <c r="F239" s="1817"/>
      <c r="G239" s="1809"/>
      <c r="H239" s="1883"/>
      <c r="I239" s="1820">
        <f>SUM(I237:I238)</f>
        <v>45985.035768777227</v>
      </c>
    </row>
    <row r="240" spans="1:11" ht="12.75">
      <c r="B240" s="362"/>
      <c r="C240" s="1472"/>
      <c r="D240" s="1482"/>
      <c r="E240" s="1475" t="s">
        <v>5682</v>
      </c>
      <c r="F240" s="1474">
        <f>$N$5</f>
        <v>0.01</v>
      </c>
      <c r="G240" s="1483"/>
      <c r="H240" s="848"/>
      <c r="I240" s="1476">
        <f>I239*F240</f>
        <v>459.85035768777226</v>
      </c>
    </row>
    <row r="241" spans="1:12" ht="15">
      <c r="B241" s="1470"/>
      <c r="C241" s="1473"/>
      <c r="D241" s="1473"/>
      <c r="E241" s="1888" t="s">
        <v>5683</v>
      </c>
      <c r="F241" s="1888"/>
      <c r="G241" s="1889"/>
      <c r="H241" s="1890"/>
      <c r="I241" s="1862">
        <f>ROUND(I239+I240,-2)</f>
        <v>46400</v>
      </c>
    </row>
    <row r="242" spans="1:12" ht="15">
      <c r="A242" s="657">
        <v>1</v>
      </c>
      <c r="B242" s="1549">
        <f>IF(A242&lt;&gt;0,COUNTA(A$7:$A242),"")</f>
        <v>15</v>
      </c>
      <c r="C242" s="1555">
        <f>'8.Dgia'!C1362</f>
        <v>1776</v>
      </c>
      <c r="D242" s="1696" t="str">
        <f>'8.Dgia'!D1362</f>
        <v>AD.26223</v>
      </c>
      <c r="E242" s="1848" t="str">
        <f>'8.Dgia'!E1362</f>
        <v>Sản xuất bê tông nhựa C12.5</v>
      </c>
      <c r="F242" s="1849" t="str">
        <f>'8.Dgia'!G1362</f>
        <v>tấn/ton</v>
      </c>
      <c r="G242" s="1850">
        <f>'8.Dgia'!H1362</f>
        <v>0</v>
      </c>
      <c r="H242" s="1851"/>
      <c r="I242" s="1852"/>
      <c r="J242" s="842">
        <f>+I243</f>
        <v>1294658.9151046437</v>
      </c>
      <c r="K242" s="842">
        <f>+I257</f>
        <v>13255.809600000001</v>
      </c>
      <c r="L242" s="842">
        <f>+I258</f>
        <v>133434.75326335529</v>
      </c>
    </row>
    <row r="243" spans="1:12" ht="15">
      <c r="B243" s="1551" t="str">
        <f>'8.Dgia'!B1363</f>
        <v/>
      </c>
      <c r="C243" s="1555">
        <f>'8.Dgia'!C1363</f>
        <v>0</v>
      </c>
      <c r="D243" s="1552" t="s">
        <v>5869</v>
      </c>
      <c r="E243" s="2018" t="str">
        <f>'8.Dgia'!E1363</f>
        <v xml:space="preserve">  A - Vật liệu</v>
      </c>
      <c r="F243" s="1771">
        <f>'8.Dgia'!G1363</f>
        <v>0</v>
      </c>
      <c r="G243" s="1772">
        <f>'8.Dgia'!H1363</f>
        <v>0</v>
      </c>
      <c r="H243" s="1853"/>
      <c r="I243" s="1854">
        <f>SUM(I244:I256)</f>
        <v>1294658.9151046437</v>
      </c>
    </row>
    <row r="244" spans="1:12" ht="15">
      <c r="B244" s="1551" t="str">
        <f>'8.Dgia'!B1364</f>
        <v/>
      </c>
      <c r="C244" s="1555">
        <f>'8.Dgia'!C1364</f>
        <v>0</v>
      </c>
      <c r="D244" s="1552" t="str">
        <f>'8.Dgia'!D1364</f>
        <v>5.37%</v>
      </c>
      <c r="E244" s="1775" t="str">
        <f>'8.Dgia'!E1364</f>
        <v>Nhựa đường</v>
      </c>
      <c r="F244" s="1771" t="str">
        <f>'8.Dgia'!G1364</f>
        <v>kg</v>
      </c>
      <c r="G244" s="1772">
        <f>'8.Dgia'!H1364</f>
        <v>54.532380000000003</v>
      </c>
      <c r="H244" s="1855">
        <f>GVL!$I$128</f>
        <v>15823.463400000001</v>
      </c>
      <c r="I244" s="1824">
        <f>H244*G244</f>
        <v>862891.11904489214</v>
      </c>
    </row>
    <row r="245" spans="1:12" ht="15" customHeight="1">
      <c r="B245" s="1551" t="str">
        <f>'8.Dgia'!B1365</f>
        <v/>
      </c>
      <c r="C245" s="1555">
        <f>'8.Dgia'!C1365</f>
        <v>0</v>
      </c>
      <c r="D245" s="1552">
        <f>'8.Dgia'!D1365</f>
        <v>0</v>
      </c>
      <c r="E245" s="1775" t="str">
        <f>'8.Dgia'!E1365</f>
        <v>=(5.37-5.0)/(5.5-5.0)*(55.790-50,953)+50.953</v>
      </c>
      <c r="F245" s="1771">
        <f>'8.Dgia'!G1365</f>
        <v>0</v>
      </c>
      <c r="G245" s="1772">
        <f>'8.Dgia'!H1365</f>
        <v>0</v>
      </c>
      <c r="H245" s="1853"/>
      <c r="I245" s="1824"/>
    </row>
    <row r="246" spans="1:12" ht="15">
      <c r="B246" s="1551" t="str">
        <f>'8.Dgia'!B1366</f>
        <v/>
      </c>
      <c r="C246" s="1555">
        <f>'8.Dgia'!C1366</f>
        <v>0</v>
      </c>
      <c r="D246" s="1552" t="str">
        <f>'8.Dgia'!D1366</f>
        <v>19%</v>
      </c>
      <c r="E246" s="1775" t="str">
        <f>'8.Dgia'!E1366</f>
        <v>Đá 1x1.6 bê tông nhựa</v>
      </c>
      <c r="F246" s="1771">
        <f>'8.Dgia'!G1366</f>
        <v>0</v>
      </c>
      <c r="G246" s="1772">
        <f>'8.Dgia'!H1366</f>
        <v>0.1216</v>
      </c>
      <c r="H246" s="1853">
        <f>GVL!$I$57</f>
        <v>364185.41224953817</v>
      </c>
      <c r="I246" s="1824">
        <f>H246*G246</f>
        <v>44284.946129543845</v>
      </c>
    </row>
    <row r="247" spans="1:12" ht="15">
      <c r="B247" s="1551" t="str">
        <f>'8.Dgia'!B1367</f>
        <v/>
      </c>
      <c r="C247" s="1555">
        <f>'8.Dgia'!C1367</f>
        <v>0</v>
      </c>
      <c r="D247" s="1552">
        <f>'8.Dgia'!D1367</f>
        <v>0</v>
      </c>
      <c r="E247" s="1775" t="str">
        <f>'8.Dgia'!E1367</f>
        <v>=19*0,128/20</v>
      </c>
      <c r="F247" s="1771">
        <f>'8.Dgia'!G1367</f>
        <v>0</v>
      </c>
      <c r="G247" s="1772">
        <f>'8.Dgia'!H1367</f>
        <v>0</v>
      </c>
      <c r="H247" s="1853"/>
      <c r="I247" s="1824"/>
    </row>
    <row r="248" spans="1:12" ht="15">
      <c r="B248" s="1551" t="str">
        <f>'8.Dgia'!B1368</f>
        <v/>
      </c>
      <c r="C248" s="1555">
        <f>'8.Dgia'!C1368</f>
        <v>0</v>
      </c>
      <c r="D248" s="1552" t="str">
        <f>'8.Dgia'!D1368</f>
        <v>59%</v>
      </c>
      <c r="E248" s="1775" t="str">
        <f>'8.Dgia'!E1368</f>
        <v>Đá 0x0.5 bê tông nhựa</v>
      </c>
      <c r="F248" s="1771" t="str">
        <f>'8.Dgia'!G1368</f>
        <v>m3</v>
      </c>
      <c r="G248" s="1772">
        <f>'8.Dgia'!H1368</f>
        <v>0.37659999999999999</v>
      </c>
      <c r="H248" s="1853">
        <f>GVL!$I$55</f>
        <v>342185.41224953817</v>
      </c>
      <c r="I248" s="1824">
        <f>H248*G248</f>
        <v>128867.02625317607</v>
      </c>
    </row>
    <row r="249" spans="1:12" ht="15">
      <c r="B249" s="1551" t="str">
        <f>'8.Dgia'!B1369</f>
        <v/>
      </c>
      <c r="C249" s="1555">
        <f>'8.Dgia'!C1369</f>
        <v>0</v>
      </c>
      <c r="D249" s="1552">
        <f>'8.Dgia'!D1369</f>
        <v>0</v>
      </c>
      <c r="E249" s="1775" t="str">
        <f>'8.Dgia'!E1369</f>
        <v>=(59-55)/(60-55)*(0,0.383-0.351)+0,351</v>
      </c>
      <c r="F249" s="1771">
        <f>'8.Dgia'!G1369</f>
        <v>0</v>
      </c>
      <c r="G249" s="1772">
        <f>'8.Dgia'!H1369</f>
        <v>0</v>
      </c>
      <c r="H249" s="1853"/>
      <c r="I249" s="1824"/>
    </row>
    <row r="250" spans="1:12" ht="15">
      <c r="B250" s="1551" t="str">
        <f>'8.Dgia'!B1370</f>
        <v/>
      </c>
      <c r="C250" s="1555">
        <f>'8.Dgia'!C1370</f>
        <v>0</v>
      </c>
      <c r="D250" s="1552" t="str">
        <f>'8.Dgia'!D1370</f>
        <v>20%</v>
      </c>
      <c r="E250" s="1775" t="str">
        <f>'8.Dgia'!E1370</f>
        <v>Đá 0.5x1 bê tông nhựa</v>
      </c>
      <c r="F250" s="1771" t="str">
        <f>'8.Dgia'!G1370</f>
        <v>m3</v>
      </c>
      <c r="G250" s="1772">
        <f>'8.Dgia'!H1370</f>
        <v>0.128</v>
      </c>
      <c r="H250" s="1853">
        <f>GVL!$I$53</f>
        <v>412185.41224953817</v>
      </c>
      <c r="I250" s="1824">
        <f>H250*G250</f>
        <v>52759.732767940885</v>
      </c>
    </row>
    <row r="251" spans="1:12" ht="15">
      <c r="B251" s="1551" t="str">
        <f>'8.Dgia'!B1371</f>
        <v/>
      </c>
      <c r="C251" s="1555">
        <f>'8.Dgia'!C1371</f>
        <v>0</v>
      </c>
      <c r="D251" s="1552" t="str">
        <f>'8.Dgia'!D1371</f>
        <v>2%</v>
      </c>
      <c r="E251" s="1775" t="str">
        <f>'8.Dgia'!E1371</f>
        <v>Bột đá</v>
      </c>
      <c r="F251" s="1771" t="str">
        <f>'8.Dgia'!G1371</f>
        <v>kg</v>
      </c>
      <c r="G251" s="1772">
        <f>'8.Dgia'!H1371</f>
        <v>18.893999999999998</v>
      </c>
      <c r="H251" s="1853">
        <f>GVL!$I$24</f>
        <v>500</v>
      </c>
      <c r="I251" s="1824">
        <f>H251*G251</f>
        <v>9447</v>
      </c>
    </row>
    <row r="252" spans="1:12" ht="15">
      <c r="B252" s="1551" t="str">
        <f>'8.Dgia'!B1372</f>
        <v/>
      </c>
      <c r="C252" s="1555">
        <f>'8.Dgia'!C1372</f>
        <v>0</v>
      </c>
      <c r="D252" s="1552">
        <f>'8.Dgia'!D1372</f>
        <v>0</v>
      </c>
      <c r="E252" s="1775" t="str">
        <f>'8.Dgia'!E1372</f>
        <v>=47.235*2/5</v>
      </c>
      <c r="F252" s="1771">
        <f>'8.Dgia'!G1372</f>
        <v>0</v>
      </c>
      <c r="G252" s="1772">
        <f>'8.Dgia'!H1372</f>
        <v>0</v>
      </c>
      <c r="H252" s="1853"/>
      <c r="I252" s="1824"/>
    </row>
    <row r="253" spans="1:12" s="658" customFormat="1" ht="15">
      <c r="B253" s="1551" t="str">
        <f>'8.Dgia'!B1373</f>
        <v/>
      </c>
      <c r="C253" s="1555">
        <f>'8.Dgia'!C1373</f>
        <v>0</v>
      </c>
      <c r="D253" s="1552">
        <f>'8.Dgia'!D1373</f>
        <v>0</v>
      </c>
      <c r="E253" s="1775" t="str">
        <f>'8.Dgia'!E1373</f>
        <v>Vật liệu phụ</v>
      </c>
      <c r="F253" s="1771">
        <f>'8.Dgia'!G1373</f>
        <v>0</v>
      </c>
      <c r="G253" s="1772">
        <f>'8.Dgia'!H1373</f>
        <v>0</v>
      </c>
      <c r="H253" s="1853"/>
      <c r="I253" s="1824"/>
      <c r="J253" s="850"/>
      <c r="K253" s="850"/>
      <c r="L253" s="850"/>
    </row>
    <row r="254" spans="1:12" ht="15">
      <c r="B254" s="1551" t="str">
        <f>'8.Dgia'!B1374</f>
        <v/>
      </c>
      <c r="C254" s="1555">
        <f>'8.Dgia'!C1374</f>
        <v>0</v>
      </c>
      <c r="D254" s="1552">
        <f>'8.Dgia'!D1374</f>
        <v>0</v>
      </c>
      <c r="E254" s="1775" t="str">
        <f>'8.Dgia'!E1374</f>
        <v>Dầu diesel</v>
      </c>
      <c r="F254" s="1771" t="str">
        <f>'8.Dgia'!G1374</f>
        <v>kg</v>
      </c>
      <c r="G254" s="1772">
        <f>'8.Dgia'!H1374</f>
        <v>1.5</v>
      </c>
      <c r="H254" s="1855">
        <f>GVL!$I$73</f>
        <v>22500</v>
      </c>
      <c r="I254" s="1824">
        <f>H254*G254</f>
        <v>33750</v>
      </c>
    </row>
    <row r="255" spans="1:12" ht="15">
      <c r="B255" s="1551" t="str">
        <f>'8.Dgia'!B1375</f>
        <v/>
      </c>
      <c r="C255" s="1555">
        <f>'8.Dgia'!C1375</f>
        <v>0</v>
      </c>
      <c r="D255" s="1552">
        <f>'8.Dgia'!D1375</f>
        <v>0</v>
      </c>
      <c r="E255" s="1775" t="str">
        <f>'8.Dgia'!E1375</f>
        <v>Dầu mazut</v>
      </c>
      <c r="F255" s="1771" t="str">
        <f>'8.Dgia'!G1375</f>
        <v>kg</v>
      </c>
      <c r="G255" s="1772">
        <f>'8.Dgia'!H1375</f>
        <v>8.5</v>
      </c>
      <c r="H255" s="1855">
        <f>GVL!$I$76</f>
        <v>17436.363636363636</v>
      </c>
      <c r="I255" s="1824">
        <f>H255*G255</f>
        <v>148209.09090909091</v>
      </c>
    </row>
    <row r="256" spans="1:12" ht="15">
      <c r="B256" s="1551" t="str">
        <f>'8.Dgia'!B1376</f>
        <v/>
      </c>
      <c r="C256" s="1555">
        <f>'8.Dgia'!C1376</f>
        <v>0</v>
      </c>
      <c r="D256" s="1552">
        <f>'8.Dgia'!D1376</f>
        <v>0</v>
      </c>
      <c r="E256" s="1775" t="str">
        <f>'8.Dgia'!E1376</f>
        <v>Dầu bảo ôn</v>
      </c>
      <c r="F256" s="1771" t="str">
        <f>'8.Dgia'!G1376</f>
        <v>kg</v>
      </c>
      <c r="G256" s="1772">
        <f>'8.Dgia'!H1376</f>
        <v>0.42499999999999999</v>
      </c>
      <c r="H256" s="1855">
        <f>GVL!$I$70</f>
        <v>34000</v>
      </c>
      <c r="I256" s="1824">
        <f>H256*G256</f>
        <v>14450</v>
      </c>
    </row>
    <row r="257" spans="1:12" s="658" customFormat="1" ht="15">
      <c r="B257" s="1551" t="str">
        <f>'8.Dgia'!B1377</f>
        <v/>
      </c>
      <c r="C257" s="1555">
        <f>'8.Dgia'!C1377</f>
        <v>0</v>
      </c>
      <c r="D257" s="1552">
        <f>'8.Dgia'!D1377</f>
        <v>0</v>
      </c>
      <c r="E257" s="1775" t="str">
        <f>'8.Dgia'!E1377</f>
        <v xml:space="preserve">  B - Nhân công 4.5/7</v>
      </c>
      <c r="F257" s="1771" t="s">
        <v>552</v>
      </c>
      <c r="G257" s="1772">
        <f>'8.Dgia'!H1377</f>
        <v>5.28E-2</v>
      </c>
      <c r="H257" s="1853">
        <f>'16.NC'!$G$20</f>
        <v>251057</v>
      </c>
      <c r="I257" s="1854">
        <f>H257*G257</f>
        <v>13255.809600000001</v>
      </c>
      <c r="J257" s="850"/>
      <c r="K257" s="850"/>
      <c r="L257" s="850"/>
    </row>
    <row r="258" spans="1:12" s="658" customFormat="1" ht="15">
      <c r="A258" s="657"/>
      <c r="B258" s="2020"/>
      <c r="C258" s="1555">
        <f>'8.Dgia'!C1378</f>
        <v>0</v>
      </c>
      <c r="D258" s="1552">
        <f>'8.Dgia'!D1378</f>
        <v>0</v>
      </c>
      <c r="E258" s="1775" t="str">
        <f>'8.Dgia'!E1378</f>
        <v xml:space="preserve">  C - Máy thi công</v>
      </c>
      <c r="F258" s="1771">
        <f>'8.Dgia'!G1378</f>
        <v>0</v>
      </c>
      <c r="G258" s="1772">
        <f>'8.Dgia'!H1378</f>
        <v>0</v>
      </c>
      <c r="H258" s="1853"/>
      <c r="I258" s="1854">
        <f>SUM(I259:I262)</f>
        <v>133434.75326335529</v>
      </c>
      <c r="J258" s="850"/>
      <c r="K258" s="850"/>
      <c r="L258" s="850"/>
    </row>
    <row r="259" spans="1:12" ht="15">
      <c r="B259" s="1551" t="str">
        <f>'8.Dgia'!B1379</f>
        <v/>
      </c>
      <c r="C259" s="1555">
        <f>'8.Dgia'!C1379</f>
        <v>0</v>
      </c>
      <c r="D259" s="1552">
        <f>'8.Dgia'!D1379</f>
        <v>0</v>
      </c>
      <c r="E259" s="1775" t="str">
        <f>'8.Dgia'!E1379</f>
        <v>Trạm trộn BTN 50-60T/h</v>
      </c>
      <c r="F259" s="1771" t="s">
        <v>5493</v>
      </c>
      <c r="G259" s="1772">
        <f>'8.Dgia'!H1379</f>
        <v>4.6300000000000004E-3</v>
      </c>
      <c r="H259" s="1853">
        <f>'9.may'!$P$402</f>
        <v>21355788.48</v>
      </c>
      <c r="I259" s="1824">
        <f>H259*G259</f>
        <v>98877.300662400012</v>
      </c>
    </row>
    <row r="260" spans="1:12" ht="15">
      <c r="B260" s="1551" t="str">
        <f>'8.Dgia'!B1380</f>
        <v/>
      </c>
      <c r="C260" s="1555">
        <f>'8.Dgia'!C1380</f>
        <v>0</v>
      </c>
      <c r="D260" s="1552">
        <f>'8.Dgia'!D1380</f>
        <v>0</v>
      </c>
      <c r="E260" s="1775" t="str">
        <f>'8.Dgia'!E1380</f>
        <v>Máy đào 1 gàu 2.3m3</v>
      </c>
      <c r="F260" s="1771" t="s">
        <v>5493</v>
      </c>
      <c r="G260" s="1772">
        <f>'8.Dgia'!H1380</f>
        <v>4.6300000000000004E-3</v>
      </c>
      <c r="H260" s="1853">
        <f>'9.may'!$P$31</f>
        <v>5629111.3909090906</v>
      </c>
      <c r="I260" s="1824">
        <f>H260*G260</f>
        <v>26062.785739909094</v>
      </c>
    </row>
    <row r="261" spans="1:12" ht="15">
      <c r="B261" s="1551" t="str">
        <f>'8.Dgia'!B1381</f>
        <v/>
      </c>
      <c r="C261" s="1555">
        <f>'8.Dgia'!C1381</f>
        <v>0</v>
      </c>
      <c r="D261" s="1552">
        <f>'8.Dgia'!D1381</f>
        <v>0</v>
      </c>
      <c r="E261" s="1775" t="str">
        <f>'8.Dgia'!E1381</f>
        <v>Máy ủi 110cv</v>
      </c>
      <c r="F261" s="1771" t="s">
        <v>5493</v>
      </c>
      <c r="G261" s="1772">
        <f>'8.Dgia'!H1381</f>
        <v>3.0000000000000001E-3</v>
      </c>
      <c r="H261" s="1853">
        <f>'9.may'!$P$70</f>
        <v>1959433.0499999998</v>
      </c>
      <c r="I261" s="1824">
        <f>H261*G261</f>
        <v>5878.2991499999998</v>
      </c>
    </row>
    <row r="262" spans="1:12" ht="15">
      <c r="B262" s="1551" t="str">
        <f>'8.Dgia'!B1382</f>
        <v/>
      </c>
      <c r="C262" s="1555">
        <f>'8.Dgia'!C1382</f>
        <v>0</v>
      </c>
      <c r="D262" s="1552">
        <f>'8.Dgia'!D1382</f>
        <v>0</v>
      </c>
      <c r="E262" s="1775" t="str">
        <f>'8.Dgia'!E1382</f>
        <v>Máy khác</v>
      </c>
      <c r="F262" s="1771" t="str">
        <f>'8.Dgia'!G1382</f>
        <v>%</v>
      </c>
      <c r="G262" s="1772">
        <f>'8.Dgia'!H1382</f>
        <v>2</v>
      </c>
      <c r="H262" s="1853">
        <f>SUM(I259:I261)</f>
        <v>130818.3855523091</v>
      </c>
      <c r="I262" s="1824">
        <f>H262*G262%</f>
        <v>2616.3677110461822</v>
      </c>
    </row>
    <row r="263" spans="1:12" ht="15">
      <c r="B263" s="1551"/>
      <c r="C263" s="1555"/>
      <c r="D263" s="1552"/>
      <c r="E263" s="1828" t="s">
        <v>5675</v>
      </c>
      <c r="F263" s="1856">
        <f>$J$5</f>
        <v>0.02</v>
      </c>
      <c r="G263" s="1772"/>
      <c r="H263" s="1853"/>
      <c r="I263" s="1863">
        <f>( I243+I257+I258 )*F263</f>
        <v>28826.989559359979</v>
      </c>
    </row>
    <row r="264" spans="1:12" ht="15">
      <c r="B264" s="1551"/>
      <c r="C264" s="1555"/>
      <c r="D264" s="1552"/>
      <c r="E264" s="1831" t="s">
        <v>5676</v>
      </c>
      <c r="F264" s="1831"/>
      <c r="G264" s="1772"/>
      <c r="H264" s="1853"/>
      <c r="I264" s="1833">
        <f>I263+I263/F263</f>
        <v>1470176.467527359</v>
      </c>
    </row>
    <row r="265" spans="1:12" ht="15">
      <c r="B265" s="1551"/>
      <c r="C265" s="1555"/>
      <c r="D265" s="1552"/>
      <c r="E265" s="1834" t="s">
        <v>5677</v>
      </c>
      <c r="F265" s="1858">
        <f>$K$5</f>
        <v>5.7750000000000003E-2</v>
      </c>
      <c r="G265" s="1772"/>
      <c r="H265" s="1853"/>
      <c r="I265" s="1835">
        <f>I264*F265</f>
        <v>84902.690999704981</v>
      </c>
    </row>
    <row r="266" spans="1:12" ht="15">
      <c r="B266" s="1551"/>
      <c r="C266" s="1555"/>
      <c r="D266" s="1552"/>
      <c r="E266" s="1834" t="s">
        <v>5678</v>
      </c>
      <c r="F266" s="1856">
        <f>$L$5</f>
        <v>0.06</v>
      </c>
      <c r="G266" s="1772"/>
      <c r="H266" s="1853"/>
      <c r="I266" s="1835">
        <f>SUM(I264:I265)*F266</f>
        <v>93304.749511623828</v>
      </c>
    </row>
    <row r="267" spans="1:12" ht="15">
      <c r="B267" s="1551"/>
      <c r="C267" s="1555"/>
      <c r="D267" s="1552"/>
      <c r="E267" s="1831" t="s">
        <v>5679</v>
      </c>
      <c r="F267" s="1831"/>
      <c r="G267" s="1772"/>
      <c r="H267" s="1853"/>
      <c r="I267" s="1833">
        <f>SUM(I264:I266)</f>
        <v>1648383.9080386877</v>
      </c>
    </row>
    <row r="268" spans="1:12" ht="15">
      <c r="B268" s="1551"/>
      <c r="C268" s="1555"/>
      <c r="D268" s="1552"/>
      <c r="E268" s="1834" t="s">
        <v>5680</v>
      </c>
      <c r="F268" s="1856">
        <f>$M$5</f>
        <v>0.1</v>
      </c>
      <c r="G268" s="1772"/>
      <c r="H268" s="1853"/>
      <c r="I268" s="1835">
        <f>I267*F268</f>
        <v>164838.39080386877</v>
      </c>
    </row>
    <row r="269" spans="1:12" ht="15">
      <c r="B269" s="1551"/>
      <c r="C269" s="1555"/>
      <c r="D269" s="1552"/>
      <c r="E269" s="1831" t="s">
        <v>5681</v>
      </c>
      <c r="F269" s="1831"/>
      <c r="G269" s="1772"/>
      <c r="H269" s="1853"/>
      <c r="I269" s="1833">
        <f>SUM(I267:I268)</f>
        <v>1813222.2988425563</v>
      </c>
    </row>
    <row r="270" spans="1:12" ht="12.75">
      <c r="B270" s="1551"/>
      <c r="C270" s="1555"/>
      <c r="D270" s="1552"/>
      <c r="E270" s="1558" t="s">
        <v>5682</v>
      </c>
      <c r="F270" s="1595">
        <f>$N$5</f>
        <v>0.01</v>
      </c>
      <c r="G270" s="1553"/>
      <c r="H270" s="1594"/>
      <c r="I270" s="1559">
        <f>I269*F270</f>
        <v>18132.222988425565</v>
      </c>
    </row>
    <row r="271" spans="1:12" ht="15">
      <c r="B271" s="1596"/>
      <c r="C271" s="1597"/>
      <c r="D271" s="1597"/>
      <c r="E271" s="1859" t="s">
        <v>5683</v>
      </c>
      <c r="F271" s="1859"/>
      <c r="G271" s="1860"/>
      <c r="H271" s="1861"/>
      <c r="I271" s="1862">
        <f>ROUND(I269+I270,-2)</f>
        <v>1831400</v>
      </c>
    </row>
    <row r="272" spans="1:12" s="1336" customFormat="1" ht="15">
      <c r="A272" s="657">
        <v>1</v>
      </c>
      <c r="B272" s="1549">
        <f>IF(A272&lt;&gt;0,COUNTA(A$7:$A272),"")</f>
        <v>16</v>
      </c>
      <c r="C272" s="1555">
        <f>'8.Dgia'!C1383</f>
        <v>1776</v>
      </c>
      <c r="D272" s="1696" t="str">
        <f>'8.Dgia'!D1383</f>
        <v>AD.27212</v>
      </c>
      <c r="E272" s="1848" t="str">
        <f>'8.Dgia'!E1383</f>
        <v>Vận chuyển bê tông nhựa 1km</v>
      </c>
      <c r="F272" s="1849" t="str">
        <f>'8.Dgia'!G1383</f>
        <v>tấn/ton</v>
      </c>
      <c r="G272" s="1850">
        <f>'8.Dgia'!H1383</f>
        <v>0</v>
      </c>
      <c r="H272" s="1851"/>
      <c r="I272" s="1852"/>
      <c r="J272" s="1425"/>
      <c r="K272" s="1425"/>
      <c r="L272" s="1425">
        <f>+I273</f>
        <v>29556.524107090911</v>
      </c>
    </row>
    <row r="273" spans="1:12" ht="15">
      <c r="B273" s="1551" t="str">
        <f>'8.Dgia'!B1384</f>
        <v/>
      </c>
      <c r="C273" s="1555">
        <f>'8.Dgia'!C1384</f>
        <v>0</v>
      </c>
      <c r="D273" s="1552">
        <f>'8.Dgia'!D1384</f>
        <v>0</v>
      </c>
      <c r="E273" s="1775" t="str">
        <f>'8.Dgia'!E1384</f>
        <v xml:space="preserve">  C - Máy thi công</v>
      </c>
      <c r="F273" s="1771">
        <f>'8.Dgia'!G1384</f>
        <v>0</v>
      </c>
      <c r="G273" s="1772">
        <f>'8.Dgia'!H1384</f>
        <v>0</v>
      </c>
      <c r="H273" s="1853"/>
      <c r="I273" s="1854">
        <f>SUM(I274:I274)</f>
        <v>29556.524107090911</v>
      </c>
    </row>
    <row r="274" spans="1:12" ht="15">
      <c r="B274" s="2020"/>
      <c r="C274" s="1555">
        <f>'8.Dgia'!C1385</f>
        <v>0</v>
      </c>
      <c r="D274" s="1552">
        <f>'8.Dgia'!D1385</f>
        <v>0</v>
      </c>
      <c r="E274" s="1775" t="str">
        <f>'8.Dgia'!E1385</f>
        <v>Ôtô tự đổ 10T</v>
      </c>
      <c r="F274" s="1771" t="s">
        <v>5493</v>
      </c>
      <c r="G274" s="1772">
        <f>'8.Dgia'!H1385</f>
        <v>1.5800000000000002E-2</v>
      </c>
      <c r="H274" s="1853">
        <f>'9.may'!$P$148</f>
        <v>1870666.0827272725</v>
      </c>
      <c r="I274" s="1824">
        <f>H274*G274</f>
        <v>29556.524107090911</v>
      </c>
    </row>
    <row r="275" spans="1:12" ht="15">
      <c r="B275" s="1551"/>
      <c r="C275" s="1555"/>
      <c r="D275" s="1552"/>
      <c r="E275" s="1828" t="s">
        <v>5675</v>
      </c>
      <c r="F275" s="1856">
        <f>$J$5</f>
        <v>0.02</v>
      </c>
      <c r="G275" s="1772"/>
      <c r="H275" s="1853"/>
      <c r="I275" s="1863">
        <f>( I273 )*F275</f>
        <v>591.13048214181822</v>
      </c>
    </row>
    <row r="276" spans="1:12" ht="15">
      <c r="B276" s="1551"/>
      <c r="C276" s="1555"/>
      <c r="D276" s="1552"/>
      <c r="E276" s="1831" t="s">
        <v>5676</v>
      </c>
      <c r="F276" s="1831"/>
      <c r="G276" s="1772"/>
      <c r="H276" s="1853"/>
      <c r="I276" s="1833">
        <f>I275+I275/F275</f>
        <v>30147.65458923273</v>
      </c>
    </row>
    <row r="277" spans="1:12" ht="15">
      <c r="B277" s="1551"/>
      <c r="C277" s="1555"/>
      <c r="D277" s="1552"/>
      <c r="E277" s="1834" t="s">
        <v>5677</v>
      </c>
      <c r="F277" s="1858">
        <f>$K$5</f>
        <v>5.7750000000000003E-2</v>
      </c>
      <c r="G277" s="1772"/>
      <c r="H277" s="1853"/>
      <c r="I277" s="1835">
        <f>I276*F277</f>
        <v>1741.0270525281903</v>
      </c>
    </row>
    <row r="278" spans="1:12" ht="15">
      <c r="B278" s="1551"/>
      <c r="C278" s="1555"/>
      <c r="D278" s="1552"/>
      <c r="E278" s="1834" t="s">
        <v>5678</v>
      </c>
      <c r="F278" s="1856">
        <f>$L$5</f>
        <v>0.06</v>
      </c>
      <c r="G278" s="1772"/>
      <c r="H278" s="1853"/>
      <c r="I278" s="1835">
        <f>SUM(I276:I277)*F278</f>
        <v>1913.3208985056554</v>
      </c>
    </row>
    <row r="279" spans="1:12" ht="15">
      <c r="B279" s="1551"/>
      <c r="C279" s="1555"/>
      <c r="D279" s="1552"/>
      <c r="E279" s="1831" t="s">
        <v>5679</v>
      </c>
      <c r="F279" s="1831"/>
      <c r="G279" s="1772"/>
      <c r="H279" s="1853"/>
      <c r="I279" s="1833">
        <f>SUM(I276:I278)</f>
        <v>33802.002540266578</v>
      </c>
    </row>
    <row r="280" spans="1:12" ht="15">
      <c r="B280" s="1551"/>
      <c r="C280" s="1555"/>
      <c r="D280" s="1552"/>
      <c r="E280" s="1834" t="s">
        <v>5680</v>
      </c>
      <c r="F280" s="1856">
        <f>$M$5</f>
        <v>0.1</v>
      </c>
      <c r="G280" s="1772"/>
      <c r="H280" s="1853"/>
      <c r="I280" s="1835">
        <f>I279*F280</f>
        <v>3380.2002540266581</v>
      </c>
    </row>
    <row r="281" spans="1:12" ht="15">
      <c r="B281" s="1551"/>
      <c r="C281" s="1555"/>
      <c r="D281" s="1552"/>
      <c r="E281" s="1831" t="s">
        <v>5681</v>
      </c>
      <c r="F281" s="1831"/>
      <c r="G281" s="1772"/>
      <c r="H281" s="1853"/>
      <c r="I281" s="1833">
        <f>SUM(I279:I280)</f>
        <v>37182.202794293233</v>
      </c>
    </row>
    <row r="282" spans="1:12" ht="12.75">
      <c r="B282" s="1551"/>
      <c r="C282" s="1555"/>
      <c r="D282" s="1552"/>
      <c r="E282" s="1558" t="s">
        <v>5682</v>
      </c>
      <c r="F282" s="1595">
        <f>$N$5</f>
        <v>0.01</v>
      </c>
      <c r="G282" s="1553"/>
      <c r="H282" s="1594"/>
      <c r="I282" s="1559">
        <f>I281*F282</f>
        <v>371.82202794293232</v>
      </c>
    </row>
    <row r="283" spans="1:12" ht="15">
      <c r="B283" s="1596"/>
      <c r="C283" s="1597"/>
      <c r="D283" s="1597"/>
      <c r="E283" s="1859" t="s">
        <v>5683</v>
      </c>
      <c r="F283" s="1859"/>
      <c r="G283" s="1860"/>
      <c r="H283" s="1861"/>
      <c r="I283" s="1862">
        <f>ROUND(I281+I282,-2)</f>
        <v>37600</v>
      </c>
    </row>
    <row r="284" spans="1:12" ht="15">
      <c r="A284" s="657">
        <v>1</v>
      </c>
      <c r="B284" s="1549">
        <f>IF(A284&lt;&gt;0,COUNTA(A$7:$A284),"")</f>
        <v>17</v>
      </c>
      <c r="C284" s="1555">
        <f>'8.Dgia'!C1386</f>
        <v>1776</v>
      </c>
      <c r="D284" s="1696" t="str">
        <f>'8.Dgia'!D1386</f>
        <v>AD.23233</v>
      </c>
      <c r="E284" s="1848" t="str">
        <f>'8.Dgia'!E1386</f>
        <v>Trải bê tông nhựa hạt mịn dày 5cm</v>
      </c>
      <c r="F284" s="1849" t="s">
        <v>548</v>
      </c>
      <c r="G284" s="1850">
        <f>'8.Dgia'!H1386</f>
        <v>0</v>
      </c>
      <c r="H284" s="1851"/>
      <c r="I284" s="1892"/>
      <c r="K284" s="842">
        <f>+I285</f>
        <v>4293.9980000000005</v>
      </c>
      <c r="L284" s="842">
        <f>+I286</f>
        <v>4071.8112036938173</v>
      </c>
    </row>
    <row r="285" spans="1:12" s="658" customFormat="1" ht="15">
      <c r="B285" s="1551" t="str">
        <f>'8.Dgia'!B1387</f>
        <v/>
      </c>
      <c r="C285" s="1555">
        <f>'8.Dgia'!C1387</f>
        <v>0</v>
      </c>
      <c r="D285" s="1552">
        <f>'8.Dgia'!D1387</f>
        <v>0</v>
      </c>
      <c r="E285" s="1775" t="str">
        <f>'8.Dgia'!E1387</f>
        <v xml:space="preserve">  B - Nhân công 4.0/7</v>
      </c>
      <c r="F285" s="1771" t="s">
        <v>552</v>
      </c>
      <c r="G285" s="1772">
        <f>'8.Dgia'!H1387/100</f>
        <v>1.8500000000000003E-2</v>
      </c>
      <c r="H285" s="1853">
        <f>'16.NC'!$G$18</f>
        <v>232108</v>
      </c>
      <c r="I285" s="1854">
        <f>H285*G285</f>
        <v>4293.9980000000005</v>
      </c>
      <c r="J285" s="850"/>
      <c r="K285" s="850"/>
      <c r="L285" s="850"/>
    </row>
    <row r="286" spans="1:12" s="658" customFormat="1" ht="15">
      <c r="B286" s="1551" t="str">
        <f>'8.Dgia'!B1388</f>
        <v/>
      </c>
      <c r="C286" s="1555">
        <f>'8.Dgia'!C1388</f>
        <v>0</v>
      </c>
      <c r="D286" s="1552">
        <f>'8.Dgia'!D1388</f>
        <v>0</v>
      </c>
      <c r="E286" s="1775" t="str">
        <f>'8.Dgia'!E1388</f>
        <v xml:space="preserve">  C - Máy thi công</v>
      </c>
      <c r="F286" s="1771">
        <f>'8.Dgia'!G1388</f>
        <v>0</v>
      </c>
      <c r="G286" s="1772">
        <f>'8.Dgia'!H1388/100</f>
        <v>0</v>
      </c>
      <c r="H286" s="1853"/>
      <c r="I286" s="1854">
        <f>SUM(I287:I290)</f>
        <v>4071.8112036938173</v>
      </c>
      <c r="J286" s="850"/>
      <c r="K286" s="850"/>
      <c r="L286" s="850"/>
    </row>
    <row r="287" spans="1:12" ht="15">
      <c r="B287" s="1551" t="str">
        <f>'8.Dgia'!B1389</f>
        <v/>
      </c>
      <c r="C287" s="1555">
        <f>'8.Dgia'!C1389</f>
        <v>0</v>
      </c>
      <c r="D287" s="1552">
        <f>'8.Dgia'!D1389</f>
        <v>0</v>
      </c>
      <c r="E287" s="1775" t="str">
        <f>'8.Dgia'!E1389</f>
        <v>Máy rải 130-140cv</v>
      </c>
      <c r="F287" s="1771" t="s">
        <v>5493</v>
      </c>
      <c r="G287" s="1772">
        <f>'8.Dgia'!H1389/100</f>
        <v>4.4999999999999999E-4</v>
      </c>
      <c r="H287" s="1853">
        <f>'9.may'!$P$752</f>
        <v>4352684.9563636361</v>
      </c>
      <c r="I287" s="1824">
        <f>H287*G287</f>
        <v>1958.7082303636362</v>
      </c>
    </row>
    <row r="288" spans="1:12" ht="15">
      <c r="B288" s="2020"/>
      <c r="C288" s="1555">
        <f>'8.Dgia'!C1390</f>
        <v>0</v>
      </c>
      <c r="D288" s="1552">
        <f>'8.Dgia'!D1390</f>
        <v>0</v>
      </c>
      <c r="E288" s="1775" t="str">
        <f>'8.Dgia'!E1390</f>
        <v>Máy lu bánh thép 10T</v>
      </c>
      <c r="F288" s="1771" t="s">
        <v>5493</v>
      </c>
      <c r="G288" s="1772">
        <f>'8.Dgia'!H1390/100</f>
        <v>1.1999999999999999E-3</v>
      </c>
      <c r="H288" s="1853">
        <f>'9.may'!$P$122</f>
        <v>950702.42999999993</v>
      </c>
      <c r="I288" s="1824">
        <f>H288*G288</f>
        <v>1140.8429159999998</v>
      </c>
    </row>
    <row r="289" spans="1:12" ht="15">
      <c r="B289" s="1551" t="str">
        <f>'8.Dgia'!B1391</f>
        <v/>
      </c>
      <c r="C289" s="1555">
        <f>'8.Dgia'!C1391</f>
        <v>0</v>
      </c>
      <c r="D289" s="1552">
        <f>'8.Dgia'!D1391</f>
        <v>0</v>
      </c>
      <c r="E289" s="1775" t="str">
        <f>'8.Dgia'!E1391</f>
        <v>Lu bánh lốp 16T</v>
      </c>
      <c r="F289" s="1771" t="s">
        <v>5493</v>
      </c>
      <c r="G289" s="1772">
        <f>'8.Dgia'!H1391/100</f>
        <v>6.4000000000000005E-4</v>
      </c>
      <c r="H289" s="1853">
        <f>'9.may'!$P$109</f>
        <v>1394407.2218181817</v>
      </c>
      <c r="I289" s="1824">
        <f>H289*G289</f>
        <v>892.42062196363634</v>
      </c>
    </row>
    <row r="290" spans="1:12" ht="15">
      <c r="B290" s="1551" t="str">
        <f>'8.Dgia'!B1392</f>
        <v/>
      </c>
      <c r="C290" s="1555">
        <f>'8.Dgia'!C1392</f>
        <v>0</v>
      </c>
      <c r="D290" s="1552">
        <f>'8.Dgia'!D1392</f>
        <v>0</v>
      </c>
      <c r="E290" s="1775" t="str">
        <f>'8.Dgia'!E1392</f>
        <v>Máy khác</v>
      </c>
      <c r="F290" s="1771" t="str">
        <f>'8.Dgia'!G1392</f>
        <v>%</v>
      </c>
      <c r="G290" s="1772">
        <f>'8.Dgia'!H1392</f>
        <v>2</v>
      </c>
      <c r="H290" s="1853">
        <f>SUM(I287:I289)</f>
        <v>3991.971768327272</v>
      </c>
      <c r="I290" s="1824">
        <f>H290*G290%</f>
        <v>79.839435366545445</v>
      </c>
    </row>
    <row r="291" spans="1:12" ht="15">
      <c r="B291" s="1551"/>
      <c r="C291" s="1555"/>
      <c r="D291" s="1552"/>
      <c r="E291" s="1828" t="s">
        <v>5675</v>
      </c>
      <c r="F291" s="1856">
        <f>$J$5</f>
        <v>0.02</v>
      </c>
      <c r="G291" s="1772"/>
      <c r="H291" s="1853"/>
      <c r="I291" s="1863">
        <f>( I285+I286 )*F291</f>
        <v>167.31618407387637</v>
      </c>
    </row>
    <row r="292" spans="1:12" ht="15">
      <c r="B292" s="1551"/>
      <c r="C292" s="1555"/>
      <c r="D292" s="1552"/>
      <c r="E292" s="1831" t="s">
        <v>5676</v>
      </c>
      <c r="F292" s="1831"/>
      <c r="G292" s="1772"/>
      <c r="H292" s="1853"/>
      <c r="I292" s="1833">
        <f>I291+I291/F291</f>
        <v>8533.1253877676936</v>
      </c>
    </row>
    <row r="293" spans="1:12" ht="15">
      <c r="B293" s="1551"/>
      <c r="C293" s="1555"/>
      <c r="D293" s="1552"/>
      <c r="E293" s="1834" t="s">
        <v>5677</v>
      </c>
      <c r="F293" s="1858">
        <f>$K$5</f>
        <v>5.7750000000000003E-2</v>
      </c>
      <c r="G293" s="1772"/>
      <c r="H293" s="1853"/>
      <c r="I293" s="1835">
        <f>I292*F293</f>
        <v>492.78799114358435</v>
      </c>
    </row>
    <row r="294" spans="1:12" ht="15">
      <c r="B294" s="1551"/>
      <c r="C294" s="1555"/>
      <c r="D294" s="1552"/>
      <c r="E294" s="1834" t="s">
        <v>5678</v>
      </c>
      <c r="F294" s="1856">
        <f>$L$5</f>
        <v>0.06</v>
      </c>
      <c r="G294" s="1772"/>
      <c r="H294" s="1853"/>
      <c r="I294" s="1835">
        <f>SUM(I292:I293)*F294</f>
        <v>541.55480273467674</v>
      </c>
    </row>
    <row r="295" spans="1:12" ht="15">
      <c r="B295" s="1551"/>
      <c r="C295" s="1555"/>
      <c r="D295" s="1552"/>
      <c r="E295" s="1831" t="s">
        <v>5679</v>
      </c>
      <c r="F295" s="1831"/>
      <c r="G295" s="1772"/>
      <c r="H295" s="1853"/>
      <c r="I295" s="1833">
        <f>SUM(I292:I294)</f>
        <v>9567.4681816459561</v>
      </c>
    </row>
    <row r="296" spans="1:12" ht="15">
      <c r="B296" s="1551"/>
      <c r="C296" s="1555"/>
      <c r="D296" s="1552"/>
      <c r="E296" s="1834" t="s">
        <v>5680</v>
      </c>
      <c r="F296" s="1856">
        <f>$M$5</f>
        <v>0.1</v>
      </c>
      <c r="G296" s="1772"/>
      <c r="H296" s="1853"/>
      <c r="I296" s="1835">
        <f>I295*F296</f>
        <v>956.74681816459565</v>
      </c>
    </row>
    <row r="297" spans="1:12" ht="15">
      <c r="B297" s="1551"/>
      <c r="C297" s="1555"/>
      <c r="D297" s="1552"/>
      <c r="E297" s="1831" t="s">
        <v>5681</v>
      </c>
      <c r="F297" s="1831"/>
      <c r="G297" s="1772"/>
      <c r="H297" s="1853"/>
      <c r="I297" s="1833">
        <f>SUM(I295:I296)</f>
        <v>10524.214999810552</v>
      </c>
    </row>
    <row r="298" spans="1:12" ht="12.75">
      <c r="B298" s="1551"/>
      <c r="C298" s="1555"/>
      <c r="D298" s="1552"/>
      <c r="E298" s="1558" t="s">
        <v>5682</v>
      </c>
      <c r="F298" s="1595">
        <f>$N$5</f>
        <v>0.01</v>
      </c>
      <c r="G298" s="1553"/>
      <c r="H298" s="1594"/>
      <c r="I298" s="1559">
        <f>I297*F298</f>
        <v>105.24214999810553</v>
      </c>
    </row>
    <row r="299" spans="1:12" ht="15">
      <c r="B299" s="1596"/>
      <c r="C299" s="1597"/>
      <c r="D299" s="1597"/>
      <c r="E299" s="1859" t="s">
        <v>5683</v>
      </c>
      <c r="F299" s="1859"/>
      <c r="G299" s="1860"/>
      <c r="H299" s="1861"/>
      <c r="I299" s="1862">
        <f>ROUND(I297+I298,-2)</f>
        <v>10600</v>
      </c>
    </row>
    <row r="300" spans="1:12" ht="15">
      <c r="A300" s="657">
        <v>1</v>
      </c>
      <c r="B300" s="1549">
        <f>IF(A300&lt;&gt;0,COUNTA(A$7:$A300),"")</f>
        <v>18</v>
      </c>
      <c r="C300" s="1555">
        <f>'8.Dgia'!C1393</f>
        <v>1776</v>
      </c>
      <c r="D300" s="1696" t="str">
        <f>'8.Dgia'!D1393</f>
        <v>AD.24211</v>
      </c>
      <c r="E300" s="1848" t="str">
        <f>'8.Dgia'!E1393</f>
        <v>Tưới nhựa 0.5kg/m2</v>
      </c>
      <c r="F300" s="1849" t="s">
        <v>548</v>
      </c>
      <c r="G300" s="1850">
        <f>'8.Dgia'!H1393</f>
        <v>0</v>
      </c>
      <c r="H300" s="1851"/>
      <c r="I300" s="1892"/>
      <c r="J300" s="842">
        <f>+I301</f>
        <v>8881.2623479849917</v>
      </c>
      <c r="K300" s="842">
        <f>+I304</f>
        <v>675.79079999999999</v>
      </c>
      <c r="L300" s="842">
        <f>+I305</f>
        <v>2909.3991583363631</v>
      </c>
    </row>
    <row r="301" spans="1:12" s="658" customFormat="1" ht="15">
      <c r="B301" s="1551" t="str">
        <f>'8.Dgia'!B1394</f>
        <v/>
      </c>
      <c r="C301" s="1555">
        <f>'8.Dgia'!C1394</f>
        <v>0</v>
      </c>
      <c r="D301" s="1552">
        <f>'8.Dgia'!D1394</f>
        <v>0</v>
      </c>
      <c r="E301" s="2018" t="str">
        <f>'8.Dgia'!E1394</f>
        <v xml:space="preserve">  A - Vật liệu</v>
      </c>
      <c r="F301" s="1771">
        <f>'8.Dgia'!G1394</f>
        <v>0</v>
      </c>
      <c r="G301" s="1772">
        <f>'8.Dgia'!H1394</f>
        <v>0</v>
      </c>
      <c r="H301" s="1853"/>
      <c r="I301" s="1854">
        <f>SUM(I302:I303)</f>
        <v>8881.2623479849917</v>
      </c>
      <c r="J301" s="850"/>
      <c r="K301" s="850"/>
      <c r="L301" s="850"/>
    </row>
    <row r="302" spans="1:12" ht="15">
      <c r="B302" s="1551" t="str">
        <f>'8.Dgia'!B1395</f>
        <v/>
      </c>
      <c r="C302" s="1555">
        <f>'8.Dgia'!C1395</f>
        <v>0</v>
      </c>
      <c r="D302" s="1552">
        <f>'8.Dgia'!D1395</f>
        <v>0</v>
      </c>
      <c r="E302" s="1775" t="str">
        <f>'8.Dgia'!E1395</f>
        <v>Nhựa đường</v>
      </c>
      <c r="F302" s="1771" t="str">
        <f>'8.Dgia'!G1395</f>
        <v>kg</v>
      </c>
      <c r="G302" s="1772">
        <f>'8.Dgia'!H1395/100</f>
        <v>0.32322000000000001</v>
      </c>
      <c r="H302" s="1855">
        <f>GVL!$I$128</f>
        <v>15823.463400000001</v>
      </c>
      <c r="I302" s="1824">
        <f>H302*G302</f>
        <v>5114.4598401480007</v>
      </c>
    </row>
    <row r="303" spans="1:12" ht="15">
      <c r="B303" s="1551" t="str">
        <f>'8.Dgia'!B1396</f>
        <v/>
      </c>
      <c r="C303" s="1555">
        <f>'8.Dgia'!C1396</f>
        <v>0</v>
      </c>
      <c r="D303" s="1552">
        <f>'8.Dgia'!D1396</f>
        <v>0</v>
      </c>
      <c r="E303" s="1775" t="str">
        <f>'8.Dgia'!E1396</f>
        <v>Dầu hỏa</v>
      </c>
      <c r="F303" s="1771" t="str">
        <f>'8.Dgia'!G1396</f>
        <v>kg</v>
      </c>
      <c r="G303" s="1772">
        <f>'8.Dgia'!H1396/100</f>
        <v>0.1605</v>
      </c>
      <c r="H303" s="1855">
        <f>GVL!$I$74</f>
        <v>23469.174503657261</v>
      </c>
      <c r="I303" s="1824">
        <f>H303*G303</f>
        <v>3766.8025078369906</v>
      </c>
    </row>
    <row r="304" spans="1:12" s="658" customFormat="1" ht="15">
      <c r="B304" s="1551" t="str">
        <f>'8.Dgia'!B1397</f>
        <v/>
      </c>
      <c r="C304" s="1555">
        <f>'8.Dgia'!C1397</f>
        <v>0</v>
      </c>
      <c r="D304" s="1552">
        <f>'8.Dgia'!D1397</f>
        <v>0</v>
      </c>
      <c r="E304" s="1775" t="str">
        <f>'8.Dgia'!E1397</f>
        <v xml:space="preserve">  B - Nhân công 3.5/7</v>
      </c>
      <c r="F304" s="1771" t="s">
        <v>552</v>
      </c>
      <c r="G304" s="1772">
        <f>'8.Dgia'!H1397/100</f>
        <v>3.14E-3</v>
      </c>
      <c r="H304" s="1853">
        <f>'16.NC'!$G$16</f>
        <v>215220</v>
      </c>
      <c r="I304" s="1854">
        <f>H304*G304</f>
        <v>675.79079999999999</v>
      </c>
      <c r="J304" s="850"/>
      <c r="K304" s="850"/>
      <c r="L304" s="850"/>
    </row>
    <row r="305" spans="1:12" s="658" customFormat="1" ht="15">
      <c r="B305" s="1551" t="str">
        <f>'8.Dgia'!B1398</f>
        <v/>
      </c>
      <c r="C305" s="1555">
        <f>'8.Dgia'!C1398</f>
        <v>0</v>
      </c>
      <c r="D305" s="1552">
        <f>'8.Dgia'!D1398</f>
        <v>0</v>
      </c>
      <c r="E305" s="1775" t="str">
        <f>'8.Dgia'!E1398</f>
        <v xml:space="preserve">  C - Máy thi công</v>
      </c>
      <c r="F305" s="1771">
        <f>'8.Dgia'!G1398</f>
        <v>0</v>
      </c>
      <c r="G305" s="1772">
        <f>'8.Dgia'!H1398/100</f>
        <v>0</v>
      </c>
      <c r="H305" s="1853"/>
      <c r="I305" s="1854">
        <f>SUM(I306:I308)</f>
        <v>2909.3991583363631</v>
      </c>
      <c r="J305" s="850"/>
      <c r="K305" s="850"/>
      <c r="L305" s="850"/>
    </row>
    <row r="306" spans="1:12" ht="15">
      <c r="B306" s="1551" t="str">
        <f>'8.Dgia'!B1399</f>
        <v/>
      </c>
      <c r="C306" s="1555">
        <f>'8.Dgia'!C1399</f>
        <v>0</v>
      </c>
      <c r="D306" s="1552">
        <f>'8.Dgia'!D1399</f>
        <v>0</v>
      </c>
      <c r="E306" s="1775" t="str">
        <f>'8.Dgia'!E1399</f>
        <v>Thiết bị nấu nhựa</v>
      </c>
      <c r="F306" s="1771" t="s">
        <v>5493</v>
      </c>
      <c r="G306" s="1772">
        <f>'8.Dgia'!H1399/100</f>
        <v>4.8999999999999998E-4</v>
      </c>
      <c r="H306" s="1853">
        <f>'9.may'!$P$412</f>
        <v>70884.210000000006</v>
      </c>
      <c r="I306" s="1824">
        <f>H306*G306</f>
        <v>34.7332629</v>
      </c>
    </row>
    <row r="307" spans="1:12" ht="15" customHeight="1">
      <c r="B307" s="2020"/>
      <c r="C307" s="1555">
        <f>'8.Dgia'!C1400</f>
        <v>0</v>
      </c>
      <c r="D307" s="1552">
        <f>'8.Dgia'!D1400</f>
        <v>0</v>
      </c>
      <c r="E307" s="1775" t="str">
        <f>'8.Dgia'!E1400</f>
        <v>Máy phun nhựa đường - công suất 190CV</v>
      </c>
      <c r="F307" s="1771" t="s">
        <v>5493</v>
      </c>
      <c r="G307" s="1772">
        <f>'8.Dgia'!H1400/100</f>
        <v>9.7999999999999997E-4</v>
      </c>
      <c r="H307" s="1853">
        <f>'9.may'!$P$405</f>
        <v>2271696.4690909088</v>
      </c>
      <c r="I307" s="1824">
        <f>H307*G307</f>
        <v>2226.2625397090906</v>
      </c>
    </row>
    <row r="308" spans="1:12" ht="15">
      <c r="B308" s="1551" t="str">
        <f>'8.Dgia'!B1401</f>
        <v/>
      </c>
      <c r="C308" s="1555">
        <f>'8.Dgia'!C1401</f>
        <v>0</v>
      </c>
      <c r="D308" s="1552">
        <f>'8.Dgia'!D1401</f>
        <v>0</v>
      </c>
      <c r="E308" s="1775" t="str">
        <f>'8.Dgia'!E1401</f>
        <v>Máy nén khí 600m3/h</v>
      </c>
      <c r="F308" s="1771" t="s">
        <v>5493</v>
      </c>
      <c r="G308" s="1772">
        <f>'8.Dgia'!H1401/100</f>
        <v>4.8999999999999998E-4</v>
      </c>
      <c r="H308" s="1853">
        <f>'9.may'!$P$488</f>
        <v>1323272.1545454543</v>
      </c>
      <c r="I308" s="1824">
        <f>H308*G308</f>
        <v>648.40335572727258</v>
      </c>
    </row>
    <row r="309" spans="1:12" ht="15">
      <c r="B309" s="1551"/>
      <c r="C309" s="1555"/>
      <c r="D309" s="1552"/>
      <c r="E309" s="1828" t="s">
        <v>5675</v>
      </c>
      <c r="F309" s="1856">
        <f>$J$5</f>
        <v>0.02</v>
      </c>
      <c r="G309" s="1772"/>
      <c r="H309" s="1853"/>
      <c r="I309" s="1863">
        <f>( I301+I304+I305 )*F309</f>
        <v>249.32904612642713</v>
      </c>
    </row>
    <row r="310" spans="1:12" ht="15">
      <c r="B310" s="1551"/>
      <c r="C310" s="1555"/>
      <c r="D310" s="1552"/>
      <c r="E310" s="1831" t="s">
        <v>5676</v>
      </c>
      <c r="F310" s="1831"/>
      <c r="G310" s="1772"/>
      <c r="H310" s="1853"/>
      <c r="I310" s="1833">
        <f>I309+I309/F309</f>
        <v>12715.781352447784</v>
      </c>
    </row>
    <row r="311" spans="1:12" ht="15">
      <c r="B311" s="1551"/>
      <c r="C311" s="1555"/>
      <c r="D311" s="1552"/>
      <c r="E311" s="1834" t="s">
        <v>5677</v>
      </c>
      <c r="F311" s="1858">
        <f>$K$5</f>
        <v>5.7750000000000003E-2</v>
      </c>
      <c r="G311" s="1772"/>
      <c r="H311" s="1853"/>
      <c r="I311" s="1835">
        <f>I310*F311</f>
        <v>734.33637310385961</v>
      </c>
    </row>
    <row r="312" spans="1:12" ht="15">
      <c r="B312" s="1551"/>
      <c r="C312" s="1555"/>
      <c r="D312" s="1552"/>
      <c r="E312" s="1834" t="s">
        <v>5678</v>
      </c>
      <c r="F312" s="1856">
        <f>$L$5</f>
        <v>0.06</v>
      </c>
      <c r="G312" s="1772"/>
      <c r="H312" s="1853"/>
      <c r="I312" s="1835">
        <f>SUM(I310:I311)*F312</f>
        <v>807.00706353309852</v>
      </c>
    </row>
    <row r="313" spans="1:12" ht="15">
      <c r="B313" s="1551"/>
      <c r="C313" s="1555"/>
      <c r="D313" s="1552"/>
      <c r="E313" s="1831" t="s">
        <v>5679</v>
      </c>
      <c r="F313" s="1831"/>
      <c r="G313" s="1772"/>
      <c r="H313" s="1853"/>
      <c r="I313" s="1833">
        <f>SUM(I310:I312)</f>
        <v>14257.124789084741</v>
      </c>
    </row>
    <row r="314" spans="1:12" ht="15">
      <c r="B314" s="1551"/>
      <c r="C314" s="1555"/>
      <c r="D314" s="1552"/>
      <c r="E314" s="1834" t="s">
        <v>5680</v>
      </c>
      <c r="F314" s="1856">
        <f>$M$5</f>
        <v>0.1</v>
      </c>
      <c r="G314" s="1772"/>
      <c r="H314" s="1853"/>
      <c r="I314" s="1835">
        <f>I313*F314</f>
        <v>1425.7124789084742</v>
      </c>
    </row>
    <row r="315" spans="1:12" ht="15">
      <c r="B315" s="1551"/>
      <c r="C315" s="1555"/>
      <c r="D315" s="1552"/>
      <c r="E315" s="1831" t="s">
        <v>5681</v>
      </c>
      <c r="F315" s="1831"/>
      <c r="G315" s="1772"/>
      <c r="H315" s="1853"/>
      <c r="I315" s="1833">
        <f>SUM(I313:I314)</f>
        <v>15682.837267993214</v>
      </c>
    </row>
    <row r="316" spans="1:12" ht="12.75">
      <c r="B316" s="1551"/>
      <c r="C316" s="1555"/>
      <c r="D316" s="1552"/>
      <c r="E316" s="1558" t="s">
        <v>5682</v>
      </c>
      <c r="F316" s="1595">
        <f>$N$5</f>
        <v>0.01</v>
      </c>
      <c r="G316" s="1553"/>
      <c r="H316" s="1594"/>
      <c r="I316" s="1559">
        <f>I315*F316</f>
        <v>156.82837267993216</v>
      </c>
    </row>
    <row r="317" spans="1:12" ht="15">
      <c r="B317" s="1596"/>
      <c r="C317" s="1597"/>
      <c r="D317" s="1597"/>
      <c r="E317" s="1859" t="s">
        <v>5683</v>
      </c>
      <c r="F317" s="1859"/>
      <c r="G317" s="1860"/>
      <c r="H317" s="1861"/>
      <c r="I317" s="1862">
        <f>ROUND(I315+I316,-2)</f>
        <v>15800</v>
      </c>
    </row>
    <row r="318" spans="1:12" s="1336" customFormat="1" ht="15">
      <c r="A318" s="657">
        <v>1</v>
      </c>
      <c r="B318" s="1549">
        <f>IF(A318&lt;&gt;0,COUNTA(A$7:$A318),"")</f>
        <v>19</v>
      </c>
      <c r="C318" s="1555">
        <f>'8.Dgia'!C1448</f>
        <v>1776</v>
      </c>
      <c r="D318" s="1696" t="str">
        <f>'8.Dgia'!D1448</f>
        <v>AD.11222</v>
      </c>
      <c r="E318" s="1848" t="str">
        <f>'8.Dgia'!E1448</f>
        <v>Cấp phối đá dăm (móng trên)</v>
      </c>
      <c r="F318" s="1849" t="s">
        <v>545</v>
      </c>
      <c r="G318" s="1850">
        <f>'8.Dgia'!H1448</f>
        <v>0</v>
      </c>
      <c r="H318" s="1893"/>
      <c r="I318" s="1894"/>
      <c r="J318" s="1425">
        <f>+I319</f>
        <v>424843.28539434419</v>
      </c>
      <c r="K318" s="1425">
        <f>+I321</f>
        <v>10212.752</v>
      </c>
      <c r="L318" s="1425">
        <f>+I322</f>
        <v>22788.447920881365</v>
      </c>
    </row>
    <row r="319" spans="1:12" ht="15">
      <c r="B319" s="1551" t="str">
        <f>'8.Dgia'!B1449</f>
        <v/>
      </c>
      <c r="C319" s="1555">
        <f>'8.Dgia'!C1449</f>
        <v>0</v>
      </c>
      <c r="D319" s="1552">
        <f>'8.Dgia'!D1449</f>
        <v>0</v>
      </c>
      <c r="E319" s="2018" t="str">
        <f>'8.Dgia'!E1449</f>
        <v xml:space="preserve">  A - Vật liệu</v>
      </c>
      <c r="F319" s="1771">
        <f>'8.Dgia'!G1449</f>
        <v>0</v>
      </c>
      <c r="G319" s="1772">
        <f>'8.Dgia'!H1449</f>
        <v>0</v>
      </c>
      <c r="H319" s="1895"/>
      <c r="I319" s="1896">
        <f>I320</f>
        <v>424843.28539434419</v>
      </c>
    </row>
    <row r="320" spans="1:12" ht="15">
      <c r="B320" s="1551" t="str">
        <f>'8.Dgia'!B1450</f>
        <v/>
      </c>
      <c r="C320" s="1555">
        <f>'8.Dgia'!C1450</f>
        <v>0</v>
      </c>
      <c r="D320" s="1552">
        <f>'8.Dgia'!D1450</f>
        <v>0</v>
      </c>
      <c r="E320" s="1775" t="str">
        <f>'8.Dgia'!E1450</f>
        <v>Cấp phối đá dăm loại 1</v>
      </c>
      <c r="F320" s="1771" t="str">
        <f>'8.Dgia'!G1450</f>
        <v>m3</v>
      </c>
      <c r="G320" s="1772">
        <f>'8.Dgia'!H1450/100</f>
        <v>1.42</v>
      </c>
      <c r="H320" s="1853">
        <f>GVL!$I$34</f>
        <v>299185.41224953817</v>
      </c>
      <c r="I320" s="1824">
        <f>H320*G320</f>
        <v>424843.28539434419</v>
      </c>
    </row>
    <row r="321" spans="2:9" ht="15">
      <c r="B321" s="1551" t="str">
        <f>'8.Dgia'!B1451</f>
        <v/>
      </c>
      <c r="C321" s="1555">
        <f>'8.Dgia'!C1451</f>
        <v>0</v>
      </c>
      <c r="D321" s="1552">
        <f>'8.Dgia'!D1451</f>
        <v>0</v>
      </c>
      <c r="E321" s="1775" t="str">
        <f>'8.Dgia'!E1451</f>
        <v xml:space="preserve">  B - Nhân công 4.0/7</v>
      </c>
      <c r="F321" s="1771" t="s">
        <v>552</v>
      </c>
      <c r="G321" s="1772">
        <f>'8.Dgia'!H1451/100</f>
        <v>4.4000000000000004E-2</v>
      </c>
      <c r="H321" s="1853">
        <f>'16.NC'!$G$18</f>
        <v>232108</v>
      </c>
      <c r="I321" s="1854">
        <f>H321*G321</f>
        <v>10212.752</v>
      </c>
    </row>
    <row r="322" spans="2:9" ht="15">
      <c r="B322" s="1551" t="str">
        <f>'8.Dgia'!B1452</f>
        <v/>
      </c>
      <c r="C322" s="1555">
        <f>'8.Dgia'!C1452</f>
        <v>0</v>
      </c>
      <c r="D322" s="1552">
        <f>'8.Dgia'!D1452</f>
        <v>0</v>
      </c>
      <c r="E322" s="1775" t="str">
        <f>'8.Dgia'!E1452</f>
        <v xml:space="preserve">  C - Máy thi công</v>
      </c>
      <c r="F322" s="1771">
        <f>'8.Dgia'!G1452</f>
        <v>0</v>
      </c>
      <c r="G322" s="1772">
        <f>'8.Dgia'!H1452/100</f>
        <v>0</v>
      </c>
      <c r="H322" s="1855"/>
      <c r="I322" s="1896">
        <f>SUM(I323:I328)</f>
        <v>22788.447920881365</v>
      </c>
    </row>
    <row r="323" spans="2:9" ht="15">
      <c r="B323" s="1551" t="str">
        <f>'8.Dgia'!B1453</f>
        <v/>
      </c>
      <c r="C323" s="1555">
        <f>'8.Dgia'!C1453</f>
        <v>0</v>
      </c>
      <c r="D323" s="1552">
        <f>'8.Dgia'!D1453</f>
        <v>0</v>
      </c>
      <c r="E323" s="1775" t="str">
        <f>'8.Dgia'!E1453</f>
        <v>Máy rải 50-60m3/h</v>
      </c>
      <c r="F323" s="1771" t="s">
        <v>5493</v>
      </c>
      <c r="G323" s="1772">
        <f>'8.Dgia'!H1453/100</f>
        <v>2.0999999999999999E-3</v>
      </c>
      <c r="H323" s="1853">
        <f>'9.may'!$P$754</f>
        <v>3060566.9727272727</v>
      </c>
      <c r="I323" s="1824">
        <f>H323*G323</f>
        <v>6427.1906427272725</v>
      </c>
    </row>
    <row r="324" spans="2:9" ht="15">
      <c r="B324" s="1551" t="str">
        <f>'8.Dgia'!B1454</f>
        <v/>
      </c>
      <c r="C324" s="1555">
        <f>'8.Dgia'!C1454</f>
        <v>0</v>
      </c>
      <c r="D324" s="1552">
        <f>'8.Dgia'!D1454</f>
        <v>0</v>
      </c>
      <c r="E324" s="1775" t="str">
        <f>'8.Dgia'!E1454</f>
        <v>Máy lu rung 25T</v>
      </c>
      <c r="F324" s="1771" t="s">
        <v>5493</v>
      </c>
      <c r="G324" s="1772">
        <f>'8.Dgia'!H1454/100</f>
        <v>2.0999999999999999E-3</v>
      </c>
      <c r="H324" s="1853">
        <f>'9.may'!$P$116</f>
        <v>3012470.1054545455</v>
      </c>
      <c r="I324" s="1824">
        <f>H324*G324</f>
        <v>6326.1872214545447</v>
      </c>
    </row>
    <row r="325" spans="2:9" ht="15">
      <c r="B325" s="1551" t="str">
        <f>'8.Dgia'!B1455</f>
        <v/>
      </c>
      <c r="C325" s="1555">
        <f>'8.Dgia'!C1455</f>
        <v>0</v>
      </c>
      <c r="D325" s="1552">
        <f>'8.Dgia'!D1455</f>
        <v>0</v>
      </c>
      <c r="E325" s="1775" t="str">
        <f>'8.Dgia'!E1455</f>
        <v>Lu bánh lốp 16T</v>
      </c>
      <c r="F325" s="1771" t="s">
        <v>5493</v>
      </c>
      <c r="G325" s="1772">
        <f>'8.Dgia'!H1455/100</f>
        <v>4.1999999999999997E-3</v>
      </c>
      <c r="H325" s="1853">
        <f>'9.may'!$P$109</f>
        <v>1394407.2218181817</v>
      </c>
      <c r="I325" s="1824">
        <f>H325*G325</f>
        <v>5856.5103316363629</v>
      </c>
    </row>
    <row r="326" spans="2:9" ht="15">
      <c r="B326" s="2020"/>
      <c r="C326" s="1555">
        <f>'8.Dgia'!C1456</f>
        <v>0</v>
      </c>
      <c r="D326" s="1552">
        <f>'8.Dgia'!D1456</f>
        <v>0</v>
      </c>
      <c r="E326" s="1775" t="str">
        <f>'8.Dgia'!E1456</f>
        <v>Máy lu bánh thép 10T</v>
      </c>
      <c r="F326" s="1771" t="s">
        <v>5493</v>
      </c>
      <c r="G326" s="1772">
        <f>'8.Dgia'!H1456/100</f>
        <v>2.0999999999999999E-3</v>
      </c>
      <c r="H326" s="1853">
        <f>'9.may'!$P$122</f>
        <v>950702.42999999993</v>
      </c>
      <c r="I326" s="1824">
        <f>H326*G326</f>
        <v>1996.4751029999998</v>
      </c>
    </row>
    <row r="327" spans="2:9" ht="15">
      <c r="B327" s="1551" t="str">
        <f>'8.Dgia'!B1457</f>
        <v/>
      </c>
      <c r="C327" s="1555">
        <f>'8.Dgia'!C1457</f>
        <v>0</v>
      </c>
      <c r="D327" s="1552">
        <f>'8.Dgia'!D1457</f>
        <v>0</v>
      </c>
      <c r="E327" s="1775" t="str">
        <f>'8.Dgia'!E1457</f>
        <v>Ôtô tưới nước 5m3</v>
      </c>
      <c r="F327" s="1771" t="s">
        <v>5493</v>
      </c>
      <c r="G327" s="1772">
        <f>'8.Dgia'!H1457/100</f>
        <v>2.0999999999999999E-3</v>
      </c>
      <c r="H327" s="1853">
        <f>'9.may'!$P$175</f>
        <v>985099.64727272722</v>
      </c>
      <c r="I327" s="1824">
        <f>H327*G327</f>
        <v>2068.7092592727272</v>
      </c>
    </row>
    <row r="328" spans="2:9" ht="15">
      <c r="B328" s="1551" t="str">
        <f>'8.Dgia'!B1458</f>
        <v/>
      </c>
      <c r="C328" s="1555">
        <f>'8.Dgia'!C1458</f>
        <v>0</v>
      </c>
      <c r="D328" s="1552">
        <f>'8.Dgia'!D1458</f>
        <v>0</v>
      </c>
      <c r="E328" s="1775" t="str">
        <f>'8.Dgia'!E1458</f>
        <v>Máy khác</v>
      </c>
      <c r="F328" s="1771" t="str">
        <f>'8.Dgia'!G1458</f>
        <v>%</v>
      </c>
      <c r="G328" s="1772">
        <f>'8.Dgia'!H1458</f>
        <v>0.5</v>
      </c>
      <c r="H328" s="1855">
        <f>SUM(I323:I327)</f>
        <v>22675.072558090909</v>
      </c>
      <c r="I328" s="1824">
        <f>H328*G328%</f>
        <v>113.37536279045455</v>
      </c>
    </row>
    <row r="329" spans="2:9" ht="15">
      <c r="B329" s="1551"/>
      <c r="C329" s="1555"/>
      <c r="D329" s="1552"/>
      <c r="E329" s="1828" t="s">
        <v>5675</v>
      </c>
      <c r="F329" s="1856">
        <f>$J$5</f>
        <v>0.02</v>
      </c>
      <c r="G329" s="1772"/>
      <c r="H329" s="1853"/>
      <c r="I329" s="1863">
        <f>( I319+I321+I322 )*F329</f>
        <v>9156.8897063045115</v>
      </c>
    </row>
    <row r="330" spans="2:9" ht="15">
      <c r="B330" s="1551"/>
      <c r="C330" s="1555"/>
      <c r="D330" s="1552"/>
      <c r="E330" s="1831" t="s">
        <v>5676</v>
      </c>
      <c r="F330" s="1831"/>
      <c r="G330" s="1772"/>
      <c r="H330" s="1853"/>
      <c r="I330" s="1833">
        <f>I329+I329/F329</f>
        <v>467001.37502153008</v>
      </c>
    </row>
    <row r="331" spans="2:9" ht="15">
      <c r="B331" s="1551"/>
      <c r="C331" s="1555"/>
      <c r="D331" s="1552"/>
      <c r="E331" s="1834" t="s">
        <v>5677</v>
      </c>
      <c r="F331" s="1858">
        <f>$K$5</f>
        <v>5.7750000000000003E-2</v>
      </c>
      <c r="G331" s="1772"/>
      <c r="H331" s="1853"/>
      <c r="I331" s="1835">
        <f>I330*F331</f>
        <v>26969.329407493362</v>
      </c>
    </row>
    <row r="332" spans="2:9" ht="15">
      <c r="B332" s="1551"/>
      <c r="C332" s="1555"/>
      <c r="D332" s="1552"/>
      <c r="E332" s="1834" t="s">
        <v>5678</v>
      </c>
      <c r="F332" s="1856">
        <f>$L$5</f>
        <v>0.06</v>
      </c>
      <c r="G332" s="1772"/>
      <c r="H332" s="1853"/>
      <c r="I332" s="1835">
        <f>SUM(I330:I331)*F332</f>
        <v>29638.242265741406</v>
      </c>
    </row>
    <row r="333" spans="2:9" ht="15">
      <c r="B333" s="1551"/>
      <c r="C333" s="1555"/>
      <c r="D333" s="1552"/>
      <c r="E333" s="1831" t="s">
        <v>5679</v>
      </c>
      <c r="F333" s="1831"/>
      <c r="G333" s="1772"/>
      <c r="H333" s="1853"/>
      <c r="I333" s="1833">
        <f>SUM(I330:I332)</f>
        <v>523608.94669476483</v>
      </c>
    </row>
    <row r="334" spans="2:9" ht="15">
      <c r="B334" s="1551"/>
      <c r="C334" s="1555"/>
      <c r="D334" s="1552"/>
      <c r="E334" s="1834" t="s">
        <v>5680</v>
      </c>
      <c r="F334" s="1856">
        <f>$M$5</f>
        <v>0.1</v>
      </c>
      <c r="G334" s="1772"/>
      <c r="H334" s="1853"/>
      <c r="I334" s="1835">
        <f>I333*F334</f>
        <v>52360.894669476489</v>
      </c>
    </row>
    <row r="335" spans="2:9" ht="15">
      <c r="B335" s="1551"/>
      <c r="C335" s="1555"/>
      <c r="D335" s="1552"/>
      <c r="E335" s="1831" t="s">
        <v>5681</v>
      </c>
      <c r="F335" s="1831"/>
      <c r="G335" s="1772"/>
      <c r="H335" s="1853"/>
      <c r="I335" s="1833">
        <f>SUM(I333:I334)</f>
        <v>575969.84136424132</v>
      </c>
    </row>
    <row r="336" spans="2:9" ht="12.75">
      <c r="B336" s="1551"/>
      <c r="C336" s="1555"/>
      <c r="D336" s="1552"/>
      <c r="E336" s="1558" t="s">
        <v>5682</v>
      </c>
      <c r="F336" s="1595">
        <f>$N$5</f>
        <v>0.01</v>
      </c>
      <c r="G336" s="1553"/>
      <c r="H336" s="1594"/>
      <c r="I336" s="1559">
        <f>I335*F336</f>
        <v>5759.6984136424135</v>
      </c>
    </row>
    <row r="337" spans="1:12" ht="15">
      <c r="B337" s="1596"/>
      <c r="C337" s="1597"/>
      <c r="D337" s="1597"/>
      <c r="E337" s="1859" t="s">
        <v>5683</v>
      </c>
      <c r="F337" s="1859"/>
      <c r="G337" s="1860"/>
      <c r="H337" s="1861"/>
      <c r="I337" s="1862">
        <f>ROUND(I335+I336,-2)</f>
        <v>581700</v>
      </c>
    </row>
    <row r="338" spans="1:12" ht="31.5" customHeight="1">
      <c r="A338" s="657">
        <v>1</v>
      </c>
      <c r="B338" s="1549">
        <f>IF(A338&lt;&gt;0,COUNTA(A$7:$A338),"")</f>
        <v>20</v>
      </c>
      <c r="C338" s="1555">
        <f>'8.Dgia'!C1459</f>
        <v>1776</v>
      </c>
      <c r="D338" s="1696" t="str">
        <f>'8.Dgia'!D1459</f>
        <v>BB.11511vd</v>
      </c>
      <c r="E338" s="1848" t="str">
        <f>'8.Dgia'!E1459</f>
        <v>Cung cấp và lắp đặt ống cống BTCT D1500 nối joint cao su (H10), L=3m, HS=1.15</v>
      </c>
      <c r="F338" s="1849" t="s">
        <v>543</v>
      </c>
      <c r="G338" s="1850">
        <f>'8.Dgia'!H1459</f>
        <v>0</v>
      </c>
      <c r="H338" s="1893"/>
      <c r="I338" s="1823"/>
      <c r="J338" s="842">
        <f>+I339</f>
        <v>4568351.3654576</v>
      </c>
      <c r="K338" s="842">
        <f>+I344</f>
        <v>645302.59970999986</v>
      </c>
      <c r="L338" s="842">
        <f>+I345</f>
        <v>41776.403529262505</v>
      </c>
    </row>
    <row r="339" spans="1:12" ht="15">
      <c r="B339" s="1551" t="str">
        <f>'8.Dgia'!B1460</f>
        <v/>
      </c>
      <c r="C339" s="1555">
        <f>'8.Dgia'!C1460</f>
        <v>0</v>
      </c>
      <c r="D339" s="1552" t="s">
        <v>5869</v>
      </c>
      <c r="E339" s="2018" t="str">
        <f>'8.Dgia'!E1460</f>
        <v xml:space="preserve">  A - Vật liệu</v>
      </c>
      <c r="F339" s="1771">
        <f>'8.Dgia'!G1460</f>
        <v>0</v>
      </c>
      <c r="G339" s="1772">
        <f>'8.Dgia'!H1460</f>
        <v>0</v>
      </c>
      <c r="H339" s="1855"/>
      <c r="I339" s="1854">
        <f>SUM(I340:I343)</f>
        <v>4568351.3654576</v>
      </c>
    </row>
    <row r="340" spans="1:12" ht="15">
      <c r="B340" s="1551" t="str">
        <f>'8.Dgia'!B1461</f>
        <v/>
      </c>
      <c r="C340" s="1555">
        <f>'8.Dgia'!C1461</f>
        <v>0</v>
      </c>
      <c r="D340" s="1552">
        <f>'8.Dgia'!D1461</f>
        <v>0</v>
      </c>
      <c r="E340" s="1775" t="str">
        <f>'8.Dgia'!E1461</f>
        <v>Ống cống bê tông D1500</v>
      </c>
      <c r="F340" s="1771" t="str">
        <f>'8.Dgia'!G1461</f>
        <v>m</v>
      </c>
      <c r="G340" s="1772">
        <f>'8.Dgia'!H1461/100</f>
        <v>1.0149999999999999</v>
      </c>
      <c r="H340" s="1853">
        <f>GVL!$I$108</f>
        <v>4500000</v>
      </c>
      <c r="I340" s="1824">
        <f>H340*G340</f>
        <v>4567500</v>
      </c>
    </row>
    <row r="341" spans="1:12" ht="15">
      <c r="B341" s="1551" t="str">
        <f>'8.Dgia'!B1462</f>
        <v/>
      </c>
      <c r="C341" s="1555">
        <f>'8.Dgia'!C1462</f>
        <v>0</v>
      </c>
      <c r="D341" s="1552">
        <f>'8.Dgia'!D1462</f>
        <v>0</v>
      </c>
      <c r="E341" s="1775" t="str">
        <f>'8.Dgia'!E1462</f>
        <v>Gioăng cao su D1500</v>
      </c>
      <c r="F341" s="1771" t="s">
        <v>567</v>
      </c>
      <c r="G341" s="1772">
        <f>'8.Dgia'!H1462/100</f>
        <v>0</v>
      </c>
      <c r="H341" s="1853"/>
      <c r="I341" s="1897" t="s">
        <v>2106</v>
      </c>
    </row>
    <row r="342" spans="1:12" ht="15">
      <c r="B342" s="1551" t="str">
        <f>'8.Dgia'!B1463</f>
        <v/>
      </c>
      <c r="C342" s="1555">
        <f>'8.Dgia'!C1463</f>
        <v>0</v>
      </c>
      <c r="D342" s="1552">
        <f>'8.Dgia'!D1463</f>
        <v>0</v>
      </c>
      <c r="E342" s="1775" t="str">
        <f>'8.Dgia'!E1463</f>
        <v>Mỡ bôi trơn</v>
      </c>
      <c r="F342" s="1771" t="str">
        <f>'8.Dgia'!G1463</f>
        <v>kg</v>
      </c>
      <c r="G342" s="1772">
        <f>'8.Dgia'!H1463/100</f>
        <v>2.7099999999999999E-2</v>
      </c>
      <c r="H342" s="1853">
        <f>GVL!$I$119</f>
        <v>14560</v>
      </c>
      <c r="I342" s="1824">
        <f>H342*G342</f>
        <v>394.57599999999996</v>
      </c>
    </row>
    <row r="343" spans="1:12" ht="15">
      <c r="B343" s="1551" t="str">
        <f>'8.Dgia'!B1464</f>
        <v/>
      </c>
      <c r="C343" s="1555">
        <f>'8.Dgia'!C1464</f>
        <v>0</v>
      </c>
      <c r="D343" s="1552">
        <f>'8.Dgia'!D1464</f>
        <v>0</v>
      </c>
      <c r="E343" s="1775" t="str">
        <f>'8.Dgia'!E1464</f>
        <v>Vật liệu khác</v>
      </c>
      <c r="F343" s="1771" t="str">
        <f>'8.Dgia'!G1464</f>
        <v>%</v>
      </c>
      <c r="G343" s="1772">
        <f>'8.Dgia'!H1464</f>
        <v>0.01</v>
      </c>
      <c r="H343" s="1855">
        <f>SUM(I340:I342)</f>
        <v>4567894.5760000004</v>
      </c>
      <c r="I343" s="1824">
        <f>H343*G343%</f>
        <v>456.78945760000005</v>
      </c>
    </row>
    <row r="344" spans="1:12" ht="24">
      <c r="B344" s="1551" t="str">
        <f>'8.Dgia'!B1465</f>
        <v/>
      </c>
      <c r="C344" s="1555">
        <f>'8.Dgia'!C1465</f>
        <v>0</v>
      </c>
      <c r="D344" s="1552" t="str">
        <f>'8.Dgia'!D1465</f>
        <v>=(214/2+269.51/2)*1.15</v>
      </c>
      <c r="E344" s="1775" t="str">
        <f>'8.Dgia'!E1465</f>
        <v xml:space="preserve">  B - Nhân công 4.0/7</v>
      </c>
      <c r="F344" s="1771" t="s">
        <v>552</v>
      </c>
      <c r="G344" s="1772">
        <f>'8.Dgia'!H1465/100</f>
        <v>2.7801824999999996</v>
      </c>
      <c r="H344" s="1853">
        <f>'16.NC'!$G$18</f>
        <v>232108</v>
      </c>
      <c r="I344" s="1854">
        <f>H344*G344</f>
        <v>645302.59970999986</v>
      </c>
    </row>
    <row r="345" spans="1:12" ht="15">
      <c r="B345" s="2020"/>
      <c r="C345" s="1555">
        <f>'8.Dgia'!C1466</f>
        <v>0</v>
      </c>
      <c r="D345" s="1552">
        <f>'8.Dgia'!D1466</f>
        <v>0</v>
      </c>
      <c r="E345" s="1775" t="str">
        <f>'8.Dgia'!E1466</f>
        <v xml:space="preserve">  C - Máy thi công</v>
      </c>
      <c r="F345" s="1771">
        <f>'8.Dgia'!G1466</f>
        <v>0</v>
      </c>
      <c r="G345" s="1772">
        <f>'8.Dgia'!H1466/100</f>
        <v>0</v>
      </c>
      <c r="H345" s="1855"/>
      <c r="I345" s="1854">
        <f>SUM(I346:I347)</f>
        <v>41776.403529262505</v>
      </c>
    </row>
    <row r="346" spans="1:12" ht="15">
      <c r="B346" s="1551" t="str">
        <f>'8.Dgia'!B1467</f>
        <v/>
      </c>
      <c r="C346" s="1555">
        <f>'8.Dgia'!C1467</f>
        <v>0</v>
      </c>
      <c r="D346" s="1552" t="str">
        <f>'8.Dgia'!D1467</f>
        <v>=1.71*1.15</v>
      </c>
      <c r="E346" s="1775" t="str">
        <f>'8.Dgia'!E1467</f>
        <v>Cần cẩu bánh hơi 16T</v>
      </c>
      <c r="F346" s="1771" t="s">
        <v>5493</v>
      </c>
      <c r="G346" s="1772">
        <f>'8.Dgia'!H1467/100</f>
        <v>1.9664999999999998E-2</v>
      </c>
      <c r="H346" s="1853">
        <f>'9.may'!$P$235</f>
        <v>2023241.85</v>
      </c>
      <c r="I346" s="1824">
        <f>H346*G346</f>
        <v>39787.050980250002</v>
      </c>
    </row>
    <row r="347" spans="1:12" ht="15">
      <c r="B347" s="1551" t="str">
        <f>'8.Dgia'!B1468</f>
        <v/>
      </c>
      <c r="C347" s="1555">
        <f>'8.Dgia'!C1468</f>
        <v>0</v>
      </c>
      <c r="D347" s="1552">
        <f>'8.Dgia'!D1468</f>
        <v>0</v>
      </c>
      <c r="E347" s="1775" t="str">
        <f>'8.Dgia'!E1468</f>
        <v>Máy khác</v>
      </c>
      <c r="F347" s="1771" t="str">
        <f>'8.Dgia'!G1468</f>
        <v>%</v>
      </c>
      <c r="G347" s="1772">
        <f>'8.Dgia'!H1468</f>
        <v>5</v>
      </c>
      <c r="H347" s="1855">
        <f>+I346</f>
        <v>39787.050980250002</v>
      </c>
      <c r="I347" s="1824">
        <f>H347*G347%</f>
        <v>1989.3525490125003</v>
      </c>
    </row>
    <row r="348" spans="1:12" ht="15">
      <c r="B348" s="1551"/>
      <c r="C348" s="1555"/>
      <c r="D348" s="1552"/>
      <c r="E348" s="1828" t="s">
        <v>5675</v>
      </c>
      <c r="F348" s="1856">
        <f>$J$5</f>
        <v>0.02</v>
      </c>
      <c r="G348" s="1772"/>
      <c r="H348" s="1853"/>
      <c r="I348" s="1863">
        <f>( I339+I344+I345 )*F348</f>
        <v>105108.60737393724</v>
      </c>
    </row>
    <row r="349" spans="1:12" ht="15">
      <c r="B349" s="1551"/>
      <c r="C349" s="1555"/>
      <c r="D349" s="1552"/>
      <c r="E349" s="1831" t="s">
        <v>5676</v>
      </c>
      <c r="F349" s="1831"/>
      <c r="G349" s="1772"/>
      <c r="H349" s="1853"/>
      <c r="I349" s="1833">
        <f>I348+I348/F348</f>
        <v>5360538.9760707989</v>
      </c>
    </row>
    <row r="350" spans="1:12" ht="15">
      <c r="B350" s="1551"/>
      <c r="C350" s="1555"/>
      <c r="D350" s="1552"/>
      <c r="E350" s="1834" t="s">
        <v>5677</v>
      </c>
      <c r="F350" s="1858">
        <f>$K$5</f>
        <v>5.7750000000000003E-2</v>
      </c>
      <c r="G350" s="1772"/>
      <c r="H350" s="1853"/>
      <c r="I350" s="1835">
        <f>I349*F350</f>
        <v>309571.12586808862</v>
      </c>
    </row>
    <row r="351" spans="1:12" ht="15">
      <c r="B351" s="1551"/>
      <c r="C351" s="1555"/>
      <c r="D351" s="1552"/>
      <c r="E351" s="1834" t="s">
        <v>5678</v>
      </c>
      <c r="F351" s="1856">
        <f>$L$5</f>
        <v>0.06</v>
      </c>
      <c r="G351" s="1772"/>
      <c r="H351" s="1853"/>
      <c r="I351" s="1835">
        <f>SUM(I349:I350)*F351</f>
        <v>340206.60611633322</v>
      </c>
    </row>
    <row r="352" spans="1:12" ht="15">
      <c r="B352" s="1551"/>
      <c r="C352" s="1555"/>
      <c r="D352" s="1552"/>
      <c r="E352" s="1831" t="s">
        <v>5679</v>
      </c>
      <c r="F352" s="1831"/>
      <c r="G352" s="1772"/>
      <c r="H352" s="1853"/>
      <c r="I352" s="1833">
        <f>SUM(I349:I351)</f>
        <v>6010316.7080552205</v>
      </c>
    </row>
    <row r="353" spans="1:12" ht="15">
      <c r="B353" s="1551"/>
      <c r="C353" s="1555"/>
      <c r="D353" s="1552"/>
      <c r="E353" s="1834" t="s">
        <v>5680</v>
      </c>
      <c r="F353" s="1856">
        <f>$M$5</f>
        <v>0.1</v>
      </c>
      <c r="G353" s="1772"/>
      <c r="H353" s="1853"/>
      <c r="I353" s="1835">
        <f>I352*F353</f>
        <v>601031.67080552212</v>
      </c>
    </row>
    <row r="354" spans="1:12" ht="15">
      <c r="B354" s="1551"/>
      <c r="C354" s="1555"/>
      <c r="D354" s="1552"/>
      <c r="E354" s="1831" t="s">
        <v>5681</v>
      </c>
      <c r="F354" s="1831"/>
      <c r="G354" s="1772"/>
      <c r="H354" s="1853"/>
      <c r="I354" s="1833">
        <f>SUM(I352:I353)</f>
        <v>6611348.3788607428</v>
      </c>
    </row>
    <row r="355" spans="1:12" ht="12.75">
      <c r="B355" s="1551"/>
      <c r="C355" s="1555"/>
      <c r="D355" s="1552"/>
      <c r="E355" s="1558" t="s">
        <v>5682</v>
      </c>
      <c r="F355" s="1595">
        <f>$N$5</f>
        <v>0.01</v>
      </c>
      <c r="G355" s="1553"/>
      <c r="H355" s="1594"/>
      <c r="I355" s="1559">
        <f>I354*F355</f>
        <v>66113.483788607424</v>
      </c>
    </row>
    <row r="356" spans="1:12" ht="15">
      <c r="B356" s="1596"/>
      <c r="C356" s="1597"/>
      <c r="D356" s="1597"/>
      <c r="E356" s="1859" t="s">
        <v>5683</v>
      </c>
      <c r="F356" s="1859"/>
      <c r="G356" s="1860"/>
      <c r="H356" s="1861"/>
      <c r="I356" s="1862">
        <f>ROUND(I354+I355,-2)</f>
        <v>6677500</v>
      </c>
    </row>
    <row r="357" spans="1:12" ht="45">
      <c r="A357" s="657">
        <v>1</v>
      </c>
      <c r="B357" s="1549">
        <f>IF(A357&lt;&gt;0,COUNTA(A$7:$A357),"")</f>
        <v>21</v>
      </c>
      <c r="C357" s="1555">
        <f>'8.Dgia'!C1469</f>
        <v>1776</v>
      </c>
      <c r="D357" s="1696" t="str">
        <f>'8.Dgia'!D1469</f>
        <v>BB.11511vd</v>
      </c>
      <c r="E357" s="1848" t="str">
        <f>'8.Dgia'!E1469</f>
        <v>Cung cấp và lắp đặt ống cống BTCT D1500 nối joint cao su (H10), L=3m, HS=1.15, tạm tính KH=50%</v>
      </c>
      <c r="F357" s="1849" t="s">
        <v>543</v>
      </c>
      <c r="G357" s="1850">
        <f>'8.Dgia'!H1469</f>
        <v>0</v>
      </c>
      <c r="H357" s="1893"/>
      <c r="I357" s="1823"/>
      <c r="J357" s="842">
        <f>+I358</f>
        <v>2284372.9904576</v>
      </c>
      <c r="K357" s="842">
        <f>+I363</f>
        <v>645302.59970999986</v>
      </c>
      <c r="L357" s="842">
        <f>+I364</f>
        <v>41776.403529262505</v>
      </c>
    </row>
    <row r="358" spans="1:12" ht="15">
      <c r="B358" s="1551" t="str">
        <f>'8.Dgia'!B1470</f>
        <v/>
      </c>
      <c r="C358" s="1555">
        <f>'8.Dgia'!C1470</f>
        <v>0</v>
      </c>
      <c r="D358" s="1552">
        <f>'8.Dgia'!D1470</f>
        <v>0</v>
      </c>
      <c r="E358" s="2018" t="str">
        <f>'8.Dgia'!E1470</f>
        <v xml:space="preserve">  A - Vật liệu</v>
      </c>
      <c r="F358" s="1771">
        <f>'8.Dgia'!G1470</f>
        <v>0</v>
      </c>
      <c r="G358" s="1772">
        <f>'8.Dgia'!H1470</f>
        <v>0</v>
      </c>
      <c r="H358" s="1855"/>
      <c r="I358" s="1854">
        <f>SUM(I359:I362)</f>
        <v>2284372.9904576</v>
      </c>
    </row>
    <row r="359" spans="1:12" ht="15">
      <c r="B359" s="1551" t="str">
        <f>'8.Dgia'!B1471</f>
        <v/>
      </c>
      <c r="C359" s="1555">
        <f>'8.Dgia'!C1471</f>
        <v>0</v>
      </c>
      <c r="D359" s="1552" t="str">
        <f>'8.Dgia'!D1471</f>
        <v>KH=50%</v>
      </c>
      <c r="E359" s="1775" t="str">
        <f>'8.Dgia'!E1471</f>
        <v>Ống cống bê tông D1500</v>
      </c>
      <c r="F359" s="1771" t="str">
        <f>'8.Dgia'!G1471</f>
        <v>m</v>
      </c>
      <c r="G359" s="1772">
        <f>'8.Dgia'!H1471/100</f>
        <v>0.50749999999999995</v>
      </c>
      <c r="H359" s="1853">
        <f>GVL!$I$108</f>
        <v>4500000</v>
      </c>
      <c r="I359" s="1824">
        <f>H359*G359</f>
        <v>2283750</v>
      </c>
    </row>
    <row r="360" spans="1:12" ht="15">
      <c r="B360" s="1551" t="str">
        <f>'8.Dgia'!B1472</f>
        <v/>
      </c>
      <c r="C360" s="1555">
        <f>'8.Dgia'!C1472</f>
        <v>0</v>
      </c>
      <c r="D360" s="1552">
        <f>'8.Dgia'!D1472</f>
        <v>0</v>
      </c>
      <c r="E360" s="1775" t="str">
        <f>'8.Dgia'!E1472</f>
        <v>Gioăng cao su D1500</v>
      </c>
      <c r="F360" s="1771" t="s">
        <v>567</v>
      </c>
      <c r="G360" s="1772">
        <f>'8.Dgia'!H1472/100</f>
        <v>0</v>
      </c>
      <c r="H360" s="1853"/>
      <c r="I360" s="1897" t="s">
        <v>2106</v>
      </c>
    </row>
    <row r="361" spans="1:12" ht="15">
      <c r="B361" s="1551" t="str">
        <f>'8.Dgia'!B1473</f>
        <v/>
      </c>
      <c r="C361" s="1555">
        <f>'8.Dgia'!C1473</f>
        <v>0</v>
      </c>
      <c r="D361" s="1552">
        <f>'8.Dgia'!D1473</f>
        <v>0</v>
      </c>
      <c r="E361" s="1775" t="str">
        <f>'8.Dgia'!E1473</f>
        <v>Mỡ bôi trơn</v>
      </c>
      <c r="F361" s="1771" t="str">
        <f>'8.Dgia'!G1473</f>
        <v>kg</v>
      </c>
      <c r="G361" s="1772">
        <f>'8.Dgia'!H1473/100</f>
        <v>2.7099999999999999E-2</v>
      </c>
      <c r="H361" s="1853">
        <f>GVL!$I$119</f>
        <v>14560</v>
      </c>
      <c r="I361" s="1824">
        <f>H361*G361</f>
        <v>394.57599999999996</v>
      </c>
    </row>
    <row r="362" spans="1:12" ht="15">
      <c r="B362" s="1551" t="str">
        <f>'8.Dgia'!B1474</f>
        <v/>
      </c>
      <c r="C362" s="1555">
        <f>'8.Dgia'!C1474</f>
        <v>0</v>
      </c>
      <c r="D362" s="1552">
        <f>'8.Dgia'!D1474</f>
        <v>0</v>
      </c>
      <c r="E362" s="1775" t="str">
        <f>'8.Dgia'!E1474</f>
        <v>Vật liệu khác</v>
      </c>
      <c r="F362" s="1771" t="str">
        <f>'8.Dgia'!G1474</f>
        <v>%</v>
      </c>
      <c r="G362" s="1772">
        <f>'8.Dgia'!H1474</f>
        <v>0.01</v>
      </c>
      <c r="H362" s="1855">
        <f>SUM(I359:I361)</f>
        <v>2284144.5759999999</v>
      </c>
      <c r="I362" s="1824">
        <f>H362*G362%</f>
        <v>228.41445759999999</v>
      </c>
    </row>
    <row r="363" spans="1:12" ht="24">
      <c r="B363" s="1551" t="str">
        <f>'8.Dgia'!B1475</f>
        <v/>
      </c>
      <c r="C363" s="1555">
        <f>'8.Dgia'!C1475</f>
        <v>0</v>
      </c>
      <c r="D363" s="1552" t="str">
        <f>'8.Dgia'!D1475</f>
        <v>=(214/2+269.51/2)*1.15</v>
      </c>
      <c r="E363" s="1775" t="str">
        <f>'8.Dgia'!E1475</f>
        <v xml:space="preserve">  B - Nhân công 4.0/7</v>
      </c>
      <c r="F363" s="1771" t="s">
        <v>552</v>
      </c>
      <c r="G363" s="1772">
        <f>'8.Dgia'!H1475/100</f>
        <v>2.7801824999999996</v>
      </c>
      <c r="H363" s="1853">
        <f>'16.NC'!$G$18</f>
        <v>232108</v>
      </c>
      <c r="I363" s="1854">
        <f>H363*G363</f>
        <v>645302.59970999986</v>
      </c>
    </row>
    <row r="364" spans="1:12" ht="15">
      <c r="B364" s="2020"/>
      <c r="C364" s="1555">
        <f>'8.Dgia'!C1476</f>
        <v>0</v>
      </c>
      <c r="D364" s="1552">
        <f>'8.Dgia'!D1476</f>
        <v>0</v>
      </c>
      <c r="E364" s="1775" t="str">
        <f>'8.Dgia'!E1476</f>
        <v xml:space="preserve">  C - Máy thi công</v>
      </c>
      <c r="F364" s="1771">
        <f>'8.Dgia'!G1476</f>
        <v>0</v>
      </c>
      <c r="G364" s="1772">
        <f>'8.Dgia'!H1476/100</f>
        <v>0</v>
      </c>
      <c r="H364" s="1855"/>
      <c r="I364" s="1854">
        <f>SUM(I365:I366)</f>
        <v>41776.403529262505</v>
      </c>
    </row>
    <row r="365" spans="1:12" ht="15">
      <c r="B365" s="1551" t="str">
        <f>'8.Dgia'!B1477</f>
        <v/>
      </c>
      <c r="C365" s="1555">
        <f>'8.Dgia'!C1477</f>
        <v>0</v>
      </c>
      <c r="D365" s="1552" t="str">
        <f>'8.Dgia'!D1477</f>
        <v>=1.71*1.15</v>
      </c>
      <c r="E365" s="1775" t="str">
        <f>'8.Dgia'!E1477</f>
        <v>Cần cẩu bánh hơi 16T</v>
      </c>
      <c r="F365" s="1771" t="s">
        <v>5493</v>
      </c>
      <c r="G365" s="1772">
        <f>'8.Dgia'!H1477/100</f>
        <v>1.9664999999999998E-2</v>
      </c>
      <c r="H365" s="1853">
        <f>'9.may'!$P$235</f>
        <v>2023241.85</v>
      </c>
      <c r="I365" s="1824">
        <f>H365*G365</f>
        <v>39787.050980250002</v>
      </c>
    </row>
    <row r="366" spans="1:12" ht="15">
      <c r="B366" s="1551" t="str">
        <f>'8.Dgia'!B1478</f>
        <v/>
      </c>
      <c r="C366" s="1555">
        <f>'8.Dgia'!C1478</f>
        <v>0</v>
      </c>
      <c r="D366" s="1552">
        <f>'8.Dgia'!D1478</f>
        <v>0</v>
      </c>
      <c r="E366" s="1775" t="str">
        <f>'8.Dgia'!E1478</f>
        <v>Máy khác</v>
      </c>
      <c r="F366" s="1771" t="str">
        <f>'8.Dgia'!G1478</f>
        <v>%</v>
      </c>
      <c r="G366" s="1772">
        <f>'8.Dgia'!H1478</f>
        <v>5</v>
      </c>
      <c r="H366" s="1855">
        <f>+I365</f>
        <v>39787.050980250002</v>
      </c>
      <c r="I366" s="1824">
        <f>H366*G366%</f>
        <v>1989.3525490125003</v>
      </c>
    </row>
    <row r="367" spans="1:12" ht="15">
      <c r="B367" s="1551"/>
      <c r="C367" s="1555"/>
      <c r="D367" s="1552"/>
      <c r="E367" s="1828" t="s">
        <v>5675</v>
      </c>
      <c r="F367" s="1856">
        <f>$J$5</f>
        <v>0.02</v>
      </c>
      <c r="G367" s="1772"/>
      <c r="H367" s="1853"/>
      <c r="I367" s="1863">
        <f>( I358+I363+I364 )*F367</f>
        <v>59429.039873937247</v>
      </c>
    </row>
    <row r="368" spans="1:12" ht="15">
      <c r="B368" s="1551"/>
      <c r="C368" s="1555"/>
      <c r="D368" s="1552"/>
      <c r="E368" s="1831" t="s">
        <v>5676</v>
      </c>
      <c r="F368" s="1831"/>
      <c r="G368" s="1772"/>
      <c r="H368" s="1853"/>
      <c r="I368" s="1833">
        <f>I367+I367/F367</f>
        <v>3030881.0335707995</v>
      </c>
    </row>
    <row r="369" spans="1:12" ht="15">
      <c r="B369" s="1551"/>
      <c r="C369" s="1555"/>
      <c r="D369" s="1552"/>
      <c r="E369" s="1834" t="s">
        <v>5677</v>
      </c>
      <c r="F369" s="1858">
        <f>$K$5</f>
        <v>5.7750000000000003E-2</v>
      </c>
      <c r="G369" s="1772"/>
      <c r="H369" s="1853"/>
      <c r="I369" s="1835">
        <f>I368*F369</f>
        <v>175033.37968871367</v>
      </c>
    </row>
    <row r="370" spans="1:12" ht="15">
      <c r="B370" s="1551"/>
      <c r="C370" s="1555"/>
      <c r="D370" s="1552"/>
      <c r="E370" s="1834" t="s">
        <v>5678</v>
      </c>
      <c r="F370" s="1856">
        <f>$L$5</f>
        <v>0.06</v>
      </c>
      <c r="G370" s="1772"/>
      <c r="H370" s="1853"/>
      <c r="I370" s="1835">
        <f>SUM(I368:I369)*F370</f>
        <v>192354.86479557079</v>
      </c>
    </row>
    <row r="371" spans="1:12" ht="15">
      <c r="B371" s="1551"/>
      <c r="C371" s="1555"/>
      <c r="D371" s="1552"/>
      <c r="E371" s="1831" t="s">
        <v>5679</v>
      </c>
      <c r="F371" s="1831"/>
      <c r="G371" s="1772"/>
      <c r="H371" s="1853"/>
      <c r="I371" s="1833">
        <f>SUM(I368:I370)</f>
        <v>3398269.2780550839</v>
      </c>
    </row>
    <row r="372" spans="1:12" ht="15">
      <c r="B372" s="1551"/>
      <c r="C372" s="1555"/>
      <c r="D372" s="1552"/>
      <c r="E372" s="1834" t="s">
        <v>5680</v>
      </c>
      <c r="F372" s="1856">
        <f>$M$5</f>
        <v>0.1</v>
      </c>
      <c r="G372" s="1772"/>
      <c r="H372" s="1853"/>
      <c r="I372" s="1835">
        <f>I371*F372</f>
        <v>339826.92780550843</v>
      </c>
    </row>
    <row r="373" spans="1:12" ht="15">
      <c r="B373" s="1551"/>
      <c r="C373" s="1555"/>
      <c r="D373" s="1552"/>
      <c r="E373" s="1831" t="s">
        <v>5681</v>
      </c>
      <c r="F373" s="1831"/>
      <c r="G373" s="1772"/>
      <c r="H373" s="1853"/>
      <c r="I373" s="1833">
        <f>SUM(I371:I372)</f>
        <v>3738096.2058605924</v>
      </c>
    </row>
    <row r="374" spans="1:12" ht="12.75">
      <c r="B374" s="1551"/>
      <c r="C374" s="1555"/>
      <c r="D374" s="1552"/>
      <c r="E374" s="1558" t="s">
        <v>5682</v>
      </c>
      <c r="F374" s="1595">
        <f>$N$5</f>
        <v>0.01</v>
      </c>
      <c r="G374" s="1553"/>
      <c r="H374" s="1594"/>
      <c r="I374" s="1559">
        <f>I373*F374</f>
        <v>37380.962058605925</v>
      </c>
    </row>
    <row r="375" spans="1:12" ht="15">
      <c r="B375" s="1596"/>
      <c r="C375" s="1597"/>
      <c r="D375" s="1597"/>
      <c r="E375" s="1859" t="s">
        <v>5683</v>
      </c>
      <c r="F375" s="1859"/>
      <c r="G375" s="1860"/>
      <c r="H375" s="1861"/>
      <c r="I375" s="1862">
        <f>ROUND(I373+I374,-2)</f>
        <v>3775500</v>
      </c>
    </row>
    <row r="376" spans="1:12" ht="45">
      <c r="A376" s="657">
        <v>1</v>
      </c>
      <c r="B376" s="1549">
        <f>IF(A376&lt;&gt;0,COUNTA(A$7:$A376),"")</f>
        <v>22</v>
      </c>
      <c r="C376" s="1555">
        <f>'8.Dgia'!C1479</f>
        <v>1776</v>
      </c>
      <c r="D376" s="1696" t="str">
        <f>'8.Dgia'!D1479</f>
        <v>BB.11511vd</v>
      </c>
      <c r="E376" s="1848" t="str">
        <f>'8.Dgia'!E1479</f>
        <v>Cẩu ống cống BTCT D1500 nối joint cao su (H10), L=3m, HS=1.15*0.6 (tháo dỡ= 60% lắp dựng)</v>
      </c>
      <c r="F376" s="1849" t="s">
        <v>543</v>
      </c>
      <c r="G376" s="1850">
        <f>'8.Dgia'!H1479</f>
        <v>0</v>
      </c>
      <c r="H376" s="1893"/>
      <c r="I376" s="1823"/>
      <c r="K376" s="842">
        <f>+I377</f>
        <v>387181.55982599995</v>
      </c>
      <c r="L376" s="842">
        <f>+I378</f>
        <v>25065.842117557499</v>
      </c>
    </row>
    <row r="377" spans="1:12" ht="24">
      <c r="B377" s="1551" t="str">
        <f>'8.Dgia'!B1480</f>
        <v/>
      </c>
      <c r="C377" s="1555">
        <f>'8.Dgia'!C1480</f>
        <v>0</v>
      </c>
      <c r="D377" s="1552" t="str">
        <f>'8.Dgia'!D1480</f>
        <v>=(214/2+269.51/2)*1.15</v>
      </c>
      <c r="E377" s="1775" t="str">
        <f>'8.Dgia'!E1480</f>
        <v xml:space="preserve">  B - Nhân công 4.0/7</v>
      </c>
      <c r="F377" s="1771" t="s">
        <v>552</v>
      </c>
      <c r="G377" s="1772">
        <f>'8.Dgia'!H1480/100</f>
        <v>1.6681094999999997</v>
      </c>
      <c r="H377" s="1853">
        <f>'16.NC'!$G$18</f>
        <v>232108</v>
      </c>
      <c r="I377" s="1854">
        <f>H377*G377</f>
        <v>387181.55982599995</v>
      </c>
    </row>
    <row r="378" spans="1:12" ht="15">
      <c r="B378" s="1551" t="str">
        <f>'8.Dgia'!B1481</f>
        <v/>
      </c>
      <c r="C378" s="1555">
        <f>'8.Dgia'!C1481</f>
        <v>0</v>
      </c>
      <c r="D378" s="1552">
        <f>'8.Dgia'!D1481</f>
        <v>0</v>
      </c>
      <c r="E378" s="1775" t="str">
        <f>'8.Dgia'!E1481</f>
        <v xml:space="preserve">  C - Máy thi công</v>
      </c>
      <c r="F378" s="1771">
        <f>'8.Dgia'!G1481</f>
        <v>0</v>
      </c>
      <c r="G378" s="1772">
        <f>'8.Dgia'!H1481/100</f>
        <v>0</v>
      </c>
      <c r="H378" s="1855"/>
      <c r="I378" s="1854">
        <f>SUM(I379:I380)</f>
        <v>25065.842117557499</v>
      </c>
    </row>
    <row r="379" spans="1:12" ht="15">
      <c r="B379" s="1551" t="str">
        <f>'8.Dgia'!B1482</f>
        <v/>
      </c>
      <c r="C379" s="1555">
        <f>'8.Dgia'!C1482</f>
        <v>0</v>
      </c>
      <c r="D379" s="1552" t="str">
        <f>'8.Dgia'!D1482</f>
        <v>=1.71*1.15</v>
      </c>
      <c r="E379" s="1775" t="str">
        <f>'8.Dgia'!E1482</f>
        <v>Cần cẩu bánh hơi 16T</v>
      </c>
      <c r="F379" s="1771" t="s">
        <v>5493</v>
      </c>
      <c r="G379" s="1772">
        <f>'8.Dgia'!H1482/100</f>
        <v>1.1798999999999999E-2</v>
      </c>
      <c r="H379" s="1853">
        <f>'9.may'!$P$235</f>
        <v>2023241.85</v>
      </c>
      <c r="I379" s="1824">
        <f>H379*G379</f>
        <v>23872.23058815</v>
      </c>
    </row>
    <row r="380" spans="1:12" ht="15">
      <c r="B380" s="1551" t="str">
        <f>'8.Dgia'!B1483</f>
        <v/>
      </c>
      <c r="C380" s="1555">
        <f>'8.Dgia'!C1483</f>
        <v>0</v>
      </c>
      <c r="D380" s="1552">
        <f>'8.Dgia'!D1483</f>
        <v>0</v>
      </c>
      <c r="E380" s="1775" t="str">
        <f>'8.Dgia'!E1483</f>
        <v>Máy khác</v>
      </c>
      <c r="F380" s="1771" t="str">
        <f>'8.Dgia'!G1483</f>
        <v>%</v>
      </c>
      <c r="G380" s="1772">
        <f>'8.Dgia'!H1483</f>
        <v>5</v>
      </c>
      <c r="H380" s="1855">
        <f>+I379</f>
        <v>23872.23058815</v>
      </c>
      <c r="I380" s="1824">
        <f>H380*G380%</f>
        <v>1193.6115294075</v>
      </c>
    </row>
    <row r="381" spans="1:12" ht="15">
      <c r="B381" s="1551"/>
      <c r="C381" s="1555"/>
      <c r="D381" s="1552"/>
      <c r="E381" s="1828" t="s">
        <v>5675</v>
      </c>
      <c r="F381" s="1856">
        <f>$J$5</f>
        <v>0.02</v>
      </c>
      <c r="G381" s="1772"/>
      <c r="H381" s="1853"/>
      <c r="I381" s="1863">
        <f>( I377+I378 )*F381</f>
        <v>8244.948038871149</v>
      </c>
    </row>
    <row r="382" spans="1:12" ht="15">
      <c r="B382" s="1551"/>
      <c r="C382" s="1555"/>
      <c r="D382" s="1552"/>
      <c r="E382" s="1831" t="s">
        <v>5676</v>
      </c>
      <c r="F382" s="1831"/>
      <c r="G382" s="1772"/>
      <c r="H382" s="1853"/>
      <c r="I382" s="1833">
        <f>I381+I381/F381</f>
        <v>420492.3499824286</v>
      </c>
    </row>
    <row r="383" spans="1:12" ht="15">
      <c r="B383" s="2020"/>
      <c r="C383" s="1555"/>
      <c r="D383" s="1552"/>
      <c r="E383" s="1834" t="s">
        <v>5677</v>
      </c>
      <c r="F383" s="1858">
        <f>$K$5</f>
        <v>5.7750000000000003E-2</v>
      </c>
      <c r="G383" s="1772"/>
      <c r="H383" s="1853"/>
      <c r="I383" s="1835">
        <f>I382*F383</f>
        <v>24283.433211485251</v>
      </c>
    </row>
    <row r="384" spans="1:12" ht="15">
      <c r="B384" s="1551"/>
      <c r="C384" s="1555"/>
      <c r="D384" s="1552"/>
      <c r="E384" s="1834" t="s">
        <v>5678</v>
      </c>
      <c r="F384" s="1856">
        <f>$L$5</f>
        <v>0.06</v>
      </c>
      <c r="G384" s="1772"/>
      <c r="H384" s="1853"/>
      <c r="I384" s="1835">
        <f>SUM(I382:I383)*F384</f>
        <v>26686.54699163483</v>
      </c>
    </row>
    <row r="385" spans="1:12" ht="15">
      <c r="B385" s="1551"/>
      <c r="C385" s="1555"/>
      <c r="D385" s="1552"/>
      <c r="E385" s="1831" t="s">
        <v>5679</v>
      </c>
      <c r="F385" s="1831"/>
      <c r="G385" s="1772"/>
      <c r="H385" s="1853"/>
      <c r="I385" s="1833">
        <f>SUM(I382:I384)</f>
        <v>471462.33018554869</v>
      </c>
    </row>
    <row r="386" spans="1:12" ht="15">
      <c r="B386" s="1551"/>
      <c r="C386" s="1555"/>
      <c r="D386" s="1552"/>
      <c r="E386" s="1834" t="s">
        <v>5680</v>
      </c>
      <c r="F386" s="1856">
        <f>$M$5</f>
        <v>0.1</v>
      </c>
      <c r="G386" s="1772"/>
      <c r="H386" s="1853"/>
      <c r="I386" s="1835">
        <f>I385*F386</f>
        <v>47146.233018554871</v>
      </c>
    </row>
    <row r="387" spans="1:12" ht="15">
      <c r="B387" s="1551"/>
      <c r="C387" s="1555"/>
      <c r="D387" s="1552"/>
      <c r="E387" s="1831" t="s">
        <v>5681</v>
      </c>
      <c r="F387" s="1831"/>
      <c r="G387" s="1772"/>
      <c r="H387" s="1853"/>
      <c r="I387" s="1833">
        <f>SUM(I385:I386)</f>
        <v>518608.56320410356</v>
      </c>
    </row>
    <row r="388" spans="1:12" ht="12.75">
      <c r="B388" s="1551"/>
      <c r="C388" s="1555"/>
      <c r="D388" s="1552"/>
      <c r="E388" s="1558" t="s">
        <v>5682</v>
      </c>
      <c r="F388" s="1595">
        <f>$N$5</f>
        <v>0.01</v>
      </c>
      <c r="G388" s="1553"/>
      <c r="H388" s="1594"/>
      <c r="I388" s="1559">
        <f>I387*F388</f>
        <v>5186.0856320410358</v>
      </c>
    </row>
    <row r="389" spans="1:12" ht="15">
      <c r="B389" s="1596"/>
      <c r="C389" s="1597"/>
      <c r="D389" s="1597"/>
      <c r="E389" s="1859" t="s">
        <v>5683</v>
      </c>
      <c r="F389" s="1859"/>
      <c r="G389" s="1860"/>
      <c r="H389" s="1861"/>
      <c r="I389" s="1862">
        <f>ROUND(I387+I388,-2)</f>
        <v>523800</v>
      </c>
    </row>
    <row r="390" spans="1:12" ht="15">
      <c r="A390" s="657">
        <v>1</v>
      </c>
      <c r="B390" s="1549">
        <f>IF(A390&lt;&gt;0,COUNTA(A$7:$A390),"")</f>
        <v>23</v>
      </c>
      <c r="C390" s="1555">
        <f>'8.Dgia'!C1520</f>
        <v>1776</v>
      </c>
      <c r="D390" s="1696" t="str">
        <f>'8.Dgia'!D1520</f>
        <v>AF.11210</v>
      </c>
      <c r="E390" s="1848" t="str">
        <f>'8.Dgia'!E1520</f>
        <v>Bê tông C20 móng</v>
      </c>
      <c r="F390" s="1849" t="str">
        <f>'8.Dgia'!G1520</f>
        <v>m3</v>
      </c>
      <c r="G390" s="1850">
        <f>'8.Dgia'!H1520</f>
        <v>0</v>
      </c>
      <c r="H390" s="1851"/>
      <c r="I390" s="1852"/>
      <c r="J390" s="842">
        <f>+I391</f>
        <v>915552.66503722349</v>
      </c>
      <c r="K390" s="842">
        <f>+I394</f>
        <v>326614.19999999995</v>
      </c>
      <c r="L390" s="842">
        <f>+I395</f>
        <v>23796.9734775</v>
      </c>
    </row>
    <row r="391" spans="1:12" s="658" customFormat="1" ht="15">
      <c r="B391" s="1551" t="str">
        <f>'8.Dgia'!B1521</f>
        <v/>
      </c>
      <c r="C391" s="1555">
        <f>'8.Dgia'!C1521</f>
        <v>0</v>
      </c>
      <c r="D391" s="1552">
        <f>'8.Dgia'!D1521</f>
        <v>0</v>
      </c>
      <c r="E391" s="2018" t="str">
        <f>'8.Dgia'!E1521</f>
        <v xml:space="preserve">  A - Vật liệu</v>
      </c>
      <c r="F391" s="1771">
        <f>'8.Dgia'!G1521</f>
        <v>0</v>
      </c>
      <c r="G391" s="1772">
        <f>'8.Dgia'!H1521</f>
        <v>0</v>
      </c>
      <c r="H391" s="1853"/>
      <c r="I391" s="1854">
        <f>SUM(I392:I393)</f>
        <v>915552.66503722349</v>
      </c>
      <c r="J391" s="850"/>
      <c r="K391" s="850"/>
      <c r="L391" s="850"/>
    </row>
    <row r="392" spans="1:12" ht="15">
      <c r="B392" s="1551" t="str">
        <f>'8.Dgia'!B1522</f>
        <v/>
      </c>
      <c r="C392" s="1555">
        <f>'8.Dgia'!C1522</f>
        <v>0</v>
      </c>
      <c r="D392" s="1552" t="str">
        <f>'8.Dgia'!D1522</f>
        <v>C3124</v>
      </c>
      <c r="E392" s="1775" t="str">
        <f>'8.Dgia'!E1522</f>
        <v>Vữa bê tông đá 1x2 C20 SN 2-4</v>
      </c>
      <c r="F392" s="1771" t="str">
        <f>'8.Dgia'!G1522</f>
        <v>m3</v>
      </c>
      <c r="G392" s="1772">
        <f>'8.Dgia'!H1522</f>
        <v>1.0249999999999999</v>
      </c>
      <c r="H392" s="1853">
        <f>GVL!$I$194</f>
        <v>884378.32894201751</v>
      </c>
      <c r="I392" s="1824">
        <f>H392*G392</f>
        <v>906487.78716556786</v>
      </c>
    </row>
    <row r="393" spans="1:12" ht="15">
      <c r="B393" s="1551" t="str">
        <f>'8.Dgia'!B1523</f>
        <v/>
      </c>
      <c r="C393" s="1555">
        <f>'8.Dgia'!C1523</f>
        <v>0</v>
      </c>
      <c r="D393" s="1552">
        <f>'8.Dgia'!D1523</f>
        <v>0</v>
      </c>
      <c r="E393" s="1775" t="str">
        <f>'8.Dgia'!E1523</f>
        <v>Vật liệu khác</v>
      </c>
      <c r="F393" s="1771" t="str">
        <f>'8.Dgia'!G1523</f>
        <v>%</v>
      </c>
      <c r="G393" s="1772">
        <f>'8.Dgia'!H1523</f>
        <v>1</v>
      </c>
      <c r="H393" s="1853">
        <f>I392</f>
        <v>906487.78716556786</v>
      </c>
      <c r="I393" s="1824">
        <f>H393*G393%</f>
        <v>9064.877871655679</v>
      </c>
    </row>
    <row r="394" spans="1:12" s="658" customFormat="1" ht="15">
      <c r="B394" s="1551" t="str">
        <f>'8.Dgia'!B1524</f>
        <v/>
      </c>
      <c r="C394" s="1555">
        <f>'8.Dgia'!C1524</f>
        <v>0</v>
      </c>
      <c r="D394" s="1552">
        <f>'8.Dgia'!D1524</f>
        <v>0</v>
      </c>
      <c r="E394" s="1775" t="str">
        <f>'8.Dgia'!E1524</f>
        <v xml:space="preserve">  B - Nhân công 3.0/7</v>
      </c>
      <c r="F394" s="1771" t="s">
        <v>552</v>
      </c>
      <c r="G394" s="1772">
        <f>'8.Dgia'!H1524</f>
        <v>1.64</v>
      </c>
      <c r="H394" s="1853">
        <f>'16.NC'!$G$13</f>
        <v>199155</v>
      </c>
      <c r="I394" s="1854">
        <f>H394*G394</f>
        <v>326614.19999999995</v>
      </c>
      <c r="J394" s="850"/>
      <c r="K394" s="850"/>
      <c r="L394" s="850"/>
    </row>
    <row r="395" spans="1:12" s="658" customFormat="1" ht="15">
      <c r="B395" s="1551" t="str">
        <f>'8.Dgia'!B1525</f>
        <v/>
      </c>
      <c r="C395" s="1555">
        <f>'8.Dgia'!C1525</f>
        <v>0</v>
      </c>
      <c r="D395" s="1552">
        <f>'8.Dgia'!D1525</f>
        <v>0</v>
      </c>
      <c r="E395" s="1775" t="str">
        <f>'8.Dgia'!E1525</f>
        <v xml:space="preserve">  C - Máy thi công</v>
      </c>
      <c r="F395" s="1771">
        <f>'8.Dgia'!G1525</f>
        <v>0</v>
      </c>
      <c r="G395" s="1772">
        <f>'8.Dgia'!H1525</f>
        <v>0</v>
      </c>
      <c r="H395" s="1853"/>
      <c r="I395" s="1854">
        <f>SUM(I396:I397)</f>
        <v>23796.9734775</v>
      </c>
      <c r="J395" s="850"/>
      <c r="K395" s="850"/>
      <c r="L395" s="850"/>
    </row>
    <row r="396" spans="1:12" ht="15">
      <c r="B396" s="1551" t="str">
        <f>'8.Dgia'!B1526</f>
        <v/>
      </c>
      <c r="C396" s="1555">
        <f>'8.Dgia'!C1526</f>
        <v>0</v>
      </c>
      <c r="D396" s="1552">
        <f>'8.Dgia'!D1526</f>
        <v>0</v>
      </c>
      <c r="E396" s="1775" t="str">
        <f>'8.Dgia'!E1526</f>
        <v>Máy trộn 250l</v>
      </c>
      <c r="F396" s="1771" t="s">
        <v>5493</v>
      </c>
      <c r="G396" s="1772">
        <f>'8.Dgia'!H1526</f>
        <v>9.5000000000000001E-2</v>
      </c>
      <c r="H396" s="1853">
        <f>'9.may'!$P$333</f>
        <v>180447.90000000002</v>
      </c>
      <c r="I396" s="1824">
        <f>H396*G396</f>
        <v>17142.550500000001</v>
      </c>
    </row>
    <row r="397" spans="1:12" ht="15">
      <c r="B397" s="1551" t="str">
        <f>'8.Dgia'!B1527</f>
        <v/>
      </c>
      <c r="C397" s="1555">
        <f>'8.Dgia'!C1527</f>
        <v>0</v>
      </c>
      <c r="D397" s="1552">
        <f>'8.Dgia'!D1527</f>
        <v>0</v>
      </c>
      <c r="E397" s="1775" t="str">
        <f>'8.Dgia'!E1527</f>
        <v>Máy đầm dùi 1.5Kw</v>
      </c>
      <c r="F397" s="1771" t="s">
        <v>5493</v>
      </c>
      <c r="G397" s="1772">
        <f>'8.Dgia'!H1527</f>
        <v>8.8999999999999996E-2</v>
      </c>
      <c r="H397" s="1853">
        <f>'9.may'!$P$382</f>
        <v>74768.797500000001</v>
      </c>
      <c r="I397" s="1824">
        <f>H397*G397</f>
        <v>6654.4229774999994</v>
      </c>
    </row>
    <row r="398" spans="1:12" ht="15">
      <c r="B398" s="1551"/>
      <c r="C398" s="1555"/>
      <c r="D398" s="1552"/>
      <c r="E398" s="1828" t="s">
        <v>5675</v>
      </c>
      <c r="F398" s="1856">
        <f>$J$5</f>
        <v>0.02</v>
      </c>
      <c r="G398" s="1772"/>
      <c r="H398" s="1853"/>
      <c r="I398" s="1863">
        <f>( I391+I394+I395 )*F398</f>
        <v>25319.276770294469</v>
      </c>
    </row>
    <row r="399" spans="1:12" ht="15">
      <c r="B399" s="1551"/>
      <c r="C399" s="1555"/>
      <c r="D399" s="1552"/>
      <c r="E399" s="1831" t="s">
        <v>5676</v>
      </c>
      <c r="F399" s="1831"/>
      <c r="G399" s="1772"/>
      <c r="H399" s="1853"/>
      <c r="I399" s="1833">
        <f>I398+I398/F398</f>
        <v>1291283.1152850178</v>
      </c>
    </row>
    <row r="400" spans="1:12" ht="15">
      <c r="B400" s="2020"/>
      <c r="C400" s="1555"/>
      <c r="D400" s="1552"/>
      <c r="E400" s="1834" t="s">
        <v>5677</v>
      </c>
      <c r="F400" s="1858">
        <f>$K$5</f>
        <v>5.7750000000000003E-2</v>
      </c>
      <c r="G400" s="1772"/>
      <c r="H400" s="1853"/>
      <c r="I400" s="1835">
        <f>I399*F400</f>
        <v>74571.59990770978</v>
      </c>
    </row>
    <row r="401" spans="1:12" ht="15">
      <c r="B401" s="1551"/>
      <c r="C401" s="1555"/>
      <c r="D401" s="1552"/>
      <c r="E401" s="1834" t="s">
        <v>5678</v>
      </c>
      <c r="F401" s="1856">
        <f>$L$5</f>
        <v>0.06</v>
      </c>
      <c r="G401" s="1772"/>
      <c r="H401" s="1853"/>
      <c r="I401" s="1835">
        <f>SUM(I399:I400)*F401</f>
        <v>81951.282911563641</v>
      </c>
    </row>
    <row r="402" spans="1:12" ht="15">
      <c r="B402" s="1551"/>
      <c r="C402" s="1555"/>
      <c r="D402" s="1552"/>
      <c r="E402" s="1831" t="s">
        <v>5679</v>
      </c>
      <c r="F402" s="1831"/>
      <c r="G402" s="1772"/>
      <c r="H402" s="1853"/>
      <c r="I402" s="1833">
        <f>SUM(I399:I401)</f>
        <v>1447805.998104291</v>
      </c>
    </row>
    <row r="403" spans="1:12" ht="15">
      <c r="B403" s="1551"/>
      <c r="C403" s="1555"/>
      <c r="D403" s="1552"/>
      <c r="E403" s="1834" t="s">
        <v>5680</v>
      </c>
      <c r="F403" s="1856">
        <f>$M$5</f>
        <v>0.1</v>
      </c>
      <c r="G403" s="1772"/>
      <c r="H403" s="1853"/>
      <c r="I403" s="1835">
        <f>I402*F403</f>
        <v>144780.59981042912</v>
      </c>
    </row>
    <row r="404" spans="1:12" ht="15">
      <c r="B404" s="1551"/>
      <c r="C404" s="1555"/>
      <c r="D404" s="1552"/>
      <c r="E404" s="1831" t="s">
        <v>5681</v>
      </c>
      <c r="F404" s="1831"/>
      <c r="G404" s="1772"/>
      <c r="H404" s="1853"/>
      <c r="I404" s="1833">
        <f>SUM(I402:I403)</f>
        <v>1592586.5979147202</v>
      </c>
    </row>
    <row r="405" spans="1:12" ht="12.75">
      <c r="B405" s="1551"/>
      <c r="C405" s="1555"/>
      <c r="D405" s="1552"/>
      <c r="E405" s="1558" t="s">
        <v>5682</v>
      </c>
      <c r="F405" s="1595">
        <f>$N$5</f>
        <v>0.01</v>
      </c>
      <c r="G405" s="1553"/>
      <c r="H405" s="1594"/>
      <c r="I405" s="1559">
        <f>I404*F405</f>
        <v>15925.865979147202</v>
      </c>
    </row>
    <row r="406" spans="1:12" ht="15">
      <c r="B406" s="1596"/>
      <c r="C406" s="1597"/>
      <c r="D406" s="1597"/>
      <c r="E406" s="1859" t="s">
        <v>5683</v>
      </c>
      <c r="F406" s="1859"/>
      <c r="G406" s="1860"/>
      <c r="H406" s="1861"/>
      <c r="I406" s="1862">
        <f>ROUND(I404+I405,-2)</f>
        <v>1608500</v>
      </c>
    </row>
    <row r="407" spans="1:12" ht="15">
      <c r="A407" s="657">
        <v>1</v>
      </c>
      <c r="B407" s="1549">
        <f>IF(A407&lt;&gt;0,COUNTA(A$7:$A407),"")</f>
        <v>24</v>
      </c>
      <c r="C407" s="1555">
        <f>'8.Dgia'!C1936</f>
        <v>1776</v>
      </c>
      <c r="D407" s="1696" t="str">
        <f>'8.Dgia'!D1936</f>
        <v>AG.13111</v>
      </c>
      <c r="E407" s="1848" t="str">
        <f>'8.Dgia'!E1936</f>
        <v>Cốt thép cọc tiêu</v>
      </c>
      <c r="F407" s="1849" t="str">
        <f>'8.Dgia'!G1936</f>
        <v>tấn/ton</v>
      </c>
      <c r="G407" s="1850">
        <f>'8.Dgia'!H1936</f>
        <v>0</v>
      </c>
      <c r="H407" s="1851"/>
      <c r="I407" s="1823"/>
      <c r="J407" s="842">
        <f>+I408</f>
        <v>17076511.537800003</v>
      </c>
      <c r="K407" s="842">
        <f>+I412</f>
        <v>3066885</v>
      </c>
      <c r="L407" s="842">
        <f>+I413</f>
        <v>32116.740000000005</v>
      </c>
    </row>
    <row r="408" spans="1:12" ht="15">
      <c r="B408" s="1551" t="str">
        <f>'8.Dgia'!B1937</f>
        <v/>
      </c>
      <c r="C408" s="1555">
        <f>'8.Dgia'!C1937</f>
        <v>0</v>
      </c>
      <c r="D408" s="1552">
        <f>'8.Dgia'!D1937</f>
        <v>0</v>
      </c>
      <c r="E408" s="2018" t="str">
        <f>'8.Dgia'!E1937</f>
        <v xml:space="preserve">  A - Vật liệu</v>
      </c>
      <c r="F408" s="1771">
        <f>'8.Dgia'!G1937</f>
        <v>0</v>
      </c>
      <c r="G408" s="1772">
        <f>'8.Dgia'!H1937</f>
        <v>0</v>
      </c>
      <c r="H408" s="1853"/>
      <c r="I408" s="1854">
        <f>SUM(I409:I411)</f>
        <v>17076511.537800003</v>
      </c>
    </row>
    <row r="409" spans="1:12" ht="15">
      <c r="B409" s="1551" t="str">
        <f>'8.Dgia'!B1938</f>
        <v/>
      </c>
      <c r="C409" s="1555">
        <f>'8.Dgia'!C1938</f>
        <v>0</v>
      </c>
      <c r="D409" s="1552">
        <f>'8.Dgia'!D1938</f>
        <v>0</v>
      </c>
      <c r="E409" s="1775" t="str">
        <f>'8.Dgia'!E1938</f>
        <v>Thép tròn D&lt;=18</v>
      </c>
      <c r="F409" s="1771" t="str">
        <f>'8.Dgia'!G1938</f>
        <v>kg</v>
      </c>
      <c r="G409" s="1772">
        <f>'8.Dgia'!H1938</f>
        <v>1005</v>
      </c>
      <c r="H409" s="1853">
        <f>GVL!$I$180</f>
        <v>16604.075560000001</v>
      </c>
      <c r="I409" s="1824">
        <f>H409*G409</f>
        <v>16687095.937800001</v>
      </c>
    </row>
    <row r="410" spans="1:12" ht="15">
      <c r="B410" s="1551" t="str">
        <f>'8.Dgia'!B1939</f>
        <v/>
      </c>
      <c r="C410" s="1555">
        <f>'8.Dgia'!C1939</f>
        <v>0</v>
      </c>
      <c r="D410" s="1552">
        <f>'8.Dgia'!D1939</f>
        <v>0</v>
      </c>
      <c r="E410" s="1775" t="str">
        <f>'8.Dgia'!E1939</f>
        <v>Dây thép buộc</v>
      </c>
      <c r="F410" s="1771" t="str">
        <f>'8.Dgia'!G1939</f>
        <v>kg</v>
      </c>
      <c r="G410" s="1772">
        <f>'8.Dgia'!H1939</f>
        <v>21.42</v>
      </c>
      <c r="H410" s="1853">
        <f>GVL!$I$89</f>
        <v>18180</v>
      </c>
      <c r="I410" s="1824">
        <f>H410*G410</f>
        <v>389415.60000000003</v>
      </c>
    </row>
    <row r="411" spans="1:12" ht="15">
      <c r="B411" s="1551" t="str">
        <f>'8.Dgia'!B1940</f>
        <v/>
      </c>
      <c r="C411" s="1555">
        <f>'8.Dgia'!C1940</f>
        <v>0</v>
      </c>
      <c r="D411" s="1552">
        <f>'8.Dgia'!D1940</f>
        <v>0</v>
      </c>
      <c r="E411" s="1775" t="str">
        <f>'8.Dgia'!E1940</f>
        <v>Que hàn</v>
      </c>
      <c r="F411" s="1771" t="str">
        <f>'8.Dgia'!G1940</f>
        <v>kg</v>
      </c>
      <c r="G411" s="1772">
        <f>'8.Dgia'!H1940</f>
        <v>0</v>
      </c>
      <c r="H411" s="1853">
        <f>GVL!$I$153</f>
        <v>19090.909090909088</v>
      </c>
      <c r="I411" s="1824">
        <f>H411*G411</f>
        <v>0</v>
      </c>
    </row>
    <row r="412" spans="1:12" ht="15">
      <c r="B412" s="1551" t="str">
        <f>'8.Dgia'!B1941</f>
        <v/>
      </c>
      <c r="C412" s="1555">
        <f>'8.Dgia'!C1941</f>
        <v>0</v>
      </c>
      <c r="D412" s="1552">
        <f>'8.Dgia'!D1941</f>
        <v>0</v>
      </c>
      <c r="E412" s="1775" t="str">
        <f>'8.Dgia'!E1941</f>
        <v xml:space="preserve">  B - Nhân công 3.5/7</v>
      </c>
      <c r="F412" s="1771" t="s">
        <v>552</v>
      </c>
      <c r="G412" s="1772">
        <f>'8.Dgia'!H1941</f>
        <v>14.25</v>
      </c>
      <c r="H412" s="1853">
        <f>'16.NC'!$G$16</f>
        <v>215220</v>
      </c>
      <c r="I412" s="1854">
        <f>H412*G412</f>
        <v>3066885</v>
      </c>
    </row>
    <row r="413" spans="1:12" ht="15">
      <c r="B413" s="1551" t="str">
        <f>'8.Dgia'!B1942</f>
        <v/>
      </c>
      <c r="C413" s="1555">
        <f>'8.Dgia'!C1942</f>
        <v>0</v>
      </c>
      <c r="D413" s="1552">
        <f>'8.Dgia'!D1942</f>
        <v>0</v>
      </c>
      <c r="E413" s="1775" t="str">
        <f>'8.Dgia'!E1942</f>
        <v xml:space="preserve">  C - Máy thi công</v>
      </c>
      <c r="F413" s="1771">
        <f>'8.Dgia'!G1942</f>
        <v>0</v>
      </c>
      <c r="G413" s="1772">
        <f>'8.Dgia'!H1942</f>
        <v>0</v>
      </c>
      <c r="H413" s="1853"/>
      <c r="I413" s="1854">
        <f>SUM(I414:I415)</f>
        <v>32116.740000000005</v>
      </c>
    </row>
    <row r="414" spans="1:12" ht="15">
      <c r="B414" s="1551" t="str">
        <f>'8.Dgia'!B1943</f>
        <v/>
      </c>
      <c r="C414" s="1555">
        <f>'8.Dgia'!C1943</f>
        <v>0</v>
      </c>
      <c r="D414" s="1552">
        <f>'8.Dgia'!D1943</f>
        <v>0</v>
      </c>
      <c r="E414" s="1775" t="str">
        <f>'8.Dgia'!E1943</f>
        <v>Máy hàn 23kw</v>
      </c>
      <c r="F414" s="1771" t="s">
        <v>5493</v>
      </c>
      <c r="G414" s="1772">
        <f>'8.Dgia'!H1943</f>
        <v>0</v>
      </c>
      <c r="H414" s="1853">
        <f>'9.may'!$P$510</f>
        <v>171649.155</v>
      </c>
      <c r="I414" s="1824">
        <f>H414*G414</f>
        <v>0</v>
      </c>
    </row>
    <row r="415" spans="1:12" ht="15">
      <c r="B415" s="1551" t="str">
        <f>'8.Dgia'!B1944</f>
        <v/>
      </c>
      <c r="C415" s="1555">
        <f>'8.Dgia'!C1944</f>
        <v>0</v>
      </c>
      <c r="D415" s="1552">
        <f>'8.Dgia'!D1944</f>
        <v>0</v>
      </c>
      <c r="E415" s="1775" t="str">
        <f>'8.Dgia'!E1944</f>
        <v>Máy cắt uốn</v>
      </c>
      <c r="F415" s="1771" t="s">
        <v>5493</v>
      </c>
      <c r="G415" s="1772">
        <f>'8.Dgia'!H1944</f>
        <v>0.4</v>
      </c>
      <c r="H415" s="1853">
        <f>'9.may'!$P$557</f>
        <v>80291.850000000006</v>
      </c>
      <c r="I415" s="1824">
        <f>H415*G415</f>
        <v>32116.740000000005</v>
      </c>
    </row>
    <row r="416" spans="1:12" ht="15">
      <c r="B416" s="1551"/>
      <c r="C416" s="1555"/>
      <c r="D416" s="1552"/>
      <c r="E416" s="1828" t="s">
        <v>5675</v>
      </c>
      <c r="F416" s="1856">
        <f>$J$5</f>
        <v>0.02</v>
      </c>
      <c r="G416" s="1772"/>
      <c r="H416" s="1853"/>
      <c r="I416" s="1863">
        <f>( I408+I412+I413 )*F416</f>
        <v>403510.26555600006</v>
      </c>
    </row>
    <row r="417" spans="1:12" ht="15">
      <c r="B417" s="1551"/>
      <c r="C417" s="1555"/>
      <c r="D417" s="1552"/>
      <c r="E417" s="1831" t="s">
        <v>5676</v>
      </c>
      <c r="F417" s="1831"/>
      <c r="G417" s="1772"/>
      <c r="H417" s="1853"/>
      <c r="I417" s="1833">
        <f>I416+I416/F416</f>
        <v>20579023.543356001</v>
      </c>
    </row>
    <row r="418" spans="1:12" ht="15">
      <c r="B418" s="1551"/>
      <c r="C418" s="1555"/>
      <c r="D418" s="1552"/>
      <c r="E418" s="1834" t="s">
        <v>5677</v>
      </c>
      <c r="F418" s="1858">
        <f>$K$5</f>
        <v>5.7750000000000003E-2</v>
      </c>
      <c r="G418" s="1772"/>
      <c r="H418" s="1853"/>
      <c r="I418" s="1835">
        <f>I417*F418</f>
        <v>1188438.6096288092</v>
      </c>
    </row>
    <row r="419" spans="1:12" ht="15">
      <c r="B419" s="1551"/>
      <c r="C419" s="1555"/>
      <c r="D419" s="1552"/>
      <c r="E419" s="1834" t="s">
        <v>5678</v>
      </c>
      <c r="F419" s="1856">
        <f>$L$5</f>
        <v>0.06</v>
      </c>
      <c r="G419" s="1772"/>
      <c r="H419" s="1853"/>
      <c r="I419" s="1835">
        <f>SUM(I417:I418)*F419</f>
        <v>1306047.7291790885</v>
      </c>
    </row>
    <row r="420" spans="1:12" ht="15">
      <c r="B420" s="1551"/>
      <c r="C420" s="1555"/>
      <c r="D420" s="1552"/>
      <c r="E420" s="1831" t="s">
        <v>5679</v>
      </c>
      <c r="F420" s="1831"/>
      <c r="G420" s="1772"/>
      <c r="H420" s="1853"/>
      <c r="I420" s="1833">
        <f>SUM(I417:I419)</f>
        <v>23073509.882163897</v>
      </c>
    </row>
    <row r="421" spans="1:12" ht="15">
      <c r="B421" s="2020"/>
      <c r="C421" s="1555"/>
      <c r="D421" s="1552"/>
      <c r="E421" s="1834" t="s">
        <v>5680</v>
      </c>
      <c r="F421" s="1856">
        <f>$M$5</f>
        <v>0.1</v>
      </c>
      <c r="G421" s="1772"/>
      <c r="H421" s="1853"/>
      <c r="I421" s="1835">
        <f>I420*F421</f>
        <v>2307350.9882163899</v>
      </c>
    </row>
    <row r="422" spans="1:12" ht="15">
      <c r="B422" s="1551"/>
      <c r="C422" s="1555"/>
      <c r="D422" s="1552"/>
      <c r="E422" s="1831" t="s">
        <v>5681</v>
      </c>
      <c r="F422" s="1831"/>
      <c r="G422" s="1772"/>
      <c r="H422" s="1853"/>
      <c r="I422" s="1833">
        <f>SUM(I420:I421)</f>
        <v>25380860.870380286</v>
      </c>
    </row>
    <row r="423" spans="1:12" ht="12.75">
      <c r="B423" s="1551"/>
      <c r="C423" s="1555"/>
      <c r="D423" s="1552"/>
      <c r="E423" s="1558" t="s">
        <v>5682</v>
      </c>
      <c r="F423" s="1595">
        <f>$N$5</f>
        <v>0.01</v>
      </c>
      <c r="G423" s="1553"/>
      <c r="H423" s="1594"/>
      <c r="I423" s="1559">
        <f>I422*F423</f>
        <v>253808.60870380286</v>
      </c>
    </row>
    <row r="424" spans="1:12" ht="15">
      <c r="B424" s="1596"/>
      <c r="C424" s="1597"/>
      <c r="D424" s="1597"/>
      <c r="E424" s="1859" t="s">
        <v>5683</v>
      </c>
      <c r="F424" s="1859"/>
      <c r="G424" s="1860"/>
      <c r="H424" s="1861"/>
      <c r="I424" s="1862">
        <f>ROUND(I422+I423,-2)</f>
        <v>25634700</v>
      </c>
    </row>
    <row r="425" spans="1:12" ht="15">
      <c r="A425" s="657">
        <v>1</v>
      </c>
      <c r="B425" s="1549">
        <f>IF(A425&lt;&gt;0,COUNTA(A$7:$A425),"")</f>
        <v>25</v>
      </c>
      <c r="C425" s="1555">
        <f>'8.Dgia'!C1995</f>
        <v>1776</v>
      </c>
      <c r="D425" s="1696" t="str">
        <f>'8.Dgia'!D1995</f>
        <v>AB.25121</v>
      </c>
      <c r="E425" s="1848" t="str">
        <f>'8.Dgia'!E1995</f>
        <v>Đào đất chân khay</v>
      </c>
      <c r="F425" s="1849" t="s">
        <v>545</v>
      </c>
      <c r="G425" s="1850">
        <f>'8.Dgia'!H1995</f>
        <v>0</v>
      </c>
      <c r="H425" s="1851"/>
      <c r="I425" s="1894"/>
      <c r="K425" s="842">
        <f>+I426</f>
        <v>9459.8624999999993</v>
      </c>
      <c r="L425" s="842">
        <f>+I427</f>
        <v>8484.1210622127255</v>
      </c>
    </row>
    <row r="426" spans="1:12" ht="15">
      <c r="B426" s="1551" t="str">
        <f>'8.Dgia'!B1996</f>
        <v/>
      </c>
      <c r="C426" s="1555">
        <f>'8.Dgia'!C1996</f>
        <v>0</v>
      </c>
      <c r="D426" s="1552">
        <f>'8.Dgia'!D1996</f>
        <v>0</v>
      </c>
      <c r="E426" s="1775" t="str">
        <f>'8.Dgia'!E1996</f>
        <v xml:space="preserve">  B - Nhân công 3.0/7</v>
      </c>
      <c r="F426" s="1771" t="s">
        <v>552</v>
      </c>
      <c r="G426" s="1772">
        <f>'8.Dgia'!H1996/100</f>
        <v>4.7500000000000001E-2</v>
      </c>
      <c r="H426" s="1853">
        <f>'16.NC'!$G$13</f>
        <v>199155</v>
      </c>
      <c r="I426" s="1854">
        <f>H426*G426</f>
        <v>9459.8624999999993</v>
      </c>
    </row>
    <row r="427" spans="1:12" ht="15">
      <c r="B427" s="1551" t="str">
        <f>'8.Dgia'!B1997</f>
        <v/>
      </c>
      <c r="C427" s="1555">
        <f>'8.Dgia'!C1997</f>
        <v>0</v>
      </c>
      <c r="D427" s="1552">
        <f>'8.Dgia'!D1997</f>
        <v>0</v>
      </c>
      <c r="E427" s="1775" t="str">
        <f>'8.Dgia'!E1997</f>
        <v xml:space="preserve">  C - Máy thi công</v>
      </c>
      <c r="F427" s="1771">
        <f>'8.Dgia'!G1997</f>
        <v>0</v>
      </c>
      <c r="G427" s="1772">
        <f>'8.Dgia'!H1997/100</f>
        <v>0</v>
      </c>
      <c r="H427" s="1855"/>
      <c r="I427" s="1854">
        <f>+I428</f>
        <v>8484.1210622127255</v>
      </c>
    </row>
    <row r="428" spans="1:12" ht="15">
      <c r="B428" s="1551" t="str">
        <f>'8.Dgia'!B1998</f>
        <v/>
      </c>
      <c r="C428" s="1555">
        <f>'8.Dgia'!C1998</f>
        <v>0</v>
      </c>
      <c r="D428" s="1552">
        <f>'8.Dgia'!D1998</f>
        <v>0</v>
      </c>
      <c r="E428" s="1775" t="str">
        <f>'8.Dgia'!E1998</f>
        <v>Máy đào 1.25m3</v>
      </c>
      <c r="F428" s="1771" t="s">
        <v>5493</v>
      </c>
      <c r="G428" s="1772">
        <f>'8.Dgia'!H1998/100</f>
        <v>2.3699999999999997E-3</v>
      </c>
      <c r="H428" s="1853">
        <f>'9.may'!$P$28</f>
        <v>3579797.9165454544</v>
      </c>
      <c r="I428" s="1824">
        <f>H428*G428</f>
        <v>8484.1210622127255</v>
      </c>
    </row>
    <row r="429" spans="1:12" ht="15">
      <c r="B429" s="1551"/>
      <c r="C429" s="1555"/>
      <c r="D429" s="1552"/>
      <c r="E429" s="1828" t="s">
        <v>5675</v>
      </c>
      <c r="F429" s="1856">
        <f>$J$5</f>
        <v>0.02</v>
      </c>
      <c r="G429" s="1772"/>
      <c r="H429" s="1853"/>
      <c r="I429" s="1863">
        <f>( I426+I427 )*F429</f>
        <v>358.8796712442545</v>
      </c>
    </row>
    <row r="430" spans="1:12" ht="15">
      <c r="B430" s="1551"/>
      <c r="C430" s="1555"/>
      <c r="D430" s="1552"/>
      <c r="E430" s="1831" t="s">
        <v>5676</v>
      </c>
      <c r="F430" s="1831"/>
      <c r="G430" s="1772"/>
      <c r="H430" s="1853"/>
      <c r="I430" s="1833">
        <f>I429+I429/F429</f>
        <v>18302.863233456977</v>
      </c>
    </row>
    <row r="431" spans="1:12" ht="15">
      <c r="B431" s="1551"/>
      <c r="C431" s="1555"/>
      <c r="D431" s="1552"/>
      <c r="E431" s="1834" t="s">
        <v>5677</v>
      </c>
      <c r="F431" s="1858">
        <f>$K$5</f>
        <v>5.7750000000000003E-2</v>
      </c>
      <c r="G431" s="1772"/>
      <c r="H431" s="1853"/>
      <c r="I431" s="1835">
        <f>I430*F431</f>
        <v>1056.9903517321404</v>
      </c>
    </row>
    <row r="432" spans="1:12" ht="15">
      <c r="B432" s="1551"/>
      <c r="C432" s="1555"/>
      <c r="D432" s="1552"/>
      <c r="E432" s="1834" t="s">
        <v>5678</v>
      </c>
      <c r="F432" s="1856">
        <f>$L$5</f>
        <v>0.06</v>
      </c>
      <c r="G432" s="1772"/>
      <c r="H432" s="1853"/>
      <c r="I432" s="1835">
        <f>SUM(I430:I431)*F432</f>
        <v>1161.5912151113471</v>
      </c>
    </row>
    <row r="433" spans="1:12" ht="15">
      <c r="B433" s="1551"/>
      <c r="C433" s="1555"/>
      <c r="D433" s="1552"/>
      <c r="E433" s="1831" t="s">
        <v>5679</v>
      </c>
      <c r="F433" s="1831"/>
      <c r="G433" s="1772"/>
      <c r="H433" s="1853"/>
      <c r="I433" s="1833">
        <f>SUM(I430:I432)</f>
        <v>20521.444800300465</v>
      </c>
    </row>
    <row r="434" spans="1:12" ht="15">
      <c r="B434" s="1551"/>
      <c r="C434" s="1555"/>
      <c r="D434" s="1552"/>
      <c r="E434" s="1834" t="s">
        <v>5680</v>
      </c>
      <c r="F434" s="1856">
        <f>$M$5</f>
        <v>0.1</v>
      </c>
      <c r="G434" s="1772"/>
      <c r="H434" s="1853"/>
      <c r="I434" s="1835">
        <f>I433*F434</f>
        <v>2052.1444800300465</v>
      </c>
    </row>
    <row r="435" spans="1:12" ht="15">
      <c r="B435" s="1551"/>
      <c r="C435" s="1555"/>
      <c r="D435" s="1552"/>
      <c r="E435" s="1831" t="s">
        <v>5681</v>
      </c>
      <c r="F435" s="1831"/>
      <c r="G435" s="1772"/>
      <c r="H435" s="1853"/>
      <c r="I435" s="1833">
        <f>SUM(I433:I434)</f>
        <v>22573.589280330511</v>
      </c>
    </row>
    <row r="436" spans="1:12" ht="12.75">
      <c r="B436" s="1551"/>
      <c r="C436" s="1555"/>
      <c r="D436" s="1552"/>
      <c r="E436" s="1558" t="s">
        <v>5682</v>
      </c>
      <c r="F436" s="1595">
        <f>$N$5</f>
        <v>0.01</v>
      </c>
      <c r="G436" s="1553"/>
      <c r="H436" s="1594"/>
      <c r="I436" s="1559">
        <f>I435*F436</f>
        <v>225.73589280330512</v>
      </c>
    </row>
    <row r="437" spans="1:12" ht="15">
      <c r="B437" s="1596"/>
      <c r="C437" s="1597"/>
      <c r="D437" s="1597"/>
      <c r="E437" s="1859" t="s">
        <v>5683</v>
      </c>
      <c r="F437" s="1859"/>
      <c r="G437" s="1860"/>
      <c r="H437" s="1861"/>
      <c r="I437" s="1862">
        <f>ROUND(I435+I436,-2)</f>
        <v>22800</v>
      </c>
    </row>
    <row r="438" spans="1:12" ht="24">
      <c r="A438" s="657">
        <v>1</v>
      </c>
      <c r="B438" s="1549">
        <f>IF(A438&lt;&gt;0,COUNTA(A$7:$A438),"")</f>
        <v>26</v>
      </c>
      <c r="C438" s="1555">
        <f>'8.Dgia'!C2005</f>
        <v>1776</v>
      </c>
      <c r="D438" s="1696" t="str">
        <f>'8.Dgia'!D2005</f>
        <v>AB.66124vd</v>
      </c>
      <c r="E438" s="1848" t="str">
        <f>'8.Dgia'!E2005</f>
        <v>Đắp cát nền đường hạt mịn K=1</v>
      </c>
      <c r="F438" s="1849" t="s">
        <v>545</v>
      </c>
      <c r="G438" s="1850">
        <f>'8.Dgia'!H2005</f>
        <v>0</v>
      </c>
      <c r="H438" s="1851"/>
      <c r="I438" s="1894"/>
      <c r="J438" s="842">
        <f>+I439</f>
        <v>113720.62387221828</v>
      </c>
      <c r="K438" s="842">
        <f>+I441</f>
        <v>2987.3249999999998</v>
      </c>
      <c r="L438" s="842">
        <f>+I442</f>
        <v>7470.1803693634083</v>
      </c>
    </row>
    <row r="439" spans="1:12" ht="15">
      <c r="B439" s="2020"/>
      <c r="C439" s="1555">
        <f>'8.Dgia'!C2006</f>
        <v>0</v>
      </c>
      <c r="D439" s="1552">
        <f>'8.Dgia'!D2006</f>
        <v>0</v>
      </c>
      <c r="E439" s="2018" t="str">
        <f>'8.Dgia'!E2006</f>
        <v xml:space="preserve">  A - Vật liệu</v>
      </c>
      <c r="F439" s="1771">
        <f>'8.Dgia'!G2006</f>
        <v>0</v>
      </c>
      <c r="G439" s="1772">
        <f>'8.Dgia'!H2006</f>
        <v>0</v>
      </c>
      <c r="H439" s="1853"/>
      <c r="I439" s="1896">
        <f>I440</f>
        <v>113720.62387221828</v>
      </c>
    </row>
    <row r="440" spans="1:12" ht="15">
      <c r="B440" s="1551" t="str">
        <f>'8.Dgia'!B2007</f>
        <v/>
      </c>
      <c r="C440" s="1555">
        <f>'8.Dgia'!C2007</f>
        <v>0</v>
      </c>
      <c r="D440" s="1552">
        <f>'8.Dgia'!D2007</f>
        <v>0</v>
      </c>
      <c r="E440" s="1775" t="str">
        <f>'8.Dgia'!E2007</f>
        <v>Cát đen</v>
      </c>
      <c r="F440" s="1771" t="str">
        <f>'8.Dgia'!G2007</f>
        <v>m3</v>
      </c>
      <c r="G440" s="1898">
        <f>'8.Dgia'!H2007/100</f>
        <v>1.22</v>
      </c>
      <c r="H440" s="1853">
        <f>GVL!$I$37</f>
        <v>93213.626124769085</v>
      </c>
      <c r="I440" s="1824">
        <f>H440*G440</f>
        <v>113720.62387221828</v>
      </c>
    </row>
    <row r="441" spans="1:12" ht="15">
      <c r="B441" s="1551" t="str">
        <f>'8.Dgia'!B2008</f>
        <v/>
      </c>
      <c r="C441" s="1555">
        <f>'8.Dgia'!C2008</f>
        <v>0</v>
      </c>
      <c r="D441" s="1552">
        <f>'8.Dgia'!D2008</f>
        <v>0</v>
      </c>
      <c r="E441" s="1775" t="str">
        <f>'8.Dgia'!E2008</f>
        <v xml:space="preserve">  B - Nhân công 3.0/7</v>
      </c>
      <c r="F441" s="1771" t="s">
        <v>552</v>
      </c>
      <c r="G441" s="1898">
        <f>'8.Dgia'!H2008/100</f>
        <v>1.4999999999999999E-2</v>
      </c>
      <c r="H441" s="1853">
        <f>'16.NC'!$G$13</f>
        <v>199155</v>
      </c>
      <c r="I441" s="1854">
        <f>H441*G441</f>
        <v>2987.3249999999998</v>
      </c>
    </row>
    <row r="442" spans="1:12" ht="15">
      <c r="B442" s="1551" t="str">
        <f>'8.Dgia'!B2009</f>
        <v/>
      </c>
      <c r="C442" s="1555">
        <f>'8.Dgia'!C2009</f>
        <v>0</v>
      </c>
      <c r="D442" s="1552">
        <f>'8.Dgia'!D2009</f>
        <v>0</v>
      </c>
      <c r="E442" s="1775" t="str">
        <f>'8.Dgia'!E2009</f>
        <v xml:space="preserve">  C - Máy thi công</v>
      </c>
      <c r="F442" s="1771">
        <f>'8.Dgia'!G2009</f>
        <v>0</v>
      </c>
      <c r="G442" s="1898">
        <f>'8.Dgia'!H2009/100</f>
        <v>0</v>
      </c>
      <c r="H442" s="1853"/>
      <c r="I442" s="1896">
        <f>SUM(I443:I445)</f>
        <v>7470.1803693634083</v>
      </c>
    </row>
    <row r="443" spans="1:12" ht="15">
      <c r="B443" s="1551" t="str">
        <f>'8.Dgia'!B2010</f>
        <v/>
      </c>
      <c r="C443" s="1555">
        <f>'8.Dgia'!C2010</f>
        <v>0</v>
      </c>
      <c r="D443" s="1552">
        <f>'8.Dgia'!D2010</f>
        <v>0</v>
      </c>
      <c r="E443" s="1775" t="str">
        <f>'8.Dgia'!E2010</f>
        <v>Lu bánh lốp 16T</v>
      </c>
      <c r="F443" s="1771" t="s">
        <v>5493</v>
      </c>
      <c r="G443" s="1898">
        <f>'8.Dgia'!H2010/100</f>
        <v>3.0999999999999999E-3</v>
      </c>
      <c r="H443" s="1853">
        <f>'9.may'!$P$109</f>
        <v>1394407.2218181817</v>
      </c>
      <c r="I443" s="1824">
        <f>H443*G443</f>
        <v>4322.6623876363628</v>
      </c>
    </row>
    <row r="444" spans="1:12" ht="15">
      <c r="B444" s="1551" t="str">
        <f>'8.Dgia'!B2011</f>
        <v/>
      </c>
      <c r="C444" s="1555">
        <f>'8.Dgia'!C2011</f>
        <v>0</v>
      </c>
      <c r="D444" s="1552">
        <f>'8.Dgia'!D2011</f>
        <v>0</v>
      </c>
      <c r="E444" s="1775" t="str">
        <f>'8.Dgia'!E2011</f>
        <v>Máy ủi 110cv</v>
      </c>
      <c r="F444" s="1771" t="s">
        <v>5493</v>
      </c>
      <c r="G444" s="1898">
        <f>'8.Dgia'!H2011/100</f>
        <v>1.5499999999999999E-3</v>
      </c>
      <c r="H444" s="1853">
        <f>'9.may'!$P$70</f>
        <v>1959433.0499999998</v>
      </c>
      <c r="I444" s="1824">
        <f>H444*G444</f>
        <v>3037.1212274999998</v>
      </c>
    </row>
    <row r="445" spans="1:12" ht="15">
      <c r="B445" s="1551" t="str">
        <f>'8.Dgia'!B2012</f>
        <v/>
      </c>
      <c r="C445" s="1555">
        <f>'8.Dgia'!C2012</f>
        <v>0</v>
      </c>
      <c r="D445" s="1552">
        <f>'8.Dgia'!D2012</f>
        <v>0</v>
      </c>
      <c r="E445" s="1775" t="str">
        <f>'8.Dgia'!E2012</f>
        <v>Máy khác</v>
      </c>
      <c r="F445" s="1771" t="str">
        <f>'8.Dgia'!G2012</f>
        <v>%</v>
      </c>
      <c r="G445" s="1772">
        <f>'8.Dgia'!H2012</f>
        <v>1.5</v>
      </c>
      <c r="H445" s="1853">
        <f>SUM(I443:I444)</f>
        <v>7359.7836151363626</v>
      </c>
      <c r="I445" s="1824">
        <f>H445*G445%</f>
        <v>110.39675422704543</v>
      </c>
    </row>
    <row r="446" spans="1:12" ht="15">
      <c r="B446" s="1551"/>
      <c r="C446" s="1555"/>
      <c r="D446" s="1552"/>
      <c r="E446" s="1828" t="s">
        <v>5675</v>
      </c>
      <c r="F446" s="1856">
        <f>$J$5</f>
        <v>0.02</v>
      </c>
      <c r="G446" s="1772"/>
      <c r="H446" s="1853"/>
      <c r="I446" s="1863">
        <f>( I439+I441+I442 )*F446</f>
        <v>2483.5625848316336</v>
      </c>
    </row>
    <row r="447" spans="1:12" ht="15">
      <c r="B447" s="1551"/>
      <c r="C447" s="1555"/>
      <c r="D447" s="1552"/>
      <c r="E447" s="1831" t="s">
        <v>5676</v>
      </c>
      <c r="F447" s="1831"/>
      <c r="G447" s="1772"/>
      <c r="H447" s="1853"/>
      <c r="I447" s="1833">
        <f>I446+I446/F446</f>
        <v>126661.6918264133</v>
      </c>
    </row>
    <row r="448" spans="1:12" ht="15">
      <c r="B448" s="1551"/>
      <c r="C448" s="1555"/>
      <c r="D448" s="1552"/>
      <c r="E448" s="1834" t="s">
        <v>5677</v>
      </c>
      <c r="F448" s="1858">
        <f>$K$5</f>
        <v>5.7750000000000003E-2</v>
      </c>
      <c r="G448" s="1772"/>
      <c r="H448" s="1853"/>
      <c r="I448" s="1835">
        <f>I447*F448</f>
        <v>7314.7127029753683</v>
      </c>
    </row>
    <row r="449" spans="1:12" ht="15">
      <c r="B449" s="1551"/>
      <c r="C449" s="1555"/>
      <c r="D449" s="1552"/>
      <c r="E449" s="1834" t="s">
        <v>5678</v>
      </c>
      <c r="F449" s="1856">
        <f>$L$5</f>
        <v>0.06</v>
      </c>
      <c r="G449" s="1772"/>
      <c r="H449" s="1853"/>
      <c r="I449" s="1835">
        <f>SUM(I447:I448)*F449</f>
        <v>8038.5842717633204</v>
      </c>
    </row>
    <row r="450" spans="1:12" ht="15">
      <c r="B450" s="1551"/>
      <c r="C450" s="1555"/>
      <c r="D450" s="1552"/>
      <c r="E450" s="1831" t="s">
        <v>5679</v>
      </c>
      <c r="F450" s="1831"/>
      <c r="G450" s="1772"/>
      <c r="H450" s="1853"/>
      <c r="I450" s="1833">
        <f>SUM(I447:I449)</f>
        <v>142014.98880115198</v>
      </c>
    </row>
    <row r="451" spans="1:12" ht="15">
      <c r="B451" s="1551"/>
      <c r="C451" s="1555"/>
      <c r="D451" s="1552"/>
      <c r="E451" s="1834" t="s">
        <v>5680</v>
      </c>
      <c r="F451" s="1856">
        <f>$M$5</f>
        <v>0.1</v>
      </c>
      <c r="G451" s="1772"/>
      <c r="H451" s="1853"/>
      <c r="I451" s="1835">
        <f>I450*F451</f>
        <v>14201.498880115199</v>
      </c>
    </row>
    <row r="452" spans="1:12" ht="15">
      <c r="B452" s="1551"/>
      <c r="C452" s="1555"/>
      <c r="D452" s="1552"/>
      <c r="E452" s="1831" t="s">
        <v>5681</v>
      </c>
      <c r="F452" s="1831"/>
      <c r="G452" s="1772"/>
      <c r="H452" s="1853"/>
      <c r="I452" s="1833">
        <f>SUM(I450:I451)</f>
        <v>156216.48768126717</v>
      </c>
    </row>
    <row r="453" spans="1:12" ht="12.75">
      <c r="B453" s="1551"/>
      <c r="C453" s="1555"/>
      <c r="D453" s="1552"/>
      <c r="E453" s="1558" t="s">
        <v>5682</v>
      </c>
      <c r="F453" s="1595">
        <f>$N$5</f>
        <v>0.01</v>
      </c>
      <c r="G453" s="1553"/>
      <c r="H453" s="1594"/>
      <c r="I453" s="1559">
        <f>I452*F453</f>
        <v>1562.1648768126718</v>
      </c>
    </row>
    <row r="454" spans="1:12" ht="15">
      <c r="B454" s="1596"/>
      <c r="C454" s="1597"/>
      <c r="D454" s="1597"/>
      <c r="E454" s="1859" t="s">
        <v>5683</v>
      </c>
      <c r="F454" s="1859"/>
      <c r="G454" s="1860"/>
      <c r="H454" s="1861"/>
      <c r="I454" s="1862">
        <f>ROUND(I452+I453,-2)</f>
        <v>157800</v>
      </c>
    </row>
    <row r="455" spans="1:12" ht="24">
      <c r="A455" s="657">
        <v>1</v>
      </c>
      <c r="B455" s="1549">
        <f>IF(A455&lt;&gt;0,COUNTA(A$7:$A455),"")</f>
        <v>27</v>
      </c>
      <c r="C455" s="1555">
        <f>'8.Dgia'!C2013</f>
        <v>1776</v>
      </c>
      <c r="D455" s="1696" t="str">
        <f>'8.Dgia'!D2013</f>
        <v>AB.66124vd</v>
      </c>
      <c r="E455" s="1848" t="str">
        <f>'8.Dgia'!E2013</f>
        <v>Đắp cát nền đường hạt trung K=1</v>
      </c>
      <c r="F455" s="1849" t="s">
        <v>545</v>
      </c>
      <c r="G455" s="1850">
        <f>'8.Dgia'!H2013</f>
        <v>0</v>
      </c>
      <c r="H455" s="1851"/>
      <c r="I455" s="1894"/>
      <c r="J455" s="842">
        <f>+I456</f>
        <v>156278.09792676373</v>
      </c>
      <c r="K455" s="842">
        <f>+I458</f>
        <v>2987.3249999999998</v>
      </c>
      <c r="L455" s="842">
        <f>+I459</f>
        <v>7470.1803693634083</v>
      </c>
    </row>
    <row r="456" spans="1:12" ht="15">
      <c r="B456" s="1551" t="str">
        <f>'8.Dgia'!B2014</f>
        <v/>
      </c>
      <c r="C456" s="1555">
        <f>'8.Dgia'!C2014</f>
        <v>0</v>
      </c>
      <c r="D456" s="1552">
        <f>'8.Dgia'!D2014</f>
        <v>0</v>
      </c>
      <c r="E456" s="2018" t="str">
        <f>'8.Dgia'!E2014</f>
        <v xml:space="preserve">  A - Vật liệu</v>
      </c>
      <c r="F456" s="1771">
        <f>'8.Dgia'!G2014</f>
        <v>0</v>
      </c>
      <c r="G456" s="1772">
        <f>'8.Dgia'!H2014</f>
        <v>0</v>
      </c>
      <c r="H456" s="1853"/>
      <c r="I456" s="1896">
        <f>I457</f>
        <v>156278.09792676373</v>
      </c>
    </row>
    <row r="457" spans="1:12" ht="15">
      <c r="B457" s="1551" t="str">
        <f>'8.Dgia'!B2015</f>
        <v/>
      </c>
      <c r="C457" s="1555">
        <f>'8.Dgia'!C2015</f>
        <v>0</v>
      </c>
      <c r="D457" s="1552">
        <f>'8.Dgia'!D2015</f>
        <v>0</v>
      </c>
      <c r="E457" s="1775" t="str">
        <f>'8.Dgia'!E2015</f>
        <v>Cát vàng</v>
      </c>
      <c r="F457" s="1771" t="str">
        <f>'8.Dgia'!G2015</f>
        <v>m3</v>
      </c>
      <c r="G457" s="1772">
        <f>'8.Dgia'!H2015/100</f>
        <v>1.22</v>
      </c>
      <c r="H457" s="1853">
        <f>GVL!$I$39</f>
        <v>128096.80157931453</v>
      </c>
      <c r="I457" s="1824">
        <f>H457*G457</f>
        <v>156278.09792676373</v>
      </c>
    </row>
    <row r="458" spans="1:12" ht="15">
      <c r="B458" s="1551" t="str">
        <f>'8.Dgia'!B2016</f>
        <v/>
      </c>
      <c r="C458" s="1555">
        <f>'8.Dgia'!C2016</f>
        <v>0</v>
      </c>
      <c r="D458" s="1552">
        <f>'8.Dgia'!D2016</f>
        <v>0</v>
      </c>
      <c r="E458" s="1775" t="str">
        <f>'8.Dgia'!E2016</f>
        <v xml:space="preserve">  B - Nhân công 3.0/7</v>
      </c>
      <c r="F458" s="1771" t="s">
        <v>552</v>
      </c>
      <c r="G458" s="1772">
        <f>'8.Dgia'!H2016/100</f>
        <v>1.4999999999999999E-2</v>
      </c>
      <c r="H458" s="1853">
        <f>'16.NC'!$G$13</f>
        <v>199155</v>
      </c>
      <c r="I458" s="1854">
        <f>H458*G458</f>
        <v>2987.3249999999998</v>
      </c>
    </row>
    <row r="459" spans="1:12" ht="15">
      <c r="B459" s="2020"/>
      <c r="C459" s="1555">
        <f>'8.Dgia'!C2017</f>
        <v>0</v>
      </c>
      <c r="D459" s="1552">
        <f>'8.Dgia'!D2017</f>
        <v>0</v>
      </c>
      <c r="E459" s="1775" t="str">
        <f>'8.Dgia'!E2017</f>
        <v xml:space="preserve">  C - Máy thi công</v>
      </c>
      <c r="F459" s="1771">
        <f>'8.Dgia'!G2017</f>
        <v>0</v>
      </c>
      <c r="G459" s="1772">
        <f>'8.Dgia'!H2017/100</f>
        <v>0</v>
      </c>
      <c r="H459" s="1853"/>
      <c r="I459" s="1896">
        <f>SUM(I460:I462)</f>
        <v>7470.1803693634083</v>
      </c>
    </row>
    <row r="460" spans="1:12" ht="15">
      <c r="B460" s="1551" t="str">
        <f>'8.Dgia'!B2018</f>
        <v/>
      </c>
      <c r="C460" s="1555">
        <f>'8.Dgia'!C2018</f>
        <v>0</v>
      </c>
      <c r="D460" s="1552">
        <f>'8.Dgia'!D2018</f>
        <v>0</v>
      </c>
      <c r="E460" s="1775" t="str">
        <f>'8.Dgia'!E2018</f>
        <v>Lu bánh lốp 16T</v>
      </c>
      <c r="F460" s="1771" t="s">
        <v>5493</v>
      </c>
      <c r="G460" s="1772">
        <f>'8.Dgia'!H2018/100</f>
        <v>3.0999999999999999E-3</v>
      </c>
      <c r="H460" s="1853">
        <f>'9.may'!$P$109</f>
        <v>1394407.2218181817</v>
      </c>
      <c r="I460" s="1824">
        <f>H460*G460</f>
        <v>4322.6623876363628</v>
      </c>
    </row>
    <row r="461" spans="1:12" ht="15">
      <c r="B461" s="1551" t="str">
        <f>'8.Dgia'!B2019</f>
        <v/>
      </c>
      <c r="C461" s="1555">
        <f>'8.Dgia'!C2019</f>
        <v>0</v>
      </c>
      <c r="D461" s="1552">
        <f>'8.Dgia'!D2019</f>
        <v>0</v>
      </c>
      <c r="E461" s="1775" t="str">
        <f>'8.Dgia'!E2019</f>
        <v>Máy ủi 110cv</v>
      </c>
      <c r="F461" s="1771" t="s">
        <v>5493</v>
      </c>
      <c r="G461" s="1772">
        <f>'8.Dgia'!H2019/100</f>
        <v>1.5499999999999999E-3</v>
      </c>
      <c r="H461" s="1853">
        <f>'9.may'!$P$70</f>
        <v>1959433.0499999998</v>
      </c>
      <c r="I461" s="1824">
        <f>H461*G461</f>
        <v>3037.1212274999998</v>
      </c>
    </row>
    <row r="462" spans="1:12" ht="15">
      <c r="B462" s="1551" t="str">
        <f>'8.Dgia'!B2020</f>
        <v/>
      </c>
      <c r="C462" s="1555">
        <f>'8.Dgia'!C2020</f>
        <v>0</v>
      </c>
      <c r="D462" s="1552">
        <f>'8.Dgia'!D2020</f>
        <v>0</v>
      </c>
      <c r="E462" s="1775" t="str">
        <f>'8.Dgia'!E2020</f>
        <v>Máy khác</v>
      </c>
      <c r="F462" s="1771" t="str">
        <f>'8.Dgia'!G2020</f>
        <v>%</v>
      </c>
      <c r="G462" s="1772">
        <f>'8.Dgia'!H2020</f>
        <v>1.5</v>
      </c>
      <c r="H462" s="1853">
        <f>SUM(I460:I461)</f>
        <v>7359.7836151363626</v>
      </c>
      <c r="I462" s="1824">
        <f>H462*G462%</f>
        <v>110.39675422704543</v>
      </c>
    </row>
    <row r="463" spans="1:12" ht="15">
      <c r="B463" s="1551"/>
      <c r="C463" s="1555"/>
      <c r="D463" s="1552"/>
      <c r="E463" s="1828" t="s">
        <v>5675</v>
      </c>
      <c r="F463" s="1856">
        <f>$J$5</f>
        <v>0.02</v>
      </c>
      <c r="G463" s="1772"/>
      <c r="H463" s="1853"/>
      <c r="I463" s="1863">
        <f>( I456+I458+I459 )*F463</f>
        <v>3334.7120659225429</v>
      </c>
    </row>
    <row r="464" spans="1:12" ht="15">
      <c r="B464" s="1551"/>
      <c r="C464" s="1555"/>
      <c r="D464" s="1552"/>
      <c r="E464" s="1831" t="s">
        <v>5676</v>
      </c>
      <c r="F464" s="1831"/>
      <c r="G464" s="1772"/>
      <c r="H464" s="1853"/>
      <c r="I464" s="1833">
        <f>I463+I463/F463</f>
        <v>170070.31536204967</v>
      </c>
    </row>
    <row r="465" spans="1:12" ht="15">
      <c r="B465" s="1551"/>
      <c r="C465" s="1555"/>
      <c r="D465" s="1552"/>
      <c r="E465" s="1834" t="s">
        <v>5677</v>
      </c>
      <c r="F465" s="1858">
        <f>$K$5</f>
        <v>5.7750000000000003E-2</v>
      </c>
      <c r="G465" s="1772"/>
      <c r="H465" s="1853"/>
      <c r="I465" s="1835">
        <f>I464*F465</f>
        <v>9821.5607121583689</v>
      </c>
    </row>
    <row r="466" spans="1:12" ht="15">
      <c r="B466" s="1551"/>
      <c r="C466" s="1555"/>
      <c r="D466" s="1552"/>
      <c r="E466" s="1834" t="s">
        <v>5678</v>
      </c>
      <c r="F466" s="1856">
        <f>$L$5</f>
        <v>0.06</v>
      </c>
      <c r="G466" s="1772"/>
      <c r="H466" s="1853"/>
      <c r="I466" s="1835">
        <f>SUM(I464:I465)*F466</f>
        <v>10793.512564452481</v>
      </c>
    </row>
    <row r="467" spans="1:12" ht="15">
      <c r="B467" s="1551"/>
      <c r="C467" s="1555"/>
      <c r="D467" s="1552"/>
      <c r="E467" s="1831" t="s">
        <v>5679</v>
      </c>
      <c r="F467" s="1831"/>
      <c r="G467" s="1772"/>
      <c r="H467" s="1853"/>
      <c r="I467" s="1833">
        <f>SUM(I464:I466)</f>
        <v>190685.38863866052</v>
      </c>
    </row>
    <row r="468" spans="1:12" ht="15">
      <c r="B468" s="1551"/>
      <c r="C468" s="1555"/>
      <c r="D468" s="1552"/>
      <c r="E468" s="1834" t="s">
        <v>5680</v>
      </c>
      <c r="F468" s="1856">
        <f>$M$5</f>
        <v>0.1</v>
      </c>
      <c r="G468" s="1772"/>
      <c r="H468" s="1853"/>
      <c r="I468" s="1835">
        <f>I467*F468</f>
        <v>19068.538863866052</v>
      </c>
    </row>
    <row r="469" spans="1:12" ht="15">
      <c r="B469" s="1551"/>
      <c r="C469" s="1555"/>
      <c r="D469" s="1552"/>
      <c r="E469" s="1831" t="s">
        <v>5681</v>
      </c>
      <c r="F469" s="1831"/>
      <c r="G469" s="1772"/>
      <c r="H469" s="1853"/>
      <c r="I469" s="1833">
        <f>SUM(I467:I468)</f>
        <v>209753.92750252655</v>
      </c>
    </row>
    <row r="470" spans="1:12" ht="12.75">
      <c r="B470" s="1551"/>
      <c r="C470" s="1555"/>
      <c r="D470" s="1552"/>
      <c r="E470" s="1558" t="s">
        <v>5682</v>
      </c>
      <c r="F470" s="1595">
        <f>$N$5</f>
        <v>0.01</v>
      </c>
      <c r="G470" s="1553"/>
      <c r="H470" s="1594"/>
      <c r="I470" s="1559">
        <f>I469*F470</f>
        <v>2097.5392750252654</v>
      </c>
    </row>
    <row r="471" spans="1:12" ht="15">
      <c r="B471" s="1596"/>
      <c r="C471" s="1597"/>
      <c r="D471" s="1597"/>
      <c r="E471" s="1859" t="s">
        <v>5683</v>
      </c>
      <c r="F471" s="1859"/>
      <c r="G471" s="1860"/>
      <c r="H471" s="1861"/>
      <c r="I471" s="1862">
        <f>ROUND(I469+I470,-2)</f>
        <v>211900</v>
      </c>
    </row>
    <row r="472" spans="1:12" ht="15">
      <c r="A472" s="657">
        <v>1</v>
      </c>
      <c r="B472" s="1549">
        <f>IF(A472&lt;&gt;0,COUNTA(A$7:$A472),"")</f>
        <v>28</v>
      </c>
      <c r="C472" s="1555">
        <f>'8.Dgia'!C2029</f>
        <v>1776</v>
      </c>
      <c r="D472" s="1696" t="str">
        <f>'8.Dgia'!D2029</f>
        <v>AC.11221</v>
      </c>
      <c r="E472" s="1848" t="str">
        <f>'8.Dgia'!E2029</f>
        <v>Đóng cọc tràm L&gt; 2.5m,đất C1</v>
      </c>
      <c r="F472" s="1849" t="s">
        <v>543</v>
      </c>
      <c r="G472" s="1850">
        <f>'8.Dgia'!H2029</f>
        <v>0</v>
      </c>
      <c r="H472" s="1851"/>
      <c r="I472" s="1852"/>
      <c r="J472" s="842">
        <f>+I473</f>
        <v>4956.3315106382979</v>
      </c>
      <c r="K472" s="842">
        <f>+I478</f>
        <v>7037.6940000000004</v>
      </c>
    </row>
    <row r="473" spans="1:12" ht="15">
      <c r="B473" s="1551" t="str">
        <f>'8.Dgia'!B2030</f>
        <v/>
      </c>
      <c r="C473" s="1555">
        <f>'8.Dgia'!C2030</f>
        <v>0</v>
      </c>
      <c r="D473" s="1552">
        <f>'8.Dgia'!D2030</f>
        <v>0</v>
      </c>
      <c r="E473" s="2018" t="str">
        <f>'8.Dgia'!E2030</f>
        <v xml:space="preserve">  A - Vật liệu</v>
      </c>
      <c r="F473" s="1771">
        <f>'8.Dgia'!G2030</f>
        <v>0</v>
      </c>
      <c r="G473" s="1772">
        <f>'8.Dgia'!H2030</f>
        <v>0</v>
      </c>
      <c r="H473" s="1853"/>
      <c r="I473" s="1854">
        <f>SUM(I474:I477)</f>
        <v>4956.3315106382979</v>
      </c>
    </row>
    <row r="474" spans="1:12" ht="15">
      <c r="B474" s="1551" t="str">
        <f>'8.Dgia'!B2031</f>
        <v/>
      </c>
      <c r="C474" s="1555">
        <f>'8.Dgia'!C2031</f>
        <v>0</v>
      </c>
      <c r="D474" s="1552">
        <f>'8.Dgia'!D2031</f>
        <v>0</v>
      </c>
      <c r="E474" s="1775" t="str">
        <f>'8.Dgia'!E2031</f>
        <v>Cọc tràm</v>
      </c>
      <c r="F474" s="1771" t="str">
        <f>'8.Dgia'!G2031</f>
        <v>m</v>
      </c>
      <c r="G474" s="1772">
        <f>'8.Dgia'!H2031/100</f>
        <v>1.05</v>
      </c>
      <c r="H474" s="1853">
        <f>GVL!$I$45</f>
        <v>3617.0212765957444</v>
      </c>
      <c r="I474" s="1824">
        <f>H474*G474</f>
        <v>3797.872340425532</v>
      </c>
    </row>
    <row r="475" spans="1:12" ht="15">
      <c r="B475" s="1551" t="str">
        <f>'8.Dgia'!B2032</f>
        <v/>
      </c>
      <c r="C475" s="1555">
        <f>'8.Dgia'!C2032</f>
        <v>0</v>
      </c>
      <c r="D475" s="1552">
        <f>'8.Dgia'!D2032</f>
        <v>0</v>
      </c>
      <c r="E475" s="1775" t="str">
        <f>'8.Dgia'!E2032</f>
        <v>Cây chống</v>
      </c>
      <c r="F475" s="1771" t="str">
        <f>'8.Dgia'!G2032</f>
        <v>cây</v>
      </c>
      <c r="G475" s="1772">
        <f>'8.Dgia'!H2032/100</f>
        <v>1.7299999999999999E-2</v>
      </c>
      <c r="H475" s="1853">
        <f>GVL!$I$40</f>
        <v>17000</v>
      </c>
      <c r="I475" s="1824">
        <f>H475*G475</f>
        <v>294.09999999999997</v>
      </c>
      <c r="L475" s="872"/>
    </row>
    <row r="476" spans="1:12" ht="15">
      <c r="B476" s="1551" t="str">
        <f>'8.Dgia'!B2033</f>
        <v/>
      </c>
      <c r="C476" s="1555">
        <f>'8.Dgia'!C2033</f>
        <v>0</v>
      </c>
      <c r="D476" s="1552">
        <f>'8.Dgia'!D2033</f>
        <v>0</v>
      </c>
      <c r="E476" s="1775" t="str">
        <f>'8.Dgia'!E2033</f>
        <v>Gỗ</v>
      </c>
      <c r="F476" s="1771" t="str">
        <f>'8.Dgia'!G2033</f>
        <v>m3</v>
      </c>
      <c r="G476" s="1772">
        <f>'8.Dgia'!H2033/100</f>
        <v>1.2E-4</v>
      </c>
      <c r="H476" s="1853">
        <f>GVL!$I$96</f>
        <v>6000000</v>
      </c>
      <c r="I476" s="1824">
        <f>H476*G476</f>
        <v>720</v>
      </c>
      <c r="L476" s="872"/>
    </row>
    <row r="477" spans="1:12" ht="15">
      <c r="B477" s="1551" t="str">
        <f>'8.Dgia'!B2034</f>
        <v/>
      </c>
      <c r="C477" s="1555">
        <f>'8.Dgia'!C2034</f>
        <v>0</v>
      </c>
      <c r="D477" s="1552">
        <f>'8.Dgia'!D2034</f>
        <v>0</v>
      </c>
      <c r="E477" s="1775" t="str">
        <f>'8.Dgia'!E2034</f>
        <v>Vật liệu khác</v>
      </c>
      <c r="F477" s="1771" t="str">
        <f>'8.Dgia'!G2034</f>
        <v>%</v>
      </c>
      <c r="G477" s="1772">
        <f>'8.Dgia'!H2034</f>
        <v>3</v>
      </c>
      <c r="H477" s="1853">
        <f>SUM(I474:I476)</f>
        <v>4811.9723404255319</v>
      </c>
      <c r="I477" s="1824">
        <f>H477*G477%</f>
        <v>144.35917021276595</v>
      </c>
      <c r="L477" s="872"/>
    </row>
    <row r="478" spans="1:12" ht="15">
      <c r="B478" s="1551" t="str">
        <f>'8.Dgia'!B2035</f>
        <v/>
      </c>
      <c r="C478" s="1555">
        <f>'8.Dgia'!C2035</f>
        <v>0</v>
      </c>
      <c r="D478" s="1552">
        <f>'8.Dgia'!D2035</f>
        <v>0</v>
      </c>
      <c r="E478" s="1775" t="str">
        <f>'8.Dgia'!E2035</f>
        <v xml:space="preserve">  B - Nhân công 3.5/7</v>
      </c>
      <c r="F478" s="1771" t="s">
        <v>552</v>
      </c>
      <c r="G478" s="1772">
        <f>'8.Dgia'!H2035/100</f>
        <v>3.27E-2</v>
      </c>
      <c r="H478" s="1853">
        <f>'16.NC'!$G$16</f>
        <v>215220</v>
      </c>
      <c r="I478" s="1854">
        <f>H478*G478</f>
        <v>7037.6940000000004</v>
      </c>
      <c r="L478" s="872"/>
    </row>
    <row r="479" spans="1:12" ht="15">
      <c r="B479" s="2020"/>
      <c r="C479" s="1555"/>
      <c r="D479" s="1552"/>
      <c r="E479" s="1828" t="s">
        <v>5675</v>
      </c>
      <c r="F479" s="1856">
        <f>$J$5</f>
        <v>0.02</v>
      </c>
      <c r="G479" s="1772"/>
      <c r="H479" s="1853"/>
      <c r="I479" s="1863">
        <f>( I473+I478 )*F479</f>
        <v>239.88051021276596</v>
      </c>
    </row>
    <row r="480" spans="1:12" ht="15">
      <c r="B480" s="1551"/>
      <c r="C480" s="1555"/>
      <c r="D480" s="1552"/>
      <c r="E480" s="1831" t="s">
        <v>5676</v>
      </c>
      <c r="F480" s="1831"/>
      <c r="G480" s="1772"/>
      <c r="H480" s="1853"/>
      <c r="I480" s="1833">
        <f>I479+I479/F479</f>
        <v>12233.906020851064</v>
      </c>
    </row>
    <row r="481" spans="1:12" ht="15">
      <c r="B481" s="1551"/>
      <c r="C481" s="1555"/>
      <c r="D481" s="1552"/>
      <c r="E481" s="1834" t="s">
        <v>5677</v>
      </c>
      <c r="F481" s="1858">
        <f>$K$5</f>
        <v>5.7750000000000003E-2</v>
      </c>
      <c r="G481" s="1772"/>
      <c r="H481" s="1853"/>
      <c r="I481" s="1835">
        <f>I480*F481</f>
        <v>706.50807270414896</v>
      </c>
    </row>
    <row r="482" spans="1:12" ht="15">
      <c r="B482" s="1551"/>
      <c r="C482" s="1555"/>
      <c r="D482" s="1552"/>
      <c r="E482" s="1834" t="s">
        <v>5678</v>
      </c>
      <c r="F482" s="1856">
        <f>$L$5</f>
        <v>0.06</v>
      </c>
      <c r="G482" s="1772"/>
      <c r="H482" s="1853"/>
      <c r="I482" s="1835">
        <f>SUM(I480:I481)*F482</f>
        <v>776.42484561331275</v>
      </c>
    </row>
    <row r="483" spans="1:12" ht="15">
      <c r="B483" s="1551"/>
      <c r="C483" s="1555"/>
      <c r="D483" s="1552"/>
      <c r="E483" s="1831" t="s">
        <v>5679</v>
      </c>
      <c r="F483" s="1831"/>
      <c r="G483" s="1772"/>
      <c r="H483" s="1853"/>
      <c r="I483" s="1833">
        <f>SUM(I480:I482)</f>
        <v>13716.838939168527</v>
      </c>
    </row>
    <row r="484" spans="1:12" ht="15">
      <c r="B484" s="1551"/>
      <c r="C484" s="1555"/>
      <c r="D484" s="1552"/>
      <c r="E484" s="1834" t="s">
        <v>5680</v>
      </c>
      <c r="F484" s="1856">
        <f>$M$5</f>
        <v>0.1</v>
      </c>
      <c r="G484" s="1772"/>
      <c r="H484" s="1853"/>
      <c r="I484" s="1835">
        <f>I483*F484</f>
        <v>1371.6838939168529</v>
      </c>
    </row>
    <row r="485" spans="1:12" ht="15">
      <c r="B485" s="1551"/>
      <c r="C485" s="1555"/>
      <c r="D485" s="1552"/>
      <c r="E485" s="1831" t="s">
        <v>5681</v>
      </c>
      <c r="F485" s="1831"/>
      <c r="G485" s="1772"/>
      <c r="H485" s="1853"/>
      <c r="I485" s="1833">
        <f>SUM(I483:I484)</f>
        <v>15088.522833085379</v>
      </c>
    </row>
    <row r="486" spans="1:12" ht="12.75">
      <c r="B486" s="1551"/>
      <c r="C486" s="1555"/>
      <c r="D486" s="1552"/>
      <c r="E486" s="1558" t="s">
        <v>5682</v>
      </c>
      <c r="F486" s="1595">
        <f>$N$5</f>
        <v>0.01</v>
      </c>
      <c r="G486" s="1553"/>
      <c r="H486" s="1594"/>
      <c r="I486" s="1559">
        <f>I485*F486</f>
        <v>150.88522833085378</v>
      </c>
    </row>
    <row r="487" spans="1:12" ht="15">
      <c r="B487" s="1596"/>
      <c r="C487" s="1597"/>
      <c r="D487" s="1597"/>
      <c r="E487" s="1859" t="s">
        <v>5683</v>
      </c>
      <c r="F487" s="1859"/>
      <c r="G487" s="1860"/>
      <c r="H487" s="1861"/>
      <c r="I487" s="1862">
        <f>ROUND(I485+I486,-2)</f>
        <v>15200</v>
      </c>
    </row>
    <row r="488" spans="1:12" ht="15">
      <c r="A488" s="657">
        <v>1</v>
      </c>
      <c r="B488" s="1549">
        <f>IF(A488&lt;&gt;0,COUNTA(A$7:$A488),"")</f>
        <v>29</v>
      </c>
      <c r="C488" s="1555">
        <f>'8.Dgia'!C2052</f>
        <v>1776</v>
      </c>
      <c r="D488" s="1696" t="str">
        <f>'8.Dgia'!D2052</f>
        <v>AB.64112</v>
      </c>
      <c r="E488" s="1848" t="str">
        <f>'8.Dgia'!E2052</f>
        <v>Đắp đất bao (đất khai thác)</v>
      </c>
      <c r="F488" s="1849" t="s">
        <v>545</v>
      </c>
      <c r="G488" s="1850">
        <f>'8.Dgia'!H2052</f>
        <v>0</v>
      </c>
      <c r="H488" s="1851"/>
      <c r="I488" s="1852"/>
      <c r="J488" s="842">
        <f>I489</f>
        <v>67100</v>
      </c>
      <c r="K488" s="842">
        <f>+I491</f>
        <v>3465.2969999999996</v>
      </c>
      <c r="L488" s="842">
        <f>+I492</f>
        <v>7992.2498960659086</v>
      </c>
    </row>
    <row r="489" spans="1:12" ht="15">
      <c r="B489" s="1551" t="str">
        <f>'8.Dgia'!B2053</f>
        <v/>
      </c>
      <c r="C489" s="1555">
        <f>'8.Dgia'!C2053</f>
        <v>0</v>
      </c>
      <c r="D489" s="1552">
        <f>'8.Dgia'!D2053</f>
        <v>0</v>
      </c>
      <c r="E489" s="2018" t="str">
        <f>'8.Dgia'!E2053</f>
        <v xml:space="preserve">  A - Vật liệu</v>
      </c>
      <c r="F489" s="1771">
        <f>'8.Dgia'!G2053</f>
        <v>0</v>
      </c>
      <c r="G489" s="1772">
        <f>'8.Dgia'!H2053</f>
        <v>0</v>
      </c>
      <c r="H489" s="1853"/>
      <c r="I489" s="1854">
        <f>+I490</f>
        <v>67100</v>
      </c>
    </row>
    <row r="490" spans="1:12" ht="15">
      <c r="B490" s="1551" t="str">
        <f>'8.Dgia'!B2054</f>
        <v/>
      </c>
      <c r="C490" s="1555">
        <f>'8.Dgia'!C2054</f>
        <v>0</v>
      </c>
      <c r="D490" s="1552">
        <f>'8.Dgia'!D2054</f>
        <v>0</v>
      </c>
      <c r="E490" s="1775" t="str">
        <f>'8.Dgia'!E2054</f>
        <v>Đất sét</v>
      </c>
      <c r="F490" s="1771" t="str">
        <f>'8.Dgia'!G2054</f>
        <v>m3</v>
      </c>
      <c r="G490" s="1772">
        <f>'8.Dgia'!H2054/100</f>
        <v>1.1000000000000001</v>
      </c>
      <c r="H490" s="1853">
        <f>GVL!$I$69</f>
        <v>61000</v>
      </c>
      <c r="I490" s="1824">
        <f>H490*G490</f>
        <v>67100</v>
      </c>
    </row>
    <row r="491" spans="1:12" ht="15">
      <c r="B491" s="1551" t="str">
        <f>'8.Dgia'!B2055</f>
        <v/>
      </c>
      <c r="C491" s="1555">
        <f>'8.Dgia'!C2055</f>
        <v>0</v>
      </c>
      <c r="D491" s="1552">
        <f>'8.Dgia'!D2055</f>
        <v>0</v>
      </c>
      <c r="E491" s="1775" t="str">
        <f>'8.Dgia'!E2055</f>
        <v xml:space="preserve">  B - Nhân công 3.0/7</v>
      </c>
      <c r="F491" s="1771" t="s">
        <v>552</v>
      </c>
      <c r="G491" s="1772">
        <f>'8.Dgia'!H2055/100</f>
        <v>1.7399999999999999E-2</v>
      </c>
      <c r="H491" s="1853">
        <f>'16.NC'!$G$13</f>
        <v>199155</v>
      </c>
      <c r="I491" s="1854">
        <f>H491*G491</f>
        <v>3465.2969999999996</v>
      </c>
    </row>
    <row r="492" spans="1:12" ht="15">
      <c r="B492" s="1551" t="str">
        <f>'8.Dgia'!B2056</f>
        <v/>
      </c>
      <c r="C492" s="1555">
        <f>'8.Dgia'!C2056</f>
        <v>0</v>
      </c>
      <c r="D492" s="1552">
        <f>'8.Dgia'!D2056</f>
        <v>0</v>
      </c>
      <c r="E492" s="1775" t="str">
        <f>'8.Dgia'!E2056</f>
        <v xml:space="preserve">  C - Máy thi công</v>
      </c>
      <c r="F492" s="1771">
        <f>'8.Dgia'!G2056</f>
        <v>0</v>
      </c>
      <c r="G492" s="1772">
        <f>'8.Dgia'!H2056/100</f>
        <v>0</v>
      </c>
      <c r="H492" s="1853"/>
      <c r="I492" s="1854">
        <f>SUM(I493:I495)</f>
        <v>7992.2498960659086</v>
      </c>
    </row>
    <row r="493" spans="1:12" ht="15">
      <c r="B493" s="1551" t="str">
        <f>'8.Dgia'!B2057</f>
        <v/>
      </c>
      <c r="C493" s="1555">
        <f>'8.Dgia'!C2057</f>
        <v>0</v>
      </c>
      <c r="D493" s="1552">
        <f>'8.Dgia'!D2057</f>
        <v>0</v>
      </c>
      <c r="E493" s="1775" t="str">
        <f>'8.Dgia'!E2057</f>
        <v>Máy đầm 9T</v>
      </c>
      <c r="F493" s="1771" t="s">
        <v>5493</v>
      </c>
      <c r="G493" s="1772">
        <f>'8.Dgia'!H2057/100</f>
        <v>3.0000000000000001E-3</v>
      </c>
      <c r="H493" s="1853">
        <f>'9.may'!$P$726</f>
        <v>1644996.0845454545</v>
      </c>
      <c r="I493" s="1824">
        <f>H493*G493</f>
        <v>4934.9882536363639</v>
      </c>
    </row>
    <row r="494" spans="1:12" ht="15">
      <c r="B494" s="1551" t="str">
        <f>'8.Dgia'!B2058</f>
        <v/>
      </c>
      <c r="C494" s="1555">
        <f>'8.Dgia'!C2058</f>
        <v>0</v>
      </c>
      <c r="D494" s="1552">
        <f>'8.Dgia'!D2058</f>
        <v>0</v>
      </c>
      <c r="E494" s="1775" t="str">
        <f>'8.Dgia'!E2058</f>
        <v>Máy ủi 110cv</v>
      </c>
      <c r="F494" s="1771" t="s">
        <v>5493</v>
      </c>
      <c r="G494" s="1772">
        <f>'8.Dgia'!H2058/100</f>
        <v>1.5E-3</v>
      </c>
      <c r="H494" s="1853">
        <f>'9.may'!$P$70</f>
        <v>1959433.0499999998</v>
      </c>
      <c r="I494" s="1824">
        <f>H494*G494</f>
        <v>2939.1495749999999</v>
      </c>
    </row>
    <row r="495" spans="1:12" ht="15">
      <c r="B495" s="1551" t="str">
        <f>'8.Dgia'!B2059</f>
        <v/>
      </c>
      <c r="C495" s="1555">
        <f>'8.Dgia'!C2059</f>
        <v>0</v>
      </c>
      <c r="D495" s="1552">
        <f>'8.Dgia'!D2059</f>
        <v>0</v>
      </c>
      <c r="E495" s="1775" t="str">
        <f>'8.Dgia'!E2059</f>
        <v>Máy khác</v>
      </c>
      <c r="F495" s="1771" t="str">
        <f>'8.Dgia'!G2059</f>
        <v>%</v>
      </c>
      <c r="G495" s="1772">
        <f>'8.Dgia'!H2059</f>
        <v>1.5</v>
      </c>
      <c r="H495" s="1853">
        <f>SUM(I493:I494)</f>
        <v>7874.1378286363633</v>
      </c>
      <c r="I495" s="1824">
        <f>H495*G495%</f>
        <v>118.11206742954545</v>
      </c>
    </row>
    <row r="496" spans="1:12" ht="15">
      <c r="B496" s="1551"/>
      <c r="C496" s="1555"/>
      <c r="D496" s="1552"/>
      <c r="E496" s="1828" t="s">
        <v>5675</v>
      </c>
      <c r="F496" s="1856">
        <f>$J$5</f>
        <v>0.02</v>
      </c>
      <c r="G496" s="1772"/>
      <c r="H496" s="1853"/>
      <c r="I496" s="1863">
        <f>( I489+I491+I492 )*F496</f>
        <v>1571.1509379213185</v>
      </c>
    </row>
    <row r="497" spans="1:12" ht="15">
      <c r="B497" s="2020"/>
      <c r="C497" s="1555"/>
      <c r="D497" s="1552"/>
      <c r="E497" s="1831" t="s">
        <v>5676</v>
      </c>
      <c r="F497" s="1831"/>
      <c r="G497" s="1772"/>
      <c r="H497" s="1853"/>
      <c r="I497" s="1833">
        <f>I496+I496/F496</f>
        <v>80128.697833987244</v>
      </c>
    </row>
    <row r="498" spans="1:12" ht="15">
      <c r="B498" s="1551"/>
      <c r="C498" s="1555"/>
      <c r="D498" s="1552"/>
      <c r="E498" s="1834" t="s">
        <v>5677</v>
      </c>
      <c r="F498" s="1858">
        <f>$K$5</f>
        <v>5.7750000000000003E-2</v>
      </c>
      <c r="G498" s="1772"/>
      <c r="H498" s="1853"/>
      <c r="I498" s="1835">
        <f>I497*F498</f>
        <v>4627.4322999127635</v>
      </c>
    </row>
    <row r="499" spans="1:12" ht="15">
      <c r="B499" s="1551"/>
      <c r="C499" s="1555"/>
      <c r="D499" s="1552"/>
      <c r="E499" s="1834" t="s">
        <v>5678</v>
      </c>
      <c r="F499" s="1856">
        <f>$L$5</f>
        <v>0.06</v>
      </c>
      <c r="G499" s="1772"/>
      <c r="H499" s="1853"/>
      <c r="I499" s="1835">
        <f>SUM(I497:I498)*F499</f>
        <v>5085.3678080340005</v>
      </c>
    </row>
    <row r="500" spans="1:12" ht="15">
      <c r="B500" s="1551"/>
      <c r="C500" s="1555"/>
      <c r="D500" s="1552"/>
      <c r="E500" s="1831" t="s">
        <v>5679</v>
      </c>
      <c r="F500" s="1831"/>
      <c r="G500" s="1772"/>
      <c r="H500" s="1853"/>
      <c r="I500" s="1833">
        <f>SUM(I497:I499)</f>
        <v>89841.497941934009</v>
      </c>
    </row>
    <row r="501" spans="1:12" ht="15">
      <c r="B501" s="1551"/>
      <c r="C501" s="1555"/>
      <c r="D501" s="1552"/>
      <c r="E501" s="1834" t="s">
        <v>5680</v>
      </c>
      <c r="F501" s="1856">
        <f>$M$5</f>
        <v>0.1</v>
      </c>
      <c r="G501" s="1772"/>
      <c r="H501" s="1853"/>
      <c r="I501" s="1835">
        <f>I500*F501</f>
        <v>8984.1497941934012</v>
      </c>
    </row>
    <row r="502" spans="1:12" ht="15">
      <c r="B502" s="1551"/>
      <c r="C502" s="1555"/>
      <c r="D502" s="1552"/>
      <c r="E502" s="1831" t="s">
        <v>5681</v>
      </c>
      <c r="F502" s="1831"/>
      <c r="G502" s="1772"/>
      <c r="H502" s="1853"/>
      <c r="I502" s="1833">
        <f>SUM(I500:I501)</f>
        <v>98825.647736127416</v>
      </c>
    </row>
    <row r="503" spans="1:12" ht="12.75">
      <c r="B503" s="1551"/>
      <c r="C503" s="1555"/>
      <c r="D503" s="1552"/>
      <c r="E503" s="1558" t="s">
        <v>5682</v>
      </c>
      <c r="F503" s="1595">
        <f>$N$5</f>
        <v>0.01</v>
      </c>
      <c r="G503" s="1553"/>
      <c r="H503" s="1594"/>
      <c r="I503" s="1559">
        <f>I502*F503</f>
        <v>988.25647736127416</v>
      </c>
    </row>
    <row r="504" spans="1:12" ht="15">
      <c r="B504" s="1596"/>
      <c r="C504" s="1597"/>
      <c r="D504" s="1597"/>
      <c r="E504" s="1859" t="s">
        <v>5683</v>
      </c>
      <c r="F504" s="1859"/>
      <c r="G504" s="1860"/>
      <c r="H504" s="1861"/>
      <c r="I504" s="1862">
        <f>ROUND(I502+I503,-2)</f>
        <v>99800</v>
      </c>
    </row>
    <row r="505" spans="1:12" ht="15" customHeight="1">
      <c r="A505" s="657">
        <v>1</v>
      </c>
      <c r="B505" s="1549">
        <f>IF(A505&lt;&gt;0,COUNTA(A$7:$A505),"")</f>
        <v>30</v>
      </c>
      <c r="C505" s="1555">
        <f>'8.Dgia'!C2060</f>
        <v>1776</v>
      </c>
      <c r="D505" s="1696" t="str">
        <f>'8.Dgia'!D2060</f>
        <v>AB.64112</v>
      </c>
      <c r="E505" s="1848" t="str">
        <f>'8.Dgia'!E2060</f>
        <v>Đắp đất bao (tận dụng 80% đất đào xử lý nền)</v>
      </c>
      <c r="F505" s="1849" t="s">
        <v>545</v>
      </c>
      <c r="G505" s="1850">
        <f>'8.Dgia'!H2060</f>
        <v>0</v>
      </c>
      <c r="H505" s="1851"/>
      <c r="I505" s="1852"/>
      <c r="K505" s="842">
        <f>+I506</f>
        <v>3465.2969999999996</v>
      </c>
      <c r="L505" s="842">
        <f>+I507</f>
        <v>7992.2498960659086</v>
      </c>
    </row>
    <row r="506" spans="1:12" ht="15">
      <c r="B506" s="1551" t="str">
        <f>'8.Dgia'!B2061</f>
        <v/>
      </c>
      <c r="C506" s="1555">
        <f>'8.Dgia'!C2061</f>
        <v>0</v>
      </c>
      <c r="D506" s="1552">
        <f>'8.Dgia'!D2061</f>
        <v>0</v>
      </c>
      <c r="E506" s="1775" t="str">
        <f>'8.Dgia'!E2061</f>
        <v xml:space="preserve">  B - Nhân công 3.0/7</v>
      </c>
      <c r="F506" s="1771" t="s">
        <v>552</v>
      </c>
      <c r="G506" s="1772">
        <f>'8.Dgia'!H2061/100</f>
        <v>1.7399999999999999E-2</v>
      </c>
      <c r="H506" s="1853">
        <f>'16.NC'!$G$13</f>
        <v>199155</v>
      </c>
      <c r="I506" s="1854">
        <f>H506*G506</f>
        <v>3465.2969999999996</v>
      </c>
    </row>
    <row r="507" spans="1:12" ht="15">
      <c r="B507" s="1551" t="str">
        <f>'8.Dgia'!B2062</f>
        <v/>
      </c>
      <c r="C507" s="1555">
        <f>'8.Dgia'!C2062</f>
        <v>0</v>
      </c>
      <c r="D507" s="1552">
        <f>'8.Dgia'!D2062</f>
        <v>0</v>
      </c>
      <c r="E507" s="1775" t="str">
        <f>'8.Dgia'!E2062</f>
        <v xml:space="preserve">  C - Máy thi công</v>
      </c>
      <c r="F507" s="1771">
        <f>'8.Dgia'!G2062</f>
        <v>0</v>
      </c>
      <c r="G507" s="1772">
        <f>'8.Dgia'!H2062/100</f>
        <v>0</v>
      </c>
      <c r="H507" s="1853"/>
      <c r="I507" s="1854">
        <f>SUM(I508:I510)</f>
        <v>7992.2498960659086</v>
      </c>
    </row>
    <row r="508" spans="1:12" ht="15">
      <c r="B508" s="1551" t="str">
        <f>'8.Dgia'!B2063</f>
        <v/>
      </c>
      <c r="C508" s="1555">
        <f>'8.Dgia'!C2063</f>
        <v>0</v>
      </c>
      <c r="D508" s="1552">
        <f>'8.Dgia'!D2063</f>
        <v>0</v>
      </c>
      <c r="E508" s="1775" t="str">
        <f>'8.Dgia'!E2063</f>
        <v>Máy đầm 9T</v>
      </c>
      <c r="F508" s="1771" t="s">
        <v>5493</v>
      </c>
      <c r="G508" s="1772">
        <f>'8.Dgia'!H2063/100</f>
        <v>3.0000000000000001E-3</v>
      </c>
      <c r="H508" s="1853">
        <f>'9.may'!$P$726</f>
        <v>1644996.0845454545</v>
      </c>
      <c r="I508" s="1824">
        <f>H508*G508</f>
        <v>4934.9882536363639</v>
      </c>
    </row>
    <row r="509" spans="1:12" ht="15">
      <c r="B509" s="1551" t="str">
        <f>'8.Dgia'!B2064</f>
        <v/>
      </c>
      <c r="C509" s="1555">
        <f>'8.Dgia'!C2064</f>
        <v>0</v>
      </c>
      <c r="D509" s="1552">
        <f>'8.Dgia'!D2064</f>
        <v>0</v>
      </c>
      <c r="E509" s="1775" t="str">
        <f>'8.Dgia'!E2064</f>
        <v>Máy ủi 110cv</v>
      </c>
      <c r="F509" s="1771" t="s">
        <v>5493</v>
      </c>
      <c r="G509" s="1772">
        <f>'8.Dgia'!H2064/100</f>
        <v>1.5E-3</v>
      </c>
      <c r="H509" s="1853">
        <f>'9.may'!$P$70</f>
        <v>1959433.0499999998</v>
      </c>
      <c r="I509" s="1824">
        <f>H509*G509</f>
        <v>2939.1495749999999</v>
      </c>
    </row>
    <row r="510" spans="1:12" ht="15">
      <c r="B510" s="1551" t="str">
        <f>'8.Dgia'!B2065</f>
        <v/>
      </c>
      <c r="C510" s="1555">
        <f>'8.Dgia'!C2065</f>
        <v>0</v>
      </c>
      <c r="D510" s="1552">
        <f>'8.Dgia'!D2065</f>
        <v>0</v>
      </c>
      <c r="E510" s="1775" t="str">
        <f>'8.Dgia'!E2065</f>
        <v>Máy khác</v>
      </c>
      <c r="F510" s="1771" t="str">
        <f>'8.Dgia'!G2065</f>
        <v>%</v>
      </c>
      <c r="G510" s="1772">
        <f>'8.Dgia'!H2065</f>
        <v>1.5</v>
      </c>
      <c r="H510" s="1853">
        <f>SUM(I508:I509)</f>
        <v>7874.1378286363633</v>
      </c>
      <c r="I510" s="1824">
        <f>H510*G510%</f>
        <v>118.11206742954545</v>
      </c>
    </row>
    <row r="511" spans="1:12" ht="15">
      <c r="B511" s="1551"/>
      <c r="C511" s="1555"/>
      <c r="D511" s="1552"/>
      <c r="E511" s="1828" t="s">
        <v>5675</v>
      </c>
      <c r="F511" s="1856">
        <f>$J$5</f>
        <v>0.02</v>
      </c>
      <c r="G511" s="1772"/>
      <c r="H511" s="1853"/>
      <c r="I511" s="1863">
        <f>( I506+I507 )*F511</f>
        <v>229.15093792131819</v>
      </c>
    </row>
    <row r="512" spans="1:12" ht="15">
      <c r="B512" s="1551"/>
      <c r="C512" s="1555"/>
      <c r="D512" s="1552"/>
      <c r="E512" s="1831" t="s">
        <v>5676</v>
      </c>
      <c r="F512" s="1831"/>
      <c r="G512" s="1772"/>
      <c r="H512" s="1853"/>
      <c r="I512" s="1833">
        <f>I511+I511/F511</f>
        <v>11686.697833987228</v>
      </c>
    </row>
    <row r="513" spans="1:12" ht="15">
      <c r="B513" s="2020"/>
      <c r="C513" s="1555"/>
      <c r="D513" s="1552"/>
      <c r="E513" s="1834" t="s">
        <v>5677</v>
      </c>
      <c r="F513" s="1858">
        <f>$K$5</f>
        <v>5.7750000000000003E-2</v>
      </c>
      <c r="G513" s="1772"/>
      <c r="H513" s="1853"/>
      <c r="I513" s="1835">
        <f>I512*F513</f>
        <v>674.90679991276238</v>
      </c>
    </row>
    <row r="514" spans="1:12" ht="15">
      <c r="B514" s="1551"/>
      <c r="C514" s="1555"/>
      <c r="D514" s="1552"/>
      <c r="E514" s="1834" t="s">
        <v>5678</v>
      </c>
      <c r="F514" s="1856">
        <f>$L$5</f>
        <v>0.06</v>
      </c>
      <c r="G514" s="1772"/>
      <c r="H514" s="1853"/>
      <c r="I514" s="1835">
        <f>SUM(I512:I513)*F514</f>
        <v>741.69627803399931</v>
      </c>
    </row>
    <row r="515" spans="1:12" ht="15">
      <c r="B515" s="1551"/>
      <c r="C515" s="1555"/>
      <c r="D515" s="1552"/>
      <c r="E515" s="1831" t="s">
        <v>5679</v>
      </c>
      <c r="F515" s="1831"/>
      <c r="G515" s="1772"/>
      <c r="H515" s="1853"/>
      <c r="I515" s="1833">
        <f>SUM(I512:I514)</f>
        <v>13103.300911933989</v>
      </c>
    </row>
    <row r="516" spans="1:12" ht="15">
      <c r="B516" s="1551"/>
      <c r="C516" s="1555"/>
      <c r="D516" s="1552"/>
      <c r="E516" s="1834" t="s">
        <v>5680</v>
      </c>
      <c r="F516" s="1856">
        <f>$M$5</f>
        <v>0.1</v>
      </c>
      <c r="G516" s="1772"/>
      <c r="H516" s="1853"/>
      <c r="I516" s="1835">
        <f>I515*F516</f>
        <v>1310.3300911933991</v>
      </c>
    </row>
    <row r="517" spans="1:12" ht="15">
      <c r="B517" s="1551"/>
      <c r="C517" s="1555"/>
      <c r="D517" s="1552"/>
      <c r="E517" s="1831" t="s">
        <v>5681</v>
      </c>
      <c r="F517" s="1831"/>
      <c r="G517" s="1772"/>
      <c r="H517" s="1853"/>
      <c r="I517" s="1833">
        <f>SUM(I515:I516)</f>
        <v>14413.631003127388</v>
      </c>
    </row>
    <row r="518" spans="1:12" ht="12.75">
      <c r="B518" s="1551"/>
      <c r="C518" s="1555"/>
      <c r="D518" s="1552"/>
      <c r="E518" s="1558" t="s">
        <v>5682</v>
      </c>
      <c r="F518" s="1595">
        <f>$N$5</f>
        <v>0.01</v>
      </c>
      <c r="G518" s="1553"/>
      <c r="H518" s="1594"/>
      <c r="I518" s="1559">
        <f>I517*F518</f>
        <v>144.13631003127389</v>
      </c>
    </row>
    <row r="519" spans="1:12" ht="15">
      <c r="B519" s="1596"/>
      <c r="C519" s="1597"/>
      <c r="D519" s="1597"/>
      <c r="E519" s="1859" t="s">
        <v>5683</v>
      </c>
      <c r="F519" s="1859"/>
      <c r="G519" s="1860"/>
      <c r="H519" s="1861"/>
      <c r="I519" s="1862">
        <f>ROUND(I517+I518,-2)</f>
        <v>14600</v>
      </c>
    </row>
    <row r="520" spans="1:12" ht="15">
      <c r="A520" s="657">
        <v>1</v>
      </c>
      <c r="B520" s="1549">
        <f>IF(A520&lt;&gt;0,COUNTA(A$7:$A520),"")</f>
        <v>31</v>
      </c>
      <c r="C520" s="1555">
        <f>'8.Dgia'!C2084</f>
        <v>1776</v>
      </c>
      <c r="D520" s="1696" t="str">
        <f>'8.Dgia'!D2084</f>
        <v>AB.66123</v>
      </c>
      <c r="E520" s="1848" t="str">
        <f>'8.Dgia'!E2084</f>
        <v>Đắp cát hạt mịn K=0.95</v>
      </c>
      <c r="F520" s="1849" t="s">
        <v>545</v>
      </c>
      <c r="G520" s="1850">
        <f>'8.Dgia'!H2084</f>
        <v>0</v>
      </c>
      <c r="H520" s="1851"/>
      <c r="I520" s="1894"/>
      <c r="J520" s="842">
        <f>+I521</f>
        <v>113720.62387221828</v>
      </c>
      <c r="K520" s="842">
        <f>+I523</f>
        <v>2987.3249999999998</v>
      </c>
      <c r="L520" s="842">
        <f>+I524</f>
        <v>6602.6755522760459</v>
      </c>
    </row>
    <row r="521" spans="1:12" ht="15">
      <c r="B521" s="1551" t="str">
        <f>'8.Dgia'!B2085</f>
        <v/>
      </c>
      <c r="C521" s="1555">
        <f>'8.Dgia'!C2085</f>
        <v>0</v>
      </c>
      <c r="D521" s="1552">
        <f>'8.Dgia'!D2085</f>
        <v>0</v>
      </c>
      <c r="E521" s="2018" t="str">
        <f>'8.Dgia'!E2085</f>
        <v xml:space="preserve">  A - Vật liệu</v>
      </c>
      <c r="F521" s="1771">
        <f>'8.Dgia'!G2085</f>
        <v>0</v>
      </c>
      <c r="G521" s="1772">
        <f>'8.Dgia'!H2085</f>
        <v>0</v>
      </c>
      <c r="H521" s="1853"/>
      <c r="I521" s="1896">
        <f>I522</f>
        <v>113720.62387221828</v>
      </c>
    </row>
    <row r="522" spans="1:12" ht="15">
      <c r="B522" s="1551" t="str">
        <f>'8.Dgia'!B2086</f>
        <v/>
      </c>
      <c r="C522" s="1555">
        <f>'8.Dgia'!C2086</f>
        <v>0</v>
      </c>
      <c r="D522" s="1552">
        <f>'8.Dgia'!D2086</f>
        <v>0</v>
      </c>
      <c r="E522" s="1775" t="str">
        <f>'8.Dgia'!E2086</f>
        <v>Cát đen</v>
      </c>
      <c r="F522" s="1771" t="str">
        <f>'8.Dgia'!G2086</f>
        <v>m3</v>
      </c>
      <c r="G522" s="1772">
        <f>'8.Dgia'!H2086/100</f>
        <v>1.22</v>
      </c>
      <c r="H522" s="1853">
        <f>GVL!$I$37</f>
        <v>93213.626124769085</v>
      </c>
      <c r="I522" s="1824">
        <f>H522*G522</f>
        <v>113720.62387221828</v>
      </c>
    </row>
    <row r="523" spans="1:12" ht="15">
      <c r="B523" s="1551" t="str">
        <f>'8.Dgia'!B2087</f>
        <v/>
      </c>
      <c r="C523" s="1555">
        <f>'8.Dgia'!C2087</f>
        <v>0</v>
      </c>
      <c r="D523" s="1552">
        <f>'8.Dgia'!D2087</f>
        <v>0</v>
      </c>
      <c r="E523" s="1775" t="str">
        <f>'8.Dgia'!E2087</f>
        <v xml:space="preserve">  B - Nhân công 3.0/7</v>
      </c>
      <c r="F523" s="1771" t="s">
        <v>552</v>
      </c>
      <c r="G523" s="1772">
        <f>'8.Dgia'!H2087/100</f>
        <v>1.4999999999999999E-2</v>
      </c>
      <c r="H523" s="1853">
        <f>'16.NC'!$G$13</f>
        <v>199155</v>
      </c>
      <c r="I523" s="1854">
        <f>H523*G523</f>
        <v>2987.3249999999998</v>
      </c>
    </row>
    <row r="524" spans="1:12" ht="15">
      <c r="B524" s="1551" t="str">
        <f>'8.Dgia'!B2088</f>
        <v/>
      </c>
      <c r="C524" s="1555">
        <f>'8.Dgia'!C2088</f>
        <v>0</v>
      </c>
      <c r="D524" s="1552">
        <f>'8.Dgia'!D2088</f>
        <v>0</v>
      </c>
      <c r="E524" s="1775" t="str">
        <f>'8.Dgia'!E2088</f>
        <v xml:space="preserve">  C - Máy thi công</v>
      </c>
      <c r="F524" s="1771">
        <f>'8.Dgia'!G2088</f>
        <v>0</v>
      </c>
      <c r="G524" s="1772">
        <f>'8.Dgia'!H2088/100</f>
        <v>0</v>
      </c>
      <c r="H524" s="1853"/>
      <c r="I524" s="1896">
        <f>SUM(I525:I527)</f>
        <v>6602.6755522760459</v>
      </c>
    </row>
    <row r="525" spans="1:12" ht="15">
      <c r="B525" s="1551" t="str">
        <f>'8.Dgia'!B2089</f>
        <v/>
      </c>
      <c r="C525" s="1555">
        <f>'8.Dgia'!C2089</f>
        <v>0</v>
      </c>
      <c r="D525" s="1552">
        <f>'8.Dgia'!D2089</f>
        <v>0</v>
      </c>
      <c r="E525" s="1775" t="str">
        <f>'8.Dgia'!E2089</f>
        <v>Lu bánh lốp 16T</v>
      </c>
      <c r="F525" s="1771" t="s">
        <v>5493</v>
      </c>
      <c r="G525" s="1772">
        <f>'8.Dgia'!H2089/100</f>
        <v>2.7400000000000002E-3</v>
      </c>
      <c r="H525" s="1853">
        <f>'9.may'!$P$109</f>
        <v>1394407.2218181817</v>
      </c>
      <c r="I525" s="1824">
        <f>H525*G525</f>
        <v>3820.6757877818181</v>
      </c>
    </row>
    <row r="526" spans="1:12" ht="15">
      <c r="B526" s="1551" t="str">
        <f>'8.Dgia'!B2090</f>
        <v/>
      </c>
      <c r="C526" s="1555">
        <f>'8.Dgia'!C2090</f>
        <v>0</v>
      </c>
      <c r="D526" s="1552">
        <f>'8.Dgia'!D2090</f>
        <v>0</v>
      </c>
      <c r="E526" s="1775" t="str">
        <f>'8.Dgia'!E2090</f>
        <v>Máy ủi 110cv</v>
      </c>
      <c r="F526" s="1771" t="s">
        <v>5493</v>
      </c>
      <c r="G526" s="1772">
        <f>'8.Dgia'!H2090/100</f>
        <v>1.3700000000000001E-3</v>
      </c>
      <c r="H526" s="1853">
        <f>'9.may'!$P$70</f>
        <v>1959433.0499999998</v>
      </c>
      <c r="I526" s="1824">
        <f>H526*G526</f>
        <v>2684.4232784999999</v>
      </c>
    </row>
    <row r="527" spans="1:12" ht="15">
      <c r="B527" s="1551" t="str">
        <f>'8.Dgia'!B2091</f>
        <v/>
      </c>
      <c r="C527" s="1555">
        <f>'8.Dgia'!C2091</f>
        <v>0</v>
      </c>
      <c r="D527" s="1552">
        <f>'8.Dgia'!D2091</f>
        <v>0</v>
      </c>
      <c r="E527" s="1775" t="str">
        <f>'8.Dgia'!E2091</f>
        <v>Máy khác</v>
      </c>
      <c r="F527" s="1771" t="str">
        <f>'8.Dgia'!G2091</f>
        <v>%</v>
      </c>
      <c r="G527" s="1772">
        <f>'8.Dgia'!H2091</f>
        <v>1.5</v>
      </c>
      <c r="H527" s="1853">
        <f>SUM(I525:I526)</f>
        <v>6505.0990662818185</v>
      </c>
      <c r="I527" s="1824">
        <f>H527*G527%</f>
        <v>97.576485994227269</v>
      </c>
    </row>
    <row r="528" spans="1:12" ht="15">
      <c r="B528" s="1551"/>
      <c r="C528" s="1555"/>
      <c r="D528" s="1552"/>
      <c r="E528" s="1828" t="s">
        <v>5675</v>
      </c>
      <c r="F528" s="1856">
        <f>$J$5</f>
        <v>0.02</v>
      </c>
      <c r="G528" s="1772"/>
      <c r="H528" s="1853"/>
      <c r="I528" s="1863">
        <f>( I521+I523+I524 )*F528</f>
        <v>2466.2124884898867</v>
      </c>
    </row>
    <row r="529" spans="1:12" ht="15">
      <c r="B529" s="2020"/>
      <c r="C529" s="1555"/>
      <c r="D529" s="1552"/>
      <c r="E529" s="1831" t="s">
        <v>5676</v>
      </c>
      <c r="F529" s="1831"/>
      <c r="G529" s="1772"/>
      <c r="H529" s="1853"/>
      <c r="I529" s="1833">
        <f>I528+I528/F528</f>
        <v>125776.83691298422</v>
      </c>
    </row>
    <row r="530" spans="1:12" ht="15">
      <c r="B530" s="1551"/>
      <c r="C530" s="1555"/>
      <c r="D530" s="1552"/>
      <c r="E530" s="1834" t="s">
        <v>5677</v>
      </c>
      <c r="F530" s="1858">
        <f>$K$5</f>
        <v>5.7750000000000003E-2</v>
      </c>
      <c r="G530" s="1772"/>
      <c r="H530" s="1853"/>
      <c r="I530" s="1835">
        <f>I529*F530</f>
        <v>7263.6123317248394</v>
      </c>
    </row>
    <row r="531" spans="1:12" ht="15">
      <c r="B531" s="1551"/>
      <c r="C531" s="1555"/>
      <c r="D531" s="1552"/>
      <c r="E531" s="1834" t="s">
        <v>5678</v>
      </c>
      <c r="F531" s="1856">
        <f>$L$5</f>
        <v>0.06</v>
      </c>
      <c r="G531" s="1772"/>
      <c r="H531" s="1853"/>
      <c r="I531" s="1835">
        <f>SUM(I529:I530)*F531</f>
        <v>7982.4269546825426</v>
      </c>
    </row>
    <row r="532" spans="1:12" ht="15">
      <c r="B532" s="1551"/>
      <c r="C532" s="1555"/>
      <c r="D532" s="1552"/>
      <c r="E532" s="1831" t="s">
        <v>5679</v>
      </c>
      <c r="F532" s="1831"/>
      <c r="G532" s="1772"/>
      <c r="H532" s="1853"/>
      <c r="I532" s="1833">
        <f>SUM(I529:I531)</f>
        <v>141022.87619939158</v>
      </c>
    </row>
    <row r="533" spans="1:12" ht="15">
      <c r="B533" s="1551"/>
      <c r="C533" s="1555"/>
      <c r="D533" s="1552"/>
      <c r="E533" s="1834" t="s">
        <v>5680</v>
      </c>
      <c r="F533" s="1856">
        <f>$M$5</f>
        <v>0.1</v>
      </c>
      <c r="G533" s="1772"/>
      <c r="H533" s="1853"/>
      <c r="I533" s="1835">
        <f>I532*F533</f>
        <v>14102.287619939159</v>
      </c>
    </row>
    <row r="534" spans="1:12" ht="15">
      <c r="B534" s="1551"/>
      <c r="C534" s="1555"/>
      <c r="D534" s="1552"/>
      <c r="E534" s="1831" t="s">
        <v>5681</v>
      </c>
      <c r="F534" s="1831"/>
      <c r="G534" s="1772"/>
      <c r="H534" s="1853"/>
      <c r="I534" s="1833">
        <f>SUM(I532:I533)</f>
        <v>155125.16381933074</v>
      </c>
    </row>
    <row r="535" spans="1:12" ht="12.75">
      <c r="B535" s="1551"/>
      <c r="C535" s="1555"/>
      <c r="D535" s="1552"/>
      <c r="E535" s="1558" t="s">
        <v>5682</v>
      </c>
      <c r="F535" s="1595">
        <f>$N$5</f>
        <v>0.01</v>
      </c>
      <c r="G535" s="1553"/>
      <c r="H535" s="1594"/>
      <c r="I535" s="1559">
        <f>I534*F535</f>
        <v>1551.2516381933074</v>
      </c>
    </row>
    <row r="536" spans="1:12" ht="15">
      <c r="B536" s="1596"/>
      <c r="C536" s="1597"/>
      <c r="D536" s="1597"/>
      <c r="E536" s="1859" t="s">
        <v>5683</v>
      </c>
      <c r="F536" s="1859"/>
      <c r="G536" s="1860"/>
      <c r="H536" s="1861"/>
      <c r="I536" s="1862">
        <f>ROUND(I534+I535,-2)</f>
        <v>156700</v>
      </c>
    </row>
    <row r="537" spans="1:12" ht="15">
      <c r="A537" s="657">
        <v>1</v>
      </c>
      <c r="B537" s="1549">
        <f>IF(A537&lt;&gt;0,COUNTA(A$7:$A537),"")</f>
        <v>32</v>
      </c>
      <c r="C537" s="1555">
        <f>'8.Dgia'!C2092</f>
        <v>1776</v>
      </c>
      <c r="D537" s="1696" t="str">
        <f>'8.Dgia'!D2092</f>
        <v>AB.66123</v>
      </c>
      <c r="E537" s="1848" t="str">
        <f>'8.Dgia'!E2092</f>
        <v>Đắp cát hạt trung K=0.95</v>
      </c>
      <c r="F537" s="1849" t="s">
        <v>545</v>
      </c>
      <c r="G537" s="1850">
        <f>'8.Dgia'!H2092</f>
        <v>0</v>
      </c>
      <c r="H537" s="1851"/>
      <c r="I537" s="1894"/>
      <c r="J537" s="842">
        <f>+I538</f>
        <v>156278.09792676373</v>
      </c>
      <c r="K537" s="842">
        <f>+I540</f>
        <v>2987.3249999999998</v>
      </c>
      <c r="L537" s="842">
        <f>+I541</f>
        <v>6602.6755522760459</v>
      </c>
    </row>
    <row r="538" spans="1:12" ht="15">
      <c r="B538" s="1551" t="str">
        <f>'8.Dgia'!B2093</f>
        <v/>
      </c>
      <c r="C538" s="1555">
        <f>'8.Dgia'!C2093</f>
        <v>0</v>
      </c>
      <c r="D538" s="1552">
        <f>'8.Dgia'!D2093</f>
        <v>0</v>
      </c>
      <c r="E538" s="2018" t="str">
        <f>'8.Dgia'!E2093</f>
        <v xml:space="preserve">  A - Vật liệu</v>
      </c>
      <c r="F538" s="1771">
        <f>'8.Dgia'!G2093</f>
        <v>0</v>
      </c>
      <c r="G538" s="1772">
        <f>'8.Dgia'!H2093</f>
        <v>0</v>
      </c>
      <c r="H538" s="1853"/>
      <c r="I538" s="1896">
        <f>I539</f>
        <v>156278.09792676373</v>
      </c>
    </row>
    <row r="539" spans="1:12" ht="15">
      <c r="B539" s="1551" t="str">
        <f>'8.Dgia'!B2094</f>
        <v/>
      </c>
      <c r="C539" s="1555">
        <f>'8.Dgia'!C2094</f>
        <v>0</v>
      </c>
      <c r="D539" s="1552">
        <f>'8.Dgia'!D2094</f>
        <v>0</v>
      </c>
      <c r="E539" s="1775" t="str">
        <f>'8.Dgia'!E2094</f>
        <v>Cát vàng</v>
      </c>
      <c r="F539" s="1771" t="str">
        <f>'8.Dgia'!G2094</f>
        <v>m3</v>
      </c>
      <c r="G539" s="1772">
        <f>'8.Dgia'!H2094/100</f>
        <v>1.22</v>
      </c>
      <c r="H539" s="1853">
        <f>GVL!$I$39</f>
        <v>128096.80157931453</v>
      </c>
      <c r="I539" s="1824">
        <f>H539*G539</f>
        <v>156278.09792676373</v>
      </c>
    </row>
    <row r="540" spans="1:12" ht="15">
      <c r="B540" s="1551" t="str">
        <f>'8.Dgia'!B2095</f>
        <v/>
      </c>
      <c r="C540" s="1555">
        <f>'8.Dgia'!C2095</f>
        <v>0</v>
      </c>
      <c r="D540" s="1552">
        <f>'8.Dgia'!D2095</f>
        <v>0</v>
      </c>
      <c r="E540" s="1775" t="str">
        <f>'8.Dgia'!E2095</f>
        <v xml:space="preserve">  B - Nhân công 3.0/7</v>
      </c>
      <c r="F540" s="1771" t="s">
        <v>552</v>
      </c>
      <c r="G540" s="1772">
        <f>'8.Dgia'!H2095/100</f>
        <v>1.4999999999999999E-2</v>
      </c>
      <c r="H540" s="1853">
        <f>'16.NC'!$G$13</f>
        <v>199155</v>
      </c>
      <c r="I540" s="1854">
        <f>H540*G540</f>
        <v>2987.3249999999998</v>
      </c>
    </row>
    <row r="541" spans="1:12" ht="15">
      <c r="B541" s="1551" t="str">
        <f>'8.Dgia'!B2096</f>
        <v/>
      </c>
      <c r="C541" s="1555">
        <f>'8.Dgia'!C2096</f>
        <v>0</v>
      </c>
      <c r="D541" s="1552">
        <f>'8.Dgia'!D2096</f>
        <v>0</v>
      </c>
      <c r="E541" s="1775" t="str">
        <f>'8.Dgia'!E2096</f>
        <v xml:space="preserve">  C - Máy thi công</v>
      </c>
      <c r="F541" s="1771">
        <f>'8.Dgia'!G2096</f>
        <v>0</v>
      </c>
      <c r="G541" s="1772">
        <f>'8.Dgia'!H2096/100</f>
        <v>0</v>
      </c>
      <c r="H541" s="1853"/>
      <c r="I541" s="1896">
        <f>SUM(I542:I544)</f>
        <v>6602.6755522760459</v>
      </c>
    </row>
    <row r="542" spans="1:12" ht="15">
      <c r="B542" s="1551" t="str">
        <f>'8.Dgia'!B2097</f>
        <v/>
      </c>
      <c r="C542" s="1555">
        <f>'8.Dgia'!C2097</f>
        <v>0</v>
      </c>
      <c r="D542" s="1552">
        <f>'8.Dgia'!D2097</f>
        <v>0</v>
      </c>
      <c r="E542" s="1775" t="str">
        <f>'8.Dgia'!E2097</f>
        <v>Lu bánh lốp 16T</v>
      </c>
      <c r="F542" s="1771" t="s">
        <v>5493</v>
      </c>
      <c r="G542" s="1772">
        <f>'8.Dgia'!H2097/100</f>
        <v>2.7400000000000002E-3</v>
      </c>
      <c r="H542" s="1853">
        <f>'9.may'!$P$109</f>
        <v>1394407.2218181817</v>
      </c>
      <c r="I542" s="1824">
        <f>H542*G542</f>
        <v>3820.6757877818181</v>
      </c>
    </row>
    <row r="543" spans="1:12" ht="15">
      <c r="B543" s="1551" t="str">
        <f>'8.Dgia'!B2098</f>
        <v/>
      </c>
      <c r="C543" s="1555">
        <f>'8.Dgia'!C2098</f>
        <v>0</v>
      </c>
      <c r="D543" s="1552">
        <f>'8.Dgia'!D2098</f>
        <v>0</v>
      </c>
      <c r="E543" s="1775" t="str">
        <f>'8.Dgia'!E2098</f>
        <v>Máy ủi 110cv</v>
      </c>
      <c r="F543" s="1771" t="s">
        <v>5493</v>
      </c>
      <c r="G543" s="1772">
        <f>'8.Dgia'!H2098/100</f>
        <v>1.3700000000000001E-3</v>
      </c>
      <c r="H543" s="1853">
        <f>'9.may'!$P$70</f>
        <v>1959433.0499999998</v>
      </c>
      <c r="I543" s="1824">
        <f>H543*G543</f>
        <v>2684.4232784999999</v>
      </c>
    </row>
    <row r="544" spans="1:12" ht="15">
      <c r="B544" s="1551" t="str">
        <f>'8.Dgia'!B2099</f>
        <v/>
      </c>
      <c r="C544" s="1555">
        <f>'8.Dgia'!C2099</f>
        <v>0</v>
      </c>
      <c r="D544" s="1552">
        <f>'8.Dgia'!D2099</f>
        <v>0</v>
      </c>
      <c r="E544" s="1775" t="str">
        <f>'8.Dgia'!E2099</f>
        <v>Máy khác</v>
      </c>
      <c r="F544" s="1771" t="str">
        <f>'8.Dgia'!G2099</f>
        <v>%</v>
      </c>
      <c r="G544" s="1772">
        <f>'8.Dgia'!H2099</f>
        <v>1.5</v>
      </c>
      <c r="H544" s="1853">
        <f>SUM(I542:I543)</f>
        <v>6505.0990662818185</v>
      </c>
      <c r="I544" s="1824">
        <f>H544*G544%</f>
        <v>97.576485994227269</v>
      </c>
    </row>
    <row r="545" spans="1:11" ht="15">
      <c r="B545" s="1551"/>
      <c r="C545" s="1555"/>
      <c r="D545" s="1552"/>
      <c r="E545" s="1828" t="s">
        <v>5675</v>
      </c>
      <c r="F545" s="1856">
        <f>$J$5</f>
        <v>0.02</v>
      </c>
      <c r="G545" s="1772"/>
      <c r="H545" s="1853"/>
      <c r="I545" s="1863">
        <f>( I538+I540+I541 )*F545</f>
        <v>3317.3619695807961</v>
      </c>
    </row>
    <row r="546" spans="1:11" ht="15">
      <c r="B546" s="1551"/>
      <c r="C546" s="1555"/>
      <c r="D546" s="1552"/>
      <c r="E546" s="1831" t="s">
        <v>5676</v>
      </c>
      <c r="F546" s="1831"/>
      <c r="G546" s="1772"/>
      <c r="H546" s="1853"/>
      <c r="I546" s="1833">
        <f>I545+I545/F545</f>
        <v>169185.46044862058</v>
      </c>
    </row>
    <row r="547" spans="1:11" ht="15">
      <c r="B547" s="2020"/>
      <c r="C547" s="1555"/>
      <c r="D547" s="1552"/>
      <c r="E547" s="1834" t="s">
        <v>5677</v>
      </c>
      <c r="F547" s="1858">
        <f>$K$5</f>
        <v>5.7750000000000003E-2</v>
      </c>
      <c r="G547" s="1772"/>
      <c r="H547" s="1853"/>
      <c r="I547" s="1835">
        <f>I546*F547</f>
        <v>9770.4603409078391</v>
      </c>
    </row>
    <row r="548" spans="1:11" ht="15">
      <c r="B548" s="1551"/>
      <c r="C548" s="1555"/>
      <c r="D548" s="1552"/>
      <c r="E548" s="1834" t="s">
        <v>5678</v>
      </c>
      <c r="F548" s="1856">
        <f>$L$5</f>
        <v>0.06</v>
      </c>
      <c r="G548" s="1772"/>
      <c r="H548" s="1853"/>
      <c r="I548" s="1835">
        <f>SUM(I546:I547)*F548</f>
        <v>10737.355247371705</v>
      </c>
    </row>
    <row r="549" spans="1:11" ht="15">
      <c r="B549" s="1551"/>
      <c r="C549" s="1555"/>
      <c r="D549" s="1552"/>
      <c r="E549" s="1831" t="s">
        <v>5679</v>
      </c>
      <c r="F549" s="1831"/>
      <c r="G549" s="1772"/>
      <c r="H549" s="1853"/>
      <c r="I549" s="1833">
        <f>SUM(I546:I548)</f>
        <v>189693.27603690012</v>
      </c>
    </row>
    <row r="550" spans="1:11" ht="15">
      <c r="B550" s="1551"/>
      <c r="C550" s="1555"/>
      <c r="D550" s="1552"/>
      <c r="E550" s="1834" t="s">
        <v>5680</v>
      </c>
      <c r="F550" s="1856">
        <f>$M$5</f>
        <v>0.1</v>
      </c>
      <c r="G550" s="1772"/>
      <c r="H550" s="1853"/>
      <c r="I550" s="1835">
        <f>I549*F550</f>
        <v>18969.327603690013</v>
      </c>
    </row>
    <row r="551" spans="1:11" ht="15">
      <c r="B551" s="1551"/>
      <c r="C551" s="1555"/>
      <c r="D551" s="1552"/>
      <c r="E551" s="1831" t="s">
        <v>5681</v>
      </c>
      <c r="F551" s="1831"/>
      <c r="G551" s="1772"/>
      <c r="H551" s="1853"/>
      <c r="I551" s="1833">
        <f>SUM(I549:I550)</f>
        <v>208662.60364059012</v>
      </c>
    </row>
    <row r="552" spans="1:11" ht="12.75">
      <c r="B552" s="1551"/>
      <c r="C552" s="1555"/>
      <c r="D552" s="1552"/>
      <c r="E552" s="1558" t="s">
        <v>5682</v>
      </c>
      <c r="F552" s="1595">
        <f>$N$5</f>
        <v>0.01</v>
      </c>
      <c r="G552" s="1553"/>
      <c r="H552" s="1594"/>
      <c r="I552" s="1559">
        <f>I551*F552</f>
        <v>2086.6260364059012</v>
      </c>
    </row>
    <row r="553" spans="1:11" ht="15">
      <c r="B553" s="1596"/>
      <c r="C553" s="1597"/>
      <c r="D553" s="1597"/>
      <c r="E553" s="1859" t="s">
        <v>5683</v>
      </c>
      <c r="F553" s="1859"/>
      <c r="G553" s="1860"/>
      <c r="H553" s="1861"/>
      <c r="I553" s="1862">
        <f>ROUND(I551+I552,-2)</f>
        <v>210700</v>
      </c>
    </row>
    <row r="554" spans="1:11" ht="15">
      <c r="A554" s="657">
        <v>1</v>
      </c>
      <c r="B554" s="1549">
        <f>IF(A554&lt;&gt;0,COUNTA(A$7:$A554),"")</f>
        <v>33</v>
      </c>
      <c r="C554" s="1555">
        <f>'8.Dgia'!C2100</f>
        <v>1776</v>
      </c>
      <c r="D554" s="1696" t="str">
        <f>'8.Dgia'!D2100</f>
        <v>AL.16121</v>
      </c>
      <c r="E554" s="1848" t="str">
        <f>'8.Dgia'!E2100</f>
        <v>Trải vải địa kỹ thuật R=12KN/m</v>
      </c>
      <c r="F554" s="1849" t="s">
        <v>548</v>
      </c>
      <c r="G554" s="1850">
        <f>'8.Dgia'!H2100</f>
        <v>0</v>
      </c>
      <c r="H554" s="1851"/>
      <c r="I554" s="1852"/>
      <c r="J554" s="842">
        <f>+I555</f>
        <v>16032</v>
      </c>
      <c r="K554" s="842">
        <f>+I558</f>
        <v>2539.596</v>
      </c>
    </row>
    <row r="555" spans="1:11" ht="15">
      <c r="B555" s="1551" t="str">
        <f>'8.Dgia'!B2101</f>
        <v/>
      </c>
      <c r="C555" s="1555">
        <f>'8.Dgia'!C2101</f>
        <v>0</v>
      </c>
      <c r="D555" s="1552">
        <f>'8.Dgia'!D2101</f>
        <v>0</v>
      </c>
      <c r="E555" s="2018" t="str">
        <f>'8.Dgia'!E2101</f>
        <v xml:space="preserve">  A - Vật liệu</v>
      </c>
      <c r="F555" s="1771">
        <f>'8.Dgia'!G2101</f>
        <v>0</v>
      </c>
      <c r="G555" s="1772">
        <f>'8.Dgia'!H2101</f>
        <v>0</v>
      </c>
      <c r="H555" s="1853"/>
      <c r="I555" s="1854">
        <f>SUM(I556:I557)</f>
        <v>16032</v>
      </c>
    </row>
    <row r="556" spans="1:11" ht="15">
      <c r="B556" s="1551" t="str">
        <f>'8.Dgia'!B2102</f>
        <v/>
      </c>
      <c r="C556" s="1555">
        <f>'8.Dgia'!C2102</f>
        <v>0</v>
      </c>
      <c r="D556" s="1552">
        <f>'8.Dgia'!D2102</f>
        <v>0</v>
      </c>
      <c r="E556" s="1775" t="str">
        <f>'8.Dgia'!E2102</f>
        <v>Vải địa kỹ thuật R=12KN/m</v>
      </c>
      <c r="F556" s="1771" t="str">
        <f>'8.Dgia'!G2102</f>
        <v>m2</v>
      </c>
      <c r="G556" s="1772">
        <f>'8.Dgia'!H2102/100</f>
        <v>1.1000000000000001</v>
      </c>
      <c r="H556" s="1853">
        <f>GVL!$I$188</f>
        <v>14545.454545454544</v>
      </c>
      <c r="I556" s="1824">
        <f>H556*G556</f>
        <v>16000</v>
      </c>
    </row>
    <row r="557" spans="1:11" ht="15">
      <c r="B557" s="1551" t="str">
        <f>'8.Dgia'!B2103</f>
        <v/>
      </c>
      <c r="C557" s="1555">
        <f>'8.Dgia'!C2103</f>
        <v>0</v>
      </c>
      <c r="D557" s="1552">
        <f>'8.Dgia'!D2103</f>
        <v>0</v>
      </c>
      <c r="E557" s="1775" t="str">
        <f>'8.Dgia'!E2103</f>
        <v>Vật liệu khác</v>
      </c>
      <c r="F557" s="1771" t="str">
        <f>'8.Dgia'!G2103</f>
        <v>%</v>
      </c>
      <c r="G557" s="1772">
        <f>'8.Dgia'!H2103</f>
        <v>0.2</v>
      </c>
      <c r="H557" s="1853">
        <f>+I556</f>
        <v>16000</v>
      </c>
      <c r="I557" s="1824">
        <f>H557*G557%</f>
        <v>32</v>
      </c>
    </row>
    <row r="558" spans="1:11" ht="15">
      <c r="B558" s="1551" t="str">
        <f>'8.Dgia'!B2104</f>
        <v/>
      </c>
      <c r="C558" s="1555">
        <f>'8.Dgia'!C2104</f>
        <v>0</v>
      </c>
      <c r="D558" s="1552">
        <f>'8.Dgia'!D2104</f>
        <v>0</v>
      </c>
      <c r="E558" s="1775" t="str">
        <f>'8.Dgia'!E2104</f>
        <v xml:space="preserve">  B - Nhân công 3.5/7</v>
      </c>
      <c r="F558" s="1771" t="s">
        <v>552</v>
      </c>
      <c r="G558" s="1772">
        <f>'8.Dgia'!H2104/100</f>
        <v>1.18E-2</v>
      </c>
      <c r="H558" s="1853">
        <f>'16.NC'!$G$16</f>
        <v>215220</v>
      </c>
      <c r="I558" s="1854">
        <f>H558*G558</f>
        <v>2539.596</v>
      </c>
    </row>
    <row r="559" spans="1:11" ht="15">
      <c r="B559" s="1551"/>
      <c r="C559" s="1555"/>
      <c r="D559" s="1552"/>
      <c r="E559" s="1828" t="s">
        <v>5675</v>
      </c>
      <c r="F559" s="1856">
        <f>$J$5</f>
        <v>0.02</v>
      </c>
      <c r="G559" s="1772"/>
      <c r="H559" s="1853"/>
      <c r="I559" s="1863">
        <f>( I555+I558 )*F559</f>
        <v>371.43192000000005</v>
      </c>
    </row>
    <row r="560" spans="1:11" ht="15">
      <c r="B560" s="1551"/>
      <c r="C560" s="1555"/>
      <c r="D560" s="1552"/>
      <c r="E560" s="1831" t="s">
        <v>5676</v>
      </c>
      <c r="F560" s="1831"/>
      <c r="G560" s="1772"/>
      <c r="H560" s="1853"/>
      <c r="I560" s="1833">
        <f>I559+I559/F559</f>
        <v>18943.02792</v>
      </c>
    </row>
    <row r="561" spans="1:12" ht="15">
      <c r="B561" s="1551"/>
      <c r="C561" s="1555"/>
      <c r="D561" s="1552"/>
      <c r="E561" s="1834" t="s">
        <v>5677</v>
      </c>
      <c r="F561" s="1858">
        <f>$K$5</f>
        <v>5.7750000000000003E-2</v>
      </c>
      <c r="G561" s="1772"/>
      <c r="H561" s="1853"/>
      <c r="I561" s="1835">
        <f>I560*F561</f>
        <v>1093.95986238</v>
      </c>
    </row>
    <row r="562" spans="1:12" ht="15">
      <c r="B562" s="1551"/>
      <c r="C562" s="1555"/>
      <c r="D562" s="1552"/>
      <c r="E562" s="1834" t="s">
        <v>5678</v>
      </c>
      <c r="F562" s="1856">
        <f>$L$5</f>
        <v>0.06</v>
      </c>
      <c r="G562" s="1772"/>
      <c r="H562" s="1853"/>
      <c r="I562" s="1835">
        <f>SUM(I560:I561)*F562</f>
        <v>1202.2192669428</v>
      </c>
    </row>
    <row r="563" spans="1:12" ht="15">
      <c r="B563" s="1551"/>
      <c r="C563" s="1555"/>
      <c r="D563" s="1552"/>
      <c r="E563" s="1831" t="s">
        <v>5679</v>
      </c>
      <c r="F563" s="1831"/>
      <c r="G563" s="1772"/>
      <c r="H563" s="1853"/>
      <c r="I563" s="1833">
        <f>SUM(I560:I562)</f>
        <v>21239.207049322802</v>
      </c>
    </row>
    <row r="564" spans="1:12" ht="15">
      <c r="B564" s="2020"/>
      <c r="C564" s="1555"/>
      <c r="D564" s="1552"/>
      <c r="E564" s="1834" t="s">
        <v>5680</v>
      </c>
      <c r="F564" s="1856">
        <f>$M$5</f>
        <v>0.1</v>
      </c>
      <c r="G564" s="1772"/>
      <c r="H564" s="1853"/>
      <c r="I564" s="1835">
        <f>I563*F564</f>
        <v>2123.9207049322804</v>
      </c>
    </row>
    <row r="565" spans="1:12" ht="15">
      <c r="B565" s="1551"/>
      <c r="C565" s="1555"/>
      <c r="D565" s="1552"/>
      <c r="E565" s="1831" t="s">
        <v>5681</v>
      </c>
      <c r="F565" s="1831"/>
      <c r="G565" s="1772"/>
      <c r="H565" s="1853"/>
      <c r="I565" s="1833">
        <f>SUM(I563:I564)</f>
        <v>23363.127754255082</v>
      </c>
    </row>
    <row r="566" spans="1:12" ht="12.75">
      <c r="B566" s="1551"/>
      <c r="C566" s="1555"/>
      <c r="D566" s="1552"/>
      <c r="E566" s="1558" t="s">
        <v>5682</v>
      </c>
      <c r="F566" s="1595">
        <f>$N$5</f>
        <v>0.01</v>
      </c>
      <c r="G566" s="1553"/>
      <c r="H566" s="1594"/>
      <c r="I566" s="1559">
        <f>I565*F566</f>
        <v>233.63127754255083</v>
      </c>
    </row>
    <row r="567" spans="1:12" ht="15">
      <c r="B567" s="1596"/>
      <c r="C567" s="1597"/>
      <c r="D567" s="1597"/>
      <c r="E567" s="1859" t="s">
        <v>5683</v>
      </c>
      <c r="F567" s="1859"/>
      <c r="G567" s="1860"/>
      <c r="H567" s="1861"/>
      <c r="I567" s="1862">
        <f>ROUND(I565+I566,-2)</f>
        <v>23600</v>
      </c>
    </row>
    <row r="568" spans="1:12" ht="24">
      <c r="A568" s="657">
        <v>1</v>
      </c>
      <c r="B568" s="1549">
        <f>IF(A568&lt;&gt;0,COUNTA(A$7:$A568),"")</f>
        <v>34</v>
      </c>
      <c r="C568" s="1555">
        <f>'8.Dgia'!C2110</f>
        <v>1776</v>
      </c>
      <c r="D568" s="1696" t="str">
        <f>'8.Dgia'!D2110</f>
        <v>AB.64124vd</v>
      </c>
      <c r="E568" s="1848" t="str">
        <f>'8.Dgia'!E2110</f>
        <v>Cấp phối chọn lọc K=1</v>
      </c>
      <c r="F568" s="1849" t="s">
        <v>545</v>
      </c>
      <c r="G568" s="1850">
        <f>'8.Dgia'!H2110</f>
        <v>0</v>
      </c>
      <c r="H568" s="1851"/>
      <c r="I568" s="1894"/>
      <c r="J568" s="842">
        <f>+I569</f>
        <v>252764.39704739462</v>
      </c>
      <c r="K568" s="842">
        <f>+I571</f>
        <v>3465.2969999999996</v>
      </c>
      <c r="L568" s="842">
        <f>+I572</f>
        <v>10120.889532685907</v>
      </c>
    </row>
    <row r="569" spans="1:12" ht="15">
      <c r="B569" s="1551" t="str">
        <f>'8.Dgia'!B2111</f>
        <v/>
      </c>
      <c r="C569" s="1555">
        <f>'8.Dgia'!C2111</f>
        <v>0</v>
      </c>
      <c r="D569" s="1552">
        <f>'8.Dgia'!D2111</f>
        <v>0</v>
      </c>
      <c r="E569" s="2018" t="str">
        <f>'8.Dgia'!E2111</f>
        <v xml:space="preserve">  A - Vật liệu</v>
      </c>
      <c r="F569" s="1771">
        <f>'8.Dgia'!G2111</f>
        <v>0</v>
      </c>
      <c r="G569" s="1772">
        <f>'8.Dgia'!H2111</f>
        <v>0</v>
      </c>
      <c r="H569" s="1853"/>
      <c r="I569" s="1854">
        <f>SUM(I570:I570)</f>
        <v>252764.39704739462</v>
      </c>
    </row>
    <row r="570" spans="1:12" ht="22.5">
      <c r="B570" s="1551" t="str">
        <f>'8.Dgia'!B2112</f>
        <v/>
      </c>
      <c r="C570" s="1555">
        <f>'8.Dgia'!C2112</f>
        <v>0</v>
      </c>
      <c r="D570" s="1986" t="str">
        <f>'8.Dgia'!D2112</f>
        <v>HS=1.16*1.14</v>
      </c>
      <c r="E570" s="1775" t="str">
        <f>'8.Dgia'!E2112</f>
        <v>Cấp phối chọn lọc</v>
      </c>
      <c r="F570" s="1771" t="str">
        <f>'8.Dgia'!G2112</f>
        <v>m3</v>
      </c>
      <c r="G570" s="1772">
        <f>'8.Dgia'!H2112/100</f>
        <v>1.3223999999999998</v>
      </c>
      <c r="H570" s="1853">
        <f>GVL!$I$33</f>
        <v>191140.65112476909</v>
      </c>
      <c r="I570" s="1824">
        <f>H570*G570</f>
        <v>252764.39704739462</v>
      </c>
    </row>
    <row r="571" spans="1:12" ht="15">
      <c r="B571" s="1551" t="str">
        <f>'8.Dgia'!B2113</f>
        <v/>
      </c>
      <c r="C571" s="1555">
        <f>'8.Dgia'!C2113</f>
        <v>0</v>
      </c>
      <c r="D571" s="1552">
        <f>'8.Dgia'!D2113</f>
        <v>0</v>
      </c>
      <c r="E571" s="1775" t="str">
        <f>'8.Dgia'!E2113</f>
        <v xml:space="preserve">  B - Nhân công 3.0/7</v>
      </c>
      <c r="F571" s="1771" t="s">
        <v>552</v>
      </c>
      <c r="G571" s="1772">
        <f>'8.Dgia'!H2113/100</f>
        <v>1.7399999999999999E-2</v>
      </c>
      <c r="H571" s="1853">
        <f>'16.NC'!$G$13</f>
        <v>199155</v>
      </c>
      <c r="I571" s="1854">
        <f>H571*G571</f>
        <v>3465.2969999999996</v>
      </c>
    </row>
    <row r="572" spans="1:12" ht="15">
      <c r="B572" s="1551" t="str">
        <f>'8.Dgia'!B2114</f>
        <v/>
      </c>
      <c r="C572" s="1555">
        <f>'8.Dgia'!C2114</f>
        <v>0</v>
      </c>
      <c r="D572" s="1552">
        <f>'8.Dgia'!D2114</f>
        <v>0</v>
      </c>
      <c r="E572" s="1775" t="str">
        <f>'8.Dgia'!E2114</f>
        <v xml:space="preserve">  C - Máy thi công</v>
      </c>
      <c r="F572" s="1771">
        <f>'8.Dgia'!G2114</f>
        <v>0</v>
      </c>
      <c r="G572" s="1772">
        <f>'8.Dgia'!H2114/100</f>
        <v>0</v>
      </c>
      <c r="H572" s="1855"/>
      <c r="I572" s="1854">
        <f>SUM(I573:I575)</f>
        <v>10120.889532685907</v>
      </c>
    </row>
    <row r="573" spans="1:12" ht="15">
      <c r="B573" s="1551" t="str">
        <f>'8.Dgia'!B2115</f>
        <v/>
      </c>
      <c r="C573" s="1555">
        <f>'8.Dgia'!C2115</f>
        <v>0</v>
      </c>
      <c r="D573" s="1552">
        <f>'8.Dgia'!D2115</f>
        <v>0</v>
      </c>
      <c r="E573" s="1775" t="str">
        <f>'8.Dgia'!E2115</f>
        <v>Lu bánh lốp 16T</v>
      </c>
      <c r="F573" s="1771" t="s">
        <v>5493</v>
      </c>
      <c r="G573" s="1772">
        <f>'8.Dgia'!H2115/100</f>
        <v>4.1999999999999997E-3</v>
      </c>
      <c r="H573" s="1853">
        <f>'9.may'!$P$109</f>
        <v>1394407.2218181817</v>
      </c>
      <c r="I573" s="1824">
        <f>H573*G573</f>
        <v>5856.5103316363629</v>
      </c>
    </row>
    <row r="574" spans="1:12" ht="15">
      <c r="B574" s="1551" t="str">
        <f>'8.Dgia'!B2116</f>
        <v/>
      </c>
      <c r="C574" s="1555">
        <f>'8.Dgia'!C2116</f>
        <v>0</v>
      </c>
      <c r="D574" s="1552">
        <f>'8.Dgia'!D2116</f>
        <v>0</v>
      </c>
      <c r="E574" s="1775" t="str">
        <f>'8.Dgia'!E2116</f>
        <v>Máy ủi 110cv</v>
      </c>
      <c r="F574" s="1771" t="s">
        <v>5493</v>
      </c>
      <c r="G574" s="1772">
        <f>'8.Dgia'!H2116/100</f>
        <v>2.0999999999999999E-3</v>
      </c>
      <c r="H574" s="1853">
        <f>'9.may'!$P$70</f>
        <v>1959433.0499999998</v>
      </c>
      <c r="I574" s="1824">
        <f>H574*G574</f>
        <v>4114.8094049999991</v>
      </c>
    </row>
    <row r="575" spans="1:12" ht="15">
      <c r="B575" s="1551" t="str">
        <f>'8.Dgia'!B2117</f>
        <v/>
      </c>
      <c r="C575" s="1555">
        <f>'8.Dgia'!C2117</f>
        <v>0</v>
      </c>
      <c r="D575" s="1552">
        <f>'8.Dgia'!D2117</f>
        <v>0</v>
      </c>
      <c r="E575" s="1775" t="str">
        <f>'8.Dgia'!E2117</f>
        <v>Máy khác</v>
      </c>
      <c r="F575" s="1771" t="str">
        <f>'8.Dgia'!G2117</f>
        <v>%</v>
      </c>
      <c r="G575" s="1772">
        <f>'8.Dgia'!H2117</f>
        <v>1.5</v>
      </c>
      <c r="H575" s="1853">
        <f>SUM(I573:I574)</f>
        <v>9971.319736636362</v>
      </c>
      <c r="I575" s="1824">
        <f>H575*G575%</f>
        <v>149.56979604954543</v>
      </c>
    </row>
    <row r="576" spans="1:12" ht="15">
      <c r="B576" s="1551"/>
      <c r="C576" s="1555"/>
      <c r="D576" s="1552"/>
      <c r="E576" s="1828" t="s">
        <v>5675</v>
      </c>
      <c r="F576" s="1856">
        <f>$J$5</f>
        <v>0.02</v>
      </c>
      <c r="G576" s="1772"/>
      <c r="H576" s="1853"/>
      <c r="I576" s="1863">
        <f>( I569+I571+I572 )*F576</f>
        <v>5327.0116716016109</v>
      </c>
    </row>
    <row r="577" spans="1:12" ht="15">
      <c r="B577" s="1551"/>
      <c r="C577" s="1555"/>
      <c r="D577" s="1552"/>
      <c r="E577" s="1831" t="s">
        <v>5676</v>
      </c>
      <c r="F577" s="1831"/>
      <c r="G577" s="1772"/>
      <c r="H577" s="1853"/>
      <c r="I577" s="1833">
        <f>I576+I576/F576</f>
        <v>271677.59525168216</v>
      </c>
    </row>
    <row r="578" spans="1:12" ht="15">
      <c r="B578" s="1551"/>
      <c r="C578" s="1555"/>
      <c r="D578" s="1552"/>
      <c r="E578" s="1834" t="s">
        <v>5677</v>
      </c>
      <c r="F578" s="1858">
        <f>$K$5</f>
        <v>5.7750000000000003E-2</v>
      </c>
      <c r="G578" s="1772"/>
      <c r="H578" s="1853"/>
      <c r="I578" s="1835">
        <f>I577*F578</f>
        <v>15689.381125784645</v>
      </c>
    </row>
    <row r="579" spans="1:12" ht="15">
      <c r="B579" s="1551"/>
      <c r="C579" s="1555"/>
      <c r="D579" s="1552"/>
      <c r="E579" s="1834" t="s">
        <v>5678</v>
      </c>
      <c r="F579" s="1856">
        <f>$L$5</f>
        <v>0.06</v>
      </c>
      <c r="G579" s="1772"/>
      <c r="H579" s="1853"/>
      <c r="I579" s="1835">
        <f>SUM(I577:I578)*F579</f>
        <v>17242.018582648008</v>
      </c>
    </row>
    <row r="580" spans="1:12" ht="15">
      <c r="B580" s="1551"/>
      <c r="C580" s="1555"/>
      <c r="D580" s="1552"/>
      <c r="E580" s="1831" t="s">
        <v>5679</v>
      </c>
      <c r="F580" s="1831"/>
      <c r="G580" s="1772"/>
      <c r="H580" s="1853"/>
      <c r="I580" s="1833">
        <f>SUM(I577:I579)</f>
        <v>304608.99496011483</v>
      </c>
    </row>
    <row r="581" spans="1:12" ht="15">
      <c r="B581" s="1551"/>
      <c r="C581" s="1555"/>
      <c r="D581" s="1552"/>
      <c r="E581" s="1834" t="s">
        <v>5680</v>
      </c>
      <c r="F581" s="1856">
        <f>$M$5</f>
        <v>0.1</v>
      </c>
      <c r="G581" s="1772"/>
      <c r="H581" s="1853"/>
      <c r="I581" s="1835">
        <f>I580*F581</f>
        <v>30460.899496011483</v>
      </c>
    </row>
    <row r="582" spans="1:12" ht="15">
      <c r="B582" s="2020"/>
      <c r="C582" s="1555"/>
      <c r="D582" s="1552"/>
      <c r="E582" s="1831" t="s">
        <v>5681</v>
      </c>
      <c r="F582" s="1831"/>
      <c r="G582" s="1772"/>
      <c r="H582" s="1853"/>
      <c r="I582" s="1833">
        <f>SUM(I580:I581)</f>
        <v>335069.89445612632</v>
      </c>
    </row>
    <row r="583" spans="1:12" ht="12.75">
      <c r="B583" s="1551"/>
      <c r="C583" s="1555"/>
      <c r="D583" s="1552"/>
      <c r="E583" s="1558" t="s">
        <v>5682</v>
      </c>
      <c r="F583" s="1595">
        <f>$N$5</f>
        <v>0.01</v>
      </c>
      <c r="G583" s="1553"/>
      <c r="H583" s="1594"/>
      <c r="I583" s="1559">
        <f>I582*F583</f>
        <v>3350.6989445612635</v>
      </c>
    </row>
    <row r="584" spans="1:12" ht="15">
      <c r="B584" s="1596"/>
      <c r="C584" s="1597"/>
      <c r="D584" s="1597"/>
      <c r="E584" s="1859" t="s">
        <v>5683</v>
      </c>
      <c r="F584" s="1859"/>
      <c r="G584" s="1860"/>
      <c r="H584" s="1861"/>
      <c r="I584" s="1862">
        <f>ROUND(I582+I583,-2)</f>
        <v>338400</v>
      </c>
    </row>
    <row r="585" spans="1:12" s="1336" customFormat="1" ht="15">
      <c r="A585" s="657">
        <v>1</v>
      </c>
      <c r="B585" s="1549">
        <f>IF(A585&lt;&gt;0,COUNTA(A$7:$A585),"")</f>
        <v>35</v>
      </c>
      <c r="C585" s="1555">
        <f>'8.Dgia'!C2118</f>
        <v>1776</v>
      </c>
      <c r="D585" s="1696" t="str">
        <f>'8.Dgia'!D2118</f>
        <v>AD.11212</v>
      </c>
      <c r="E585" s="1848" t="str">
        <f>'8.Dgia'!E2118</f>
        <v>Cấp phối đá dăm (móng dưới)</v>
      </c>
      <c r="F585" s="1849" t="s">
        <v>545</v>
      </c>
      <c r="G585" s="1850">
        <f>'8.Dgia'!H2118</f>
        <v>0</v>
      </c>
      <c r="H585" s="1893"/>
      <c r="I585" s="1894"/>
      <c r="J585" s="1425">
        <f>+I586</f>
        <v>405389.28539434419</v>
      </c>
      <c r="K585" s="1425">
        <f>+I588</f>
        <v>9052.2119999999995</v>
      </c>
      <c r="L585" s="1425">
        <f>+I589</f>
        <v>24835.019419033364</v>
      </c>
    </row>
    <row r="586" spans="1:12" ht="15">
      <c r="B586" s="1551" t="str">
        <f>'8.Dgia'!B2119</f>
        <v/>
      </c>
      <c r="C586" s="1555">
        <f>'8.Dgia'!C2119</f>
        <v>0</v>
      </c>
      <c r="D586" s="1552">
        <f>'8.Dgia'!D2119</f>
        <v>0</v>
      </c>
      <c r="E586" s="2018" t="str">
        <f>'8.Dgia'!E2119</f>
        <v xml:space="preserve">  A - Vật liệu</v>
      </c>
      <c r="F586" s="1771">
        <f>'8.Dgia'!G2119</f>
        <v>0</v>
      </c>
      <c r="G586" s="1772">
        <f>'8.Dgia'!H2119</f>
        <v>0</v>
      </c>
      <c r="H586" s="1895"/>
      <c r="I586" s="1896">
        <f>I587</f>
        <v>405389.28539434419</v>
      </c>
    </row>
    <row r="587" spans="1:12" ht="15">
      <c r="B587" s="1551" t="str">
        <f>'8.Dgia'!B2120</f>
        <v/>
      </c>
      <c r="C587" s="1555">
        <f>'8.Dgia'!C2120</f>
        <v>0</v>
      </c>
      <c r="D587" s="1552">
        <f>'8.Dgia'!D2120</f>
        <v>0</v>
      </c>
      <c r="E587" s="1775" t="str">
        <f>'8.Dgia'!E2120</f>
        <v>Cấp phối đá dăm loại 2</v>
      </c>
      <c r="F587" s="1771" t="str">
        <f>'8.Dgia'!G2120</f>
        <v>m3</v>
      </c>
      <c r="G587" s="1772">
        <f>'8.Dgia'!H2120/100</f>
        <v>1.42</v>
      </c>
      <c r="H587" s="1853">
        <f>GVL!$I$35</f>
        <v>285485.41224953817</v>
      </c>
      <c r="I587" s="1824">
        <f>H587*G587</f>
        <v>405389.28539434419</v>
      </c>
    </row>
    <row r="588" spans="1:12" ht="15">
      <c r="B588" s="1551" t="str">
        <f>'8.Dgia'!B2121</f>
        <v/>
      </c>
      <c r="C588" s="1555">
        <f>'8.Dgia'!C2121</f>
        <v>0</v>
      </c>
      <c r="D588" s="1552">
        <f>'8.Dgia'!D2121</f>
        <v>0</v>
      </c>
      <c r="E588" s="1775" t="str">
        <f>'8.Dgia'!E2121</f>
        <v xml:space="preserve">  B - Nhân công 4.0/7</v>
      </c>
      <c r="F588" s="1771" t="s">
        <v>552</v>
      </c>
      <c r="G588" s="1772">
        <f>'8.Dgia'!H2121/100</f>
        <v>3.9E-2</v>
      </c>
      <c r="H588" s="1853">
        <f>'16.NC'!$G$18</f>
        <v>232108</v>
      </c>
      <c r="I588" s="1854">
        <f>H588*G588</f>
        <v>9052.2119999999995</v>
      </c>
    </row>
    <row r="589" spans="1:12" ht="15">
      <c r="B589" s="1551" t="str">
        <f>'8.Dgia'!B2122</f>
        <v/>
      </c>
      <c r="C589" s="1555">
        <f>'8.Dgia'!C2122</f>
        <v>0</v>
      </c>
      <c r="D589" s="1552">
        <f>'8.Dgia'!D2122</f>
        <v>0</v>
      </c>
      <c r="E589" s="1775" t="str">
        <f>'8.Dgia'!E2122</f>
        <v xml:space="preserve">  C - Máy thi công</v>
      </c>
      <c r="F589" s="1771">
        <f>'8.Dgia'!G2122</f>
        <v>0</v>
      </c>
      <c r="G589" s="1772">
        <f>'8.Dgia'!H2122/100</f>
        <v>0</v>
      </c>
      <c r="H589" s="1855"/>
      <c r="I589" s="1896">
        <f>SUM(I590:I596)</f>
        <v>24835.019419033364</v>
      </c>
    </row>
    <row r="590" spans="1:12" ht="15">
      <c r="B590" s="1551" t="str">
        <f>'8.Dgia'!B2123</f>
        <v/>
      </c>
      <c r="C590" s="1555">
        <f>'8.Dgia'!C2123</f>
        <v>0</v>
      </c>
      <c r="D590" s="1552">
        <f>'8.Dgia'!D2123</f>
        <v>0</v>
      </c>
      <c r="E590" s="1775" t="str">
        <f>'8.Dgia'!E2123</f>
        <v>Máy ủi 110cv</v>
      </c>
      <c r="F590" s="1771" t="s">
        <v>5493</v>
      </c>
      <c r="G590" s="1772">
        <f>'8.Dgia'!H2123/100</f>
        <v>4.1999999999999997E-3</v>
      </c>
      <c r="H590" s="1853">
        <f>'9.may'!$P$70</f>
        <v>1959433.0499999998</v>
      </c>
      <c r="I590" s="1824">
        <f t="shared" ref="I590:I595" si="1">H590*G590</f>
        <v>8229.6188099999981</v>
      </c>
    </row>
    <row r="591" spans="1:12" ht="15">
      <c r="B591" s="1551" t="str">
        <f>'8.Dgia'!B2124</f>
        <v/>
      </c>
      <c r="C591" s="1555">
        <f>'8.Dgia'!C2124</f>
        <v>0</v>
      </c>
      <c r="D591" s="1552">
        <f>'8.Dgia'!D2124</f>
        <v>0</v>
      </c>
      <c r="E591" s="1775" t="str">
        <f>'8.Dgia'!E2124</f>
        <v>Máy san 108cv</v>
      </c>
      <c r="F591" s="1771" t="s">
        <v>5493</v>
      </c>
      <c r="G591" s="1772">
        <f>'8.Dgia'!H2124/100</f>
        <v>8.0000000000000004E-4</v>
      </c>
      <c r="H591" s="1853">
        <f>'9.may'!$P$94</f>
        <v>1686858.9507272728</v>
      </c>
      <c r="I591" s="1824">
        <f t="shared" si="1"/>
        <v>1349.4871605818182</v>
      </c>
    </row>
    <row r="592" spans="1:12" ht="15">
      <c r="B592" s="1551" t="str">
        <f>'8.Dgia'!B2125</f>
        <v/>
      </c>
      <c r="C592" s="1555">
        <f>'8.Dgia'!C2125</f>
        <v>0</v>
      </c>
      <c r="D592" s="1552">
        <f>'8.Dgia'!D2125</f>
        <v>0</v>
      </c>
      <c r="E592" s="1775" t="str">
        <f>'8.Dgia'!E2125</f>
        <v>Máy lu rung 25T</v>
      </c>
      <c r="F592" s="1771" t="s">
        <v>5493</v>
      </c>
      <c r="G592" s="1772">
        <f>'8.Dgia'!H2125/100</f>
        <v>2.0999999999999999E-3</v>
      </c>
      <c r="H592" s="1853">
        <f>'9.may'!$P$116</f>
        <v>3012470.1054545455</v>
      </c>
      <c r="I592" s="1824">
        <f t="shared" si="1"/>
        <v>6326.1872214545447</v>
      </c>
    </row>
    <row r="593" spans="1:12" ht="15">
      <c r="B593" s="1551" t="str">
        <f>'8.Dgia'!B2126</f>
        <v/>
      </c>
      <c r="C593" s="1555">
        <f>'8.Dgia'!C2126</f>
        <v>0</v>
      </c>
      <c r="D593" s="1552">
        <f>'8.Dgia'!D2126</f>
        <v>0</v>
      </c>
      <c r="E593" s="1775" t="str">
        <f>'8.Dgia'!E2126</f>
        <v>Lu bánh lốp 16T</v>
      </c>
      <c r="F593" s="1771" t="s">
        <v>5493</v>
      </c>
      <c r="G593" s="1772">
        <f>'8.Dgia'!H2126/100</f>
        <v>3.4000000000000002E-3</v>
      </c>
      <c r="H593" s="1853">
        <f>'9.may'!$P$109</f>
        <v>1394407.2218181817</v>
      </c>
      <c r="I593" s="1824">
        <f t="shared" si="1"/>
        <v>4740.9845541818177</v>
      </c>
    </row>
    <row r="594" spans="1:12" ht="15">
      <c r="B594" s="1551" t="str">
        <f>'8.Dgia'!B2127</f>
        <v/>
      </c>
      <c r="C594" s="1555">
        <f>'8.Dgia'!C2127</f>
        <v>0</v>
      </c>
      <c r="D594" s="1552">
        <f>'8.Dgia'!D2127</f>
        <v>0</v>
      </c>
      <c r="E594" s="1775" t="str">
        <f>'8.Dgia'!E2127</f>
        <v>Máy lu bánh thép 10T</v>
      </c>
      <c r="F594" s="1771" t="s">
        <v>5493</v>
      </c>
      <c r="G594" s="1772">
        <f>'8.Dgia'!H2127/100</f>
        <v>2.0999999999999999E-3</v>
      </c>
      <c r="H594" s="1853">
        <f>'9.may'!$P$122</f>
        <v>950702.42999999993</v>
      </c>
      <c r="I594" s="1824">
        <f t="shared" si="1"/>
        <v>1996.4751029999998</v>
      </c>
    </row>
    <row r="595" spans="1:12" ht="15">
      <c r="B595" s="1551" t="str">
        <f>'8.Dgia'!B2128</f>
        <v/>
      </c>
      <c r="C595" s="1555">
        <f>'8.Dgia'!C2128</f>
        <v>0</v>
      </c>
      <c r="D595" s="1552">
        <f>'8.Dgia'!D2128</f>
        <v>0</v>
      </c>
      <c r="E595" s="1775" t="str">
        <f>'8.Dgia'!E2128</f>
        <v>Ôtô tưới nước 5m3</v>
      </c>
      <c r="F595" s="1771" t="s">
        <v>5493</v>
      </c>
      <c r="G595" s="1772">
        <f>'8.Dgia'!H2128/100</f>
        <v>2.0999999999999999E-3</v>
      </c>
      <c r="H595" s="1853">
        <f>'9.may'!$P$175</f>
        <v>985099.64727272722</v>
      </c>
      <c r="I595" s="1824">
        <f t="shared" si="1"/>
        <v>2068.7092592727272</v>
      </c>
    </row>
    <row r="596" spans="1:12" ht="15">
      <c r="B596" s="1551" t="str">
        <f>'8.Dgia'!B2129</f>
        <v/>
      </c>
      <c r="C596" s="1555">
        <f>'8.Dgia'!C2129</f>
        <v>0</v>
      </c>
      <c r="D596" s="1552">
        <f>'8.Dgia'!D2129</f>
        <v>0</v>
      </c>
      <c r="E596" s="1775" t="str">
        <f>'8.Dgia'!E2129</f>
        <v>Máy khác</v>
      </c>
      <c r="F596" s="1771" t="str">
        <f>'8.Dgia'!G2129</f>
        <v>%</v>
      </c>
      <c r="G596" s="1772">
        <f>'8.Dgia'!H2129</f>
        <v>0.5</v>
      </c>
      <c r="H596" s="1853">
        <f>SUM(I590:I595)</f>
        <v>24711.462108490909</v>
      </c>
      <c r="I596" s="1824">
        <f>H596*G596%</f>
        <v>123.55731054245454</v>
      </c>
    </row>
    <row r="597" spans="1:12" ht="15">
      <c r="B597" s="1551"/>
      <c r="C597" s="1555"/>
      <c r="D597" s="1552"/>
      <c r="E597" s="1828" t="s">
        <v>5675</v>
      </c>
      <c r="F597" s="1856">
        <f>$J$5</f>
        <v>0.02</v>
      </c>
      <c r="G597" s="1772"/>
      <c r="H597" s="1853"/>
      <c r="I597" s="1863">
        <f>( I586+I588+I589 )*F597</f>
        <v>8785.5303362675513</v>
      </c>
    </row>
    <row r="598" spans="1:12" ht="15">
      <c r="B598" s="1551"/>
      <c r="C598" s="1555"/>
      <c r="D598" s="1552"/>
      <c r="E598" s="1831" t="s">
        <v>5676</v>
      </c>
      <c r="F598" s="1831"/>
      <c r="G598" s="1772"/>
      <c r="H598" s="1853"/>
      <c r="I598" s="1833">
        <f>I597+I597/F597</f>
        <v>448062.04714964511</v>
      </c>
    </row>
    <row r="599" spans="1:12" ht="15">
      <c r="B599" s="1551"/>
      <c r="C599" s="1555"/>
      <c r="D599" s="1552"/>
      <c r="E599" s="1834" t="s">
        <v>5677</v>
      </c>
      <c r="F599" s="1858">
        <f>$K$5</f>
        <v>5.7750000000000003E-2</v>
      </c>
      <c r="G599" s="1772"/>
      <c r="H599" s="1853"/>
      <c r="I599" s="1835">
        <f>I598*F599</f>
        <v>25875.583222892004</v>
      </c>
    </row>
    <row r="600" spans="1:12" ht="15">
      <c r="B600" s="2020"/>
      <c r="C600" s="1555"/>
      <c r="D600" s="1552"/>
      <c r="E600" s="1834" t="s">
        <v>5678</v>
      </c>
      <c r="F600" s="1856">
        <f>$L$5</f>
        <v>0.06</v>
      </c>
      <c r="G600" s="1772"/>
      <c r="H600" s="1853"/>
      <c r="I600" s="1835">
        <f>SUM(I598:I599)*F600</f>
        <v>28436.257822352225</v>
      </c>
    </row>
    <row r="601" spans="1:12" ht="15">
      <c r="B601" s="1551"/>
      <c r="C601" s="1555"/>
      <c r="D601" s="1552"/>
      <c r="E601" s="1831" t="s">
        <v>5679</v>
      </c>
      <c r="F601" s="1831"/>
      <c r="G601" s="1772"/>
      <c r="H601" s="1853"/>
      <c r="I601" s="1833">
        <f>SUM(I598:I600)</f>
        <v>502373.88819488935</v>
      </c>
    </row>
    <row r="602" spans="1:12" ht="15">
      <c r="B602" s="1551"/>
      <c r="C602" s="1555"/>
      <c r="D602" s="1552"/>
      <c r="E602" s="1834" t="s">
        <v>5680</v>
      </c>
      <c r="F602" s="1856">
        <f>$M$5</f>
        <v>0.1</v>
      </c>
      <c r="G602" s="1772"/>
      <c r="H602" s="1853"/>
      <c r="I602" s="1835">
        <f>I601*F602</f>
        <v>50237.388819488937</v>
      </c>
    </row>
    <row r="603" spans="1:12" ht="15">
      <c r="B603" s="1551"/>
      <c r="C603" s="1555"/>
      <c r="D603" s="1552"/>
      <c r="E603" s="1831" t="s">
        <v>5681</v>
      </c>
      <c r="F603" s="1831"/>
      <c r="G603" s="1772"/>
      <c r="H603" s="1853"/>
      <c r="I603" s="1833">
        <f>SUM(I601:I602)</f>
        <v>552611.27701437834</v>
      </c>
    </row>
    <row r="604" spans="1:12" ht="12.75">
      <c r="B604" s="1551"/>
      <c r="C604" s="1555"/>
      <c r="D604" s="1552"/>
      <c r="E604" s="1558" t="s">
        <v>5682</v>
      </c>
      <c r="F604" s="1595">
        <f>$N$5</f>
        <v>0.01</v>
      </c>
      <c r="G604" s="1553"/>
      <c r="H604" s="1594"/>
      <c r="I604" s="1559">
        <f>I603*F604</f>
        <v>5526.1127701437836</v>
      </c>
    </row>
    <row r="605" spans="1:12" ht="15">
      <c r="B605" s="1596"/>
      <c r="C605" s="1597"/>
      <c r="D605" s="1597"/>
      <c r="E605" s="1859" t="s">
        <v>5683</v>
      </c>
      <c r="F605" s="1859"/>
      <c r="G605" s="1860"/>
      <c r="H605" s="1861"/>
      <c r="I605" s="1862">
        <f>ROUND(I603+I604,-2)</f>
        <v>558100</v>
      </c>
    </row>
    <row r="606" spans="1:12" ht="15">
      <c r="A606" s="657">
        <v>1</v>
      </c>
      <c r="B606" s="1549">
        <f>IF(A606&lt;&gt;0,COUNTA(A$7:$A606),"")</f>
        <v>36</v>
      </c>
      <c r="C606" s="1555">
        <f>'8.Dgia'!C2138</f>
        <v>1776</v>
      </c>
      <c r="D606" s="1696" t="str">
        <f>'8.Dgia'!D2138</f>
        <v>AB.21131</v>
      </c>
      <c r="E606" s="1848" t="str">
        <f>'8.Dgia'!E2138</f>
        <v>Đào nền đường (vét hữu cơ)</v>
      </c>
      <c r="F606" s="1849" t="s">
        <v>545</v>
      </c>
      <c r="G606" s="1850">
        <f>'8.Dgia'!H2138</f>
        <v>0</v>
      </c>
      <c r="H606" s="1851"/>
      <c r="I606" s="1852"/>
      <c r="K606" s="842">
        <f>+I607</f>
        <v>995.77499999999998</v>
      </c>
      <c r="L606" s="842">
        <f>+I608</f>
        <v>7353.647977270909</v>
      </c>
    </row>
    <row r="607" spans="1:12" ht="15">
      <c r="B607" s="1551" t="str">
        <f>'8.Dgia'!B2139</f>
        <v/>
      </c>
      <c r="C607" s="1555">
        <f>'8.Dgia'!C2139</f>
        <v>0</v>
      </c>
      <c r="D607" s="1552">
        <f>'8.Dgia'!D2139</f>
        <v>0</v>
      </c>
      <c r="E607" s="1775" t="str">
        <f>'8.Dgia'!E2139</f>
        <v xml:space="preserve">  B - Nhân công 3.0/7</v>
      </c>
      <c r="F607" s="1771" t="s">
        <v>552</v>
      </c>
      <c r="G607" s="1772">
        <f>'8.Dgia'!H2139/100</f>
        <v>5.0000000000000001E-3</v>
      </c>
      <c r="H607" s="1853">
        <f>'16.NC'!$G$13</f>
        <v>199155</v>
      </c>
      <c r="I607" s="1854">
        <f>H607*G607</f>
        <v>995.77499999999998</v>
      </c>
    </row>
    <row r="608" spans="1:12" ht="15">
      <c r="B608" s="1551" t="str">
        <f>'8.Dgia'!B2140</f>
        <v/>
      </c>
      <c r="C608" s="1555">
        <f>'8.Dgia'!C2140</f>
        <v>0</v>
      </c>
      <c r="D608" s="1552">
        <f>'8.Dgia'!D2140</f>
        <v>0</v>
      </c>
      <c r="E608" s="1775" t="str">
        <f>'8.Dgia'!E2140</f>
        <v xml:space="preserve">  C - Máy thi công</v>
      </c>
      <c r="F608" s="1771">
        <f>'8.Dgia'!G2140</f>
        <v>0</v>
      </c>
      <c r="G608" s="1772">
        <f>'8.Dgia'!H2140/100</f>
        <v>0</v>
      </c>
      <c r="H608" s="1853"/>
      <c r="I608" s="1854">
        <f>SUM(I609:I610)</f>
        <v>7353.647977270909</v>
      </c>
    </row>
    <row r="609" spans="1:12" ht="15">
      <c r="B609" s="1551" t="str">
        <f>'8.Dgia'!B2141</f>
        <v/>
      </c>
      <c r="C609" s="1555">
        <f>'8.Dgia'!C2141</f>
        <v>0</v>
      </c>
      <c r="D609" s="1552">
        <f>'8.Dgia'!D2141</f>
        <v>0</v>
      </c>
      <c r="E609" s="1775" t="str">
        <f>'8.Dgia'!E2141</f>
        <v>Máy đào 1.25m3</v>
      </c>
      <c r="F609" s="1771" t="s">
        <v>5493</v>
      </c>
      <c r="G609" s="1772">
        <f>'8.Dgia'!H2141/100</f>
        <v>1.89E-3</v>
      </c>
      <c r="H609" s="1853">
        <f>'9.may'!$P$28</f>
        <v>3579797.9165454544</v>
      </c>
      <c r="I609" s="1824">
        <f>H609*G609</f>
        <v>6765.8180622709087</v>
      </c>
    </row>
    <row r="610" spans="1:12" ht="15">
      <c r="B610" s="1551" t="str">
        <f>'8.Dgia'!B2142</f>
        <v/>
      </c>
      <c r="C610" s="1555">
        <f>'8.Dgia'!C2142</f>
        <v>0</v>
      </c>
      <c r="D610" s="1552">
        <f>'8.Dgia'!D2142</f>
        <v>0</v>
      </c>
      <c r="E610" s="1775" t="str">
        <f>'8.Dgia'!E2142</f>
        <v>Máy ủi 110CV</v>
      </c>
      <c r="F610" s="1771" t="s">
        <v>5493</v>
      </c>
      <c r="G610" s="1772">
        <f>'8.Dgia'!H2142/100</f>
        <v>2.9999999999999997E-4</v>
      </c>
      <c r="H610" s="1853">
        <f>'9.may'!$P$70</f>
        <v>1959433.0499999998</v>
      </c>
      <c r="I610" s="1824">
        <f>H610*G610</f>
        <v>587.82991499999991</v>
      </c>
    </row>
    <row r="611" spans="1:12" ht="15">
      <c r="B611" s="1551"/>
      <c r="C611" s="1555"/>
      <c r="D611" s="1552"/>
      <c r="E611" s="1828" t="s">
        <v>5675</v>
      </c>
      <c r="F611" s="1856">
        <f>$J$5</f>
        <v>0.02</v>
      </c>
      <c r="G611" s="1772"/>
      <c r="H611" s="1853"/>
      <c r="I611" s="1863">
        <f>( I607+I608 )*F611</f>
        <v>166.98845954541818</v>
      </c>
    </row>
    <row r="612" spans="1:12" ht="15">
      <c r="B612" s="1551"/>
      <c r="C612" s="1555"/>
      <c r="D612" s="1552"/>
      <c r="E612" s="1831" t="s">
        <v>5676</v>
      </c>
      <c r="F612" s="1831"/>
      <c r="G612" s="1772"/>
      <c r="H612" s="1853"/>
      <c r="I612" s="1833">
        <f>I611+I611/F611</f>
        <v>8516.4114368163282</v>
      </c>
    </row>
    <row r="613" spans="1:12" ht="15">
      <c r="B613" s="1551"/>
      <c r="C613" s="1555"/>
      <c r="D613" s="1552"/>
      <c r="E613" s="1834" t="s">
        <v>5677</v>
      </c>
      <c r="F613" s="1858">
        <f>$K$5</f>
        <v>5.7750000000000003E-2</v>
      </c>
      <c r="G613" s="1772"/>
      <c r="H613" s="1853"/>
      <c r="I613" s="1835">
        <f>I612*F613</f>
        <v>491.822760476143</v>
      </c>
    </row>
    <row r="614" spans="1:12" ht="15">
      <c r="B614" s="1551"/>
      <c r="C614" s="1555"/>
      <c r="D614" s="1552"/>
      <c r="E614" s="1834" t="s">
        <v>5678</v>
      </c>
      <c r="F614" s="1856">
        <f>$L$5</f>
        <v>0.06</v>
      </c>
      <c r="G614" s="1772"/>
      <c r="H614" s="1853"/>
      <c r="I614" s="1835">
        <f>SUM(I612:I613)*F614</f>
        <v>540.49405183754823</v>
      </c>
    </row>
    <row r="615" spans="1:12" ht="15">
      <c r="B615" s="1551"/>
      <c r="C615" s="1555"/>
      <c r="D615" s="1552"/>
      <c r="E615" s="1831" t="s">
        <v>5679</v>
      </c>
      <c r="F615" s="1831"/>
      <c r="G615" s="1772"/>
      <c r="H615" s="1853"/>
      <c r="I615" s="1833">
        <f>SUM(I612:I614)</f>
        <v>9548.7282491300193</v>
      </c>
    </row>
    <row r="616" spans="1:12" ht="15">
      <c r="B616" s="1551"/>
      <c r="C616" s="1555"/>
      <c r="D616" s="1552"/>
      <c r="E616" s="1834" t="s">
        <v>5680</v>
      </c>
      <c r="F616" s="1856">
        <f>$M$5</f>
        <v>0.1</v>
      </c>
      <c r="G616" s="1772"/>
      <c r="H616" s="1853"/>
      <c r="I616" s="1835">
        <f>I615*F616</f>
        <v>954.87282491300198</v>
      </c>
    </row>
    <row r="617" spans="1:12" ht="15">
      <c r="B617" s="1551"/>
      <c r="C617" s="1555"/>
      <c r="D617" s="1552"/>
      <c r="E617" s="1831" t="s">
        <v>5681</v>
      </c>
      <c r="F617" s="1831"/>
      <c r="G617" s="1772"/>
      <c r="H617" s="1853"/>
      <c r="I617" s="1833">
        <f>SUM(I615:I616)</f>
        <v>10503.601074043021</v>
      </c>
    </row>
    <row r="618" spans="1:12" ht="12.75">
      <c r="B618" s="1551"/>
      <c r="C618" s="1555"/>
      <c r="D618" s="1552"/>
      <c r="E618" s="1558" t="s">
        <v>5682</v>
      </c>
      <c r="F618" s="1595">
        <f>$N$5</f>
        <v>0.01</v>
      </c>
      <c r="G618" s="1553"/>
      <c r="H618" s="1594"/>
      <c r="I618" s="1559">
        <f>I617*F618</f>
        <v>105.03601074043021</v>
      </c>
    </row>
    <row r="619" spans="1:12" ht="15">
      <c r="B619" s="1596"/>
      <c r="C619" s="1597"/>
      <c r="D619" s="1597"/>
      <c r="E619" s="1859" t="s">
        <v>5683</v>
      </c>
      <c r="F619" s="1859"/>
      <c r="G619" s="1860"/>
      <c r="H619" s="1861"/>
      <c r="I619" s="1862">
        <f>ROUND(I617+I618,-2)</f>
        <v>10600</v>
      </c>
    </row>
    <row r="620" spans="1:12" ht="15">
      <c r="A620" s="657">
        <v>1</v>
      </c>
      <c r="B620" s="1549">
        <f>IF(A620&lt;&gt;0,COUNTA(A$7:$A620),"")</f>
        <v>37</v>
      </c>
      <c r="C620" s="1555">
        <f>'8.Dgia'!C2143</f>
        <v>1776</v>
      </c>
      <c r="D620" s="1696" t="str">
        <f>'8.Dgia'!D2143</f>
        <v>AD.24213</v>
      </c>
      <c r="E620" s="1848" t="str">
        <f>'8.Dgia'!E2143</f>
        <v>Tưới nhựa 1.0kg/m2</v>
      </c>
      <c r="F620" s="1849" t="s">
        <v>548</v>
      </c>
      <c r="G620" s="1850">
        <f>'8.Dgia'!H2143</f>
        <v>0</v>
      </c>
      <c r="H620" s="1893"/>
      <c r="I620" s="1894"/>
      <c r="J620" s="842">
        <f>+I621</f>
        <v>46858.605015673988</v>
      </c>
      <c r="K620" s="842">
        <f>+I624</f>
        <v>675.79079999999999</v>
      </c>
      <c r="L620" s="842">
        <f>+I625</f>
        <v>2909.3991583363631</v>
      </c>
    </row>
    <row r="621" spans="1:12" ht="15">
      <c r="B621" s="1551" t="str">
        <f>'8.Dgia'!B2144</f>
        <v/>
      </c>
      <c r="C621" s="1555">
        <f>'8.Dgia'!C2144</f>
        <v>0</v>
      </c>
      <c r="D621" s="1552">
        <f>'8.Dgia'!D2144</f>
        <v>0</v>
      </c>
      <c r="E621" s="2018" t="str">
        <f>'8.Dgia'!E2144</f>
        <v xml:space="preserve">  A - Vật liệu</v>
      </c>
      <c r="F621" s="1771">
        <f>'8.Dgia'!G2144</f>
        <v>0</v>
      </c>
      <c r="G621" s="1772">
        <f>'8.Dgia'!H2144</f>
        <v>0</v>
      </c>
      <c r="H621" s="1855"/>
      <c r="I621" s="1854">
        <f>SUM(I622:I623)</f>
        <v>46858.605015673988</v>
      </c>
    </row>
    <row r="622" spans="1:12" ht="15">
      <c r="B622" s="1551" t="str">
        <f>'8.Dgia'!B2145</f>
        <v/>
      </c>
      <c r="C622" s="1555">
        <f>'8.Dgia'!C2145</f>
        <v>0</v>
      </c>
      <c r="D622" s="1552">
        <f>'8.Dgia'!D2145</f>
        <v>0</v>
      </c>
      <c r="E622" s="1775" t="str">
        <f>'8.Dgia'!E2145</f>
        <v>Nhựa bitum</v>
      </c>
      <c r="F622" s="1771" t="str">
        <f>'8.Dgia'!G2145</f>
        <v>kg</v>
      </c>
      <c r="G622" s="1772">
        <f>'8.Dgia'!H2145/100</f>
        <v>0.78650000000000009</v>
      </c>
      <c r="H622" s="1855">
        <f>GVL!$I$126</f>
        <v>50000</v>
      </c>
      <c r="I622" s="1824">
        <f>H622*G622</f>
        <v>39325.000000000007</v>
      </c>
    </row>
    <row r="623" spans="1:12" ht="15">
      <c r="B623" s="1551" t="str">
        <f>'8.Dgia'!B2146</f>
        <v/>
      </c>
      <c r="C623" s="1555">
        <f>'8.Dgia'!C2146</f>
        <v>0</v>
      </c>
      <c r="D623" s="1552">
        <f>'8.Dgia'!D2146</f>
        <v>0</v>
      </c>
      <c r="E623" s="1775" t="str">
        <f>'8.Dgia'!E2146</f>
        <v>Dầu hỏa</v>
      </c>
      <c r="F623" s="1771" t="str">
        <f>'8.Dgia'!G2146</f>
        <v>kg</v>
      </c>
      <c r="G623" s="1772">
        <f>'8.Dgia'!H2146/100</f>
        <v>0.32100000000000001</v>
      </c>
      <c r="H623" s="1855">
        <f>GVL!$I$74</f>
        <v>23469.174503657261</v>
      </c>
      <c r="I623" s="1824">
        <f>H623*G623</f>
        <v>7533.6050156739811</v>
      </c>
    </row>
    <row r="624" spans="1:12" ht="15">
      <c r="B624" s="1551" t="str">
        <f>'8.Dgia'!B2147</f>
        <v/>
      </c>
      <c r="C624" s="1555">
        <f>'8.Dgia'!C2147</f>
        <v>0</v>
      </c>
      <c r="D624" s="1552">
        <f>'8.Dgia'!D2147</f>
        <v>0</v>
      </c>
      <c r="E624" s="1775" t="str">
        <f>'8.Dgia'!E2147</f>
        <v xml:space="preserve">  B - Nhân công 3.5/7</v>
      </c>
      <c r="F624" s="1771" t="s">
        <v>552</v>
      </c>
      <c r="G624" s="1772">
        <f>'8.Dgia'!H2147/100</f>
        <v>3.14E-3</v>
      </c>
      <c r="H624" s="1853">
        <f>'16.NC'!$G$16</f>
        <v>215220</v>
      </c>
      <c r="I624" s="1854">
        <f>H624*G624</f>
        <v>675.79079999999999</v>
      </c>
    </row>
    <row r="625" spans="1:12" ht="15">
      <c r="B625" s="1551" t="str">
        <f>'8.Dgia'!B2148</f>
        <v/>
      </c>
      <c r="C625" s="1555">
        <f>'8.Dgia'!C2148</f>
        <v>0</v>
      </c>
      <c r="D625" s="1552">
        <f>'8.Dgia'!D2148</f>
        <v>0</v>
      </c>
      <c r="E625" s="1775" t="str">
        <f>'8.Dgia'!E2148</f>
        <v xml:space="preserve">  C - Máy thi công</v>
      </c>
      <c r="F625" s="1771">
        <f>'8.Dgia'!G2148</f>
        <v>0</v>
      </c>
      <c r="G625" s="1772">
        <f>'8.Dgia'!H2148/100</f>
        <v>0</v>
      </c>
      <c r="H625" s="1853"/>
      <c r="I625" s="1854">
        <f>SUM(I626:I628)</f>
        <v>2909.3991583363631</v>
      </c>
    </row>
    <row r="626" spans="1:12" ht="15">
      <c r="B626" s="1551" t="str">
        <f>'8.Dgia'!B2149</f>
        <v/>
      </c>
      <c r="C626" s="1555">
        <f>'8.Dgia'!C2149</f>
        <v>0</v>
      </c>
      <c r="D626" s="1552">
        <f>'8.Dgia'!D2149</f>
        <v>0</v>
      </c>
      <c r="E626" s="1775" t="str">
        <f>'8.Dgia'!E2149</f>
        <v>Thiết bị nấu nhựa</v>
      </c>
      <c r="F626" s="1771" t="s">
        <v>5493</v>
      </c>
      <c r="G626" s="1772">
        <f>'8.Dgia'!H2149/100</f>
        <v>4.8999999999999998E-4</v>
      </c>
      <c r="H626" s="1853">
        <f>'9.may'!$P$412</f>
        <v>70884.210000000006</v>
      </c>
      <c r="I626" s="1824">
        <f>H626*G626</f>
        <v>34.7332629</v>
      </c>
    </row>
    <row r="627" spans="1:12" ht="17.25" customHeight="1">
      <c r="B627" s="1551" t="str">
        <f>'8.Dgia'!B2150</f>
        <v/>
      </c>
      <c r="C627" s="1555">
        <f>'8.Dgia'!C2150</f>
        <v>0</v>
      </c>
      <c r="D627" s="1552">
        <f>'8.Dgia'!D2150</f>
        <v>0</v>
      </c>
      <c r="E627" s="1775" t="str">
        <f>'8.Dgia'!E2150</f>
        <v>Máy phun nhựa đường - công suất 190CV</v>
      </c>
      <c r="F627" s="1771" t="s">
        <v>5493</v>
      </c>
      <c r="G627" s="1772">
        <f>'8.Dgia'!H2150/100</f>
        <v>9.7999999999999997E-4</v>
      </c>
      <c r="H627" s="1853">
        <f>'9.may'!$P$405</f>
        <v>2271696.4690909088</v>
      </c>
      <c r="I627" s="1824">
        <f>H627*G627</f>
        <v>2226.2625397090906</v>
      </c>
    </row>
    <row r="628" spans="1:12" ht="15">
      <c r="B628" s="1551" t="str">
        <f>'8.Dgia'!B2151</f>
        <v/>
      </c>
      <c r="C628" s="1555">
        <f>'8.Dgia'!C2151</f>
        <v>0</v>
      </c>
      <c r="D628" s="1552">
        <f>'8.Dgia'!D2151</f>
        <v>0</v>
      </c>
      <c r="E628" s="1775" t="str">
        <f>'8.Dgia'!E2151</f>
        <v>Máy nén khí 600m3/h</v>
      </c>
      <c r="F628" s="1771" t="s">
        <v>5493</v>
      </c>
      <c r="G628" s="1772">
        <f>'8.Dgia'!H2151/100</f>
        <v>4.8999999999999998E-4</v>
      </c>
      <c r="H628" s="1853">
        <f>'9.may'!$P$488</f>
        <v>1323272.1545454543</v>
      </c>
      <c r="I628" s="1824">
        <f>H628*G628</f>
        <v>648.40335572727258</v>
      </c>
    </row>
    <row r="629" spans="1:12" ht="15">
      <c r="B629" s="1551"/>
      <c r="C629" s="1555"/>
      <c r="D629" s="1552"/>
      <c r="E629" s="1828" t="s">
        <v>5675</v>
      </c>
      <c r="F629" s="1856">
        <f>$J$5</f>
        <v>0.02</v>
      </c>
      <c r="G629" s="1772"/>
      <c r="H629" s="1853"/>
      <c r="I629" s="1863">
        <f>( I621+I624+I625 )*F629</f>
        <v>1008.8758994802071</v>
      </c>
    </row>
    <row r="630" spans="1:12" ht="15">
      <c r="B630" s="1551"/>
      <c r="C630" s="1555"/>
      <c r="D630" s="1552"/>
      <c r="E630" s="1831" t="s">
        <v>5676</v>
      </c>
      <c r="F630" s="1831"/>
      <c r="G630" s="1772"/>
      <c r="H630" s="1853"/>
      <c r="I630" s="1833">
        <f>I629+I629/F629</f>
        <v>51452.670873490555</v>
      </c>
    </row>
    <row r="631" spans="1:12" ht="15">
      <c r="B631" s="1551"/>
      <c r="C631" s="1555"/>
      <c r="D631" s="1552"/>
      <c r="E631" s="1834" t="s">
        <v>5677</v>
      </c>
      <c r="F631" s="1858">
        <f>$K$5</f>
        <v>5.7750000000000003E-2</v>
      </c>
      <c r="G631" s="1772"/>
      <c r="H631" s="1853"/>
      <c r="I631" s="1835">
        <f>I630*F631</f>
        <v>2971.3917429440799</v>
      </c>
    </row>
    <row r="632" spans="1:12" ht="15">
      <c r="B632" s="2020"/>
      <c r="C632" s="1555"/>
      <c r="D632" s="1552"/>
      <c r="E632" s="1834" t="s">
        <v>5678</v>
      </c>
      <c r="F632" s="1856">
        <f>$L$5</f>
        <v>0.06</v>
      </c>
      <c r="G632" s="1772"/>
      <c r="H632" s="1853"/>
      <c r="I632" s="1835">
        <f>SUM(I630:I631)*F632</f>
        <v>3265.4437569860779</v>
      </c>
    </row>
    <row r="633" spans="1:12" ht="15">
      <c r="B633" s="1551"/>
      <c r="C633" s="1555"/>
      <c r="D633" s="1552"/>
      <c r="E633" s="1831" t="s">
        <v>5679</v>
      </c>
      <c r="F633" s="1831"/>
      <c r="G633" s="1772"/>
      <c r="H633" s="1853"/>
      <c r="I633" s="1833">
        <f>SUM(I630:I632)</f>
        <v>57689.506373420707</v>
      </c>
    </row>
    <row r="634" spans="1:12" ht="15">
      <c r="B634" s="1551"/>
      <c r="C634" s="1555"/>
      <c r="D634" s="1552"/>
      <c r="E634" s="1834" t="s">
        <v>5680</v>
      </c>
      <c r="F634" s="1856">
        <f>$M$5</f>
        <v>0.1</v>
      </c>
      <c r="G634" s="1772"/>
      <c r="H634" s="1853"/>
      <c r="I634" s="1835">
        <f>I633*F634</f>
        <v>5768.9506373420709</v>
      </c>
    </row>
    <row r="635" spans="1:12" ht="15">
      <c r="B635" s="1551"/>
      <c r="C635" s="1555"/>
      <c r="D635" s="1552"/>
      <c r="E635" s="1831" t="s">
        <v>5681</v>
      </c>
      <c r="F635" s="1831"/>
      <c r="G635" s="1772"/>
      <c r="H635" s="1853"/>
      <c r="I635" s="1833">
        <f>SUM(I633:I634)</f>
        <v>63458.457010762781</v>
      </c>
    </row>
    <row r="636" spans="1:12" ht="12.75">
      <c r="B636" s="1551"/>
      <c r="C636" s="1555"/>
      <c r="D636" s="1552"/>
      <c r="E636" s="1558" t="s">
        <v>5682</v>
      </c>
      <c r="F636" s="1595">
        <f>$N$5</f>
        <v>0.01</v>
      </c>
      <c r="G636" s="1553"/>
      <c r="H636" s="1594"/>
      <c r="I636" s="1559">
        <f>I635*F636</f>
        <v>634.58457010762777</v>
      </c>
    </row>
    <row r="637" spans="1:12" ht="15">
      <c r="B637" s="1596"/>
      <c r="C637" s="1597"/>
      <c r="D637" s="1597"/>
      <c r="E637" s="1859" t="s">
        <v>5683</v>
      </c>
      <c r="F637" s="1859"/>
      <c r="G637" s="1860"/>
      <c r="H637" s="1861"/>
      <c r="I637" s="1862">
        <f>ROUND(I635+I636,-2)</f>
        <v>64100</v>
      </c>
    </row>
    <row r="638" spans="1:12" ht="15">
      <c r="A638" s="657">
        <v>1</v>
      </c>
      <c r="B638" s="1549">
        <f>IF(A638&lt;&gt;0,COUNTA(A$7:$A638),"")</f>
        <v>38</v>
      </c>
      <c r="C638" s="1555">
        <f>'8.Dgia'!C2152</f>
        <v>1776</v>
      </c>
      <c r="D638" s="1696" t="str">
        <f>'8.Dgia'!D2152</f>
        <v>AD.23225</v>
      </c>
      <c r="E638" s="1848" t="str">
        <f>'8.Dgia'!E2152</f>
        <v>Trải bê tông nhựa hạt trung dày 7cm</v>
      </c>
      <c r="F638" s="1849" t="s">
        <v>548</v>
      </c>
      <c r="G638" s="1850">
        <f>'8.Dgia'!H2152</f>
        <v>0</v>
      </c>
      <c r="H638" s="1851"/>
      <c r="I638" s="1823"/>
      <c r="K638" s="842">
        <f>+I639</f>
        <v>5918.7539999999999</v>
      </c>
      <c r="L638" s="842">
        <f>+I640</f>
        <v>4773.2899112613813</v>
      </c>
    </row>
    <row r="639" spans="1:12" ht="15">
      <c r="B639" s="1551" t="str">
        <f>'8.Dgia'!B2153</f>
        <v/>
      </c>
      <c r="C639" s="1555">
        <f>'8.Dgia'!C2153</f>
        <v>0</v>
      </c>
      <c r="D639" s="1552">
        <f>'8.Dgia'!D2153</f>
        <v>0</v>
      </c>
      <c r="E639" s="1775" t="str">
        <f>'8.Dgia'!E2153</f>
        <v xml:space="preserve">  B - Nhân công 4.0/7</v>
      </c>
      <c r="F639" s="1771" t="s">
        <v>552</v>
      </c>
      <c r="G639" s="1772">
        <f>'8.Dgia'!H2153/100</f>
        <v>2.5499999999999998E-2</v>
      </c>
      <c r="H639" s="1853">
        <f>'16.NC'!$G$18</f>
        <v>232108</v>
      </c>
      <c r="I639" s="1854">
        <f>H639*G639</f>
        <v>5918.7539999999999</v>
      </c>
    </row>
    <row r="640" spans="1:12" ht="15">
      <c r="B640" s="1551" t="str">
        <f>'8.Dgia'!B2154</f>
        <v/>
      </c>
      <c r="C640" s="1555">
        <f>'8.Dgia'!C2154</f>
        <v>0</v>
      </c>
      <c r="D640" s="1552">
        <f>'8.Dgia'!D2154</f>
        <v>0</v>
      </c>
      <c r="E640" s="1775" t="str">
        <f>'8.Dgia'!E2154</f>
        <v xml:space="preserve">  C - Máy thi công</v>
      </c>
      <c r="F640" s="1771">
        <f>'8.Dgia'!G2154</f>
        <v>0</v>
      </c>
      <c r="G640" s="1772">
        <f>'8.Dgia'!H2154/100</f>
        <v>0</v>
      </c>
      <c r="H640" s="1853"/>
      <c r="I640" s="1854">
        <f>SUM(I641:I644)</f>
        <v>4773.2899112613813</v>
      </c>
    </row>
    <row r="641" spans="1:12" ht="15">
      <c r="B641" s="1551" t="str">
        <f>'8.Dgia'!B2155</f>
        <v/>
      </c>
      <c r="C641" s="1555">
        <f>'8.Dgia'!C2155</f>
        <v>0</v>
      </c>
      <c r="D641" s="1552">
        <f>'8.Dgia'!D2155</f>
        <v>0</v>
      </c>
      <c r="E641" s="1775" t="str">
        <f>'8.Dgia'!E2155</f>
        <v>Máy rải 130-140cv</v>
      </c>
      <c r="F641" s="1771" t="s">
        <v>5493</v>
      </c>
      <c r="G641" s="1772">
        <f>'8.Dgia'!H2155/100</f>
        <v>6.0800000000000003E-4</v>
      </c>
      <c r="H641" s="1853">
        <f>'9.may'!$P$752</f>
        <v>4352684.9563636361</v>
      </c>
      <c r="I641" s="1824">
        <f>H641*G641</f>
        <v>2646.4324534690909</v>
      </c>
    </row>
    <row r="642" spans="1:12" ht="15">
      <c r="B642" s="1551" t="str">
        <f>'8.Dgia'!B2156</f>
        <v/>
      </c>
      <c r="C642" s="1555">
        <f>'8.Dgia'!C2156</f>
        <v>0</v>
      </c>
      <c r="D642" s="1552">
        <f>'8.Dgia'!D2156</f>
        <v>0</v>
      </c>
      <c r="E642" s="1775" t="str">
        <f>'8.Dgia'!E2156</f>
        <v>Máy lu bánh thép 10T</v>
      </c>
      <c r="F642" s="1771" t="s">
        <v>5493</v>
      </c>
      <c r="G642" s="1772">
        <f>'8.Dgia'!H2156/100</f>
        <v>1.1999999999999999E-3</v>
      </c>
      <c r="H642" s="1853">
        <f>'9.may'!$P$122</f>
        <v>950702.42999999993</v>
      </c>
      <c r="I642" s="1824">
        <f>H642*G642</f>
        <v>1140.8429159999998</v>
      </c>
    </row>
    <row r="643" spans="1:12" ht="15">
      <c r="B643" s="1551" t="str">
        <f>'8.Dgia'!B2157</f>
        <v/>
      </c>
      <c r="C643" s="1555">
        <f>'8.Dgia'!C2157</f>
        <v>0</v>
      </c>
      <c r="D643" s="1552">
        <f>'8.Dgia'!D2157</f>
        <v>0</v>
      </c>
      <c r="E643" s="1775" t="str">
        <f>'8.Dgia'!E2157</f>
        <v>Lu bánh lốp 16T</v>
      </c>
      <c r="F643" s="1771" t="s">
        <v>5493</v>
      </c>
      <c r="G643" s="1772">
        <f>'8.Dgia'!H2157/100</f>
        <v>6.4000000000000005E-4</v>
      </c>
      <c r="H643" s="1853">
        <f>'9.may'!$P$109</f>
        <v>1394407.2218181817</v>
      </c>
      <c r="I643" s="1824">
        <f>H643*G643</f>
        <v>892.42062196363634</v>
      </c>
    </row>
    <row r="644" spans="1:12" ht="15">
      <c r="B644" s="1551" t="str">
        <f>'8.Dgia'!B2158</f>
        <v/>
      </c>
      <c r="C644" s="1555">
        <f>'8.Dgia'!C2158</f>
        <v>0</v>
      </c>
      <c r="D644" s="1552">
        <f>'8.Dgia'!D2158</f>
        <v>0</v>
      </c>
      <c r="E644" s="1775" t="str">
        <f>'8.Dgia'!E2158</f>
        <v>Máy khác</v>
      </c>
      <c r="F644" s="1771" t="str">
        <f>'8.Dgia'!G2158</f>
        <v>%</v>
      </c>
      <c r="G644" s="1772">
        <f>'8.Dgia'!H2158</f>
        <v>2</v>
      </c>
      <c r="H644" s="1853">
        <f>+SUM(I641:I643)</f>
        <v>4679.6959914327272</v>
      </c>
      <c r="I644" s="1824">
        <f>H644*G644%</f>
        <v>93.593919828654549</v>
      </c>
    </row>
    <row r="645" spans="1:12" ht="15">
      <c r="B645" s="1551"/>
      <c r="C645" s="1555"/>
      <c r="D645" s="1552"/>
      <c r="E645" s="1828" t="s">
        <v>5675</v>
      </c>
      <c r="F645" s="1856">
        <f>$J$5</f>
        <v>0.02</v>
      </c>
      <c r="G645" s="1772"/>
      <c r="H645" s="1853"/>
      <c r="I645" s="1863">
        <f>( I639+I640 )*F645</f>
        <v>213.84087822522764</v>
      </c>
    </row>
    <row r="646" spans="1:12" ht="15">
      <c r="B646" s="1551"/>
      <c r="C646" s="1555"/>
      <c r="D646" s="1552"/>
      <c r="E646" s="1831" t="s">
        <v>5676</v>
      </c>
      <c r="F646" s="1831"/>
      <c r="G646" s="1772"/>
      <c r="H646" s="1853"/>
      <c r="I646" s="1833">
        <f>I645+I645/F645</f>
        <v>10905.88478948661</v>
      </c>
    </row>
    <row r="647" spans="1:12" ht="15">
      <c r="B647" s="1551"/>
      <c r="C647" s="1555"/>
      <c r="D647" s="1552"/>
      <c r="E647" s="1834" t="s">
        <v>5677</v>
      </c>
      <c r="F647" s="1858">
        <f>$K$5</f>
        <v>5.7750000000000003E-2</v>
      </c>
      <c r="G647" s="1772"/>
      <c r="H647" s="1853"/>
      <c r="I647" s="1835">
        <f>I646*F647</f>
        <v>629.81484659285172</v>
      </c>
    </row>
    <row r="648" spans="1:12" ht="15">
      <c r="B648" s="1551"/>
      <c r="C648" s="1555"/>
      <c r="D648" s="1552"/>
      <c r="E648" s="1834" t="s">
        <v>5678</v>
      </c>
      <c r="F648" s="1856">
        <f>$L$5</f>
        <v>0.06</v>
      </c>
      <c r="G648" s="1772"/>
      <c r="H648" s="1853"/>
      <c r="I648" s="1835">
        <f>SUM(I646:I647)*F648</f>
        <v>692.14197816476769</v>
      </c>
    </row>
    <row r="649" spans="1:12" ht="15">
      <c r="B649" s="2020"/>
      <c r="C649" s="1555"/>
      <c r="D649" s="1552"/>
      <c r="E649" s="1831" t="s">
        <v>5679</v>
      </c>
      <c r="F649" s="1831"/>
      <c r="G649" s="1772"/>
      <c r="H649" s="1853"/>
      <c r="I649" s="1833">
        <f>SUM(I646:I648)</f>
        <v>12227.841614244229</v>
      </c>
    </row>
    <row r="650" spans="1:12" ht="15">
      <c r="B650" s="1551"/>
      <c r="C650" s="1555"/>
      <c r="D650" s="1552"/>
      <c r="E650" s="1834" t="s">
        <v>5680</v>
      </c>
      <c r="F650" s="1856">
        <f>$M$5</f>
        <v>0.1</v>
      </c>
      <c r="G650" s="1772"/>
      <c r="H650" s="1853"/>
      <c r="I650" s="1835">
        <f>I649*F650</f>
        <v>1222.784161424423</v>
      </c>
    </row>
    <row r="651" spans="1:12" ht="15">
      <c r="B651" s="1551"/>
      <c r="C651" s="1555"/>
      <c r="D651" s="1552"/>
      <c r="E651" s="1831" t="s">
        <v>5681</v>
      </c>
      <c r="F651" s="1831"/>
      <c r="G651" s="1772"/>
      <c r="H651" s="1853"/>
      <c r="I651" s="1833">
        <f>SUM(I649:I650)</f>
        <v>13450.625775668652</v>
      </c>
    </row>
    <row r="652" spans="1:12" ht="12.75">
      <c r="B652" s="1551"/>
      <c r="C652" s="1555"/>
      <c r="D652" s="1552"/>
      <c r="E652" s="1558" t="s">
        <v>5682</v>
      </c>
      <c r="F652" s="1595">
        <f>$N$5</f>
        <v>0.01</v>
      </c>
      <c r="G652" s="1553"/>
      <c r="H652" s="1594"/>
      <c r="I652" s="1559">
        <f>I651*F652</f>
        <v>134.50625775668652</v>
      </c>
    </row>
    <row r="653" spans="1:12" ht="15">
      <c r="B653" s="1596"/>
      <c r="C653" s="1597"/>
      <c r="D653" s="1597"/>
      <c r="E653" s="1859" t="s">
        <v>5683</v>
      </c>
      <c r="F653" s="1859"/>
      <c r="G653" s="1860"/>
      <c r="H653" s="1861"/>
      <c r="I653" s="1862">
        <f>ROUND(I651+I652,-2)</f>
        <v>13600</v>
      </c>
    </row>
    <row r="654" spans="1:12" ht="15">
      <c r="A654" s="657">
        <v>1</v>
      </c>
      <c r="B654" s="1549">
        <f>IF(A654&lt;&gt;0,COUNTA(A$7:$A654),"")</f>
        <v>39</v>
      </c>
      <c r="C654" s="1472">
        <f>'8.Dgia'!C2159</f>
        <v>1776</v>
      </c>
      <c r="D654" s="1694" t="str">
        <f>'8.Dgia'!D2159</f>
        <v>AD.26222</v>
      </c>
      <c r="E654" s="1877" t="str">
        <f>'8.Dgia'!E2159</f>
        <v>Sản xuất bê tông nhựa C19</v>
      </c>
      <c r="F654" s="1878" t="str">
        <f>'8.Dgia'!G2159</f>
        <v>tấn/ton</v>
      </c>
      <c r="G654" s="1879">
        <f>'8.Dgia'!H2159</f>
        <v>0</v>
      </c>
      <c r="H654" s="1880"/>
      <c r="I654" s="1881"/>
      <c r="J654" s="842">
        <f>+I655</f>
        <v>1267702.3951731117</v>
      </c>
      <c r="K654" s="842">
        <f>+I671</f>
        <v>12653.272800000001</v>
      </c>
      <c r="L654" s="842">
        <f>+I672</f>
        <v>133434.75326335529</v>
      </c>
    </row>
    <row r="655" spans="1:12" ht="15">
      <c r="B655" s="362" t="str">
        <f>'8.Dgia'!B2160</f>
        <v/>
      </c>
      <c r="C655" s="1472">
        <f>'8.Dgia'!C2160</f>
        <v>0</v>
      </c>
      <c r="D655" s="1482" t="s">
        <v>5869</v>
      </c>
      <c r="E655" s="2011" t="str">
        <f>'8.Dgia'!E2160</f>
        <v xml:space="preserve">  A - Vật liệu</v>
      </c>
      <c r="F655" s="1882">
        <f>'8.Dgia'!G2160</f>
        <v>0</v>
      </c>
      <c r="G655" s="1809">
        <f>'8.Dgia'!H2160</f>
        <v>0</v>
      </c>
      <c r="H655" s="1883"/>
      <c r="I655" s="1884">
        <f>SUM(I656:I670)</f>
        <v>1267702.3951731117</v>
      </c>
    </row>
    <row r="656" spans="1:12" ht="15">
      <c r="B656" s="362" t="str">
        <f>'8.Dgia'!B2161</f>
        <v/>
      </c>
      <c r="C656" s="1472">
        <f>'8.Dgia'!C2161</f>
        <v>0</v>
      </c>
      <c r="D656" s="1482" t="str">
        <f>'8.Dgia'!D2161</f>
        <v>5.1%</v>
      </c>
      <c r="E656" s="1811" t="str">
        <f>'8.Dgia'!E2161</f>
        <v>Nhựa đường</v>
      </c>
      <c r="F656" s="1882" t="str">
        <f>'8.Dgia'!G2161</f>
        <v>kg</v>
      </c>
      <c r="G656" s="1809">
        <f>'8.Dgia'!H2161</f>
        <v>51.920400000000001</v>
      </c>
      <c r="H656" s="1899">
        <f>GVL!$I$128</f>
        <v>15823.463400000001</v>
      </c>
      <c r="I656" s="1792">
        <f>H656*G656</f>
        <v>821560.54911336</v>
      </c>
    </row>
    <row r="657" spans="2:9" ht="15">
      <c r="B657" s="362" t="str">
        <f>'8.Dgia'!B2162</f>
        <v/>
      </c>
      <c r="C657" s="1472">
        <f>'8.Dgia'!C2162</f>
        <v>0</v>
      </c>
      <c r="D657" s="1482">
        <f>'8.Dgia'!D2162</f>
        <v>0</v>
      </c>
      <c r="E657" s="1811" t="str">
        <f>'8.Dgia'!E2162</f>
        <v>=(5.1-5)/(5.5-5)*(55.79-50.953)+50.953</v>
      </c>
      <c r="F657" s="1882">
        <f>'8.Dgia'!G2162</f>
        <v>0</v>
      </c>
      <c r="G657" s="1809">
        <f>'8.Dgia'!H2162</f>
        <v>0</v>
      </c>
      <c r="H657" s="1899"/>
      <c r="I657" s="1792"/>
    </row>
    <row r="658" spans="2:9" ht="15">
      <c r="B658" s="362" t="str">
        <f>'8.Dgia'!B2163</f>
        <v/>
      </c>
      <c r="C658" s="1472">
        <f>'8.Dgia'!C2163</f>
        <v>0</v>
      </c>
      <c r="D658" s="1482" t="str">
        <f>'8.Dgia'!D2163</f>
        <v>16%</v>
      </c>
      <c r="E658" s="1811" t="str">
        <f>'8.Dgia'!E2163</f>
        <v>Đá 1.6x1.9 bê tông nhựa</v>
      </c>
      <c r="F658" s="1882" t="str">
        <f>'8.Dgia'!G2163</f>
        <v>m3</v>
      </c>
      <c r="G658" s="1809">
        <f>'8.Dgia'!H2163</f>
        <v>0.1024</v>
      </c>
      <c r="H658" s="1899">
        <f>GVL!$I$56</f>
        <v>364185.41224953817</v>
      </c>
      <c r="I658" s="1792">
        <f>H658*G658</f>
        <v>37292.586214352712</v>
      </c>
    </row>
    <row r="659" spans="2:9" ht="15">
      <c r="B659" s="362" t="str">
        <f>'8.Dgia'!B2164</f>
        <v/>
      </c>
      <c r="C659" s="1472">
        <f>'8.Dgia'!C2164</f>
        <v>0</v>
      </c>
      <c r="D659" s="1482">
        <f>'8.Dgia'!D2164</f>
        <v>0</v>
      </c>
      <c r="E659" s="1811" t="str">
        <f>'8.Dgia'!E2164</f>
        <v>=16*0,128/20</v>
      </c>
      <c r="F659" s="1882">
        <f>'8.Dgia'!G2164</f>
        <v>0</v>
      </c>
      <c r="G659" s="1809">
        <f>'8.Dgia'!H2164</f>
        <v>0</v>
      </c>
      <c r="H659" s="1899"/>
      <c r="I659" s="1792"/>
    </row>
    <row r="660" spans="2:9" ht="15">
      <c r="B660" s="362" t="str">
        <f>'8.Dgia'!B2165</f>
        <v/>
      </c>
      <c r="C660" s="1472">
        <f>'8.Dgia'!C2165</f>
        <v>0</v>
      </c>
      <c r="D660" s="1482" t="str">
        <f>'8.Dgia'!D2165</f>
        <v>17%</v>
      </c>
      <c r="E660" s="1811" t="str">
        <f>'8.Dgia'!E2165</f>
        <v>Đá 1x1.6 bê tông nhựa</v>
      </c>
      <c r="F660" s="1882" t="str">
        <f>'8.Dgia'!G2165</f>
        <v>m3</v>
      </c>
      <c r="G660" s="1809">
        <f>'8.Dgia'!H2165</f>
        <v>0.10880000000000001</v>
      </c>
      <c r="H660" s="1883">
        <f>GVL!$I$57</f>
        <v>364185.41224953817</v>
      </c>
      <c r="I660" s="1792">
        <f>H660*G660</f>
        <v>39623.372852749759</v>
      </c>
    </row>
    <row r="661" spans="2:9" ht="15">
      <c r="B661" s="362" t="str">
        <f>'8.Dgia'!B2166</f>
        <v/>
      </c>
      <c r="C661" s="1472">
        <f>'8.Dgia'!C2166</f>
        <v>0</v>
      </c>
      <c r="D661" s="1482">
        <f>'8.Dgia'!D2166</f>
        <v>0</v>
      </c>
      <c r="E661" s="1811" t="str">
        <f>'8.Dgia'!E2166</f>
        <v>=17*0.128/20</v>
      </c>
      <c r="F661" s="1882">
        <f>'8.Dgia'!G2166</f>
        <v>0</v>
      </c>
      <c r="G661" s="1809">
        <f>'8.Dgia'!H2166</f>
        <v>0</v>
      </c>
      <c r="H661" s="1899"/>
      <c r="I661" s="1792"/>
    </row>
    <row r="662" spans="2:9" ht="15">
      <c r="B662" s="362" t="str">
        <f>'8.Dgia'!B2167</f>
        <v/>
      </c>
      <c r="C662" s="1472">
        <f>'8.Dgia'!C2167</f>
        <v>0</v>
      </c>
      <c r="D662" s="1482" t="str">
        <f>'8.Dgia'!D2167</f>
        <v>50%</v>
      </c>
      <c r="E662" s="1811" t="str">
        <f>'8.Dgia'!E2167</f>
        <v>Đá 0x0.5 bê tông nhựa</v>
      </c>
      <c r="F662" s="1882" t="str">
        <f>'8.Dgia'!G2167</f>
        <v>m3</v>
      </c>
      <c r="G662" s="1809">
        <f>'8.Dgia'!H2167</f>
        <v>0.31900000000000001</v>
      </c>
      <c r="H662" s="1883">
        <f>GVL!$I$55</f>
        <v>342185.41224953817</v>
      </c>
      <c r="I662" s="1792">
        <f>H662*G662</f>
        <v>109157.14650760268</v>
      </c>
    </row>
    <row r="663" spans="2:9" ht="15">
      <c r="B663" s="362" t="str">
        <f>'8.Dgia'!B2168</f>
        <v/>
      </c>
      <c r="C663" s="1472">
        <f>'8.Dgia'!C2168</f>
        <v>0</v>
      </c>
      <c r="D663" s="1482" t="str">
        <f>'8.Dgia'!D2168</f>
        <v>15%</v>
      </c>
      <c r="E663" s="1811" t="str">
        <f>'8.Dgia'!E2168</f>
        <v>Đá 0.5x1 bê tông nhựa</v>
      </c>
      <c r="F663" s="1882" t="str">
        <f>'8.Dgia'!G2168</f>
        <v>m3</v>
      </c>
      <c r="G663" s="1809">
        <f>'8.Dgia'!H2168</f>
        <v>9.6000000000000002E-2</v>
      </c>
      <c r="H663" s="1883">
        <f>GVL!$I$53</f>
        <v>412185.41224953817</v>
      </c>
      <c r="I663" s="1792">
        <f>H663*G663</f>
        <v>39569.799575955665</v>
      </c>
    </row>
    <row r="664" spans="2:9" ht="15">
      <c r="B664" s="362" t="str">
        <f>'8.Dgia'!B2169</f>
        <v/>
      </c>
      <c r="C664" s="1472">
        <f>'8.Dgia'!C2169</f>
        <v>0</v>
      </c>
      <c r="D664" s="1482">
        <f>'8.Dgia'!D2169</f>
        <v>0</v>
      </c>
      <c r="E664" s="1811" t="str">
        <f>'8.Dgia'!E2169</f>
        <v>=15*0.128/20</v>
      </c>
      <c r="F664" s="1882">
        <f>'8.Dgia'!G2169</f>
        <v>0</v>
      </c>
      <c r="G664" s="1809">
        <f>'8.Dgia'!H2169</f>
        <v>0</v>
      </c>
      <c r="H664" s="1899"/>
      <c r="I664" s="1792"/>
    </row>
    <row r="665" spans="2:9" ht="15">
      <c r="B665" s="2020"/>
      <c r="C665" s="1472">
        <f>'8.Dgia'!C2170</f>
        <v>0</v>
      </c>
      <c r="D665" s="1482" t="str">
        <f>'8.Dgia'!D2170</f>
        <v>5.1%</v>
      </c>
      <c r="E665" s="1811" t="str">
        <f>'8.Dgia'!E2170</f>
        <v>Bột đá</v>
      </c>
      <c r="F665" s="1882" t="str">
        <f>'8.Dgia'!G2170</f>
        <v>kg</v>
      </c>
      <c r="G665" s="1809">
        <f>'8.Dgia'!H2170</f>
        <v>48.179699999999997</v>
      </c>
      <c r="H665" s="1883">
        <f>GVL!$I$24</f>
        <v>500</v>
      </c>
      <c r="I665" s="1792">
        <f>H665*G665</f>
        <v>24089.85</v>
      </c>
    </row>
    <row r="666" spans="2:9" ht="15">
      <c r="B666" s="362" t="str">
        <f>'8.Dgia'!B2171</f>
        <v/>
      </c>
      <c r="C666" s="1472">
        <f>'8.Dgia'!C2171</f>
        <v>0</v>
      </c>
      <c r="D666" s="1482">
        <f>'8.Dgia'!D2171</f>
        <v>0</v>
      </c>
      <c r="E666" s="1811" t="str">
        <f>'8.Dgia'!E2171</f>
        <v>=(5.1-5)/(10-5)*(94,47-47,235)+47,235</v>
      </c>
      <c r="F666" s="1882">
        <f>'8.Dgia'!G2171</f>
        <v>0</v>
      </c>
      <c r="G666" s="1809">
        <f>'8.Dgia'!H2171</f>
        <v>0</v>
      </c>
      <c r="H666" s="1883"/>
      <c r="I666" s="1792"/>
    </row>
    <row r="667" spans="2:9" ht="15">
      <c r="B667" s="362" t="str">
        <f>'8.Dgia'!B2172</f>
        <v/>
      </c>
      <c r="C667" s="1472">
        <f>'8.Dgia'!C2172</f>
        <v>0</v>
      </c>
      <c r="D667" s="1482">
        <f>'8.Dgia'!D2172</f>
        <v>0</v>
      </c>
      <c r="E667" s="1811" t="str">
        <f>'8.Dgia'!E2172</f>
        <v xml:space="preserve">Vật liệu phụ </v>
      </c>
      <c r="F667" s="1882">
        <f>'8.Dgia'!G2172</f>
        <v>0</v>
      </c>
      <c r="G667" s="1809">
        <f>'8.Dgia'!H2172</f>
        <v>0</v>
      </c>
      <c r="H667" s="1883"/>
      <c r="I667" s="1792"/>
    </row>
    <row r="668" spans="2:9" ht="15">
      <c r="B668" s="362" t="str">
        <f>'8.Dgia'!B2173</f>
        <v/>
      </c>
      <c r="C668" s="1472">
        <f>'8.Dgia'!C2173</f>
        <v>0</v>
      </c>
      <c r="D668" s="1482">
        <f>'8.Dgia'!D2173</f>
        <v>0</v>
      </c>
      <c r="E668" s="1811" t="str">
        <f>'8.Dgia'!E2173</f>
        <v>Dầu diesel</v>
      </c>
      <c r="F668" s="1882" t="str">
        <f>'8.Dgia'!G2173</f>
        <v>kg</v>
      </c>
      <c r="G668" s="1809">
        <f>'8.Dgia'!H2173</f>
        <v>1.5</v>
      </c>
      <c r="H668" s="1899">
        <f>GVL!$I$73</f>
        <v>22500</v>
      </c>
      <c r="I668" s="1792">
        <f>H668*G668</f>
        <v>33750</v>
      </c>
    </row>
    <row r="669" spans="2:9" ht="15">
      <c r="B669" s="362" t="str">
        <f>'8.Dgia'!B2174</f>
        <v/>
      </c>
      <c r="C669" s="1472">
        <f>'8.Dgia'!C2174</f>
        <v>0</v>
      </c>
      <c r="D669" s="1482">
        <f>'8.Dgia'!D2174</f>
        <v>0</v>
      </c>
      <c r="E669" s="1811" t="str">
        <f>'8.Dgia'!E2174</f>
        <v>Dầu mazut</v>
      </c>
      <c r="F669" s="1882" t="str">
        <f>'8.Dgia'!G2174</f>
        <v>kg</v>
      </c>
      <c r="G669" s="1809">
        <f>'8.Dgia'!H2174</f>
        <v>8.5</v>
      </c>
      <c r="H669" s="1899">
        <f>GVL!$I$76</f>
        <v>17436.363636363636</v>
      </c>
      <c r="I669" s="1792">
        <f>H669*G669</f>
        <v>148209.09090909091</v>
      </c>
    </row>
    <row r="670" spans="2:9" ht="15">
      <c r="B670" s="362" t="str">
        <f>'8.Dgia'!B2175</f>
        <v/>
      </c>
      <c r="C670" s="1472">
        <f>'8.Dgia'!C2175</f>
        <v>0</v>
      </c>
      <c r="D670" s="1482">
        <f>'8.Dgia'!D2175</f>
        <v>0</v>
      </c>
      <c r="E670" s="1811" t="str">
        <f>'8.Dgia'!E2175</f>
        <v>Dầu bảo ôn</v>
      </c>
      <c r="F670" s="1882" t="str">
        <f>'8.Dgia'!G2175</f>
        <v>kg</v>
      </c>
      <c r="G670" s="1809">
        <f>'8.Dgia'!H2175</f>
        <v>0.42499999999999999</v>
      </c>
      <c r="H670" s="1899">
        <f>GVL!$I$70</f>
        <v>34000</v>
      </c>
      <c r="I670" s="1792">
        <f>H670*G670</f>
        <v>14450</v>
      </c>
    </row>
    <row r="671" spans="2:9" ht="15">
      <c r="B671" s="362" t="str">
        <f>'8.Dgia'!B2176</f>
        <v/>
      </c>
      <c r="C671" s="1472">
        <f>'8.Dgia'!C2176</f>
        <v>0</v>
      </c>
      <c r="D671" s="1482">
        <f>'8.Dgia'!D2176</f>
        <v>0</v>
      </c>
      <c r="E671" s="1811" t="str">
        <f>'8.Dgia'!E2176</f>
        <v xml:space="preserve">  B - Nhân công 4.5/7</v>
      </c>
      <c r="F671" s="1771" t="s">
        <v>552</v>
      </c>
      <c r="G671" s="1809">
        <f>'8.Dgia'!H2176</f>
        <v>5.04E-2</v>
      </c>
      <c r="H671" s="1883">
        <f>'16.NC'!$G$20</f>
        <v>251057</v>
      </c>
      <c r="I671" s="1884">
        <f>H671*G671</f>
        <v>12653.272800000001</v>
      </c>
    </row>
    <row r="672" spans="2:9" ht="15">
      <c r="B672" s="362" t="str">
        <f>'8.Dgia'!B2177</f>
        <v/>
      </c>
      <c r="C672" s="1472">
        <f>'8.Dgia'!C2177</f>
        <v>0</v>
      </c>
      <c r="D672" s="1482">
        <f>'8.Dgia'!D2177</f>
        <v>0</v>
      </c>
      <c r="E672" s="1811" t="str">
        <f>'8.Dgia'!E2177</f>
        <v xml:space="preserve">  C - Máy thi công</v>
      </c>
      <c r="F672" s="1882">
        <f>'8.Dgia'!G2177</f>
        <v>0</v>
      </c>
      <c r="G672" s="1809">
        <f>'8.Dgia'!H2177</f>
        <v>0</v>
      </c>
      <c r="H672" s="1883"/>
      <c r="I672" s="1884">
        <f>SUM(I673:I676)</f>
        <v>133434.75326335529</v>
      </c>
    </row>
    <row r="673" spans="1:11" ht="15">
      <c r="B673" s="362" t="str">
        <f>'8.Dgia'!B2178</f>
        <v/>
      </c>
      <c r="C673" s="1472">
        <f>'8.Dgia'!C2178</f>
        <v>0</v>
      </c>
      <c r="D673" s="1482">
        <f>'8.Dgia'!D2178</f>
        <v>0</v>
      </c>
      <c r="E673" s="1811" t="str">
        <f>'8.Dgia'!E2178</f>
        <v>Trạm trộn BTN 50-60T/h</v>
      </c>
      <c r="F673" s="1771" t="s">
        <v>5493</v>
      </c>
      <c r="G673" s="1809">
        <f>'8.Dgia'!H2178</f>
        <v>4.6300000000000004E-3</v>
      </c>
      <c r="H673" s="1883">
        <f>'9.may'!$P$402</f>
        <v>21355788.48</v>
      </c>
      <c r="I673" s="1792">
        <f>H673*G673</f>
        <v>98877.300662400012</v>
      </c>
    </row>
    <row r="674" spans="1:11" ht="15">
      <c r="B674" s="362" t="str">
        <f>'8.Dgia'!B2179</f>
        <v/>
      </c>
      <c r="C674" s="1472">
        <f>'8.Dgia'!C2179</f>
        <v>0</v>
      </c>
      <c r="D674" s="1482">
        <f>'8.Dgia'!D2179</f>
        <v>0</v>
      </c>
      <c r="E674" s="1811" t="str">
        <f>'8.Dgia'!E2179</f>
        <v>Máy đào 1 gàu 2.3m3</v>
      </c>
      <c r="F674" s="1771" t="s">
        <v>5493</v>
      </c>
      <c r="G674" s="1809">
        <f>'8.Dgia'!H2179</f>
        <v>4.6300000000000004E-3</v>
      </c>
      <c r="H674" s="1883">
        <f>'9.may'!$P$31</f>
        <v>5629111.3909090906</v>
      </c>
      <c r="I674" s="1792">
        <f>H674*G674</f>
        <v>26062.785739909094</v>
      </c>
    </row>
    <row r="675" spans="1:11" ht="15">
      <c r="B675" s="362" t="str">
        <f>'8.Dgia'!B2180</f>
        <v/>
      </c>
      <c r="C675" s="1472">
        <f>'8.Dgia'!C2180</f>
        <v>0</v>
      </c>
      <c r="D675" s="1482">
        <f>'8.Dgia'!D2180</f>
        <v>0</v>
      </c>
      <c r="E675" s="1811" t="str">
        <f>'8.Dgia'!E2180</f>
        <v>Máy ủi 110cv</v>
      </c>
      <c r="F675" s="1771" t="s">
        <v>5493</v>
      </c>
      <c r="G675" s="1809">
        <f>'8.Dgia'!H2180</f>
        <v>3.0000000000000001E-3</v>
      </c>
      <c r="H675" s="1869">
        <f>'9.may'!$P$70</f>
        <v>1959433.0499999998</v>
      </c>
      <c r="I675" s="1792">
        <f>H675*G675</f>
        <v>5878.2991499999998</v>
      </c>
    </row>
    <row r="676" spans="1:11" ht="15">
      <c r="B676" s="362" t="str">
        <f>'8.Dgia'!B2181</f>
        <v/>
      </c>
      <c r="C676" s="1472">
        <f>'8.Dgia'!C2181</f>
        <v>0</v>
      </c>
      <c r="D676" s="1482">
        <f>'8.Dgia'!D2181</f>
        <v>0</v>
      </c>
      <c r="E676" s="1811" t="str">
        <f>'8.Dgia'!E2181</f>
        <v>Máy khác</v>
      </c>
      <c r="F676" s="1882" t="str">
        <f>'8.Dgia'!G2181</f>
        <v>%</v>
      </c>
      <c r="G676" s="1809">
        <f>'8.Dgia'!H2181</f>
        <v>2</v>
      </c>
      <c r="H676" s="1883">
        <f>SUM(I673:I675)</f>
        <v>130818.3855523091</v>
      </c>
      <c r="I676" s="1792">
        <f>H676*G676%</f>
        <v>2616.3677110461822</v>
      </c>
    </row>
    <row r="677" spans="1:11" ht="15">
      <c r="B677" s="362"/>
      <c r="C677" s="1472"/>
      <c r="D677" s="1482"/>
      <c r="E677" s="1813" t="s">
        <v>5675</v>
      </c>
      <c r="F677" s="1885">
        <f>$J$5</f>
        <v>0.02</v>
      </c>
      <c r="G677" s="1809"/>
      <c r="H677" s="1883"/>
      <c r="I677" s="1886">
        <f>( I655+I671+I672 )*F677</f>
        <v>28275.808424729337</v>
      </c>
    </row>
    <row r="678" spans="1:11" ht="15">
      <c r="B678" s="362"/>
      <c r="C678" s="1472"/>
      <c r="D678" s="1482"/>
      <c r="E678" s="1817" t="s">
        <v>5676</v>
      </c>
      <c r="F678" s="1817"/>
      <c r="G678" s="1809"/>
      <c r="H678" s="1883"/>
      <c r="I678" s="1820">
        <f>I677+I677/F677</f>
        <v>1442066.2296611962</v>
      </c>
    </row>
    <row r="679" spans="1:11" ht="15">
      <c r="B679" s="362"/>
      <c r="C679" s="1472"/>
      <c r="D679" s="1482"/>
      <c r="E679" s="1821" t="s">
        <v>5677</v>
      </c>
      <c r="F679" s="1887">
        <f>$K$5</f>
        <v>5.7750000000000003E-2</v>
      </c>
      <c r="G679" s="1809"/>
      <c r="H679" s="1883"/>
      <c r="I679" s="1822">
        <f>I678*F679</f>
        <v>83279.324762934091</v>
      </c>
    </row>
    <row r="680" spans="1:11" ht="15">
      <c r="B680" s="362"/>
      <c r="C680" s="1472"/>
      <c r="D680" s="1482"/>
      <c r="E680" s="1821" t="s">
        <v>5678</v>
      </c>
      <c r="F680" s="1885">
        <f>$L$5</f>
        <v>0.06</v>
      </c>
      <c r="G680" s="1809"/>
      <c r="H680" s="1883"/>
      <c r="I680" s="1822">
        <f>SUM(I678:I679)*F680</f>
        <v>91520.733265447823</v>
      </c>
    </row>
    <row r="681" spans="1:11" ht="15">
      <c r="B681" s="362"/>
      <c r="C681" s="1472"/>
      <c r="D681" s="1482"/>
      <c r="E681" s="1817" t="s">
        <v>5679</v>
      </c>
      <c r="F681" s="1817"/>
      <c r="G681" s="1809"/>
      <c r="H681" s="1883"/>
      <c r="I681" s="1820">
        <f>SUM(I678:I680)</f>
        <v>1616866.2876895783</v>
      </c>
    </row>
    <row r="682" spans="1:11" ht="15">
      <c r="B682" s="362"/>
      <c r="C682" s="1472"/>
      <c r="D682" s="1482"/>
      <c r="E682" s="1821" t="s">
        <v>5680</v>
      </c>
      <c r="F682" s="1885">
        <f>$M$5</f>
        <v>0.1</v>
      </c>
      <c r="G682" s="1809"/>
      <c r="H682" s="1883"/>
      <c r="I682" s="1822">
        <f>I681*F682</f>
        <v>161686.62876895783</v>
      </c>
    </row>
    <row r="683" spans="1:11" ht="15">
      <c r="B683" s="362"/>
      <c r="C683" s="1472"/>
      <c r="D683" s="1482"/>
      <c r="E683" s="1817" t="s">
        <v>5681</v>
      </c>
      <c r="F683" s="1817"/>
      <c r="G683" s="1809"/>
      <c r="H683" s="1883"/>
      <c r="I683" s="1820">
        <f>SUM(I681:I682)</f>
        <v>1778552.9164585362</v>
      </c>
    </row>
    <row r="684" spans="1:11" ht="12.75">
      <c r="B684" s="362"/>
      <c r="C684" s="1472"/>
      <c r="D684" s="1482"/>
      <c r="E684" s="1475" t="s">
        <v>5682</v>
      </c>
      <c r="F684" s="1474">
        <f>$N$5</f>
        <v>0.01</v>
      </c>
      <c r="G684" s="1483"/>
      <c r="H684" s="848"/>
      <c r="I684" s="1476">
        <f>I683*F684</f>
        <v>17785.529164585361</v>
      </c>
    </row>
    <row r="685" spans="1:11" ht="15">
      <c r="B685" s="1470"/>
      <c r="C685" s="1473"/>
      <c r="D685" s="1473"/>
      <c r="E685" s="1888" t="s">
        <v>5683</v>
      </c>
      <c r="F685" s="1888"/>
      <c r="G685" s="1889"/>
      <c r="H685" s="1890"/>
      <c r="I685" s="1862">
        <f>ROUND(I683+I684,-2)</f>
        <v>1796300</v>
      </c>
    </row>
    <row r="686" spans="1:11" ht="15">
      <c r="A686" s="657">
        <v>1</v>
      </c>
      <c r="B686" s="1549">
        <f>IF(A686&lt;&gt;0,COUNTA(A$7:$A686),"")</f>
        <v>40</v>
      </c>
      <c r="C686" s="1472">
        <f>'8.Dgia'!C2195</f>
        <v>1776</v>
      </c>
      <c r="D686" s="1694" t="str">
        <f>'8.Dgia'!D2195</f>
        <v>AD.34130</v>
      </c>
      <c r="E686" s="1877" t="str">
        <f>'8.Dgia'!E2195</f>
        <v>Lắp đặt tôn sóng đường đầu cầu</v>
      </c>
      <c r="F686" s="1878" t="str">
        <f>'8.Dgia'!G2195</f>
        <v>m</v>
      </c>
      <c r="G686" s="1879">
        <f>'8.Dgia'!H2195</f>
        <v>0</v>
      </c>
      <c r="H686" s="1880"/>
      <c r="I686" s="1881"/>
      <c r="J686" s="842">
        <f>+I687</f>
        <v>711854.66575013392</v>
      </c>
      <c r="K686" s="842">
        <f>+I693</f>
        <v>15087.02</v>
      </c>
    </row>
    <row r="687" spans="1:11" ht="15">
      <c r="B687" s="362" t="str">
        <f>'8.Dgia'!B2196</f>
        <v/>
      </c>
      <c r="C687" s="1472">
        <f>'8.Dgia'!C2196</f>
        <v>0</v>
      </c>
      <c r="D687" s="1482">
        <f>'8.Dgia'!D2196</f>
        <v>0</v>
      </c>
      <c r="E687" s="2011" t="str">
        <f>'8.Dgia'!E2196</f>
        <v xml:space="preserve">  A - Vật liệu</v>
      </c>
      <c r="F687" s="1882">
        <f>'8.Dgia'!G2196</f>
        <v>0</v>
      </c>
      <c r="G687" s="1809">
        <f>'8.Dgia'!H2196</f>
        <v>0</v>
      </c>
      <c r="H687" s="1883"/>
      <c r="I687" s="1884">
        <f>SUM(I688:I692)</f>
        <v>711854.66575013392</v>
      </c>
    </row>
    <row r="688" spans="1:11" ht="15">
      <c r="B688" s="362" t="str">
        <f>'8.Dgia'!B2197</f>
        <v/>
      </c>
      <c r="C688" s="1472">
        <f>'8.Dgia'!C2197</f>
        <v>0</v>
      </c>
      <c r="D688" s="1482">
        <f>'8.Dgia'!D2197</f>
        <v>0</v>
      </c>
      <c r="E688" s="1811" t="str">
        <f>'8.Dgia'!E2197</f>
        <v>Tôn lượn sóng</v>
      </c>
      <c r="F688" s="1882" t="str">
        <f>'8.Dgia'!G2197</f>
        <v>m</v>
      </c>
      <c r="G688" s="1809">
        <f>'8.Dgia'!H2197</f>
        <v>1</v>
      </c>
      <c r="H688" s="1883">
        <f>GVL!$I$183</f>
        <v>353448.27586206899</v>
      </c>
      <c r="I688" s="1792">
        <f>H688*G688</f>
        <v>353448.27586206899</v>
      </c>
    </row>
    <row r="689" spans="1:12" ht="15">
      <c r="B689" s="362" t="str">
        <f>'8.Dgia'!B2198</f>
        <v/>
      </c>
      <c r="C689" s="1472">
        <f>'8.Dgia'!C2198</f>
        <v>0</v>
      </c>
      <c r="D689" s="1482">
        <f>'8.Dgia'!D2198</f>
        <v>0</v>
      </c>
      <c r="E689" s="1811" t="str">
        <f>'8.Dgia'!E2198</f>
        <v>Trụ đỡ tôn lượn sóng</v>
      </c>
      <c r="F689" s="1882" t="str">
        <f>'8.Dgia'!G2198</f>
        <v>cột</v>
      </c>
      <c r="G689" s="1809">
        <f>'8.Dgia'!H2198</f>
        <v>0</v>
      </c>
      <c r="H689" s="1883"/>
      <c r="I689" s="1900" t="s">
        <v>2106</v>
      </c>
    </row>
    <row r="690" spans="1:12" ht="15">
      <c r="B690" s="362" t="str">
        <f>'8.Dgia'!B2199</f>
        <v/>
      </c>
      <c r="C690" s="1472">
        <f>'8.Dgia'!C2199</f>
        <v>0</v>
      </c>
      <c r="D690" s="1482">
        <f>'8.Dgia'!D2199</f>
        <v>0</v>
      </c>
      <c r="E690" s="1811" t="str">
        <f>'8.Dgia'!E2199</f>
        <v>Bu lông M20</v>
      </c>
      <c r="F690" s="1771" t="s">
        <v>567</v>
      </c>
      <c r="G690" s="1809">
        <f>'8.Dgia'!H2199</f>
        <v>4</v>
      </c>
      <c r="H690" s="1883">
        <f>GVL!$I$28</f>
        <v>5000</v>
      </c>
      <c r="I690" s="1792">
        <f>H690*G690</f>
        <v>20000</v>
      </c>
    </row>
    <row r="691" spans="1:12" ht="15">
      <c r="B691" s="362" t="str">
        <f>'8.Dgia'!B2200</f>
        <v/>
      </c>
      <c r="C691" s="1472">
        <f>'8.Dgia'!C2200</f>
        <v>0</v>
      </c>
      <c r="D691" s="1482" t="str">
        <f>'8.Dgia'!D2200</f>
        <v>C3123</v>
      </c>
      <c r="E691" s="1811" t="str">
        <f>'8.Dgia'!E2200</f>
        <v>Vữa bê tông đá 1x2 C15 SN 2-4</v>
      </c>
      <c r="F691" s="1882" t="str">
        <f>'8.Dgia'!G2200</f>
        <v>m3</v>
      </c>
      <c r="G691" s="1809">
        <f>'8.Dgia'!H2200</f>
        <v>0.4</v>
      </c>
      <c r="H691" s="1883">
        <f>GVL!$I$193</f>
        <v>819715.92549294059</v>
      </c>
      <c r="I691" s="1792">
        <f>H691*G691</f>
        <v>327886.37019717623</v>
      </c>
    </row>
    <row r="692" spans="1:12" ht="15">
      <c r="B692" s="362" t="str">
        <f>'8.Dgia'!B2201</f>
        <v/>
      </c>
      <c r="C692" s="1472">
        <f>'8.Dgia'!C2201</f>
        <v>0</v>
      </c>
      <c r="D692" s="1482">
        <f>'8.Dgia'!D2201</f>
        <v>0</v>
      </c>
      <c r="E692" s="1811" t="str">
        <f>'8.Dgia'!E2201</f>
        <v>Vật liệu khác</v>
      </c>
      <c r="F692" s="1882" t="str">
        <f>'8.Dgia'!G2201</f>
        <v>%</v>
      </c>
      <c r="G692" s="1809">
        <f>'8.Dgia'!H2201</f>
        <v>1.5</v>
      </c>
      <c r="H692" s="1883">
        <f>SUM(I688:I691)</f>
        <v>701334.64605924522</v>
      </c>
      <c r="I692" s="1792">
        <f>H692*G692%</f>
        <v>10520.019690888677</v>
      </c>
    </row>
    <row r="693" spans="1:12" ht="15">
      <c r="B693" s="362" t="str">
        <f>'8.Dgia'!B2202</f>
        <v/>
      </c>
      <c r="C693" s="1472">
        <f>'8.Dgia'!C2202</f>
        <v>0</v>
      </c>
      <c r="D693" s="1482">
        <f>'8.Dgia'!D2202</f>
        <v>0</v>
      </c>
      <c r="E693" s="1811" t="str">
        <f>'8.Dgia'!E2202</f>
        <v xml:space="preserve">  B - Nhân công 4.0/7</v>
      </c>
      <c r="F693" s="1771" t="s">
        <v>552</v>
      </c>
      <c r="G693" s="1809">
        <f>'8.Dgia'!H2202</f>
        <v>6.5000000000000002E-2</v>
      </c>
      <c r="H693" s="1869">
        <f>'16.NC'!$G$18</f>
        <v>232108</v>
      </c>
      <c r="I693" s="1884">
        <f>H693*G693</f>
        <v>15087.02</v>
      </c>
    </row>
    <row r="694" spans="1:12" ht="15">
      <c r="B694" s="362"/>
      <c r="C694" s="1472"/>
      <c r="D694" s="1482"/>
      <c r="E694" s="1813" t="s">
        <v>5675</v>
      </c>
      <c r="F694" s="1885">
        <f>$J$5</f>
        <v>0.02</v>
      </c>
      <c r="G694" s="1809"/>
      <c r="H694" s="1883"/>
      <c r="I694" s="1886">
        <f>( I687+I693 )*F694</f>
        <v>14538.833715002678</v>
      </c>
    </row>
    <row r="695" spans="1:12" ht="15">
      <c r="B695" s="362"/>
      <c r="C695" s="1472"/>
      <c r="D695" s="1482"/>
      <c r="E695" s="1817" t="s">
        <v>5676</v>
      </c>
      <c r="F695" s="1817"/>
      <c r="G695" s="1809"/>
      <c r="H695" s="1883"/>
      <c r="I695" s="1820">
        <f>I694+I694/F694</f>
        <v>741480.51946513657</v>
      </c>
    </row>
    <row r="696" spans="1:12" ht="15">
      <c r="B696" s="362"/>
      <c r="C696" s="1472"/>
      <c r="D696" s="1482"/>
      <c r="E696" s="1821" t="s">
        <v>5677</v>
      </c>
      <c r="F696" s="1887">
        <f>$K$5</f>
        <v>5.7750000000000003E-2</v>
      </c>
      <c r="G696" s="1809"/>
      <c r="H696" s="1883"/>
      <c r="I696" s="1822">
        <f>I695*F696</f>
        <v>42820.499999111642</v>
      </c>
    </row>
    <row r="697" spans="1:12" ht="15">
      <c r="B697" s="362"/>
      <c r="C697" s="1472"/>
      <c r="D697" s="1482"/>
      <c r="E697" s="1821" t="s">
        <v>5678</v>
      </c>
      <c r="F697" s="1885">
        <f>$L$5</f>
        <v>0.06</v>
      </c>
      <c r="G697" s="1809"/>
      <c r="H697" s="1883"/>
      <c r="I697" s="1822">
        <f>SUM(I695:I696)*F697</f>
        <v>47058.061167854888</v>
      </c>
    </row>
    <row r="698" spans="1:12" ht="15">
      <c r="B698" s="362"/>
      <c r="C698" s="1472"/>
      <c r="D698" s="1482"/>
      <c r="E698" s="1817" t="s">
        <v>5679</v>
      </c>
      <c r="F698" s="1817"/>
      <c r="G698" s="1809"/>
      <c r="H698" s="1883"/>
      <c r="I698" s="1820">
        <f>SUM(I695:I697)</f>
        <v>831359.08063210314</v>
      </c>
    </row>
    <row r="699" spans="1:12" ht="15">
      <c r="B699" s="362"/>
      <c r="C699" s="1472"/>
      <c r="D699" s="1482"/>
      <c r="E699" s="1821" t="s">
        <v>5680</v>
      </c>
      <c r="F699" s="1885">
        <f>$M$5</f>
        <v>0.1</v>
      </c>
      <c r="G699" s="1809"/>
      <c r="H699" s="1883"/>
      <c r="I699" s="1822">
        <f>I698*F699</f>
        <v>83135.908063210314</v>
      </c>
    </row>
    <row r="700" spans="1:12" ht="15">
      <c r="B700" s="362"/>
      <c r="C700" s="1472"/>
      <c r="D700" s="1482"/>
      <c r="E700" s="1817" t="s">
        <v>5681</v>
      </c>
      <c r="F700" s="1817"/>
      <c r="G700" s="1809"/>
      <c r="H700" s="1883"/>
      <c r="I700" s="1820">
        <f>SUM(I698:I699)</f>
        <v>914494.98869531346</v>
      </c>
    </row>
    <row r="701" spans="1:12" ht="12.75">
      <c r="B701" s="362"/>
      <c r="C701" s="1472"/>
      <c r="D701" s="1482"/>
      <c r="E701" s="1475" t="s">
        <v>5682</v>
      </c>
      <c r="F701" s="1474">
        <f>$N$5</f>
        <v>0.01</v>
      </c>
      <c r="G701" s="1483"/>
      <c r="H701" s="848"/>
      <c r="I701" s="1476">
        <f>I700*F701</f>
        <v>9144.9498869531344</v>
      </c>
    </row>
    <row r="702" spans="1:12" ht="15">
      <c r="B702" s="1470"/>
      <c r="C702" s="1473"/>
      <c r="D702" s="1473"/>
      <c r="E702" s="1888" t="s">
        <v>5683</v>
      </c>
      <c r="F702" s="1888"/>
      <c r="G702" s="1889"/>
      <c r="H702" s="1890"/>
      <c r="I702" s="1862">
        <f>ROUND(I700+I701,-2)</f>
        <v>923600</v>
      </c>
    </row>
    <row r="703" spans="1:12" ht="15">
      <c r="A703" s="657">
        <v>1</v>
      </c>
      <c r="B703" s="1549">
        <f>IF(A703&lt;&gt;0,COUNTA(A$7:$A703),"")</f>
        <v>41</v>
      </c>
      <c r="C703" s="1555">
        <f>'8.Dgia'!C2208</f>
        <v>1776</v>
      </c>
      <c r="D703" s="1696" t="str">
        <f>'8.Dgia'!D2208</f>
        <v>AK.91121</v>
      </c>
      <c r="E703" s="1848" t="str">
        <f>'8.Dgia'!E2208</f>
        <v>Sơn kẻ đường dày 1.5mm</v>
      </c>
      <c r="F703" s="1849" t="str">
        <f>'8.Dgia'!G2208</f>
        <v>m2</v>
      </c>
      <c r="G703" s="1850">
        <f>'8.Dgia'!H2208</f>
        <v>0</v>
      </c>
      <c r="H703" s="1851"/>
      <c r="I703" s="1852"/>
      <c r="J703" s="842">
        <f>+I704</f>
        <v>105712.78242424242</v>
      </c>
      <c r="K703" s="842">
        <f>+I709</f>
        <v>42679.69</v>
      </c>
      <c r="L703" s="842">
        <f>+I710</f>
        <v>34246.454831157316</v>
      </c>
    </row>
    <row r="704" spans="1:12" ht="15">
      <c r="B704" s="2020"/>
      <c r="C704" s="1555">
        <f>'8.Dgia'!C2209</f>
        <v>0</v>
      </c>
      <c r="D704" s="1552">
        <f>'8.Dgia'!D2209</f>
        <v>0</v>
      </c>
      <c r="E704" s="2018" t="str">
        <f>'8.Dgia'!E2209</f>
        <v xml:space="preserve">  A - Vật liệu</v>
      </c>
      <c r="F704" s="1771">
        <f>'8.Dgia'!G2209</f>
        <v>0</v>
      </c>
      <c r="G704" s="1772">
        <f>'8.Dgia'!H2209</f>
        <v>0</v>
      </c>
      <c r="H704" s="1853"/>
      <c r="I704" s="1854">
        <f>SUM(I705:I708)</f>
        <v>105712.78242424242</v>
      </c>
    </row>
    <row r="705" spans="2:10" ht="15">
      <c r="B705" s="1551" t="str">
        <f>'8.Dgia'!B2210</f>
        <v/>
      </c>
      <c r="C705" s="1555">
        <f>'8.Dgia'!C2210</f>
        <v>0</v>
      </c>
      <c r="D705" s="1552">
        <f>'8.Dgia'!D2210</f>
        <v>0</v>
      </c>
      <c r="E705" s="1775" t="str">
        <f>'8.Dgia'!E2210</f>
        <v>Sơn dẻo nhiệt</v>
      </c>
      <c r="F705" s="1771" t="str">
        <f>'8.Dgia'!G2210</f>
        <v>kg</v>
      </c>
      <c r="G705" s="1772">
        <f>'8.Dgia'!H2210</f>
        <v>3.94</v>
      </c>
      <c r="H705" s="1853">
        <f>GVL!$I$161</f>
        <v>20100</v>
      </c>
      <c r="I705" s="1824">
        <f>H705*G705</f>
        <v>79194</v>
      </c>
    </row>
    <row r="706" spans="2:10" ht="15">
      <c r="B706" s="1551" t="str">
        <f>'8.Dgia'!B2211</f>
        <v/>
      </c>
      <c r="C706" s="1555">
        <f>'8.Dgia'!C2211</f>
        <v>0</v>
      </c>
      <c r="D706" s="1552">
        <f>'8.Dgia'!D2211</f>
        <v>0</v>
      </c>
      <c r="E706" s="1775" t="str">
        <f>'8.Dgia'!E2211</f>
        <v xml:space="preserve">Sơn </v>
      </c>
      <c r="F706" s="1771" t="str">
        <f>'8.Dgia'!G2211</f>
        <v>kg</v>
      </c>
      <c r="G706" s="1772">
        <f>'8.Dgia'!H2211</f>
        <v>0.25</v>
      </c>
      <c r="H706" s="1853">
        <f>GVL!$I$159</f>
        <v>86666.666666666672</v>
      </c>
      <c r="I706" s="1824">
        <f>H706*G706</f>
        <v>21666.666666666668</v>
      </c>
    </row>
    <row r="707" spans="2:10" ht="15">
      <c r="B707" s="1551" t="str">
        <f>'8.Dgia'!B2212</f>
        <v/>
      </c>
      <c r="C707" s="1555">
        <f>'8.Dgia'!C2212</f>
        <v>0</v>
      </c>
      <c r="D707" s="1552">
        <f>'8.Dgia'!D2212</f>
        <v>0</v>
      </c>
      <c r="E707" s="1775" t="str">
        <f>'8.Dgia'!E2212</f>
        <v>Gas</v>
      </c>
      <c r="F707" s="1771" t="str">
        <f>'8.Dgia'!G2212</f>
        <v>kg</v>
      </c>
      <c r="G707" s="1772">
        <f>'8.Dgia'!H2212</f>
        <v>0.13800000000000001</v>
      </c>
      <c r="H707" s="1853">
        <f>GVL!$I$91</f>
        <v>27575.757575757572</v>
      </c>
      <c r="I707" s="1824">
        <f>H707*G707</f>
        <v>3805.4545454545455</v>
      </c>
    </row>
    <row r="708" spans="2:10" ht="15">
      <c r="B708" s="1551" t="str">
        <f>'8.Dgia'!B2213</f>
        <v/>
      </c>
      <c r="C708" s="1555">
        <f>'8.Dgia'!C2213</f>
        <v>0</v>
      </c>
      <c r="D708" s="1552">
        <f>'8.Dgia'!D2213</f>
        <v>0</v>
      </c>
      <c r="E708" s="1775" t="str">
        <f>'8.Dgia'!E2213</f>
        <v>Vật liệu khác</v>
      </c>
      <c r="F708" s="1771" t="str">
        <f>'8.Dgia'!G2213</f>
        <v>%</v>
      </c>
      <c r="G708" s="1772">
        <f>'8.Dgia'!H2213</f>
        <v>1</v>
      </c>
      <c r="H708" s="1853">
        <f>SUM(I705:I707)</f>
        <v>104666.12121212122</v>
      </c>
      <c r="I708" s="1824">
        <f>H708*G708%</f>
        <v>1046.6612121212122</v>
      </c>
    </row>
    <row r="709" spans="2:10" ht="15">
      <c r="B709" s="1551" t="str">
        <f>'8.Dgia'!B2214</f>
        <v/>
      </c>
      <c r="C709" s="1555">
        <f>'8.Dgia'!C2214</f>
        <v>0</v>
      </c>
      <c r="D709" s="1552">
        <f>'8.Dgia'!D2214</f>
        <v>0</v>
      </c>
      <c r="E709" s="1775" t="str">
        <f>'8.Dgia'!E2214</f>
        <v xml:space="preserve">  B - Nhân công 4.5/7</v>
      </c>
      <c r="F709" s="1771" t="s">
        <v>552</v>
      </c>
      <c r="G709" s="1772">
        <f>'8.Dgia'!H2214</f>
        <v>0.17</v>
      </c>
      <c r="H709" s="1853">
        <f>'16.NC'!$G$20</f>
        <v>251057</v>
      </c>
      <c r="I709" s="1854">
        <f>H709*G709</f>
        <v>42679.69</v>
      </c>
    </row>
    <row r="710" spans="2:10" ht="15">
      <c r="B710" s="1551" t="str">
        <f>'8.Dgia'!B2215</f>
        <v/>
      </c>
      <c r="C710" s="1555">
        <f>'8.Dgia'!C2215</f>
        <v>0</v>
      </c>
      <c r="D710" s="1552">
        <f>'8.Dgia'!D2215</f>
        <v>0</v>
      </c>
      <c r="E710" s="1775" t="str">
        <f>'8.Dgia'!E2215</f>
        <v xml:space="preserve">  C - Máy thi công</v>
      </c>
      <c r="F710" s="1771">
        <f>'8.Dgia'!G2215</f>
        <v>0</v>
      </c>
      <c r="G710" s="1772">
        <f>'8.Dgia'!H2215</f>
        <v>0</v>
      </c>
      <c r="H710" s="1853"/>
      <c r="I710" s="1854">
        <f>SUM(I711:I714)</f>
        <v>34246.454831157316</v>
      </c>
      <c r="J710" s="842">
        <v>19692</v>
      </c>
    </row>
    <row r="711" spans="2:10" ht="15">
      <c r="B711" s="1551" t="str">
        <f>'8.Dgia'!B2216</f>
        <v/>
      </c>
      <c r="C711" s="1555">
        <f>'8.Dgia'!C2216</f>
        <v>0</v>
      </c>
      <c r="D711" s="1552">
        <f>'8.Dgia'!D2216</f>
        <v>0</v>
      </c>
      <c r="E711" s="1775" t="str">
        <f>'8.Dgia'!E2216</f>
        <v>Thiết bị sơn kẻ vạch</v>
      </c>
      <c r="F711" s="1771" t="s">
        <v>5493</v>
      </c>
      <c r="G711" s="1772">
        <f>'8.Dgia'!H2216</f>
        <v>2.8000000000000001E-2</v>
      </c>
      <c r="H711" s="1853">
        <f>'9.may'!$P$410</f>
        <v>133431.15</v>
      </c>
      <c r="I711" s="1824">
        <f>H711*G711</f>
        <v>3736.0722000000001</v>
      </c>
    </row>
    <row r="712" spans="2:10" ht="15">
      <c r="B712" s="1551" t="str">
        <f>'8.Dgia'!B2217</f>
        <v/>
      </c>
      <c r="C712" s="1555">
        <f>'8.Dgia'!C2217</f>
        <v>0</v>
      </c>
      <c r="D712" s="1552">
        <f>'8.Dgia'!D2217</f>
        <v>0</v>
      </c>
      <c r="E712" s="1775" t="str">
        <f>'8.Dgia'!E2217</f>
        <v>Lò nấu sơn</v>
      </c>
      <c r="F712" s="1771" t="s">
        <v>5493</v>
      </c>
      <c r="G712" s="1772">
        <f>'8.Dgia'!H2217</f>
        <v>2.8000000000000001E-2</v>
      </c>
      <c r="H712" s="1853">
        <f>'9.may'!$P$411</f>
        <v>581752.06365269469</v>
      </c>
      <c r="I712" s="1824">
        <f>H712*G712</f>
        <v>16289.057782275451</v>
      </c>
    </row>
    <row r="713" spans="2:10" ht="15">
      <c r="B713" s="1551" t="str">
        <f>'8.Dgia'!B2218</f>
        <v/>
      </c>
      <c r="C713" s="1555">
        <f>'8.Dgia'!C2218</f>
        <v>0</v>
      </c>
      <c r="D713" s="1552">
        <f>'8.Dgia'!D2218</f>
        <v>0</v>
      </c>
      <c r="E713" s="1775" t="str">
        <f>'8.Dgia'!E2218</f>
        <v>Ôtô vận tải thùng 2.5T</v>
      </c>
      <c r="F713" s="1771" t="s">
        <v>5493</v>
      </c>
      <c r="G713" s="1772">
        <f>'8.Dgia'!H2218</f>
        <v>2.5999999999999999E-2</v>
      </c>
      <c r="H713" s="1853">
        <f>'9.may'!$P$131</f>
        <v>521147.14363636356</v>
      </c>
      <c r="I713" s="1824">
        <f>H713*G713</f>
        <v>13549.825734545451</v>
      </c>
    </row>
    <row r="714" spans="2:10" ht="15">
      <c r="B714" s="1551" t="str">
        <f>'8.Dgia'!B2219</f>
        <v/>
      </c>
      <c r="C714" s="1555">
        <f>'8.Dgia'!C2219</f>
        <v>0</v>
      </c>
      <c r="D714" s="1552">
        <f>'8.Dgia'!D2219</f>
        <v>0</v>
      </c>
      <c r="E714" s="1775" t="str">
        <f>'8.Dgia'!E2219</f>
        <v>Máy khác</v>
      </c>
      <c r="F714" s="1771" t="str">
        <f>'8.Dgia'!G2219</f>
        <v>%</v>
      </c>
      <c r="G714" s="1772">
        <f>'8.Dgia'!H2219</f>
        <v>2</v>
      </c>
      <c r="H714" s="1853">
        <f>SUM(I711:I713)</f>
        <v>33574.955716820899</v>
      </c>
      <c r="I714" s="1824">
        <f>H714*G714%</f>
        <v>671.49911433641796</v>
      </c>
    </row>
    <row r="715" spans="2:10" ht="15">
      <c r="B715" s="1551"/>
      <c r="C715" s="1555"/>
      <c r="D715" s="1552"/>
      <c r="E715" s="1828" t="s">
        <v>5675</v>
      </c>
      <c r="F715" s="1856">
        <f>$J$5</f>
        <v>0.02</v>
      </c>
      <c r="G715" s="1772"/>
      <c r="H715" s="1853"/>
      <c r="I715" s="1863">
        <f>( I704+I709+I710 )*F715</f>
        <v>3652.7785451079944</v>
      </c>
    </row>
    <row r="716" spans="2:10" ht="15">
      <c r="B716" s="1551"/>
      <c r="C716" s="1555"/>
      <c r="D716" s="1552"/>
      <c r="E716" s="1831" t="s">
        <v>5676</v>
      </c>
      <c r="F716" s="1831"/>
      <c r="G716" s="1772"/>
      <c r="H716" s="1853"/>
      <c r="I716" s="1833">
        <f>I715+I715/F715</f>
        <v>186291.70580050771</v>
      </c>
    </row>
    <row r="717" spans="2:10" ht="15">
      <c r="B717" s="1551"/>
      <c r="C717" s="1555"/>
      <c r="D717" s="1552"/>
      <c r="E717" s="1834" t="s">
        <v>5677</v>
      </c>
      <c r="F717" s="1858">
        <f>$K$5</f>
        <v>5.7750000000000003E-2</v>
      </c>
      <c r="G717" s="1772"/>
      <c r="H717" s="1853"/>
      <c r="I717" s="1835">
        <f>I716*F717</f>
        <v>10758.346009979321</v>
      </c>
    </row>
    <row r="718" spans="2:10" ht="15">
      <c r="B718" s="1551"/>
      <c r="C718" s="1555"/>
      <c r="D718" s="1552"/>
      <c r="E718" s="1834" t="s">
        <v>5678</v>
      </c>
      <c r="F718" s="1856">
        <f>$L$5</f>
        <v>0.06</v>
      </c>
      <c r="G718" s="1772"/>
      <c r="H718" s="1853"/>
      <c r="I718" s="1835">
        <f>SUM(I716:I717)*F718</f>
        <v>11823.003108629222</v>
      </c>
    </row>
    <row r="719" spans="2:10" ht="15">
      <c r="B719" s="1551"/>
      <c r="C719" s="1555"/>
      <c r="D719" s="1552"/>
      <c r="E719" s="1831" t="s">
        <v>5679</v>
      </c>
      <c r="F719" s="1831"/>
      <c r="G719" s="1772"/>
      <c r="H719" s="1853"/>
      <c r="I719" s="1833">
        <f>SUM(I716:I718)</f>
        <v>208873.05491911626</v>
      </c>
    </row>
    <row r="720" spans="2:10" ht="15">
      <c r="B720" s="1551"/>
      <c r="C720" s="1555"/>
      <c r="D720" s="1552"/>
      <c r="E720" s="1834" t="s">
        <v>5680</v>
      </c>
      <c r="F720" s="1856">
        <f>$M$5</f>
        <v>0.1</v>
      </c>
      <c r="G720" s="1772"/>
      <c r="H720" s="1853"/>
      <c r="I720" s="1835">
        <f>I719*F720</f>
        <v>20887.305491911626</v>
      </c>
    </row>
    <row r="721" spans="1:12" ht="15">
      <c r="B721" s="1551"/>
      <c r="C721" s="1555"/>
      <c r="D721" s="1552"/>
      <c r="E721" s="1831" t="s">
        <v>5681</v>
      </c>
      <c r="F721" s="1831"/>
      <c r="G721" s="1772"/>
      <c r="H721" s="1853"/>
      <c r="I721" s="1833">
        <f>SUM(I719:I720)</f>
        <v>229760.36041102788</v>
      </c>
    </row>
    <row r="722" spans="1:12" ht="12.75">
      <c r="B722" s="1551"/>
      <c r="C722" s="1555"/>
      <c r="D722" s="1552"/>
      <c r="E722" s="1558" t="s">
        <v>5682</v>
      </c>
      <c r="F722" s="1595">
        <f>$N$5</f>
        <v>0.01</v>
      </c>
      <c r="G722" s="1553"/>
      <c r="H722" s="1594"/>
      <c r="I722" s="1559">
        <f>I721*F722</f>
        <v>2297.6036041102789</v>
      </c>
    </row>
    <row r="723" spans="1:12" ht="15">
      <c r="B723" s="1596"/>
      <c r="C723" s="1597"/>
      <c r="D723" s="1597"/>
      <c r="E723" s="1859" t="s">
        <v>5683</v>
      </c>
      <c r="F723" s="1859"/>
      <c r="G723" s="1860"/>
      <c r="H723" s="1861"/>
      <c r="I723" s="1862">
        <f>ROUND(I721+I722,-2)</f>
        <v>232100</v>
      </c>
    </row>
    <row r="724" spans="1:12" ht="15">
      <c r="A724" s="657">
        <v>1</v>
      </c>
      <c r="B724" s="1549">
        <f>IF(A724&lt;&gt;0,COUNTA(A$7:$A724),"")</f>
        <v>42</v>
      </c>
      <c r="C724" s="1555">
        <f>'8.Dgia'!C2254</f>
        <v>1776</v>
      </c>
      <c r="D724" s="1696" t="str">
        <f>'8.Dgia'!D2254</f>
        <v>AB.66143</v>
      </c>
      <c r="E724" s="1848" t="str">
        <f>'8.Dgia'!E2254</f>
        <v>Đắp cát bằng đầm cóc K95</v>
      </c>
      <c r="F724" s="1849" t="s">
        <v>545</v>
      </c>
      <c r="G724" s="1850">
        <f>'8.Dgia'!H2254</f>
        <v>0</v>
      </c>
      <c r="H724" s="1851"/>
      <c r="I724" s="1852"/>
      <c r="J724" s="842">
        <f>+I725</f>
        <v>156278.09792676373</v>
      </c>
      <c r="K724" s="842">
        <f>+I727</f>
        <v>9539.5244999999995</v>
      </c>
      <c r="L724" s="842">
        <f>+I728</f>
        <v>2788.6011756950456</v>
      </c>
    </row>
    <row r="725" spans="1:12" ht="15">
      <c r="B725" s="1551" t="str">
        <f>'8.Dgia'!B2255</f>
        <v/>
      </c>
      <c r="C725" s="1555">
        <f>'8.Dgia'!C2255</f>
        <v>0</v>
      </c>
      <c r="D725" s="1552">
        <f>'8.Dgia'!D2255</f>
        <v>0</v>
      </c>
      <c r="E725" s="2018" t="str">
        <f>'8.Dgia'!E2255</f>
        <v xml:space="preserve">  A - Vật liệu</v>
      </c>
      <c r="F725" s="1771">
        <f>'8.Dgia'!G2255</f>
        <v>0</v>
      </c>
      <c r="G725" s="1772">
        <f>'8.Dgia'!H2255</f>
        <v>0</v>
      </c>
      <c r="H725" s="1853"/>
      <c r="I725" s="1854">
        <f>I726</f>
        <v>156278.09792676373</v>
      </c>
    </row>
    <row r="726" spans="1:12" ht="15">
      <c r="B726" s="2020"/>
      <c r="C726" s="1555">
        <f>'8.Dgia'!C2256</f>
        <v>0</v>
      </c>
      <c r="D726" s="1552">
        <f>'8.Dgia'!D2256</f>
        <v>0</v>
      </c>
      <c r="E726" s="1775" t="str">
        <f>'8.Dgia'!E2256</f>
        <v>Cát vàng</v>
      </c>
      <c r="F726" s="1771" t="str">
        <f>'8.Dgia'!G2256</f>
        <v>m3</v>
      </c>
      <c r="G726" s="1772">
        <f>'8.Dgia'!H2256/100</f>
        <v>1.22</v>
      </c>
      <c r="H726" s="1853">
        <f>GVL!$I$39</f>
        <v>128096.80157931453</v>
      </c>
      <c r="I726" s="1824">
        <f>H726*G726</f>
        <v>156278.09792676373</v>
      </c>
    </row>
    <row r="727" spans="1:12" ht="15">
      <c r="B727" s="1551" t="str">
        <f>'8.Dgia'!B2257</f>
        <v/>
      </c>
      <c r="C727" s="1555">
        <f>'8.Dgia'!C2257</f>
        <v>0</v>
      </c>
      <c r="D727" s="1552">
        <f>'8.Dgia'!D2257</f>
        <v>0</v>
      </c>
      <c r="E727" s="1775" t="str">
        <f>'8.Dgia'!E2257</f>
        <v xml:space="preserve">  B - Nhân công 3.0/7</v>
      </c>
      <c r="F727" s="1771" t="s">
        <v>552</v>
      </c>
      <c r="G727" s="1772">
        <f>'8.Dgia'!H2257/100</f>
        <v>4.7899999999999998E-2</v>
      </c>
      <c r="H727" s="1853">
        <f>'16.NC'!$G$13</f>
        <v>199155</v>
      </c>
      <c r="I727" s="1854">
        <f>H727*G727</f>
        <v>9539.5244999999995</v>
      </c>
    </row>
    <row r="728" spans="1:12" ht="15">
      <c r="B728" s="1551" t="str">
        <f>'8.Dgia'!B2258</f>
        <v/>
      </c>
      <c r="C728" s="1555">
        <f>'8.Dgia'!C2258</f>
        <v>0</v>
      </c>
      <c r="D728" s="1552">
        <f>'8.Dgia'!D2258</f>
        <v>0</v>
      </c>
      <c r="E728" s="1775" t="str">
        <f>'8.Dgia'!E2258</f>
        <v xml:space="preserve">  C - Máy thi công</v>
      </c>
      <c r="F728" s="1771">
        <f>'8.Dgia'!G2258</f>
        <v>0</v>
      </c>
      <c r="G728" s="1772">
        <f>'8.Dgia'!H2258</f>
        <v>0</v>
      </c>
      <c r="H728" s="1853"/>
      <c r="I728" s="1854">
        <f>SUM(I729:I730)</f>
        <v>2788.6011756950456</v>
      </c>
    </row>
    <row r="729" spans="1:12" ht="15">
      <c r="B729" s="1551" t="str">
        <f>'8.Dgia'!B2259</f>
        <v/>
      </c>
      <c r="C729" s="1555">
        <f>'8.Dgia'!C2259</f>
        <v>0</v>
      </c>
      <c r="D729" s="1552">
        <f>'8.Dgia'!D2259</f>
        <v>0</v>
      </c>
      <c r="E729" s="1775" t="str">
        <f>'8.Dgia'!E2259</f>
        <v>Đầm cóc</v>
      </c>
      <c r="F729" s="1771" t="s">
        <v>5493</v>
      </c>
      <c r="G729" s="1772">
        <f>'8.Dgia'!H2259/100</f>
        <v>2.4700000000000003E-2</v>
      </c>
      <c r="H729" s="1853">
        <f>'9.may'!$P$98</f>
        <v>111230.37736363636</v>
      </c>
      <c r="I729" s="1824">
        <f>H729*G729</f>
        <v>2747.3903208818183</v>
      </c>
    </row>
    <row r="730" spans="1:12" ht="15">
      <c r="B730" s="1551" t="str">
        <f>'8.Dgia'!B2260</f>
        <v/>
      </c>
      <c r="C730" s="1555">
        <f>'8.Dgia'!C2260</f>
        <v>0</v>
      </c>
      <c r="D730" s="1552">
        <f>'8.Dgia'!D2260</f>
        <v>0</v>
      </c>
      <c r="E730" s="1775" t="str">
        <f>'8.Dgia'!E2260</f>
        <v>Máy khác</v>
      </c>
      <c r="F730" s="1771" t="str">
        <f>'8.Dgia'!G2260</f>
        <v>%</v>
      </c>
      <c r="G730" s="1772">
        <f>'8.Dgia'!H2260</f>
        <v>1.5</v>
      </c>
      <c r="H730" s="1853">
        <f>+I729</f>
        <v>2747.3903208818183</v>
      </c>
      <c r="I730" s="1824">
        <f>H730*G730%</f>
        <v>41.210854813227272</v>
      </c>
    </row>
    <row r="731" spans="1:12" ht="15">
      <c r="B731" s="1551"/>
      <c r="C731" s="1555"/>
      <c r="D731" s="1552"/>
      <c r="E731" s="1828" t="s">
        <v>5675</v>
      </c>
      <c r="F731" s="1856">
        <f>$J$5</f>
        <v>0.02</v>
      </c>
      <c r="G731" s="1772"/>
      <c r="H731" s="1853"/>
      <c r="I731" s="1863">
        <f>( I725+I727+I728 )*F731</f>
        <v>3372.1244720491754</v>
      </c>
    </row>
    <row r="732" spans="1:12" ht="15">
      <c r="B732" s="1551"/>
      <c r="C732" s="1555"/>
      <c r="D732" s="1552"/>
      <c r="E732" s="1831" t="s">
        <v>5676</v>
      </c>
      <c r="F732" s="1831"/>
      <c r="G732" s="1772"/>
      <c r="H732" s="1853"/>
      <c r="I732" s="1833">
        <f>I731+I731/F731</f>
        <v>171978.34807450796</v>
      </c>
    </row>
    <row r="733" spans="1:12" ht="15">
      <c r="B733" s="1551"/>
      <c r="C733" s="1555"/>
      <c r="D733" s="1552"/>
      <c r="E733" s="1834" t="s">
        <v>5677</v>
      </c>
      <c r="F733" s="1858">
        <f>$K$5</f>
        <v>5.7750000000000003E-2</v>
      </c>
      <c r="G733" s="1772"/>
      <c r="H733" s="1853"/>
      <c r="I733" s="1835">
        <f>I732*F733</f>
        <v>9931.7496013028358</v>
      </c>
    </row>
    <row r="734" spans="1:12" ht="15">
      <c r="B734" s="1551"/>
      <c r="C734" s="1555"/>
      <c r="D734" s="1552"/>
      <c r="E734" s="1834" t="s">
        <v>5678</v>
      </c>
      <c r="F734" s="1856">
        <f>$L$5</f>
        <v>0.06</v>
      </c>
      <c r="G734" s="1772"/>
      <c r="H734" s="1853"/>
      <c r="I734" s="1835">
        <f>SUM(I732:I733)*F734</f>
        <v>10914.605860548647</v>
      </c>
    </row>
    <row r="735" spans="1:12" ht="15">
      <c r="B735" s="1551"/>
      <c r="C735" s="1555"/>
      <c r="D735" s="1552"/>
      <c r="E735" s="1831" t="s">
        <v>5679</v>
      </c>
      <c r="F735" s="1831"/>
      <c r="G735" s="1772"/>
      <c r="H735" s="1853"/>
      <c r="I735" s="1833">
        <f>SUM(I732:I734)</f>
        <v>192824.70353635945</v>
      </c>
    </row>
    <row r="736" spans="1:12" ht="15">
      <c r="B736" s="1551"/>
      <c r="C736" s="1555"/>
      <c r="D736" s="1552"/>
      <c r="E736" s="1834" t="s">
        <v>5680</v>
      </c>
      <c r="F736" s="1856">
        <f>$M$5</f>
        <v>0.1</v>
      </c>
      <c r="G736" s="1772"/>
      <c r="H736" s="1853"/>
      <c r="I736" s="1835">
        <f>I735*F736</f>
        <v>19282.470353635945</v>
      </c>
    </row>
    <row r="737" spans="1:11" ht="15">
      <c r="B737" s="1551"/>
      <c r="C737" s="1555"/>
      <c r="D737" s="1552"/>
      <c r="E737" s="1831" t="s">
        <v>5681</v>
      </c>
      <c r="F737" s="1831"/>
      <c r="G737" s="1772"/>
      <c r="H737" s="1853"/>
      <c r="I737" s="1833">
        <f>SUM(I735:I736)</f>
        <v>212107.17388999538</v>
      </c>
    </row>
    <row r="738" spans="1:11" ht="12.75">
      <c r="B738" s="1551"/>
      <c r="C738" s="1555"/>
      <c r="D738" s="1552"/>
      <c r="E738" s="1558" t="s">
        <v>5682</v>
      </c>
      <c r="F738" s="1595">
        <f>$N$5</f>
        <v>0.01</v>
      </c>
      <c r="G738" s="1553"/>
      <c r="H738" s="1594"/>
      <c r="I738" s="1559">
        <f>I737*F738</f>
        <v>2121.0717388999537</v>
      </c>
    </row>
    <row r="739" spans="1:11" ht="15">
      <c r="B739" s="1596"/>
      <c r="C739" s="1597"/>
      <c r="D739" s="1597"/>
      <c r="E739" s="1859" t="s">
        <v>5683</v>
      </c>
      <c r="F739" s="1859"/>
      <c r="G739" s="1860"/>
      <c r="H739" s="1861"/>
      <c r="I739" s="1862">
        <f>ROUND(I737+I738,-2)</f>
        <v>214200</v>
      </c>
    </row>
    <row r="740" spans="1:11" ht="15">
      <c r="A740" s="657">
        <v>1</v>
      </c>
      <c r="B740" s="1549">
        <f>IF(A740&lt;&gt;0,COUNTA(A$7:$A740),"")</f>
        <v>43</v>
      </c>
      <c r="C740" s="1555">
        <f>'8.Dgia'!C2261</f>
        <v>1776</v>
      </c>
      <c r="D740" s="1696" t="str">
        <f>'8.Dgia'!D2261</f>
        <v>AB.13411</v>
      </c>
      <c r="E740" s="1848" t="str">
        <f>'8.Dgia'!E2261</f>
        <v>Đắp cát (thủ công)</v>
      </c>
      <c r="F740" s="1849" t="str">
        <f>'8.Dgia'!G2261</f>
        <v>m3</v>
      </c>
      <c r="G740" s="1850">
        <f>'8.Dgia'!H2261</f>
        <v>0</v>
      </c>
      <c r="H740" s="1851"/>
      <c r="I740" s="1852"/>
      <c r="J740" s="842">
        <f>+I741</f>
        <v>115995.03634966264</v>
      </c>
      <c r="K740" s="842">
        <f>+I744</f>
        <v>89619.75</v>
      </c>
    </row>
    <row r="741" spans="1:11" ht="15">
      <c r="B741" s="1551" t="str">
        <f>'8.Dgia'!B2262</f>
        <v/>
      </c>
      <c r="C741" s="1555">
        <f>'8.Dgia'!C2262</f>
        <v>0</v>
      </c>
      <c r="D741" s="1552">
        <f>'8.Dgia'!D2262</f>
        <v>0</v>
      </c>
      <c r="E741" s="2018" t="str">
        <f>'8.Dgia'!E2262</f>
        <v xml:space="preserve">  A - Vật liệu</v>
      </c>
      <c r="F741" s="1771">
        <f>'8.Dgia'!G2262</f>
        <v>0</v>
      </c>
      <c r="G741" s="1772">
        <f>'8.Dgia'!H2262</f>
        <v>0</v>
      </c>
      <c r="H741" s="1853"/>
      <c r="I741" s="1854">
        <f>SUM(I742:I743)</f>
        <v>115995.03634966264</v>
      </c>
    </row>
    <row r="742" spans="1:11" ht="15">
      <c r="B742" s="1551" t="str">
        <f>'8.Dgia'!B2263</f>
        <v/>
      </c>
      <c r="C742" s="1555">
        <f>'8.Dgia'!C2263</f>
        <v>0</v>
      </c>
      <c r="D742" s="1552">
        <f>'8.Dgia'!D2263</f>
        <v>0</v>
      </c>
      <c r="E742" s="1775" t="str">
        <f>'8.Dgia'!E2263</f>
        <v>Cát đen</v>
      </c>
      <c r="F742" s="1771" t="str">
        <f>'8.Dgia'!G2263</f>
        <v>m3</v>
      </c>
      <c r="G742" s="1772">
        <f>'8.Dgia'!H2263</f>
        <v>1.22</v>
      </c>
      <c r="H742" s="1853">
        <f>GVL!$I$37</f>
        <v>93213.626124769085</v>
      </c>
      <c r="I742" s="1824">
        <f>H742*G742</f>
        <v>113720.62387221828</v>
      </c>
    </row>
    <row r="743" spans="1:11" ht="15">
      <c r="B743" s="1551" t="str">
        <f>'8.Dgia'!B2264</f>
        <v/>
      </c>
      <c r="C743" s="1555">
        <f>'8.Dgia'!C2264</f>
        <v>0</v>
      </c>
      <c r="D743" s="1552">
        <f>'8.Dgia'!D2264</f>
        <v>0</v>
      </c>
      <c r="E743" s="1775" t="str">
        <f>'8.Dgia'!E2264</f>
        <v>Vật liệu khác</v>
      </c>
      <c r="F743" s="1771" t="str">
        <f>'8.Dgia'!G2264</f>
        <v>%</v>
      </c>
      <c r="G743" s="1772">
        <f>'8.Dgia'!H2264</f>
        <v>2</v>
      </c>
      <c r="H743" s="1853">
        <f>+I742</f>
        <v>113720.62387221828</v>
      </c>
      <c r="I743" s="1824">
        <f>H743*G743%</f>
        <v>2274.4124774443658</v>
      </c>
    </row>
    <row r="744" spans="1:11" ht="15">
      <c r="B744" s="1551" t="str">
        <f>'8.Dgia'!B2265</f>
        <v/>
      </c>
      <c r="C744" s="1555">
        <f>'8.Dgia'!C2265</f>
        <v>0</v>
      </c>
      <c r="D744" s="1552">
        <f>'8.Dgia'!D2265</f>
        <v>0</v>
      </c>
      <c r="E744" s="1775" t="str">
        <f>'8.Dgia'!E2265</f>
        <v xml:space="preserve">  B - Nhân công 3.0/7</v>
      </c>
      <c r="F744" s="1771" t="s">
        <v>552</v>
      </c>
      <c r="G744" s="1772">
        <f>'8.Dgia'!H2265</f>
        <v>0.45</v>
      </c>
      <c r="H744" s="1853">
        <f>'16.NC'!$G$13</f>
        <v>199155</v>
      </c>
      <c r="I744" s="1854">
        <f>H744*G744</f>
        <v>89619.75</v>
      </c>
    </row>
    <row r="745" spans="1:11" ht="15">
      <c r="B745" s="1551"/>
      <c r="C745" s="1555"/>
      <c r="D745" s="1552"/>
      <c r="E745" s="1828" t="s">
        <v>5675</v>
      </c>
      <c r="F745" s="1856">
        <f>$J$5</f>
        <v>0.02</v>
      </c>
      <c r="G745" s="1772"/>
      <c r="H745" s="1853"/>
      <c r="I745" s="1863">
        <f>( I741+I744 )*F745</f>
        <v>4112.2957269932531</v>
      </c>
    </row>
    <row r="746" spans="1:11" ht="15">
      <c r="B746" s="2020"/>
      <c r="C746" s="1555"/>
      <c r="D746" s="1552"/>
      <c r="E746" s="1831" t="s">
        <v>5676</v>
      </c>
      <c r="F746" s="1831"/>
      <c r="G746" s="1772"/>
      <c r="H746" s="1853"/>
      <c r="I746" s="1833">
        <f>I745+I745/F745</f>
        <v>209727.0820766559</v>
      </c>
    </row>
    <row r="747" spans="1:11" ht="15">
      <c r="B747" s="1551"/>
      <c r="C747" s="1555"/>
      <c r="D747" s="1552"/>
      <c r="E747" s="1834" t="s">
        <v>5677</v>
      </c>
      <c r="F747" s="1858">
        <f>$K$5</f>
        <v>5.7750000000000003E-2</v>
      </c>
      <c r="G747" s="1772"/>
      <c r="H747" s="1853"/>
      <c r="I747" s="1835">
        <f>I746*F747</f>
        <v>12111.738989926878</v>
      </c>
    </row>
    <row r="748" spans="1:11" ht="15">
      <c r="B748" s="1551"/>
      <c r="C748" s="1555"/>
      <c r="D748" s="1552"/>
      <c r="E748" s="1834" t="s">
        <v>5678</v>
      </c>
      <c r="F748" s="1856">
        <f>$L$5</f>
        <v>0.06</v>
      </c>
      <c r="G748" s="1772"/>
      <c r="H748" s="1853"/>
      <c r="I748" s="1835">
        <f>SUM(I746:I747)*F748</f>
        <v>13310.329263994967</v>
      </c>
    </row>
    <row r="749" spans="1:11" ht="15">
      <c r="B749" s="1551"/>
      <c r="C749" s="1555"/>
      <c r="D749" s="1552"/>
      <c r="E749" s="1831" t="s">
        <v>5679</v>
      </c>
      <c r="F749" s="1831"/>
      <c r="G749" s="1772"/>
      <c r="H749" s="1853"/>
      <c r="I749" s="1833">
        <f>SUM(I746:I748)</f>
        <v>235149.15033057774</v>
      </c>
    </row>
    <row r="750" spans="1:11" ht="15">
      <c r="B750" s="1551"/>
      <c r="C750" s="1555"/>
      <c r="D750" s="1552"/>
      <c r="E750" s="1834" t="s">
        <v>5680</v>
      </c>
      <c r="F750" s="1856">
        <f>$M$5</f>
        <v>0.1</v>
      </c>
      <c r="G750" s="1772"/>
      <c r="H750" s="1853"/>
      <c r="I750" s="1835">
        <f>I749*F750</f>
        <v>23514.915033057776</v>
      </c>
    </row>
    <row r="751" spans="1:11" ht="15">
      <c r="B751" s="1551"/>
      <c r="C751" s="1555"/>
      <c r="D751" s="1552"/>
      <c r="E751" s="1831" t="s">
        <v>5681</v>
      </c>
      <c r="F751" s="1831"/>
      <c r="G751" s="1772"/>
      <c r="H751" s="1853"/>
      <c r="I751" s="1833">
        <f>SUM(I749:I750)</f>
        <v>258664.06536363551</v>
      </c>
    </row>
    <row r="752" spans="1:11" ht="12.75">
      <c r="B752" s="1551"/>
      <c r="C752" s="1555"/>
      <c r="D752" s="1552"/>
      <c r="E752" s="1558" t="s">
        <v>5682</v>
      </c>
      <c r="F752" s="1595">
        <f>$N$5</f>
        <v>0.01</v>
      </c>
      <c r="G752" s="1553"/>
      <c r="H752" s="1594"/>
      <c r="I752" s="1559">
        <f>I751*F752</f>
        <v>2586.6406536363552</v>
      </c>
    </row>
    <row r="753" spans="1:12" ht="15">
      <c r="B753" s="1596"/>
      <c r="C753" s="1597"/>
      <c r="D753" s="1597"/>
      <c r="E753" s="1859" t="s">
        <v>5683</v>
      </c>
      <c r="F753" s="1859"/>
      <c r="G753" s="1860"/>
      <c r="H753" s="1861"/>
      <c r="I753" s="1862">
        <f>ROUND(I751+I752,-2)</f>
        <v>261300</v>
      </c>
    </row>
    <row r="754" spans="1:12" ht="15">
      <c r="A754" s="657">
        <v>1</v>
      </c>
      <c r="B754" s="1549">
        <f>IF(A754&lt;&gt;0,COUNTA(A$7:$A754),"")</f>
        <v>44</v>
      </c>
      <c r="C754" s="1555">
        <f>'8.Dgia'!C2266</f>
        <v>1776</v>
      </c>
      <c r="D754" s="1696" t="str">
        <f>'8.Dgia'!D2266</f>
        <v>AB.25111</v>
      </c>
      <c r="E754" s="1848" t="str">
        <f>'8.Dgia'!E2266</f>
        <v>Đào hố móng</v>
      </c>
      <c r="F754" s="1849" t="s">
        <v>545</v>
      </c>
      <c r="G754" s="1850">
        <f>'8.Dgia'!H2266</f>
        <v>0</v>
      </c>
      <c r="H754" s="1851"/>
      <c r="I754" s="1852"/>
      <c r="K754" s="842">
        <f>+I755</f>
        <v>9459.8624999999993</v>
      </c>
      <c r="L754" s="842">
        <f>+I756</f>
        <v>8106.5165371636367</v>
      </c>
    </row>
    <row r="755" spans="1:12" ht="15">
      <c r="B755" s="1551" t="str">
        <f>'8.Dgia'!B2267</f>
        <v/>
      </c>
      <c r="C755" s="1555">
        <f>'8.Dgia'!C2267</f>
        <v>0</v>
      </c>
      <c r="D755" s="1552">
        <f>'8.Dgia'!D2267</f>
        <v>0</v>
      </c>
      <c r="E755" s="1775" t="str">
        <f>'8.Dgia'!E2267</f>
        <v xml:space="preserve">  B - Nhân công 3.0/7</v>
      </c>
      <c r="F755" s="1771" t="s">
        <v>552</v>
      </c>
      <c r="G755" s="1772">
        <f>'8.Dgia'!H2267/100</f>
        <v>4.7500000000000001E-2</v>
      </c>
      <c r="H755" s="1853">
        <f>'16.NC'!$G$13</f>
        <v>199155</v>
      </c>
      <c r="I755" s="1854">
        <f>H755*G755</f>
        <v>9459.8624999999993</v>
      </c>
    </row>
    <row r="756" spans="1:12" ht="15">
      <c r="B756" s="1551" t="str">
        <f>'8.Dgia'!B2268</f>
        <v/>
      </c>
      <c r="C756" s="1555">
        <f>'8.Dgia'!C2268</f>
        <v>0</v>
      </c>
      <c r="D756" s="1552">
        <f>'8.Dgia'!D2268</f>
        <v>0</v>
      </c>
      <c r="E756" s="1775" t="str">
        <f>'8.Dgia'!E2268</f>
        <v xml:space="preserve">  C - Máy thi công</v>
      </c>
      <c r="F756" s="1771">
        <f>'8.Dgia'!G2268</f>
        <v>0</v>
      </c>
      <c r="G756" s="1772">
        <f>'8.Dgia'!H2268</f>
        <v>0</v>
      </c>
      <c r="H756" s="1853"/>
      <c r="I756" s="1854">
        <f>+I757</f>
        <v>8106.5165371636367</v>
      </c>
    </row>
    <row r="757" spans="1:12" ht="15">
      <c r="B757" s="1551" t="str">
        <f>'8.Dgia'!B2269</f>
        <v/>
      </c>
      <c r="C757" s="1555">
        <f>'8.Dgia'!C2269</f>
        <v>0</v>
      </c>
      <c r="D757" s="1552">
        <f>'8.Dgia'!D2269</f>
        <v>0</v>
      </c>
      <c r="E757" s="1775" t="str">
        <f>'8.Dgia'!E2269</f>
        <v>Máy đào 0.8m3</v>
      </c>
      <c r="F757" s="1771" t="s">
        <v>5493</v>
      </c>
      <c r="G757" s="1772">
        <f>'8.Dgia'!H2269/100</f>
        <v>3.16E-3</v>
      </c>
      <c r="H757" s="1853">
        <f>'9.may'!$P$25</f>
        <v>2565353.3345454545</v>
      </c>
      <c r="I757" s="1824">
        <f>H757*G757</f>
        <v>8106.5165371636367</v>
      </c>
    </row>
    <row r="758" spans="1:12" ht="15">
      <c r="B758" s="1551"/>
      <c r="C758" s="1555"/>
      <c r="D758" s="1552"/>
      <c r="E758" s="1828" t="s">
        <v>5675</v>
      </c>
      <c r="F758" s="1856">
        <f>$J$5</f>
        <v>0.02</v>
      </c>
      <c r="G758" s="1772"/>
      <c r="H758" s="1853"/>
      <c r="I758" s="1863">
        <f>( I755+I756 )*F758</f>
        <v>351.32758074327273</v>
      </c>
    </row>
    <row r="759" spans="1:12" ht="15">
      <c r="B759" s="1551"/>
      <c r="C759" s="1555"/>
      <c r="D759" s="1552"/>
      <c r="E759" s="1831" t="s">
        <v>5676</v>
      </c>
      <c r="F759" s="1831"/>
      <c r="G759" s="1772"/>
      <c r="H759" s="1853"/>
      <c r="I759" s="1833">
        <f>I758+I758/F758</f>
        <v>17917.706617906908</v>
      </c>
    </row>
    <row r="760" spans="1:12" ht="15">
      <c r="B760" s="1551"/>
      <c r="C760" s="1555"/>
      <c r="D760" s="1552"/>
      <c r="E760" s="1834" t="s">
        <v>5677</v>
      </c>
      <c r="F760" s="1858">
        <f>$K$5</f>
        <v>5.7750000000000003E-2</v>
      </c>
      <c r="G760" s="1772"/>
      <c r="H760" s="1853"/>
      <c r="I760" s="1835">
        <f>I759*F760</f>
        <v>1034.7475571841239</v>
      </c>
    </row>
    <row r="761" spans="1:12" ht="15">
      <c r="B761" s="1551"/>
      <c r="C761" s="1555"/>
      <c r="D761" s="1552"/>
      <c r="E761" s="1834" t="s">
        <v>5678</v>
      </c>
      <c r="F761" s="1856">
        <f>$L$5</f>
        <v>0.06</v>
      </c>
      <c r="G761" s="1772"/>
      <c r="H761" s="1853"/>
      <c r="I761" s="1835">
        <f>SUM(I759:I760)*F761</f>
        <v>1137.1472505054619</v>
      </c>
    </row>
    <row r="762" spans="1:12" ht="15">
      <c r="B762" s="1551"/>
      <c r="C762" s="1555"/>
      <c r="D762" s="1552"/>
      <c r="E762" s="1831" t="s">
        <v>5679</v>
      </c>
      <c r="F762" s="1831"/>
      <c r="G762" s="1772"/>
      <c r="H762" s="1853"/>
      <c r="I762" s="1833">
        <f>SUM(I759:I761)</f>
        <v>20089.601425596495</v>
      </c>
    </row>
    <row r="763" spans="1:12" ht="15">
      <c r="B763" s="1551"/>
      <c r="C763" s="1555"/>
      <c r="D763" s="1552"/>
      <c r="E763" s="1834" t="s">
        <v>5680</v>
      </c>
      <c r="F763" s="1856">
        <f>$M$5</f>
        <v>0.1</v>
      </c>
      <c r="G763" s="1772"/>
      <c r="H763" s="1853"/>
      <c r="I763" s="1835">
        <f>I762*F763</f>
        <v>2008.9601425596495</v>
      </c>
    </row>
    <row r="764" spans="1:12" ht="15">
      <c r="B764" s="1551"/>
      <c r="C764" s="1555"/>
      <c r="D764" s="1552"/>
      <c r="E764" s="1831" t="s">
        <v>5681</v>
      </c>
      <c r="F764" s="1831"/>
      <c r="G764" s="1772"/>
      <c r="H764" s="1853"/>
      <c r="I764" s="1833">
        <f>SUM(I762:I763)</f>
        <v>22098.561568156143</v>
      </c>
    </row>
    <row r="765" spans="1:12" ht="12.75">
      <c r="B765" s="1551"/>
      <c r="C765" s="1555"/>
      <c r="D765" s="1552"/>
      <c r="E765" s="1558" t="s">
        <v>5682</v>
      </c>
      <c r="F765" s="1595">
        <f>$N$5</f>
        <v>0.01</v>
      </c>
      <c r="G765" s="1553"/>
      <c r="H765" s="1594"/>
      <c r="I765" s="1559">
        <f>I764*F765</f>
        <v>220.98561568156143</v>
      </c>
    </row>
    <row r="766" spans="1:12" ht="15">
      <c r="B766" s="1596"/>
      <c r="C766" s="1597"/>
      <c r="D766" s="1597"/>
      <c r="E766" s="1859" t="s">
        <v>5683</v>
      </c>
      <c r="F766" s="1859"/>
      <c r="G766" s="1860"/>
      <c r="H766" s="1861"/>
      <c r="I766" s="1862">
        <f>ROUND(I764+I765,-2)</f>
        <v>22300</v>
      </c>
    </row>
    <row r="767" spans="1:12" ht="15">
      <c r="A767" s="657">
        <v>1</v>
      </c>
      <c r="B767" s="1549">
        <f>IF(A767&lt;&gt;0,COUNTA(A$7:$A767),"")</f>
        <v>45</v>
      </c>
      <c r="C767" s="1555">
        <f>'8.Dgia'!C2281</f>
        <v>1776</v>
      </c>
      <c r="D767" s="1696" t="str">
        <f>'8.Dgia'!D2281</f>
        <v>AF.32110</v>
      </c>
      <c r="E767" s="1848" t="str">
        <f>'8.Dgia'!E2281</f>
        <v>Bêtông C30 thân, tường đá 1x2</v>
      </c>
      <c r="F767" s="1849" t="str">
        <f>'8.Dgia'!G2281</f>
        <v>m3</v>
      </c>
      <c r="G767" s="1850">
        <f>'8.Dgia'!H2281</f>
        <v>0</v>
      </c>
      <c r="H767" s="1851"/>
      <c r="I767" s="1892"/>
      <c r="J767" s="842">
        <f>+I768</f>
        <v>1475146.4586944962</v>
      </c>
      <c r="K767" s="842">
        <f>+I774</f>
        <v>550963.19999999995</v>
      </c>
      <c r="L767" s="842">
        <f>+I775</f>
        <v>128461.15041840001</v>
      </c>
    </row>
    <row r="768" spans="1:12" ht="15">
      <c r="B768" s="1551" t="str">
        <f>'8.Dgia'!B2282</f>
        <v/>
      </c>
      <c r="C768" s="1555">
        <f>'8.Dgia'!C2282</f>
        <v>0</v>
      </c>
      <c r="D768" s="1552">
        <f>'8.Dgia'!D2282</f>
        <v>0</v>
      </c>
      <c r="E768" s="2018" t="str">
        <f>'8.Dgia'!E2282</f>
        <v xml:space="preserve">  A - Vật liệu</v>
      </c>
      <c r="F768" s="1771">
        <f>'8.Dgia'!G2282</f>
        <v>0</v>
      </c>
      <c r="G768" s="1772">
        <f>'8.Dgia'!H2282</f>
        <v>0</v>
      </c>
      <c r="H768" s="1853"/>
      <c r="I768" s="1901">
        <f>SUM(I769:I773)</f>
        <v>1475146.4586944962</v>
      </c>
    </row>
    <row r="769" spans="2:9" ht="15">
      <c r="B769" s="1551" t="str">
        <f>'8.Dgia'!B2283</f>
        <v/>
      </c>
      <c r="C769" s="1555">
        <f>'8.Dgia'!C2283</f>
        <v>0</v>
      </c>
      <c r="D769" s="1552" t="str">
        <f>'8.Dgia'!D2283</f>
        <v>C3326</v>
      </c>
      <c r="E769" s="1775" t="str">
        <f>'8.Dgia'!E2283</f>
        <v>Vữa bê tông đá 1x2 C30 SN 14-17</v>
      </c>
      <c r="F769" s="1771" t="str">
        <f>'8.Dgia'!G2283</f>
        <v>m3</v>
      </c>
      <c r="G769" s="1772">
        <f>'8.Dgia'!H2283</f>
        <v>1.0149999999999999</v>
      </c>
      <c r="H769" s="1853">
        <f>GVL!$I$197</f>
        <v>1130771.6239684112</v>
      </c>
      <c r="I769" s="1824">
        <f>H769*G769</f>
        <v>1147733.1983279374</v>
      </c>
    </row>
    <row r="770" spans="2:9" ht="15">
      <c r="B770" s="1551" t="str">
        <f>'8.Dgia'!B2284</f>
        <v/>
      </c>
      <c r="C770" s="1555">
        <f>'8.Dgia'!C2284</f>
        <v>0</v>
      </c>
      <c r="D770" s="1552">
        <f>'8.Dgia'!D2284</f>
        <v>0</v>
      </c>
      <c r="E770" s="1775" t="str">
        <f>'8.Dgia'!E2284</f>
        <v>Gỗ</v>
      </c>
      <c r="F770" s="1771" t="str">
        <f>'8.Dgia'!G2284</f>
        <v>m3</v>
      </c>
      <c r="G770" s="1772">
        <f>'8.Dgia'!H2284</f>
        <v>4.9000000000000002E-2</v>
      </c>
      <c r="H770" s="1853">
        <f>GVL!$I$96</f>
        <v>6000000</v>
      </c>
      <c r="I770" s="1824">
        <f>H770*G770</f>
        <v>294000</v>
      </c>
    </row>
    <row r="771" spans="2:9" ht="15">
      <c r="B771" s="1551" t="str">
        <f>'8.Dgia'!B2285</f>
        <v/>
      </c>
      <c r="C771" s="1555">
        <f>'8.Dgia'!C2285</f>
        <v>0</v>
      </c>
      <c r="D771" s="1552">
        <f>'8.Dgia'!D2285</f>
        <v>0</v>
      </c>
      <c r="E771" s="1775" t="str">
        <f>'8.Dgia'!E2285</f>
        <v>Đinh các loại</v>
      </c>
      <c r="F771" s="1771" t="str">
        <f>'8.Dgia'!G2285</f>
        <v>kg</v>
      </c>
      <c r="G771" s="1772">
        <f>'8.Dgia'!H2285</f>
        <v>0.19900000000000001</v>
      </c>
      <c r="H771" s="1853">
        <f>GVL!$I$86</f>
        <v>18180</v>
      </c>
      <c r="I771" s="1824">
        <f>H771*G771</f>
        <v>3617.82</v>
      </c>
    </row>
    <row r="772" spans="2:9" ht="15">
      <c r="B772" s="1551" t="str">
        <f>'8.Dgia'!B2286</f>
        <v/>
      </c>
      <c r="C772" s="1555">
        <f>'8.Dgia'!C2286</f>
        <v>0</v>
      </c>
      <c r="D772" s="1552">
        <f>'8.Dgia'!D2286</f>
        <v>0</v>
      </c>
      <c r="E772" s="1775" t="str">
        <f>'8.Dgia'!E2286</f>
        <v>Đinh đỉa</v>
      </c>
      <c r="F772" s="1771" t="s">
        <v>567</v>
      </c>
      <c r="G772" s="1772">
        <f>'8.Dgia'!H2286</f>
        <v>0.871</v>
      </c>
      <c r="H772" s="1853">
        <f>GVL!$I$87</f>
        <v>1000</v>
      </c>
      <c r="I772" s="1824">
        <f>H772*G772</f>
        <v>871</v>
      </c>
    </row>
    <row r="773" spans="2:9" ht="15">
      <c r="B773" s="1551" t="str">
        <f>'8.Dgia'!B2287</f>
        <v/>
      </c>
      <c r="C773" s="1555">
        <f>'8.Dgia'!C2287</f>
        <v>0</v>
      </c>
      <c r="D773" s="1552">
        <f>'8.Dgia'!D2287</f>
        <v>0</v>
      </c>
      <c r="E773" s="1775" t="str">
        <f>'8.Dgia'!E2287</f>
        <v>Vật liệu khác</v>
      </c>
      <c r="F773" s="1771" t="str">
        <f>'8.Dgia'!G2287</f>
        <v>%</v>
      </c>
      <c r="G773" s="1772">
        <f>'8.Dgia'!H2287</f>
        <v>2</v>
      </c>
      <c r="H773" s="1853">
        <f>SUM(I769:I772)</f>
        <v>1446222.0183279375</v>
      </c>
      <c r="I773" s="1824">
        <f>H773*G773%</f>
        <v>28924.440366558749</v>
      </c>
    </row>
    <row r="774" spans="2:9" ht="15">
      <c r="B774" s="1551" t="str">
        <f>'8.Dgia'!B2288</f>
        <v/>
      </c>
      <c r="C774" s="1555">
        <f>'8.Dgia'!C2288</f>
        <v>0</v>
      </c>
      <c r="D774" s="1552">
        <f>'8.Dgia'!D2288</f>
        <v>0</v>
      </c>
      <c r="E774" s="1775" t="str">
        <f>'8.Dgia'!E2288</f>
        <v xml:space="preserve">  B - Nhân công 3.5/7</v>
      </c>
      <c r="F774" s="1771" t="s">
        <v>552</v>
      </c>
      <c r="G774" s="1772">
        <f>'8.Dgia'!H2288</f>
        <v>2.56</v>
      </c>
      <c r="H774" s="1853">
        <f>'16.NC'!$G$16</f>
        <v>215220</v>
      </c>
      <c r="I774" s="1854">
        <f>H774*G774</f>
        <v>550963.19999999995</v>
      </c>
    </row>
    <row r="775" spans="2:9" ht="15">
      <c r="B775" s="1551" t="str">
        <f>'8.Dgia'!B2289</f>
        <v/>
      </c>
      <c r="C775" s="1555">
        <f>'8.Dgia'!C2289</f>
        <v>0</v>
      </c>
      <c r="D775" s="1552">
        <f>'8.Dgia'!D2289</f>
        <v>0</v>
      </c>
      <c r="E775" s="1775" t="str">
        <f>'8.Dgia'!E2289</f>
        <v xml:space="preserve">  C - Máy thi công</v>
      </c>
      <c r="F775" s="1771">
        <f>'8.Dgia'!G2289</f>
        <v>0</v>
      </c>
      <c r="G775" s="1772">
        <f>'8.Dgia'!H2289</f>
        <v>0</v>
      </c>
      <c r="H775" s="1853"/>
      <c r="I775" s="1854">
        <f>SUM(I776:I778)</f>
        <v>128461.15041840001</v>
      </c>
    </row>
    <row r="776" spans="2:9" ht="15">
      <c r="B776" s="1551" t="str">
        <f>'8.Dgia'!B2290</f>
        <v/>
      </c>
      <c r="C776" s="1555">
        <f>'8.Dgia'!C2290</f>
        <v>0</v>
      </c>
      <c r="D776" s="1552">
        <f>'8.Dgia'!D2290</f>
        <v>0</v>
      </c>
      <c r="E776" s="1775" t="str">
        <f>'8.Dgia'!E2290</f>
        <v>Máy bơm BT 50m3/h</v>
      </c>
      <c r="F776" s="1771" t="s">
        <v>5493</v>
      </c>
      <c r="G776" s="1772">
        <f>'8.Dgia'!H2290</f>
        <v>3.3000000000000002E-2</v>
      </c>
      <c r="H776" s="1853">
        <f>'9.may'!$P$362</f>
        <v>3446390.13</v>
      </c>
      <c r="I776" s="1824">
        <f>H776*G776</f>
        <v>113730.87429000001</v>
      </c>
    </row>
    <row r="777" spans="2:9" ht="15">
      <c r="B777" s="1551" t="str">
        <f>'8.Dgia'!B2291</f>
        <v/>
      </c>
      <c r="C777" s="1555">
        <f>'8.Dgia'!C2291</f>
        <v>0</v>
      </c>
      <c r="D777" s="1552">
        <f>'8.Dgia'!D2291</f>
        <v>0</v>
      </c>
      <c r="E777" s="1775" t="str">
        <f>'8.Dgia'!E2291</f>
        <v>Máy đầm dùi 1.5kw</v>
      </c>
      <c r="F777" s="1771" t="s">
        <v>5493</v>
      </c>
      <c r="G777" s="1772">
        <f>'8.Dgia'!H2291</f>
        <v>0.18</v>
      </c>
      <c r="H777" s="1853">
        <f>'9.may'!$P$382</f>
        <v>74768.797500000001</v>
      </c>
      <c r="I777" s="1824">
        <f>H777*G777</f>
        <v>13458.38355</v>
      </c>
    </row>
    <row r="778" spans="2:9" ht="15">
      <c r="B778" s="1551" t="str">
        <f>'8.Dgia'!B2292</f>
        <v/>
      </c>
      <c r="C778" s="1555">
        <f>'8.Dgia'!C2292</f>
        <v>0</v>
      </c>
      <c r="D778" s="1552">
        <f>'8.Dgia'!D2292</f>
        <v>0</v>
      </c>
      <c r="E778" s="1775" t="str">
        <f>'8.Dgia'!E2292</f>
        <v>Máy khác</v>
      </c>
      <c r="F778" s="1771" t="str">
        <f>'8.Dgia'!G2292</f>
        <v>%</v>
      </c>
      <c r="G778" s="1772">
        <f>'8.Dgia'!H2292</f>
        <v>1</v>
      </c>
      <c r="H778" s="1853">
        <f>SUM(I776:I777)</f>
        <v>127189.25784000001</v>
      </c>
      <c r="I778" s="1824">
        <f>H778*G778%</f>
        <v>1271.8925784</v>
      </c>
    </row>
    <row r="779" spans="2:9" ht="15">
      <c r="B779" s="1551"/>
      <c r="C779" s="1555"/>
      <c r="D779" s="1552"/>
      <c r="E779" s="1828" t="s">
        <v>5675</v>
      </c>
      <c r="F779" s="1856">
        <f>$J$5</f>
        <v>0.02</v>
      </c>
      <c r="G779" s="1772"/>
      <c r="H779" s="1853"/>
      <c r="I779" s="1863">
        <f>( I768+I774+I775 )*F779</f>
        <v>43091.416182257926</v>
      </c>
    </row>
    <row r="780" spans="2:9" ht="15">
      <c r="B780" s="1551"/>
      <c r="C780" s="1555"/>
      <c r="D780" s="1552"/>
      <c r="E780" s="1831" t="s">
        <v>5676</v>
      </c>
      <c r="F780" s="1831"/>
      <c r="G780" s="1772"/>
      <c r="H780" s="1853"/>
      <c r="I780" s="1833">
        <f>I779+I779/F779</f>
        <v>2197662.2252951539</v>
      </c>
    </row>
    <row r="781" spans="2:9" ht="15">
      <c r="B781" s="1551"/>
      <c r="C781" s="1555"/>
      <c r="D781" s="1552"/>
      <c r="E781" s="1834" t="s">
        <v>5677</v>
      </c>
      <c r="F781" s="1858">
        <f>$K$5</f>
        <v>5.7750000000000003E-2</v>
      </c>
      <c r="G781" s="1772"/>
      <c r="H781" s="1853"/>
      <c r="I781" s="1835">
        <f>I780*F781</f>
        <v>126914.99351079515</v>
      </c>
    </row>
    <row r="782" spans="2:9" ht="15">
      <c r="B782" s="1551"/>
      <c r="C782" s="1555"/>
      <c r="D782" s="1552"/>
      <c r="E782" s="1834" t="s">
        <v>5678</v>
      </c>
      <c r="F782" s="1856">
        <f>$L$5</f>
        <v>0.06</v>
      </c>
      <c r="G782" s="1772"/>
      <c r="H782" s="1853"/>
      <c r="I782" s="1835">
        <f>SUM(I780:I781)*F782</f>
        <v>139474.63312835695</v>
      </c>
    </row>
    <row r="783" spans="2:9" ht="15">
      <c r="B783" s="1551"/>
      <c r="C783" s="1555"/>
      <c r="D783" s="1552"/>
      <c r="E783" s="1831" t="s">
        <v>5679</v>
      </c>
      <c r="F783" s="1831"/>
      <c r="G783" s="1772"/>
      <c r="H783" s="1853"/>
      <c r="I783" s="1833">
        <f>SUM(I780:I782)</f>
        <v>2464051.8519343063</v>
      </c>
    </row>
    <row r="784" spans="2:9" ht="15">
      <c r="B784" s="1551"/>
      <c r="C784" s="1555"/>
      <c r="D784" s="1552"/>
      <c r="E784" s="1834" t="s">
        <v>5680</v>
      </c>
      <c r="F784" s="1856">
        <f>$M$5</f>
        <v>0.1</v>
      </c>
      <c r="G784" s="1772"/>
      <c r="H784" s="1853"/>
      <c r="I784" s="1835">
        <f>I783*F784</f>
        <v>246405.18519343063</v>
      </c>
    </row>
    <row r="785" spans="1:12" ht="15">
      <c r="B785" s="2020"/>
      <c r="C785" s="1555"/>
      <c r="D785" s="1552"/>
      <c r="E785" s="1831" t="s">
        <v>5681</v>
      </c>
      <c r="F785" s="1831"/>
      <c r="G785" s="1772"/>
      <c r="H785" s="1853"/>
      <c r="I785" s="1833">
        <f>SUM(I783:I784)</f>
        <v>2710457.037127737</v>
      </c>
    </row>
    <row r="786" spans="1:12" ht="12.75">
      <c r="B786" s="1551"/>
      <c r="C786" s="1555"/>
      <c r="D786" s="1552"/>
      <c r="E786" s="1558" t="s">
        <v>5682</v>
      </c>
      <c r="F786" s="1595">
        <f>$N$5</f>
        <v>0.01</v>
      </c>
      <c r="G786" s="1553"/>
      <c r="H786" s="1594"/>
      <c r="I786" s="1559">
        <f>I785*F786</f>
        <v>27104.570371277368</v>
      </c>
    </row>
    <row r="787" spans="1:12" ht="15">
      <c r="B787" s="1596"/>
      <c r="C787" s="1597"/>
      <c r="D787" s="1597"/>
      <c r="E787" s="1859" t="s">
        <v>5683</v>
      </c>
      <c r="F787" s="1859"/>
      <c r="G787" s="1860"/>
      <c r="H787" s="1861"/>
      <c r="I787" s="1862">
        <f>ROUND(I785+I786,-2)</f>
        <v>2737600</v>
      </c>
    </row>
    <row r="788" spans="1:12" ht="15">
      <c r="A788" s="657">
        <v>1</v>
      </c>
      <c r="B788" s="1549">
        <f>IF(A788&lt;&gt;0,COUNTA(A$7:$A788),"")</f>
        <v>46</v>
      </c>
      <c r="C788" s="1555">
        <f>'8.Dgia'!C2293</f>
        <v>1776</v>
      </c>
      <c r="D788" s="1696" t="str">
        <f>'8.Dgia'!D2293</f>
        <v>AF.61321</v>
      </c>
      <c r="E788" s="1848" t="str">
        <f>'8.Dgia'!E2293</f>
        <v>Cốt thép tường các loại</v>
      </c>
      <c r="F788" s="1849" t="str">
        <f>'8.Dgia'!G2293</f>
        <v>tấn/ton</v>
      </c>
      <c r="G788" s="1850">
        <f>'8.Dgia'!H2293</f>
        <v>0</v>
      </c>
      <c r="H788" s="1851"/>
      <c r="I788" s="1892"/>
      <c r="J788" s="842">
        <f>+I789</f>
        <v>17284349.289381817</v>
      </c>
      <c r="K788" s="842">
        <f>+I793</f>
        <v>2404007.4</v>
      </c>
      <c r="L788" s="842">
        <f>+I794</f>
        <v>217940.44560000001</v>
      </c>
    </row>
    <row r="789" spans="1:12" s="658" customFormat="1" ht="15">
      <c r="B789" s="1551" t="str">
        <f>'8.Dgia'!B2294</f>
        <v/>
      </c>
      <c r="C789" s="1555">
        <f>'8.Dgia'!C2294</f>
        <v>0</v>
      </c>
      <c r="D789" s="1552">
        <f>'8.Dgia'!D2294</f>
        <v>0</v>
      </c>
      <c r="E789" s="2018" t="str">
        <f>'8.Dgia'!E2294</f>
        <v xml:space="preserve">  A - Vật liệu</v>
      </c>
      <c r="F789" s="1771">
        <f>'8.Dgia'!G2294</f>
        <v>0</v>
      </c>
      <c r="G789" s="1772">
        <f>'8.Dgia'!H2294</f>
        <v>0</v>
      </c>
      <c r="H789" s="1853"/>
      <c r="I789" s="1854">
        <f>SUM(I790:I792)</f>
        <v>17284349.289381817</v>
      </c>
      <c r="J789" s="850"/>
      <c r="K789" s="850"/>
      <c r="L789" s="850"/>
    </row>
    <row r="790" spans="1:12" ht="15">
      <c r="B790" s="1551" t="str">
        <f>'8.Dgia'!B2295</f>
        <v/>
      </c>
      <c r="C790" s="1555">
        <f>'8.Dgia'!C2295</f>
        <v>0</v>
      </c>
      <c r="D790" s="1552">
        <f>'8.Dgia'!D2295</f>
        <v>0</v>
      </c>
      <c r="E790" s="1775" t="str">
        <f>'8.Dgia'!E2295</f>
        <v>Thép tròn D&lt;=18</v>
      </c>
      <c r="F790" s="1771" t="str">
        <f>'8.Dgia'!G2295</f>
        <v>kg</v>
      </c>
      <c r="G790" s="1966">
        <f>'8.Dgia'!H2295</f>
        <v>1020</v>
      </c>
      <c r="H790" s="1853">
        <f>GVL!$I$180</f>
        <v>16604.075560000001</v>
      </c>
      <c r="I790" s="1824">
        <f>H790*G790</f>
        <v>16936157.071200002</v>
      </c>
    </row>
    <row r="791" spans="1:12" ht="15">
      <c r="B791" s="1551" t="str">
        <f>'8.Dgia'!B2296</f>
        <v/>
      </c>
      <c r="C791" s="1555">
        <f>'8.Dgia'!C2296</f>
        <v>0</v>
      </c>
      <c r="D791" s="1552">
        <f>'8.Dgia'!D2296</f>
        <v>0</v>
      </c>
      <c r="E791" s="1775" t="str">
        <f>'8.Dgia'!E2296</f>
        <v>Dây thép buộc</v>
      </c>
      <c r="F791" s="1771" t="str">
        <f>'8.Dgia'!G2296</f>
        <v>kg</v>
      </c>
      <c r="G791" s="1772">
        <f>'8.Dgia'!H2296</f>
        <v>14.28</v>
      </c>
      <c r="H791" s="1853">
        <f>GVL!$I$89</f>
        <v>18180</v>
      </c>
      <c r="I791" s="1824">
        <f>H791*G791</f>
        <v>259610.4</v>
      </c>
    </row>
    <row r="792" spans="1:12" ht="15">
      <c r="B792" s="1551" t="str">
        <f>'8.Dgia'!B2297</f>
        <v/>
      </c>
      <c r="C792" s="1555">
        <f>'8.Dgia'!C2297</f>
        <v>0</v>
      </c>
      <c r="D792" s="1552">
        <f>'8.Dgia'!D2297</f>
        <v>0</v>
      </c>
      <c r="E792" s="1775" t="str">
        <f>'8.Dgia'!E2297</f>
        <v>Que hàn</v>
      </c>
      <c r="F792" s="1771" t="str">
        <f>'8.Dgia'!G2297</f>
        <v>kg</v>
      </c>
      <c r="G792" s="1772">
        <f>'8.Dgia'!H2297</f>
        <v>4.6399999999999997</v>
      </c>
      <c r="H792" s="1853">
        <f>GVL!$I$153</f>
        <v>19090.909090909088</v>
      </c>
      <c r="I792" s="1824">
        <f>H792*G792</f>
        <v>88581.818181818162</v>
      </c>
    </row>
    <row r="793" spans="1:12" s="658" customFormat="1" ht="15">
      <c r="B793" s="1551" t="str">
        <f>'8.Dgia'!B2298</f>
        <v/>
      </c>
      <c r="C793" s="1555">
        <f>'8.Dgia'!C2298</f>
        <v>0</v>
      </c>
      <c r="D793" s="1552">
        <f>'8.Dgia'!D2298</f>
        <v>0</v>
      </c>
      <c r="E793" s="1775" t="str">
        <f>'8.Dgia'!E2298</f>
        <v xml:space="preserve">  B - Nhân công 3.5/7</v>
      </c>
      <c r="F793" s="1771" t="s">
        <v>552</v>
      </c>
      <c r="G793" s="1772">
        <f>'8.Dgia'!H2298</f>
        <v>11.17</v>
      </c>
      <c r="H793" s="1853">
        <f>'16.NC'!$G$16</f>
        <v>215220</v>
      </c>
      <c r="I793" s="1854">
        <f>H793*G793</f>
        <v>2404007.4</v>
      </c>
      <c r="J793" s="850"/>
      <c r="K793" s="850"/>
      <c r="L793" s="850"/>
    </row>
    <row r="794" spans="1:12" s="658" customFormat="1" ht="15">
      <c r="B794" s="1551" t="str">
        <f>'8.Dgia'!B2299</f>
        <v/>
      </c>
      <c r="C794" s="1555">
        <f>'8.Dgia'!C2299</f>
        <v>0</v>
      </c>
      <c r="D794" s="1552">
        <f>'8.Dgia'!D2299</f>
        <v>0</v>
      </c>
      <c r="E794" s="1775" t="str">
        <f>'8.Dgia'!E2299</f>
        <v xml:space="preserve">  C - Máy thi công</v>
      </c>
      <c r="F794" s="1771">
        <f>'8.Dgia'!G2299</f>
        <v>0</v>
      </c>
      <c r="G794" s="1772">
        <f>'8.Dgia'!H2299</f>
        <v>0</v>
      </c>
      <c r="H794" s="1853"/>
      <c r="I794" s="1854">
        <f>SUM(I795:I796)</f>
        <v>217940.44560000001</v>
      </c>
      <c r="J794" s="850"/>
      <c r="K794" s="850"/>
      <c r="L794" s="850"/>
    </row>
    <row r="795" spans="1:12" ht="15">
      <c r="B795" s="1551" t="str">
        <f>'8.Dgia'!B2300</f>
        <v/>
      </c>
      <c r="C795" s="1555">
        <f>'8.Dgia'!C2300</f>
        <v>0</v>
      </c>
      <c r="D795" s="1552">
        <f>'8.Dgia'!D2300</f>
        <v>0</v>
      </c>
      <c r="E795" s="1775" t="str">
        <f>'8.Dgia'!E2300</f>
        <v>Máy hàn 23kw</v>
      </c>
      <c r="F795" s="1771" t="s">
        <v>5493</v>
      </c>
      <c r="G795" s="1772">
        <f>'8.Dgia'!H2300</f>
        <v>1.1200000000000001</v>
      </c>
      <c r="H795" s="1853">
        <f>'9.may'!$P$510</f>
        <v>171649.155</v>
      </c>
      <c r="I795" s="1824">
        <f>H795*G795</f>
        <v>192247.05360000001</v>
      </c>
    </row>
    <row r="796" spans="1:12" ht="15">
      <c r="B796" s="1551" t="str">
        <f>'8.Dgia'!B2301</f>
        <v/>
      </c>
      <c r="C796" s="1555">
        <f>'8.Dgia'!C2301</f>
        <v>0</v>
      </c>
      <c r="D796" s="1552">
        <f>'8.Dgia'!D2301</f>
        <v>0</v>
      </c>
      <c r="E796" s="1775" t="str">
        <f>'8.Dgia'!E2301</f>
        <v>Máy cắt uốn</v>
      </c>
      <c r="F796" s="1771" t="s">
        <v>5493</v>
      </c>
      <c r="G796" s="1772">
        <f>'8.Dgia'!H2301</f>
        <v>0.32</v>
      </c>
      <c r="H796" s="1853">
        <f>'9.may'!$P$557</f>
        <v>80291.850000000006</v>
      </c>
      <c r="I796" s="1824">
        <f>H796*G796</f>
        <v>25693.392000000003</v>
      </c>
    </row>
    <row r="797" spans="1:12" ht="15">
      <c r="B797" s="1551"/>
      <c r="C797" s="1555"/>
      <c r="D797" s="1552"/>
      <c r="E797" s="1828" t="s">
        <v>5675</v>
      </c>
      <c r="F797" s="1856">
        <f>$J$5</f>
        <v>0.02</v>
      </c>
      <c r="G797" s="1772"/>
      <c r="H797" s="1853"/>
      <c r="I797" s="1863">
        <f>( I789+I793+I794 )*F797</f>
        <v>398125.94269963633</v>
      </c>
    </row>
    <row r="798" spans="1:12" ht="15">
      <c r="B798" s="1551"/>
      <c r="C798" s="1555"/>
      <c r="D798" s="1552"/>
      <c r="E798" s="1831" t="s">
        <v>5676</v>
      </c>
      <c r="F798" s="1831"/>
      <c r="G798" s="1772"/>
      <c r="H798" s="1853"/>
      <c r="I798" s="1833">
        <f>I797+I797/F797</f>
        <v>20304423.077681452</v>
      </c>
    </row>
    <row r="799" spans="1:12" ht="15">
      <c r="B799" s="1551"/>
      <c r="C799" s="1555"/>
      <c r="D799" s="1552"/>
      <c r="E799" s="1834" t="s">
        <v>5677</v>
      </c>
      <c r="F799" s="1858">
        <f>$K$5</f>
        <v>5.7750000000000003E-2</v>
      </c>
      <c r="G799" s="1772"/>
      <c r="H799" s="1853"/>
      <c r="I799" s="1835">
        <f>I798*F799</f>
        <v>1172580.4327361039</v>
      </c>
    </row>
    <row r="800" spans="1:12" ht="15">
      <c r="B800" s="1551"/>
      <c r="C800" s="1555"/>
      <c r="D800" s="1552"/>
      <c r="E800" s="1834" t="s">
        <v>5678</v>
      </c>
      <c r="F800" s="1856">
        <f>$L$5</f>
        <v>0.06</v>
      </c>
      <c r="G800" s="1772"/>
      <c r="H800" s="1853"/>
      <c r="I800" s="1835">
        <f>SUM(I798:I799)*F800</f>
        <v>1288620.2106250532</v>
      </c>
    </row>
    <row r="801" spans="1:12" ht="15">
      <c r="B801" s="1551"/>
      <c r="C801" s="1555"/>
      <c r="D801" s="1552"/>
      <c r="E801" s="1831" t="s">
        <v>5679</v>
      </c>
      <c r="F801" s="1831"/>
      <c r="G801" s="1772"/>
      <c r="H801" s="1853"/>
      <c r="I801" s="1833">
        <f>SUM(I798:I800)</f>
        <v>22765623.721042607</v>
      </c>
    </row>
    <row r="802" spans="1:12" ht="15">
      <c r="B802" s="1551"/>
      <c r="C802" s="1555"/>
      <c r="D802" s="1552"/>
      <c r="E802" s="1834" t="s">
        <v>5680</v>
      </c>
      <c r="F802" s="1856">
        <f>$M$5</f>
        <v>0.1</v>
      </c>
      <c r="G802" s="1772"/>
      <c r="H802" s="1853"/>
      <c r="I802" s="1835">
        <f>I801*F802</f>
        <v>2276562.3721042606</v>
      </c>
    </row>
    <row r="803" spans="1:12" ht="15">
      <c r="B803" s="1551"/>
      <c r="C803" s="1555"/>
      <c r="D803" s="1552"/>
      <c r="E803" s="1831" t="s">
        <v>5681</v>
      </c>
      <c r="F803" s="1831"/>
      <c r="G803" s="1772"/>
      <c r="H803" s="1853"/>
      <c r="I803" s="1833">
        <f>SUM(I801:I802)</f>
        <v>25042186.093146868</v>
      </c>
    </row>
    <row r="804" spans="1:12" ht="12.75">
      <c r="B804" s="1551"/>
      <c r="C804" s="1555"/>
      <c r="D804" s="1552"/>
      <c r="E804" s="1558" t="s">
        <v>5682</v>
      </c>
      <c r="F804" s="1595">
        <f>$N$5</f>
        <v>0.01</v>
      </c>
      <c r="G804" s="1553"/>
      <c r="H804" s="1594"/>
      <c r="I804" s="1559">
        <f>I803*F804</f>
        <v>250421.86093146869</v>
      </c>
    </row>
    <row r="805" spans="1:12" ht="15">
      <c r="B805" s="1596"/>
      <c r="C805" s="1597"/>
      <c r="D805" s="1597"/>
      <c r="E805" s="1859" t="s">
        <v>5683</v>
      </c>
      <c r="F805" s="1859"/>
      <c r="G805" s="1860"/>
      <c r="H805" s="1861"/>
      <c r="I805" s="1862">
        <f>ROUND(I803+I804,-2)</f>
        <v>25292600</v>
      </c>
    </row>
    <row r="806" spans="1:12" ht="15" customHeight="1">
      <c r="A806" s="657">
        <v>1</v>
      </c>
      <c r="B806" s="1549">
        <f>IF(A806&lt;&gt;0,COUNTA(A$7:$A806),"")</f>
        <v>47</v>
      </c>
      <c r="C806" s="1555">
        <f>'8.Dgia'!C2311</f>
        <v>1776</v>
      </c>
      <c r="D806" s="1696" t="str">
        <f>'8.Dgia'!D2311</f>
        <v>AF.11110</v>
      </c>
      <c r="E806" s="1848" t="str">
        <f>'8.Dgia'!E2311</f>
        <v>Bê tông C10 lót móng đá 4x6, R&lt;250cm</v>
      </c>
      <c r="F806" s="1849" t="str">
        <f>'8.Dgia'!G2311</f>
        <v>m3</v>
      </c>
      <c r="G806" s="1850">
        <f>'8.Dgia'!H2311</f>
        <v>0</v>
      </c>
      <c r="H806" s="1851"/>
      <c r="I806" s="1852"/>
      <c r="J806" s="842">
        <f>+I807</f>
        <v>641012.71135604917</v>
      </c>
      <c r="K806" s="842">
        <f>+I809</f>
        <v>282800.09999999998</v>
      </c>
      <c r="L806" s="842">
        <f>+I810</f>
        <v>23229.762015</v>
      </c>
    </row>
    <row r="807" spans="1:12" s="658" customFormat="1" ht="15">
      <c r="B807" s="1551" t="str">
        <f>'8.Dgia'!B2312</f>
        <v/>
      </c>
      <c r="C807" s="1555">
        <f>'8.Dgia'!C2312</f>
        <v>0</v>
      </c>
      <c r="D807" s="1552">
        <f>'8.Dgia'!D2312</f>
        <v>0</v>
      </c>
      <c r="E807" s="2018" t="str">
        <f>'8.Dgia'!E2312</f>
        <v xml:space="preserve">  A - Vật liệu</v>
      </c>
      <c r="F807" s="1771">
        <f>'8.Dgia'!G2312</f>
        <v>0</v>
      </c>
      <c r="G807" s="1772">
        <f>'8.Dgia'!H2312</f>
        <v>0</v>
      </c>
      <c r="H807" s="1853"/>
      <c r="I807" s="1854">
        <f>+I808</f>
        <v>641012.71135604917</v>
      </c>
      <c r="J807" s="850"/>
      <c r="K807" s="850"/>
      <c r="L807" s="850"/>
    </row>
    <row r="808" spans="1:12" ht="15">
      <c r="B808" s="1551" t="str">
        <f>'8.Dgia'!B2313</f>
        <v/>
      </c>
      <c r="C808" s="1555">
        <f>'8.Dgia'!C2313</f>
        <v>0</v>
      </c>
      <c r="D808" s="1552" t="str">
        <f>'8.Dgia'!D2313</f>
        <v>C2141</v>
      </c>
      <c r="E808" s="1775" t="str">
        <f>'8.Dgia'!E2313</f>
        <v>Vữa bê tông đá 4x6 C10 SN 2-4</v>
      </c>
      <c r="F808" s="1771" t="str">
        <f>'8.Dgia'!G2313</f>
        <v>m3</v>
      </c>
      <c r="G808" s="1772">
        <f>'8.Dgia'!H2313</f>
        <v>1.03</v>
      </c>
      <c r="H808" s="1853">
        <f>GVL!$I$202</f>
        <v>622342.43820975651</v>
      </c>
      <c r="I808" s="1824">
        <f>H808*G808</f>
        <v>641012.71135604917</v>
      </c>
    </row>
    <row r="809" spans="1:12" s="658" customFormat="1" ht="15">
      <c r="B809" s="1551" t="str">
        <f>'8.Dgia'!B2314</f>
        <v/>
      </c>
      <c r="C809" s="1555">
        <f>'8.Dgia'!C2314</f>
        <v>0</v>
      </c>
      <c r="D809" s="1552">
        <f>'8.Dgia'!D2314</f>
        <v>0</v>
      </c>
      <c r="E809" s="1775" t="str">
        <f>'8.Dgia'!E2314</f>
        <v xml:space="preserve">  B - Nhân công 3.0/7</v>
      </c>
      <c r="F809" s="1771" t="s">
        <v>552</v>
      </c>
      <c r="G809" s="1772">
        <f>'8.Dgia'!H2314</f>
        <v>1.42</v>
      </c>
      <c r="H809" s="1853">
        <f>'16.NC'!$G$13</f>
        <v>199155</v>
      </c>
      <c r="I809" s="1854">
        <f>H809*G809</f>
        <v>282800.09999999998</v>
      </c>
      <c r="J809" s="850"/>
      <c r="K809" s="850"/>
      <c r="L809" s="850"/>
    </row>
    <row r="810" spans="1:12" s="658" customFormat="1" ht="15">
      <c r="B810" s="1551" t="str">
        <f>'8.Dgia'!B2315</f>
        <v/>
      </c>
      <c r="C810" s="1555">
        <f>'8.Dgia'!C2315</f>
        <v>0</v>
      </c>
      <c r="D810" s="1552">
        <f>'8.Dgia'!D2315</f>
        <v>0</v>
      </c>
      <c r="E810" s="1775" t="str">
        <f>'8.Dgia'!E2315</f>
        <v xml:space="preserve">  C - Máy thi công</v>
      </c>
      <c r="F810" s="1771">
        <f>'8.Dgia'!G2315</f>
        <v>0</v>
      </c>
      <c r="G810" s="1772">
        <f>'8.Dgia'!H2315</f>
        <v>0</v>
      </c>
      <c r="H810" s="1853"/>
      <c r="I810" s="1854">
        <f>SUM(I811:I812)</f>
        <v>23229.762015</v>
      </c>
      <c r="J810" s="850"/>
      <c r="K810" s="850"/>
      <c r="L810" s="850"/>
    </row>
    <row r="811" spans="1:12" ht="15">
      <c r="B811" s="1551" t="str">
        <f>'8.Dgia'!B2316</f>
        <v/>
      </c>
      <c r="C811" s="1555">
        <f>'8.Dgia'!C2316</f>
        <v>0</v>
      </c>
      <c r="D811" s="1552">
        <f>'8.Dgia'!D2316</f>
        <v>0</v>
      </c>
      <c r="E811" s="1775" t="str">
        <f>'8.Dgia'!E2316</f>
        <v>Máy trộn 250l</v>
      </c>
      <c r="F811" s="1771" t="s">
        <v>5493</v>
      </c>
      <c r="G811" s="1772">
        <f>'8.Dgia'!H2316</f>
        <v>9.5000000000000001E-2</v>
      </c>
      <c r="H811" s="1853">
        <f>'9.may'!$P$333</f>
        <v>180447.90000000002</v>
      </c>
      <c r="I811" s="1824">
        <f>H811*G811</f>
        <v>17142.550500000001</v>
      </c>
    </row>
    <row r="812" spans="1:12" ht="15">
      <c r="B812" s="1551" t="str">
        <f>'8.Dgia'!B2317</f>
        <v/>
      </c>
      <c r="C812" s="1555">
        <f>'8.Dgia'!C2317</f>
        <v>0</v>
      </c>
      <c r="D812" s="1552">
        <f>'8.Dgia'!D2317</f>
        <v>0</v>
      </c>
      <c r="E812" s="1775" t="str">
        <f>'8.Dgia'!E2317</f>
        <v>Máy đầm bàn 1kw</v>
      </c>
      <c r="F812" s="1771" t="s">
        <v>5493</v>
      </c>
      <c r="G812" s="1772">
        <f>'8.Dgia'!H2317</f>
        <v>8.8999999999999996E-2</v>
      </c>
      <c r="H812" s="1853">
        <f>'9.may'!$P$381</f>
        <v>68395.634999999995</v>
      </c>
      <c r="I812" s="1824">
        <f>H812*G812</f>
        <v>6087.2115149999991</v>
      </c>
    </row>
    <row r="813" spans="1:12" ht="15">
      <c r="B813" s="1551"/>
      <c r="C813" s="1555"/>
      <c r="D813" s="1552"/>
      <c r="E813" s="1828" t="s">
        <v>5675</v>
      </c>
      <c r="F813" s="1856">
        <f>$J$5</f>
        <v>0.02</v>
      </c>
      <c r="G813" s="1772"/>
      <c r="H813" s="1853"/>
      <c r="I813" s="1863">
        <f>( I807+I809+I810 )*F813</f>
        <v>18940.851467420984</v>
      </c>
    </row>
    <row r="814" spans="1:12" ht="15">
      <c r="B814" s="1551"/>
      <c r="C814" s="1555"/>
      <c r="D814" s="1552"/>
      <c r="E814" s="1831" t="s">
        <v>5676</v>
      </c>
      <c r="F814" s="1831"/>
      <c r="G814" s="1772"/>
      <c r="H814" s="1853"/>
      <c r="I814" s="1833">
        <f>I813+I813/F813</f>
        <v>965983.42483847006</v>
      </c>
    </row>
    <row r="815" spans="1:12" ht="15">
      <c r="B815" s="1551"/>
      <c r="C815" s="1555"/>
      <c r="D815" s="1552"/>
      <c r="E815" s="1834" t="s">
        <v>5677</v>
      </c>
      <c r="F815" s="1858">
        <f>$K$5</f>
        <v>5.7750000000000003E-2</v>
      </c>
      <c r="G815" s="1772"/>
      <c r="H815" s="1853"/>
      <c r="I815" s="1835">
        <f>I814*F815</f>
        <v>55785.542784421647</v>
      </c>
    </row>
    <row r="816" spans="1:12" ht="15">
      <c r="B816" s="1551"/>
      <c r="C816" s="1555"/>
      <c r="D816" s="1552"/>
      <c r="E816" s="1834" t="s">
        <v>5678</v>
      </c>
      <c r="F816" s="1856">
        <f>$L$5</f>
        <v>0.06</v>
      </c>
      <c r="G816" s="1772"/>
      <c r="H816" s="1853"/>
      <c r="I816" s="1835">
        <f>SUM(I814:I815)*F816</f>
        <v>61306.1380573735</v>
      </c>
    </row>
    <row r="817" spans="1:12" ht="15">
      <c r="B817" s="1551"/>
      <c r="C817" s="1555"/>
      <c r="D817" s="1552"/>
      <c r="E817" s="1831" t="s">
        <v>5679</v>
      </c>
      <c r="F817" s="1831"/>
      <c r="G817" s="1772"/>
      <c r="H817" s="1853"/>
      <c r="I817" s="1833">
        <f>SUM(I814:I816)</f>
        <v>1083075.1056802652</v>
      </c>
    </row>
    <row r="818" spans="1:12" ht="15">
      <c r="B818" s="1551"/>
      <c r="C818" s="1555"/>
      <c r="D818" s="1552"/>
      <c r="E818" s="1834" t="s">
        <v>5680</v>
      </c>
      <c r="F818" s="1856">
        <f>$M$5</f>
        <v>0.1</v>
      </c>
      <c r="G818" s="1772"/>
      <c r="H818" s="1853"/>
      <c r="I818" s="1835">
        <f>I817*F818</f>
        <v>108307.51056802653</v>
      </c>
    </row>
    <row r="819" spans="1:12" ht="15">
      <c r="B819" s="1551"/>
      <c r="C819" s="1555"/>
      <c r="D819" s="1552"/>
      <c r="E819" s="1831" t="s">
        <v>5681</v>
      </c>
      <c r="F819" s="1831"/>
      <c r="G819" s="1772"/>
      <c r="H819" s="1853"/>
      <c r="I819" s="1833">
        <f>SUM(I817:I818)</f>
        <v>1191382.6162482917</v>
      </c>
    </row>
    <row r="820" spans="1:12" ht="12.75">
      <c r="B820" s="1551"/>
      <c r="C820" s="1555"/>
      <c r="D820" s="1552"/>
      <c r="E820" s="1558" t="s">
        <v>5682</v>
      </c>
      <c r="F820" s="1595">
        <f>$N$5</f>
        <v>0.01</v>
      </c>
      <c r="G820" s="1553"/>
      <c r="H820" s="1594"/>
      <c r="I820" s="1559">
        <f>I819*F820</f>
        <v>11913.826162482917</v>
      </c>
    </row>
    <row r="821" spans="1:12" ht="15">
      <c r="B821" s="1596"/>
      <c r="C821" s="1597"/>
      <c r="D821" s="1597"/>
      <c r="E821" s="1859" t="s">
        <v>5683</v>
      </c>
      <c r="F821" s="1859"/>
      <c r="G821" s="1860"/>
      <c r="H821" s="1861"/>
      <c r="I821" s="1862">
        <f>ROUND(I819+I820,-2)</f>
        <v>1203300</v>
      </c>
    </row>
    <row r="822" spans="1:12" ht="15">
      <c r="A822" s="657">
        <v>1</v>
      </c>
      <c r="B822" s="1549">
        <f>IF(A822&lt;&gt;0,COUNTA(A$7:$A822),"")</f>
        <v>48</v>
      </c>
      <c r="C822" s="1472">
        <f>'8.Dgia'!C2361</f>
        <v>0</v>
      </c>
      <c r="D822" s="1694" t="str">
        <f>'8.Dgia'!D2361</f>
        <v>Tạm tính</v>
      </c>
      <c r="E822" s="1877" t="str">
        <f>'8.Dgia'!E2361</f>
        <v>Bu lông D16mm</v>
      </c>
      <c r="F822" s="1878" t="s">
        <v>307</v>
      </c>
      <c r="G822" s="1879">
        <f>'8.Dgia'!H2361</f>
        <v>0</v>
      </c>
      <c r="H822" s="1880"/>
      <c r="I822" s="1881"/>
      <c r="J822" s="842">
        <f>+I823</f>
        <v>3500</v>
      </c>
    </row>
    <row r="823" spans="1:12" s="658" customFormat="1" ht="15">
      <c r="B823" s="362" t="str">
        <f>'8.Dgia'!B2362</f>
        <v/>
      </c>
      <c r="C823" s="1472">
        <f>'8.Dgia'!C2362</f>
        <v>0</v>
      </c>
      <c r="D823" s="1482">
        <f>'8.Dgia'!D2362</f>
        <v>0</v>
      </c>
      <c r="E823" s="2011" t="str">
        <f>'8.Dgia'!E2362</f>
        <v xml:space="preserve">  A - Vật liệu</v>
      </c>
      <c r="F823" s="1882">
        <f>'8.Dgia'!G2362</f>
        <v>0</v>
      </c>
      <c r="G823" s="1809">
        <f>'8.Dgia'!H2362</f>
        <v>0</v>
      </c>
      <c r="H823" s="1883"/>
      <c r="I823" s="1884">
        <f>+I824</f>
        <v>3500</v>
      </c>
      <c r="J823" s="850"/>
      <c r="K823" s="850"/>
      <c r="L823" s="850"/>
    </row>
    <row r="824" spans="1:12" ht="15">
      <c r="B824" s="362" t="str">
        <f>'8.Dgia'!B2363</f>
        <v/>
      </c>
      <c r="C824" s="1472">
        <f>'8.Dgia'!C2363</f>
        <v>0</v>
      </c>
      <c r="D824" s="1482">
        <f>'8.Dgia'!D2363</f>
        <v>0</v>
      </c>
      <c r="E824" s="1811" t="str">
        <f>'8.Dgia'!E2363</f>
        <v>Bu lông D16mm</v>
      </c>
      <c r="F824" s="1882" t="s">
        <v>307</v>
      </c>
      <c r="G824" s="1809">
        <f>'8.Dgia'!H2363</f>
        <v>1</v>
      </c>
      <c r="H824" s="1883">
        <f>GVL!$I$25</f>
        <v>3500</v>
      </c>
      <c r="I824" s="1792">
        <f>H824*G824</f>
        <v>3500</v>
      </c>
    </row>
    <row r="825" spans="1:12" ht="15">
      <c r="B825" s="2020"/>
      <c r="C825" s="1472"/>
      <c r="D825" s="1482"/>
      <c r="E825" s="1813" t="s">
        <v>5675</v>
      </c>
      <c r="F825" s="1885">
        <f>$J$5</f>
        <v>0.02</v>
      </c>
      <c r="G825" s="1809"/>
      <c r="H825" s="1883"/>
      <c r="I825" s="1886">
        <f>( I823 )*F825</f>
        <v>70</v>
      </c>
    </row>
    <row r="826" spans="1:12" ht="15">
      <c r="B826" s="362"/>
      <c r="C826" s="1472"/>
      <c r="D826" s="1482"/>
      <c r="E826" s="1817" t="s">
        <v>5676</v>
      </c>
      <c r="F826" s="1817"/>
      <c r="G826" s="1809"/>
      <c r="H826" s="1883"/>
      <c r="I826" s="1820">
        <f>I825+I825/F825</f>
        <v>3570</v>
      </c>
    </row>
    <row r="827" spans="1:12" ht="15">
      <c r="B827" s="362"/>
      <c r="C827" s="1472"/>
      <c r="D827" s="1482"/>
      <c r="E827" s="1821" t="s">
        <v>5677</v>
      </c>
      <c r="F827" s="1887">
        <f>$K$5</f>
        <v>5.7750000000000003E-2</v>
      </c>
      <c r="G827" s="1809"/>
      <c r="H827" s="1883"/>
      <c r="I827" s="1822">
        <f>I826*F827</f>
        <v>206.16750000000002</v>
      </c>
    </row>
    <row r="828" spans="1:12" ht="15">
      <c r="B828" s="362"/>
      <c r="C828" s="1472"/>
      <c r="D828" s="1482"/>
      <c r="E828" s="1821" t="s">
        <v>5678</v>
      </c>
      <c r="F828" s="1885">
        <f>$L$5</f>
        <v>0.06</v>
      </c>
      <c r="G828" s="1809"/>
      <c r="H828" s="1883"/>
      <c r="I828" s="1822">
        <f>SUM(I826:I827)*F828</f>
        <v>226.57004999999998</v>
      </c>
    </row>
    <row r="829" spans="1:12" ht="15">
      <c r="B829" s="362"/>
      <c r="C829" s="1472"/>
      <c r="D829" s="1482"/>
      <c r="E829" s="1817" t="s">
        <v>5679</v>
      </c>
      <c r="F829" s="1817"/>
      <c r="G829" s="1809"/>
      <c r="H829" s="1883"/>
      <c r="I829" s="1820">
        <f>SUM(I826:I828)</f>
        <v>4002.7375499999998</v>
      </c>
    </row>
    <row r="830" spans="1:12" ht="15">
      <c r="B830" s="362"/>
      <c r="C830" s="1472"/>
      <c r="D830" s="1482"/>
      <c r="E830" s="1821" t="s">
        <v>5680</v>
      </c>
      <c r="F830" s="1885">
        <f>$M$5</f>
        <v>0.1</v>
      </c>
      <c r="G830" s="1809"/>
      <c r="H830" s="1883"/>
      <c r="I830" s="1822">
        <f>I829*F830</f>
        <v>400.27375499999999</v>
      </c>
    </row>
    <row r="831" spans="1:12" ht="15">
      <c r="B831" s="362"/>
      <c r="C831" s="1472"/>
      <c r="D831" s="1482"/>
      <c r="E831" s="1817" t="s">
        <v>5681</v>
      </c>
      <c r="F831" s="1817"/>
      <c r="G831" s="1809"/>
      <c r="H831" s="1883"/>
      <c r="I831" s="1820">
        <f>SUM(I829:I830)</f>
        <v>4403.011305</v>
      </c>
    </row>
    <row r="832" spans="1:12" ht="12.75">
      <c r="B832" s="362"/>
      <c r="C832" s="1472"/>
      <c r="D832" s="1482"/>
      <c r="E832" s="1475" t="s">
        <v>5682</v>
      </c>
      <c r="F832" s="1474">
        <f>$N$5</f>
        <v>0.01</v>
      </c>
      <c r="G832" s="1483"/>
      <c r="H832" s="848"/>
      <c r="I832" s="1476">
        <f>I831*F832</f>
        <v>44.030113050000004</v>
      </c>
    </row>
    <row r="833" spans="1:12" ht="15">
      <c r="B833" s="1470"/>
      <c r="C833" s="1473"/>
      <c r="D833" s="1473"/>
      <c r="E833" s="1888" t="s">
        <v>5683</v>
      </c>
      <c r="F833" s="1888"/>
      <c r="G833" s="1889"/>
      <c r="H833" s="1890"/>
      <c r="I833" s="1862">
        <f>ROUND(I831+I832,-2)</f>
        <v>4400</v>
      </c>
    </row>
    <row r="834" spans="1:12" ht="15">
      <c r="A834" s="657">
        <v>1</v>
      </c>
      <c r="B834" s="1549">
        <f>IF(A834&lt;&gt;0,COUNTA(A$7:$A834),"")</f>
        <v>49</v>
      </c>
      <c r="C834" s="1555">
        <f>'8.Dgia'!C2382</f>
        <v>0</v>
      </c>
      <c r="D834" s="1696" t="str">
        <f>'8.Dgia'!D2382</f>
        <v>Báo giá</v>
      </c>
      <c r="E834" s="1848" t="str">
        <f>'8.Dgia'!E2382</f>
        <v>Tấm nhựa ngăn nước</v>
      </c>
      <c r="F834" s="1849" t="str">
        <f>'8.Dgia'!G2382</f>
        <v>m</v>
      </c>
      <c r="G834" s="1850">
        <f>'8.Dgia'!H2382</f>
        <v>0</v>
      </c>
      <c r="H834" s="1851"/>
      <c r="I834" s="1852"/>
      <c r="J834" s="842">
        <f>+I835</f>
        <v>172000</v>
      </c>
    </row>
    <row r="835" spans="1:12" s="658" customFormat="1" ht="15">
      <c r="B835" s="1551" t="str">
        <f>'8.Dgia'!B2383</f>
        <v/>
      </c>
      <c r="C835" s="1555">
        <f>'8.Dgia'!C2383</f>
        <v>0</v>
      </c>
      <c r="D835" s="1552">
        <f>'8.Dgia'!D2383</f>
        <v>0</v>
      </c>
      <c r="E835" s="2018" t="str">
        <f>'8.Dgia'!E2383</f>
        <v xml:space="preserve">  A - Vật liệu</v>
      </c>
      <c r="F835" s="1771">
        <f>'8.Dgia'!G2383</f>
        <v>0</v>
      </c>
      <c r="G835" s="1772">
        <f>'8.Dgia'!H2383</f>
        <v>0</v>
      </c>
      <c r="H835" s="1853"/>
      <c r="I835" s="1854">
        <f>+I836</f>
        <v>172000</v>
      </c>
      <c r="J835" s="850"/>
      <c r="K835" s="850"/>
      <c r="L835" s="850"/>
    </row>
    <row r="836" spans="1:12" ht="15">
      <c r="B836" s="1551" t="str">
        <f>'8.Dgia'!B2384</f>
        <v/>
      </c>
      <c r="C836" s="1555">
        <f>'8.Dgia'!C2384</f>
        <v>0</v>
      </c>
      <c r="D836" s="1552">
        <f>'8.Dgia'!D2384</f>
        <v>0</v>
      </c>
      <c r="E836" s="1775" t="str">
        <f>'8.Dgia'!E2384</f>
        <v>Tấm nhựa ngăn nước</v>
      </c>
      <c r="F836" s="1771" t="str">
        <f>'8.Dgia'!G2384</f>
        <v>m</v>
      </c>
      <c r="G836" s="1772">
        <f>'8.Dgia'!H2384</f>
        <v>1</v>
      </c>
      <c r="H836" s="1853">
        <f>GVL!$I$165</f>
        <v>172000</v>
      </c>
      <c r="I836" s="1824">
        <f>H836*G836</f>
        <v>172000</v>
      </c>
    </row>
    <row r="837" spans="1:12" ht="15">
      <c r="B837" s="1551"/>
      <c r="C837" s="1555"/>
      <c r="D837" s="1552"/>
      <c r="E837" s="1828" t="s">
        <v>5675</v>
      </c>
      <c r="F837" s="1856">
        <f>$J$5</f>
        <v>0.02</v>
      </c>
      <c r="G837" s="1772"/>
      <c r="H837" s="1853"/>
      <c r="I837" s="1863">
        <f>( I835 )*F837</f>
        <v>3440</v>
      </c>
    </row>
    <row r="838" spans="1:12" ht="15">
      <c r="B838" s="1551"/>
      <c r="C838" s="1555"/>
      <c r="D838" s="1552"/>
      <c r="E838" s="1831" t="s">
        <v>5676</v>
      </c>
      <c r="F838" s="1831"/>
      <c r="G838" s="1772"/>
      <c r="H838" s="1853"/>
      <c r="I838" s="1833">
        <f>I837+I837/F837</f>
        <v>175440</v>
      </c>
    </row>
    <row r="839" spans="1:12" ht="15">
      <c r="B839" s="1551"/>
      <c r="C839" s="1555"/>
      <c r="D839" s="1552"/>
      <c r="E839" s="1834" t="s">
        <v>5677</v>
      </c>
      <c r="F839" s="1858">
        <f>$K$5</f>
        <v>5.7750000000000003E-2</v>
      </c>
      <c r="G839" s="1772"/>
      <c r="H839" s="1853"/>
      <c r="I839" s="1835">
        <f>I838*F839</f>
        <v>10131.66</v>
      </c>
    </row>
    <row r="840" spans="1:12" ht="15">
      <c r="B840" s="1551"/>
      <c r="C840" s="1555"/>
      <c r="D840" s="1552"/>
      <c r="E840" s="1834" t="s">
        <v>5678</v>
      </c>
      <c r="F840" s="1856">
        <f>$L$5</f>
        <v>0.06</v>
      </c>
      <c r="G840" s="1772"/>
      <c r="H840" s="1853"/>
      <c r="I840" s="1835">
        <f>SUM(I838:I839)*F840</f>
        <v>11134.2996</v>
      </c>
    </row>
    <row r="841" spans="1:12" ht="15">
      <c r="B841" s="1551"/>
      <c r="C841" s="1555"/>
      <c r="D841" s="1552"/>
      <c r="E841" s="1831" t="s">
        <v>5679</v>
      </c>
      <c r="F841" s="1831"/>
      <c r="G841" s="1772"/>
      <c r="H841" s="1853"/>
      <c r="I841" s="1833">
        <f>SUM(I838:I840)</f>
        <v>196705.9596</v>
      </c>
    </row>
    <row r="842" spans="1:12" ht="15">
      <c r="B842" s="1551"/>
      <c r="C842" s="1555"/>
      <c r="D842" s="1552"/>
      <c r="E842" s="1834" t="s">
        <v>5680</v>
      </c>
      <c r="F842" s="1856">
        <f>$M$5</f>
        <v>0.1</v>
      </c>
      <c r="G842" s="1772"/>
      <c r="H842" s="1853"/>
      <c r="I842" s="1835">
        <f>I841*F842</f>
        <v>19670.595960000002</v>
      </c>
    </row>
    <row r="843" spans="1:12" ht="15">
      <c r="B843" s="1551"/>
      <c r="C843" s="1555"/>
      <c r="D843" s="1552"/>
      <c r="E843" s="1831" t="s">
        <v>5681</v>
      </c>
      <c r="F843" s="1831"/>
      <c r="G843" s="1772"/>
      <c r="H843" s="1853"/>
      <c r="I843" s="1833">
        <f>SUM(I841:I842)</f>
        <v>216376.55556000001</v>
      </c>
    </row>
    <row r="844" spans="1:12" ht="12.75">
      <c r="B844" s="1551"/>
      <c r="C844" s="1555"/>
      <c r="D844" s="1552"/>
      <c r="E844" s="1558" t="s">
        <v>5682</v>
      </c>
      <c r="F844" s="1595">
        <f>$N$5</f>
        <v>0.01</v>
      </c>
      <c r="G844" s="1553"/>
      <c r="H844" s="1594"/>
      <c r="I844" s="1559">
        <f>I843*F844</f>
        <v>2163.7655556</v>
      </c>
    </row>
    <row r="845" spans="1:12" ht="15">
      <c r="B845" s="1596"/>
      <c r="C845" s="1597"/>
      <c r="D845" s="1597"/>
      <c r="E845" s="1859" t="s">
        <v>5683</v>
      </c>
      <c r="F845" s="1859"/>
      <c r="G845" s="1860"/>
      <c r="H845" s="1861"/>
      <c r="I845" s="1862">
        <f>ROUND(I843+I844,-2)</f>
        <v>218500</v>
      </c>
    </row>
    <row r="846" spans="1:12" ht="15">
      <c r="A846" s="657">
        <v>1</v>
      </c>
      <c r="B846" s="1549">
        <f>IF(A846&lt;&gt;0,COUNTA(A$7:$A846),"")</f>
        <v>50</v>
      </c>
      <c r="C846" s="1555">
        <f>'8.Dgia'!C2573</f>
        <v>1776</v>
      </c>
      <c r="D846" s="1696" t="str">
        <f>'8.Dgia'!D2573</f>
        <v>AG.11410</v>
      </c>
      <c r="E846" s="1848" t="str">
        <f>'8.Dgia'!E2573</f>
        <v>Bêtông C20 đá 1x2</v>
      </c>
      <c r="F846" s="1849" t="str">
        <f>'8.Dgia'!G2573</f>
        <v>m3</v>
      </c>
      <c r="G846" s="1850">
        <f>'8.Dgia'!H2573</f>
        <v>0</v>
      </c>
      <c r="H846" s="1851"/>
      <c r="I846" s="1852"/>
      <c r="J846" s="842">
        <f>+I847</f>
        <v>902132.22389552847</v>
      </c>
      <c r="K846" s="842">
        <f>+I850</f>
        <v>511828.35</v>
      </c>
      <c r="L846" s="842">
        <f>+I851</f>
        <v>17142.550500000001</v>
      </c>
    </row>
    <row r="847" spans="1:12" ht="15">
      <c r="B847" s="1551" t="str">
        <f>'8.Dgia'!B2574</f>
        <v/>
      </c>
      <c r="C847" s="1555">
        <f>'8.Dgia'!C2574</f>
        <v>0</v>
      </c>
      <c r="D847" s="1552">
        <f>'8.Dgia'!D2574</f>
        <v>0</v>
      </c>
      <c r="E847" s="2018" t="str">
        <f>'8.Dgia'!E2574</f>
        <v xml:space="preserve">  A - Vật liệu</v>
      </c>
      <c r="F847" s="1771">
        <f>'8.Dgia'!G2574</f>
        <v>0</v>
      </c>
      <c r="G847" s="1772">
        <f>'8.Dgia'!H2574</f>
        <v>0</v>
      </c>
      <c r="H847" s="1853"/>
      <c r="I847" s="1854">
        <f>SUM(I848:I849)</f>
        <v>902132.22389552847</v>
      </c>
    </row>
    <row r="848" spans="1:12" ht="15">
      <c r="B848" s="1551" t="str">
        <f>'8.Dgia'!B2575</f>
        <v/>
      </c>
      <c r="C848" s="1555">
        <f>'8.Dgia'!C2575</f>
        <v>0</v>
      </c>
      <c r="D848" s="1552" t="str">
        <f>'8.Dgia'!D2575</f>
        <v>C3124</v>
      </c>
      <c r="E848" s="1775" t="str">
        <f>'8.Dgia'!E2575</f>
        <v>Vữa bê tông đá 1x2 C20 SN 2-4</v>
      </c>
      <c r="F848" s="1771" t="str">
        <f>'8.Dgia'!G2575</f>
        <v>m3</v>
      </c>
      <c r="G848" s="1772">
        <f>'8.Dgia'!H2575</f>
        <v>1.0149999999999999</v>
      </c>
      <c r="H848" s="1853">
        <f>GVL!$I$194</f>
        <v>884378.32894201751</v>
      </c>
      <c r="I848" s="1824">
        <f>H848*G848</f>
        <v>897644.00387614768</v>
      </c>
    </row>
    <row r="849" spans="1:12" ht="15">
      <c r="B849" s="1551" t="str">
        <f>'8.Dgia'!B2576</f>
        <v/>
      </c>
      <c r="C849" s="1555">
        <f>'8.Dgia'!C2576</f>
        <v>0</v>
      </c>
      <c r="D849" s="1552">
        <f>'8.Dgia'!D2576</f>
        <v>0</v>
      </c>
      <c r="E849" s="1775" t="str">
        <f>'8.Dgia'!E2576</f>
        <v>Vật liệu khác</v>
      </c>
      <c r="F849" s="1771" t="str">
        <f>'8.Dgia'!G2576</f>
        <v>%</v>
      </c>
      <c r="G849" s="1772">
        <f>'8.Dgia'!H2576</f>
        <v>0.5</v>
      </c>
      <c r="H849" s="1853">
        <f>+I848</f>
        <v>897644.00387614768</v>
      </c>
      <c r="I849" s="1824">
        <f>H849*G849%</f>
        <v>4488.2200193807384</v>
      </c>
    </row>
    <row r="850" spans="1:12" ht="15">
      <c r="B850" s="1551" t="str">
        <f>'8.Dgia'!B2577</f>
        <v/>
      </c>
      <c r="C850" s="1555">
        <f>'8.Dgia'!C2577</f>
        <v>0</v>
      </c>
      <c r="D850" s="1552">
        <f>'8.Dgia'!D2577</f>
        <v>0</v>
      </c>
      <c r="E850" s="1775" t="str">
        <f>'8.Dgia'!E2577</f>
        <v xml:space="preserve">  B - Nhân công 3.0/7</v>
      </c>
      <c r="F850" s="1771" t="s">
        <v>552</v>
      </c>
      <c r="G850" s="1772">
        <f>'8.Dgia'!H2577</f>
        <v>2.57</v>
      </c>
      <c r="H850" s="1853">
        <f>'16.NC'!$G$13</f>
        <v>199155</v>
      </c>
      <c r="I850" s="1854">
        <f>H850*G850</f>
        <v>511828.35</v>
      </c>
    </row>
    <row r="851" spans="1:12" ht="15">
      <c r="B851" s="1551" t="str">
        <f>'8.Dgia'!B2578</f>
        <v/>
      </c>
      <c r="C851" s="1555">
        <f>'8.Dgia'!C2578</f>
        <v>0</v>
      </c>
      <c r="D851" s="1552">
        <f>'8.Dgia'!D2578</f>
        <v>0</v>
      </c>
      <c r="E851" s="1775" t="str">
        <f>'8.Dgia'!E2578</f>
        <v xml:space="preserve">  C - Máy thi công</v>
      </c>
      <c r="F851" s="1771">
        <f>'8.Dgia'!G2578</f>
        <v>0</v>
      </c>
      <c r="G851" s="1772">
        <f>'8.Dgia'!H2578</f>
        <v>0</v>
      </c>
      <c r="H851" s="1853"/>
      <c r="I851" s="1854">
        <f>+I852</f>
        <v>17142.550500000001</v>
      </c>
    </row>
    <row r="852" spans="1:12" ht="15">
      <c r="B852" s="1551" t="str">
        <f>'8.Dgia'!B2579</f>
        <v/>
      </c>
      <c r="C852" s="1555">
        <f>'8.Dgia'!C2579</f>
        <v>0</v>
      </c>
      <c r="D852" s="1552">
        <f>'8.Dgia'!D2579</f>
        <v>0</v>
      </c>
      <c r="E852" s="1775" t="str">
        <f>'8.Dgia'!E2579</f>
        <v>Máy trộn 250L</v>
      </c>
      <c r="F852" s="1771" t="s">
        <v>5493</v>
      </c>
      <c r="G852" s="1772">
        <f>'8.Dgia'!H2579</f>
        <v>9.5000000000000001E-2</v>
      </c>
      <c r="H852" s="1853">
        <f>'9.may'!$P$333</f>
        <v>180447.90000000002</v>
      </c>
      <c r="I852" s="1824">
        <f>H852*G852</f>
        <v>17142.550500000001</v>
      </c>
    </row>
    <row r="853" spans="1:12" ht="15">
      <c r="B853" s="1551"/>
      <c r="C853" s="1555"/>
      <c r="D853" s="1552"/>
      <c r="E853" s="1828" t="s">
        <v>5675</v>
      </c>
      <c r="F853" s="1856">
        <f>$J$5</f>
        <v>0.02</v>
      </c>
      <c r="G853" s="1772"/>
      <c r="H853" s="1853"/>
      <c r="I853" s="1863">
        <f>( I847+I850+I851 )*F853</f>
        <v>28622.062487910567</v>
      </c>
    </row>
    <row r="854" spans="1:12" ht="15">
      <c r="B854" s="1551"/>
      <c r="C854" s="1555"/>
      <c r="D854" s="1552"/>
      <c r="E854" s="1831" t="s">
        <v>5676</v>
      </c>
      <c r="F854" s="1831"/>
      <c r="G854" s="1772"/>
      <c r="H854" s="1853"/>
      <c r="I854" s="1833">
        <f>I853+I853/F853</f>
        <v>1459725.1868834388</v>
      </c>
    </row>
    <row r="855" spans="1:12" ht="15">
      <c r="B855" s="1551"/>
      <c r="C855" s="1555"/>
      <c r="D855" s="1552"/>
      <c r="E855" s="1834" t="s">
        <v>5677</v>
      </c>
      <c r="F855" s="1858">
        <f>$K$5</f>
        <v>5.7750000000000003E-2</v>
      </c>
      <c r="G855" s="1772"/>
      <c r="H855" s="1853"/>
      <c r="I855" s="1835">
        <f>I854*F855</f>
        <v>84299.129542518596</v>
      </c>
    </row>
    <row r="856" spans="1:12" ht="15">
      <c r="B856" s="1551"/>
      <c r="C856" s="1555"/>
      <c r="D856" s="1552"/>
      <c r="E856" s="1834" t="s">
        <v>5678</v>
      </c>
      <c r="F856" s="1856">
        <f>$L$5</f>
        <v>0.06</v>
      </c>
      <c r="G856" s="1772"/>
      <c r="H856" s="1853"/>
      <c r="I856" s="1835">
        <f>SUM(I854:I855)*F856</f>
        <v>92641.458985557445</v>
      </c>
    </row>
    <row r="857" spans="1:12" ht="15">
      <c r="B857" s="1551"/>
      <c r="C857" s="1555"/>
      <c r="D857" s="1552"/>
      <c r="E857" s="1831" t="s">
        <v>5679</v>
      </c>
      <c r="F857" s="1831"/>
      <c r="G857" s="1772"/>
      <c r="H857" s="1853"/>
      <c r="I857" s="1833">
        <f>SUM(I854:I856)</f>
        <v>1636665.775411515</v>
      </c>
    </row>
    <row r="858" spans="1:12" ht="15">
      <c r="B858" s="1551"/>
      <c r="C858" s="1555"/>
      <c r="D858" s="1552"/>
      <c r="E858" s="1834" t="s">
        <v>5680</v>
      </c>
      <c r="F858" s="1856">
        <f>$M$5</f>
        <v>0.1</v>
      </c>
      <c r="G858" s="1772"/>
      <c r="H858" s="1853"/>
      <c r="I858" s="1835">
        <f>I857*F858</f>
        <v>163666.57754115152</v>
      </c>
    </row>
    <row r="859" spans="1:12" ht="15">
      <c r="B859" s="1551"/>
      <c r="C859" s="1555"/>
      <c r="D859" s="1552"/>
      <c r="E859" s="1831" t="s">
        <v>5681</v>
      </c>
      <c r="F859" s="1831"/>
      <c r="G859" s="1772"/>
      <c r="H859" s="1853"/>
      <c r="I859" s="1833">
        <f>SUM(I857:I858)</f>
        <v>1800332.3529526666</v>
      </c>
    </row>
    <row r="860" spans="1:12" ht="12.75">
      <c r="B860" s="1551"/>
      <c r="C860" s="1555"/>
      <c r="D860" s="1552"/>
      <c r="E860" s="1558" t="s">
        <v>5682</v>
      </c>
      <c r="F860" s="1595">
        <f>$N$5</f>
        <v>0.01</v>
      </c>
      <c r="G860" s="1553"/>
      <c r="H860" s="1594"/>
      <c r="I860" s="1559">
        <f>I859*F860</f>
        <v>18003.323529526668</v>
      </c>
    </row>
    <row r="861" spans="1:12" ht="15">
      <c r="B861" s="1596"/>
      <c r="C861" s="1597"/>
      <c r="D861" s="1597"/>
      <c r="E861" s="1859" t="s">
        <v>5683</v>
      </c>
      <c r="F861" s="1859"/>
      <c r="G861" s="1860"/>
      <c r="H861" s="1861"/>
      <c r="I861" s="1862">
        <f>ROUND(I859+I860,-2)</f>
        <v>1818300</v>
      </c>
    </row>
    <row r="862" spans="1:12" ht="15">
      <c r="A862" s="657">
        <v>1</v>
      </c>
      <c r="B862" s="1549">
        <f>IF(A862&lt;&gt;0,COUNTA(A$7:$A862),"")</f>
        <v>51</v>
      </c>
      <c r="C862" s="1555">
        <f>'8.Dgia'!C2580</f>
        <v>1776</v>
      </c>
      <c r="D862" s="1696" t="str">
        <f>'8.Dgia'!D2580</f>
        <v>AK.41120</v>
      </c>
      <c r="E862" s="1848" t="str">
        <f>'8.Dgia'!E2580</f>
        <v>Vữa C10</v>
      </c>
      <c r="F862" s="1849" t="str">
        <f>'8.Dgia'!G2580</f>
        <v>m3</v>
      </c>
      <c r="G862" s="1850">
        <f>'8.Dgia'!H2580</f>
        <v>0</v>
      </c>
      <c r="H862" s="1851"/>
      <c r="I862" s="1892"/>
      <c r="J862" s="842">
        <f>+I863</f>
        <v>699012.00804521237</v>
      </c>
      <c r="K862" s="842">
        <f>+I865</f>
        <v>820114.93333333347</v>
      </c>
      <c r="L862" s="842">
        <f>+I866</f>
        <v>11355.0656</v>
      </c>
    </row>
    <row r="863" spans="1:12" s="658" customFormat="1" ht="15">
      <c r="B863" s="1551" t="str">
        <f>'8.Dgia'!B2581</f>
        <v/>
      </c>
      <c r="C863" s="1555">
        <f>'8.Dgia'!C2581</f>
        <v>0</v>
      </c>
      <c r="D863" s="1552" t="str">
        <f>'8.Dgia'!D2581</f>
        <v>ĐM/3*100</v>
      </c>
      <c r="E863" s="2018" t="str">
        <f>'8.Dgia'!E2581</f>
        <v xml:space="preserve">  A - Vật liệu</v>
      </c>
      <c r="F863" s="1771">
        <f>'8.Dgia'!G2581</f>
        <v>0</v>
      </c>
      <c r="G863" s="1772">
        <f>'8.Dgia'!H2581</f>
        <v>0</v>
      </c>
      <c r="H863" s="1853"/>
      <c r="I863" s="1854">
        <f>SUM(I864:I864)</f>
        <v>699012.00804521237</v>
      </c>
      <c r="J863" s="850"/>
      <c r="K863" s="850"/>
      <c r="L863" s="850"/>
    </row>
    <row r="864" spans="1:12" ht="15">
      <c r="B864" s="1551" t="str">
        <f>'8.Dgia'!B2582</f>
        <v/>
      </c>
      <c r="C864" s="1555">
        <f>'8.Dgia'!C2582</f>
        <v>0</v>
      </c>
      <c r="D864" s="1552" t="str">
        <f>'8.Dgia'!D2582</f>
        <v>B2215</v>
      </c>
      <c r="E864" s="1775" t="str">
        <f>'8.Dgia'!E2582</f>
        <v>Vữa xi măng C10</v>
      </c>
      <c r="F864" s="1771" t="str">
        <f>'8.Dgia'!G2582</f>
        <v>m3</v>
      </c>
      <c r="G864" s="1772">
        <f>'8.Dgia'!H2582</f>
        <v>1.1666666666666667</v>
      </c>
      <c r="H864" s="1853">
        <f>GVL!$I$205</f>
        <v>599153.14975303912</v>
      </c>
      <c r="I864" s="1824">
        <f>H864*G864</f>
        <v>699012.00804521237</v>
      </c>
    </row>
    <row r="865" spans="1:12" s="658" customFormat="1" ht="15">
      <c r="B865" s="1551" t="str">
        <f>'8.Dgia'!B2583</f>
        <v/>
      </c>
      <c r="C865" s="1555">
        <f>'8.Dgia'!C2583</f>
        <v>0</v>
      </c>
      <c r="D865" s="1552">
        <f>'8.Dgia'!D2583</f>
        <v>0</v>
      </c>
      <c r="E865" s="1775" t="str">
        <f>'8.Dgia'!E2583</f>
        <v xml:space="preserve">  B - Nhân công 4.0/7</v>
      </c>
      <c r="F865" s="1771" t="s">
        <v>552</v>
      </c>
      <c r="G865" s="1772">
        <f>'8.Dgia'!H2583</f>
        <v>3.5333333333333337</v>
      </c>
      <c r="H865" s="1853">
        <f>'16.NC'!$G$18</f>
        <v>232108</v>
      </c>
      <c r="I865" s="1854">
        <f>H865*G865</f>
        <v>820114.93333333347</v>
      </c>
      <c r="J865" s="850"/>
      <c r="K865" s="850"/>
      <c r="L865" s="850"/>
    </row>
    <row r="866" spans="1:12" s="658" customFormat="1" ht="15">
      <c r="B866" s="1551" t="str">
        <f>'8.Dgia'!B2584</f>
        <v/>
      </c>
      <c r="C866" s="1555">
        <f>'8.Dgia'!C2584</f>
        <v>0</v>
      </c>
      <c r="D866" s="1552">
        <f>'8.Dgia'!D2584</f>
        <v>0</v>
      </c>
      <c r="E866" s="1775" t="str">
        <f>'8.Dgia'!E2584</f>
        <v xml:space="preserve">  C - Máy thi công</v>
      </c>
      <c r="F866" s="1771">
        <f>'8.Dgia'!G2584</f>
        <v>0</v>
      </c>
      <c r="G866" s="1772">
        <f>'8.Dgia'!H2584</f>
        <v>0</v>
      </c>
      <c r="H866" s="1853"/>
      <c r="I866" s="1854">
        <f>I867</f>
        <v>11355.0656</v>
      </c>
      <c r="J866" s="850"/>
      <c r="K866" s="850"/>
      <c r="L866" s="850"/>
    </row>
    <row r="867" spans="1:12" ht="15">
      <c r="B867" s="2020"/>
      <c r="C867" s="1555">
        <f>'8.Dgia'!C2585</f>
        <v>0</v>
      </c>
      <c r="D867" s="1552">
        <f>'8.Dgia'!D2585</f>
        <v>0</v>
      </c>
      <c r="E867" s="1775" t="str">
        <f>'8.Dgia'!E2585</f>
        <v>Máy trộn vữa 80l</v>
      </c>
      <c r="F867" s="1771" t="s">
        <v>5493</v>
      </c>
      <c r="G867" s="1772">
        <f>'8.Dgia'!H2585</f>
        <v>0.13333333333333333</v>
      </c>
      <c r="H867" s="1853">
        <f>'9.may'!$P$340</f>
        <v>85162.991999999998</v>
      </c>
      <c r="I867" s="1824">
        <f>H867*G867</f>
        <v>11355.0656</v>
      </c>
    </row>
    <row r="868" spans="1:12" ht="15">
      <c r="B868" s="1551"/>
      <c r="C868" s="1555"/>
      <c r="D868" s="1552"/>
      <c r="E868" s="1828" t="s">
        <v>5675</v>
      </c>
      <c r="F868" s="1856">
        <f>$J$5</f>
        <v>0.02</v>
      </c>
      <c r="G868" s="1772"/>
      <c r="H868" s="1853"/>
      <c r="I868" s="1863">
        <f>( I863+I865+I866 )*F868</f>
        <v>30609.640139570922</v>
      </c>
    </row>
    <row r="869" spans="1:12" ht="15">
      <c r="B869" s="1551"/>
      <c r="C869" s="1555"/>
      <c r="D869" s="1552"/>
      <c r="E869" s="1831" t="s">
        <v>5676</v>
      </c>
      <c r="F869" s="1831"/>
      <c r="G869" s="1772"/>
      <c r="H869" s="1853"/>
      <c r="I869" s="1833">
        <f>I868+I868/F868</f>
        <v>1561091.647118117</v>
      </c>
    </row>
    <row r="870" spans="1:12" ht="15">
      <c r="B870" s="1551"/>
      <c r="C870" s="1555"/>
      <c r="D870" s="1552"/>
      <c r="E870" s="1834" t="s">
        <v>5677</v>
      </c>
      <c r="F870" s="1858">
        <f>$K$5</f>
        <v>5.7750000000000003E-2</v>
      </c>
      <c r="G870" s="1772"/>
      <c r="H870" s="1853"/>
      <c r="I870" s="1835">
        <f>I869*F870</f>
        <v>90153.042621071261</v>
      </c>
    </row>
    <row r="871" spans="1:12" ht="15">
      <c r="B871" s="1551"/>
      <c r="C871" s="1555"/>
      <c r="D871" s="1552"/>
      <c r="E871" s="1834" t="s">
        <v>5678</v>
      </c>
      <c r="F871" s="1856">
        <f>$L$5</f>
        <v>0.06</v>
      </c>
      <c r="G871" s="1772"/>
      <c r="H871" s="1853"/>
      <c r="I871" s="1835">
        <f>SUM(I869:I870)*F871</f>
        <v>99074.681384351294</v>
      </c>
    </row>
    <row r="872" spans="1:12" ht="15">
      <c r="B872" s="1551"/>
      <c r="C872" s="1555"/>
      <c r="D872" s="1552"/>
      <c r="E872" s="1831" t="s">
        <v>5679</v>
      </c>
      <c r="F872" s="1831"/>
      <c r="G872" s="1772"/>
      <c r="H872" s="1853"/>
      <c r="I872" s="1833">
        <f>SUM(I869:I871)</f>
        <v>1750319.3711235395</v>
      </c>
    </row>
    <row r="873" spans="1:12" ht="15">
      <c r="B873" s="1551"/>
      <c r="C873" s="1555"/>
      <c r="D873" s="1552"/>
      <c r="E873" s="1834" t="s">
        <v>5680</v>
      </c>
      <c r="F873" s="1856">
        <f>$M$5</f>
        <v>0.1</v>
      </c>
      <c r="G873" s="1772"/>
      <c r="H873" s="1853"/>
      <c r="I873" s="1835">
        <f>I872*F873</f>
        <v>175031.93711235397</v>
      </c>
    </row>
    <row r="874" spans="1:12" ht="15">
      <c r="B874" s="1551"/>
      <c r="C874" s="1555"/>
      <c r="D874" s="1552"/>
      <c r="E874" s="1831" t="s">
        <v>5681</v>
      </c>
      <c r="F874" s="1831"/>
      <c r="G874" s="1772"/>
      <c r="H874" s="1853"/>
      <c r="I874" s="1833">
        <f>SUM(I872:I873)</f>
        <v>1925351.3082358935</v>
      </c>
    </row>
    <row r="875" spans="1:12" ht="12.75">
      <c r="B875" s="1551"/>
      <c r="C875" s="1555"/>
      <c r="D875" s="1552"/>
      <c r="E875" s="1558" t="s">
        <v>5682</v>
      </c>
      <c r="F875" s="1595">
        <f>$N$5</f>
        <v>0.01</v>
      </c>
      <c r="G875" s="1553"/>
      <c r="H875" s="1594"/>
      <c r="I875" s="1559">
        <f>I874*F875</f>
        <v>19253.513082358935</v>
      </c>
    </row>
    <row r="876" spans="1:12" ht="15">
      <c r="B876" s="1596"/>
      <c r="C876" s="1597"/>
      <c r="D876" s="1597"/>
      <c r="E876" s="1859" t="s">
        <v>5683</v>
      </c>
      <c r="F876" s="1859"/>
      <c r="G876" s="1860"/>
      <c r="H876" s="1861"/>
      <c r="I876" s="1862">
        <f>ROUND(I874+I875,-2)</f>
        <v>1944600</v>
      </c>
    </row>
    <row r="877" spans="1:12" ht="15">
      <c r="A877" s="657">
        <v>1</v>
      </c>
      <c r="B877" s="1549">
        <f>IF(A877&lt;&gt;0,COUNTA(A$7:$A877),"")</f>
        <v>52</v>
      </c>
      <c r="C877" s="1555">
        <f>'8.Dgia'!C2657</f>
        <v>1776</v>
      </c>
      <c r="D877" s="1696" t="str">
        <f>'8.Dgia'!D2657</f>
        <v>AK.98110</v>
      </c>
      <c r="E877" s="1848" t="str">
        <f>'8.Dgia'!E2657</f>
        <v>Đá dăm đệm 1x2</v>
      </c>
      <c r="F877" s="1849" t="str">
        <f>'8.Dgia'!G2657</f>
        <v>m3</v>
      </c>
      <c r="G877" s="1850">
        <f>'8.Dgia'!H2657</f>
        <v>0</v>
      </c>
      <c r="H877" s="1851"/>
      <c r="I877" s="1852"/>
      <c r="J877" s="842">
        <f>+I878</f>
        <v>464986.58253687649</v>
      </c>
      <c r="K877" s="842">
        <f>+I881</f>
        <v>343519.83999999997</v>
      </c>
      <c r="L877" s="872"/>
    </row>
    <row r="878" spans="1:12" ht="15">
      <c r="B878" s="1551" t="str">
        <f>'8.Dgia'!B2658</f>
        <v/>
      </c>
      <c r="C878" s="1555">
        <f>'8.Dgia'!C2658</f>
        <v>0</v>
      </c>
      <c r="D878" s="1552">
        <f>'8.Dgia'!D2658</f>
        <v>0</v>
      </c>
      <c r="E878" s="2018" t="str">
        <f>'8.Dgia'!E2658</f>
        <v xml:space="preserve">  A - Vật liệu</v>
      </c>
      <c r="F878" s="1771">
        <f>'8.Dgia'!G2658</f>
        <v>0</v>
      </c>
      <c r="G878" s="1772">
        <f>'8.Dgia'!H2658</f>
        <v>0</v>
      </c>
      <c r="H878" s="1853"/>
      <c r="I878" s="1854">
        <f>SUM(I879:I880)</f>
        <v>464986.58253687649</v>
      </c>
      <c r="L878" s="872"/>
    </row>
    <row r="879" spans="1:12" ht="15">
      <c r="B879" s="1551" t="str">
        <f>'8.Dgia'!B2659</f>
        <v/>
      </c>
      <c r="C879" s="1555">
        <f>'8.Dgia'!C2659</f>
        <v>0</v>
      </c>
      <c r="D879" s="1552">
        <f>'8.Dgia'!D2659</f>
        <v>0</v>
      </c>
      <c r="E879" s="1775" t="str">
        <f>'8.Dgia'!E2659</f>
        <v>Đá 1x2</v>
      </c>
      <c r="F879" s="1771" t="str">
        <f>'8.Dgia'!G2659</f>
        <v>m3</v>
      </c>
      <c r="G879" s="1772">
        <f>'8.Dgia'!H2659</f>
        <v>1.2</v>
      </c>
      <c r="H879" s="1853">
        <f>GVL!$I$58</f>
        <v>364185.41224953817</v>
      </c>
      <c r="I879" s="1824">
        <f>H879*G879</f>
        <v>437022.49469944579</v>
      </c>
      <c r="L879" s="872"/>
    </row>
    <row r="880" spans="1:12" ht="15">
      <c r="B880" s="1551" t="str">
        <f>'8.Dgia'!B2660</f>
        <v/>
      </c>
      <c r="C880" s="1555">
        <f>'8.Dgia'!C2660</f>
        <v>0</v>
      </c>
      <c r="D880" s="1552">
        <f>'8.Dgia'!D2660</f>
        <v>0</v>
      </c>
      <c r="E880" s="1775" t="str">
        <f>'8.Dgia'!E2660</f>
        <v>Cát đen</v>
      </c>
      <c r="F880" s="1771" t="str">
        <f>'8.Dgia'!G2660</f>
        <v>m3</v>
      </c>
      <c r="G880" s="1772">
        <f>'8.Dgia'!H2660</f>
        <v>0.3</v>
      </c>
      <c r="H880" s="1853">
        <f>GVL!$I$37</f>
        <v>93213.626124769085</v>
      </c>
      <c r="I880" s="1824">
        <f>H880*G880</f>
        <v>27964.087837430725</v>
      </c>
      <c r="L880" s="872"/>
    </row>
    <row r="881" spans="1:12" ht="15">
      <c r="B881" s="1551" t="str">
        <f>'8.Dgia'!B2661</f>
        <v/>
      </c>
      <c r="C881" s="1555">
        <f>'8.Dgia'!C2661</f>
        <v>0</v>
      </c>
      <c r="D881" s="1552">
        <f>'8.Dgia'!D2661</f>
        <v>0</v>
      </c>
      <c r="E881" s="1775" t="str">
        <f>'8.Dgia'!E2661</f>
        <v xml:space="preserve">  B - Nhân công 4.0/7</v>
      </c>
      <c r="F881" s="1771" t="s">
        <v>552</v>
      </c>
      <c r="G881" s="1772">
        <f>'8.Dgia'!H2661</f>
        <v>1.48</v>
      </c>
      <c r="H881" s="1853">
        <f>'16.NC'!$G$18</f>
        <v>232108</v>
      </c>
      <c r="I881" s="1854">
        <f>H881*G881</f>
        <v>343519.83999999997</v>
      </c>
      <c r="L881" s="872"/>
    </row>
    <row r="882" spans="1:12" ht="15">
      <c r="B882" s="1551"/>
      <c r="C882" s="1555"/>
      <c r="D882" s="1552"/>
      <c r="E882" s="1828" t="s">
        <v>5675</v>
      </c>
      <c r="F882" s="1856">
        <f>$J$5</f>
        <v>0.02</v>
      </c>
      <c r="G882" s="1772"/>
      <c r="H882" s="1853"/>
      <c r="I882" s="1863">
        <f>( I878+I881 )*F882</f>
        <v>16170.128450737531</v>
      </c>
    </row>
    <row r="883" spans="1:12" ht="15">
      <c r="B883" s="1551"/>
      <c r="C883" s="1555"/>
      <c r="D883" s="1552"/>
      <c r="E883" s="1831" t="s">
        <v>5676</v>
      </c>
      <c r="F883" s="1831"/>
      <c r="G883" s="1772"/>
      <c r="H883" s="1853"/>
      <c r="I883" s="1833">
        <f>I882+I882/F882</f>
        <v>824676.55098761409</v>
      </c>
    </row>
    <row r="884" spans="1:12" ht="15">
      <c r="B884" s="1551"/>
      <c r="C884" s="1555"/>
      <c r="D884" s="1552"/>
      <c r="E884" s="1834" t="s">
        <v>5677</v>
      </c>
      <c r="F884" s="1858">
        <f>$K$5</f>
        <v>5.7750000000000003E-2</v>
      </c>
      <c r="G884" s="1772"/>
      <c r="H884" s="1853"/>
      <c r="I884" s="1835">
        <f>I883*F884</f>
        <v>47625.070819534718</v>
      </c>
    </row>
    <row r="885" spans="1:12" ht="15">
      <c r="B885" s="1551"/>
      <c r="C885" s="1555"/>
      <c r="D885" s="1552"/>
      <c r="E885" s="1834" t="s">
        <v>5678</v>
      </c>
      <c r="F885" s="1856">
        <f>$L$5</f>
        <v>0.06</v>
      </c>
      <c r="G885" s="1772"/>
      <c r="H885" s="1853"/>
      <c r="I885" s="1835">
        <f>SUM(I883:I884)*F885</f>
        <v>52338.097308428929</v>
      </c>
    </row>
    <row r="886" spans="1:12" ht="15">
      <c r="B886" s="1551"/>
      <c r="C886" s="1555"/>
      <c r="D886" s="1552"/>
      <c r="E886" s="1831" t="s">
        <v>5679</v>
      </c>
      <c r="F886" s="1831"/>
      <c r="G886" s="1772"/>
      <c r="H886" s="1853"/>
      <c r="I886" s="1833">
        <f>SUM(I883:I885)</f>
        <v>924639.71911557775</v>
      </c>
    </row>
    <row r="887" spans="1:12" ht="15">
      <c r="B887" s="1551"/>
      <c r="C887" s="1555"/>
      <c r="D887" s="1552"/>
      <c r="E887" s="1834" t="s">
        <v>5680</v>
      </c>
      <c r="F887" s="1856">
        <f>$M$5</f>
        <v>0.1</v>
      </c>
      <c r="G887" s="1772"/>
      <c r="H887" s="1853"/>
      <c r="I887" s="1835">
        <f>I886*F887</f>
        <v>92463.971911557775</v>
      </c>
    </row>
    <row r="888" spans="1:12" ht="15">
      <c r="B888" s="1551"/>
      <c r="C888" s="1555"/>
      <c r="D888" s="1552"/>
      <c r="E888" s="1831" t="s">
        <v>5681</v>
      </c>
      <c r="F888" s="1831"/>
      <c r="G888" s="1772"/>
      <c r="H888" s="1853"/>
      <c r="I888" s="1833">
        <f>SUM(I886:I887)</f>
        <v>1017103.6910271356</v>
      </c>
    </row>
    <row r="889" spans="1:12" ht="12.75">
      <c r="B889" s="1551"/>
      <c r="C889" s="1555"/>
      <c r="D889" s="1552"/>
      <c r="E889" s="1558" t="s">
        <v>5682</v>
      </c>
      <c r="F889" s="1595">
        <f>$N$5</f>
        <v>0.01</v>
      </c>
      <c r="G889" s="1553"/>
      <c r="H889" s="1594"/>
      <c r="I889" s="1559">
        <f>I888*F889</f>
        <v>10171.036910271356</v>
      </c>
    </row>
    <row r="890" spans="1:12" ht="15">
      <c r="B890" s="1596"/>
      <c r="C890" s="1597"/>
      <c r="D890" s="1597"/>
      <c r="E890" s="1859" t="s">
        <v>5683</v>
      </c>
      <c r="F890" s="1859"/>
      <c r="G890" s="1860"/>
      <c r="H890" s="1861"/>
      <c r="I890" s="1862">
        <f>ROUND(I888+I889,-2)</f>
        <v>1027300</v>
      </c>
    </row>
    <row r="891" spans="1:12" ht="15">
      <c r="A891" s="657">
        <v>1</v>
      </c>
      <c r="B891" s="1549">
        <f>IF(A891&lt;&gt;0,COUNTA(A$7:$A891),"")</f>
        <v>53</v>
      </c>
      <c r="C891" s="1555">
        <f>'8.Dgia'!C2672</f>
        <v>1776</v>
      </c>
      <c r="D891" s="1696" t="str">
        <f>'8.Dgia'!D2672</f>
        <v>BB.19108</v>
      </c>
      <c r="E891" s="1848" t="str">
        <f>'8.Dgia'!E2672</f>
        <v>Lắp đặt ống nhựa PVC D100</v>
      </c>
      <c r="F891" s="1849" t="s">
        <v>543</v>
      </c>
      <c r="G891" s="1850">
        <f>'8.Dgia'!H2672</f>
        <v>0</v>
      </c>
      <c r="H891" s="1851"/>
      <c r="I891" s="1852"/>
      <c r="J891" s="842">
        <f>+I892</f>
        <v>72828.282099999997</v>
      </c>
      <c r="K891" s="842">
        <f>+I897</f>
        <v>29076.221999999998</v>
      </c>
      <c r="L891" s="872"/>
    </row>
    <row r="892" spans="1:12" ht="15">
      <c r="B892" s="1551" t="str">
        <f>'8.Dgia'!B2673</f>
        <v/>
      </c>
      <c r="C892" s="1555">
        <f>'8.Dgia'!C2673</f>
        <v>0</v>
      </c>
      <c r="D892" s="1552">
        <f>'8.Dgia'!D2673</f>
        <v>0</v>
      </c>
      <c r="E892" s="2018" t="str">
        <f>'8.Dgia'!E2673</f>
        <v xml:space="preserve">  A - Vật liệu</v>
      </c>
      <c r="F892" s="1771">
        <f>'8.Dgia'!G2673</f>
        <v>0</v>
      </c>
      <c r="G892" s="1772">
        <f>'8.Dgia'!H2673</f>
        <v>0</v>
      </c>
      <c r="H892" s="1853"/>
      <c r="I892" s="1854">
        <f>SUM(I893:I896)</f>
        <v>72828.282099999997</v>
      </c>
      <c r="L892" s="872"/>
    </row>
    <row r="893" spans="1:12" ht="15">
      <c r="B893" s="1551" t="str">
        <f>'8.Dgia'!B2674</f>
        <v/>
      </c>
      <c r="C893" s="1555">
        <f>'8.Dgia'!C2674</f>
        <v>0</v>
      </c>
      <c r="D893" s="1552">
        <f>'8.Dgia'!D2674</f>
        <v>0</v>
      </c>
      <c r="E893" s="1775" t="str">
        <f>'8.Dgia'!E2674</f>
        <v>Ống nhựa D100</v>
      </c>
      <c r="F893" s="1771" t="str">
        <f>'8.Dgia'!G2674</f>
        <v>m</v>
      </c>
      <c r="G893" s="1772">
        <f>'8.Dgia'!H2674/100</f>
        <v>1.01</v>
      </c>
      <c r="H893" s="1853">
        <f>GVL!$I$134</f>
        <v>72100</v>
      </c>
      <c r="I893" s="1824">
        <f>H893*G893</f>
        <v>72821</v>
      </c>
      <c r="L893" s="872"/>
    </row>
    <row r="894" spans="1:12" ht="15">
      <c r="B894" s="1551" t="str">
        <f>'8.Dgia'!B2675</f>
        <v/>
      </c>
      <c r="C894" s="1555">
        <f>'8.Dgia'!C2675</f>
        <v>0</v>
      </c>
      <c r="D894" s="1552">
        <f>'8.Dgia'!D2675</f>
        <v>0</v>
      </c>
      <c r="E894" s="1775" t="str">
        <f>'8.Dgia'!E2675</f>
        <v>Cồn rửa</v>
      </c>
      <c r="F894" s="1771" t="str">
        <f>'8.Dgia'!G2675</f>
        <v>kg</v>
      </c>
      <c r="G894" s="1772">
        <f>'8.Dgia'!H2675</f>
        <v>0</v>
      </c>
      <c r="H894" s="1853" t="e">
        <f>GVL!#REF!</f>
        <v>#REF!</v>
      </c>
      <c r="I894" s="1897" t="s">
        <v>2084</v>
      </c>
      <c r="L894" s="872"/>
    </row>
    <row r="895" spans="1:12" ht="15">
      <c r="B895" s="1551" t="str">
        <f>'8.Dgia'!B2676</f>
        <v/>
      </c>
      <c r="C895" s="1555">
        <f>'8.Dgia'!C2676</f>
        <v>0</v>
      </c>
      <c r="D895" s="1552">
        <f>'8.Dgia'!D2676</f>
        <v>0</v>
      </c>
      <c r="E895" s="1775" t="str">
        <f>'8.Dgia'!E2676</f>
        <v xml:space="preserve">Nhựa dán </v>
      </c>
      <c r="F895" s="1771" t="str">
        <f>'8.Dgia'!G2676</f>
        <v>kg</v>
      </c>
      <c r="G895" s="1772">
        <f>'8.Dgia'!H2676</f>
        <v>0</v>
      </c>
      <c r="H895" s="1853"/>
      <c r="I895" s="1897" t="s">
        <v>2084</v>
      </c>
      <c r="L895" s="872"/>
    </row>
    <row r="896" spans="1:12" ht="15">
      <c r="B896" s="1551" t="str">
        <f>'8.Dgia'!B2677</f>
        <v/>
      </c>
      <c r="C896" s="1555">
        <f>'8.Dgia'!C2677</f>
        <v>0</v>
      </c>
      <c r="D896" s="1552">
        <f>'8.Dgia'!D2677</f>
        <v>0</v>
      </c>
      <c r="E896" s="1775" t="str">
        <f>'8.Dgia'!E2677</f>
        <v>Vật liệu khác</v>
      </c>
      <c r="F896" s="1771" t="str">
        <f>'8.Dgia'!G2677</f>
        <v>%</v>
      </c>
      <c r="G896" s="1772">
        <f>'8.Dgia'!H2677</f>
        <v>0.01</v>
      </c>
      <c r="H896" s="1853">
        <f>SUM(I893:I895)</f>
        <v>72821</v>
      </c>
      <c r="I896" s="1824">
        <f>H896*G896%</f>
        <v>7.2821000000000007</v>
      </c>
      <c r="L896" s="872"/>
    </row>
    <row r="897" spans="1:12" ht="15">
      <c r="B897" s="1551" t="str">
        <f>'8.Dgia'!B2678</f>
        <v/>
      </c>
      <c r="C897" s="1555">
        <f>'8.Dgia'!C2678</f>
        <v>0</v>
      </c>
      <c r="D897" s="1552">
        <f>'8.Dgia'!D2678</f>
        <v>0</v>
      </c>
      <c r="E897" s="1775" t="str">
        <f>'8.Dgia'!E2678</f>
        <v xml:space="preserve">  B - Nhân công 3.5/7</v>
      </c>
      <c r="F897" s="1771" t="s">
        <v>552</v>
      </c>
      <c r="G897" s="1772">
        <f>'8.Dgia'!H2678/100</f>
        <v>0.1351</v>
      </c>
      <c r="H897" s="1853">
        <f>'16.NC'!$G$16</f>
        <v>215220</v>
      </c>
      <c r="I897" s="1854">
        <f>H897*G897</f>
        <v>29076.221999999998</v>
      </c>
      <c r="L897" s="872"/>
    </row>
    <row r="898" spans="1:12" ht="15">
      <c r="B898" s="1551"/>
      <c r="C898" s="1555"/>
      <c r="D898" s="1552"/>
      <c r="E898" s="1828" t="s">
        <v>5675</v>
      </c>
      <c r="F898" s="1856">
        <f>$J$5</f>
        <v>0.02</v>
      </c>
      <c r="G898" s="1772"/>
      <c r="H898" s="1853"/>
      <c r="I898" s="1863">
        <f>( I892+I897 )*F898</f>
        <v>2038.0900819999999</v>
      </c>
    </row>
    <row r="899" spans="1:12" ht="15">
      <c r="B899" s="1551"/>
      <c r="C899" s="1555"/>
      <c r="D899" s="1552"/>
      <c r="E899" s="1831" t="s">
        <v>5676</v>
      </c>
      <c r="F899" s="1831"/>
      <c r="G899" s="1772"/>
      <c r="H899" s="1853"/>
      <c r="I899" s="1833">
        <f>I898+I898/F898</f>
        <v>103942.59418199999</v>
      </c>
    </row>
    <row r="900" spans="1:12" ht="15">
      <c r="B900" s="1551"/>
      <c r="C900" s="1555"/>
      <c r="D900" s="1552"/>
      <c r="E900" s="1834" t="s">
        <v>5677</v>
      </c>
      <c r="F900" s="1858">
        <f>$K$5</f>
        <v>5.7750000000000003E-2</v>
      </c>
      <c r="G900" s="1772"/>
      <c r="H900" s="1853"/>
      <c r="I900" s="1835">
        <f>I899*F900</f>
        <v>6002.6848140104994</v>
      </c>
    </row>
    <row r="901" spans="1:12" ht="15">
      <c r="B901" s="1551"/>
      <c r="C901" s="1555"/>
      <c r="D901" s="1552"/>
      <c r="E901" s="1834" t="s">
        <v>5678</v>
      </c>
      <c r="F901" s="1856">
        <f>$L$5</f>
        <v>0.06</v>
      </c>
      <c r="G901" s="1772"/>
      <c r="H901" s="1853"/>
      <c r="I901" s="1835">
        <f>SUM(I899:I900)*F901</f>
        <v>6596.716739760629</v>
      </c>
    </row>
    <row r="902" spans="1:12" ht="15">
      <c r="B902" s="1551"/>
      <c r="C902" s="1555"/>
      <c r="D902" s="1552"/>
      <c r="E902" s="1831" t="s">
        <v>5679</v>
      </c>
      <c r="F902" s="1831"/>
      <c r="G902" s="1772"/>
      <c r="H902" s="1853"/>
      <c r="I902" s="1833">
        <f>SUM(I899:I901)</f>
        <v>116541.99573577111</v>
      </c>
    </row>
    <row r="903" spans="1:12" ht="15">
      <c r="B903" s="1551"/>
      <c r="C903" s="1555"/>
      <c r="D903" s="1552"/>
      <c r="E903" s="1834" t="s">
        <v>5680</v>
      </c>
      <c r="F903" s="1856">
        <f>$M$5</f>
        <v>0.1</v>
      </c>
      <c r="G903" s="1772"/>
      <c r="H903" s="1853"/>
      <c r="I903" s="1835">
        <f>I902*F903</f>
        <v>11654.199573577112</v>
      </c>
    </row>
    <row r="904" spans="1:12" ht="15">
      <c r="B904" s="1551"/>
      <c r="C904" s="1555"/>
      <c r="D904" s="1552"/>
      <c r="E904" s="1831" t="s">
        <v>5681</v>
      </c>
      <c r="F904" s="1831"/>
      <c r="G904" s="1772"/>
      <c r="H904" s="1853"/>
      <c r="I904" s="1833">
        <f>SUM(I902:I903)</f>
        <v>128196.19530934823</v>
      </c>
    </row>
    <row r="905" spans="1:12" ht="12.75">
      <c r="B905" s="1551"/>
      <c r="C905" s="1555"/>
      <c r="D905" s="1552"/>
      <c r="E905" s="1558" t="s">
        <v>5682</v>
      </c>
      <c r="F905" s="1595">
        <f>$N$5</f>
        <v>0.01</v>
      </c>
      <c r="G905" s="1553"/>
      <c r="H905" s="1594"/>
      <c r="I905" s="1559">
        <f>I904*F905</f>
        <v>1281.9619530934824</v>
      </c>
    </row>
    <row r="906" spans="1:12" ht="15">
      <c r="B906" s="1596"/>
      <c r="C906" s="1597"/>
      <c r="D906" s="1597"/>
      <c r="E906" s="1859" t="s">
        <v>5683</v>
      </c>
      <c r="F906" s="1859"/>
      <c r="G906" s="1860"/>
      <c r="H906" s="1861"/>
      <c r="I906" s="1862">
        <f>ROUND(I904+I905,-2)</f>
        <v>129500</v>
      </c>
    </row>
    <row r="907" spans="1:12" ht="15">
      <c r="A907" s="657">
        <v>1</v>
      </c>
      <c r="B907" s="1549">
        <f>IF(A907&lt;&gt;0,COUNTA(A$7:$A907),"")</f>
        <v>54</v>
      </c>
      <c r="C907" s="1555">
        <f>'8.Dgia'!C2819</f>
        <v>1776</v>
      </c>
      <c r="D907" s="1696" t="str">
        <f>'8.Dgia'!D2819</f>
        <v>AB.31144</v>
      </c>
      <c r="E907" s="1848" t="str">
        <f>'8.Dgia'!E2819</f>
        <v>Đào cấp phối đá dăm</v>
      </c>
      <c r="F907" s="1849" t="s">
        <v>545</v>
      </c>
      <c r="G907" s="1850">
        <f>'8.Dgia'!H2819</f>
        <v>0</v>
      </c>
      <c r="H907" s="1851"/>
      <c r="I907" s="1852"/>
      <c r="K907" s="842">
        <f>+I908</f>
        <v>13383.215999999999</v>
      </c>
      <c r="L907" s="842">
        <f>+I909</f>
        <v>18327.627131525456</v>
      </c>
    </row>
    <row r="908" spans="1:12" ht="15">
      <c r="B908" s="1551" t="str">
        <f>'8.Dgia'!B2820</f>
        <v/>
      </c>
      <c r="C908" s="1555">
        <f>'8.Dgia'!C2820</f>
        <v>0</v>
      </c>
      <c r="D908" s="1552">
        <f>'8.Dgia'!D2820</f>
        <v>0</v>
      </c>
      <c r="E908" s="1775" t="str">
        <f>'8.Dgia'!E2820</f>
        <v xml:space="preserve">  B - Nhân công 3.0/7</v>
      </c>
      <c r="F908" s="1771" t="s">
        <v>552</v>
      </c>
      <c r="G908" s="1772">
        <f>'8.Dgia'!H2820/100</f>
        <v>6.7199999999999996E-2</v>
      </c>
      <c r="H908" s="1853">
        <f>'16.NC'!$G$13</f>
        <v>199155</v>
      </c>
      <c r="I908" s="1854">
        <f>H908*G908</f>
        <v>13383.215999999999</v>
      </c>
    </row>
    <row r="909" spans="1:12" ht="15">
      <c r="B909" s="1551" t="str">
        <f>'8.Dgia'!B2821</f>
        <v/>
      </c>
      <c r="C909" s="1555">
        <f>'8.Dgia'!C2821</f>
        <v>0</v>
      </c>
      <c r="D909" s="1552">
        <f>'8.Dgia'!D2821</f>
        <v>0</v>
      </c>
      <c r="E909" s="1775" t="str">
        <f>'8.Dgia'!E2821</f>
        <v xml:space="preserve">  C - Máy thi công</v>
      </c>
      <c r="F909" s="1771">
        <f>'8.Dgia'!G2821</f>
        <v>0</v>
      </c>
      <c r="G909" s="1772">
        <f>'8.Dgia'!H2821/100</f>
        <v>0</v>
      </c>
      <c r="H909" s="1853"/>
      <c r="I909" s="1854">
        <f>SUM(I910:I911)</f>
        <v>18327.627131525456</v>
      </c>
    </row>
    <row r="910" spans="1:12" ht="15">
      <c r="B910" s="1551" t="str">
        <f>'8.Dgia'!B2822</f>
        <v/>
      </c>
      <c r="C910" s="1555">
        <f>'8.Dgia'!C2822</f>
        <v>0</v>
      </c>
      <c r="D910" s="1552">
        <f>'8.Dgia'!D2822</f>
        <v>0</v>
      </c>
      <c r="E910" s="1775" t="str">
        <f>'8.Dgia'!E2822</f>
        <v>Máy đào 1 gàu 1.6m3</v>
      </c>
      <c r="F910" s="1771" t="s">
        <v>5493</v>
      </c>
      <c r="G910" s="1772">
        <f>'8.Dgia'!H2822/100</f>
        <v>3.8900000000000002E-3</v>
      </c>
      <c r="H910" s="1853">
        <f>'9.may'!$P$29</f>
        <v>4328652.4456363637</v>
      </c>
      <c r="I910" s="1824">
        <f>H910*G910</f>
        <v>16838.458013525455</v>
      </c>
    </row>
    <row r="911" spans="1:12" ht="15">
      <c r="B911" s="1551" t="str">
        <f>'8.Dgia'!B2823</f>
        <v/>
      </c>
      <c r="C911" s="1555">
        <f>'8.Dgia'!C2823</f>
        <v>0</v>
      </c>
      <c r="D911" s="1552">
        <f>'8.Dgia'!D2823</f>
        <v>0</v>
      </c>
      <c r="E911" s="1775" t="str">
        <f>'8.Dgia'!E2823</f>
        <v>Máy ủi 110cv</v>
      </c>
      <c r="F911" s="1771" t="s">
        <v>5493</v>
      </c>
      <c r="G911" s="1772">
        <f>'8.Dgia'!H2823/100</f>
        <v>7.5999999999999993E-4</v>
      </c>
      <c r="H911" s="1853">
        <f>'9.may'!$P$70</f>
        <v>1959433.0499999998</v>
      </c>
      <c r="I911" s="1824">
        <f>H911*G911</f>
        <v>1489.1691179999998</v>
      </c>
    </row>
    <row r="912" spans="1:12" ht="15">
      <c r="B912" s="1551"/>
      <c r="C912" s="1555"/>
      <c r="D912" s="1552"/>
      <c r="E912" s="1828" t="s">
        <v>5675</v>
      </c>
      <c r="F912" s="1856">
        <f>$J$5</f>
        <v>0.02</v>
      </c>
      <c r="G912" s="1772"/>
      <c r="H912" s="1853"/>
      <c r="I912" s="1863">
        <f>( I908+I909 )*F912</f>
        <v>634.21686263050913</v>
      </c>
    </row>
    <row r="913" spans="1:12" ht="15">
      <c r="B913" s="1551"/>
      <c r="C913" s="1555"/>
      <c r="D913" s="1552"/>
      <c r="E913" s="1831" t="s">
        <v>5676</v>
      </c>
      <c r="F913" s="1831"/>
      <c r="G913" s="1772"/>
      <c r="H913" s="1853"/>
      <c r="I913" s="1833">
        <f>I912+I912/F912</f>
        <v>32345.059994155967</v>
      </c>
    </row>
    <row r="914" spans="1:12" ht="15">
      <c r="B914" s="1551"/>
      <c r="C914" s="1555"/>
      <c r="D914" s="1552"/>
      <c r="E914" s="1834" t="s">
        <v>5677</v>
      </c>
      <c r="F914" s="1858">
        <f>$K$5</f>
        <v>5.7750000000000003E-2</v>
      </c>
      <c r="G914" s="1772"/>
      <c r="H914" s="1853"/>
      <c r="I914" s="1835">
        <f>I913*F914</f>
        <v>1867.9272146625071</v>
      </c>
    </row>
    <row r="915" spans="1:12" ht="15">
      <c r="B915" s="2020"/>
      <c r="C915" s="1555"/>
      <c r="D915" s="1552"/>
      <c r="E915" s="1834" t="s">
        <v>5678</v>
      </c>
      <c r="F915" s="1856">
        <f>$L$5</f>
        <v>0.06</v>
      </c>
      <c r="G915" s="1772"/>
      <c r="H915" s="1853"/>
      <c r="I915" s="1835">
        <f>SUM(I913:I914)*F915</f>
        <v>2052.7792325291084</v>
      </c>
    </row>
    <row r="916" spans="1:12" ht="15">
      <c r="B916" s="1551"/>
      <c r="C916" s="1555"/>
      <c r="D916" s="1552"/>
      <c r="E916" s="1831" t="s">
        <v>5679</v>
      </c>
      <c r="F916" s="1831"/>
      <c r="G916" s="1772"/>
      <c r="H916" s="1853"/>
      <c r="I916" s="1833">
        <f>SUM(I913:I915)</f>
        <v>36265.76644134758</v>
      </c>
    </row>
    <row r="917" spans="1:12" ht="15">
      <c r="B917" s="1551"/>
      <c r="C917" s="1555"/>
      <c r="D917" s="1552"/>
      <c r="E917" s="1834" t="s">
        <v>5680</v>
      </c>
      <c r="F917" s="1856">
        <f>$M$5</f>
        <v>0.1</v>
      </c>
      <c r="G917" s="1772"/>
      <c r="H917" s="1853"/>
      <c r="I917" s="1835">
        <f>I916*F917</f>
        <v>3626.5766441347582</v>
      </c>
    </row>
    <row r="918" spans="1:12" ht="15">
      <c r="B918" s="1551"/>
      <c r="C918" s="1555"/>
      <c r="D918" s="1552"/>
      <c r="E918" s="1831" t="s">
        <v>5681</v>
      </c>
      <c r="F918" s="1831"/>
      <c r="G918" s="1772"/>
      <c r="H918" s="1853"/>
      <c r="I918" s="1833">
        <f>SUM(I916:I917)</f>
        <v>39892.343085482338</v>
      </c>
    </row>
    <row r="919" spans="1:12" ht="12.75">
      <c r="B919" s="1551"/>
      <c r="C919" s="1555"/>
      <c r="D919" s="1552"/>
      <c r="E919" s="1558" t="s">
        <v>5682</v>
      </c>
      <c r="F919" s="1595">
        <f>$N$5</f>
        <v>0.01</v>
      </c>
      <c r="G919" s="1553"/>
      <c r="H919" s="1594"/>
      <c r="I919" s="1559">
        <f>I918*F919</f>
        <v>398.92343085482338</v>
      </c>
    </row>
    <row r="920" spans="1:12" ht="15">
      <c r="B920" s="1596"/>
      <c r="C920" s="1597"/>
      <c r="D920" s="1597"/>
      <c r="E920" s="1859" t="s">
        <v>5683</v>
      </c>
      <c r="F920" s="1859"/>
      <c r="G920" s="1860"/>
      <c r="H920" s="1861"/>
      <c r="I920" s="1862">
        <f>ROUND(I918+I919,-2)</f>
        <v>40300</v>
      </c>
    </row>
    <row r="921" spans="1:12" ht="15">
      <c r="A921" s="657">
        <v>1</v>
      </c>
      <c r="B921" s="1549">
        <f>IF(A921&lt;&gt;0,COUNTA(A$7:$A921),"")</f>
        <v>55</v>
      </c>
      <c r="C921" s="1555">
        <f>'8.Dgia'!C2824</f>
        <v>1776</v>
      </c>
      <c r="D921" s="1696" t="str">
        <f>'8.Dgia'!D2824</f>
        <v>AB.31141</v>
      </c>
      <c r="E921" s="1848" t="str">
        <f>'8.Dgia'!E2824</f>
        <v>Đào đất nền đường</v>
      </c>
      <c r="F921" s="1849" t="s">
        <v>545</v>
      </c>
      <c r="G921" s="1850">
        <f>'8.Dgia'!H2824</f>
        <v>0</v>
      </c>
      <c r="H921" s="1851"/>
      <c r="I921" s="1852"/>
      <c r="K921" s="842">
        <f>+I922</f>
        <v>7747.1295000000009</v>
      </c>
      <c r="L921" s="842">
        <f>+I923</f>
        <v>9723.5944651854552</v>
      </c>
    </row>
    <row r="922" spans="1:12" ht="15">
      <c r="B922" s="1551" t="str">
        <f>'8.Dgia'!B2825</f>
        <v/>
      </c>
      <c r="C922" s="1555">
        <f>'8.Dgia'!C2825</f>
        <v>0</v>
      </c>
      <c r="D922" s="1552">
        <f>'8.Dgia'!D2825</f>
        <v>0</v>
      </c>
      <c r="E922" s="1775" t="str">
        <f>'8.Dgia'!E2825</f>
        <v xml:space="preserve">  B - Nhân công 3.0/7</v>
      </c>
      <c r="F922" s="1771" t="s">
        <v>552</v>
      </c>
      <c r="G922" s="1772">
        <f>'8.Dgia'!H2825/100</f>
        <v>3.8900000000000004E-2</v>
      </c>
      <c r="H922" s="1853">
        <f>'16.NC'!$G$13</f>
        <v>199155</v>
      </c>
      <c r="I922" s="1854">
        <f>H922*G922</f>
        <v>7747.1295000000009</v>
      </c>
    </row>
    <row r="923" spans="1:12" ht="15">
      <c r="B923" s="1551" t="str">
        <f>'8.Dgia'!B2826</f>
        <v/>
      </c>
      <c r="C923" s="1555">
        <f>'8.Dgia'!C2826</f>
        <v>0</v>
      </c>
      <c r="D923" s="1552">
        <f>'8.Dgia'!D2826</f>
        <v>0</v>
      </c>
      <c r="E923" s="1775" t="str">
        <f>'8.Dgia'!E2826</f>
        <v xml:space="preserve">  C - Máy thi công</v>
      </c>
      <c r="F923" s="1771">
        <f>'8.Dgia'!G2826</f>
        <v>0</v>
      </c>
      <c r="G923" s="1772">
        <f>'8.Dgia'!H2826/100</f>
        <v>0</v>
      </c>
      <c r="H923" s="1853"/>
      <c r="I923" s="1854">
        <f>SUM(I924:I925)</f>
        <v>9723.5944651854552</v>
      </c>
    </row>
    <row r="924" spans="1:12" ht="15">
      <c r="B924" s="1551" t="str">
        <f>'8.Dgia'!B2827</f>
        <v/>
      </c>
      <c r="C924" s="1555">
        <f>'8.Dgia'!C2827</f>
        <v>0</v>
      </c>
      <c r="D924" s="1552">
        <f>'8.Dgia'!D2827</f>
        <v>0</v>
      </c>
      <c r="E924" s="1775" t="str">
        <f>'8.Dgia'!E2827</f>
        <v>Máy đào 1 gàu 1.6m3</v>
      </c>
      <c r="F924" s="1771" t="s">
        <v>5493</v>
      </c>
      <c r="G924" s="1772">
        <f>'8.Dgia'!H2827/100</f>
        <v>2.0200000000000001E-3</v>
      </c>
      <c r="H924" s="1853">
        <f>'9.may'!$P$29</f>
        <v>4328652.4456363637</v>
      </c>
      <c r="I924" s="1824">
        <f>H924*G924</f>
        <v>8743.8779401854554</v>
      </c>
    </row>
    <row r="925" spans="1:12" ht="15">
      <c r="B925" s="1551" t="str">
        <f>'8.Dgia'!B2828</f>
        <v/>
      </c>
      <c r="C925" s="1555">
        <f>'8.Dgia'!C2828</f>
        <v>0</v>
      </c>
      <c r="D925" s="1552">
        <f>'8.Dgia'!D2828</f>
        <v>0</v>
      </c>
      <c r="E925" s="1775" t="str">
        <f>'8.Dgia'!E2828</f>
        <v>Máy ủi 110cv</v>
      </c>
      <c r="F925" s="1771" t="s">
        <v>5493</v>
      </c>
      <c r="G925" s="1772">
        <f>'8.Dgia'!H2828/100</f>
        <v>5.0000000000000001E-4</v>
      </c>
      <c r="H925" s="1853">
        <f>'9.may'!$P$70</f>
        <v>1959433.0499999998</v>
      </c>
      <c r="I925" s="1824">
        <f>H925*G925</f>
        <v>979.71652499999993</v>
      </c>
    </row>
    <row r="926" spans="1:12" ht="15">
      <c r="B926" s="1551"/>
      <c r="C926" s="1555"/>
      <c r="D926" s="1552"/>
      <c r="E926" s="1828" t="s">
        <v>5675</v>
      </c>
      <c r="F926" s="1856">
        <f>$J$5</f>
        <v>0.02</v>
      </c>
      <c r="G926" s="1772"/>
      <c r="H926" s="1853"/>
      <c r="I926" s="1863">
        <f>( I922+I923 )*F926</f>
        <v>349.41447930370907</v>
      </c>
    </row>
    <row r="927" spans="1:12" ht="15">
      <c r="B927" s="1551"/>
      <c r="C927" s="1555"/>
      <c r="D927" s="1552"/>
      <c r="E927" s="1831" t="s">
        <v>5676</v>
      </c>
      <c r="F927" s="1831"/>
      <c r="G927" s="1772"/>
      <c r="H927" s="1853"/>
      <c r="I927" s="1833">
        <f>I926+I926/F926</f>
        <v>17820.138444489163</v>
      </c>
    </row>
    <row r="928" spans="1:12" ht="15">
      <c r="B928" s="1551"/>
      <c r="C928" s="1555"/>
      <c r="D928" s="1552"/>
      <c r="E928" s="1834" t="s">
        <v>5677</v>
      </c>
      <c r="F928" s="1858">
        <f>$K$5</f>
        <v>5.7750000000000003E-2</v>
      </c>
      <c r="G928" s="1772"/>
      <c r="H928" s="1853"/>
      <c r="I928" s="1835">
        <f>I927*F928</f>
        <v>1029.1129951692492</v>
      </c>
    </row>
    <row r="929" spans="1:12" ht="15">
      <c r="B929" s="1551"/>
      <c r="C929" s="1555"/>
      <c r="D929" s="1552"/>
      <c r="E929" s="1834" t="s">
        <v>5678</v>
      </c>
      <c r="F929" s="1856">
        <f>$L$5</f>
        <v>0.06</v>
      </c>
      <c r="G929" s="1772"/>
      <c r="H929" s="1853"/>
      <c r="I929" s="1835">
        <f>SUM(I927:I928)*F929</f>
        <v>1130.9550863795046</v>
      </c>
    </row>
    <row r="930" spans="1:12" ht="15">
      <c r="B930" s="1551"/>
      <c r="C930" s="1555"/>
      <c r="D930" s="1552"/>
      <c r="E930" s="1831" t="s">
        <v>5679</v>
      </c>
      <c r="F930" s="1831"/>
      <c r="G930" s="1772"/>
      <c r="H930" s="1853"/>
      <c r="I930" s="1833">
        <f>SUM(I927:I929)</f>
        <v>19980.206526037917</v>
      </c>
    </row>
    <row r="931" spans="1:12" ht="15">
      <c r="B931" s="1551"/>
      <c r="C931" s="1555"/>
      <c r="D931" s="1552"/>
      <c r="E931" s="1834" t="s">
        <v>5680</v>
      </c>
      <c r="F931" s="1856">
        <f>$M$5</f>
        <v>0.1</v>
      </c>
      <c r="G931" s="1772"/>
      <c r="H931" s="1853"/>
      <c r="I931" s="1835">
        <f>I930*F931</f>
        <v>1998.0206526037919</v>
      </c>
    </row>
    <row r="932" spans="1:12" ht="15">
      <c r="B932" s="1551"/>
      <c r="C932" s="1555"/>
      <c r="D932" s="1552"/>
      <c r="E932" s="1831" t="s">
        <v>5681</v>
      </c>
      <c r="F932" s="1831"/>
      <c r="G932" s="1772"/>
      <c r="H932" s="1853"/>
      <c r="I932" s="1833">
        <f>SUM(I930:I931)</f>
        <v>21978.227178641708</v>
      </c>
    </row>
    <row r="933" spans="1:12" ht="12.75">
      <c r="B933" s="1551"/>
      <c r="C933" s="1555"/>
      <c r="D933" s="1552"/>
      <c r="E933" s="1558" t="s">
        <v>5682</v>
      </c>
      <c r="F933" s="1595">
        <f>$N$5</f>
        <v>0.01</v>
      </c>
      <c r="G933" s="1553"/>
      <c r="H933" s="1594"/>
      <c r="I933" s="1559">
        <f>I932*F933</f>
        <v>219.78227178641708</v>
      </c>
    </row>
    <row r="934" spans="1:12" ht="15">
      <c r="B934" s="1596"/>
      <c r="C934" s="1597"/>
      <c r="D934" s="1597"/>
      <c r="E934" s="1859" t="s">
        <v>5683</v>
      </c>
      <c r="F934" s="1859"/>
      <c r="G934" s="1860"/>
      <c r="H934" s="1861"/>
      <c r="I934" s="1862">
        <f>ROUND(I932+I933,-2)</f>
        <v>22200</v>
      </c>
    </row>
    <row r="935" spans="1:12" ht="24">
      <c r="A935" s="657">
        <v>1</v>
      </c>
      <c r="B935" s="1549">
        <f>IF(A935&lt;&gt;0,COUNTA(A$7:$A935),"")</f>
        <v>56</v>
      </c>
      <c r="C935" s="1555">
        <f>'8.Dgia'!C2852</f>
        <v>1776</v>
      </c>
      <c r="D935" s="1696" t="str">
        <f>'8.Dgia'!D2852</f>
        <v>AK.91141vd</v>
      </c>
      <c r="E935" s="1848" t="str">
        <f>'8.Dgia'!E2852</f>
        <v>Sơn gờ giảm tốc dày 6mm</v>
      </c>
      <c r="F935" s="1849" t="str">
        <f>'8.Dgia'!G2852</f>
        <v>m2</v>
      </c>
      <c r="G935" s="1850">
        <f>'8.Dgia'!H2852</f>
        <v>0</v>
      </c>
      <c r="H935" s="1851"/>
      <c r="I935" s="1852"/>
      <c r="J935" s="842">
        <f>+I936</f>
        <v>297038.52090909093</v>
      </c>
      <c r="K935" s="842">
        <f>+I943</f>
        <v>77827.670000000013</v>
      </c>
      <c r="L935" s="842">
        <f>+I945</f>
        <v>46189.717885320853</v>
      </c>
    </row>
    <row r="936" spans="1:12" ht="15">
      <c r="B936" s="1551" t="str">
        <f>'8.Dgia'!B2853</f>
        <v/>
      </c>
      <c r="C936" s="1555">
        <f>'8.Dgia'!C2853</f>
        <v>0</v>
      </c>
      <c r="D936" s="1552">
        <f>'8.Dgia'!D2853</f>
        <v>0</v>
      </c>
      <c r="E936" s="2018" t="str">
        <f>'8.Dgia'!E2853</f>
        <v xml:space="preserve">  A - Vật liệu</v>
      </c>
      <c r="F936" s="1771">
        <f>'8.Dgia'!G2853</f>
        <v>0</v>
      </c>
      <c r="G936" s="1772">
        <f>'8.Dgia'!H2853</f>
        <v>0</v>
      </c>
      <c r="H936" s="1853"/>
      <c r="I936" s="1854">
        <f>SUM(I937:I942)</f>
        <v>297038.52090909093</v>
      </c>
    </row>
    <row r="937" spans="1:12" ht="15">
      <c r="B937" s="1551" t="str">
        <f>'8.Dgia'!B2854</f>
        <v/>
      </c>
      <c r="C937" s="1555">
        <f>'8.Dgia'!C2854</f>
        <v>0</v>
      </c>
      <c r="D937" s="1552">
        <f>'8.Dgia'!D2854</f>
        <v>0</v>
      </c>
      <c r="E937" s="1775" t="str">
        <f>'8.Dgia'!E2854</f>
        <v>Sơn dẻo nhiệt</v>
      </c>
      <c r="F937" s="1771" t="str">
        <f>'8.Dgia'!G2854</f>
        <v>kg</v>
      </c>
      <c r="G937" s="1772">
        <f>'8.Dgia'!H2854</f>
        <v>13.23</v>
      </c>
      <c r="H937" s="1853">
        <f>GVL!$I$161</f>
        <v>20100</v>
      </c>
      <c r="I937" s="1824">
        <f>H937*G937</f>
        <v>265923</v>
      </c>
    </row>
    <row r="938" spans="1:12" ht="15">
      <c r="B938" s="1551" t="str">
        <f>'8.Dgia'!B2855</f>
        <v/>
      </c>
      <c r="C938" s="1555">
        <f>'8.Dgia'!C2855</f>
        <v>0</v>
      </c>
      <c r="D938" s="1552">
        <f>'8.Dgia'!D2855</f>
        <v>0</v>
      </c>
      <c r="E938" s="1775" t="str">
        <f>'8.Dgia'!E2855</f>
        <v>=(7,87-5,19)*(6-3)/(3-2)+5,19</v>
      </c>
      <c r="F938" s="1771">
        <f>'8.Dgia'!G2855</f>
        <v>0</v>
      </c>
      <c r="G938" s="1772">
        <f>'8.Dgia'!H2855</f>
        <v>0</v>
      </c>
      <c r="H938" s="1853"/>
      <c r="I938" s="1824"/>
    </row>
    <row r="939" spans="1:12" ht="15">
      <c r="B939" s="1551" t="str">
        <f>'8.Dgia'!B2856</f>
        <v/>
      </c>
      <c r="C939" s="1555">
        <f>'8.Dgia'!C2856</f>
        <v>0</v>
      </c>
      <c r="D939" s="1552">
        <f>'8.Dgia'!D2856</f>
        <v>0</v>
      </c>
      <c r="E939" s="1775" t="str">
        <f>'8.Dgia'!E2856</f>
        <v xml:space="preserve">Sơn </v>
      </c>
      <c r="F939" s="1771" t="str">
        <f>'8.Dgia'!G2856</f>
        <v>kg</v>
      </c>
      <c r="G939" s="1772">
        <f>'8.Dgia'!H2856</f>
        <v>0.25</v>
      </c>
      <c r="H939" s="1853">
        <f>GVL!$I$159</f>
        <v>86666.666666666672</v>
      </c>
      <c r="I939" s="1824">
        <f>H939*G939</f>
        <v>21666.666666666668</v>
      </c>
    </row>
    <row r="940" spans="1:12" ht="15">
      <c r="B940" s="2020"/>
      <c r="C940" s="1555">
        <f>'8.Dgia'!C2857</f>
        <v>0</v>
      </c>
      <c r="D940" s="1552">
        <f>'8.Dgia'!D2857</f>
        <v>0</v>
      </c>
      <c r="E940" s="1775" t="str">
        <f>'8.Dgia'!E2857</f>
        <v>Gas</v>
      </c>
      <c r="F940" s="1771" t="str">
        <f>'8.Dgia'!G2857</f>
        <v>kg</v>
      </c>
      <c r="G940" s="1772">
        <f>'8.Dgia'!H2857</f>
        <v>0.23599999999999999</v>
      </c>
      <c r="H940" s="1853">
        <f>GVL!$I$91</f>
        <v>27575.757575757572</v>
      </c>
      <c r="I940" s="1824">
        <f>H940*G940</f>
        <v>6507.8787878787871</v>
      </c>
    </row>
    <row r="941" spans="1:12" ht="15">
      <c r="B941" s="1551" t="str">
        <f>'8.Dgia'!B2858</f>
        <v/>
      </c>
      <c r="C941" s="1555">
        <f>'8.Dgia'!C2858</f>
        <v>0</v>
      </c>
      <c r="D941" s="1552">
        <f>'8.Dgia'!D2858</f>
        <v>0</v>
      </c>
      <c r="E941" s="1775" t="str">
        <f>'8.Dgia'!E2858</f>
        <v>=(0,18-0,152)*(6-3)/(3-2)+0,152</v>
      </c>
      <c r="F941" s="1771">
        <f>'8.Dgia'!G2858</f>
        <v>0</v>
      </c>
      <c r="G941" s="1772">
        <f>'8.Dgia'!H2858</f>
        <v>0</v>
      </c>
      <c r="H941" s="1853"/>
      <c r="I941" s="1824"/>
    </row>
    <row r="942" spans="1:12" ht="15">
      <c r="B942" s="1551" t="str">
        <f>'8.Dgia'!B2859</f>
        <v/>
      </c>
      <c r="C942" s="1555">
        <f>'8.Dgia'!C2859</f>
        <v>0</v>
      </c>
      <c r="D942" s="1552">
        <f>'8.Dgia'!D2859</f>
        <v>0</v>
      </c>
      <c r="E942" s="1775" t="str">
        <f>'8.Dgia'!E2859</f>
        <v>Vật liệu khác</v>
      </c>
      <c r="F942" s="1771" t="str">
        <f>'8.Dgia'!G2859</f>
        <v>%</v>
      </c>
      <c r="G942" s="1772">
        <f>'8.Dgia'!H2859</f>
        <v>1</v>
      </c>
      <c r="H942" s="1853">
        <f>SUM(I937:I940)</f>
        <v>294097.54545454547</v>
      </c>
      <c r="I942" s="1824">
        <f>H942*G942%</f>
        <v>2940.9754545454548</v>
      </c>
    </row>
    <row r="943" spans="1:12" ht="15">
      <c r="B943" s="1551" t="str">
        <f>'8.Dgia'!B2860</f>
        <v/>
      </c>
      <c r="C943" s="1555">
        <f>'8.Dgia'!C2860</f>
        <v>0</v>
      </c>
      <c r="D943" s="1552">
        <f>'8.Dgia'!D2860</f>
        <v>0</v>
      </c>
      <c r="E943" s="1775" t="str">
        <f>'8.Dgia'!E2860</f>
        <v xml:space="preserve">  B - Nhân công 4.5/7</v>
      </c>
      <c r="F943" s="1771" t="s">
        <v>552</v>
      </c>
      <c r="G943" s="1772">
        <f>'8.Dgia'!H2860</f>
        <v>0.31000000000000005</v>
      </c>
      <c r="H943" s="1853">
        <f>'16.NC'!$G$20</f>
        <v>251057</v>
      </c>
      <c r="I943" s="1854">
        <f>H943*G943</f>
        <v>77827.670000000013</v>
      </c>
    </row>
    <row r="944" spans="1:12" ht="15">
      <c r="B944" s="1551" t="str">
        <f>'8.Dgia'!B2861</f>
        <v/>
      </c>
      <c r="C944" s="1555">
        <f>'8.Dgia'!C2861</f>
        <v>0</v>
      </c>
      <c r="D944" s="1552">
        <f>'8.Dgia'!D2861</f>
        <v>0</v>
      </c>
      <c r="E944" s="1775" t="str">
        <f>'8.Dgia'!E2861</f>
        <v>=(0,23-0,19)*(6-3)/(3-2)+0,19</v>
      </c>
      <c r="F944" s="1771">
        <f>'8.Dgia'!G2861</f>
        <v>0</v>
      </c>
      <c r="G944" s="1772">
        <f>'8.Dgia'!H2861</f>
        <v>0</v>
      </c>
      <c r="H944" s="1853"/>
      <c r="I944" s="1847"/>
    </row>
    <row r="945" spans="1:12" ht="15">
      <c r="B945" s="1551" t="str">
        <f>'8.Dgia'!B2862</f>
        <v/>
      </c>
      <c r="C945" s="1555">
        <f>'8.Dgia'!C2862</f>
        <v>0</v>
      </c>
      <c r="D945" s="1552">
        <f>'8.Dgia'!D2862</f>
        <v>0</v>
      </c>
      <c r="E945" s="1775" t="str">
        <f>'8.Dgia'!E2862</f>
        <v xml:space="preserve">  C - Máy thi công</v>
      </c>
      <c r="F945" s="1771">
        <f>'8.Dgia'!G2862</f>
        <v>0</v>
      </c>
      <c r="G945" s="1772">
        <f>'8.Dgia'!H2862</f>
        <v>0</v>
      </c>
      <c r="H945" s="1853"/>
      <c r="I945" s="1854">
        <f>SUM(I946:I949)</f>
        <v>46189.717885320853</v>
      </c>
    </row>
    <row r="946" spans="1:12" ht="15">
      <c r="B946" s="1551" t="str">
        <f>'8.Dgia'!B2863</f>
        <v/>
      </c>
      <c r="C946" s="1555">
        <f>'8.Dgia'!C2863</f>
        <v>0</v>
      </c>
      <c r="D946" s="1552">
        <f>'8.Dgia'!D2863</f>
        <v>0</v>
      </c>
      <c r="E946" s="1775" t="str">
        <f>'8.Dgia'!E2863</f>
        <v>Thiết bị sơn kẻ vạch</v>
      </c>
      <c r="F946" s="1771" t="s">
        <v>5493</v>
      </c>
      <c r="G946" s="1772">
        <f>'8.Dgia'!H2863</f>
        <v>0.04</v>
      </c>
      <c r="H946" s="1853">
        <f>'9.may'!$P$410</f>
        <v>133431.15</v>
      </c>
      <c r="I946" s="1824">
        <f>H946*G946</f>
        <v>5337.2460000000001</v>
      </c>
    </row>
    <row r="947" spans="1:12" ht="15">
      <c r="B947" s="1551" t="str">
        <f>'8.Dgia'!B2864</f>
        <v/>
      </c>
      <c r="C947" s="1555">
        <f>'8.Dgia'!C2864</f>
        <v>0</v>
      </c>
      <c r="D947" s="1552">
        <f>'8.Dgia'!D2864</f>
        <v>0</v>
      </c>
      <c r="E947" s="1775" t="str">
        <f>'8.Dgia'!E2864</f>
        <v>Lò nấu sơn</v>
      </c>
      <c r="F947" s="1771" t="s">
        <v>5493</v>
      </c>
      <c r="G947" s="1772">
        <f>'8.Dgia'!H2864</f>
        <v>0.04</v>
      </c>
      <c r="H947" s="1853">
        <f>'9.may'!$P$411</f>
        <v>581752.06365269469</v>
      </c>
      <c r="I947" s="1824">
        <f>H947*G947</f>
        <v>23270.082546107787</v>
      </c>
    </row>
    <row r="948" spans="1:12" ht="15">
      <c r="B948" s="1551" t="str">
        <f>'8.Dgia'!B2865</f>
        <v/>
      </c>
      <c r="C948" s="1555">
        <f>'8.Dgia'!C2865</f>
        <v>0</v>
      </c>
      <c r="D948" s="1552">
        <f>'8.Dgia'!D2865</f>
        <v>0</v>
      </c>
      <c r="E948" s="1775" t="str">
        <f>'8.Dgia'!E2865</f>
        <v>Ôtô vận tải thùng 2.5T</v>
      </c>
      <c r="F948" s="1771" t="s">
        <v>5493</v>
      </c>
      <c r="G948" s="1772">
        <f>'8.Dgia'!H2865</f>
        <v>3.2000000000000001E-2</v>
      </c>
      <c r="H948" s="1853">
        <f>'9.may'!$P$131</f>
        <v>521147.14363636356</v>
      </c>
      <c r="I948" s="1824">
        <f>H948*G948</f>
        <v>16676.708596363635</v>
      </c>
    </row>
    <row r="949" spans="1:12" ht="15">
      <c r="B949" s="1551" t="str">
        <f>'8.Dgia'!B2866</f>
        <v/>
      </c>
      <c r="C949" s="1555">
        <f>'8.Dgia'!C2866</f>
        <v>0</v>
      </c>
      <c r="D949" s="1552">
        <f>'8.Dgia'!D2866</f>
        <v>0</v>
      </c>
      <c r="E949" s="1775" t="str">
        <f>'8.Dgia'!E2866</f>
        <v>Máy khác</v>
      </c>
      <c r="F949" s="1771" t="str">
        <f>'8.Dgia'!G2866</f>
        <v>%</v>
      </c>
      <c r="G949" s="1772">
        <f>'8.Dgia'!H2866</f>
        <v>2</v>
      </c>
      <c r="H949" s="1853">
        <f>SUM(I946:I948)</f>
        <v>45284.037142471425</v>
      </c>
      <c r="I949" s="1824">
        <f>H949*G949%</f>
        <v>905.6807428494285</v>
      </c>
    </row>
    <row r="950" spans="1:12" ht="15">
      <c r="B950" s="1551"/>
      <c r="C950" s="1555"/>
      <c r="D950" s="1552"/>
      <c r="E950" s="1828" t="s">
        <v>5675</v>
      </c>
      <c r="F950" s="1856">
        <f>$J$5</f>
        <v>0.02</v>
      </c>
      <c r="G950" s="1772"/>
      <c r="H950" s="1853"/>
      <c r="I950" s="1863">
        <f>( I936+I943+I945 )*F950</f>
        <v>8421.1181758882358</v>
      </c>
    </row>
    <row r="951" spans="1:12" ht="15">
      <c r="B951" s="1551"/>
      <c r="C951" s="1555"/>
      <c r="D951" s="1552"/>
      <c r="E951" s="1831" t="s">
        <v>5676</v>
      </c>
      <c r="F951" s="1831"/>
      <c r="G951" s="1772"/>
      <c r="H951" s="1853"/>
      <c r="I951" s="1833">
        <f>I950+I950/F950</f>
        <v>429477.02697030007</v>
      </c>
    </row>
    <row r="952" spans="1:12" ht="15">
      <c r="B952" s="1551"/>
      <c r="C952" s="1555"/>
      <c r="D952" s="1552"/>
      <c r="E952" s="1834" t="s">
        <v>5677</v>
      </c>
      <c r="F952" s="1858">
        <f>$K$5</f>
        <v>5.7750000000000003E-2</v>
      </c>
      <c r="G952" s="1772"/>
      <c r="H952" s="1853"/>
      <c r="I952" s="1835">
        <f>I951*F952</f>
        <v>24802.298307534831</v>
      </c>
    </row>
    <row r="953" spans="1:12" ht="15">
      <c r="B953" s="1551"/>
      <c r="C953" s="1555"/>
      <c r="D953" s="1552"/>
      <c r="E953" s="1834" t="s">
        <v>5678</v>
      </c>
      <c r="F953" s="1856">
        <f>$L$5</f>
        <v>0.06</v>
      </c>
      <c r="G953" s="1772"/>
      <c r="H953" s="1853"/>
      <c r="I953" s="1835">
        <f>SUM(I951:I952)*F953</f>
        <v>27256.759516670092</v>
      </c>
    </row>
    <row r="954" spans="1:12" ht="15">
      <c r="B954" s="1551"/>
      <c r="C954" s="1555"/>
      <c r="D954" s="1552"/>
      <c r="E954" s="1831" t="s">
        <v>5679</v>
      </c>
      <c r="F954" s="1831"/>
      <c r="G954" s="1772"/>
      <c r="H954" s="1853"/>
      <c r="I954" s="1833">
        <f>SUM(I951:I953)</f>
        <v>481536.08479450498</v>
      </c>
    </row>
    <row r="955" spans="1:12" ht="15">
      <c r="B955" s="1551"/>
      <c r="C955" s="1555"/>
      <c r="D955" s="1552"/>
      <c r="E955" s="1834" t="s">
        <v>5680</v>
      </c>
      <c r="F955" s="1856">
        <f>$M$5</f>
        <v>0.1</v>
      </c>
      <c r="G955" s="1772"/>
      <c r="H955" s="1853"/>
      <c r="I955" s="1835">
        <f>I954*F955</f>
        <v>48153.6084794505</v>
      </c>
    </row>
    <row r="956" spans="1:12" ht="15">
      <c r="B956" s="1551"/>
      <c r="C956" s="1555"/>
      <c r="D956" s="1552"/>
      <c r="E956" s="1831" t="s">
        <v>5681</v>
      </c>
      <c r="F956" s="1831"/>
      <c r="G956" s="1772"/>
      <c r="H956" s="1853"/>
      <c r="I956" s="1833">
        <f>SUM(I954:I955)</f>
        <v>529689.69327395549</v>
      </c>
    </row>
    <row r="957" spans="1:12" ht="12.75">
      <c r="B957" s="1551"/>
      <c r="C957" s="1555"/>
      <c r="D957" s="1552"/>
      <c r="E957" s="1558" t="s">
        <v>5682</v>
      </c>
      <c r="F957" s="1595">
        <f>$N$5</f>
        <v>0.01</v>
      </c>
      <c r="G957" s="1553"/>
      <c r="H957" s="1594"/>
      <c r="I957" s="1559">
        <f>I956*F957</f>
        <v>5296.8969327395553</v>
      </c>
    </row>
    <row r="958" spans="1:12" ht="15">
      <c r="B958" s="1596"/>
      <c r="C958" s="1597"/>
      <c r="D958" s="1597"/>
      <c r="E958" s="1859" t="s">
        <v>5683</v>
      </c>
      <c r="F958" s="1859"/>
      <c r="G958" s="1860"/>
      <c r="H958" s="1861"/>
      <c r="I958" s="1862">
        <f>ROUND(I956+I957,-2)</f>
        <v>535000</v>
      </c>
    </row>
    <row r="959" spans="1:12" ht="15" customHeight="1">
      <c r="A959" s="657">
        <v>1</v>
      </c>
      <c r="B959" s="1549">
        <f>IF(A959&lt;&gt;0,COUNTA(A$7:$A959),"")</f>
        <v>57</v>
      </c>
      <c r="C959" s="1555">
        <f>'8.Dgia'!C2879</f>
        <v>1776</v>
      </c>
      <c r="D959" s="1696" t="str">
        <f>'8.Dgia'!D2879</f>
        <v>AD.32441vd</v>
      </c>
      <c r="E959" s="1848" t="str">
        <f>'8.Dgia'!E2879</f>
        <v>Biển báo chữ nhật 2.4x1.5m</v>
      </c>
      <c r="F959" s="1771" t="s">
        <v>567</v>
      </c>
      <c r="G959" s="1850">
        <f>'8.Dgia'!H2879</f>
        <v>0</v>
      </c>
      <c r="H959" s="1851"/>
      <c r="I959" s="1852"/>
      <c r="J959" s="842">
        <f>+I960</f>
        <v>3600000</v>
      </c>
      <c r="K959" s="842">
        <f>+I962</f>
        <v>103065.39</v>
      </c>
      <c r="L959" s="842">
        <f>+I963</f>
        <v>7738.762517045453</v>
      </c>
    </row>
    <row r="960" spans="1:12" ht="15">
      <c r="B960" s="1551" t="str">
        <f>'8.Dgia'!B2880</f>
        <v/>
      </c>
      <c r="C960" s="1555">
        <f>'8.Dgia'!C2880</f>
        <v>0</v>
      </c>
      <c r="D960" s="1552">
        <f>'8.Dgia'!D2880</f>
        <v>0</v>
      </c>
      <c r="E960" s="2018" t="str">
        <f>'8.Dgia'!E2880</f>
        <v xml:space="preserve">  A - Vật liệu</v>
      </c>
      <c r="F960" s="1771">
        <f>'8.Dgia'!G2880</f>
        <v>0</v>
      </c>
      <c r="G960" s="1772">
        <f>'8.Dgia'!H2880</f>
        <v>0</v>
      </c>
      <c r="H960" s="1853"/>
      <c r="I960" s="1854">
        <f>SUM(I961:I961)</f>
        <v>3600000</v>
      </c>
    </row>
    <row r="961" spans="1:12" ht="15">
      <c r="B961" s="1551" t="str">
        <f>'8.Dgia'!B2881</f>
        <v/>
      </c>
      <c r="C961" s="1555">
        <f>'8.Dgia'!C2881</f>
        <v>0</v>
      </c>
      <c r="D961" s="1552">
        <f>'8.Dgia'!D2881</f>
        <v>0</v>
      </c>
      <c r="E961" s="1775" t="str">
        <f>'8.Dgia'!E2881</f>
        <v>Biển báo chữ nhật 2.4x1.5m</v>
      </c>
      <c r="F961" s="1771" t="s">
        <v>567</v>
      </c>
      <c r="G961" s="1772">
        <f>'8.Dgia'!H2881</f>
        <v>1</v>
      </c>
      <c r="H961" s="1853">
        <f>GVL!$I$16</f>
        <v>3600000</v>
      </c>
      <c r="I961" s="1824">
        <f>H961*G961</f>
        <v>3600000</v>
      </c>
    </row>
    <row r="962" spans="1:12" ht="15">
      <c r="B962" s="1551" t="str">
        <f>'8.Dgia'!B2882</f>
        <v/>
      </c>
      <c r="C962" s="1555">
        <f>'8.Dgia'!C2882</f>
        <v>0</v>
      </c>
      <c r="D962" s="1552" t="str">
        <f>'8.Dgia'!D2882</f>
        <v>HS=0.5</v>
      </c>
      <c r="E962" s="1775" t="str">
        <f>'8.Dgia'!E2882</f>
        <v xml:space="preserve">  B - Nhân công 3.7/7</v>
      </c>
      <c r="F962" s="1771" t="s">
        <v>552</v>
      </c>
      <c r="G962" s="1772">
        <f>'8.Dgia'!H2882</f>
        <v>0.46500000000000002</v>
      </c>
      <c r="H962" s="1853">
        <f>'16.NC'!$G$17</f>
        <v>221646</v>
      </c>
      <c r="I962" s="1854">
        <f>H962*G962</f>
        <v>103065.39</v>
      </c>
    </row>
    <row r="963" spans="1:12" ht="15">
      <c r="B963" s="1551" t="str">
        <f>'8.Dgia'!B2883</f>
        <v/>
      </c>
      <c r="C963" s="1555">
        <f>'8.Dgia'!C2883</f>
        <v>0</v>
      </c>
      <c r="D963" s="1552" t="str">
        <f>'8.Dgia'!D2883</f>
        <v>HS=0.5</v>
      </c>
      <c r="E963" s="1775" t="str">
        <f>'8.Dgia'!E2883</f>
        <v xml:space="preserve">  C - Máy thi công</v>
      </c>
      <c r="F963" s="1771">
        <f>'8.Dgia'!G2883</f>
        <v>0</v>
      </c>
      <c r="G963" s="1772">
        <f>'8.Dgia'!H2883</f>
        <v>0</v>
      </c>
      <c r="H963" s="1853"/>
      <c r="I963" s="1854">
        <f>SUM(I964:I964)</f>
        <v>7738.762517045453</v>
      </c>
    </row>
    <row r="964" spans="1:12" ht="15">
      <c r="B964" s="1551" t="str">
        <f>'8.Dgia'!B2884</f>
        <v/>
      </c>
      <c r="C964" s="1555">
        <f>'8.Dgia'!C2884</f>
        <v>0</v>
      </c>
      <c r="D964" s="1552">
        <f>'8.Dgia'!D2884</f>
        <v>0</v>
      </c>
      <c r="E964" s="1775" t="str">
        <f>'8.Dgia'!E2884</f>
        <v>Ôtô tự đổ 2.5T</v>
      </c>
      <c r="F964" s="1771" t="s">
        <v>5493</v>
      </c>
      <c r="G964" s="1772">
        <f>'8.Dgia'!H2884</f>
        <v>1.2500000000000001E-2</v>
      </c>
      <c r="H964" s="1853">
        <f>'9.may'!$P$141</f>
        <v>619101.00136363623</v>
      </c>
      <c r="I964" s="1824">
        <f>H964*G964</f>
        <v>7738.762517045453</v>
      </c>
    </row>
    <row r="965" spans="1:12" ht="15">
      <c r="B965" s="1551"/>
      <c r="C965" s="1555"/>
      <c r="D965" s="1552"/>
      <c r="E965" s="1828" t="s">
        <v>5675</v>
      </c>
      <c r="F965" s="1856">
        <f>$J$5</f>
        <v>0.02</v>
      </c>
      <c r="G965" s="1772"/>
      <c r="H965" s="1853"/>
      <c r="I965" s="1863">
        <f>( I960+I962+I963 )*F965</f>
        <v>74216.083050340909</v>
      </c>
    </row>
    <row r="966" spans="1:12" ht="15">
      <c r="B966" s="2020"/>
      <c r="C966" s="1555"/>
      <c r="D966" s="1552"/>
      <c r="E966" s="1831" t="s">
        <v>5676</v>
      </c>
      <c r="F966" s="1831"/>
      <c r="G966" s="1772"/>
      <c r="H966" s="1853"/>
      <c r="I966" s="1833">
        <f>I965+I965/F965</f>
        <v>3785020.2355673863</v>
      </c>
    </row>
    <row r="967" spans="1:12" ht="15">
      <c r="B967" s="1551"/>
      <c r="C967" s="1555"/>
      <c r="D967" s="1552"/>
      <c r="E967" s="1834" t="s">
        <v>5677</v>
      </c>
      <c r="F967" s="1858">
        <f>$K$5</f>
        <v>5.7750000000000003E-2</v>
      </c>
      <c r="G967" s="1772"/>
      <c r="H967" s="1853"/>
      <c r="I967" s="1835">
        <f>I966*F967</f>
        <v>218584.91860401657</v>
      </c>
    </row>
    <row r="968" spans="1:12" ht="15">
      <c r="B968" s="1551"/>
      <c r="C968" s="1555"/>
      <c r="D968" s="1552"/>
      <c r="E968" s="1834" t="s">
        <v>5678</v>
      </c>
      <c r="F968" s="1856">
        <f>$L$5</f>
        <v>0.06</v>
      </c>
      <c r="G968" s="1772"/>
      <c r="H968" s="1853"/>
      <c r="I968" s="1835">
        <f>SUM(I966:I967)*F968</f>
        <v>240216.30925028416</v>
      </c>
    </row>
    <row r="969" spans="1:12" ht="15">
      <c r="B969" s="1551"/>
      <c r="C969" s="1555"/>
      <c r="D969" s="1552"/>
      <c r="E969" s="1831" t="s">
        <v>5679</v>
      </c>
      <c r="F969" s="1831"/>
      <c r="G969" s="1772"/>
      <c r="H969" s="1853"/>
      <c r="I969" s="1833">
        <f>SUM(I966:I968)</f>
        <v>4243821.4634216875</v>
      </c>
    </row>
    <row r="970" spans="1:12" ht="15">
      <c r="B970" s="1551"/>
      <c r="C970" s="1555"/>
      <c r="D970" s="1552"/>
      <c r="E970" s="1834" t="s">
        <v>5680</v>
      </c>
      <c r="F970" s="1856">
        <f>$M$5</f>
        <v>0.1</v>
      </c>
      <c r="G970" s="1772"/>
      <c r="H970" s="1853"/>
      <c r="I970" s="1835">
        <f>I969*F970</f>
        <v>424382.14634216879</v>
      </c>
    </row>
    <row r="971" spans="1:12" ht="15">
      <c r="B971" s="1551"/>
      <c r="C971" s="1555"/>
      <c r="D971" s="1552"/>
      <c r="E971" s="1831" t="s">
        <v>5681</v>
      </c>
      <c r="F971" s="1831"/>
      <c r="G971" s="1772"/>
      <c r="H971" s="1853"/>
      <c r="I971" s="1833">
        <f>SUM(I969:I970)</f>
        <v>4668203.609763856</v>
      </c>
    </row>
    <row r="972" spans="1:12" ht="12.75">
      <c r="B972" s="1551"/>
      <c r="C972" s="1555"/>
      <c r="D972" s="1552"/>
      <c r="E972" s="1558" t="s">
        <v>5682</v>
      </c>
      <c r="F972" s="1595">
        <f>$N$5</f>
        <v>0.01</v>
      </c>
      <c r="G972" s="1553"/>
      <c r="H972" s="1594"/>
      <c r="I972" s="1559">
        <f>I971*F972</f>
        <v>46682.036097638564</v>
      </c>
    </row>
    <row r="973" spans="1:12" ht="15">
      <c r="B973" s="1596"/>
      <c r="C973" s="1597"/>
      <c r="D973" s="1597"/>
      <c r="E973" s="1859" t="s">
        <v>5683</v>
      </c>
      <c r="F973" s="1859"/>
      <c r="G973" s="1860"/>
      <c r="H973" s="1861"/>
      <c r="I973" s="1862">
        <f>ROUND(I971+I972,-2)</f>
        <v>4714900</v>
      </c>
    </row>
    <row r="974" spans="1:12" ht="15" customHeight="1">
      <c r="A974" s="657">
        <v>1</v>
      </c>
      <c r="B974" s="1549">
        <f>IF(A974&lt;&gt;0,COUNTA(A$7:$A974),"")</f>
        <v>58</v>
      </c>
      <c r="C974" s="1555">
        <f>'8.Dgia'!C2885</f>
        <v>1776</v>
      </c>
      <c r="D974" s="1696" t="str">
        <f>'8.Dgia'!D2885</f>
        <v>AD.32441vd</v>
      </c>
      <c r="E974" s="1848" t="str">
        <f>'8.Dgia'!E2885</f>
        <v>Biển báo chữ nhật 1.6x1.0m</v>
      </c>
      <c r="F974" s="1771" t="s">
        <v>567</v>
      </c>
      <c r="G974" s="1850">
        <f>'8.Dgia'!H2885</f>
        <v>0</v>
      </c>
      <c r="H974" s="1851"/>
      <c r="I974" s="1852"/>
      <c r="J974" s="842">
        <f>+I975</f>
        <v>1600000</v>
      </c>
      <c r="K974" s="842">
        <f>+I977</f>
        <v>103065.39</v>
      </c>
      <c r="L974" s="842">
        <f>+I978</f>
        <v>7738.762517045453</v>
      </c>
    </row>
    <row r="975" spans="1:12" ht="15">
      <c r="B975" s="1551" t="str">
        <f>'8.Dgia'!B2886</f>
        <v/>
      </c>
      <c r="C975" s="1555">
        <f>'8.Dgia'!C2886</f>
        <v>0</v>
      </c>
      <c r="D975" s="1552">
        <f>'8.Dgia'!D2886</f>
        <v>0</v>
      </c>
      <c r="E975" s="2018" t="str">
        <f>'8.Dgia'!E2886</f>
        <v xml:space="preserve">  A - Vật liệu</v>
      </c>
      <c r="F975" s="1771">
        <f>'8.Dgia'!G2886</f>
        <v>0</v>
      </c>
      <c r="G975" s="1772">
        <f>'8.Dgia'!H2886</f>
        <v>0</v>
      </c>
      <c r="H975" s="1853"/>
      <c r="I975" s="1854">
        <f>SUM(I976:I976)</f>
        <v>1600000</v>
      </c>
    </row>
    <row r="976" spans="1:12" ht="15">
      <c r="B976" s="1551" t="str">
        <f>'8.Dgia'!B2887</f>
        <v/>
      </c>
      <c r="C976" s="1555">
        <f>'8.Dgia'!C2887</f>
        <v>0</v>
      </c>
      <c r="D976" s="1552">
        <f>'8.Dgia'!D2887</f>
        <v>0</v>
      </c>
      <c r="E976" s="1775" t="str">
        <f>'8.Dgia'!E2887</f>
        <v>Biển báo chữ nhật 1.6x1.0m</v>
      </c>
      <c r="F976" s="1771" t="s">
        <v>567</v>
      </c>
      <c r="G976" s="1772">
        <f>'8.Dgia'!H2887</f>
        <v>1</v>
      </c>
      <c r="H976" s="1853">
        <f>GVL!$I$15</f>
        <v>1600000</v>
      </c>
      <c r="I976" s="1824">
        <f>H976*G976</f>
        <v>1600000</v>
      </c>
    </row>
    <row r="977" spans="1:12" ht="15">
      <c r="B977" s="1551" t="str">
        <f>'8.Dgia'!B2888</f>
        <v/>
      </c>
      <c r="C977" s="1555">
        <f>'8.Dgia'!C2888</f>
        <v>0</v>
      </c>
      <c r="D977" s="1552" t="str">
        <f>'8.Dgia'!D2888</f>
        <v>HS=0.5</v>
      </c>
      <c r="E977" s="1775" t="str">
        <f>'8.Dgia'!E2888</f>
        <v xml:space="preserve">  B - Nhân công 3.7/7</v>
      </c>
      <c r="F977" s="1771" t="s">
        <v>552</v>
      </c>
      <c r="G977" s="1772">
        <f>'8.Dgia'!H2888</f>
        <v>0.46500000000000002</v>
      </c>
      <c r="H977" s="1853">
        <f>'16.NC'!$G$17</f>
        <v>221646</v>
      </c>
      <c r="I977" s="1854">
        <f>H977*G977</f>
        <v>103065.39</v>
      </c>
    </row>
    <row r="978" spans="1:12" ht="15">
      <c r="B978" s="1551" t="str">
        <f>'8.Dgia'!B2889</f>
        <v/>
      </c>
      <c r="C978" s="1555">
        <f>'8.Dgia'!C2889</f>
        <v>0</v>
      </c>
      <c r="D978" s="1552" t="str">
        <f>'8.Dgia'!D2889</f>
        <v>HS=0.5</v>
      </c>
      <c r="E978" s="1775" t="str">
        <f>'8.Dgia'!E2889</f>
        <v xml:space="preserve">  C - Máy thi công</v>
      </c>
      <c r="F978" s="1771">
        <f>'8.Dgia'!G2889</f>
        <v>0</v>
      </c>
      <c r="G978" s="1772">
        <f>'8.Dgia'!H2889</f>
        <v>0</v>
      </c>
      <c r="H978" s="1853"/>
      <c r="I978" s="1854">
        <f>SUM(I979:I979)</f>
        <v>7738.762517045453</v>
      </c>
    </row>
    <row r="979" spans="1:12" ht="15">
      <c r="B979" s="1551" t="str">
        <f>'8.Dgia'!B2890</f>
        <v/>
      </c>
      <c r="C979" s="1555">
        <f>'8.Dgia'!C2890</f>
        <v>0</v>
      </c>
      <c r="D979" s="1552">
        <f>'8.Dgia'!D2890</f>
        <v>0</v>
      </c>
      <c r="E979" s="1775" t="str">
        <f>'8.Dgia'!E2890</f>
        <v>Ôtô tự đổ 2.5T</v>
      </c>
      <c r="F979" s="1771" t="s">
        <v>5493</v>
      </c>
      <c r="G979" s="1772">
        <f>'8.Dgia'!H2890</f>
        <v>1.2500000000000001E-2</v>
      </c>
      <c r="H979" s="1853">
        <f>'9.may'!$P$141</f>
        <v>619101.00136363623</v>
      </c>
      <c r="I979" s="1824">
        <f>H979*G979</f>
        <v>7738.762517045453</v>
      </c>
    </row>
    <row r="980" spans="1:12" ht="15">
      <c r="B980" s="1551"/>
      <c r="C980" s="1555"/>
      <c r="D980" s="1552"/>
      <c r="E980" s="1828" t="s">
        <v>5675</v>
      </c>
      <c r="F980" s="1856">
        <f>$J$5</f>
        <v>0.02</v>
      </c>
      <c r="G980" s="1772"/>
      <c r="H980" s="1853"/>
      <c r="I980" s="1863">
        <f>( I975+I977+I978 )*F980</f>
        <v>34216.083050340909</v>
      </c>
    </row>
    <row r="981" spans="1:12" ht="15">
      <c r="B981" s="1551"/>
      <c r="C981" s="1555"/>
      <c r="D981" s="1552"/>
      <c r="E981" s="1831" t="s">
        <v>5676</v>
      </c>
      <c r="F981" s="1831"/>
      <c r="G981" s="1772"/>
      <c r="H981" s="1853"/>
      <c r="I981" s="1833">
        <f>I980+I980/F980</f>
        <v>1745020.2355673863</v>
      </c>
    </row>
    <row r="982" spans="1:12" ht="15">
      <c r="B982" s="1551"/>
      <c r="C982" s="1555"/>
      <c r="D982" s="1552"/>
      <c r="E982" s="1834" t="s">
        <v>5677</v>
      </c>
      <c r="F982" s="1858">
        <f>$K$5</f>
        <v>5.7750000000000003E-2</v>
      </c>
      <c r="G982" s="1772"/>
      <c r="H982" s="1853"/>
      <c r="I982" s="1835">
        <f>I981*F982</f>
        <v>100774.91860401657</v>
      </c>
    </row>
    <row r="983" spans="1:12" ht="15">
      <c r="B983" s="1551"/>
      <c r="C983" s="1555"/>
      <c r="D983" s="1552"/>
      <c r="E983" s="1834" t="s">
        <v>5678</v>
      </c>
      <c r="F983" s="1856">
        <f>$L$5</f>
        <v>0.06</v>
      </c>
      <c r="G983" s="1772"/>
      <c r="H983" s="1853"/>
      <c r="I983" s="1835">
        <f>SUM(I981:I982)*F983</f>
        <v>110747.70925028417</v>
      </c>
    </row>
    <row r="984" spans="1:12" ht="15">
      <c r="B984" s="1551"/>
      <c r="C984" s="1555"/>
      <c r="D984" s="1552"/>
      <c r="E984" s="1831" t="s">
        <v>5679</v>
      </c>
      <c r="F984" s="1831"/>
      <c r="G984" s="1772"/>
      <c r="H984" s="1853"/>
      <c r="I984" s="1833">
        <f>SUM(I981:I983)</f>
        <v>1956542.8634216869</v>
      </c>
    </row>
    <row r="985" spans="1:12" ht="15">
      <c r="B985" s="1551"/>
      <c r="C985" s="1555"/>
      <c r="D985" s="1552"/>
      <c r="E985" s="1834" t="s">
        <v>5680</v>
      </c>
      <c r="F985" s="1856">
        <f>$M$5</f>
        <v>0.1</v>
      </c>
      <c r="G985" s="1772"/>
      <c r="H985" s="1853"/>
      <c r="I985" s="1835">
        <f>I984*F985</f>
        <v>195654.28634216869</v>
      </c>
    </row>
    <row r="986" spans="1:12" ht="15">
      <c r="B986" s="1551"/>
      <c r="C986" s="1555"/>
      <c r="D986" s="1552"/>
      <c r="E986" s="1831" t="s">
        <v>5681</v>
      </c>
      <c r="F986" s="1831"/>
      <c r="G986" s="1772"/>
      <c r="H986" s="1853"/>
      <c r="I986" s="1833">
        <f>SUM(I984:I985)</f>
        <v>2152197.1497638556</v>
      </c>
    </row>
    <row r="987" spans="1:12" ht="12.75">
      <c r="B987" s="1551"/>
      <c r="C987" s="1555"/>
      <c r="D987" s="1552"/>
      <c r="E987" s="1558" t="s">
        <v>5682</v>
      </c>
      <c r="F987" s="1595">
        <f>$N$5</f>
        <v>0.01</v>
      </c>
      <c r="G987" s="1553"/>
      <c r="H987" s="1594"/>
      <c r="I987" s="1559">
        <f>I986*F987</f>
        <v>21521.971497638555</v>
      </c>
    </row>
    <row r="988" spans="1:12" ht="15">
      <c r="B988" s="1596"/>
      <c r="C988" s="1597"/>
      <c r="D988" s="1597"/>
      <c r="E988" s="1859" t="s">
        <v>5683</v>
      </c>
      <c r="F988" s="1859"/>
      <c r="G988" s="1860"/>
      <c r="H988" s="1861"/>
      <c r="I988" s="1862">
        <f>ROUND(I986+I987,-2)</f>
        <v>2173700</v>
      </c>
    </row>
    <row r="989" spans="1:12" ht="15" customHeight="1">
      <c r="A989" s="657">
        <v>1</v>
      </c>
      <c r="B989" s="1549">
        <f>IF(A989&lt;&gt;0,COUNTA(A$7:$A989),"")</f>
        <v>59</v>
      </c>
      <c r="C989" s="1555">
        <f>'8.Dgia'!C2891</f>
        <v>1776</v>
      </c>
      <c r="D989" s="1696" t="str">
        <f>'8.Dgia'!D2891</f>
        <v>AD.32441vd</v>
      </c>
      <c r="E989" s="1848" t="str">
        <f>'8.Dgia'!E2891</f>
        <v>Biển báo chữ nhật 0.9x0.45m</v>
      </c>
      <c r="F989" s="1771" t="s">
        <v>567</v>
      </c>
      <c r="G989" s="1850">
        <f>'8.Dgia'!H2891</f>
        <v>0</v>
      </c>
      <c r="H989" s="1851"/>
      <c r="I989" s="1852"/>
      <c r="J989" s="842">
        <f>+I990</f>
        <v>405000</v>
      </c>
      <c r="K989" s="842">
        <f>+I992</f>
        <v>103065.39</v>
      </c>
      <c r="L989" s="842">
        <f>+I993</f>
        <v>7738.762517045453</v>
      </c>
    </row>
    <row r="990" spans="1:12" ht="15">
      <c r="B990" s="1551" t="str">
        <f>'8.Dgia'!B2892</f>
        <v/>
      </c>
      <c r="C990" s="1555">
        <f>'8.Dgia'!C2892</f>
        <v>0</v>
      </c>
      <c r="D990" s="1552">
        <f>'8.Dgia'!D2892</f>
        <v>0</v>
      </c>
      <c r="E990" s="2018" t="str">
        <f>'8.Dgia'!E2892</f>
        <v xml:space="preserve">  A - Vật liệu</v>
      </c>
      <c r="F990" s="1771">
        <f>'8.Dgia'!G2892</f>
        <v>0</v>
      </c>
      <c r="G990" s="1772">
        <f>'8.Dgia'!H2892</f>
        <v>0</v>
      </c>
      <c r="H990" s="1853"/>
      <c r="I990" s="1854">
        <f>SUM(I991:I991)</f>
        <v>405000</v>
      </c>
    </row>
    <row r="991" spans="1:12" ht="15">
      <c r="B991" s="1551" t="str">
        <f>'8.Dgia'!B2893</f>
        <v/>
      </c>
      <c r="C991" s="1555">
        <f>'8.Dgia'!C2893</f>
        <v>0</v>
      </c>
      <c r="D991" s="1552">
        <f>'8.Dgia'!D2893</f>
        <v>0</v>
      </c>
      <c r="E991" s="1775" t="str">
        <f>'8.Dgia'!E2893</f>
        <v>Biển báo chữ nhật 0.9x0.45m</v>
      </c>
      <c r="F991" s="1771" t="s">
        <v>567</v>
      </c>
      <c r="G991" s="1772">
        <f>'8.Dgia'!H2893</f>
        <v>1</v>
      </c>
      <c r="H991" s="1853">
        <f>GVL!$I$13</f>
        <v>405000</v>
      </c>
      <c r="I991" s="1824">
        <f>H991*G991</f>
        <v>405000</v>
      </c>
    </row>
    <row r="992" spans="1:12" ht="15">
      <c r="B992" s="1551" t="str">
        <f>'8.Dgia'!B2894</f>
        <v/>
      </c>
      <c r="C992" s="1555">
        <f>'8.Dgia'!C2894</f>
        <v>0</v>
      </c>
      <c r="D992" s="1552" t="str">
        <f>'8.Dgia'!D2894</f>
        <v>HS=0.5</v>
      </c>
      <c r="E992" s="1775" t="str">
        <f>'8.Dgia'!E2894</f>
        <v xml:space="preserve">  B - Nhân công 3.7/7</v>
      </c>
      <c r="F992" s="1771" t="s">
        <v>552</v>
      </c>
      <c r="G992" s="1772">
        <f>'8.Dgia'!H2894</f>
        <v>0.46500000000000002</v>
      </c>
      <c r="H992" s="1853">
        <f>'16.NC'!$G$17</f>
        <v>221646</v>
      </c>
      <c r="I992" s="1854">
        <f>H992*G992</f>
        <v>103065.39</v>
      </c>
    </row>
    <row r="993" spans="1:12" ht="15">
      <c r="B993" s="2020"/>
      <c r="C993" s="1555">
        <f>'8.Dgia'!C2895</f>
        <v>0</v>
      </c>
      <c r="D993" s="1552" t="str">
        <f>'8.Dgia'!D2895</f>
        <v>HS=0.5</v>
      </c>
      <c r="E993" s="1775" t="str">
        <f>'8.Dgia'!E2895</f>
        <v xml:space="preserve">  C - Máy thi công</v>
      </c>
      <c r="F993" s="1771">
        <f>'8.Dgia'!G2895</f>
        <v>0</v>
      </c>
      <c r="G993" s="1772">
        <f>'8.Dgia'!H2895</f>
        <v>0</v>
      </c>
      <c r="H993" s="1853"/>
      <c r="I993" s="1854">
        <f>SUM(I994:I994)</f>
        <v>7738.762517045453</v>
      </c>
    </row>
    <row r="994" spans="1:12" ht="15">
      <c r="B994" s="1551" t="str">
        <f>'8.Dgia'!B2896</f>
        <v/>
      </c>
      <c r="C994" s="1555">
        <f>'8.Dgia'!C2896</f>
        <v>0</v>
      </c>
      <c r="D994" s="1552">
        <f>'8.Dgia'!D2896</f>
        <v>0</v>
      </c>
      <c r="E994" s="1775" t="str">
        <f>'8.Dgia'!E2896</f>
        <v>Ôtô tự đổ 2.5T</v>
      </c>
      <c r="F994" s="1771" t="s">
        <v>5493</v>
      </c>
      <c r="G994" s="1772">
        <f>'8.Dgia'!H2896</f>
        <v>1.2500000000000001E-2</v>
      </c>
      <c r="H994" s="1853">
        <f>'9.may'!$P$141</f>
        <v>619101.00136363623</v>
      </c>
      <c r="I994" s="1824">
        <f>H994*G994</f>
        <v>7738.762517045453</v>
      </c>
    </row>
    <row r="995" spans="1:12" ht="15">
      <c r="B995" s="1551"/>
      <c r="C995" s="1555"/>
      <c r="D995" s="1552"/>
      <c r="E995" s="1828" t="s">
        <v>5675</v>
      </c>
      <c r="F995" s="1856">
        <f>$J$5</f>
        <v>0.02</v>
      </c>
      <c r="G995" s="1772"/>
      <c r="H995" s="1853"/>
      <c r="I995" s="1863">
        <f>( I990+I992+I993 )*F995</f>
        <v>10316.083050340909</v>
      </c>
    </row>
    <row r="996" spans="1:12" ht="15">
      <c r="B996" s="1551"/>
      <c r="C996" s="1555"/>
      <c r="D996" s="1552"/>
      <c r="E996" s="1831" t="s">
        <v>5676</v>
      </c>
      <c r="F996" s="1831"/>
      <c r="G996" s="1772"/>
      <c r="H996" s="1853"/>
      <c r="I996" s="1833">
        <f>I995+I995/F995</f>
        <v>526120.23556738638</v>
      </c>
    </row>
    <row r="997" spans="1:12" ht="15">
      <c r="B997" s="1551"/>
      <c r="C997" s="1555"/>
      <c r="D997" s="1552"/>
      <c r="E997" s="1834" t="s">
        <v>5677</v>
      </c>
      <c r="F997" s="1858">
        <f>$K$5</f>
        <v>5.7750000000000003E-2</v>
      </c>
      <c r="G997" s="1772"/>
      <c r="H997" s="1853"/>
      <c r="I997" s="1835">
        <f>I996*F997</f>
        <v>30383.443604016564</v>
      </c>
    </row>
    <row r="998" spans="1:12" ht="15">
      <c r="B998" s="1551"/>
      <c r="C998" s="1555"/>
      <c r="D998" s="1552"/>
      <c r="E998" s="1834" t="s">
        <v>5678</v>
      </c>
      <c r="F998" s="1856">
        <f>$L$5</f>
        <v>0.06</v>
      </c>
      <c r="G998" s="1772"/>
      <c r="H998" s="1853"/>
      <c r="I998" s="1835">
        <f>SUM(I996:I997)*F998</f>
        <v>33390.220750284177</v>
      </c>
    </row>
    <row r="999" spans="1:12" ht="15">
      <c r="B999" s="1551"/>
      <c r="C999" s="1555"/>
      <c r="D999" s="1552"/>
      <c r="E999" s="1831" t="s">
        <v>5679</v>
      </c>
      <c r="F999" s="1831"/>
      <c r="G999" s="1772"/>
      <c r="H999" s="1853"/>
      <c r="I999" s="1833">
        <f>SUM(I996:I998)</f>
        <v>589893.89992168709</v>
      </c>
    </row>
    <row r="1000" spans="1:12" ht="15">
      <c r="B1000" s="1551"/>
      <c r="C1000" s="1555"/>
      <c r="D1000" s="1552"/>
      <c r="E1000" s="1834" t="s">
        <v>5680</v>
      </c>
      <c r="F1000" s="1856">
        <f>$M$5</f>
        <v>0.1</v>
      </c>
      <c r="G1000" s="1772"/>
      <c r="H1000" s="1853"/>
      <c r="I1000" s="1835">
        <f>I999*F1000</f>
        <v>58989.389992168712</v>
      </c>
    </row>
    <row r="1001" spans="1:12" ht="15">
      <c r="B1001" s="1551"/>
      <c r="C1001" s="1555"/>
      <c r="D1001" s="1552"/>
      <c r="E1001" s="1831" t="s">
        <v>5681</v>
      </c>
      <c r="F1001" s="1831"/>
      <c r="G1001" s="1772"/>
      <c r="H1001" s="1853"/>
      <c r="I1001" s="1833">
        <f>SUM(I999:I1000)</f>
        <v>648883.28991385584</v>
      </c>
    </row>
    <row r="1002" spans="1:12" ht="12.75">
      <c r="B1002" s="1551"/>
      <c r="C1002" s="1555"/>
      <c r="D1002" s="1552"/>
      <c r="E1002" s="1558" t="s">
        <v>5682</v>
      </c>
      <c r="F1002" s="1595">
        <f>$N$5</f>
        <v>0.01</v>
      </c>
      <c r="G1002" s="1553"/>
      <c r="H1002" s="1594"/>
      <c r="I1002" s="1559">
        <f>I1001*F1002</f>
        <v>6488.8328991385588</v>
      </c>
    </row>
    <row r="1003" spans="1:12" ht="15">
      <c r="B1003" s="1596"/>
      <c r="C1003" s="1597"/>
      <c r="D1003" s="1597"/>
      <c r="E1003" s="1859" t="s">
        <v>5683</v>
      </c>
      <c r="F1003" s="1859"/>
      <c r="G1003" s="1860"/>
      <c r="H1003" s="1861"/>
      <c r="I1003" s="1862">
        <f>ROUND(I1001+I1002,-2)</f>
        <v>655400</v>
      </c>
    </row>
    <row r="1004" spans="1:12" ht="15" customHeight="1">
      <c r="A1004" s="657">
        <v>1</v>
      </c>
      <c r="B1004" s="1549">
        <f>IF(A1004&lt;&gt;0,COUNTA(A$7:$A1004),"")</f>
        <v>60</v>
      </c>
      <c r="C1004" s="1555">
        <f>'8.Dgia'!C2897</f>
        <v>1776</v>
      </c>
      <c r="D1004" s="1696" t="str">
        <f>'8.Dgia'!D2897</f>
        <v>AD.32441vd</v>
      </c>
      <c r="E1004" s="1848" t="str">
        <f>'8.Dgia'!E2897</f>
        <v>Biển báo chữ nhật 0.7x0.3m</v>
      </c>
      <c r="F1004" s="1771" t="s">
        <v>567</v>
      </c>
      <c r="G1004" s="1850">
        <f>'8.Dgia'!H2897</f>
        <v>0</v>
      </c>
      <c r="H1004" s="1851"/>
      <c r="I1004" s="1852"/>
      <c r="J1004" s="842">
        <f>+I1005</f>
        <v>210000</v>
      </c>
      <c r="K1004" s="842">
        <f>+I1007</f>
        <v>103065.39</v>
      </c>
      <c r="L1004" s="842">
        <f>+I1008</f>
        <v>7738.762517045453</v>
      </c>
    </row>
    <row r="1005" spans="1:12" ht="15">
      <c r="B1005" s="1551" t="str">
        <f>'8.Dgia'!B2898</f>
        <v/>
      </c>
      <c r="C1005" s="1555">
        <f>'8.Dgia'!C2898</f>
        <v>0</v>
      </c>
      <c r="D1005" s="1552">
        <f>'8.Dgia'!D2898</f>
        <v>0</v>
      </c>
      <c r="E1005" s="2018" t="str">
        <f>'8.Dgia'!E2898</f>
        <v xml:space="preserve">  A - Vật liệu</v>
      </c>
      <c r="F1005" s="1771">
        <f>'8.Dgia'!G2898</f>
        <v>0</v>
      </c>
      <c r="G1005" s="1772">
        <f>'8.Dgia'!H2898</f>
        <v>0</v>
      </c>
      <c r="H1005" s="1853"/>
      <c r="I1005" s="1854">
        <f>SUM(I1006:I1006)</f>
        <v>210000</v>
      </c>
    </row>
    <row r="1006" spans="1:12" ht="15">
      <c r="B1006" s="1551" t="str">
        <f>'8.Dgia'!B2899</f>
        <v/>
      </c>
      <c r="C1006" s="1555">
        <f>'8.Dgia'!C2899</f>
        <v>0</v>
      </c>
      <c r="D1006" s="1552">
        <f>'8.Dgia'!D2899</f>
        <v>0</v>
      </c>
      <c r="E1006" s="1775" t="str">
        <f>'8.Dgia'!E2899</f>
        <v>Biển báo chữ nhật 0.7x0.3m</v>
      </c>
      <c r="F1006" s="1771" t="s">
        <v>567</v>
      </c>
      <c r="G1006" s="1772">
        <f>'8.Dgia'!H2899</f>
        <v>1</v>
      </c>
      <c r="H1006" s="1853">
        <f>GVL!$I$12</f>
        <v>210000</v>
      </c>
      <c r="I1006" s="1824">
        <f>H1006*G1006</f>
        <v>210000</v>
      </c>
    </row>
    <row r="1007" spans="1:12" ht="15">
      <c r="B1007" s="1551" t="str">
        <f>'8.Dgia'!B2900</f>
        <v/>
      </c>
      <c r="C1007" s="1555">
        <f>'8.Dgia'!C2900</f>
        <v>0</v>
      </c>
      <c r="D1007" s="1552" t="str">
        <f>'8.Dgia'!D2900</f>
        <v>HS=0.5</v>
      </c>
      <c r="E1007" s="1775" t="str">
        <f>'8.Dgia'!E2900</f>
        <v xml:space="preserve">  B - Nhân công 3.7/7</v>
      </c>
      <c r="F1007" s="1771" t="s">
        <v>552</v>
      </c>
      <c r="G1007" s="1772">
        <f>'8.Dgia'!H2900</f>
        <v>0.46500000000000002</v>
      </c>
      <c r="H1007" s="1853">
        <f>'16.NC'!$G$17</f>
        <v>221646</v>
      </c>
      <c r="I1007" s="1854">
        <f>H1007*G1007</f>
        <v>103065.39</v>
      </c>
    </row>
    <row r="1008" spans="1:12" ht="15">
      <c r="B1008" s="1551" t="str">
        <f>'8.Dgia'!B2901</f>
        <v/>
      </c>
      <c r="C1008" s="1555">
        <f>'8.Dgia'!C2901</f>
        <v>0</v>
      </c>
      <c r="D1008" s="1552" t="str">
        <f>'8.Dgia'!D2901</f>
        <v>HS=0.5</v>
      </c>
      <c r="E1008" s="1775" t="str">
        <f>'8.Dgia'!E2901</f>
        <v xml:space="preserve">  C - Máy thi công</v>
      </c>
      <c r="F1008" s="1771">
        <f>'8.Dgia'!G2901</f>
        <v>0</v>
      </c>
      <c r="G1008" s="1772">
        <f>'8.Dgia'!H2901</f>
        <v>0</v>
      </c>
      <c r="H1008" s="1853"/>
      <c r="I1008" s="1854">
        <f>SUM(I1009:I1009)</f>
        <v>7738.762517045453</v>
      </c>
    </row>
    <row r="1009" spans="1:12" ht="15">
      <c r="B1009" s="1551" t="str">
        <f>'8.Dgia'!B2902</f>
        <v/>
      </c>
      <c r="C1009" s="1555">
        <f>'8.Dgia'!C2902</f>
        <v>0</v>
      </c>
      <c r="D1009" s="1552">
        <f>'8.Dgia'!D2902</f>
        <v>0</v>
      </c>
      <c r="E1009" s="1775" t="str">
        <f>'8.Dgia'!E2902</f>
        <v>Ôtô tự đổ 2.5T</v>
      </c>
      <c r="F1009" s="1771" t="s">
        <v>5493</v>
      </c>
      <c r="G1009" s="1772">
        <f>'8.Dgia'!H2902</f>
        <v>1.2500000000000001E-2</v>
      </c>
      <c r="H1009" s="1853">
        <f>'9.may'!$P$141</f>
        <v>619101.00136363623</v>
      </c>
      <c r="I1009" s="1824">
        <f>H1009*G1009</f>
        <v>7738.762517045453</v>
      </c>
    </row>
    <row r="1010" spans="1:12" ht="15">
      <c r="B1010" s="1551"/>
      <c r="C1010" s="1555"/>
      <c r="D1010" s="1552"/>
      <c r="E1010" s="1828" t="s">
        <v>5675</v>
      </c>
      <c r="F1010" s="1856">
        <f>$J$5</f>
        <v>0.02</v>
      </c>
      <c r="G1010" s="1772"/>
      <c r="H1010" s="1853"/>
      <c r="I1010" s="1863">
        <f>( I1005+I1007+I1008 )*F1010</f>
        <v>6416.0830503409088</v>
      </c>
    </row>
    <row r="1011" spans="1:12" ht="15">
      <c r="B1011" s="1551"/>
      <c r="C1011" s="1555"/>
      <c r="D1011" s="1552"/>
      <c r="E1011" s="1831" t="s">
        <v>5676</v>
      </c>
      <c r="F1011" s="1831"/>
      <c r="G1011" s="1772"/>
      <c r="H1011" s="1853"/>
      <c r="I1011" s="1833">
        <f>I1010+I1010/F1010</f>
        <v>327220.23556738638</v>
      </c>
    </row>
    <row r="1012" spans="1:12" ht="15">
      <c r="B1012" s="1551"/>
      <c r="C1012" s="1555"/>
      <c r="D1012" s="1552"/>
      <c r="E1012" s="1834" t="s">
        <v>5677</v>
      </c>
      <c r="F1012" s="1858">
        <f>$K$5</f>
        <v>5.7750000000000003E-2</v>
      </c>
      <c r="G1012" s="1772"/>
      <c r="H1012" s="1853"/>
      <c r="I1012" s="1835">
        <f>I1011*F1012</f>
        <v>18896.968604016565</v>
      </c>
    </row>
    <row r="1013" spans="1:12" ht="15">
      <c r="B1013" s="1551"/>
      <c r="C1013" s="1555"/>
      <c r="D1013" s="1552"/>
      <c r="E1013" s="1834" t="s">
        <v>5678</v>
      </c>
      <c r="F1013" s="1856">
        <f>$L$5</f>
        <v>0.06</v>
      </c>
      <c r="G1013" s="1772"/>
      <c r="H1013" s="1853"/>
      <c r="I1013" s="1835">
        <f>SUM(I1011:I1012)*F1013</f>
        <v>20767.032250284177</v>
      </c>
    </row>
    <row r="1014" spans="1:12" ht="15">
      <c r="B1014" s="1551"/>
      <c r="C1014" s="1555"/>
      <c r="D1014" s="1552"/>
      <c r="E1014" s="1831" t="s">
        <v>5679</v>
      </c>
      <c r="F1014" s="1831"/>
      <c r="G1014" s="1772"/>
      <c r="H1014" s="1853"/>
      <c r="I1014" s="1833">
        <f>SUM(I1011:I1013)</f>
        <v>366884.23642168712</v>
      </c>
    </row>
    <row r="1015" spans="1:12" ht="15">
      <c r="B1015" s="1551"/>
      <c r="C1015" s="1555"/>
      <c r="D1015" s="1552"/>
      <c r="E1015" s="1834" t="s">
        <v>5680</v>
      </c>
      <c r="F1015" s="1856">
        <f>$M$5</f>
        <v>0.1</v>
      </c>
      <c r="G1015" s="1772"/>
      <c r="H1015" s="1853"/>
      <c r="I1015" s="1835">
        <f>I1014*F1015</f>
        <v>36688.423642168716</v>
      </c>
    </row>
    <row r="1016" spans="1:12" ht="15">
      <c r="B1016" s="1551"/>
      <c r="C1016" s="1555"/>
      <c r="D1016" s="1552"/>
      <c r="E1016" s="1831" t="s">
        <v>5681</v>
      </c>
      <c r="F1016" s="1831"/>
      <c r="G1016" s="1772"/>
      <c r="H1016" s="1853"/>
      <c r="I1016" s="1833">
        <f>SUM(I1014:I1015)</f>
        <v>403572.66006385582</v>
      </c>
    </row>
    <row r="1017" spans="1:12" ht="12.75">
      <c r="B1017" s="1551"/>
      <c r="C1017" s="1555"/>
      <c r="D1017" s="1552"/>
      <c r="E1017" s="1558" t="s">
        <v>5682</v>
      </c>
      <c r="F1017" s="1595">
        <f>$N$5</f>
        <v>0.01</v>
      </c>
      <c r="G1017" s="1553"/>
      <c r="H1017" s="1594"/>
      <c r="I1017" s="1559">
        <f>I1016*F1017</f>
        <v>4035.7266006385585</v>
      </c>
    </row>
    <row r="1018" spans="1:12" ht="15">
      <c r="B1018" s="2020"/>
      <c r="C1018" s="1597"/>
      <c r="D1018" s="1597"/>
      <c r="E1018" s="1859" t="s">
        <v>5683</v>
      </c>
      <c r="F1018" s="1859"/>
      <c r="G1018" s="1860"/>
      <c r="H1018" s="1861"/>
      <c r="I1018" s="1862">
        <f>ROUND(I1016+I1017,-2)</f>
        <v>407600</v>
      </c>
    </row>
    <row r="1019" spans="1:12" ht="15" customHeight="1">
      <c r="A1019" s="657">
        <v>1</v>
      </c>
      <c r="B1019" s="1549">
        <f>IF(A1019&lt;&gt;0,COUNTA(A$7:$A1019),"")</f>
        <v>61</v>
      </c>
      <c r="C1019" s="1555">
        <f>'8.Dgia'!C2909</f>
        <v>1776</v>
      </c>
      <c r="D1019" s="1696" t="str">
        <f>'8.Dgia'!D2909</f>
        <v>AD.32431vd</v>
      </c>
      <c r="E1019" s="1848" t="str">
        <f>'8.Dgia'!E2909</f>
        <v>Biển báo tam giác cạnh 0.7m</v>
      </c>
      <c r="F1019" s="1771" t="s">
        <v>567</v>
      </c>
      <c r="G1019" s="1850">
        <f>'8.Dgia'!H2909</f>
        <v>0</v>
      </c>
      <c r="H1019" s="1851"/>
      <c r="I1019" s="1852"/>
      <c r="J1019" s="842">
        <f>+I1020</f>
        <v>253000</v>
      </c>
      <c r="K1019" s="842">
        <f>+I1022</f>
        <v>138528.75</v>
      </c>
      <c r="L1019" s="842">
        <f>+I1023</f>
        <v>7738.762517045453</v>
      </c>
    </row>
    <row r="1020" spans="1:12" ht="15">
      <c r="B1020" s="1551" t="str">
        <f>'8.Dgia'!B2910</f>
        <v/>
      </c>
      <c r="C1020" s="1555">
        <f>'8.Dgia'!C2910</f>
        <v>0</v>
      </c>
      <c r="D1020" s="1552">
        <f>'8.Dgia'!D2910</f>
        <v>0</v>
      </c>
      <c r="E1020" s="2018" t="str">
        <f>'8.Dgia'!E2910</f>
        <v xml:space="preserve">  A - Vật liệu</v>
      </c>
      <c r="F1020" s="1771">
        <f>'8.Dgia'!G2910</f>
        <v>0</v>
      </c>
      <c r="G1020" s="1772">
        <f>'8.Dgia'!H2910</f>
        <v>0</v>
      </c>
      <c r="H1020" s="1853"/>
      <c r="I1020" s="1854">
        <f>SUM(I1021:I1021)</f>
        <v>253000</v>
      </c>
    </row>
    <row r="1021" spans="1:12" ht="15">
      <c r="B1021" s="1551" t="str">
        <f>'8.Dgia'!B2911</f>
        <v/>
      </c>
      <c r="C1021" s="1555">
        <f>'8.Dgia'!C2911</f>
        <v>0</v>
      </c>
      <c r="D1021" s="1552">
        <f>'8.Dgia'!D2911</f>
        <v>0</v>
      </c>
      <c r="E1021" s="1775" t="str">
        <f>'8.Dgia'!E2911</f>
        <v>Biển báo tam giác cạnh 0.7m</v>
      </c>
      <c r="F1021" s="1771" t="s">
        <v>567</v>
      </c>
      <c r="G1021" s="1772">
        <f>'8.Dgia'!H2911</f>
        <v>1</v>
      </c>
      <c r="H1021" s="1853">
        <f>GVL!$I$19</f>
        <v>253000</v>
      </c>
      <c r="I1021" s="1824">
        <f>H1021*G1021</f>
        <v>253000</v>
      </c>
    </row>
    <row r="1022" spans="1:12" ht="15">
      <c r="B1022" s="1551" t="str">
        <f>'8.Dgia'!B2912</f>
        <v/>
      </c>
      <c r="C1022" s="1555">
        <f>'8.Dgia'!C2912</f>
        <v>0</v>
      </c>
      <c r="D1022" s="1552" t="str">
        <f>'8.Dgia'!D2912</f>
        <v>HS=0.5</v>
      </c>
      <c r="E1022" s="1775" t="str">
        <f>'8.Dgia'!E2912</f>
        <v xml:space="preserve">  B - Nhân công 3.7/7</v>
      </c>
      <c r="F1022" s="1771" t="s">
        <v>552</v>
      </c>
      <c r="G1022" s="1772">
        <f>'8.Dgia'!H2912</f>
        <v>0.625</v>
      </c>
      <c r="H1022" s="1853">
        <f>'16.NC'!$G$17</f>
        <v>221646</v>
      </c>
      <c r="I1022" s="1854">
        <f>H1022*G1022</f>
        <v>138528.75</v>
      </c>
    </row>
    <row r="1023" spans="1:12" ht="15">
      <c r="B1023" s="1551" t="str">
        <f>'8.Dgia'!B2913</f>
        <v/>
      </c>
      <c r="C1023" s="1555">
        <f>'8.Dgia'!C2913</f>
        <v>0</v>
      </c>
      <c r="D1023" s="1552" t="str">
        <f>'8.Dgia'!D2913</f>
        <v>HS=0.5</v>
      </c>
      <c r="E1023" s="1775" t="str">
        <f>'8.Dgia'!E2913</f>
        <v xml:space="preserve">  C - Máy thi công</v>
      </c>
      <c r="F1023" s="1771">
        <f>'8.Dgia'!G2913</f>
        <v>0</v>
      </c>
      <c r="G1023" s="1772">
        <f>'8.Dgia'!H2913</f>
        <v>0</v>
      </c>
      <c r="H1023" s="1853"/>
      <c r="I1023" s="1854">
        <f>SUM(I1024:I1024)</f>
        <v>7738.762517045453</v>
      </c>
    </row>
    <row r="1024" spans="1:12" ht="15">
      <c r="B1024" s="1551" t="str">
        <f>'8.Dgia'!B2914</f>
        <v/>
      </c>
      <c r="C1024" s="1555">
        <f>'8.Dgia'!C2914</f>
        <v>0</v>
      </c>
      <c r="D1024" s="1552">
        <f>'8.Dgia'!D2914</f>
        <v>0</v>
      </c>
      <c r="E1024" s="1775" t="str">
        <f>'8.Dgia'!E2914</f>
        <v>Ôtô tự đổ 2.5T</v>
      </c>
      <c r="F1024" s="1771" t="s">
        <v>5493</v>
      </c>
      <c r="G1024" s="1772">
        <f>'8.Dgia'!H2914</f>
        <v>1.2500000000000001E-2</v>
      </c>
      <c r="H1024" s="1853">
        <f>'9.may'!$P$141</f>
        <v>619101.00136363623</v>
      </c>
      <c r="I1024" s="1824">
        <f>H1024*G1024</f>
        <v>7738.762517045453</v>
      </c>
    </row>
    <row r="1025" spans="1:12" ht="15">
      <c r="B1025" s="1551"/>
      <c r="C1025" s="1555"/>
      <c r="D1025" s="1552"/>
      <c r="E1025" s="1828" t="s">
        <v>5675</v>
      </c>
      <c r="F1025" s="1856">
        <f>$J$5</f>
        <v>0.02</v>
      </c>
      <c r="G1025" s="1772"/>
      <c r="H1025" s="1853"/>
      <c r="I1025" s="1863">
        <f>( I1020+I1022+I1023 )*F1025</f>
        <v>7985.350250340909</v>
      </c>
    </row>
    <row r="1026" spans="1:12" ht="15">
      <c r="B1026" s="1551"/>
      <c r="C1026" s="1555"/>
      <c r="D1026" s="1552"/>
      <c r="E1026" s="1831" t="s">
        <v>5676</v>
      </c>
      <c r="F1026" s="1831"/>
      <c r="G1026" s="1772"/>
      <c r="H1026" s="1853"/>
      <c r="I1026" s="1833">
        <f>I1025+I1025/F1025</f>
        <v>407252.86276738631</v>
      </c>
    </row>
    <row r="1027" spans="1:12" ht="15">
      <c r="B1027" s="1551"/>
      <c r="C1027" s="1555"/>
      <c r="D1027" s="1552"/>
      <c r="E1027" s="1834" t="s">
        <v>5677</v>
      </c>
      <c r="F1027" s="1858">
        <f>$K$5</f>
        <v>5.7750000000000003E-2</v>
      </c>
      <c r="G1027" s="1772"/>
      <c r="H1027" s="1853"/>
      <c r="I1027" s="1835">
        <f>I1026*F1027</f>
        <v>23518.85282481656</v>
      </c>
    </row>
    <row r="1028" spans="1:12" ht="15">
      <c r="B1028" s="1551"/>
      <c r="C1028" s="1555"/>
      <c r="D1028" s="1552"/>
      <c r="E1028" s="1834" t="s">
        <v>5678</v>
      </c>
      <c r="F1028" s="1856">
        <f>$L$5</f>
        <v>0.06</v>
      </c>
      <c r="G1028" s="1772"/>
      <c r="H1028" s="1853"/>
      <c r="I1028" s="1835">
        <f>SUM(I1026:I1027)*F1028</f>
        <v>25846.302935532171</v>
      </c>
    </row>
    <row r="1029" spans="1:12" ht="15">
      <c r="B1029" s="1551"/>
      <c r="C1029" s="1555"/>
      <c r="D1029" s="1552"/>
      <c r="E1029" s="1831" t="s">
        <v>5679</v>
      </c>
      <c r="F1029" s="1831"/>
      <c r="G1029" s="1772"/>
      <c r="H1029" s="1853"/>
      <c r="I1029" s="1833">
        <f>SUM(I1026:I1028)</f>
        <v>456618.01852773502</v>
      </c>
    </row>
    <row r="1030" spans="1:12" ht="15">
      <c r="B1030" s="1551"/>
      <c r="C1030" s="1555"/>
      <c r="D1030" s="1552"/>
      <c r="E1030" s="1834" t="s">
        <v>5680</v>
      </c>
      <c r="F1030" s="1856">
        <f>$M$5</f>
        <v>0.1</v>
      </c>
      <c r="G1030" s="1772"/>
      <c r="H1030" s="1853"/>
      <c r="I1030" s="1835">
        <f>I1029*F1030</f>
        <v>45661.801852773504</v>
      </c>
    </row>
    <row r="1031" spans="1:12" ht="15">
      <c r="B1031" s="1551"/>
      <c r="C1031" s="1555"/>
      <c r="D1031" s="1552"/>
      <c r="E1031" s="1831" t="s">
        <v>5681</v>
      </c>
      <c r="F1031" s="1831"/>
      <c r="G1031" s="1772"/>
      <c r="H1031" s="1853"/>
      <c r="I1031" s="1833">
        <f>SUM(I1029:I1030)</f>
        <v>502279.82038050855</v>
      </c>
    </row>
    <row r="1032" spans="1:12" ht="12.75">
      <c r="B1032" s="1551"/>
      <c r="C1032" s="1555"/>
      <c r="D1032" s="1552"/>
      <c r="E1032" s="1558" t="s">
        <v>5682</v>
      </c>
      <c r="F1032" s="1595">
        <f>$N$5</f>
        <v>0.01</v>
      </c>
      <c r="G1032" s="1553"/>
      <c r="H1032" s="1594"/>
      <c r="I1032" s="1559">
        <f>I1031*F1032</f>
        <v>5022.7982038050859</v>
      </c>
    </row>
    <row r="1033" spans="1:12" ht="15">
      <c r="B1033" s="1596"/>
      <c r="C1033" s="1597"/>
      <c r="D1033" s="1597"/>
      <c r="E1033" s="1859" t="s">
        <v>5683</v>
      </c>
      <c r="F1033" s="1859"/>
      <c r="G1033" s="1860"/>
      <c r="H1033" s="1861"/>
      <c r="I1033" s="1862">
        <f>ROUND(I1031+I1032,-2)</f>
        <v>507300</v>
      </c>
    </row>
    <row r="1034" spans="1:12" ht="15" customHeight="1">
      <c r="A1034" s="657">
        <v>1</v>
      </c>
      <c r="B1034" s="1549">
        <f>IF(A1034&lt;&gt;0,COUNTA(A$7:$A1034),"")</f>
        <v>62</v>
      </c>
      <c r="C1034" s="1555">
        <f>'8.Dgia'!C2915</f>
        <v>1776</v>
      </c>
      <c r="D1034" s="1696" t="str">
        <f>'8.Dgia'!D2915</f>
        <v>AD.32431vd</v>
      </c>
      <c r="E1034" s="1848" t="str">
        <f>'8.Dgia'!E2915</f>
        <v>Biển báo tam giác cạnh 0.87m</v>
      </c>
      <c r="F1034" s="1771" t="s">
        <v>567</v>
      </c>
      <c r="G1034" s="1850">
        <f>'8.Dgia'!H2915</f>
        <v>0</v>
      </c>
      <c r="H1034" s="1851"/>
      <c r="I1034" s="1852"/>
      <c r="J1034" s="842">
        <f>+I1035</f>
        <v>380000</v>
      </c>
      <c r="K1034" s="842">
        <f>+I1037</f>
        <v>138528.75</v>
      </c>
      <c r="L1034" s="842">
        <f>+I1038</f>
        <v>7738.762517045453</v>
      </c>
    </row>
    <row r="1035" spans="1:12" ht="15">
      <c r="B1035" s="1551" t="str">
        <f>'8.Dgia'!B2916</f>
        <v/>
      </c>
      <c r="C1035" s="1555">
        <f>'8.Dgia'!C2916</f>
        <v>0</v>
      </c>
      <c r="D1035" s="1552">
        <f>'8.Dgia'!D2916</f>
        <v>0</v>
      </c>
      <c r="E1035" s="2018" t="str">
        <f>'8.Dgia'!E2916</f>
        <v xml:space="preserve">  A - Vật liệu</v>
      </c>
      <c r="F1035" s="1771">
        <f>'8.Dgia'!G2916</f>
        <v>0</v>
      </c>
      <c r="G1035" s="1772">
        <f>'8.Dgia'!H2916</f>
        <v>0</v>
      </c>
      <c r="H1035" s="1853"/>
      <c r="I1035" s="1854">
        <f>SUM(I1036:I1036)</f>
        <v>380000</v>
      </c>
    </row>
    <row r="1036" spans="1:12" ht="15">
      <c r="B1036" s="2020"/>
      <c r="C1036" s="1555">
        <f>'8.Dgia'!C2917</f>
        <v>0</v>
      </c>
      <c r="D1036" s="1552">
        <f>'8.Dgia'!D2917</f>
        <v>0</v>
      </c>
      <c r="E1036" s="1775" t="str">
        <f>'8.Dgia'!E2917</f>
        <v>Biển báo tam giác cạnh 0.87m</v>
      </c>
      <c r="F1036" s="1771" t="s">
        <v>567</v>
      </c>
      <c r="G1036" s="1772">
        <f>'8.Dgia'!H2917</f>
        <v>1</v>
      </c>
      <c r="H1036" s="1853">
        <f>GVL!$I$20</f>
        <v>380000</v>
      </c>
      <c r="I1036" s="1824">
        <f>H1036*G1036</f>
        <v>380000</v>
      </c>
    </row>
    <row r="1037" spans="1:12" ht="15">
      <c r="B1037" s="1551" t="str">
        <f>'8.Dgia'!B2918</f>
        <v/>
      </c>
      <c r="C1037" s="1555">
        <f>'8.Dgia'!C2918</f>
        <v>0</v>
      </c>
      <c r="D1037" s="1552" t="str">
        <f>'8.Dgia'!D2918</f>
        <v>HS=0.5</v>
      </c>
      <c r="E1037" s="1775" t="str">
        <f>'8.Dgia'!E2918</f>
        <v xml:space="preserve">  B - Nhân công 3.7/7</v>
      </c>
      <c r="F1037" s="1771" t="s">
        <v>552</v>
      </c>
      <c r="G1037" s="1772">
        <f>'8.Dgia'!H2918</f>
        <v>0.625</v>
      </c>
      <c r="H1037" s="1853">
        <f>'16.NC'!$G$17</f>
        <v>221646</v>
      </c>
      <c r="I1037" s="1854">
        <f>H1037*G1037</f>
        <v>138528.75</v>
      </c>
    </row>
    <row r="1038" spans="1:12" ht="15">
      <c r="B1038" s="1551" t="str">
        <f>'8.Dgia'!B2919</f>
        <v/>
      </c>
      <c r="C1038" s="1555">
        <f>'8.Dgia'!C2919</f>
        <v>0</v>
      </c>
      <c r="D1038" s="1552" t="str">
        <f>'8.Dgia'!D2919</f>
        <v>HS=0.5</v>
      </c>
      <c r="E1038" s="1775" t="str">
        <f>'8.Dgia'!E2919</f>
        <v xml:space="preserve">  C - Máy thi công</v>
      </c>
      <c r="F1038" s="1771">
        <f>'8.Dgia'!G2919</f>
        <v>0</v>
      </c>
      <c r="G1038" s="1772">
        <f>'8.Dgia'!H2919</f>
        <v>0</v>
      </c>
      <c r="H1038" s="1853"/>
      <c r="I1038" s="1854">
        <f>SUM(I1039:I1039)</f>
        <v>7738.762517045453</v>
      </c>
    </row>
    <row r="1039" spans="1:12" ht="15">
      <c r="B1039" s="1551" t="str">
        <f>'8.Dgia'!B2920</f>
        <v/>
      </c>
      <c r="C1039" s="1555">
        <f>'8.Dgia'!C2920</f>
        <v>0</v>
      </c>
      <c r="D1039" s="1552">
        <f>'8.Dgia'!D2920</f>
        <v>0</v>
      </c>
      <c r="E1039" s="1775" t="str">
        <f>'8.Dgia'!E2920</f>
        <v>Ôtô tự đổ 2.5T</v>
      </c>
      <c r="F1039" s="1771" t="s">
        <v>5493</v>
      </c>
      <c r="G1039" s="1772">
        <f>'8.Dgia'!H2920</f>
        <v>1.2500000000000001E-2</v>
      </c>
      <c r="H1039" s="1853">
        <f>'9.may'!$P$141</f>
        <v>619101.00136363623</v>
      </c>
      <c r="I1039" s="1824">
        <f>H1039*G1039</f>
        <v>7738.762517045453</v>
      </c>
    </row>
    <row r="1040" spans="1:12" ht="15">
      <c r="B1040" s="1551"/>
      <c r="C1040" s="1555"/>
      <c r="D1040" s="1552"/>
      <c r="E1040" s="1828" t="s">
        <v>5675</v>
      </c>
      <c r="F1040" s="1856">
        <f>$J$5</f>
        <v>0.02</v>
      </c>
      <c r="G1040" s="1772"/>
      <c r="H1040" s="1853"/>
      <c r="I1040" s="1863">
        <f>( I1035+I1037+I1038 )*F1040</f>
        <v>10525.350250340909</v>
      </c>
    </row>
    <row r="1041" spans="1:12" ht="15">
      <c r="B1041" s="1551"/>
      <c r="C1041" s="1555"/>
      <c r="D1041" s="1552"/>
      <c r="E1041" s="1831" t="s">
        <v>5676</v>
      </c>
      <c r="F1041" s="1831"/>
      <c r="G1041" s="1772"/>
      <c r="H1041" s="1853"/>
      <c r="I1041" s="1833">
        <f>I1040+I1040/F1040</f>
        <v>536792.86276738637</v>
      </c>
    </row>
    <row r="1042" spans="1:12" ht="15">
      <c r="B1042" s="1551"/>
      <c r="C1042" s="1555"/>
      <c r="D1042" s="1552"/>
      <c r="E1042" s="1834" t="s">
        <v>5677</v>
      </c>
      <c r="F1042" s="1858">
        <f>$K$5</f>
        <v>5.7750000000000003E-2</v>
      </c>
      <c r="G1042" s="1772"/>
      <c r="H1042" s="1853"/>
      <c r="I1042" s="1835">
        <f>I1041*F1042</f>
        <v>30999.787824816565</v>
      </c>
    </row>
    <row r="1043" spans="1:12" ht="15">
      <c r="B1043" s="1551"/>
      <c r="C1043" s="1555"/>
      <c r="D1043" s="1552"/>
      <c r="E1043" s="1834" t="s">
        <v>5678</v>
      </c>
      <c r="F1043" s="1856">
        <f>$L$5</f>
        <v>0.06</v>
      </c>
      <c r="G1043" s="1772"/>
      <c r="H1043" s="1853"/>
      <c r="I1043" s="1835">
        <f>SUM(I1041:I1042)*F1043</f>
        <v>34067.559035532176</v>
      </c>
    </row>
    <row r="1044" spans="1:12" ht="15">
      <c r="B1044" s="1551"/>
      <c r="C1044" s="1555"/>
      <c r="D1044" s="1552"/>
      <c r="E1044" s="1831" t="s">
        <v>5679</v>
      </c>
      <c r="F1044" s="1831"/>
      <c r="G1044" s="1772"/>
      <c r="H1044" s="1853"/>
      <c r="I1044" s="1833">
        <f>SUM(I1041:I1043)</f>
        <v>601860.20962773508</v>
      </c>
    </row>
    <row r="1045" spans="1:12" ht="15">
      <c r="B1045" s="1551"/>
      <c r="C1045" s="1555"/>
      <c r="D1045" s="1552"/>
      <c r="E1045" s="1834" t="s">
        <v>5680</v>
      </c>
      <c r="F1045" s="1856">
        <f>$M$5</f>
        <v>0.1</v>
      </c>
      <c r="G1045" s="1772"/>
      <c r="H1045" s="1853"/>
      <c r="I1045" s="1835">
        <f>I1044*F1045</f>
        <v>60186.020962773509</v>
      </c>
    </row>
    <row r="1046" spans="1:12" ht="15">
      <c r="B1046" s="1551"/>
      <c r="C1046" s="1555"/>
      <c r="D1046" s="1552"/>
      <c r="E1046" s="1831" t="s">
        <v>5681</v>
      </c>
      <c r="F1046" s="1831"/>
      <c r="G1046" s="1772"/>
      <c r="H1046" s="1853"/>
      <c r="I1046" s="1833">
        <f>SUM(I1044:I1045)</f>
        <v>662046.23059050855</v>
      </c>
    </row>
    <row r="1047" spans="1:12" ht="12.75">
      <c r="B1047" s="1551"/>
      <c r="C1047" s="1555"/>
      <c r="D1047" s="1552"/>
      <c r="E1047" s="1558" t="s">
        <v>5682</v>
      </c>
      <c r="F1047" s="1595">
        <f>$N$5</f>
        <v>0.01</v>
      </c>
      <c r="G1047" s="1553"/>
      <c r="H1047" s="1594"/>
      <c r="I1047" s="1559">
        <f>I1046*F1047</f>
        <v>6620.4623059050855</v>
      </c>
    </row>
    <row r="1048" spans="1:12" ht="15">
      <c r="B1048" s="1596"/>
      <c r="C1048" s="1597"/>
      <c r="D1048" s="1597"/>
      <c r="E1048" s="1859" t="s">
        <v>5683</v>
      </c>
      <c r="F1048" s="1859"/>
      <c r="G1048" s="1860"/>
      <c r="H1048" s="1861"/>
      <c r="I1048" s="1862">
        <f>ROUND(I1046+I1047,-2)</f>
        <v>668700</v>
      </c>
    </row>
    <row r="1049" spans="1:12" ht="15" customHeight="1">
      <c r="A1049" s="657">
        <v>1</v>
      </c>
      <c r="B1049" s="1549">
        <f>IF(A1049&lt;&gt;0,COUNTA(A$7:$A1049),"")</f>
        <v>63</v>
      </c>
      <c r="C1049" s="1555">
        <f>'8.Dgia'!C2921</f>
        <v>1776</v>
      </c>
      <c r="D1049" s="1696" t="str">
        <f>'8.Dgia'!D2921</f>
        <v>AD.32421vd</v>
      </c>
      <c r="E1049" s="1848" t="str">
        <f>'8.Dgia'!E2921</f>
        <v>Biển báo tròn đường kính 0.87m</v>
      </c>
      <c r="F1049" s="1771" t="s">
        <v>567</v>
      </c>
      <c r="G1049" s="1850">
        <f>'8.Dgia'!H2921</f>
        <v>0</v>
      </c>
      <c r="H1049" s="1851"/>
      <c r="I1049" s="1852"/>
      <c r="J1049" s="842">
        <f>+I1050</f>
        <v>590000</v>
      </c>
      <c r="K1049" s="842">
        <f>+I1052</f>
        <v>159585.12</v>
      </c>
      <c r="L1049" s="842">
        <f>+I1053</f>
        <v>7738.762517045453</v>
      </c>
    </row>
    <row r="1050" spans="1:12" ht="15">
      <c r="B1050" s="1551" t="str">
        <f>'8.Dgia'!B2922</f>
        <v/>
      </c>
      <c r="C1050" s="1555">
        <f>'8.Dgia'!C2922</f>
        <v>0</v>
      </c>
      <c r="D1050" s="1552">
        <f>'8.Dgia'!D2922</f>
        <v>0</v>
      </c>
      <c r="E1050" s="2018" t="str">
        <f>'8.Dgia'!E2922</f>
        <v xml:space="preserve">  A - Vật liệu</v>
      </c>
      <c r="F1050" s="1771">
        <f>'8.Dgia'!G2922</f>
        <v>0</v>
      </c>
      <c r="G1050" s="1772">
        <f>'8.Dgia'!H2922</f>
        <v>0</v>
      </c>
      <c r="H1050" s="1853"/>
      <c r="I1050" s="1854">
        <f>SUM(I1051:I1051)</f>
        <v>590000</v>
      </c>
    </row>
    <row r="1051" spans="1:12" ht="15">
      <c r="B1051" s="1551" t="str">
        <f>'8.Dgia'!B2923</f>
        <v/>
      </c>
      <c r="C1051" s="1555">
        <f>'8.Dgia'!C2923</f>
        <v>0</v>
      </c>
      <c r="D1051" s="1552">
        <f>'8.Dgia'!D2923</f>
        <v>0</v>
      </c>
      <c r="E1051" s="1775" t="str">
        <f>'8.Dgia'!E2923</f>
        <v>Biển báo tròn đường kính 0.87m</v>
      </c>
      <c r="F1051" s="1771" t="s">
        <v>567</v>
      </c>
      <c r="G1051" s="1772">
        <f>'8.Dgia'!H2923</f>
        <v>1</v>
      </c>
      <c r="H1051" s="1853">
        <f>GVL!$I$22</f>
        <v>590000</v>
      </c>
      <c r="I1051" s="1824">
        <f>H1051*G1051</f>
        <v>590000</v>
      </c>
    </row>
    <row r="1052" spans="1:12" ht="15">
      <c r="B1052" s="1551" t="str">
        <f>'8.Dgia'!B2924</f>
        <v/>
      </c>
      <c r="C1052" s="1555">
        <f>'8.Dgia'!C2924</f>
        <v>0</v>
      </c>
      <c r="D1052" s="1552" t="str">
        <f>'8.Dgia'!D2924</f>
        <v>HS=0.5</v>
      </c>
      <c r="E1052" s="1775" t="str">
        <f>'8.Dgia'!E2924</f>
        <v xml:space="preserve">  B - Nhân công 3.7/7</v>
      </c>
      <c r="F1052" s="1771" t="s">
        <v>552</v>
      </c>
      <c r="G1052" s="1772">
        <f>'8.Dgia'!H2924</f>
        <v>0.72</v>
      </c>
      <c r="H1052" s="1853">
        <f>'16.NC'!$G$17</f>
        <v>221646</v>
      </c>
      <c r="I1052" s="1854">
        <f>H1052*G1052</f>
        <v>159585.12</v>
      </c>
    </row>
    <row r="1053" spans="1:12" ht="15">
      <c r="B1053" s="1551" t="str">
        <f>'8.Dgia'!B2925</f>
        <v/>
      </c>
      <c r="C1053" s="1555">
        <f>'8.Dgia'!C2925</f>
        <v>0</v>
      </c>
      <c r="D1053" s="1552" t="str">
        <f>'8.Dgia'!D2925</f>
        <v>HS=0.5</v>
      </c>
      <c r="E1053" s="1775" t="str">
        <f>'8.Dgia'!E2925</f>
        <v xml:space="preserve">  C - Máy thi công</v>
      </c>
      <c r="F1053" s="1771">
        <f>'8.Dgia'!G2925</f>
        <v>0</v>
      </c>
      <c r="G1053" s="1772">
        <f>'8.Dgia'!H2925</f>
        <v>0</v>
      </c>
      <c r="H1053" s="1853"/>
      <c r="I1053" s="1854">
        <f>SUM(I1054:I1054)</f>
        <v>7738.762517045453</v>
      </c>
    </row>
    <row r="1054" spans="1:12" ht="15">
      <c r="B1054" s="2020"/>
      <c r="C1054" s="1555">
        <f>'8.Dgia'!C2926</f>
        <v>0</v>
      </c>
      <c r="D1054" s="1552">
        <f>'8.Dgia'!D2926</f>
        <v>0</v>
      </c>
      <c r="E1054" s="1775" t="str">
        <f>'8.Dgia'!E2926</f>
        <v>Ôtô tự đổ 2.5T</v>
      </c>
      <c r="F1054" s="1771" t="s">
        <v>5493</v>
      </c>
      <c r="G1054" s="1772">
        <f>'8.Dgia'!H2926</f>
        <v>1.2500000000000001E-2</v>
      </c>
      <c r="H1054" s="1853">
        <f>'9.may'!$P$141</f>
        <v>619101.00136363623</v>
      </c>
      <c r="I1054" s="1824">
        <f>H1054*G1054</f>
        <v>7738.762517045453</v>
      </c>
    </row>
    <row r="1055" spans="1:12" ht="15">
      <c r="B1055" s="1551"/>
      <c r="C1055" s="1555"/>
      <c r="D1055" s="1552"/>
      <c r="E1055" s="1828" t="s">
        <v>5675</v>
      </c>
      <c r="F1055" s="1856">
        <f>$J$5</f>
        <v>0.02</v>
      </c>
      <c r="G1055" s="1772"/>
      <c r="H1055" s="1853"/>
      <c r="I1055" s="1863">
        <f>( I1050+I1052+I1053 )*F1055</f>
        <v>15146.47765034091</v>
      </c>
    </row>
    <row r="1056" spans="1:12" ht="15">
      <c r="B1056" s="1551"/>
      <c r="C1056" s="1555"/>
      <c r="D1056" s="1552"/>
      <c r="E1056" s="1831" t="s">
        <v>5676</v>
      </c>
      <c r="F1056" s="1831"/>
      <c r="G1056" s="1772"/>
      <c r="H1056" s="1853"/>
      <c r="I1056" s="1833">
        <f>I1055+I1055/F1055</f>
        <v>772470.36016738636</v>
      </c>
    </row>
    <row r="1057" spans="1:12" ht="15">
      <c r="B1057" s="1551"/>
      <c r="C1057" s="1555"/>
      <c r="D1057" s="1552"/>
      <c r="E1057" s="1834" t="s">
        <v>5677</v>
      </c>
      <c r="F1057" s="1858">
        <f>$K$5</f>
        <v>5.7750000000000003E-2</v>
      </c>
      <c r="G1057" s="1772"/>
      <c r="H1057" s="1853"/>
      <c r="I1057" s="1835">
        <f>I1056*F1057</f>
        <v>44610.163299666565</v>
      </c>
    </row>
    <row r="1058" spans="1:12" ht="15">
      <c r="B1058" s="1551"/>
      <c r="C1058" s="1555"/>
      <c r="D1058" s="1552"/>
      <c r="E1058" s="1834" t="s">
        <v>5678</v>
      </c>
      <c r="F1058" s="1856">
        <f>$L$5</f>
        <v>0.06</v>
      </c>
      <c r="G1058" s="1772"/>
      <c r="H1058" s="1853"/>
      <c r="I1058" s="1835">
        <f>SUM(I1056:I1057)*F1058</f>
        <v>49024.831408023179</v>
      </c>
    </row>
    <row r="1059" spans="1:12" ht="15">
      <c r="B1059" s="1551"/>
      <c r="C1059" s="1555"/>
      <c r="D1059" s="1552"/>
      <c r="E1059" s="1831" t="s">
        <v>5679</v>
      </c>
      <c r="F1059" s="1831"/>
      <c r="G1059" s="1772"/>
      <c r="H1059" s="1853"/>
      <c r="I1059" s="1833">
        <f>SUM(I1056:I1058)</f>
        <v>866105.3548750761</v>
      </c>
    </row>
    <row r="1060" spans="1:12" ht="15">
      <c r="B1060" s="1551"/>
      <c r="C1060" s="1555"/>
      <c r="D1060" s="1552"/>
      <c r="E1060" s="1834" t="s">
        <v>5680</v>
      </c>
      <c r="F1060" s="1856">
        <f>$M$5</f>
        <v>0.1</v>
      </c>
      <c r="G1060" s="1772"/>
      <c r="H1060" s="1853"/>
      <c r="I1060" s="1835">
        <f>I1059*F1060</f>
        <v>86610.535487507615</v>
      </c>
    </row>
    <row r="1061" spans="1:12" ht="15">
      <c r="B1061" s="1551"/>
      <c r="C1061" s="1555"/>
      <c r="D1061" s="1552"/>
      <c r="E1061" s="1831" t="s">
        <v>5681</v>
      </c>
      <c r="F1061" s="1831"/>
      <c r="G1061" s="1772"/>
      <c r="H1061" s="1853"/>
      <c r="I1061" s="1833">
        <f>SUM(I1059:I1060)</f>
        <v>952715.89036258368</v>
      </c>
    </row>
    <row r="1062" spans="1:12" ht="12.75">
      <c r="B1062" s="1551"/>
      <c r="C1062" s="1555"/>
      <c r="D1062" s="1552"/>
      <c r="E1062" s="1558" t="s">
        <v>5682</v>
      </c>
      <c r="F1062" s="1595">
        <f>$N$5</f>
        <v>0.01</v>
      </c>
      <c r="G1062" s="1553"/>
      <c r="H1062" s="1594"/>
      <c r="I1062" s="1559">
        <f>I1061*F1062</f>
        <v>9527.1589036258374</v>
      </c>
    </row>
    <row r="1063" spans="1:12" ht="15">
      <c r="B1063" s="1596"/>
      <c r="C1063" s="1597"/>
      <c r="D1063" s="1597"/>
      <c r="E1063" s="1859" t="s">
        <v>5683</v>
      </c>
      <c r="F1063" s="1859"/>
      <c r="G1063" s="1860"/>
      <c r="H1063" s="1861"/>
      <c r="I1063" s="1862">
        <f>ROUND(I1061+I1062,-2)</f>
        <v>962200</v>
      </c>
    </row>
    <row r="1064" spans="1:12" ht="15" customHeight="1">
      <c r="A1064" s="657">
        <v>1</v>
      </c>
      <c r="B1064" s="1549">
        <f>IF(A1064&lt;&gt;0,COUNTA(A$7:$A1064),"")</f>
        <v>64</v>
      </c>
      <c r="C1064" s="1555">
        <f>'8.Dgia'!C2927</f>
        <v>1776</v>
      </c>
      <c r="D1064" s="1696" t="str">
        <f>'8.Dgia'!D2927</f>
        <v>AD.32421vd</v>
      </c>
      <c r="E1064" s="1848" t="str">
        <f>'8.Dgia'!E2927</f>
        <v>Biển báo tròn đường kính 0.7m</v>
      </c>
      <c r="F1064" s="1771" t="s">
        <v>567</v>
      </c>
      <c r="G1064" s="1850">
        <f>'8.Dgia'!H2927</f>
        <v>0</v>
      </c>
      <c r="H1064" s="1851"/>
      <c r="I1064" s="1852"/>
      <c r="J1064" s="842">
        <f>+I1065</f>
        <v>396000</v>
      </c>
      <c r="K1064" s="842">
        <f>+I1067</f>
        <v>159585.12</v>
      </c>
      <c r="L1064" s="842">
        <f>+I1068</f>
        <v>7738.762517045453</v>
      </c>
    </row>
    <row r="1065" spans="1:12" ht="15">
      <c r="B1065" s="1551" t="str">
        <f>'8.Dgia'!B2928</f>
        <v/>
      </c>
      <c r="C1065" s="1555">
        <f>'8.Dgia'!C2928</f>
        <v>0</v>
      </c>
      <c r="D1065" s="1552">
        <f>'8.Dgia'!D2928</f>
        <v>0</v>
      </c>
      <c r="E1065" s="2018" t="str">
        <f>'8.Dgia'!E2928</f>
        <v xml:space="preserve">  A - Vật liệu</v>
      </c>
      <c r="F1065" s="1771">
        <f>'8.Dgia'!G2928</f>
        <v>0</v>
      </c>
      <c r="G1065" s="1772">
        <f>'8.Dgia'!H2928</f>
        <v>0</v>
      </c>
      <c r="H1065" s="1853"/>
      <c r="I1065" s="1854">
        <f>SUM(I1066:I1066)</f>
        <v>396000</v>
      </c>
    </row>
    <row r="1066" spans="1:12" ht="15">
      <c r="B1066" s="1551" t="str">
        <f>'8.Dgia'!B2929</f>
        <v/>
      </c>
      <c r="C1066" s="1555">
        <f>'8.Dgia'!C2929</f>
        <v>0</v>
      </c>
      <c r="D1066" s="1552">
        <f>'8.Dgia'!D2929</f>
        <v>0</v>
      </c>
      <c r="E1066" s="1775" t="str">
        <f>'8.Dgia'!E2929</f>
        <v>Biển báo tròn đường kính 0.7m</v>
      </c>
      <c r="F1066" s="1771" t="s">
        <v>567</v>
      </c>
      <c r="G1066" s="1772">
        <f>'8.Dgia'!H2929</f>
        <v>1</v>
      </c>
      <c r="H1066" s="1853">
        <f>GVL!$I$21</f>
        <v>396000</v>
      </c>
      <c r="I1066" s="1824">
        <f>H1066*G1066</f>
        <v>396000</v>
      </c>
    </row>
    <row r="1067" spans="1:12" ht="15">
      <c r="B1067" s="1551" t="str">
        <f>'8.Dgia'!B2930</f>
        <v/>
      </c>
      <c r="C1067" s="1555">
        <f>'8.Dgia'!C2930</f>
        <v>0</v>
      </c>
      <c r="D1067" s="1552" t="str">
        <f>'8.Dgia'!D2930</f>
        <v>HS=0.5</v>
      </c>
      <c r="E1067" s="1775" t="str">
        <f>'8.Dgia'!E2930</f>
        <v xml:space="preserve">  B - Nhân công 3.7/7</v>
      </c>
      <c r="F1067" s="1771" t="s">
        <v>552</v>
      </c>
      <c r="G1067" s="1772">
        <f>'8.Dgia'!H2930</f>
        <v>0.72</v>
      </c>
      <c r="H1067" s="1853">
        <f>'16.NC'!$G$17</f>
        <v>221646</v>
      </c>
      <c r="I1067" s="1854">
        <f>H1067*G1067</f>
        <v>159585.12</v>
      </c>
    </row>
    <row r="1068" spans="1:12" ht="15">
      <c r="B1068" s="1551" t="str">
        <f>'8.Dgia'!B2931</f>
        <v/>
      </c>
      <c r="C1068" s="1555">
        <f>'8.Dgia'!C2931</f>
        <v>0</v>
      </c>
      <c r="D1068" s="1552" t="str">
        <f>'8.Dgia'!D2931</f>
        <v>HS=0.5</v>
      </c>
      <c r="E1068" s="1775" t="str">
        <f>'8.Dgia'!E2931</f>
        <v xml:space="preserve">  C - Máy thi công</v>
      </c>
      <c r="F1068" s="1771">
        <f>'8.Dgia'!G2931</f>
        <v>0</v>
      </c>
      <c r="G1068" s="1772">
        <f>'8.Dgia'!H2931</f>
        <v>0</v>
      </c>
      <c r="H1068" s="1853"/>
      <c r="I1068" s="1854">
        <f>SUM(I1069:I1069)</f>
        <v>7738.762517045453</v>
      </c>
    </row>
    <row r="1069" spans="1:12" ht="15">
      <c r="B1069" s="1551" t="str">
        <f>'8.Dgia'!B2932</f>
        <v/>
      </c>
      <c r="C1069" s="1555">
        <f>'8.Dgia'!C2932</f>
        <v>0</v>
      </c>
      <c r="D1069" s="1552">
        <f>'8.Dgia'!D2932</f>
        <v>0</v>
      </c>
      <c r="E1069" s="1775" t="str">
        <f>'8.Dgia'!E2932</f>
        <v>Ôtô tự đổ 2.5T</v>
      </c>
      <c r="F1069" s="1771" t="s">
        <v>5493</v>
      </c>
      <c r="G1069" s="1772">
        <f>'8.Dgia'!H2932</f>
        <v>1.2500000000000001E-2</v>
      </c>
      <c r="H1069" s="1853">
        <f>'9.may'!$P$141</f>
        <v>619101.00136363623</v>
      </c>
      <c r="I1069" s="1824">
        <f>H1069*G1069</f>
        <v>7738.762517045453</v>
      </c>
    </row>
    <row r="1070" spans="1:12" ht="15">
      <c r="B1070" s="1551"/>
      <c r="C1070" s="1555"/>
      <c r="D1070" s="1552"/>
      <c r="E1070" s="1828" t="s">
        <v>5675</v>
      </c>
      <c r="F1070" s="1856">
        <f>$J$5</f>
        <v>0.02</v>
      </c>
      <c r="G1070" s="1772"/>
      <c r="H1070" s="1853"/>
      <c r="I1070" s="1863">
        <f>( I1065+I1067+I1068 )*F1070</f>
        <v>11266.47765034091</v>
      </c>
    </row>
    <row r="1071" spans="1:12" ht="15">
      <c r="B1071" s="1551"/>
      <c r="C1071" s="1555"/>
      <c r="D1071" s="1552"/>
      <c r="E1071" s="1831" t="s">
        <v>5676</v>
      </c>
      <c r="F1071" s="1831"/>
      <c r="G1071" s="1772"/>
      <c r="H1071" s="1853"/>
      <c r="I1071" s="1833">
        <f>I1070+I1070/F1070</f>
        <v>574590.36016738636</v>
      </c>
    </row>
    <row r="1072" spans="1:12" ht="15">
      <c r="B1072" s="2020"/>
      <c r="C1072" s="1555"/>
      <c r="D1072" s="1552"/>
      <c r="E1072" s="1834" t="s">
        <v>5677</v>
      </c>
      <c r="F1072" s="1858">
        <f>$K$5</f>
        <v>5.7750000000000003E-2</v>
      </c>
      <c r="G1072" s="1772"/>
      <c r="H1072" s="1853"/>
      <c r="I1072" s="1835">
        <f>I1071*F1072</f>
        <v>33182.593299666565</v>
      </c>
    </row>
    <row r="1073" spans="1:12" ht="15">
      <c r="B1073" s="1551"/>
      <c r="C1073" s="1555"/>
      <c r="D1073" s="1552"/>
      <c r="E1073" s="1834" t="s">
        <v>5678</v>
      </c>
      <c r="F1073" s="1856">
        <f>$L$5</f>
        <v>0.06</v>
      </c>
      <c r="G1073" s="1772"/>
      <c r="H1073" s="1853"/>
      <c r="I1073" s="1835">
        <f>SUM(I1071:I1072)*F1073</f>
        <v>36466.377208023172</v>
      </c>
    </row>
    <row r="1074" spans="1:12" ht="15">
      <c r="B1074" s="1551"/>
      <c r="C1074" s="1555"/>
      <c r="D1074" s="1552"/>
      <c r="E1074" s="1831" t="s">
        <v>5679</v>
      </c>
      <c r="F1074" s="1831"/>
      <c r="G1074" s="1772"/>
      <c r="H1074" s="1853"/>
      <c r="I1074" s="1833">
        <f>SUM(I1071:I1073)</f>
        <v>644239.33067507611</v>
      </c>
    </row>
    <row r="1075" spans="1:12" ht="15">
      <c r="B1075" s="1551"/>
      <c r="C1075" s="1555"/>
      <c r="D1075" s="1552"/>
      <c r="E1075" s="1834" t="s">
        <v>5680</v>
      </c>
      <c r="F1075" s="1856">
        <f>$M$5</f>
        <v>0.1</v>
      </c>
      <c r="G1075" s="1772"/>
      <c r="H1075" s="1853"/>
      <c r="I1075" s="1835">
        <f>I1074*F1075</f>
        <v>64423.933067507613</v>
      </c>
    </row>
    <row r="1076" spans="1:12" ht="15">
      <c r="B1076" s="1551"/>
      <c r="C1076" s="1555"/>
      <c r="D1076" s="1552"/>
      <c r="E1076" s="1831" t="s">
        <v>5681</v>
      </c>
      <c r="F1076" s="1831"/>
      <c r="G1076" s="1772"/>
      <c r="H1076" s="1853"/>
      <c r="I1076" s="1833">
        <f>SUM(I1074:I1075)</f>
        <v>708663.26374258369</v>
      </c>
    </row>
    <row r="1077" spans="1:12" ht="12.75">
      <c r="B1077" s="1551"/>
      <c r="C1077" s="1555"/>
      <c r="D1077" s="1552"/>
      <c r="E1077" s="1558" t="s">
        <v>5682</v>
      </c>
      <c r="F1077" s="1595">
        <f>$N$5</f>
        <v>0.01</v>
      </c>
      <c r="G1077" s="1553"/>
      <c r="H1077" s="1594"/>
      <c r="I1077" s="1559">
        <f>I1076*F1077</f>
        <v>7086.6326374258369</v>
      </c>
    </row>
    <row r="1078" spans="1:12" ht="15">
      <c r="B1078" s="1596"/>
      <c r="C1078" s="1597"/>
      <c r="D1078" s="1597"/>
      <c r="E1078" s="1859" t="s">
        <v>5683</v>
      </c>
      <c r="F1078" s="1859"/>
      <c r="G1078" s="1860"/>
      <c r="H1078" s="1861"/>
      <c r="I1078" s="1862">
        <f>ROUND(I1076+I1077,-2)</f>
        <v>715700</v>
      </c>
    </row>
    <row r="1079" spans="1:12" ht="15">
      <c r="A1079" s="657">
        <v>1</v>
      </c>
      <c r="B1079" s="1549">
        <f>IF(A1079&lt;&gt;0,COUNTA(A$7:$A1079),"")</f>
        <v>65</v>
      </c>
      <c r="C1079" s="1555">
        <f>'8.Dgia'!C2933</f>
        <v>1776</v>
      </c>
      <c r="D1079" s="1696" t="str">
        <f>'8.Dgia'!D2933</f>
        <v>AD.32131</v>
      </c>
      <c r="E1079" s="1848" t="str">
        <f>'8.Dgia'!E2933</f>
        <v>Sản xuất lắp đặt trụ đỡ biển báo D80, L=3m</v>
      </c>
      <c r="F1079" s="1771" t="s">
        <v>567</v>
      </c>
      <c r="G1079" s="1850">
        <f>'8.Dgia'!H2933</f>
        <v>0</v>
      </c>
      <c r="H1079" s="1851"/>
      <c r="I1079" s="1823"/>
      <c r="J1079" s="842">
        <f>+I1080</f>
        <v>287164.92880303029</v>
      </c>
      <c r="K1079" s="842">
        <f>+I1087</f>
        <v>248464.86</v>
      </c>
      <c r="L1079" s="842">
        <f>+I1088</f>
        <v>60248.859250909081</v>
      </c>
    </row>
    <row r="1080" spans="1:12" ht="15">
      <c r="B1080" s="1551" t="str">
        <f>'8.Dgia'!B2934</f>
        <v/>
      </c>
      <c r="C1080" s="1555">
        <f>'8.Dgia'!C2934</f>
        <v>0</v>
      </c>
      <c r="D1080" s="1552">
        <f>'8.Dgia'!D2934</f>
        <v>0</v>
      </c>
      <c r="E1080" s="2018" t="str">
        <f>'8.Dgia'!E2934</f>
        <v xml:space="preserve">  A - Vật liệu</v>
      </c>
      <c r="F1080" s="1771">
        <f>'8.Dgia'!G2934</f>
        <v>0</v>
      </c>
      <c r="G1080" s="1772">
        <f>'8.Dgia'!H2934</f>
        <v>0</v>
      </c>
      <c r="H1080" s="1853"/>
      <c r="I1080" s="1854">
        <f>SUM(I1081:I1086)</f>
        <v>287164.92880303029</v>
      </c>
    </row>
    <row r="1081" spans="1:12" ht="15">
      <c r="B1081" s="1551" t="str">
        <f>'8.Dgia'!B2935</f>
        <v/>
      </c>
      <c r="C1081" s="1555">
        <f>'8.Dgia'!C2935</f>
        <v>0</v>
      </c>
      <c r="D1081" s="1552">
        <f>'8.Dgia'!D2935</f>
        <v>0</v>
      </c>
      <c r="E1081" s="1775" t="str">
        <f>'8.Dgia'!E2935</f>
        <v>Sắt ống D80</v>
      </c>
      <c r="F1081" s="1771" t="str">
        <f>'8.Dgia'!G2935</f>
        <v>m</v>
      </c>
      <c r="G1081" s="1772">
        <f>'8.Dgia'!H2935</f>
        <v>3</v>
      </c>
      <c r="H1081" s="1853">
        <f>GVL!$I$155</f>
        <v>85833.333333333328</v>
      </c>
      <c r="I1081" s="1824">
        <f>H1081*G1081</f>
        <v>257500</v>
      </c>
    </row>
    <row r="1082" spans="1:12" ht="15">
      <c r="B1082" s="1551" t="str">
        <f>'8.Dgia'!B2936</f>
        <v/>
      </c>
      <c r="C1082" s="1555">
        <f>'8.Dgia'!C2936</f>
        <v>0</v>
      </c>
      <c r="D1082" s="1552">
        <f>'8.Dgia'!D2936</f>
        <v>0</v>
      </c>
      <c r="E1082" s="1775" t="str">
        <f>'8.Dgia'!E2936</f>
        <v>Nắp chụp nhựa D80</v>
      </c>
      <c r="F1082" s="1771" t="s">
        <v>567</v>
      </c>
      <c r="G1082" s="1772">
        <f>'8.Dgia'!H2936</f>
        <v>1</v>
      </c>
      <c r="H1082" s="1853">
        <f>GVL!$I$122</f>
        <v>5000</v>
      </c>
      <c r="I1082" s="1824">
        <f>H1082*G1082</f>
        <v>5000</v>
      </c>
    </row>
    <row r="1083" spans="1:12" ht="15">
      <c r="B1083" s="1551" t="str">
        <f>'8.Dgia'!B2937</f>
        <v/>
      </c>
      <c r="C1083" s="1555">
        <f>'8.Dgia'!C2937</f>
        <v>0</v>
      </c>
      <c r="D1083" s="1552">
        <f>'8.Dgia'!D2937</f>
        <v>0</v>
      </c>
      <c r="E1083" s="1775" t="str">
        <f>'8.Dgia'!E2937</f>
        <v>Sơn chống rỉ</v>
      </c>
      <c r="F1083" s="1771" t="str">
        <f>'8.Dgia'!G2937</f>
        <v>kg</v>
      </c>
      <c r="G1083" s="1772">
        <f>'8.Dgia'!H2937</f>
        <v>0.115</v>
      </c>
      <c r="H1083" s="1853">
        <f>GVL!$I$160</f>
        <v>41169.090909090904</v>
      </c>
      <c r="I1083" s="1824">
        <f>H1083*G1083</f>
        <v>4734.4454545454546</v>
      </c>
    </row>
    <row r="1084" spans="1:12" ht="15">
      <c r="B1084" s="1551" t="str">
        <f>'8.Dgia'!B2938</f>
        <v/>
      </c>
      <c r="C1084" s="1555">
        <f>'8.Dgia'!C2938</f>
        <v>0</v>
      </c>
      <c r="D1084" s="1552" t="str">
        <f>'8.Dgia'!D2938</f>
        <v>Sơn dầu</v>
      </c>
      <c r="E1084" s="1775" t="str">
        <f>'8.Dgia'!E2938</f>
        <v xml:space="preserve">Sơn </v>
      </c>
      <c r="F1084" s="1771" t="str">
        <f>'8.Dgia'!G2938</f>
        <v>kg</v>
      </c>
      <c r="G1084" s="1772">
        <f>'8.Dgia'!H2938</f>
        <v>0.18099999999999999</v>
      </c>
      <c r="H1084" s="1853">
        <f>GVL!$I$159</f>
        <v>86666.666666666672</v>
      </c>
      <c r="I1084" s="1824">
        <f>H1084*G1084</f>
        <v>15686.666666666668</v>
      </c>
    </row>
    <row r="1085" spans="1:12" ht="15">
      <c r="B1085" s="1551" t="str">
        <f>'8.Dgia'!B2939</f>
        <v/>
      </c>
      <c r="C1085" s="1555">
        <f>'8.Dgia'!C2939</f>
        <v>0</v>
      </c>
      <c r="D1085" s="1552" t="str">
        <f>'8.Dgia'!D2939</f>
        <v>C3123</v>
      </c>
      <c r="E1085" s="1775" t="str">
        <f>'8.Dgia'!E2939</f>
        <v>Vữa bê tông đá 1x2 C15 SN 2-4</v>
      </c>
      <c r="F1085" s="1771" t="str">
        <f>'8.Dgia'!G2939</f>
        <v>m3</v>
      </c>
      <c r="G1085" s="1772">
        <f>'8.Dgia'!H2939</f>
        <v>0</v>
      </c>
      <c r="H1085" s="1853"/>
      <c r="I1085" s="1897" t="s">
        <v>2106</v>
      </c>
    </row>
    <row r="1086" spans="1:12" ht="15">
      <c r="B1086" s="1551" t="str">
        <f>'8.Dgia'!B2940</f>
        <v/>
      </c>
      <c r="C1086" s="1555">
        <f>'8.Dgia'!C2940</f>
        <v>0</v>
      </c>
      <c r="D1086" s="1552">
        <f>'8.Dgia'!D2940</f>
        <v>0</v>
      </c>
      <c r="E1086" s="1775" t="str">
        <f>'8.Dgia'!E2940</f>
        <v>Vật liệu khác</v>
      </c>
      <c r="F1086" s="1771" t="str">
        <f>'8.Dgia'!G2940</f>
        <v>%</v>
      </c>
      <c r="G1086" s="1772">
        <f>'8.Dgia'!H2940</f>
        <v>1.5</v>
      </c>
      <c r="H1086" s="1853">
        <f>SUM(I1081:I1085)</f>
        <v>282921.11212121212</v>
      </c>
      <c r="I1086" s="1824">
        <f>H1086*G1086%</f>
        <v>4243.8166818181817</v>
      </c>
    </row>
    <row r="1087" spans="1:12" ht="15">
      <c r="B1087" s="1551" t="str">
        <f>'8.Dgia'!B2941</f>
        <v/>
      </c>
      <c r="C1087" s="1555">
        <f>'8.Dgia'!C2941</f>
        <v>0</v>
      </c>
      <c r="D1087" s="1552">
        <f>'8.Dgia'!D2941</f>
        <v>0</v>
      </c>
      <c r="E1087" s="1775" t="str">
        <f>'8.Dgia'!E2941</f>
        <v xml:space="preserve">  B - Nhân công 3.3/7</v>
      </c>
      <c r="F1087" s="1771" t="s">
        <v>552</v>
      </c>
      <c r="G1087" s="1772">
        <f>'8.Dgia'!H2941</f>
        <v>1.19</v>
      </c>
      <c r="H1087" s="1853">
        <f>'16.NC'!$G$15</f>
        <v>208794</v>
      </c>
      <c r="I1087" s="1854">
        <f>H1087*G1087</f>
        <v>248464.86</v>
      </c>
    </row>
    <row r="1088" spans="1:12" ht="15">
      <c r="B1088" s="1551" t="str">
        <f>'8.Dgia'!B2942</f>
        <v/>
      </c>
      <c r="C1088" s="1555">
        <f>'8.Dgia'!C2942</f>
        <v>0</v>
      </c>
      <c r="D1088" s="1552">
        <f>'8.Dgia'!D2942</f>
        <v>0</v>
      </c>
      <c r="E1088" s="1775" t="str">
        <f>'8.Dgia'!E2942</f>
        <v xml:space="preserve">  C - Máy thi công</v>
      </c>
      <c r="F1088" s="1771">
        <f>'8.Dgia'!G2942</f>
        <v>0</v>
      </c>
      <c r="G1088" s="1772">
        <f>'8.Dgia'!H2942</f>
        <v>0</v>
      </c>
      <c r="H1088" s="1853"/>
      <c r="I1088" s="1854">
        <f>SUM(I1089:I1091)</f>
        <v>60248.859250909081</v>
      </c>
    </row>
    <row r="1089" spans="1:12" ht="15">
      <c r="B1089" s="1551" t="str">
        <f>'8.Dgia'!B2943</f>
        <v/>
      </c>
      <c r="C1089" s="1555">
        <f>'8.Dgia'!C2943</f>
        <v>0</v>
      </c>
      <c r="D1089" s="1552">
        <f>'8.Dgia'!D2943</f>
        <v>0</v>
      </c>
      <c r="E1089" s="1775" t="str">
        <f>'8.Dgia'!E2943</f>
        <v>Máy cắt đột 2.8kW</v>
      </c>
      <c r="F1089" s="1771" t="s">
        <v>5493</v>
      </c>
      <c r="G1089" s="1772">
        <f>'8.Dgia'!H2943</f>
        <v>0.06</v>
      </c>
      <c r="H1089" s="1853">
        <f>'9.may'!$P$555</f>
        <v>91297.656000000003</v>
      </c>
      <c r="I1089" s="1824">
        <f>H1089*G1089</f>
        <v>5477.8593600000004</v>
      </c>
    </row>
    <row r="1090" spans="1:12" ht="15">
      <c r="B1090" s="1551" t="str">
        <f>'8.Dgia'!B2944</f>
        <v/>
      </c>
      <c r="C1090" s="1555">
        <f>'8.Dgia'!C2944</f>
        <v>0</v>
      </c>
      <c r="D1090" s="1552">
        <f>'8.Dgia'!D2944</f>
        <v>0</v>
      </c>
      <c r="E1090" s="1775" t="str">
        <f>'8.Dgia'!E2944</f>
        <v>Máy mài 1kW</v>
      </c>
      <c r="F1090" s="1771" t="s">
        <v>5493</v>
      </c>
      <c r="G1090" s="1772">
        <f>'8.Dgia'!H2944</f>
        <v>0.06</v>
      </c>
      <c r="H1090" s="1853">
        <f>'9.may'!$P$563</f>
        <v>59539.11</v>
      </c>
      <c r="I1090" s="1824">
        <f>H1090*G1090</f>
        <v>3572.3465999999999</v>
      </c>
    </row>
    <row r="1091" spans="1:12" ht="15">
      <c r="B1091" s="1551" t="str">
        <f>'8.Dgia'!B2945</f>
        <v/>
      </c>
      <c r="C1091" s="1555">
        <f>'8.Dgia'!C2945</f>
        <v>0</v>
      </c>
      <c r="D1091" s="1552">
        <f>'8.Dgia'!D2945</f>
        <v>0</v>
      </c>
      <c r="E1091" s="1775" t="str">
        <f>'8.Dgia'!E2945</f>
        <v>Ôtô vận tải thùng 7T</v>
      </c>
      <c r="F1091" s="1771" t="s">
        <v>5493</v>
      </c>
      <c r="G1091" s="1772">
        <f>'8.Dgia'!H2945</f>
        <v>4.4999999999999998E-2</v>
      </c>
      <c r="H1091" s="1853">
        <f>'9.may'!$P$135</f>
        <v>1137747.8509090908</v>
      </c>
      <c r="I1091" s="1824">
        <f>H1091*G1091</f>
        <v>51198.653290909082</v>
      </c>
    </row>
    <row r="1092" spans="1:12" ht="15">
      <c r="B1092" s="1551"/>
      <c r="C1092" s="1555"/>
      <c r="D1092" s="1552"/>
      <c r="E1092" s="1828" t="s">
        <v>5675</v>
      </c>
      <c r="F1092" s="1856">
        <f>$J$5</f>
        <v>0.02</v>
      </c>
      <c r="G1092" s="1772"/>
      <c r="H1092" s="1853"/>
      <c r="I1092" s="1863">
        <f>( I1080+I1087+I1088 )*F1092</f>
        <v>11917.572961078788</v>
      </c>
    </row>
    <row r="1093" spans="1:12" ht="15">
      <c r="B1093" s="2020"/>
      <c r="C1093" s="1555"/>
      <c r="D1093" s="1552"/>
      <c r="E1093" s="1831" t="s">
        <v>5676</v>
      </c>
      <c r="F1093" s="1831"/>
      <c r="G1093" s="1772"/>
      <c r="H1093" s="1853"/>
      <c r="I1093" s="1833">
        <f>I1092+I1092/F1092</f>
        <v>607796.22101501818</v>
      </c>
    </row>
    <row r="1094" spans="1:12" ht="15">
      <c r="B1094" s="1551"/>
      <c r="C1094" s="1555"/>
      <c r="D1094" s="1552"/>
      <c r="E1094" s="1834" t="s">
        <v>5677</v>
      </c>
      <c r="F1094" s="1858">
        <f>$K$5</f>
        <v>5.7750000000000003E-2</v>
      </c>
      <c r="G1094" s="1772"/>
      <c r="H1094" s="1853"/>
      <c r="I1094" s="1835">
        <f>I1093*F1094</f>
        <v>35100.231763617303</v>
      </c>
    </row>
    <row r="1095" spans="1:12" ht="15">
      <c r="B1095" s="1551"/>
      <c r="C1095" s="1555"/>
      <c r="D1095" s="1552"/>
      <c r="E1095" s="1834" t="s">
        <v>5678</v>
      </c>
      <c r="F1095" s="1856">
        <f>$L$5</f>
        <v>0.06</v>
      </c>
      <c r="G1095" s="1772"/>
      <c r="H1095" s="1853"/>
      <c r="I1095" s="1835">
        <f>SUM(I1093:I1094)*F1095</f>
        <v>38573.787166718124</v>
      </c>
    </row>
    <row r="1096" spans="1:12" ht="15">
      <c r="B1096" s="1551"/>
      <c r="C1096" s="1555"/>
      <c r="D1096" s="1552"/>
      <c r="E1096" s="1831" t="s">
        <v>5679</v>
      </c>
      <c r="F1096" s="1831"/>
      <c r="G1096" s="1772"/>
      <c r="H1096" s="1853"/>
      <c r="I1096" s="1833">
        <f>SUM(I1093:I1095)</f>
        <v>681470.23994535359</v>
      </c>
    </row>
    <row r="1097" spans="1:12" ht="15">
      <c r="B1097" s="1551"/>
      <c r="C1097" s="1555"/>
      <c r="D1097" s="1552"/>
      <c r="E1097" s="1834" t="s">
        <v>5680</v>
      </c>
      <c r="F1097" s="1856">
        <f>$M$5</f>
        <v>0.1</v>
      </c>
      <c r="G1097" s="1772"/>
      <c r="H1097" s="1853"/>
      <c r="I1097" s="1835">
        <f>I1096*F1097</f>
        <v>68147.023994535368</v>
      </c>
    </row>
    <row r="1098" spans="1:12" ht="15">
      <c r="B1098" s="1551"/>
      <c r="C1098" s="1555"/>
      <c r="D1098" s="1552"/>
      <c r="E1098" s="1831" t="s">
        <v>5681</v>
      </c>
      <c r="F1098" s="1831"/>
      <c r="G1098" s="1772"/>
      <c r="H1098" s="1853"/>
      <c r="I1098" s="1833">
        <f>SUM(I1096:I1097)</f>
        <v>749617.26393988892</v>
      </c>
    </row>
    <row r="1099" spans="1:12" ht="15">
      <c r="B1099" s="1596"/>
      <c r="C1099" s="1597"/>
      <c r="D1099" s="1597"/>
      <c r="E1099" s="1859" t="s">
        <v>5683</v>
      </c>
      <c r="F1099" s="1859"/>
      <c r="G1099" s="1860"/>
      <c r="H1099" s="1861"/>
      <c r="I1099" s="1862">
        <f>ROUND(I1097+I1098,-2)</f>
        <v>817800</v>
      </c>
    </row>
    <row r="1100" spans="1:12" ht="15" customHeight="1">
      <c r="A1100" s="657">
        <v>1</v>
      </c>
      <c r="B1100" s="1549">
        <f>IF(A1100&lt;&gt;0,COUNTA(A$7:$A1100),"")</f>
        <v>66</v>
      </c>
      <c r="C1100" s="1555">
        <f>'8.Dgia'!C2946</f>
        <v>1776</v>
      </c>
      <c r="D1100" s="1696" t="str">
        <f>'8.Dgia'!D2946</f>
        <v>AD.32131vd</v>
      </c>
      <c r="E1100" s="1848" t="str">
        <f>'8.Dgia'!E2946</f>
        <v>Sản xuất lắp đặt trụ đỡ biển báo D80, L=4m</v>
      </c>
      <c r="F1100" s="1771" t="s">
        <v>567</v>
      </c>
      <c r="G1100" s="1850">
        <f>'8.Dgia'!H2946</f>
        <v>0</v>
      </c>
      <c r="H1100" s="1851"/>
      <c r="I1100" s="1823"/>
      <c r="J1100" s="842">
        <f>+I1101</f>
        <v>374285.7621363636</v>
      </c>
      <c r="K1100" s="842">
        <f>+I1108</f>
        <v>248464.86</v>
      </c>
      <c r="L1100" s="842">
        <f>+I1109</f>
        <v>60248.859250909081</v>
      </c>
    </row>
    <row r="1101" spans="1:12" ht="15">
      <c r="B1101" s="1551" t="str">
        <f>'8.Dgia'!B2947</f>
        <v/>
      </c>
      <c r="C1101" s="1555">
        <f>'8.Dgia'!C2947</f>
        <v>0</v>
      </c>
      <c r="D1101" s="1552">
        <f>'8.Dgia'!D2947</f>
        <v>0</v>
      </c>
      <c r="E1101" s="2018" t="str">
        <f>'8.Dgia'!E2947</f>
        <v xml:space="preserve">  A - Vật liệu</v>
      </c>
      <c r="F1101" s="1771">
        <f>'8.Dgia'!G2947</f>
        <v>0</v>
      </c>
      <c r="G1101" s="1772">
        <f>'8.Dgia'!H2947</f>
        <v>0</v>
      </c>
      <c r="H1101" s="1853"/>
      <c r="I1101" s="1854">
        <f>SUM(I1102:I1107)</f>
        <v>374285.7621363636</v>
      </c>
    </row>
    <row r="1102" spans="1:12" ht="15">
      <c r="B1102" s="1551" t="str">
        <f>'8.Dgia'!B2948</f>
        <v/>
      </c>
      <c r="C1102" s="1555">
        <f>'8.Dgia'!C2948</f>
        <v>0</v>
      </c>
      <c r="D1102" s="1552">
        <f>'8.Dgia'!D2948</f>
        <v>0</v>
      </c>
      <c r="E1102" s="1775" t="str">
        <f>'8.Dgia'!E2948</f>
        <v>Sắt ống D80</v>
      </c>
      <c r="F1102" s="1771" t="str">
        <f>'8.Dgia'!G2948</f>
        <v>m</v>
      </c>
      <c r="G1102" s="1772">
        <f>'8.Dgia'!H2948</f>
        <v>4</v>
      </c>
      <c r="H1102" s="1853">
        <f>GVL!$I$155</f>
        <v>85833.333333333328</v>
      </c>
      <c r="I1102" s="1824">
        <f>H1102*G1102</f>
        <v>343333.33333333331</v>
      </c>
    </row>
    <row r="1103" spans="1:12" ht="15">
      <c r="B1103" s="1551" t="str">
        <f>'8.Dgia'!B2949</f>
        <v/>
      </c>
      <c r="C1103" s="1555">
        <f>'8.Dgia'!C2949</f>
        <v>0</v>
      </c>
      <c r="D1103" s="1552">
        <f>'8.Dgia'!D2949</f>
        <v>0</v>
      </c>
      <c r="E1103" s="1775" t="str">
        <f>'8.Dgia'!E2949</f>
        <v>Nắp chụp nhựa D80</v>
      </c>
      <c r="F1103" s="1771" t="s">
        <v>567</v>
      </c>
      <c r="G1103" s="1772">
        <f>'8.Dgia'!H2949</f>
        <v>1</v>
      </c>
      <c r="H1103" s="1853">
        <f>GVL!$I$122</f>
        <v>5000</v>
      </c>
      <c r="I1103" s="1824">
        <f>H1103*G1103</f>
        <v>5000</v>
      </c>
    </row>
    <row r="1104" spans="1:12" ht="15">
      <c r="B1104" s="1551" t="str">
        <f>'8.Dgia'!B2950</f>
        <v/>
      </c>
      <c r="C1104" s="1555">
        <f>'8.Dgia'!C2950</f>
        <v>0</v>
      </c>
      <c r="D1104" s="1552">
        <f>'8.Dgia'!D2950</f>
        <v>0</v>
      </c>
      <c r="E1104" s="1775" t="str">
        <f>'8.Dgia'!E2950</f>
        <v>Sơn chống rỉ</v>
      </c>
      <c r="F1104" s="1771" t="str">
        <f>'8.Dgia'!G2950</f>
        <v>kg</v>
      </c>
      <c r="G1104" s="1772">
        <f>'8.Dgia'!H2950</f>
        <v>0.115</v>
      </c>
      <c r="H1104" s="1853">
        <f>GVL!$I$160</f>
        <v>41169.090909090904</v>
      </c>
      <c r="I1104" s="1824">
        <f>H1104*G1104</f>
        <v>4734.4454545454546</v>
      </c>
    </row>
    <row r="1105" spans="2:9" ht="15">
      <c r="B1105" s="1551" t="str">
        <f>'8.Dgia'!B2951</f>
        <v/>
      </c>
      <c r="C1105" s="1555">
        <f>'8.Dgia'!C2951</f>
        <v>0</v>
      </c>
      <c r="D1105" s="1552" t="str">
        <f>'8.Dgia'!D2951</f>
        <v>Sơn dầu</v>
      </c>
      <c r="E1105" s="1775" t="str">
        <f>'8.Dgia'!E2951</f>
        <v xml:space="preserve">Sơn </v>
      </c>
      <c r="F1105" s="1771" t="str">
        <f>'8.Dgia'!G2951</f>
        <v>kg</v>
      </c>
      <c r="G1105" s="1772">
        <f>'8.Dgia'!H2951</f>
        <v>0.18099999999999999</v>
      </c>
      <c r="H1105" s="1853">
        <f>GVL!$I$159</f>
        <v>86666.666666666672</v>
      </c>
      <c r="I1105" s="1824">
        <f>H1105*G1105</f>
        <v>15686.666666666668</v>
      </c>
    </row>
    <row r="1106" spans="2:9" ht="15">
      <c r="B1106" s="1551" t="str">
        <f>'8.Dgia'!B2952</f>
        <v/>
      </c>
      <c r="C1106" s="1555">
        <f>'8.Dgia'!C2952</f>
        <v>0</v>
      </c>
      <c r="D1106" s="1552" t="str">
        <f>'8.Dgia'!D2952</f>
        <v>C3123</v>
      </c>
      <c r="E1106" s="1775" t="str">
        <f>'8.Dgia'!E2952</f>
        <v>Vữa bê tông đá 1x2 C15 SN 2-4</v>
      </c>
      <c r="F1106" s="1771" t="str">
        <f>'8.Dgia'!G2952</f>
        <v>m3</v>
      </c>
      <c r="G1106" s="1772">
        <f>'8.Dgia'!H2952</f>
        <v>0</v>
      </c>
      <c r="H1106" s="1853"/>
      <c r="I1106" s="1897" t="s">
        <v>2106</v>
      </c>
    </row>
    <row r="1107" spans="2:9" ht="15">
      <c r="B1107" s="1551" t="str">
        <f>'8.Dgia'!B2953</f>
        <v/>
      </c>
      <c r="C1107" s="1555">
        <f>'8.Dgia'!C2953</f>
        <v>0</v>
      </c>
      <c r="D1107" s="1552">
        <f>'8.Dgia'!D2953</f>
        <v>0</v>
      </c>
      <c r="E1107" s="1775" t="str">
        <f>'8.Dgia'!E2953</f>
        <v>Vật liệu khác</v>
      </c>
      <c r="F1107" s="1771" t="str">
        <f>'8.Dgia'!G2953</f>
        <v>%</v>
      </c>
      <c r="G1107" s="1772">
        <f>'8.Dgia'!H2953</f>
        <v>1.5</v>
      </c>
      <c r="H1107" s="1853">
        <f>SUM(I1102:I1106)</f>
        <v>368754.44545454544</v>
      </c>
      <c r="I1107" s="1824">
        <f>H1107*G1107%</f>
        <v>5531.3166818181817</v>
      </c>
    </row>
    <row r="1108" spans="2:9" ht="15">
      <c r="B1108" s="1551" t="str">
        <f>'8.Dgia'!B2954</f>
        <v/>
      </c>
      <c r="C1108" s="1555">
        <f>'8.Dgia'!C2954</f>
        <v>0</v>
      </c>
      <c r="D1108" s="1552">
        <f>'8.Dgia'!D2954</f>
        <v>0</v>
      </c>
      <c r="E1108" s="1775" t="str">
        <f>'8.Dgia'!E2954</f>
        <v xml:space="preserve">  B - Nhân công 3.3/7</v>
      </c>
      <c r="F1108" s="1771" t="s">
        <v>552</v>
      </c>
      <c r="G1108" s="1772">
        <f>'8.Dgia'!H2954</f>
        <v>1.19</v>
      </c>
      <c r="H1108" s="1853">
        <f>'16.NC'!$G$15</f>
        <v>208794</v>
      </c>
      <c r="I1108" s="1854">
        <f>H1108*G1108</f>
        <v>248464.86</v>
      </c>
    </row>
    <row r="1109" spans="2:9" ht="15">
      <c r="B1109" s="1551" t="str">
        <f>'8.Dgia'!B2955</f>
        <v/>
      </c>
      <c r="C1109" s="1555">
        <f>'8.Dgia'!C2955</f>
        <v>0</v>
      </c>
      <c r="D1109" s="1552">
        <f>'8.Dgia'!D2955</f>
        <v>0</v>
      </c>
      <c r="E1109" s="1775" t="str">
        <f>'8.Dgia'!E2955</f>
        <v xml:space="preserve">  C - Máy thi công</v>
      </c>
      <c r="F1109" s="1771">
        <f>'8.Dgia'!G2955</f>
        <v>0</v>
      </c>
      <c r="G1109" s="1772">
        <f>'8.Dgia'!H2955</f>
        <v>0</v>
      </c>
      <c r="H1109" s="1853"/>
      <c r="I1109" s="1854">
        <f>SUM(I1110:I1112)</f>
        <v>60248.859250909081</v>
      </c>
    </row>
    <row r="1110" spans="2:9" ht="15">
      <c r="B1110" s="1551" t="str">
        <f>'8.Dgia'!B2956</f>
        <v/>
      </c>
      <c r="C1110" s="1555">
        <f>'8.Dgia'!C2956</f>
        <v>0</v>
      </c>
      <c r="D1110" s="1552">
        <f>'8.Dgia'!D2956</f>
        <v>0</v>
      </c>
      <c r="E1110" s="1775" t="str">
        <f>'8.Dgia'!E2956</f>
        <v>Máy cắt đột 2.8kW</v>
      </c>
      <c r="F1110" s="1771" t="s">
        <v>5493</v>
      </c>
      <c r="G1110" s="1772">
        <f>'8.Dgia'!H2956</f>
        <v>0.06</v>
      </c>
      <c r="H1110" s="1853">
        <f>'9.may'!$P$555</f>
        <v>91297.656000000003</v>
      </c>
      <c r="I1110" s="1824">
        <f>H1110*G1110</f>
        <v>5477.8593600000004</v>
      </c>
    </row>
    <row r="1111" spans="2:9" ht="15">
      <c r="B1111" s="1551" t="str">
        <f>'8.Dgia'!B2957</f>
        <v/>
      </c>
      <c r="C1111" s="1555">
        <f>'8.Dgia'!C2957</f>
        <v>0</v>
      </c>
      <c r="D1111" s="1552">
        <f>'8.Dgia'!D2957</f>
        <v>0</v>
      </c>
      <c r="E1111" s="1775" t="str">
        <f>'8.Dgia'!E2957</f>
        <v>Máy mài 1kW</v>
      </c>
      <c r="F1111" s="1771" t="s">
        <v>5493</v>
      </c>
      <c r="G1111" s="1772">
        <f>'8.Dgia'!H2957</f>
        <v>0.06</v>
      </c>
      <c r="H1111" s="1853">
        <f>'9.may'!$P$563</f>
        <v>59539.11</v>
      </c>
      <c r="I1111" s="1824">
        <f>H1111*G1111</f>
        <v>3572.3465999999999</v>
      </c>
    </row>
    <row r="1112" spans="2:9" ht="15">
      <c r="B1112" s="1551" t="str">
        <f>'8.Dgia'!B2958</f>
        <v/>
      </c>
      <c r="C1112" s="1555">
        <f>'8.Dgia'!C2958</f>
        <v>0</v>
      </c>
      <c r="D1112" s="1552">
        <f>'8.Dgia'!D2958</f>
        <v>0</v>
      </c>
      <c r="E1112" s="1775" t="str">
        <f>'8.Dgia'!E2958</f>
        <v>Ôtô vận tải thùng 7T</v>
      </c>
      <c r="F1112" s="1771" t="s">
        <v>5493</v>
      </c>
      <c r="G1112" s="1772">
        <f>'8.Dgia'!H2958</f>
        <v>4.4999999999999998E-2</v>
      </c>
      <c r="H1112" s="1853">
        <f>'9.may'!$P$135</f>
        <v>1137747.8509090908</v>
      </c>
      <c r="I1112" s="1824">
        <f>H1112*G1112</f>
        <v>51198.653290909082</v>
      </c>
    </row>
    <row r="1113" spans="2:9" ht="15">
      <c r="B1113" s="1551"/>
      <c r="C1113" s="1555"/>
      <c r="D1113" s="1552"/>
      <c r="E1113" s="1828" t="s">
        <v>5675</v>
      </c>
      <c r="F1113" s="1856">
        <f>$J$5</f>
        <v>0.02</v>
      </c>
      <c r="G1113" s="1772"/>
      <c r="H1113" s="1853"/>
      <c r="I1113" s="1863">
        <f>( I1101+I1108+I1109 )*F1113</f>
        <v>13659.989627745452</v>
      </c>
    </row>
    <row r="1114" spans="2:9" ht="15">
      <c r="B1114" s="1551"/>
      <c r="C1114" s="1555"/>
      <c r="D1114" s="1552"/>
      <c r="E1114" s="1831" t="s">
        <v>5676</v>
      </c>
      <c r="F1114" s="1831"/>
      <c r="G1114" s="1772"/>
      <c r="H1114" s="1853"/>
      <c r="I1114" s="1833">
        <f>I1113+I1113/F1113</f>
        <v>696659.47101501806</v>
      </c>
    </row>
    <row r="1115" spans="2:9" ht="15">
      <c r="B1115" s="2020"/>
      <c r="C1115" s="1555"/>
      <c r="D1115" s="1552"/>
      <c r="E1115" s="1834" t="s">
        <v>5677</v>
      </c>
      <c r="F1115" s="1858">
        <f>$K$5</f>
        <v>5.7750000000000003E-2</v>
      </c>
      <c r="G1115" s="1772"/>
      <c r="H1115" s="1853"/>
      <c r="I1115" s="1835">
        <f>I1114*F1115</f>
        <v>40232.084451117298</v>
      </c>
    </row>
    <row r="1116" spans="2:9" ht="15">
      <c r="B1116" s="1551"/>
      <c r="C1116" s="1555"/>
      <c r="D1116" s="1552"/>
      <c r="E1116" s="1834" t="s">
        <v>5678</v>
      </c>
      <c r="F1116" s="1856">
        <f>$L$5</f>
        <v>0.06</v>
      </c>
      <c r="G1116" s="1772"/>
      <c r="H1116" s="1853"/>
      <c r="I1116" s="1835">
        <f>SUM(I1114:I1115)*F1116</f>
        <v>44213.493327968121</v>
      </c>
    </row>
    <row r="1117" spans="2:9" ht="15">
      <c r="B1117" s="1551"/>
      <c r="C1117" s="1555"/>
      <c r="D1117" s="1552"/>
      <c r="E1117" s="1831" t="s">
        <v>5679</v>
      </c>
      <c r="F1117" s="1831"/>
      <c r="G1117" s="1772"/>
      <c r="H1117" s="1853"/>
      <c r="I1117" s="1833">
        <f>SUM(I1114:I1116)</f>
        <v>781105.04879410355</v>
      </c>
    </row>
    <row r="1118" spans="2:9" ht="15">
      <c r="B1118" s="1551"/>
      <c r="C1118" s="1555"/>
      <c r="D1118" s="1552"/>
      <c r="E1118" s="1834" t="s">
        <v>5680</v>
      </c>
      <c r="F1118" s="1856">
        <f>$M$5</f>
        <v>0.1</v>
      </c>
      <c r="G1118" s="1772"/>
      <c r="H1118" s="1853"/>
      <c r="I1118" s="1835">
        <f>I1117*F1118</f>
        <v>78110.504879410364</v>
      </c>
    </row>
    <row r="1119" spans="2:9" ht="15">
      <c r="B1119" s="1551"/>
      <c r="C1119" s="1555"/>
      <c r="D1119" s="1552"/>
      <c r="E1119" s="1831" t="s">
        <v>5681</v>
      </c>
      <c r="F1119" s="1831"/>
      <c r="G1119" s="1772"/>
      <c r="H1119" s="1853"/>
      <c r="I1119" s="1833">
        <f>SUM(I1117:I1118)</f>
        <v>859215.55367351393</v>
      </c>
    </row>
    <row r="1120" spans="2:9" ht="12.75">
      <c r="B1120" s="1551"/>
      <c r="C1120" s="1555"/>
      <c r="D1120" s="1552"/>
      <c r="E1120" s="1558" t="s">
        <v>5682</v>
      </c>
      <c r="F1120" s="1595">
        <f>$N$5</f>
        <v>0.01</v>
      </c>
      <c r="G1120" s="1553"/>
      <c r="H1120" s="1594"/>
      <c r="I1120" s="1559">
        <f>I1119*F1120</f>
        <v>8592.1555367351393</v>
      </c>
    </row>
    <row r="1121" spans="1:12" ht="15">
      <c r="B1121" s="1596"/>
      <c r="C1121" s="1597"/>
      <c r="D1121" s="1597"/>
      <c r="E1121" s="1859" t="s">
        <v>5683</v>
      </c>
      <c r="F1121" s="1859"/>
      <c r="G1121" s="1860"/>
      <c r="H1121" s="1861"/>
      <c r="I1121" s="1862">
        <f>ROUND(I1119+I1120,-2)</f>
        <v>867800</v>
      </c>
    </row>
    <row r="1122" spans="1:12" ht="15">
      <c r="A1122" s="657">
        <v>1</v>
      </c>
      <c r="B1122" s="1549">
        <f>IF(A1122&lt;&gt;0,COUNTA(A$7:$A1122),"")</f>
        <v>67</v>
      </c>
      <c r="C1122" s="1555">
        <f>'8.Dgia'!C2959</f>
        <v>0</v>
      </c>
      <c r="D1122" s="1696" t="str">
        <f>'8.Dgia'!D2959</f>
        <v>Báo giá</v>
      </c>
      <c r="E1122" s="1848" t="str">
        <f>'8.Dgia'!E2959</f>
        <v>Joint cao su cống D1500</v>
      </c>
      <c r="F1122" s="1771" t="s">
        <v>567</v>
      </c>
      <c r="G1122" s="1850">
        <f>'8.Dgia'!H2959</f>
        <v>0</v>
      </c>
      <c r="H1122" s="1851"/>
      <c r="I1122" s="1852"/>
      <c r="J1122" s="842">
        <f>+I1123</f>
        <v>102000</v>
      </c>
    </row>
    <row r="1123" spans="1:12" ht="15">
      <c r="B1123" s="1551" t="str">
        <f>'8.Dgia'!B2960</f>
        <v/>
      </c>
      <c r="C1123" s="1555">
        <f>'8.Dgia'!C2960</f>
        <v>0</v>
      </c>
      <c r="D1123" s="1552">
        <f>'8.Dgia'!D2960</f>
        <v>0</v>
      </c>
      <c r="E1123" s="2018" t="str">
        <f>'8.Dgia'!E2960</f>
        <v xml:space="preserve">  A - Vật liệu</v>
      </c>
      <c r="F1123" s="1771">
        <f>'8.Dgia'!G2960</f>
        <v>0</v>
      </c>
      <c r="G1123" s="1772">
        <f>'8.Dgia'!H2960</f>
        <v>0</v>
      </c>
      <c r="H1123" s="1853"/>
      <c r="I1123" s="1854">
        <f>SUM(I1124:I1124)</f>
        <v>102000</v>
      </c>
    </row>
    <row r="1124" spans="1:12" ht="15">
      <c r="B1124" s="1551" t="str">
        <f>'8.Dgia'!B2961</f>
        <v/>
      </c>
      <c r="C1124" s="1555">
        <f>'8.Dgia'!C2961</f>
        <v>0</v>
      </c>
      <c r="D1124" s="1552">
        <f>'8.Dgia'!D2961</f>
        <v>0</v>
      </c>
      <c r="E1124" s="1775" t="str">
        <f>'8.Dgia'!E2961</f>
        <v>Joint cao su D1500</v>
      </c>
      <c r="F1124" s="1771" t="s">
        <v>567</v>
      </c>
      <c r="G1124" s="1772">
        <f>'8.Dgia'!H2961</f>
        <v>1</v>
      </c>
      <c r="H1124" s="1853">
        <f>GVL!$I$107</f>
        <v>102000</v>
      </c>
      <c r="I1124" s="1824">
        <f>H1124*G1124</f>
        <v>102000</v>
      </c>
    </row>
    <row r="1125" spans="1:12" ht="15">
      <c r="B1125" s="1551"/>
      <c r="C1125" s="1555"/>
      <c r="D1125" s="1552"/>
      <c r="E1125" s="1828" t="s">
        <v>5675</v>
      </c>
      <c r="F1125" s="1856">
        <f>$J$5</f>
        <v>0.02</v>
      </c>
      <c r="G1125" s="1772"/>
      <c r="H1125" s="1853"/>
      <c r="I1125" s="1863">
        <f>( I1123 )*F1125</f>
        <v>2040</v>
      </c>
    </row>
    <row r="1126" spans="1:12" ht="15">
      <c r="B1126" s="1551"/>
      <c r="C1126" s="1555"/>
      <c r="D1126" s="1552"/>
      <c r="E1126" s="1831" t="s">
        <v>5676</v>
      </c>
      <c r="F1126" s="1831"/>
      <c r="G1126" s="1772"/>
      <c r="H1126" s="1853"/>
      <c r="I1126" s="1833">
        <f>I1125+I1125/F1125</f>
        <v>104040</v>
      </c>
    </row>
    <row r="1127" spans="1:12" ht="15">
      <c r="B1127" s="1551"/>
      <c r="C1127" s="1555"/>
      <c r="D1127" s="1552"/>
      <c r="E1127" s="1834" t="s">
        <v>5677</v>
      </c>
      <c r="F1127" s="1858">
        <f>$K$5</f>
        <v>5.7750000000000003E-2</v>
      </c>
      <c r="G1127" s="1772"/>
      <c r="H1127" s="1853"/>
      <c r="I1127" s="1835">
        <f>I1126*F1127</f>
        <v>6008.31</v>
      </c>
    </row>
    <row r="1128" spans="1:12" ht="15">
      <c r="B1128" s="1551"/>
      <c r="C1128" s="1555"/>
      <c r="D1128" s="1552"/>
      <c r="E1128" s="1834" t="s">
        <v>5678</v>
      </c>
      <c r="F1128" s="1856">
        <f>$L$5</f>
        <v>0.06</v>
      </c>
      <c r="G1128" s="1772"/>
      <c r="H1128" s="1853"/>
      <c r="I1128" s="1835">
        <f>SUM(I1126:I1127)*F1128</f>
        <v>6602.8985999999995</v>
      </c>
    </row>
    <row r="1129" spans="1:12" ht="15">
      <c r="B1129" s="1551"/>
      <c r="C1129" s="1555"/>
      <c r="D1129" s="1552"/>
      <c r="E1129" s="1831" t="s">
        <v>5679</v>
      </c>
      <c r="F1129" s="1831"/>
      <c r="G1129" s="1772"/>
      <c r="H1129" s="1853"/>
      <c r="I1129" s="1833">
        <f>SUM(I1126:I1128)</f>
        <v>116651.2086</v>
      </c>
    </row>
    <row r="1130" spans="1:12" ht="15">
      <c r="B1130" s="1551"/>
      <c r="C1130" s="1555"/>
      <c r="D1130" s="1552"/>
      <c r="E1130" s="1834" t="s">
        <v>5680</v>
      </c>
      <c r="F1130" s="1856">
        <f>$M$5</f>
        <v>0.1</v>
      </c>
      <c r="G1130" s="1772"/>
      <c r="H1130" s="1853"/>
      <c r="I1130" s="1835">
        <f>I1129*F1130</f>
        <v>11665.120860000001</v>
      </c>
    </row>
    <row r="1131" spans="1:12" ht="15">
      <c r="B1131" s="1551"/>
      <c r="C1131" s="1555"/>
      <c r="D1131" s="1552"/>
      <c r="E1131" s="1831" t="s">
        <v>5681</v>
      </c>
      <c r="F1131" s="1831"/>
      <c r="G1131" s="1772"/>
      <c r="H1131" s="1853"/>
      <c r="I1131" s="1833">
        <f>SUM(I1129:I1130)</f>
        <v>128316.32945999999</v>
      </c>
    </row>
    <row r="1132" spans="1:12" ht="12.75">
      <c r="B1132" s="1551"/>
      <c r="C1132" s="1555"/>
      <c r="D1132" s="1552"/>
      <c r="E1132" s="1558" t="s">
        <v>5682</v>
      </c>
      <c r="F1132" s="1595">
        <f>$N$5</f>
        <v>0.01</v>
      </c>
      <c r="G1132" s="1553"/>
      <c r="H1132" s="1594"/>
      <c r="I1132" s="1559">
        <f>I1131*F1132</f>
        <v>1283.1632946</v>
      </c>
    </row>
    <row r="1133" spans="1:12" ht="15">
      <c r="B1133" s="1596"/>
      <c r="C1133" s="1597"/>
      <c r="D1133" s="1597"/>
      <c r="E1133" s="1859" t="s">
        <v>5683</v>
      </c>
      <c r="F1133" s="1859"/>
      <c r="G1133" s="1860"/>
      <c r="H1133" s="1861"/>
      <c r="I1133" s="1862">
        <f>ROUND(I1131+I1132,-2)</f>
        <v>129600</v>
      </c>
    </row>
    <row r="1134" spans="1:12" ht="30">
      <c r="A1134" s="657">
        <v>1</v>
      </c>
      <c r="B1134" s="1549">
        <f>IF(A1134&lt;&gt;0,COUNTA(A$7:$A1134),"")</f>
        <v>68</v>
      </c>
      <c r="C1134" s="1555">
        <f>'8.Dgia'!C2968</f>
        <v>1776</v>
      </c>
      <c r="D1134" s="1696" t="str">
        <f>'8.Dgia'!D2968</f>
        <v>AG.42131vd</v>
      </c>
      <c r="E1134" s="1848" t="str">
        <f>'8.Dgia'!E2968</f>
        <v>Lắp đặt kết cấu đúc sẵn, trọng lượng &lt;=250kg (không tính vật liệu)</v>
      </c>
      <c r="F1134" s="1771" t="s">
        <v>567</v>
      </c>
      <c r="G1134" s="1850">
        <f>'8.Dgia'!H2968</f>
        <v>0</v>
      </c>
      <c r="H1134" s="1851"/>
      <c r="I1134" s="1852"/>
      <c r="K1134" s="842">
        <f>+I1135</f>
        <v>104448.6</v>
      </c>
    </row>
    <row r="1135" spans="1:12" s="658" customFormat="1" ht="15">
      <c r="B1135" s="1551" t="str">
        <f>'8.Dgia'!B2969</f>
        <v/>
      </c>
      <c r="C1135" s="1555">
        <f>'8.Dgia'!C2969</f>
        <v>0</v>
      </c>
      <c r="D1135" s="1552">
        <f>'8.Dgia'!D2969</f>
        <v>0</v>
      </c>
      <c r="E1135" s="1775" t="str">
        <f>'8.Dgia'!E2969</f>
        <v xml:space="preserve">  B - Nhân công 4.0/7</v>
      </c>
      <c r="F1135" s="1771" t="s">
        <v>552</v>
      </c>
      <c r="G1135" s="1772">
        <f>'8.Dgia'!H2969</f>
        <v>0.45</v>
      </c>
      <c r="H1135" s="1853">
        <f>'16.NC'!$G$18</f>
        <v>232108</v>
      </c>
      <c r="I1135" s="1854">
        <f>H1135*G1135</f>
        <v>104448.6</v>
      </c>
      <c r="J1135" s="850"/>
      <c r="K1135" s="850"/>
      <c r="L1135" s="850"/>
    </row>
    <row r="1136" spans="1:12" ht="15">
      <c r="B1136" s="1551"/>
      <c r="C1136" s="1555"/>
      <c r="D1136" s="1552"/>
      <c r="E1136" s="1828" t="s">
        <v>5675</v>
      </c>
      <c r="F1136" s="1856">
        <f>$J$5</f>
        <v>0.02</v>
      </c>
      <c r="G1136" s="1772"/>
      <c r="H1136" s="1853"/>
      <c r="I1136" s="1863">
        <f>( I1135 )*F1136</f>
        <v>2088.9720000000002</v>
      </c>
    </row>
    <row r="1137" spans="1:12" ht="15">
      <c r="B1137" s="1551"/>
      <c r="C1137" s="1555"/>
      <c r="D1137" s="1552"/>
      <c r="E1137" s="1831" t="s">
        <v>5676</v>
      </c>
      <c r="F1137" s="1831"/>
      <c r="G1137" s="1772"/>
      <c r="H1137" s="1853"/>
      <c r="I1137" s="1833">
        <f>I1136+I1136/F1136</f>
        <v>106537.572</v>
      </c>
    </row>
    <row r="1138" spans="1:12" ht="15">
      <c r="B1138" s="1551"/>
      <c r="C1138" s="1555"/>
      <c r="D1138" s="1552"/>
      <c r="E1138" s="1834" t="s">
        <v>5677</v>
      </c>
      <c r="F1138" s="1858">
        <f>$K$5</f>
        <v>5.7750000000000003E-2</v>
      </c>
      <c r="G1138" s="1772"/>
      <c r="H1138" s="1853"/>
      <c r="I1138" s="1835">
        <f>I1137*F1138</f>
        <v>6152.5447830000003</v>
      </c>
    </row>
    <row r="1139" spans="1:12" ht="15">
      <c r="B1139" s="1551"/>
      <c r="C1139" s="1555"/>
      <c r="D1139" s="1552"/>
      <c r="E1139" s="1834" t="s">
        <v>5678</v>
      </c>
      <c r="F1139" s="1856">
        <f>$L$5</f>
        <v>0.06</v>
      </c>
      <c r="G1139" s="1772"/>
      <c r="H1139" s="1853"/>
      <c r="I1139" s="1835">
        <f>SUM(I1137:I1138)*F1139</f>
        <v>6761.40700698</v>
      </c>
    </row>
    <row r="1140" spans="1:12" ht="15">
      <c r="B1140" s="1551"/>
      <c r="C1140" s="1555"/>
      <c r="D1140" s="1552"/>
      <c r="E1140" s="1831" t="s">
        <v>5679</v>
      </c>
      <c r="F1140" s="1831"/>
      <c r="G1140" s="1772"/>
      <c r="H1140" s="1853"/>
      <c r="I1140" s="1833">
        <f>SUM(I1137:I1139)</f>
        <v>119451.52378998001</v>
      </c>
    </row>
    <row r="1141" spans="1:12" ht="15">
      <c r="B1141" s="1551"/>
      <c r="C1141" s="1555"/>
      <c r="D1141" s="1552"/>
      <c r="E1141" s="1834" t="s">
        <v>5680</v>
      </c>
      <c r="F1141" s="1856">
        <f>$M$5</f>
        <v>0.1</v>
      </c>
      <c r="G1141" s="1772"/>
      <c r="H1141" s="1853"/>
      <c r="I1141" s="1835">
        <f>I1140*F1141</f>
        <v>11945.152378998002</v>
      </c>
    </row>
    <row r="1142" spans="1:12" ht="15">
      <c r="B1142" s="1551"/>
      <c r="C1142" s="1555"/>
      <c r="D1142" s="1552"/>
      <c r="E1142" s="1831" t="s">
        <v>5681</v>
      </c>
      <c r="F1142" s="1831"/>
      <c r="G1142" s="1772"/>
      <c r="H1142" s="1853"/>
      <c r="I1142" s="1833">
        <f>SUM(I1140:I1141)</f>
        <v>131396.67616897801</v>
      </c>
    </row>
    <row r="1143" spans="1:12" ht="12.75">
      <c r="B1143" s="1551"/>
      <c r="C1143" s="1555"/>
      <c r="D1143" s="1552"/>
      <c r="E1143" s="1558" t="s">
        <v>5682</v>
      </c>
      <c r="F1143" s="1595">
        <f>$N$5</f>
        <v>0.01</v>
      </c>
      <c r="G1143" s="1553"/>
      <c r="H1143" s="1594"/>
      <c r="I1143" s="1559">
        <f>I1142*F1143</f>
        <v>1313.9667616897802</v>
      </c>
    </row>
    <row r="1144" spans="1:12" ht="15">
      <c r="B1144" s="1596"/>
      <c r="C1144" s="1597"/>
      <c r="D1144" s="1597"/>
      <c r="E1144" s="1859" t="s">
        <v>5683</v>
      </c>
      <c r="F1144" s="1859"/>
      <c r="G1144" s="1860"/>
      <c r="H1144" s="1861"/>
      <c r="I1144" s="1862">
        <f>ROUND(I1142+I1143,-2)</f>
        <v>132700</v>
      </c>
    </row>
    <row r="1145" spans="1:12" ht="15" customHeight="1">
      <c r="A1145" s="657">
        <v>1</v>
      </c>
      <c r="B1145" s="1549">
        <f>IF(A1145&lt;&gt;0,COUNTA(A$7:$A1145),"")</f>
        <v>69</v>
      </c>
      <c r="C1145" s="1555">
        <f>'8.Dgia'!C2970</f>
        <v>1776</v>
      </c>
      <c r="D1145" s="1696" t="str">
        <f>'8.Dgia'!D2970</f>
        <v>AF.11110</v>
      </c>
      <c r="E1145" s="1848" t="str">
        <f>'8.Dgia'!E2970</f>
        <v>Bê tông C10 lót móng đá 1x2, R&lt;250cm</v>
      </c>
      <c r="F1145" s="1849" t="str">
        <f>'8.Dgia'!G2970</f>
        <v>m3</v>
      </c>
      <c r="G1145" s="1850">
        <f>'8.Dgia'!H2970</f>
        <v>0</v>
      </c>
      <c r="H1145" s="1851"/>
      <c r="I1145" s="1852"/>
      <c r="J1145" s="842">
        <f>+I1146</f>
        <v>775161.30994878686</v>
      </c>
      <c r="K1145" s="842">
        <f>+I1148</f>
        <v>282800.09999999998</v>
      </c>
      <c r="L1145" s="842">
        <f>+I1149</f>
        <v>23229.762015</v>
      </c>
    </row>
    <row r="1146" spans="1:12" s="658" customFormat="1" ht="15">
      <c r="B1146" s="1551" t="str">
        <f>'8.Dgia'!B2971</f>
        <v/>
      </c>
      <c r="C1146" s="1555">
        <f>'8.Dgia'!C2971</f>
        <v>0</v>
      </c>
      <c r="D1146" s="1552">
        <f>'8.Dgia'!D2971</f>
        <v>0</v>
      </c>
      <c r="E1146" s="2018" t="str">
        <f>'8.Dgia'!E2971</f>
        <v xml:space="preserve">  A - Vật liệu</v>
      </c>
      <c r="F1146" s="1771">
        <f>'8.Dgia'!G2971</f>
        <v>0</v>
      </c>
      <c r="G1146" s="1772">
        <f>'8.Dgia'!H2971</f>
        <v>0</v>
      </c>
      <c r="H1146" s="1853"/>
      <c r="I1146" s="1854">
        <f>+I1147</f>
        <v>775161.30994878686</v>
      </c>
      <c r="J1146" s="850"/>
      <c r="K1146" s="850"/>
      <c r="L1146" s="850"/>
    </row>
    <row r="1147" spans="1:12" ht="15">
      <c r="B1147" s="1551" t="str">
        <f>'8.Dgia'!B2972</f>
        <v/>
      </c>
      <c r="C1147" s="1555">
        <f>'8.Dgia'!C2972</f>
        <v>0</v>
      </c>
      <c r="D1147" s="1552" t="str">
        <f>'8.Dgia'!D2972</f>
        <v>C3122</v>
      </c>
      <c r="E1147" s="1775" t="str">
        <f>'8.Dgia'!E2972</f>
        <v>Vữa Bê tông C10 đá 1x2 SN 2-4</v>
      </c>
      <c r="F1147" s="1771" t="str">
        <f>'8.Dgia'!G2972</f>
        <v>m3</v>
      </c>
      <c r="G1147" s="1772">
        <f>'8.Dgia'!H2972</f>
        <v>1.03</v>
      </c>
      <c r="H1147" s="1853">
        <f>GVL!$I$190</f>
        <v>752583.79606678337</v>
      </c>
      <c r="I1147" s="1824">
        <f>H1147*G1147</f>
        <v>775161.30994878686</v>
      </c>
    </row>
    <row r="1148" spans="1:12" s="658" customFormat="1" ht="15">
      <c r="B1148" s="1551" t="str">
        <f>'8.Dgia'!B2973</f>
        <v/>
      </c>
      <c r="C1148" s="1555">
        <f>'8.Dgia'!C2973</f>
        <v>0</v>
      </c>
      <c r="D1148" s="1552">
        <f>'8.Dgia'!D2973</f>
        <v>0</v>
      </c>
      <c r="E1148" s="1775" t="str">
        <f>'8.Dgia'!E2973</f>
        <v xml:space="preserve">  B - Nhân công 3.0/7</v>
      </c>
      <c r="F1148" s="1771" t="s">
        <v>552</v>
      </c>
      <c r="G1148" s="1772">
        <f>'8.Dgia'!H2973</f>
        <v>1.42</v>
      </c>
      <c r="H1148" s="1853">
        <f>'16.NC'!$G$13</f>
        <v>199155</v>
      </c>
      <c r="I1148" s="1854">
        <f>H1148*G1148</f>
        <v>282800.09999999998</v>
      </c>
      <c r="J1148" s="850"/>
      <c r="K1148" s="850"/>
      <c r="L1148" s="850"/>
    </row>
    <row r="1149" spans="1:12" s="658" customFormat="1" ht="15">
      <c r="B1149" s="1551" t="str">
        <f>'8.Dgia'!B2974</f>
        <v/>
      </c>
      <c r="C1149" s="1555">
        <f>'8.Dgia'!C2974</f>
        <v>0</v>
      </c>
      <c r="D1149" s="1552">
        <f>'8.Dgia'!D2974</f>
        <v>0</v>
      </c>
      <c r="E1149" s="2018" t="str">
        <f>'8.Dgia'!E2974</f>
        <v xml:space="preserve">  C - Máy thi công</v>
      </c>
      <c r="F1149" s="1771">
        <f>'8.Dgia'!G2974</f>
        <v>0</v>
      </c>
      <c r="G1149" s="1772">
        <f>'8.Dgia'!H2974</f>
        <v>0</v>
      </c>
      <c r="H1149" s="1853"/>
      <c r="I1149" s="1854">
        <f>SUM(I1150:I1151)</f>
        <v>23229.762015</v>
      </c>
      <c r="J1149" s="850"/>
      <c r="K1149" s="850"/>
      <c r="L1149" s="850"/>
    </row>
    <row r="1150" spans="1:12" ht="15">
      <c r="B1150" s="1551" t="str">
        <f>'8.Dgia'!B2975</f>
        <v/>
      </c>
      <c r="C1150" s="1555">
        <f>'8.Dgia'!C2975</f>
        <v>0</v>
      </c>
      <c r="D1150" s="1552">
        <f>'8.Dgia'!D2975</f>
        <v>0</v>
      </c>
      <c r="E1150" s="1775" t="str">
        <f>'8.Dgia'!E2975</f>
        <v>Máy trộn 250l</v>
      </c>
      <c r="F1150" s="1771" t="s">
        <v>5493</v>
      </c>
      <c r="G1150" s="1772">
        <f>'8.Dgia'!H2975</f>
        <v>9.5000000000000001E-2</v>
      </c>
      <c r="H1150" s="1853">
        <f>'9.may'!$P$333</f>
        <v>180447.90000000002</v>
      </c>
      <c r="I1150" s="1824">
        <f>H1150*G1150</f>
        <v>17142.550500000001</v>
      </c>
    </row>
    <row r="1151" spans="1:12" ht="15">
      <c r="B1151" s="1551" t="str">
        <f>'8.Dgia'!B2976</f>
        <v/>
      </c>
      <c r="C1151" s="1555">
        <f>'8.Dgia'!C2976</f>
        <v>0</v>
      </c>
      <c r="D1151" s="1552">
        <f>'8.Dgia'!D2976</f>
        <v>0</v>
      </c>
      <c r="E1151" s="1775" t="str">
        <f>'8.Dgia'!E2976</f>
        <v>Máy đầm bàn 1kw</v>
      </c>
      <c r="F1151" s="1771" t="s">
        <v>5493</v>
      </c>
      <c r="G1151" s="1772">
        <f>'8.Dgia'!H2976</f>
        <v>8.8999999999999996E-2</v>
      </c>
      <c r="H1151" s="1853">
        <f>'9.may'!$P$381</f>
        <v>68395.634999999995</v>
      </c>
      <c r="I1151" s="1824">
        <f>H1151*G1151</f>
        <v>6087.2115149999991</v>
      </c>
    </row>
    <row r="1152" spans="1:12" ht="15">
      <c r="B1152" s="1551"/>
      <c r="C1152" s="1555"/>
      <c r="D1152" s="1552"/>
      <c r="E1152" s="1828" t="s">
        <v>5675</v>
      </c>
      <c r="F1152" s="1856">
        <f>$J$5</f>
        <v>0.02</v>
      </c>
      <c r="G1152" s="1772"/>
      <c r="H1152" s="1853"/>
      <c r="I1152" s="1863">
        <f>( I1146+I1148+I1149 )*F1152</f>
        <v>21623.823439275733</v>
      </c>
    </row>
    <row r="1153" spans="1:12" ht="15">
      <c r="B1153" s="1551"/>
      <c r="C1153" s="1555"/>
      <c r="D1153" s="1552"/>
      <c r="E1153" s="1831" t="s">
        <v>5676</v>
      </c>
      <c r="F1153" s="1831"/>
      <c r="G1153" s="1772"/>
      <c r="H1153" s="1853"/>
      <c r="I1153" s="1833">
        <f>I1152+I1152/F1152</f>
        <v>1102814.9954030626</v>
      </c>
    </row>
    <row r="1154" spans="1:12" ht="15">
      <c r="B1154" s="1551"/>
      <c r="C1154" s="1555"/>
      <c r="D1154" s="1552"/>
      <c r="E1154" s="1834" t="s">
        <v>5677</v>
      </c>
      <c r="F1154" s="1858">
        <f>$K$5</f>
        <v>5.7750000000000003E-2</v>
      </c>
      <c r="G1154" s="1772"/>
      <c r="H1154" s="1853"/>
      <c r="I1154" s="1835">
        <f>I1153*F1154</f>
        <v>63687.565984526867</v>
      </c>
    </row>
    <row r="1155" spans="1:12" ht="15">
      <c r="B1155" s="1551"/>
      <c r="C1155" s="1555"/>
      <c r="D1155" s="1552"/>
      <c r="E1155" s="1834" t="s">
        <v>5678</v>
      </c>
      <c r="F1155" s="1856">
        <f>$L$5</f>
        <v>0.06</v>
      </c>
      <c r="G1155" s="1772"/>
      <c r="H1155" s="1853"/>
      <c r="I1155" s="1835">
        <f>SUM(I1153:I1154)*F1155</f>
        <v>69990.153683255368</v>
      </c>
    </row>
    <row r="1156" spans="1:12" ht="15">
      <c r="B1156" s="1551"/>
      <c r="C1156" s="1555"/>
      <c r="D1156" s="1552"/>
      <c r="E1156" s="1831" t="s">
        <v>5679</v>
      </c>
      <c r="F1156" s="1831"/>
      <c r="G1156" s="1772"/>
      <c r="H1156" s="1853"/>
      <c r="I1156" s="1833">
        <f>SUM(I1153:I1155)</f>
        <v>1236492.7150708449</v>
      </c>
    </row>
    <row r="1157" spans="1:12" ht="15">
      <c r="B1157" s="1551"/>
      <c r="C1157" s="1555"/>
      <c r="D1157" s="1552"/>
      <c r="E1157" s="1834" t="s">
        <v>5680</v>
      </c>
      <c r="F1157" s="1856">
        <f>$M$5</f>
        <v>0.1</v>
      </c>
      <c r="G1157" s="1772"/>
      <c r="H1157" s="1853"/>
      <c r="I1157" s="1835">
        <f>I1156*F1157</f>
        <v>123649.27150708449</v>
      </c>
    </row>
    <row r="1158" spans="1:12" ht="15">
      <c r="B1158" s="1551"/>
      <c r="C1158" s="1555"/>
      <c r="D1158" s="1552"/>
      <c r="E1158" s="1831" t="s">
        <v>5681</v>
      </c>
      <c r="F1158" s="1831"/>
      <c r="G1158" s="1772"/>
      <c r="H1158" s="1853"/>
      <c r="I1158" s="1833">
        <f>SUM(I1156:I1157)</f>
        <v>1360141.9865779295</v>
      </c>
    </row>
    <row r="1159" spans="1:12" ht="12.75">
      <c r="B1159" s="1551"/>
      <c r="C1159" s="1555"/>
      <c r="D1159" s="1552"/>
      <c r="E1159" s="1558" t="s">
        <v>5682</v>
      </c>
      <c r="F1159" s="1595">
        <f>$N$5</f>
        <v>0.01</v>
      </c>
      <c r="G1159" s="1553"/>
      <c r="H1159" s="1594"/>
      <c r="I1159" s="1559">
        <f>I1158*F1159</f>
        <v>13601.419865779295</v>
      </c>
    </row>
    <row r="1160" spans="1:12" ht="15">
      <c r="B1160" s="1596"/>
      <c r="C1160" s="1597"/>
      <c r="D1160" s="1597"/>
      <c r="E1160" s="1859" t="s">
        <v>5683</v>
      </c>
      <c r="F1160" s="1859"/>
      <c r="G1160" s="1860"/>
      <c r="H1160" s="1861"/>
      <c r="I1160" s="1862">
        <f>ROUND(I1158+I1159,-2)</f>
        <v>1373700</v>
      </c>
    </row>
    <row r="1161" spans="1:12" ht="30">
      <c r="A1161" s="657">
        <v>1</v>
      </c>
      <c r="B1161" s="1549">
        <f>IF(A1161&lt;&gt;0,COUNTA(A$7:$A1161),"")</f>
        <v>70</v>
      </c>
      <c r="C1161" s="1555">
        <f>'8.Dgia'!C2977</f>
        <v>1776</v>
      </c>
      <c r="D1161" s="1696" t="str">
        <f>'8.Dgia'!D2977</f>
        <v>AF.12110</v>
      </c>
      <c r="E1161" s="1848" t="str">
        <f>'8.Dgia'!E2977</f>
        <v>Bê tông C20 đá 1x2 (M250) (tường đầu, tường cánh, tường chắn...)</v>
      </c>
      <c r="F1161" s="1849" t="str">
        <f>'8.Dgia'!G2977</f>
        <v>m3</v>
      </c>
      <c r="G1161" s="1850">
        <f>'8.Dgia'!H2977</f>
        <v>0</v>
      </c>
      <c r="H1161" s="1851"/>
      <c r="I1161" s="1852"/>
      <c r="J1161" s="842">
        <f>+I1162</f>
        <v>1217026.3732372236</v>
      </c>
      <c r="K1161" s="842">
        <f>+I1169</f>
        <v>766183.2</v>
      </c>
      <c r="L1161" s="842">
        <f>+I1170</f>
        <v>30600.934050000003</v>
      </c>
    </row>
    <row r="1162" spans="1:12" s="658" customFormat="1" ht="15">
      <c r="B1162" s="1551" t="str">
        <f>'8.Dgia'!B2978</f>
        <v/>
      </c>
      <c r="C1162" s="1555">
        <f>'8.Dgia'!C2978</f>
        <v>0</v>
      </c>
      <c r="D1162" s="1552">
        <f>'8.Dgia'!D2978</f>
        <v>0</v>
      </c>
      <c r="E1162" s="2018" t="str">
        <f>'8.Dgia'!E2978</f>
        <v xml:space="preserve">  A - Vật liệu</v>
      </c>
      <c r="F1162" s="1771">
        <f>'8.Dgia'!G2978</f>
        <v>0</v>
      </c>
      <c r="G1162" s="1772">
        <f>'8.Dgia'!H2978</f>
        <v>0</v>
      </c>
      <c r="H1162" s="1853"/>
      <c r="I1162" s="1854">
        <f>SUM(I1163:I1168)</f>
        <v>1217026.3732372236</v>
      </c>
      <c r="J1162" s="850"/>
      <c r="K1162" s="850"/>
      <c r="L1162" s="850"/>
    </row>
    <row r="1163" spans="1:12" ht="15">
      <c r="B1163" s="1551" t="str">
        <f>'8.Dgia'!B2979</f>
        <v/>
      </c>
      <c r="C1163" s="1555">
        <f>'8.Dgia'!C2979</f>
        <v>0</v>
      </c>
      <c r="D1163" s="1552" t="str">
        <f>'8.Dgia'!D2979</f>
        <v>C3124</v>
      </c>
      <c r="E1163" s="1775" t="str">
        <f>'8.Dgia'!E2979</f>
        <v>Vữa bê tông đá 1x2 C20 SN 2-4</v>
      </c>
      <c r="F1163" s="1771" t="str">
        <f>'8.Dgia'!G2979</f>
        <v>m3</v>
      </c>
      <c r="G1163" s="1772">
        <f>'8.Dgia'!H2979</f>
        <v>1.0249999999999999</v>
      </c>
      <c r="H1163" s="1853">
        <f>GVL!$I$194</f>
        <v>884378.32894201751</v>
      </c>
      <c r="I1163" s="1824">
        <f>H1163*G1163</f>
        <v>906487.78716556786</v>
      </c>
    </row>
    <row r="1164" spans="1:12" ht="15">
      <c r="B1164" s="1551" t="str">
        <f>'8.Dgia'!B2980</f>
        <v/>
      </c>
      <c r="C1164" s="1555">
        <f>'8.Dgia'!C2980</f>
        <v>0</v>
      </c>
      <c r="D1164" s="1552">
        <f>'8.Dgia'!D2980</f>
        <v>0</v>
      </c>
      <c r="E1164" s="1775" t="str">
        <f>'8.Dgia'!E2980</f>
        <v>Cầu công tác</v>
      </c>
      <c r="F1164" s="1771">
        <f>'8.Dgia'!G2980</f>
        <v>0</v>
      </c>
      <c r="G1164" s="1772">
        <f>'8.Dgia'!H2980</f>
        <v>0</v>
      </c>
      <c r="H1164" s="1853"/>
      <c r="I1164" s="1824">
        <f>H1164*G1164</f>
        <v>0</v>
      </c>
    </row>
    <row r="1165" spans="1:12" ht="15">
      <c r="B1165" s="1551" t="str">
        <f>'8.Dgia'!B2981</f>
        <v/>
      </c>
      <c r="C1165" s="1555">
        <f>'8.Dgia'!C2981</f>
        <v>0</v>
      </c>
      <c r="D1165" s="1552">
        <f>'8.Dgia'!D2981</f>
        <v>0</v>
      </c>
      <c r="E1165" s="1775" t="str">
        <f>'8.Dgia'!E2981</f>
        <v>Gỗ</v>
      </c>
      <c r="F1165" s="1771" t="str">
        <f>'8.Dgia'!G2981</f>
        <v>m3</v>
      </c>
      <c r="G1165" s="1772">
        <f>'8.Dgia'!H2981</f>
        <v>4.9000000000000002E-2</v>
      </c>
      <c r="H1165" s="1853">
        <f>GVL!$I$96</f>
        <v>6000000</v>
      </c>
      <c r="I1165" s="1824">
        <f>H1165*G1165</f>
        <v>294000</v>
      </c>
    </row>
    <row r="1166" spans="1:12" ht="15">
      <c r="B1166" s="1551" t="str">
        <f>'8.Dgia'!B2982</f>
        <v/>
      </c>
      <c r="C1166" s="1555">
        <f>'8.Dgia'!C2982</f>
        <v>0</v>
      </c>
      <c r="D1166" s="1552">
        <f>'8.Dgia'!D2982</f>
        <v>0</v>
      </c>
      <c r="E1166" s="1775" t="str">
        <f>'8.Dgia'!E2982</f>
        <v>Đinh các loại</v>
      </c>
      <c r="F1166" s="1771" t="str">
        <f>'8.Dgia'!G2982</f>
        <v>kg</v>
      </c>
      <c r="G1166" s="1772">
        <f>'8.Dgia'!H2982</f>
        <v>0.19900000000000001</v>
      </c>
      <c r="H1166" s="1853">
        <f>GVL!$I$86</f>
        <v>18180</v>
      </c>
      <c r="I1166" s="1824">
        <f>H1166*G1166</f>
        <v>3617.82</v>
      </c>
    </row>
    <row r="1167" spans="1:12" ht="15">
      <c r="B1167" s="1551" t="str">
        <f>'8.Dgia'!B2983</f>
        <v/>
      </c>
      <c r="C1167" s="1555">
        <f>'8.Dgia'!C2983</f>
        <v>0</v>
      </c>
      <c r="D1167" s="1552">
        <f>'8.Dgia'!D2983</f>
        <v>0</v>
      </c>
      <c r="E1167" s="1775" t="str">
        <f>'8.Dgia'!E2983</f>
        <v>Đinh đỉa</v>
      </c>
      <c r="F1167" s="1771" t="s">
        <v>567</v>
      </c>
      <c r="G1167" s="1772">
        <f>'8.Dgia'!H2983</f>
        <v>0.871</v>
      </c>
      <c r="H1167" s="1853">
        <f>GVL!$I$87</f>
        <v>1000</v>
      </c>
      <c r="I1167" s="1824">
        <f>H1167*G1167</f>
        <v>871</v>
      </c>
    </row>
    <row r="1168" spans="1:12" ht="15">
      <c r="B1168" s="1551" t="str">
        <f>'8.Dgia'!B2984</f>
        <v/>
      </c>
      <c r="C1168" s="1555">
        <f>'8.Dgia'!C2984</f>
        <v>0</v>
      </c>
      <c r="D1168" s="1552">
        <f>'8.Dgia'!D2984</f>
        <v>0</v>
      </c>
      <c r="E1168" s="1775" t="str">
        <f>'8.Dgia'!E2984</f>
        <v>Vật liệu khác</v>
      </c>
      <c r="F1168" s="1771" t="str">
        <f>'8.Dgia'!G2984</f>
        <v>%</v>
      </c>
      <c r="G1168" s="1772">
        <f>'8.Dgia'!H2984</f>
        <v>1</v>
      </c>
      <c r="H1168" s="1853">
        <f>SUM(I1163:I1167)</f>
        <v>1204976.6071655678</v>
      </c>
      <c r="I1168" s="1824">
        <f>H1168*G1168%</f>
        <v>12049.766071655678</v>
      </c>
    </row>
    <row r="1169" spans="1:12" s="658" customFormat="1" ht="15">
      <c r="B1169" s="1551" t="str">
        <f>'8.Dgia'!B2985</f>
        <v/>
      </c>
      <c r="C1169" s="1555">
        <f>'8.Dgia'!C2985</f>
        <v>0</v>
      </c>
      <c r="D1169" s="1552">
        <f>'8.Dgia'!D2985</f>
        <v>0</v>
      </c>
      <c r="E1169" s="1775" t="str">
        <f>'8.Dgia'!E2985</f>
        <v xml:space="preserve">  B - Nhân công 3.5/7</v>
      </c>
      <c r="F1169" s="1771" t="s">
        <v>552</v>
      </c>
      <c r="G1169" s="1772">
        <f>'8.Dgia'!H2985</f>
        <v>3.56</v>
      </c>
      <c r="H1169" s="1853">
        <f>'16.NC'!$G$16</f>
        <v>215220</v>
      </c>
      <c r="I1169" s="1854">
        <f>H1169*G1169</f>
        <v>766183.2</v>
      </c>
      <c r="J1169" s="850"/>
      <c r="K1169" s="850"/>
      <c r="L1169" s="850"/>
    </row>
    <row r="1170" spans="1:12" s="658" customFormat="1" ht="15">
      <c r="B1170" s="1551" t="str">
        <f>'8.Dgia'!B2986</f>
        <v/>
      </c>
      <c r="C1170" s="1555">
        <f>'8.Dgia'!C2986</f>
        <v>0</v>
      </c>
      <c r="D1170" s="1552">
        <f>'8.Dgia'!D2986</f>
        <v>0</v>
      </c>
      <c r="E1170" s="2018" t="str">
        <f>'8.Dgia'!E2986</f>
        <v xml:space="preserve">  C - Máy thi công</v>
      </c>
      <c r="F1170" s="1771">
        <f>'8.Dgia'!G2986</f>
        <v>0</v>
      </c>
      <c r="G1170" s="1772">
        <f>'8.Dgia'!H2986</f>
        <v>0</v>
      </c>
      <c r="H1170" s="1853"/>
      <c r="I1170" s="1854">
        <f>SUM(I1171:I1172)</f>
        <v>30600.934050000003</v>
      </c>
      <c r="J1170" s="850"/>
      <c r="K1170" s="850"/>
      <c r="L1170" s="850"/>
    </row>
    <row r="1171" spans="1:12" ht="15">
      <c r="B1171" s="1551" t="str">
        <f>'8.Dgia'!B2987</f>
        <v/>
      </c>
      <c r="C1171" s="1555">
        <f>'8.Dgia'!C2987</f>
        <v>0</v>
      </c>
      <c r="D1171" s="1552">
        <f>'8.Dgia'!D2987</f>
        <v>0</v>
      </c>
      <c r="E1171" s="1775" t="str">
        <f>'8.Dgia'!E2987</f>
        <v>Máy trộn 250l</v>
      </c>
      <c r="F1171" s="1771" t="s">
        <v>5493</v>
      </c>
      <c r="G1171" s="1772">
        <f>'8.Dgia'!H2987</f>
        <v>9.5000000000000001E-2</v>
      </c>
      <c r="H1171" s="1853">
        <f>'9.may'!$P$333</f>
        <v>180447.90000000002</v>
      </c>
      <c r="I1171" s="1824">
        <f>H1171*G1171</f>
        <v>17142.550500000001</v>
      </c>
    </row>
    <row r="1172" spans="1:12" ht="15">
      <c r="B1172" s="1551" t="str">
        <f>'8.Dgia'!B2988</f>
        <v/>
      </c>
      <c r="C1172" s="1555">
        <f>'8.Dgia'!C2988</f>
        <v>0</v>
      </c>
      <c r="D1172" s="1552">
        <f>'8.Dgia'!D2988</f>
        <v>0</v>
      </c>
      <c r="E1172" s="1775" t="str">
        <f>'8.Dgia'!E2988</f>
        <v>Máy đầm dùi 1.5kw</v>
      </c>
      <c r="F1172" s="1771" t="s">
        <v>5493</v>
      </c>
      <c r="G1172" s="1772">
        <f>'8.Dgia'!H2988</f>
        <v>0.18</v>
      </c>
      <c r="H1172" s="1853">
        <f>'9.may'!$P$382</f>
        <v>74768.797500000001</v>
      </c>
      <c r="I1172" s="1824">
        <f>H1172*G1172</f>
        <v>13458.38355</v>
      </c>
    </row>
    <row r="1173" spans="1:12" ht="15">
      <c r="B1173" s="1551"/>
      <c r="C1173" s="1555"/>
      <c r="D1173" s="1552"/>
      <c r="E1173" s="1828" t="s">
        <v>5675</v>
      </c>
      <c r="F1173" s="1856">
        <f>$J$5</f>
        <v>0.02</v>
      </c>
      <c r="G1173" s="1772"/>
      <c r="H1173" s="1853"/>
      <c r="I1173" s="1863">
        <f>( I1162+I1169+I1170 )*F1173</f>
        <v>40276.210145744473</v>
      </c>
    </row>
    <row r="1174" spans="1:12" ht="15">
      <c r="B1174" s="1551"/>
      <c r="C1174" s="1555"/>
      <c r="D1174" s="1552"/>
      <c r="E1174" s="1831" t="s">
        <v>5676</v>
      </c>
      <c r="F1174" s="1831"/>
      <c r="G1174" s="1772"/>
      <c r="H1174" s="1853"/>
      <c r="I1174" s="1833">
        <f>I1173+I1173/F1173</f>
        <v>2054086.7174329681</v>
      </c>
    </row>
    <row r="1175" spans="1:12" ht="15">
      <c r="B1175" s="1551"/>
      <c r="C1175" s="1555"/>
      <c r="D1175" s="1552"/>
      <c r="E1175" s="1834" t="s">
        <v>5677</v>
      </c>
      <c r="F1175" s="1858">
        <f>$K$5</f>
        <v>5.7750000000000003E-2</v>
      </c>
      <c r="G1175" s="1772"/>
      <c r="H1175" s="1853"/>
      <c r="I1175" s="1835">
        <f>I1174*F1175</f>
        <v>118623.50793175391</v>
      </c>
    </row>
    <row r="1176" spans="1:12" ht="15">
      <c r="B1176" s="1551"/>
      <c r="C1176" s="1555"/>
      <c r="D1176" s="1552"/>
      <c r="E1176" s="1834" t="s">
        <v>5678</v>
      </c>
      <c r="F1176" s="1856">
        <f>$L$5</f>
        <v>0.06</v>
      </c>
      <c r="G1176" s="1772"/>
      <c r="H1176" s="1853"/>
      <c r="I1176" s="1835">
        <f>SUM(I1174:I1175)*F1176</f>
        <v>130362.61352188331</v>
      </c>
    </row>
    <row r="1177" spans="1:12" ht="15">
      <c r="B1177" s="1551"/>
      <c r="C1177" s="1555"/>
      <c r="D1177" s="1552"/>
      <c r="E1177" s="1831" t="s">
        <v>5679</v>
      </c>
      <c r="F1177" s="1831"/>
      <c r="G1177" s="1772"/>
      <c r="H1177" s="1853"/>
      <c r="I1177" s="1833">
        <f>SUM(I1174:I1176)</f>
        <v>2303072.8388866051</v>
      </c>
    </row>
    <row r="1178" spans="1:12" ht="15">
      <c r="B1178" s="1551"/>
      <c r="C1178" s="1555"/>
      <c r="D1178" s="1552"/>
      <c r="E1178" s="1834" t="s">
        <v>5680</v>
      </c>
      <c r="F1178" s="1856">
        <f>$M$5</f>
        <v>0.1</v>
      </c>
      <c r="G1178" s="1772"/>
      <c r="H1178" s="1853"/>
      <c r="I1178" s="1835">
        <f>I1177*F1178</f>
        <v>230307.28388866052</v>
      </c>
    </row>
    <row r="1179" spans="1:12" ht="15">
      <c r="B1179" s="1551"/>
      <c r="C1179" s="1555"/>
      <c r="D1179" s="1552"/>
      <c r="E1179" s="1831" t="s">
        <v>5681</v>
      </c>
      <c r="F1179" s="1831"/>
      <c r="G1179" s="1772"/>
      <c r="H1179" s="1853"/>
      <c r="I1179" s="1833">
        <f>SUM(I1177:I1178)</f>
        <v>2533380.1227752655</v>
      </c>
    </row>
    <row r="1180" spans="1:12" ht="12.75">
      <c r="B1180" s="1551"/>
      <c r="C1180" s="1555"/>
      <c r="D1180" s="1552"/>
      <c r="E1180" s="1558" t="s">
        <v>5682</v>
      </c>
      <c r="F1180" s="1595">
        <f>$N$5</f>
        <v>0.01</v>
      </c>
      <c r="G1180" s="1553"/>
      <c r="H1180" s="1594"/>
      <c r="I1180" s="1559">
        <f>I1179*F1180</f>
        <v>25333.801227752654</v>
      </c>
    </row>
    <row r="1181" spans="1:12" ht="15">
      <c r="B1181" s="1596"/>
      <c r="C1181" s="1597"/>
      <c r="D1181" s="1597"/>
      <c r="E1181" s="1859" t="s">
        <v>5683</v>
      </c>
      <c r="F1181" s="1859"/>
      <c r="G1181" s="1860"/>
      <c r="H1181" s="1861"/>
      <c r="I1181" s="1862">
        <f>ROUND(I1179+I1180,-2)</f>
        <v>2558700</v>
      </c>
    </row>
    <row r="1182" spans="1:12" ht="15">
      <c r="A1182" s="657">
        <v>1</v>
      </c>
      <c r="B1182" s="1549">
        <f>IF(A1182&lt;&gt;0,COUNTA(A$7:$A1182),"")</f>
        <v>71</v>
      </c>
      <c r="C1182" s="1555">
        <f>'8.Dgia'!C3017</f>
        <v>1776</v>
      </c>
      <c r="D1182" s="1696" t="str">
        <f>'8.Dgia'!D3017</f>
        <v>AF.63320</v>
      </c>
      <c r="E1182" s="1848" t="str">
        <f>'8.Dgia'!E3017</f>
        <v>Cốt thép D&lt;=18 cống</v>
      </c>
      <c r="F1182" s="1849" t="str">
        <f>'8.Dgia'!G3017</f>
        <v>tấn/ton</v>
      </c>
      <c r="G1182" s="1850">
        <f>'8.Dgia'!H3017</f>
        <v>0</v>
      </c>
      <c r="H1182" s="1851"/>
      <c r="I1182" s="1892"/>
      <c r="J1182" s="842">
        <f>+I1183</f>
        <v>17377131.107563637</v>
      </c>
      <c r="K1182" s="842">
        <f>+I1187</f>
        <v>3667306.4000000004</v>
      </c>
      <c r="L1182" s="842">
        <f>+I1188</f>
        <v>418769.95695000002</v>
      </c>
    </row>
    <row r="1183" spans="1:12" s="658" customFormat="1" ht="15">
      <c r="B1183" s="1551" t="str">
        <f>'8.Dgia'!B3018</f>
        <v/>
      </c>
      <c r="C1183" s="1555">
        <f>'8.Dgia'!C3018</f>
        <v>0</v>
      </c>
      <c r="D1183" s="1552">
        <f>'8.Dgia'!D3018</f>
        <v>0</v>
      </c>
      <c r="E1183" s="2018" t="str">
        <f>'8.Dgia'!E3018</f>
        <v xml:space="preserve">  A - Vật liệu</v>
      </c>
      <c r="F1183" s="1771">
        <f>'8.Dgia'!G3018</f>
        <v>0</v>
      </c>
      <c r="G1183" s="1772">
        <f>'8.Dgia'!H3018</f>
        <v>0</v>
      </c>
      <c r="H1183" s="1853"/>
      <c r="I1183" s="1854">
        <f>SUM(I1184:I1186)</f>
        <v>17377131.107563637</v>
      </c>
      <c r="J1183" s="850"/>
      <c r="K1183" s="850"/>
      <c r="L1183" s="850"/>
    </row>
    <row r="1184" spans="1:12" ht="15">
      <c r="B1184" s="1551" t="str">
        <f>'8.Dgia'!B3019</f>
        <v/>
      </c>
      <c r="C1184" s="1555">
        <f>'8.Dgia'!C3019</f>
        <v>0</v>
      </c>
      <c r="D1184" s="1552">
        <f>'8.Dgia'!D3019</f>
        <v>0</v>
      </c>
      <c r="E1184" s="1775" t="str">
        <f>'8.Dgia'!E3019</f>
        <v>Thép tròn D&lt;=18</v>
      </c>
      <c r="F1184" s="1771" t="str">
        <f>'8.Dgia'!G3019</f>
        <v>kg</v>
      </c>
      <c r="G1184" s="1772">
        <f>'8.Dgia'!H3019</f>
        <v>1020</v>
      </c>
      <c r="H1184" s="1853">
        <f>GVL!$I$180</f>
        <v>16604.075560000001</v>
      </c>
      <c r="I1184" s="1824">
        <f>H1184*G1184</f>
        <v>16936157.071200002</v>
      </c>
    </row>
    <row r="1185" spans="1:12" ht="15">
      <c r="B1185" s="1551" t="str">
        <f>'8.Dgia'!B3020</f>
        <v/>
      </c>
      <c r="C1185" s="1555">
        <f>'8.Dgia'!C3020</f>
        <v>0</v>
      </c>
      <c r="D1185" s="1552">
        <f>'8.Dgia'!D3020</f>
        <v>0</v>
      </c>
      <c r="E1185" s="1775" t="str">
        <f>'8.Dgia'!E3020</f>
        <v>Dây thép buộc</v>
      </c>
      <c r="F1185" s="1771" t="str">
        <f>'8.Dgia'!G3020</f>
        <v>kg</v>
      </c>
      <c r="G1185" s="1772">
        <f>'8.Dgia'!H3020</f>
        <v>14.28</v>
      </c>
      <c r="H1185" s="1853">
        <f>GVL!$I$89</f>
        <v>18180</v>
      </c>
      <c r="I1185" s="1824">
        <f>H1185*G1185</f>
        <v>259610.4</v>
      </c>
    </row>
    <row r="1186" spans="1:12" ht="15">
      <c r="B1186" s="1551" t="str">
        <f>'8.Dgia'!B3021</f>
        <v/>
      </c>
      <c r="C1186" s="1555">
        <f>'8.Dgia'!C3021</f>
        <v>0</v>
      </c>
      <c r="D1186" s="1552">
        <f>'8.Dgia'!D3021</f>
        <v>0</v>
      </c>
      <c r="E1186" s="1775" t="str">
        <f>'8.Dgia'!E3021</f>
        <v>Que hàn</v>
      </c>
      <c r="F1186" s="1771" t="str">
        <f>'8.Dgia'!G3021</f>
        <v>kg</v>
      </c>
      <c r="G1186" s="1772">
        <f>'8.Dgia'!H3021</f>
        <v>9.5</v>
      </c>
      <c r="H1186" s="1853">
        <f>GVL!$I$153</f>
        <v>19090.909090909088</v>
      </c>
      <c r="I1186" s="1824">
        <f>H1186*G1186</f>
        <v>181363.63636363635</v>
      </c>
    </row>
    <row r="1187" spans="1:12" s="658" customFormat="1" ht="15">
      <c r="B1187" s="1551" t="str">
        <f>'8.Dgia'!B3022</f>
        <v/>
      </c>
      <c r="C1187" s="1555">
        <f>'8.Dgia'!C3022</f>
        <v>0</v>
      </c>
      <c r="D1187" s="1552">
        <f>'8.Dgia'!D3022</f>
        <v>0</v>
      </c>
      <c r="E1187" s="1775" t="str">
        <f>'8.Dgia'!E3022</f>
        <v xml:space="preserve">  B - Nhân công 4.0/7</v>
      </c>
      <c r="F1187" s="1771" t="s">
        <v>552</v>
      </c>
      <c r="G1187" s="1772">
        <f>'8.Dgia'!H3022</f>
        <v>15.8</v>
      </c>
      <c r="H1187" s="1853">
        <f>'16.NC'!$G$18</f>
        <v>232108</v>
      </c>
      <c r="I1187" s="1854">
        <f>H1187*G1187</f>
        <v>3667306.4000000004</v>
      </c>
      <c r="J1187" s="850"/>
      <c r="K1187" s="850"/>
      <c r="L1187" s="850"/>
    </row>
    <row r="1188" spans="1:12" s="658" customFormat="1" ht="15">
      <c r="B1188" s="1551" t="str">
        <f>'8.Dgia'!B3023</f>
        <v/>
      </c>
      <c r="C1188" s="1555">
        <f>'8.Dgia'!C3023</f>
        <v>0</v>
      </c>
      <c r="D1188" s="1552">
        <f>'8.Dgia'!D3023</f>
        <v>0</v>
      </c>
      <c r="E1188" s="2018" t="str">
        <f>'8.Dgia'!E3023</f>
        <v xml:space="preserve">  C - Máy thi công</v>
      </c>
      <c r="F1188" s="1771">
        <f>'8.Dgia'!G3023</f>
        <v>0</v>
      </c>
      <c r="G1188" s="1772">
        <f>'8.Dgia'!H3023</f>
        <v>0</v>
      </c>
      <c r="H1188" s="1853"/>
      <c r="I1188" s="1854">
        <f>SUM(I1189:I1190)</f>
        <v>418769.95695000002</v>
      </c>
      <c r="J1188" s="850"/>
      <c r="K1188" s="850"/>
      <c r="L1188" s="850"/>
    </row>
    <row r="1189" spans="1:12" ht="15">
      <c r="B1189" s="1551" t="str">
        <f>'8.Dgia'!B3024</f>
        <v/>
      </c>
      <c r="C1189" s="1555">
        <f>'8.Dgia'!C3024</f>
        <v>0</v>
      </c>
      <c r="D1189" s="1552">
        <f>'8.Dgia'!D3024</f>
        <v>0</v>
      </c>
      <c r="E1189" s="1775" t="str">
        <f>'8.Dgia'!E3024</f>
        <v>Máy hàn 23kw</v>
      </c>
      <c r="F1189" s="1771" t="s">
        <v>5493</v>
      </c>
      <c r="G1189" s="1772">
        <f>'8.Dgia'!H3024</f>
        <v>2.29</v>
      </c>
      <c r="H1189" s="1853">
        <f>'9.may'!$P$510</f>
        <v>171649.155</v>
      </c>
      <c r="I1189" s="1824">
        <f>H1189*G1189</f>
        <v>393076.56495000003</v>
      </c>
    </row>
    <row r="1190" spans="1:12" ht="15">
      <c r="B1190" s="1551" t="str">
        <f>'8.Dgia'!B3025</f>
        <v/>
      </c>
      <c r="C1190" s="1555">
        <f>'8.Dgia'!C3025</f>
        <v>0</v>
      </c>
      <c r="D1190" s="1552">
        <f>'8.Dgia'!D3025</f>
        <v>0</v>
      </c>
      <c r="E1190" s="1775" t="str">
        <f>'8.Dgia'!E3025</f>
        <v>Máy cắt uốn</v>
      </c>
      <c r="F1190" s="1771" t="s">
        <v>5493</v>
      </c>
      <c r="G1190" s="1772">
        <f>'8.Dgia'!H3025</f>
        <v>0.32</v>
      </c>
      <c r="H1190" s="1853">
        <f>'9.may'!$P$557</f>
        <v>80291.850000000006</v>
      </c>
      <c r="I1190" s="1824">
        <f>H1190*G1190</f>
        <v>25693.392000000003</v>
      </c>
    </row>
    <row r="1191" spans="1:12" ht="15">
      <c r="B1191" s="1551"/>
      <c r="C1191" s="1555"/>
      <c r="D1191" s="1552"/>
      <c r="E1191" s="1828" t="s">
        <v>5675</v>
      </c>
      <c r="F1191" s="1856">
        <f>$J$5</f>
        <v>0.02</v>
      </c>
      <c r="G1191" s="1772"/>
      <c r="H1191" s="1853"/>
      <c r="I1191" s="1863">
        <f>( I1183+I1187+I1188 )*F1191</f>
        <v>429264.14929027273</v>
      </c>
    </row>
    <row r="1192" spans="1:12" ht="15">
      <c r="B1192" s="1551"/>
      <c r="C1192" s="1555"/>
      <c r="D1192" s="1552"/>
      <c r="E1192" s="1831" t="s">
        <v>5676</v>
      </c>
      <c r="F1192" s="1831"/>
      <c r="G1192" s="1772"/>
      <c r="H1192" s="1853"/>
      <c r="I1192" s="1833">
        <f>I1191+I1191/F1191</f>
        <v>21892471.613803908</v>
      </c>
    </row>
    <row r="1193" spans="1:12" ht="15">
      <c r="B1193" s="1551"/>
      <c r="C1193" s="1555"/>
      <c r="D1193" s="1552"/>
      <c r="E1193" s="1834" t="s">
        <v>5677</v>
      </c>
      <c r="F1193" s="1858">
        <f>$K$5</f>
        <v>5.7750000000000003E-2</v>
      </c>
      <c r="G1193" s="1772"/>
      <c r="H1193" s="1853"/>
      <c r="I1193" s="1835">
        <f>I1192*F1193</f>
        <v>1264290.2356971758</v>
      </c>
    </row>
    <row r="1194" spans="1:12" ht="15">
      <c r="B1194" s="1551"/>
      <c r="C1194" s="1555"/>
      <c r="D1194" s="1552"/>
      <c r="E1194" s="1834" t="s">
        <v>5678</v>
      </c>
      <c r="F1194" s="1856">
        <f>$L$5</f>
        <v>0.06</v>
      </c>
      <c r="G1194" s="1772"/>
      <c r="H1194" s="1853"/>
      <c r="I1194" s="1835">
        <f>SUM(I1192:I1193)*F1194</f>
        <v>1389405.7109700651</v>
      </c>
    </row>
    <row r="1195" spans="1:12" ht="15">
      <c r="B1195" s="1551"/>
      <c r="C1195" s="1555"/>
      <c r="D1195" s="1552"/>
      <c r="E1195" s="1831" t="s">
        <v>5679</v>
      </c>
      <c r="F1195" s="1831"/>
      <c r="G1195" s="1772"/>
      <c r="H1195" s="1853"/>
      <c r="I1195" s="1833">
        <f>SUM(I1192:I1194)</f>
        <v>24546167.560471151</v>
      </c>
    </row>
    <row r="1196" spans="1:12" ht="15">
      <c r="B1196" s="1551"/>
      <c r="C1196" s="1555"/>
      <c r="D1196" s="1552"/>
      <c r="E1196" s="1834" t="s">
        <v>5680</v>
      </c>
      <c r="F1196" s="1856">
        <f>$M$5</f>
        <v>0.1</v>
      </c>
      <c r="G1196" s="1772"/>
      <c r="H1196" s="1853"/>
      <c r="I1196" s="1835">
        <f>I1195*F1196</f>
        <v>2454616.7560471152</v>
      </c>
    </row>
    <row r="1197" spans="1:12" ht="15">
      <c r="B1197" s="1551"/>
      <c r="C1197" s="1555"/>
      <c r="D1197" s="1552"/>
      <c r="E1197" s="1831" t="s">
        <v>5681</v>
      </c>
      <c r="F1197" s="1831"/>
      <c r="G1197" s="1772"/>
      <c r="H1197" s="1853"/>
      <c r="I1197" s="1833">
        <f>SUM(I1195:I1196)</f>
        <v>27000784.316518266</v>
      </c>
    </row>
    <row r="1198" spans="1:12" ht="12.75">
      <c r="B1198" s="1551"/>
      <c r="C1198" s="1555"/>
      <c r="D1198" s="1552"/>
      <c r="E1198" s="1558" t="s">
        <v>5682</v>
      </c>
      <c r="F1198" s="1595">
        <f>$N$5</f>
        <v>0.01</v>
      </c>
      <c r="G1198" s="1553"/>
      <c r="H1198" s="1594"/>
      <c r="I1198" s="1559">
        <f>I1197*F1198</f>
        <v>270007.84316518268</v>
      </c>
    </row>
    <row r="1199" spans="1:12" ht="15">
      <c r="B1199" s="1596"/>
      <c r="C1199" s="1597"/>
      <c r="D1199" s="1597"/>
      <c r="E1199" s="1859" t="s">
        <v>5683</v>
      </c>
      <c r="F1199" s="1859"/>
      <c r="G1199" s="1860"/>
      <c r="H1199" s="1861"/>
      <c r="I1199" s="1862">
        <f>ROUND(I1197+I1198,-2)</f>
        <v>27270800</v>
      </c>
    </row>
    <row r="1200" spans="1:12" ht="15">
      <c r="A1200" s="657">
        <v>1</v>
      </c>
      <c r="B1200" s="1549">
        <f>IF(A1200&lt;&gt;0,COUNTA(A$7:$A1200),"")</f>
        <v>72</v>
      </c>
      <c r="C1200" s="1555">
        <f>'8.Dgia'!C3026</f>
        <v>0</v>
      </c>
      <c r="D1200" s="1696" t="str">
        <f>'8.Dgia'!D3026</f>
        <v>Tạm tính</v>
      </c>
      <c r="E1200" s="1848" t="str">
        <f>'8.Dgia'!E3026</f>
        <v>Gỗ tẩm nhựa</v>
      </c>
      <c r="F1200" s="1849" t="str">
        <f>'8.Dgia'!G3026</f>
        <v>m3</v>
      </c>
      <c r="G1200" s="1850">
        <f>'8.Dgia'!H3026</f>
        <v>0</v>
      </c>
      <c r="H1200" s="1851"/>
      <c r="I1200" s="1852"/>
      <c r="J1200" s="842">
        <f>+I1201</f>
        <v>6000000</v>
      </c>
    </row>
    <row r="1201" spans="1:12" ht="15">
      <c r="B1201" s="1551" t="str">
        <f>'8.Dgia'!B3027</f>
        <v/>
      </c>
      <c r="C1201" s="1555">
        <f>'8.Dgia'!C3027</f>
        <v>0</v>
      </c>
      <c r="D1201" s="1552">
        <f>'8.Dgia'!D3027</f>
        <v>0</v>
      </c>
      <c r="E1201" s="2018" t="str">
        <f>'8.Dgia'!E3027</f>
        <v xml:space="preserve">  A - Vật liệu</v>
      </c>
      <c r="F1201" s="1771">
        <f>'8.Dgia'!G3027</f>
        <v>0</v>
      </c>
      <c r="G1201" s="1772">
        <f>'8.Dgia'!H3027</f>
        <v>0</v>
      </c>
      <c r="H1201" s="1853"/>
      <c r="I1201" s="1854">
        <f>SUM(I1202:I1202)</f>
        <v>6000000</v>
      </c>
    </row>
    <row r="1202" spans="1:12" ht="15">
      <c r="B1202" s="1551" t="str">
        <f>'8.Dgia'!B3028</f>
        <v/>
      </c>
      <c r="C1202" s="1555">
        <f>'8.Dgia'!C3028</f>
        <v>0</v>
      </c>
      <c r="D1202" s="1552">
        <f>'8.Dgia'!D3028</f>
        <v>0</v>
      </c>
      <c r="E1202" s="1775" t="str">
        <f>'8.Dgia'!E3028</f>
        <v>Gỗ tẩm nhựa</v>
      </c>
      <c r="F1202" s="1771" t="str">
        <f>'8.Dgia'!G3028</f>
        <v>m3</v>
      </c>
      <c r="G1202" s="1772">
        <f>'8.Dgia'!H3028</f>
        <v>1</v>
      </c>
      <c r="H1202" s="1853">
        <f>GVL!$I$97</f>
        <v>6000000</v>
      </c>
      <c r="I1202" s="1824">
        <f>H1202*G1202</f>
        <v>6000000</v>
      </c>
    </row>
    <row r="1203" spans="1:12" ht="15">
      <c r="B1203" s="1551"/>
      <c r="C1203" s="1555"/>
      <c r="D1203" s="1552"/>
      <c r="E1203" s="1828" t="s">
        <v>5675</v>
      </c>
      <c r="F1203" s="1856">
        <f>$J$5</f>
        <v>0.02</v>
      </c>
      <c r="G1203" s="1772"/>
      <c r="H1203" s="1853"/>
      <c r="I1203" s="1863">
        <f>( I1201 )*F1203</f>
        <v>120000</v>
      </c>
    </row>
    <row r="1204" spans="1:12" ht="15">
      <c r="B1204" s="1551"/>
      <c r="C1204" s="1555"/>
      <c r="D1204" s="1552"/>
      <c r="E1204" s="1831" t="s">
        <v>5676</v>
      </c>
      <c r="F1204" s="1831"/>
      <c r="G1204" s="1772"/>
      <c r="H1204" s="1853"/>
      <c r="I1204" s="1833">
        <f>I1203+I1203/F1203</f>
        <v>6120000</v>
      </c>
    </row>
    <row r="1205" spans="1:12" ht="15">
      <c r="B1205" s="1551"/>
      <c r="C1205" s="1555"/>
      <c r="D1205" s="1552"/>
      <c r="E1205" s="1834" t="s">
        <v>5677</v>
      </c>
      <c r="F1205" s="1858">
        <f>$K$5</f>
        <v>5.7750000000000003E-2</v>
      </c>
      <c r="G1205" s="1772"/>
      <c r="H1205" s="1853"/>
      <c r="I1205" s="1835">
        <f>I1204*F1205</f>
        <v>353430</v>
      </c>
    </row>
    <row r="1206" spans="1:12" ht="15">
      <c r="B1206" s="1551"/>
      <c r="C1206" s="1555"/>
      <c r="D1206" s="1552"/>
      <c r="E1206" s="1834" t="s">
        <v>5678</v>
      </c>
      <c r="F1206" s="1856">
        <f>$L$5</f>
        <v>0.06</v>
      </c>
      <c r="G1206" s="1772"/>
      <c r="H1206" s="1853"/>
      <c r="I1206" s="1835">
        <f>SUM(I1204:I1205)*F1206</f>
        <v>388405.8</v>
      </c>
    </row>
    <row r="1207" spans="1:12" ht="15">
      <c r="B1207" s="1551"/>
      <c r="C1207" s="1555"/>
      <c r="D1207" s="1552"/>
      <c r="E1207" s="1831" t="s">
        <v>5679</v>
      </c>
      <c r="F1207" s="1831"/>
      <c r="G1207" s="1772"/>
      <c r="H1207" s="1853"/>
      <c r="I1207" s="1833">
        <f>SUM(I1204:I1206)</f>
        <v>6861835.7999999998</v>
      </c>
    </row>
    <row r="1208" spans="1:12" ht="15">
      <c r="B1208" s="1551"/>
      <c r="C1208" s="1555"/>
      <c r="D1208" s="1552"/>
      <c r="E1208" s="1834" t="s">
        <v>5680</v>
      </c>
      <c r="F1208" s="1856">
        <f>$M$5</f>
        <v>0.1</v>
      </c>
      <c r="G1208" s="1772"/>
      <c r="H1208" s="1853"/>
      <c r="I1208" s="1835">
        <f>I1207*F1208</f>
        <v>686183.58000000007</v>
      </c>
    </row>
    <row r="1209" spans="1:12" ht="15">
      <c r="B1209" s="1551"/>
      <c r="C1209" s="1555"/>
      <c r="D1209" s="1552"/>
      <c r="E1209" s="1831" t="s">
        <v>5681</v>
      </c>
      <c r="F1209" s="1831"/>
      <c r="G1209" s="1772"/>
      <c r="H1209" s="1853"/>
      <c r="I1209" s="1833">
        <f>SUM(I1207:I1208)</f>
        <v>7548019.3799999999</v>
      </c>
    </row>
    <row r="1210" spans="1:12" ht="12.75">
      <c r="B1210" s="1551"/>
      <c r="C1210" s="1555"/>
      <c r="D1210" s="1552"/>
      <c r="E1210" s="1558" t="s">
        <v>5682</v>
      </c>
      <c r="F1210" s="1595">
        <f>$N$5</f>
        <v>0.01</v>
      </c>
      <c r="G1210" s="1553"/>
      <c r="H1210" s="1594"/>
      <c r="I1210" s="1559">
        <f>I1209*F1210</f>
        <v>75480.193799999994</v>
      </c>
    </row>
    <row r="1211" spans="1:12" ht="15">
      <c r="B1211" s="1596"/>
      <c r="C1211" s="1597"/>
      <c r="D1211" s="1597"/>
      <c r="E1211" s="1859" t="s">
        <v>5683</v>
      </c>
      <c r="F1211" s="1859"/>
      <c r="G1211" s="1860"/>
      <c r="H1211" s="1861"/>
      <c r="I1211" s="1862">
        <f>ROUND(I1209+I1210,-2)</f>
        <v>7623500</v>
      </c>
    </row>
    <row r="1212" spans="1:12" ht="15">
      <c r="A1212" s="657">
        <v>1</v>
      </c>
      <c r="B1212" s="1549">
        <f>IF(A1212&lt;&gt;0,COUNTA(A$7:$A1212),"")</f>
        <v>73</v>
      </c>
      <c r="C1212" s="1555">
        <f>'8.Dgia'!C3029</f>
        <v>1776</v>
      </c>
      <c r="D1212" s="1696" t="str">
        <f>'8.Dgia'!D3029</f>
        <v>AF.63120</v>
      </c>
      <c r="E1212" s="1848" t="str">
        <f>'8.Dgia'!E3029</f>
        <v>Cốt thép D&lt;=18 giếng</v>
      </c>
      <c r="F1212" s="1849" t="str">
        <f>'8.Dgia'!G3029</f>
        <v>tấn/ton</v>
      </c>
      <c r="G1212" s="1850">
        <f>'8.Dgia'!H3029</f>
        <v>0</v>
      </c>
      <c r="H1212" s="1851"/>
      <c r="I1212" s="1892"/>
      <c r="J1212" s="842">
        <f>+I1213</f>
        <v>17287270.198472727</v>
      </c>
      <c r="K1212" s="842">
        <f>+I1217</f>
        <v>5643068.3999999994</v>
      </c>
      <c r="L1212" s="842">
        <f>+I1218</f>
        <v>223948.16602499998</v>
      </c>
    </row>
    <row r="1213" spans="1:12" s="658" customFormat="1" ht="15">
      <c r="B1213" s="1551" t="str">
        <f>'8.Dgia'!B3030</f>
        <v/>
      </c>
      <c r="C1213" s="1555">
        <f>'8.Dgia'!C3030</f>
        <v>0</v>
      </c>
      <c r="D1213" s="1552">
        <f>'8.Dgia'!D3030</f>
        <v>0</v>
      </c>
      <c r="E1213" s="2018" t="str">
        <f>'8.Dgia'!E3030</f>
        <v xml:space="preserve">  A - Vật liệu</v>
      </c>
      <c r="F1213" s="1771">
        <f>'8.Dgia'!G3030</f>
        <v>0</v>
      </c>
      <c r="G1213" s="1772">
        <f>'8.Dgia'!H3030</f>
        <v>0</v>
      </c>
      <c r="H1213" s="1853"/>
      <c r="I1213" s="1854">
        <f>SUM(I1214:I1216)</f>
        <v>17287270.198472727</v>
      </c>
      <c r="J1213" s="850"/>
      <c r="K1213" s="850"/>
      <c r="L1213" s="850"/>
    </row>
    <row r="1214" spans="1:12" ht="15">
      <c r="B1214" s="1551" t="str">
        <f>'8.Dgia'!B3031</f>
        <v/>
      </c>
      <c r="C1214" s="1555">
        <f>'8.Dgia'!C3031</f>
        <v>0</v>
      </c>
      <c r="D1214" s="1552">
        <f>'8.Dgia'!D3031</f>
        <v>0</v>
      </c>
      <c r="E1214" s="1775" t="str">
        <f>'8.Dgia'!E3031</f>
        <v>Thép tròn D&lt;=18</v>
      </c>
      <c r="F1214" s="1771" t="str">
        <f>'8.Dgia'!G3031</f>
        <v>kg</v>
      </c>
      <c r="G1214" s="1772">
        <f>'8.Dgia'!H3031</f>
        <v>1020</v>
      </c>
      <c r="H1214" s="1853">
        <f>GVL!$I$180</f>
        <v>16604.075560000001</v>
      </c>
      <c r="I1214" s="1824">
        <f>H1214*G1214</f>
        <v>16936157.071200002</v>
      </c>
    </row>
    <row r="1215" spans="1:12" ht="15">
      <c r="B1215" s="1551" t="str">
        <f>'8.Dgia'!B3032</f>
        <v/>
      </c>
      <c r="C1215" s="1555">
        <f>'8.Dgia'!C3032</f>
        <v>0</v>
      </c>
      <c r="D1215" s="1552">
        <f>'8.Dgia'!D3032</f>
        <v>0</v>
      </c>
      <c r="E1215" s="1775" t="str">
        <f>'8.Dgia'!E3032</f>
        <v>Dây thép buộc</v>
      </c>
      <c r="F1215" s="1771" t="str">
        <f>'8.Dgia'!G3032</f>
        <v>kg</v>
      </c>
      <c r="G1215" s="1772">
        <f>'8.Dgia'!H3032</f>
        <v>14.28</v>
      </c>
      <c r="H1215" s="1853">
        <f>GVL!$I$89</f>
        <v>18180</v>
      </c>
      <c r="I1215" s="1824">
        <f>H1215*G1215</f>
        <v>259610.4</v>
      </c>
    </row>
    <row r="1216" spans="1:12" ht="15">
      <c r="B1216" s="1551" t="str">
        <f>'8.Dgia'!B3033</f>
        <v/>
      </c>
      <c r="C1216" s="1555">
        <f>'8.Dgia'!C3033</f>
        <v>0</v>
      </c>
      <c r="D1216" s="1552">
        <f>'8.Dgia'!D3033</f>
        <v>0</v>
      </c>
      <c r="E1216" s="1775" t="str">
        <f>'8.Dgia'!E3033</f>
        <v>Que hàn</v>
      </c>
      <c r="F1216" s="1771" t="str">
        <f>'8.Dgia'!G3033</f>
        <v>kg</v>
      </c>
      <c r="G1216" s="1772">
        <f>'8.Dgia'!H3033</f>
        <v>4.7930000000000001</v>
      </c>
      <c r="H1216" s="1853">
        <f>GVL!$I$153</f>
        <v>19090.909090909088</v>
      </c>
      <c r="I1216" s="1824">
        <f>H1216*G1216</f>
        <v>91502.727272727265</v>
      </c>
    </row>
    <row r="1217" spans="1:12" s="658" customFormat="1" ht="15">
      <c r="B1217" s="1551" t="str">
        <f>'8.Dgia'!B3034</f>
        <v/>
      </c>
      <c r="C1217" s="1555">
        <f>'8.Dgia'!C3034</f>
        <v>0</v>
      </c>
      <c r="D1217" s="1552">
        <f>'8.Dgia'!D3034</f>
        <v>0</v>
      </c>
      <c r="E1217" s="1775" t="str">
        <f>'8.Dgia'!E3034</f>
        <v xml:space="preserve">  B - Nhân công 3.5/7</v>
      </c>
      <c r="F1217" s="1771" t="s">
        <v>552</v>
      </c>
      <c r="G1217" s="1772">
        <f>'8.Dgia'!H3034</f>
        <v>26.22</v>
      </c>
      <c r="H1217" s="1853">
        <f>'16.NC'!$G$16</f>
        <v>215220</v>
      </c>
      <c r="I1217" s="1854">
        <f>H1217*G1217</f>
        <v>5643068.3999999994</v>
      </c>
      <c r="J1217" s="850"/>
      <c r="K1217" s="850"/>
      <c r="L1217" s="850"/>
    </row>
    <row r="1218" spans="1:12" s="658" customFormat="1" ht="15">
      <c r="B1218" s="1551" t="str">
        <f>'8.Dgia'!B3035</f>
        <v/>
      </c>
      <c r="C1218" s="1555">
        <f>'8.Dgia'!C3035</f>
        <v>0</v>
      </c>
      <c r="D1218" s="1552">
        <f>'8.Dgia'!D3035</f>
        <v>0</v>
      </c>
      <c r="E1218" s="2018" t="str">
        <f>'8.Dgia'!E3035</f>
        <v xml:space="preserve">  C - Máy thi công</v>
      </c>
      <c r="F1218" s="1771">
        <f>'8.Dgia'!G3035</f>
        <v>0</v>
      </c>
      <c r="G1218" s="1772">
        <f>'8.Dgia'!H3035</f>
        <v>0</v>
      </c>
      <c r="H1218" s="1853"/>
      <c r="I1218" s="1854">
        <f>SUM(I1219:I1220)</f>
        <v>223948.16602499998</v>
      </c>
      <c r="J1218" s="850"/>
      <c r="K1218" s="850"/>
      <c r="L1218" s="850"/>
    </row>
    <row r="1219" spans="1:12" ht="15">
      <c r="B1219" s="1551" t="str">
        <f>'8.Dgia'!B3036</f>
        <v/>
      </c>
      <c r="C1219" s="1555">
        <f>'8.Dgia'!C3036</f>
        <v>0</v>
      </c>
      <c r="D1219" s="1552">
        <f>'8.Dgia'!D3036</f>
        <v>0</v>
      </c>
      <c r="E1219" s="1775" t="str">
        <f>'8.Dgia'!E3036</f>
        <v>Máy hàn 23kw</v>
      </c>
      <c r="F1219" s="1771" t="s">
        <v>5493</v>
      </c>
      <c r="G1219" s="1772">
        <f>'8.Dgia'!H3036</f>
        <v>1.155</v>
      </c>
      <c r="H1219" s="1853">
        <f>'9.may'!$P$510</f>
        <v>171649.155</v>
      </c>
      <c r="I1219" s="1824">
        <f>H1219*G1219</f>
        <v>198254.77402499999</v>
      </c>
    </row>
    <row r="1220" spans="1:12" ht="15">
      <c r="B1220" s="1551" t="str">
        <f>'8.Dgia'!B3037</f>
        <v/>
      </c>
      <c r="C1220" s="1555">
        <f>'8.Dgia'!C3037</f>
        <v>0</v>
      </c>
      <c r="D1220" s="1552">
        <f>'8.Dgia'!D3037</f>
        <v>0</v>
      </c>
      <c r="E1220" s="1775" t="str">
        <f>'8.Dgia'!E3037</f>
        <v>Máy cắt uốn</v>
      </c>
      <c r="F1220" s="1771" t="s">
        <v>5493</v>
      </c>
      <c r="G1220" s="1772">
        <f>'8.Dgia'!H3037</f>
        <v>0.32</v>
      </c>
      <c r="H1220" s="1853">
        <f>'9.may'!$P$557</f>
        <v>80291.850000000006</v>
      </c>
      <c r="I1220" s="1824">
        <f>H1220*G1220</f>
        <v>25693.392000000003</v>
      </c>
    </row>
    <row r="1221" spans="1:12" ht="15">
      <c r="B1221" s="1551"/>
      <c r="C1221" s="1555"/>
      <c r="D1221" s="1552"/>
      <c r="E1221" s="1828" t="s">
        <v>5675</v>
      </c>
      <c r="F1221" s="1856">
        <f>$J$5</f>
        <v>0.02</v>
      </c>
      <c r="G1221" s="1772"/>
      <c r="H1221" s="1853"/>
      <c r="I1221" s="1863">
        <f>( I1213+I1217+I1218 )*F1221</f>
        <v>463085.73528995458</v>
      </c>
    </row>
    <row r="1222" spans="1:12" ht="15">
      <c r="B1222" s="1551"/>
      <c r="C1222" s="1555"/>
      <c r="D1222" s="1552"/>
      <c r="E1222" s="1831" t="s">
        <v>5676</v>
      </c>
      <c r="F1222" s="1831"/>
      <c r="G1222" s="1772"/>
      <c r="H1222" s="1853"/>
      <c r="I1222" s="1833">
        <f>I1221+I1221/F1221</f>
        <v>23617372.499787681</v>
      </c>
    </row>
    <row r="1223" spans="1:12" ht="15">
      <c r="B1223" s="1551"/>
      <c r="C1223" s="1555"/>
      <c r="D1223" s="1552"/>
      <c r="E1223" s="1834" t="s">
        <v>5677</v>
      </c>
      <c r="F1223" s="1858">
        <f>$K$5</f>
        <v>5.7750000000000003E-2</v>
      </c>
      <c r="G1223" s="1772"/>
      <c r="H1223" s="1853"/>
      <c r="I1223" s="1835">
        <f>I1222*F1223</f>
        <v>1363903.2618627385</v>
      </c>
    </row>
    <row r="1224" spans="1:12" ht="15">
      <c r="B1224" s="1551"/>
      <c r="C1224" s="1555"/>
      <c r="D1224" s="1552"/>
      <c r="E1224" s="1834" t="s">
        <v>5678</v>
      </c>
      <c r="F1224" s="1856">
        <f>$L$5</f>
        <v>0.06</v>
      </c>
      <c r="G1224" s="1772"/>
      <c r="H1224" s="1853"/>
      <c r="I1224" s="1835">
        <f>SUM(I1222:I1223)*F1224</f>
        <v>1498876.5456990253</v>
      </c>
    </row>
    <row r="1225" spans="1:12" ht="15">
      <c r="B1225" s="1551"/>
      <c r="C1225" s="1555"/>
      <c r="D1225" s="1552"/>
      <c r="E1225" s="1831" t="s">
        <v>5679</v>
      </c>
      <c r="F1225" s="1831"/>
      <c r="G1225" s="1772"/>
      <c r="H1225" s="1853"/>
      <c r="I1225" s="1833">
        <f>SUM(I1222:I1224)</f>
        <v>26480152.307349447</v>
      </c>
    </row>
    <row r="1226" spans="1:12" ht="15">
      <c r="B1226" s="1551"/>
      <c r="C1226" s="1555"/>
      <c r="D1226" s="1552"/>
      <c r="E1226" s="1834" t="s">
        <v>5680</v>
      </c>
      <c r="F1226" s="1856">
        <f>$M$5</f>
        <v>0.1</v>
      </c>
      <c r="G1226" s="1772"/>
      <c r="H1226" s="1853"/>
      <c r="I1226" s="1835">
        <f>I1225*F1226</f>
        <v>2648015.2307349448</v>
      </c>
    </row>
    <row r="1227" spans="1:12" ht="15">
      <c r="B1227" s="1551"/>
      <c r="C1227" s="1555"/>
      <c r="D1227" s="1552"/>
      <c r="E1227" s="1831" t="s">
        <v>5681</v>
      </c>
      <c r="F1227" s="1831"/>
      <c r="G1227" s="1772"/>
      <c r="H1227" s="1853"/>
      <c r="I1227" s="1833">
        <f>SUM(I1225:I1226)</f>
        <v>29128167.538084392</v>
      </c>
    </row>
    <row r="1228" spans="1:12" ht="12.75">
      <c r="B1228" s="1551"/>
      <c r="C1228" s="1555"/>
      <c r="D1228" s="1552"/>
      <c r="E1228" s="1558" t="s">
        <v>5682</v>
      </c>
      <c r="F1228" s="1595">
        <f>$N$5</f>
        <v>0.01</v>
      </c>
      <c r="G1228" s="1553"/>
      <c r="H1228" s="1594"/>
      <c r="I1228" s="1559">
        <f>I1227*F1228</f>
        <v>291281.67538084392</v>
      </c>
    </row>
    <row r="1229" spans="1:12" ht="15">
      <c r="B1229" s="1596"/>
      <c r="C1229" s="1597"/>
      <c r="D1229" s="1597"/>
      <c r="E1229" s="1859" t="s">
        <v>5683</v>
      </c>
      <c r="F1229" s="1859"/>
      <c r="G1229" s="1860"/>
      <c r="H1229" s="1861"/>
      <c r="I1229" s="1862">
        <f>ROUND(I1227+I1228,-2)</f>
        <v>29419400</v>
      </c>
    </row>
    <row r="1230" spans="1:12" ht="15">
      <c r="A1230" s="657">
        <v>1</v>
      </c>
      <c r="B1230" s="1549">
        <f>IF(A1230&lt;&gt;0,COUNTA(A$7:$A1230),"")</f>
        <v>74</v>
      </c>
      <c r="C1230" s="1555">
        <f>'8.Dgia'!C3038</f>
        <v>0</v>
      </c>
      <c r="D1230" s="1696" t="str">
        <f>'8.Dgia'!D3038</f>
        <v>Tạm tính</v>
      </c>
      <c r="E1230" s="1848" t="str">
        <f>'8.Dgia'!E3038</f>
        <v>Cung cấp bao tải</v>
      </c>
      <c r="F1230" s="1771" t="s">
        <v>567</v>
      </c>
      <c r="G1230" s="1850">
        <f>'8.Dgia'!H3038</f>
        <v>0</v>
      </c>
      <c r="H1230" s="1851"/>
      <c r="I1230" s="1852"/>
      <c r="J1230" s="842">
        <f>+I1231</f>
        <v>5000</v>
      </c>
    </row>
    <row r="1231" spans="1:12" ht="15">
      <c r="B1231" s="1551" t="str">
        <f>'8.Dgia'!B3039</f>
        <v/>
      </c>
      <c r="C1231" s="1555">
        <f>'8.Dgia'!C3039</f>
        <v>0</v>
      </c>
      <c r="D1231" s="1552">
        <f>'8.Dgia'!D3039</f>
        <v>0</v>
      </c>
      <c r="E1231" s="2018" t="str">
        <f>'8.Dgia'!E3039</f>
        <v xml:space="preserve">  A - Vật liệu</v>
      </c>
      <c r="F1231" s="1771">
        <f>'8.Dgia'!G3039</f>
        <v>0</v>
      </c>
      <c r="G1231" s="1772">
        <f>'8.Dgia'!H3039</f>
        <v>0</v>
      </c>
      <c r="H1231" s="1853"/>
      <c r="I1231" s="1854">
        <f>SUM(I1232:I1232)</f>
        <v>5000</v>
      </c>
    </row>
    <row r="1232" spans="1:12" ht="15">
      <c r="B1232" s="1551" t="str">
        <f>'8.Dgia'!B3040</f>
        <v/>
      </c>
      <c r="C1232" s="1555">
        <f>'8.Dgia'!C3040</f>
        <v>0</v>
      </c>
      <c r="D1232" s="1552">
        <f>'8.Dgia'!D3040</f>
        <v>0</v>
      </c>
      <c r="E1232" s="1775" t="str">
        <f>'8.Dgia'!E3040</f>
        <v>Bao tải</v>
      </c>
      <c r="F1232" s="1771" t="s">
        <v>567</v>
      </c>
      <c r="G1232" s="1772">
        <f>'8.Dgia'!H3040</f>
        <v>1</v>
      </c>
      <c r="H1232" s="1855">
        <f>GVL!$I$10</f>
        <v>5000</v>
      </c>
      <c r="I1232" s="1824">
        <f>H1232*G1232</f>
        <v>5000</v>
      </c>
    </row>
    <row r="1233" spans="1:12" ht="15">
      <c r="B1233" s="1551"/>
      <c r="C1233" s="1555"/>
      <c r="D1233" s="1552"/>
      <c r="E1233" s="1828" t="s">
        <v>5675</v>
      </c>
      <c r="F1233" s="1856">
        <f>$J$5</f>
        <v>0.02</v>
      </c>
      <c r="G1233" s="1772"/>
      <c r="H1233" s="1853"/>
      <c r="I1233" s="1863">
        <f>( I1231 )*F1233</f>
        <v>100</v>
      </c>
    </row>
    <row r="1234" spans="1:12" ht="15">
      <c r="B1234" s="1551"/>
      <c r="C1234" s="1555"/>
      <c r="D1234" s="1552"/>
      <c r="E1234" s="1831" t="s">
        <v>5676</v>
      </c>
      <c r="F1234" s="1831"/>
      <c r="G1234" s="1772"/>
      <c r="H1234" s="1853"/>
      <c r="I1234" s="1833">
        <f>I1233+I1233/F1233</f>
        <v>5100</v>
      </c>
    </row>
    <row r="1235" spans="1:12" ht="15">
      <c r="B1235" s="1551"/>
      <c r="C1235" s="1555"/>
      <c r="D1235" s="1552"/>
      <c r="E1235" s="1834" t="s">
        <v>5677</v>
      </c>
      <c r="F1235" s="1858">
        <f>$K$5</f>
        <v>5.7750000000000003E-2</v>
      </c>
      <c r="G1235" s="1772"/>
      <c r="H1235" s="1853"/>
      <c r="I1235" s="1835">
        <f>I1234*F1235</f>
        <v>294.52500000000003</v>
      </c>
    </row>
    <row r="1236" spans="1:12" ht="15">
      <c r="B1236" s="1551"/>
      <c r="C1236" s="1555"/>
      <c r="D1236" s="1552"/>
      <c r="E1236" s="1834" t="s">
        <v>5678</v>
      </c>
      <c r="F1236" s="1856">
        <f>$L$5</f>
        <v>0.06</v>
      </c>
      <c r="G1236" s="1772"/>
      <c r="H1236" s="1853"/>
      <c r="I1236" s="1835">
        <f>SUM(I1234:I1235)*F1236</f>
        <v>323.67149999999998</v>
      </c>
    </row>
    <row r="1237" spans="1:12" ht="15">
      <c r="B1237" s="1551"/>
      <c r="C1237" s="1555"/>
      <c r="D1237" s="1552"/>
      <c r="E1237" s="1831" t="s">
        <v>5679</v>
      </c>
      <c r="F1237" s="1831"/>
      <c r="G1237" s="1772"/>
      <c r="H1237" s="1853"/>
      <c r="I1237" s="1833">
        <f>SUM(I1234:I1236)</f>
        <v>5718.1965</v>
      </c>
    </row>
    <row r="1238" spans="1:12" ht="15">
      <c r="B1238" s="1551"/>
      <c r="C1238" s="1555"/>
      <c r="D1238" s="1552"/>
      <c r="E1238" s="1834" t="s">
        <v>5680</v>
      </c>
      <c r="F1238" s="1856">
        <f>$M$5</f>
        <v>0.1</v>
      </c>
      <c r="G1238" s="1772"/>
      <c r="H1238" s="1853"/>
      <c r="I1238" s="1835">
        <f>I1237*F1238</f>
        <v>571.81965000000002</v>
      </c>
    </row>
    <row r="1239" spans="1:12" ht="15">
      <c r="B1239" s="1551"/>
      <c r="C1239" s="1555"/>
      <c r="D1239" s="1552"/>
      <c r="E1239" s="1831" t="s">
        <v>5681</v>
      </c>
      <c r="F1239" s="1831"/>
      <c r="G1239" s="1772"/>
      <c r="H1239" s="1853"/>
      <c r="I1239" s="1833">
        <f>SUM(I1237:I1238)</f>
        <v>6290.0161500000004</v>
      </c>
    </row>
    <row r="1240" spans="1:12" ht="12.75">
      <c r="B1240" s="1551"/>
      <c r="C1240" s="1555"/>
      <c r="D1240" s="1552"/>
      <c r="E1240" s="1558" t="s">
        <v>5682</v>
      </c>
      <c r="F1240" s="1595">
        <f>$N$5</f>
        <v>0.01</v>
      </c>
      <c r="G1240" s="1553"/>
      <c r="H1240" s="1594"/>
      <c r="I1240" s="1559">
        <f>I1239*F1240</f>
        <v>62.900161500000003</v>
      </c>
    </row>
    <row r="1241" spans="1:12" ht="15">
      <c r="B1241" s="1596"/>
      <c r="C1241" s="1597"/>
      <c r="D1241" s="1597"/>
      <c r="E1241" s="1859" t="s">
        <v>5683</v>
      </c>
      <c r="F1241" s="1859"/>
      <c r="G1241" s="1860"/>
      <c r="H1241" s="1861"/>
      <c r="I1241" s="1862">
        <f>ROUND(I1239+I1240,-2)</f>
        <v>6400</v>
      </c>
    </row>
    <row r="1242" spans="1:12" ht="15">
      <c r="A1242" s="657">
        <v>1</v>
      </c>
      <c r="B1242" s="1549">
        <f>IF(A1242&lt;&gt;0,COUNTA(A$7:$A1242),"")</f>
        <v>75</v>
      </c>
      <c r="C1242" s="1555">
        <f>'8.Dgia'!C3041</f>
        <v>1776</v>
      </c>
      <c r="D1242" s="1696" t="str">
        <f>'8.Dgia'!D3041</f>
        <v>AF.11210</v>
      </c>
      <c r="E1242" s="1848" t="str">
        <f>'8.Dgia'!E3041</f>
        <v>Bê tông C15 móng</v>
      </c>
      <c r="F1242" s="1849" t="str">
        <f>'8.Dgia'!G3041</f>
        <v>m3</v>
      </c>
      <c r="G1242" s="1850">
        <f>'8.Dgia'!H3041</f>
        <v>0</v>
      </c>
      <c r="H1242" s="1851"/>
      <c r="I1242" s="1852"/>
      <c r="J1242" s="842">
        <f>+I1243</f>
        <v>848610.91186656663</v>
      </c>
      <c r="K1242" s="842">
        <f>+I1246</f>
        <v>326614.19999999995</v>
      </c>
      <c r="L1242" s="842">
        <f>+I1247</f>
        <v>23796.9734775</v>
      </c>
    </row>
    <row r="1243" spans="1:12" s="658" customFormat="1" ht="15">
      <c r="B1243" s="1551" t="str">
        <f>'8.Dgia'!B3042</f>
        <v/>
      </c>
      <c r="C1243" s="1555">
        <f>'8.Dgia'!C3042</f>
        <v>0</v>
      </c>
      <c r="D1243" s="1552">
        <f>'8.Dgia'!D3042</f>
        <v>0</v>
      </c>
      <c r="E1243" s="2018" t="str">
        <f>'8.Dgia'!E3042</f>
        <v xml:space="preserve">  A - Vật liệu</v>
      </c>
      <c r="F1243" s="1771">
        <f>'8.Dgia'!G3042</f>
        <v>0</v>
      </c>
      <c r="G1243" s="1772">
        <f>'8.Dgia'!H3042</f>
        <v>0</v>
      </c>
      <c r="H1243" s="1853"/>
      <c r="I1243" s="1854">
        <f>SUM(I1244:I1245)</f>
        <v>848610.91186656663</v>
      </c>
      <c r="J1243" s="850"/>
      <c r="K1243" s="850"/>
      <c r="L1243" s="850"/>
    </row>
    <row r="1244" spans="1:12" ht="15">
      <c r="B1244" s="1551" t="str">
        <f>'8.Dgia'!B3043</f>
        <v/>
      </c>
      <c r="C1244" s="1555">
        <f>'8.Dgia'!C3043</f>
        <v>0</v>
      </c>
      <c r="D1244" s="1552" t="str">
        <f>'8.Dgia'!D3043</f>
        <v>C3123</v>
      </c>
      <c r="E1244" s="1775" t="str">
        <f>'8.Dgia'!E3043</f>
        <v>Vữa bê tông đá 1x2 C15 SN 2-4</v>
      </c>
      <c r="F1244" s="1771" t="str">
        <f>'8.Dgia'!G3043</f>
        <v>m3</v>
      </c>
      <c r="G1244" s="1772">
        <f>'8.Dgia'!H3043</f>
        <v>1.0249999999999999</v>
      </c>
      <c r="H1244" s="1853">
        <f>GVL!$I$193</f>
        <v>819715.92549294059</v>
      </c>
      <c r="I1244" s="1824">
        <f>H1244*G1244</f>
        <v>840208.82363026403</v>
      </c>
    </row>
    <row r="1245" spans="1:12" ht="15">
      <c r="B1245" s="1551" t="str">
        <f>'8.Dgia'!B3044</f>
        <v/>
      </c>
      <c r="C1245" s="1555">
        <f>'8.Dgia'!C3044</f>
        <v>0</v>
      </c>
      <c r="D1245" s="1552">
        <f>'8.Dgia'!D3044</f>
        <v>0</v>
      </c>
      <c r="E1245" s="1775" t="str">
        <f>'8.Dgia'!E3044</f>
        <v>Vật liệu khác</v>
      </c>
      <c r="F1245" s="1771" t="str">
        <f>'8.Dgia'!G3044</f>
        <v>%</v>
      </c>
      <c r="G1245" s="1772">
        <f>'8.Dgia'!H3044</f>
        <v>1</v>
      </c>
      <c r="H1245" s="1853">
        <f>I1244</f>
        <v>840208.82363026403</v>
      </c>
      <c r="I1245" s="1824">
        <f>H1245*G1245%</f>
        <v>8402.0882363026412</v>
      </c>
    </row>
    <row r="1246" spans="1:12" s="658" customFormat="1" ht="15">
      <c r="B1246" s="1551" t="str">
        <f>'8.Dgia'!B3045</f>
        <v/>
      </c>
      <c r="C1246" s="1555">
        <f>'8.Dgia'!C3045</f>
        <v>0</v>
      </c>
      <c r="D1246" s="1552">
        <f>'8.Dgia'!D3045</f>
        <v>0</v>
      </c>
      <c r="E1246" s="1775" t="str">
        <f>'8.Dgia'!E3045</f>
        <v xml:space="preserve">  B - Nhân công 3.0/7</v>
      </c>
      <c r="F1246" s="1771" t="s">
        <v>552</v>
      </c>
      <c r="G1246" s="1772">
        <f>'8.Dgia'!H3045</f>
        <v>1.64</v>
      </c>
      <c r="H1246" s="1853">
        <f>'16.NC'!$G$13</f>
        <v>199155</v>
      </c>
      <c r="I1246" s="1854">
        <f>H1246*G1246</f>
        <v>326614.19999999995</v>
      </c>
      <c r="J1246" s="850"/>
      <c r="K1246" s="850"/>
      <c r="L1246" s="850"/>
    </row>
    <row r="1247" spans="1:12" s="658" customFormat="1" ht="15">
      <c r="B1247" s="1551" t="str">
        <f>'8.Dgia'!B3046</f>
        <v/>
      </c>
      <c r="C1247" s="1555">
        <f>'8.Dgia'!C3046</f>
        <v>0</v>
      </c>
      <c r="D1247" s="1552">
        <f>'8.Dgia'!D3046</f>
        <v>0</v>
      </c>
      <c r="E1247" s="2018" t="str">
        <f>'8.Dgia'!E3046</f>
        <v xml:space="preserve">  C - Máy thi công</v>
      </c>
      <c r="F1247" s="1771">
        <f>'8.Dgia'!G3046</f>
        <v>0</v>
      </c>
      <c r="G1247" s="1772">
        <f>'8.Dgia'!H3046</f>
        <v>0</v>
      </c>
      <c r="H1247" s="1853"/>
      <c r="I1247" s="1854">
        <f>SUM(I1248:I1249)</f>
        <v>23796.9734775</v>
      </c>
      <c r="J1247" s="850"/>
      <c r="K1247" s="850"/>
      <c r="L1247" s="850"/>
    </row>
    <row r="1248" spans="1:12" ht="15">
      <c r="B1248" s="1551" t="str">
        <f>'8.Dgia'!B3047</f>
        <v/>
      </c>
      <c r="C1248" s="1555">
        <f>'8.Dgia'!C3047</f>
        <v>0</v>
      </c>
      <c r="D1248" s="1552">
        <f>'8.Dgia'!D3047</f>
        <v>0</v>
      </c>
      <c r="E1248" s="1775" t="str">
        <f>'8.Dgia'!E3047</f>
        <v>Máy trộn 250l</v>
      </c>
      <c r="F1248" s="1771" t="s">
        <v>5493</v>
      </c>
      <c r="G1248" s="1772">
        <f>'8.Dgia'!H3047</f>
        <v>9.5000000000000001E-2</v>
      </c>
      <c r="H1248" s="1853">
        <f>'9.may'!$P$333</f>
        <v>180447.90000000002</v>
      </c>
      <c r="I1248" s="1824">
        <f>H1248*G1248</f>
        <v>17142.550500000001</v>
      </c>
    </row>
    <row r="1249" spans="1:12" ht="15">
      <c r="B1249" s="1551" t="str">
        <f>'8.Dgia'!B3048</f>
        <v/>
      </c>
      <c r="C1249" s="1555">
        <f>'8.Dgia'!C3048</f>
        <v>0</v>
      </c>
      <c r="D1249" s="1552">
        <f>'8.Dgia'!D3048</f>
        <v>0</v>
      </c>
      <c r="E1249" s="1775" t="str">
        <f>'8.Dgia'!E3048</f>
        <v>Máy đầm dùi 1.5Kw</v>
      </c>
      <c r="F1249" s="1771" t="s">
        <v>5493</v>
      </c>
      <c r="G1249" s="1772">
        <f>'8.Dgia'!H3048</f>
        <v>8.8999999999999996E-2</v>
      </c>
      <c r="H1249" s="1853">
        <f>'9.may'!$P$382</f>
        <v>74768.797500000001</v>
      </c>
      <c r="I1249" s="1824">
        <f>H1249*G1249</f>
        <v>6654.4229774999994</v>
      </c>
    </row>
    <row r="1250" spans="1:12" ht="15">
      <c r="B1250" s="1551"/>
      <c r="C1250" s="1555"/>
      <c r="D1250" s="1552"/>
      <c r="E1250" s="1828" t="s">
        <v>5675</v>
      </c>
      <c r="F1250" s="1856">
        <f>$J$5</f>
        <v>0.02</v>
      </c>
      <c r="G1250" s="1772"/>
      <c r="H1250" s="1853"/>
      <c r="I1250" s="1863">
        <f>( I1243+I1246+I1247 )*F1250</f>
        <v>23980.441706881331</v>
      </c>
    </row>
    <row r="1251" spans="1:12" ht="15">
      <c r="B1251" s="1551"/>
      <c r="C1251" s="1555"/>
      <c r="D1251" s="1552"/>
      <c r="E1251" s="1831" t="s">
        <v>5676</v>
      </c>
      <c r="F1251" s="1831"/>
      <c r="G1251" s="1772"/>
      <c r="H1251" s="1853"/>
      <c r="I1251" s="1833">
        <f>I1250+I1250/F1250</f>
        <v>1223002.527050948</v>
      </c>
    </row>
    <row r="1252" spans="1:12" ht="15">
      <c r="B1252" s="1551"/>
      <c r="C1252" s="1555"/>
      <c r="D1252" s="1552"/>
      <c r="E1252" s="1834" t="s">
        <v>5677</v>
      </c>
      <c r="F1252" s="1858">
        <f>$K$5</f>
        <v>5.7750000000000003E-2</v>
      </c>
      <c r="G1252" s="1772"/>
      <c r="H1252" s="1853"/>
      <c r="I1252" s="1835">
        <f>I1251*F1252</f>
        <v>70628.395937192254</v>
      </c>
    </row>
    <row r="1253" spans="1:12" ht="15">
      <c r="B1253" s="1551"/>
      <c r="C1253" s="1555"/>
      <c r="D1253" s="1552"/>
      <c r="E1253" s="1834" t="s">
        <v>5678</v>
      </c>
      <c r="F1253" s="1856">
        <f>$L$5</f>
        <v>0.06</v>
      </c>
      <c r="G1253" s="1772"/>
      <c r="H1253" s="1853"/>
      <c r="I1253" s="1835">
        <f>SUM(I1251:I1252)*F1253</f>
        <v>77617.855379288419</v>
      </c>
    </row>
    <row r="1254" spans="1:12" ht="15">
      <c r="B1254" s="1551"/>
      <c r="C1254" s="1555"/>
      <c r="D1254" s="1552"/>
      <c r="E1254" s="1831" t="s">
        <v>5679</v>
      </c>
      <c r="F1254" s="1831"/>
      <c r="G1254" s="1772"/>
      <c r="H1254" s="1853"/>
      <c r="I1254" s="1833">
        <f>SUM(I1251:I1253)</f>
        <v>1371248.7783674286</v>
      </c>
    </row>
    <row r="1255" spans="1:12" ht="15">
      <c r="B1255" s="1551"/>
      <c r="C1255" s="1555"/>
      <c r="D1255" s="1552"/>
      <c r="E1255" s="1834" t="s">
        <v>5680</v>
      </c>
      <c r="F1255" s="1856">
        <f>$M$5</f>
        <v>0.1</v>
      </c>
      <c r="G1255" s="1772"/>
      <c r="H1255" s="1853"/>
      <c r="I1255" s="1835">
        <f>I1254*F1255</f>
        <v>137124.87783674287</v>
      </c>
    </row>
    <row r="1256" spans="1:12" ht="15">
      <c r="B1256" s="1551"/>
      <c r="C1256" s="1555"/>
      <c r="D1256" s="1552"/>
      <c r="E1256" s="1831" t="s">
        <v>5681</v>
      </c>
      <c r="F1256" s="1831"/>
      <c r="G1256" s="1772"/>
      <c r="H1256" s="1853"/>
      <c r="I1256" s="1833">
        <f>SUM(I1254:I1255)</f>
        <v>1508373.6562041715</v>
      </c>
    </row>
    <row r="1257" spans="1:12" ht="12.75">
      <c r="B1257" s="1551"/>
      <c r="C1257" s="1555"/>
      <c r="D1257" s="1552"/>
      <c r="E1257" s="1558" t="s">
        <v>5682</v>
      </c>
      <c r="F1257" s="1595">
        <f>$N$5</f>
        <v>0.01</v>
      </c>
      <c r="G1257" s="1553"/>
      <c r="H1257" s="1594"/>
      <c r="I1257" s="1559">
        <f>I1256*F1257</f>
        <v>15083.736562041715</v>
      </c>
    </row>
    <row r="1258" spans="1:12" ht="15">
      <c r="B1258" s="1596"/>
      <c r="C1258" s="1597"/>
      <c r="D1258" s="1597"/>
      <c r="E1258" s="1859" t="s">
        <v>5683</v>
      </c>
      <c r="F1258" s="1859"/>
      <c r="G1258" s="1860"/>
      <c r="H1258" s="1861"/>
      <c r="I1258" s="1862">
        <f>ROUND(I1256+I1257,-2)</f>
        <v>1523500</v>
      </c>
    </row>
    <row r="1259" spans="1:12" ht="15">
      <c r="A1259" s="657">
        <v>1</v>
      </c>
      <c r="B1259" s="1549">
        <f>IF(A1259&lt;&gt;0,COUNTA(A$7:$A1259),"")</f>
        <v>76</v>
      </c>
      <c r="C1259" s="1555">
        <f>'8.Dgia'!C3056</f>
        <v>1776</v>
      </c>
      <c r="D1259" s="1696" t="str">
        <f>'8.Dgia'!D3056</f>
        <v>AK.91211</v>
      </c>
      <c r="E1259" s="1848" t="str">
        <f>'8.Dgia'!E3056</f>
        <v>Sơn cọc tiêu</v>
      </c>
      <c r="F1259" s="1849" t="str">
        <f>'8.Dgia'!G3056</f>
        <v>m2</v>
      </c>
      <c r="G1259" s="1850">
        <f>'8.Dgia'!H3056</f>
        <v>0</v>
      </c>
      <c r="H1259" s="1851"/>
      <c r="I1259" s="1892"/>
      <c r="J1259" s="842">
        <f>+I1260</f>
        <v>51272</v>
      </c>
      <c r="K1259" s="842">
        <f>+I1263</f>
        <v>30174.04</v>
      </c>
      <c r="L1259" s="842">
        <f>+I1273</f>
        <v>0</v>
      </c>
    </row>
    <row r="1260" spans="1:12" s="658" customFormat="1" ht="15">
      <c r="B1260" s="1551" t="str">
        <f>'8.Dgia'!B3057</f>
        <v/>
      </c>
      <c r="C1260" s="1555">
        <f>'8.Dgia'!C3057</f>
        <v>0</v>
      </c>
      <c r="D1260" s="1552">
        <f>'8.Dgia'!D3057</f>
        <v>0</v>
      </c>
      <c r="E1260" s="2018" t="str">
        <f>'8.Dgia'!E3057</f>
        <v xml:space="preserve">  A - Vật liệu</v>
      </c>
      <c r="F1260" s="1771">
        <f>'8.Dgia'!G3057</f>
        <v>0</v>
      </c>
      <c r="G1260" s="1772">
        <f>'8.Dgia'!H3057</f>
        <v>0</v>
      </c>
      <c r="H1260" s="1853"/>
      <c r="I1260" s="1854">
        <f>SUM(I1261:I1262)</f>
        <v>51272</v>
      </c>
      <c r="J1260" s="850"/>
      <c r="K1260" s="850"/>
      <c r="L1260" s="850"/>
    </row>
    <row r="1261" spans="1:12" ht="15">
      <c r="B1261" s="1551" t="str">
        <f>'8.Dgia'!B3058</f>
        <v/>
      </c>
      <c r="C1261" s="1555">
        <f>'8.Dgia'!C3058</f>
        <v>0</v>
      </c>
      <c r="D1261" s="1552">
        <f>'8.Dgia'!D3058</f>
        <v>0</v>
      </c>
      <c r="E1261" s="1775" t="str">
        <f>'8.Dgia'!E3058</f>
        <v xml:space="preserve">Sơn </v>
      </c>
      <c r="F1261" s="1771" t="str">
        <f>'8.Dgia'!G3058</f>
        <v>kg</v>
      </c>
      <c r="G1261" s="1772">
        <f>'8.Dgia'!H3058</f>
        <v>0.57999999999999996</v>
      </c>
      <c r="H1261" s="1853">
        <f>GVL!$I$159</f>
        <v>86666.666666666672</v>
      </c>
      <c r="I1261" s="1824">
        <f>H1261*G1261</f>
        <v>50266.666666666664</v>
      </c>
    </row>
    <row r="1262" spans="1:12" ht="15">
      <c r="B1262" s="1551" t="str">
        <f>'8.Dgia'!B3059</f>
        <v/>
      </c>
      <c r="C1262" s="1555">
        <f>'8.Dgia'!C3059</f>
        <v>0</v>
      </c>
      <c r="D1262" s="1552">
        <f>'8.Dgia'!D3059</f>
        <v>0</v>
      </c>
      <c r="E1262" s="1775" t="str">
        <f>'8.Dgia'!E3059</f>
        <v>Vật liệu khác</v>
      </c>
      <c r="F1262" s="1771" t="str">
        <f>'8.Dgia'!G3059</f>
        <v>%</v>
      </c>
      <c r="G1262" s="1772">
        <f>'8.Dgia'!H3059</f>
        <v>2</v>
      </c>
      <c r="H1262" s="1853">
        <f>+I1261</f>
        <v>50266.666666666664</v>
      </c>
      <c r="I1262" s="1824">
        <f>H1262*G1262%</f>
        <v>1005.3333333333333</v>
      </c>
    </row>
    <row r="1263" spans="1:12" s="658" customFormat="1" ht="15">
      <c r="B1263" s="1551" t="str">
        <f>'8.Dgia'!B3060</f>
        <v/>
      </c>
      <c r="C1263" s="1555">
        <f>'8.Dgia'!C3060</f>
        <v>0</v>
      </c>
      <c r="D1263" s="1552">
        <f>'8.Dgia'!D3060</f>
        <v>0</v>
      </c>
      <c r="E1263" s="1775" t="str">
        <f>'8.Dgia'!E3060</f>
        <v xml:space="preserve">  B - Nhân công 4.0/7</v>
      </c>
      <c r="F1263" s="1771" t="s">
        <v>552</v>
      </c>
      <c r="G1263" s="1772">
        <f>'8.Dgia'!H3060</f>
        <v>0.13</v>
      </c>
      <c r="H1263" s="1853">
        <f>'16.NC'!$G$18</f>
        <v>232108</v>
      </c>
      <c r="I1263" s="1854">
        <f>H1263*G1263</f>
        <v>30174.04</v>
      </c>
      <c r="J1263" s="850"/>
      <c r="K1263" s="850"/>
      <c r="L1263" s="850"/>
    </row>
    <row r="1264" spans="1:12" ht="15">
      <c r="B1264" s="1551"/>
      <c r="C1264" s="1555"/>
      <c r="D1264" s="1552"/>
      <c r="E1264" s="1828" t="s">
        <v>5675</v>
      </c>
      <c r="F1264" s="1856">
        <f>$J$5</f>
        <v>0.02</v>
      </c>
      <c r="G1264" s="1772"/>
      <c r="H1264" s="1853"/>
      <c r="I1264" s="1863">
        <f>( I1260+I1263 )*F1264</f>
        <v>1628.9208000000001</v>
      </c>
    </row>
    <row r="1265" spans="1:10" ht="15">
      <c r="B1265" s="1551"/>
      <c r="C1265" s="1555"/>
      <c r="D1265" s="1552"/>
      <c r="E1265" s="1831" t="s">
        <v>5676</v>
      </c>
      <c r="F1265" s="1831"/>
      <c r="G1265" s="1772"/>
      <c r="H1265" s="1853"/>
      <c r="I1265" s="1833">
        <f>I1264+I1264/F1264</f>
        <v>83074.960800000015</v>
      </c>
    </row>
    <row r="1266" spans="1:10" ht="15">
      <c r="B1266" s="1551"/>
      <c r="C1266" s="1555"/>
      <c r="D1266" s="1552"/>
      <c r="E1266" s="1834" t="s">
        <v>5677</v>
      </c>
      <c r="F1266" s="1858">
        <f>$K$5</f>
        <v>5.7750000000000003E-2</v>
      </c>
      <c r="G1266" s="1772"/>
      <c r="H1266" s="1853"/>
      <c r="I1266" s="1835">
        <f>I1265*F1266</f>
        <v>4797.5789862000011</v>
      </c>
    </row>
    <row r="1267" spans="1:10" ht="15">
      <c r="B1267" s="1551"/>
      <c r="C1267" s="1555"/>
      <c r="D1267" s="1552"/>
      <c r="E1267" s="1834" t="s">
        <v>5678</v>
      </c>
      <c r="F1267" s="1856">
        <f>$L$5</f>
        <v>0.06</v>
      </c>
      <c r="G1267" s="1772"/>
      <c r="H1267" s="1853"/>
      <c r="I1267" s="1835">
        <f>SUM(I1265:I1266)*F1267</f>
        <v>5272.3523871720008</v>
      </c>
    </row>
    <row r="1268" spans="1:10" ht="15">
      <c r="B1268" s="1551"/>
      <c r="C1268" s="1555"/>
      <c r="D1268" s="1552"/>
      <c r="E1268" s="1831" t="s">
        <v>5679</v>
      </c>
      <c r="F1268" s="1831"/>
      <c r="G1268" s="1772"/>
      <c r="H1268" s="1853"/>
      <c r="I1268" s="1833">
        <f>SUM(I1265:I1267)</f>
        <v>93144.892173372005</v>
      </c>
    </row>
    <row r="1269" spans="1:10" ht="15">
      <c r="B1269" s="1551"/>
      <c r="C1269" s="1555"/>
      <c r="D1269" s="1552"/>
      <c r="E1269" s="1834" t="s">
        <v>5680</v>
      </c>
      <c r="F1269" s="1856">
        <f>$M$5</f>
        <v>0.1</v>
      </c>
      <c r="G1269" s="1772"/>
      <c r="H1269" s="1853"/>
      <c r="I1269" s="1835">
        <f>I1268*F1269</f>
        <v>9314.4892173372009</v>
      </c>
    </row>
    <row r="1270" spans="1:10" ht="15">
      <c r="B1270" s="1551"/>
      <c r="C1270" s="1555"/>
      <c r="D1270" s="1552"/>
      <c r="E1270" s="1831" t="s">
        <v>5681</v>
      </c>
      <c r="F1270" s="1831"/>
      <c r="G1270" s="1772"/>
      <c r="H1270" s="1853"/>
      <c r="I1270" s="1833">
        <f>SUM(I1268:I1269)</f>
        <v>102459.38139070921</v>
      </c>
    </row>
    <row r="1271" spans="1:10" ht="12.75">
      <c r="B1271" s="1551"/>
      <c r="C1271" s="1555"/>
      <c r="D1271" s="1552"/>
      <c r="E1271" s="1558" t="s">
        <v>5682</v>
      </c>
      <c r="F1271" s="1595">
        <f>$N$5</f>
        <v>0.01</v>
      </c>
      <c r="G1271" s="1553"/>
      <c r="H1271" s="1594"/>
      <c r="I1271" s="1559">
        <f>I1270*F1271</f>
        <v>1024.5938139070922</v>
      </c>
    </row>
    <row r="1272" spans="1:10" ht="15">
      <c r="B1272" s="1596"/>
      <c r="C1272" s="1597"/>
      <c r="D1272" s="1597"/>
      <c r="E1272" s="1859" t="s">
        <v>5683</v>
      </c>
      <c r="F1272" s="1859"/>
      <c r="G1272" s="1860"/>
      <c r="H1272" s="1861"/>
      <c r="I1272" s="1862">
        <f>ROUND(I1270+I1271,-2)</f>
        <v>103500</v>
      </c>
    </row>
    <row r="1273" spans="1:10" ht="15">
      <c r="A1273" s="657">
        <v>1</v>
      </c>
      <c r="B1273" s="1549">
        <f>IF(A1273&lt;&gt;0,COUNTA(A$7:$A1273),"")</f>
        <v>77</v>
      </c>
      <c r="C1273" s="1472">
        <f>'8.Dgia'!C3061</f>
        <v>0</v>
      </c>
      <c r="D1273" s="1694" t="str">
        <f>'8.Dgia'!D3061</f>
        <v>Báo giá</v>
      </c>
      <c r="E1273" s="1877" t="str">
        <f>'8.Dgia'!E3061</f>
        <v>Cung cấp trụ đỡ tôn lượn sóng L=1.3m</v>
      </c>
      <c r="F1273" s="1878" t="str">
        <f>'8.Dgia'!G3061</f>
        <v>cột</v>
      </c>
      <c r="G1273" s="1879">
        <f>'8.Dgia'!H3061</f>
        <v>0</v>
      </c>
      <c r="H1273" s="1880"/>
      <c r="I1273" s="1881"/>
      <c r="J1273" s="842">
        <f>+I1274</f>
        <v>852800</v>
      </c>
    </row>
    <row r="1274" spans="1:10" ht="15">
      <c r="B1274" s="362" t="str">
        <f>'8.Dgia'!B3062</f>
        <v/>
      </c>
      <c r="C1274" s="1472">
        <f>'8.Dgia'!C3062</f>
        <v>0</v>
      </c>
      <c r="D1274" s="1482">
        <f>'8.Dgia'!D3062</f>
        <v>0</v>
      </c>
      <c r="E1274" s="2011" t="str">
        <f>'8.Dgia'!E3062</f>
        <v xml:space="preserve">  A - Vật liệu</v>
      </c>
      <c r="F1274" s="1882">
        <f>'8.Dgia'!G3062</f>
        <v>0</v>
      </c>
      <c r="G1274" s="1809">
        <f>'8.Dgia'!H3062</f>
        <v>0</v>
      </c>
      <c r="H1274" s="1883"/>
      <c r="I1274" s="1884">
        <f>SUM(I1275:I1275)</f>
        <v>852800</v>
      </c>
    </row>
    <row r="1275" spans="1:10" ht="15">
      <c r="B1275" s="362" t="str">
        <f>'8.Dgia'!B3063</f>
        <v/>
      </c>
      <c r="C1275" s="1472">
        <f>'8.Dgia'!C3063</f>
        <v>0</v>
      </c>
      <c r="D1275" s="1482">
        <f>'8.Dgia'!D3063</f>
        <v>0</v>
      </c>
      <c r="E1275" s="1811" t="str">
        <f>'8.Dgia'!E3063</f>
        <v>Trụ đỡ tôn lượn sóng L=1.3m</v>
      </c>
      <c r="F1275" s="1882" t="str">
        <f>'8.Dgia'!G3063</f>
        <v>cột</v>
      </c>
      <c r="G1275" s="1809">
        <f>'8.Dgia'!H3063</f>
        <v>1</v>
      </c>
      <c r="H1275" s="1883">
        <f>GVL!$I$185</f>
        <v>852800</v>
      </c>
      <c r="I1275" s="1792">
        <f>H1275*G1275</f>
        <v>852800</v>
      </c>
    </row>
    <row r="1276" spans="1:10" ht="15">
      <c r="B1276" s="362"/>
      <c r="C1276" s="1472"/>
      <c r="D1276" s="1482"/>
      <c r="E1276" s="1813" t="s">
        <v>5675</v>
      </c>
      <c r="F1276" s="1885">
        <f>$J$5</f>
        <v>0.02</v>
      </c>
      <c r="G1276" s="1809"/>
      <c r="H1276" s="1883"/>
      <c r="I1276" s="1886">
        <f>( I1274 )*F1276</f>
        <v>17056</v>
      </c>
    </row>
    <row r="1277" spans="1:10" ht="15">
      <c r="B1277" s="362"/>
      <c r="C1277" s="1472"/>
      <c r="D1277" s="1482"/>
      <c r="E1277" s="1817" t="s">
        <v>5676</v>
      </c>
      <c r="F1277" s="1817"/>
      <c r="G1277" s="1809"/>
      <c r="H1277" s="1883"/>
      <c r="I1277" s="1820">
        <f>I1276+I1276/F1276</f>
        <v>869856</v>
      </c>
    </row>
    <row r="1278" spans="1:10" ht="15">
      <c r="B1278" s="362"/>
      <c r="C1278" s="1472"/>
      <c r="D1278" s="1482"/>
      <c r="E1278" s="1821" t="s">
        <v>5677</v>
      </c>
      <c r="F1278" s="1887">
        <f>$K$5</f>
        <v>5.7750000000000003E-2</v>
      </c>
      <c r="G1278" s="1809"/>
      <c r="H1278" s="1883"/>
      <c r="I1278" s="1822">
        <f>I1277*F1278</f>
        <v>50234.184000000001</v>
      </c>
    </row>
    <row r="1279" spans="1:10" ht="15">
      <c r="B1279" s="362"/>
      <c r="C1279" s="1472"/>
      <c r="D1279" s="1482"/>
      <c r="E1279" s="1821" t="s">
        <v>5678</v>
      </c>
      <c r="F1279" s="1885">
        <f>$L$5</f>
        <v>0.06</v>
      </c>
      <c r="G1279" s="1809"/>
      <c r="H1279" s="1883"/>
      <c r="I1279" s="1822">
        <f>SUM(I1277:I1278)*F1279</f>
        <v>55205.411039999999</v>
      </c>
    </row>
    <row r="1280" spans="1:10" ht="15">
      <c r="B1280" s="362"/>
      <c r="C1280" s="1472"/>
      <c r="D1280" s="1482"/>
      <c r="E1280" s="1817" t="s">
        <v>5679</v>
      </c>
      <c r="F1280" s="1817"/>
      <c r="G1280" s="1809"/>
      <c r="H1280" s="1883"/>
      <c r="I1280" s="1820">
        <f>SUM(I1277:I1279)</f>
        <v>975295.59504000004</v>
      </c>
    </row>
    <row r="1281" spans="1:10" ht="15">
      <c r="B1281" s="362"/>
      <c r="C1281" s="1472"/>
      <c r="D1281" s="1482"/>
      <c r="E1281" s="1821" t="s">
        <v>5680</v>
      </c>
      <c r="F1281" s="1885">
        <f>$M$5</f>
        <v>0.1</v>
      </c>
      <c r="G1281" s="1809"/>
      <c r="H1281" s="1883"/>
      <c r="I1281" s="1822">
        <f>I1280*F1281</f>
        <v>97529.559504000004</v>
      </c>
    </row>
    <row r="1282" spans="1:10" ht="15">
      <c r="B1282" s="362"/>
      <c r="C1282" s="1472"/>
      <c r="D1282" s="1482"/>
      <c r="E1282" s="1817" t="s">
        <v>5681</v>
      </c>
      <c r="F1282" s="1817"/>
      <c r="G1282" s="1809"/>
      <c r="H1282" s="1883"/>
      <c r="I1282" s="1820">
        <f>SUM(I1280:I1281)</f>
        <v>1072825.154544</v>
      </c>
    </row>
    <row r="1283" spans="1:10" ht="12.75">
      <c r="B1283" s="362"/>
      <c r="C1283" s="1472"/>
      <c r="D1283" s="1482"/>
      <c r="E1283" s="1475" t="s">
        <v>5682</v>
      </c>
      <c r="F1283" s="1474">
        <f>$N$5</f>
        <v>0.01</v>
      </c>
      <c r="G1283" s="1483"/>
      <c r="H1283" s="848"/>
      <c r="I1283" s="1476">
        <f>I1282*F1283</f>
        <v>10728.25154544</v>
      </c>
    </row>
    <row r="1284" spans="1:10" ht="15">
      <c r="B1284" s="1470"/>
      <c r="C1284" s="1473"/>
      <c r="D1284" s="1473"/>
      <c r="E1284" s="1888" t="s">
        <v>5683</v>
      </c>
      <c r="F1284" s="1888"/>
      <c r="G1284" s="1889"/>
      <c r="H1284" s="1890"/>
      <c r="I1284" s="1862">
        <f>ROUND(I1282+I1283,-2)</f>
        <v>1083600</v>
      </c>
    </row>
    <row r="1285" spans="1:10" ht="15">
      <c r="A1285" s="657">
        <v>1</v>
      </c>
      <c r="B1285" s="1549">
        <f>IF(A1285&lt;&gt;0,COUNTA(A$7:$A1285),"")</f>
        <v>78</v>
      </c>
      <c r="C1285" s="1472">
        <f>'8.Dgia'!C3064</f>
        <v>0</v>
      </c>
      <c r="D1285" s="1694" t="str">
        <f>'8.Dgia'!D3064</f>
        <v>Báo giá</v>
      </c>
      <c r="E1285" s="1877" t="str">
        <f>'8.Dgia'!E3064</f>
        <v>Cung cấp đầu tôn sóng</v>
      </c>
      <c r="F1285" s="1771" t="s">
        <v>567</v>
      </c>
      <c r="G1285" s="1879">
        <f>'8.Dgia'!H3064</f>
        <v>0</v>
      </c>
      <c r="H1285" s="1880"/>
      <c r="I1285" s="1881"/>
      <c r="J1285" s="842">
        <f>+I1286</f>
        <v>222000</v>
      </c>
    </row>
    <row r="1286" spans="1:10" ht="15">
      <c r="B1286" s="362" t="str">
        <f>'8.Dgia'!B3065</f>
        <v/>
      </c>
      <c r="C1286" s="1472">
        <f>'8.Dgia'!C3065</f>
        <v>0</v>
      </c>
      <c r="D1286" s="1482">
        <f>'8.Dgia'!D3065</f>
        <v>0</v>
      </c>
      <c r="E1286" s="2011" t="str">
        <f>'8.Dgia'!E3065</f>
        <v xml:space="preserve">  A - Vật liệu</v>
      </c>
      <c r="F1286" s="1882">
        <f>'8.Dgia'!G3065</f>
        <v>0</v>
      </c>
      <c r="G1286" s="1809">
        <f>'8.Dgia'!H3065</f>
        <v>0</v>
      </c>
      <c r="H1286" s="1883"/>
      <c r="I1286" s="1884">
        <f>SUM(I1287:I1287)</f>
        <v>222000</v>
      </c>
    </row>
    <row r="1287" spans="1:10" ht="15">
      <c r="B1287" s="362" t="str">
        <f>'8.Dgia'!B3066</f>
        <v/>
      </c>
      <c r="C1287" s="1472">
        <f>'8.Dgia'!C3066</f>
        <v>0</v>
      </c>
      <c r="D1287" s="1482">
        <f>'8.Dgia'!D3066</f>
        <v>0</v>
      </c>
      <c r="E1287" s="1811" t="str">
        <f>'8.Dgia'!E3066</f>
        <v>Đầu tôn sóng dài 0.7m</v>
      </c>
      <c r="F1287" s="1771" t="s">
        <v>567</v>
      </c>
      <c r="G1287" s="1809">
        <f>'8.Dgia'!H3066</f>
        <v>1</v>
      </c>
      <c r="H1287" s="1883">
        <f>GVL!$I$77</f>
        <v>222000</v>
      </c>
      <c r="I1287" s="1792">
        <f>H1287*G1287</f>
        <v>222000</v>
      </c>
    </row>
    <row r="1288" spans="1:10" ht="15">
      <c r="B1288" s="362"/>
      <c r="C1288" s="1472"/>
      <c r="D1288" s="1482"/>
      <c r="E1288" s="1813" t="s">
        <v>5675</v>
      </c>
      <c r="F1288" s="1885">
        <f>$J$5</f>
        <v>0.02</v>
      </c>
      <c r="G1288" s="1809"/>
      <c r="H1288" s="1883"/>
      <c r="I1288" s="1886">
        <f>( I1286 )*F1288</f>
        <v>4440</v>
      </c>
    </row>
    <row r="1289" spans="1:10" ht="15">
      <c r="B1289" s="362"/>
      <c r="C1289" s="1472"/>
      <c r="D1289" s="1482"/>
      <c r="E1289" s="1817" t="s">
        <v>5676</v>
      </c>
      <c r="F1289" s="1817"/>
      <c r="G1289" s="1809"/>
      <c r="H1289" s="1883"/>
      <c r="I1289" s="1820">
        <f>I1288+I1288/F1288</f>
        <v>226440</v>
      </c>
    </row>
    <row r="1290" spans="1:10" ht="15">
      <c r="B1290" s="362"/>
      <c r="C1290" s="1472"/>
      <c r="D1290" s="1482"/>
      <c r="E1290" s="1821" t="s">
        <v>5677</v>
      </c>
      <c r="F1290" s="1887">
        <f>$K$5</f>
        <v>5.7750000000000003E-2</v>
      </c>
      <c r="G1290" s="1809"/>
      <c r="H1290" s="1883"/>
      <c r="I1290" s="1822">
        <f>I1289*F1290</f>
        <v>13076.91</v>
      </c>
    </row>
    <row r="1291" spans="1:10" ht="15">
      <c r="B1291" s="362"/>
      <c r="C1291" s="1472"/>
      <c r="D1291" s="1482"/>
      <c r="E1291" s="1821" t="s">
        <v>5678</v>
      </c>
      <c r="F1291" s="1885">
        <f>$L$5</f>
        <v>0.06</v>
      </c>
      <c r="G1291" s="1809"/>
      <c r="H1291" s="1883"/>
      <c r="I1291" s="1822">
        <f>SUM(I1289:I1290)*F1291</f>
        <v>14371.0146</v>
      </c>
    </row>
    <row r="1292" spans="1:10" ht="15">
      <c r="B1292" s="362"/>
      <c r="C1292" s="1472"/>
      <c r="D1292" s="1482"/>
      <c r="E1292" s="1817" t="s">
        <v>5679</v>
      </c>
      <c r="F1292" s="1817"/>
      <c r="G1292" s="1809"/>
      <c r="H1292" s="1883"/>
      <c r="I1292" s="1820">
        <f>SUM(I1289:I1291)</f>
        <v>253887.9246</v>
      </c>
    </row>
    <row r="1293" spans="1:10" ht="15">
      <c r="B1293" s="362"/>
      <c r="C1293" s="1472"/>
      <c r="D1293" s="1482"/>
      <c r="E1293" s="1821" t="s">
        <v>5680</v>
      </c>
      <c r="F1293" s="1885">
        <f>$M$5</f>
        <v>0.1</v>
      </c>
      <c r="G1293" s="1809"/>
      <c r="H1293" s="1883"/>
      <c r="I1293" s="1822">
        <f>I1292*F1293</f>
        <v>25388.792460000001</v>
      </c>
    </row>
    <row r="1294" spans="1:10" ht="15">
      <c r="B1294" s="362"/>
      <c r="C1294" s="1472"/>
      <c r="D1294" s="1482"/>
      <c r="E1294" s="1817" t="s">
        <v>5681</v>
      </c>
      <c r="F1294" s="1817"/>
      <c r="G1294" s="1809"/>
      <c r="H1294" s="1883"/>
      <c r="I1294" s="1820">
        <f>SUM(I1292:I1293)</f>
        <v>279276.71706</v>
      </c>
    </row>
    <row r="1295" spans="1:10" ht="12.75">
      <c r="B1295" s="362"/>
      <c r="C1295" s="1472"/>
      <c r="D1295" s="1482"/>
      <c r="E1295" s="1475" t="s">
        <v>5682</v>
      </c>
      <c r="F1295" s="1474">
        <f>$N$5</f>
        <v>0.01</v>
      </c>
      <c r="G1295" s="1483"/>
      <c r="H1295" s="848"/>
      <c r="I1295" s="1476">
        <f>I1294*F1295</f>
        <v>2792.7671706000001</v>
      </c>
    </row>
    <row r="1296" spans="1:10" ht="15">
      <c r="B1296" s="1470"/>
      <c r="C1296" s="1473"/>
      <c r="D1296" s="1473"/>
      <c r="E1296" s="1888" t="s">
        <v>5683</v>
      </c>
      <c r="F1296" s="1888"/>
      <c r="G1296" s="1889"/>
      <c r="H1296" s="1890"/>
      <c r="I1296" s="1862">
        <f>ROUND(I1294+I1295,-2)</f>
        <v>282100</v>
      </c>
    </row>
    <row r="1297" spans="1:12" ht="15">
      <c r="A1297" s="657">
        <v>1</v>
      </c>
      <c r="B1297" s="1549">
        <f>IF(A1297&lt;&gt;0,COUNTA(A$7:$A1297),"")</f>
        <v>79</v>
      </c>
      <c r="C1297" s="1472">
        <f>'8.Dgia'!C3067</f>
        <v>0</v>
      </c>
      <c r="D1297" s="1694" t="str">
        <f>'8.Dgia'!D3067</f>
        <v>Tạm tính</v>
      </c>
      <c r="E1297" s="1877" t="str">
        <f>'8.Dgia'!E3067</f>
        <v>Thép tấm phản quang 40x180x5</v>
      </c>
      <c r="F1297" s="1771" t="s">
        <v>567</v>
      </c>
      <c r="G1297" s="1879">
        <f>'8.Dgia'!H3067</f>
        <v>0</v>
      </c>
      <c r="H1297" s="1880"/>
      <c r="I1297" s="1881"/>
      <c r="J1297" s="842">
        <f>+I1298</f>
        <v>42000</v>
      </c>
    </row>
    <row r="1298" spans="1:12" ht="15">
      <c r="B1298" s="362" t="str">
        <f>'8.Dgia'!B3068</f>
        <v/>
      </c>
      <c r="C1298" s="1472">
        <f>'8.Dgia'!C3068</f>
        <v>0</v>
      </c>
      <c r="D1298" s="1482">
        <f>'8.Dgia'!D3068</f>
        <v>0</v>
      </c>
      <c r="E1298" s="2011" t="str">
        <f>'8.Dgia'!E3068</f>
        <v xml:space="preserve">  A - Vật liệu</v>
      </c>
      <c r="F1298" s="1882">
        <f>'8.Dgia'!G3068</f>
        <v>0</v>
      </c>
      <c r="G1298" s="1809">
        <f>'8.Dgia'!H3068</f>
        <v>0</v>
      </c>
      <c r="H1298" s="1883"/>
      <c r="I1298" s="1884">
        <f>SUM(I1299:I1299)</f>
        <v>42000</v>
      </c>
    </row>
    <row r="1299" spans="1:12" ht="15">
      <c r="B1299" s="362" t="str">
        <f>'8.Dgia'!B3069</f>
        <v/>
      </c>
      <c r="C1299" s="1472">
        <f>'8.Dgia'!C3069</f>
        <v>0</v>
      </c>
      <c r="D1299" s="1482">
        <f>'8.Dgia'!D3069</f>
        <v>0</v>
      </c>
      <c r="E1299" s="1811" t="str">
        <f>'8.Dgia'!E3069</f>
        <v>Thép tấm phản quang 40x180x5</v>
      </c>
      <c r="F1299" s="1771" t="s">
        <v>567</v>
      </c>
      <c r="G1299" s="1809">
        <f>'8.Dgia'!H3069</f>
        <v>1</v>
      </c>
      <c r="H1299" s="1883">
        <f>GVL!$I$178</f>
        <v>42000</v>
      </c>
      <c r="I1299" s="1792">
        <f>H1299*G1299</f>
        <v>42000</v>
      </c>
    </row>
    <row r="1300" spans="1:12" ht="15">
      <c r="B1300" s="362"/>
      <c r="C1300" s="1472"/>
      <c r="D1300" s="1482"/>
      <c r="E1300" s="1813" t="s">
        <v>5675</v>
      </c>
      <c r="F1300" s="1885">
        <f>$J$5</f>
        <v>0.02</v>
      </c>
      <c r="G1300" s="1809"/>
      <c r="H1300" s="1883"/>
      <c r="I1300" s="1886">
        <f>( I1298 )*F1300</f>
        <v>840</v>
      </c>
    </row>
    <row r="1301" spans="1:12" ht="15">
      <c r="B1301" s="362"/>
      <c r="C1301" s="1472"/>
      <c r="D1301" s="1482"/>
      <c r="E1301" s="1817" t="s">
        <v>5676</v>
      </c>
      <c r="F1301" s="1817"/>
      <c r="G1301" s="1809"/>
      <c r="H1301" s="1883"/>
      <c r="I1301" s="1820">
        <f>I1300+I1300/F1300</f>
        <v>42840</v>
      </c>
    </row>
    <row r="1302" spans="1:12" ht="15">
      <c r="B1302" s="362"/>
      <c r="C1302" s="1472"/>
      <c r="D1302" s="1482"/>
      <c r="E1302" s="1821" t="s">
        <v>5677</v>
      </c>
      <c r="F1302" s="1887">
        <f>$K$5</f>
        <v>5.7750000000000003E-2</v>
      </c>
      <c r="G1302" s="1809"/>
      <c r="H1302" s="1883"/>
      <c r="I1302" s="1822">
        <f>I1301*F1302</f>
        <v>2474.0100000000002</v>
      </c>
    </row>
    <row r="1303" spans="1:12" ht="15">
      <c r="B1303" s="362"/>
      <c r="C1303" s="1472"/>
      <c r="D1303" s="1482"/>
      <c r="E1303" s="1821" t="s">
        <v>5678</v>
      </c>
      <c r="F1303" s="1885">
        <f>$L$5</f>
        <v>0.06</v>
      </c>
      <c r="G1303" s="1809"/>
      <c r="H1303" s="1883"/>
      <c r="I1303" s="1822">
        <f>SUM(I1301:I1302)*F1303</f>
        <v>2718.8406</v>
      </c>
    </row>
    <row r="1304" spans="1:12" ht="15">
      <c r="B1304" s="362"/>
      <c r="C1304" s="1472"/>
      <c r="D1304" s="1482"/>
      <c r="E1304" s="1817" t="s">
        <v>5679</v>
      </c>
      <c r="F1304" s="1817"/>
      <c r="G1304" s="1809"/>
      <c r="H1304" s="1883"/>
      <c r="I1304" s="1820">
        <f>SUM(I1301:I1303)</f>
        <v>48032.850600000005</v>
      </c>
    </row>
    <row r="1305" spans="1:12" ht="15">
      <c r="B1305" s="362"/>
      <c r="C1305" s="1472"/>
      <c r="D1305" s="1482"/>
      <c r="E1305" s="1821" t="s">
        <v>5680</v>
      </c>
      <c r="F1305" s="1885">
        <f>$M$5</f>
        <v>0.1</v>
      </c>
      <c r="G1305" s="1809"/>
      <c r="H1305" s="1883"/>
      <c r="I1305" s="1822">
        <f>I1304*F1305</f>
        <v>4803.2850600000011</v>
      </c>
    </row>
    <row r="1306" spans="1:12" ht="15">
      <c r="B1306" s="362"/>
      <c r="C1306" s="1472"/>
      <c r="D1306" s="1482"/>
      <c r="E1306" s="1817" t="s">
        <v>5681</v>
      </c>
      <c r="F1306" s="1817"/>
      <c r="G1306" s="1809"/>
      <c r="H1306" s="1883"/>
      <c r="I1306" s="1820">
        <f>SUM(I1304:I1305)</f>
        <v>52836.135660000007</v>
      </c>
    </row>
    <row r="1307" spans="1:12" ht="12.75">
      <c r="B1307" s="362"/>
      <c r="C1307" s="1472"/>
      <c r="D1307" s="1482"/>
      <c r="E1307" s="1475" t="s">
        <v>5682</v>
      </c>
      <c r="F1307" s="1474">
        <f>$N$5</f>
        <v>0.01</v>
      </c>
      <c r="G1307" s="1483"/>
      <c r="H1307" s="848"/>
      <c r="I1307" s="1476">
        <f>I1306*F1307</f>
        <v>528.36135660000014</v>
      </c>
    </row>
    <row r="1308" spans="1:12" ht="15">
      <c r="B1308" s="1470"/>
      <c r="C1308" s="1473"/>
      <c r="D1308" s="1473"/>
      <c r="E1308" s="1888" t="s">
        <v>5683</v>
      </c>
      <c r="F1308" s="1888"/>
      <c r="G1308" s="1889"/>
      <c r="H1308" s="1890"/>
      <c r="I1308" s="1862">
        <f>ROUND(I1306+I1307,-2)</f>
        <v>53400</v>
      </c>
    </row>
    <row r="1309" spans="1:12" ht="30">
      <c r="A1309" s="657">
        <v>1</v>
      </c>
      <c r="B1309" s="1549">
        <f>IF(A1309&lt;&gt;0,COUNTA(A$7:$A1309),"")</f>
        <v>80</v>
      </c>
      <c r="C1309" s="1555">
        <f>'8.Dgia'!C3070</f>
        <v>1776</v>
      </c>
      <c r="D1309" s="1696" t="str">
        <f>'8.Dgia'!D3070</f>
        <v>AI.13131</v>
      </c>
      <c r="E1309" s="1848" t="str">
        <f>'8.Dgia'!E3070</f>
        <v>Sản xuất thép bản cọc tiêu, KH=2%*8 tháng (8 tháng quan trắc)</v>
      </c>
      <c r="F1309" s="1849" t="str">
        <f>'8.Dgia'!G3070</f>
        <v>tấn/ton</v>
      </c>
      <c r="G1309" s="1850">
        <f>'8.Dgia'!H3070</f>
        <v>0.16</v>
      </c>
      <c r="H1309" s="1851"/>
      <c r="I1309" s="1852"/>
      <c r="J1309" s="842">
        <f>+I1310</f>
        <v>3000924.2223410904</v>
      </c>
      <c r="K1309" s="842">
        <f>+I1318</f>
        <v>7009511.4400000004</v>
      </c>
      <c r="L1309" s="842">
        <f>+I1319</f>
        <v>667446.47363250004</v>
      </c>
    </row>
    <row r="1310" spans="1:12" s="658" customFormat="1" ht="15">
      <c r="B1310" s="1551" t="str">
        <f>'8.Dgia'!B3071</f>
        <v/>
      </c>
      <c r="C1310" s="1555">
        <f>'8.Dgia'!C3071</f>
        <v>0</v>
      </c>
      <c r="D1310" s="1552">
        <f>'8.Dgia'!D3071</f>
        <v>0</v>
      </c>
      <c r="E1310" s="2018" t="str">
        <f>'8.Dgia'!E3071</f>
        <v xml:space="preserve">  A - Vật liệu</v>
      </c>
      <c r="F1310" s="1771">
        <f>'8.Dgia'!G3071</f>
        <v>0</v>
      </c>
      <c r="G1310" s="1772">
        <f>'8.Dgia'!H3071</f>
        <v>0</v>
      </c>
      <c r="H1310" s="1853"/>
      <c r="I1310" s="1854">
        <f>SUM(I1311:I1317)</f>
        <v>3000924.2223410904</v>
      </c>
      <c r="J1310" s="850"/>
      <c r="K1310" s="850"/>
      <c r="L1310" s="850"/>
    </row>
    <row r="1311" spans="1:12" ht="15">
      <c r="B1311" s="1551" t="str">
        <f>'8.Dgia'!B3072</f>
        <v/>
      </c>
      <c r="C1311" s="1555">
        <f>'8.Dgia'!C3072</f>
        <v>0</v>
      </c>
      <c r="D1311" s="1552" t="str">
        <f>'8.Dgia'!D3072</f>
        <v>KH</v>
      </c>
      <c r="E1311" s="1775" t="str">
        <f>'8.Dgia'!E3072</f>
        <v>Thép tấm</v>
      </c>
      <c r="F1311" s="1771" t="str">
        <f>'8.Dgia'!G3072</f>
        <v>kg</v>
      </c>
      <c r="G1311" s="1772">
        <f>'8.Dgia'!H3072</f>
        <v>125.92</v>
      </c>
      <c r="H1311" s="1853">
        <f>GVL!$I$175</f>
        <v>12871.348287272725</v>
      </c>
      <c r="I1311" s="1824">
        <f t="shared" ref="I1311:I1316" si="2">H1311*G1311</f>
        <v>1620760.1763333816</v>
      </c>
    </row>
    <row r="1312" spans="1:12" ht="15">
      <c r="B1312" s="1551" t="str">
        <f>'8.Dgia'!B3073</f>
        <v/>
      </c>
      <c r="C1312" s="1555">
        <f>'8.Dgia'!C3073</f>
        <v>0</v>
      </c>
      <c r="D1312" s="1552" t="str">
        <f>'8.Dgia'!D3073</f>
        <v>KH</v>
      </c>
      <c r="E1312" s="1775" t="str">
        <f>'8.Dgia'!E3073</f>
        <v>Thép tròn D&lt;=18</v>
      </c>
      <c r="F1312" s="1771" t="str">
        <f>'8.Dgia'!G3073</f>
        <v>kg</v>
      </c>
      <c r="G1312" s="1772">
        <f>'8.Dgia'!H3073</f>
        <v>42.08</v>
      </c>
      <c r="H1312" s="1853">
        <f>GVL!$I$180</f>
        <v>16604.075560000001</v>
      </c>
      <c r="I1312" s="1824">
        <f t="shared" si="2"/>
        <v>698699.49956480006</v>
      </c>
    </row>
    <row r="1313" spans="2:12" ht="15" customHeight="1">
      <c r="B1313" s="1551" t="str">
        <f>'8.Dgia'!B3074</f>
        <v/>
      </c>
      <c r="C1313" s="1555">
        <f>'8.Dgia'!C3074</f>
        <v>0</v>
      </c>
      <c r="D1313" s="1552">
        <f>'8.Dgia'!D3074</f>
        <v>0</v>
      </c>
      <c r="E1313" s="1775" t="str">
        <f>'8.Dgia'!E3074</f>
        <v>Ô xy</v>
      </c>
      <c r="F1313" s="1771" t="s">
        <v>565</v>
      </c>
      <c r="G1313" s="1772">
        <f>'8.Dgia'!H3074</f>
        <v>2.69</v>
      </c>
      <c r="H1313" s="1853">
        <f>GVL!$I$130</f>
        <v>48000</v>
      </c>
      <c r="I1313" s="1824">
        <f t="shared" si="2"/>
        <v>129120</v>
      </c>
    </row>
    <row r="1314" spans="2:12" ht="15">
      <c r="B1314" s="1551" t="str">
        <f>'8.Dgia'!B3075</f>
        <v/>
      </c>
      <c r="C1314" s="1555">
        <f>'8.Dgia'!C3075</f>
        <v>0</v>
      </c>
      <c r="D1314" s="1552">
        <f>'8.Dgia'!D3075</f>
        <v>0</v>
      </c>
      <c r="E1314" s="1775" t="str">
        <f>'8.Dgia'!E3075</f>
        <v>Đất đèn</v>
      </c>
      <c r="F1314" s="1771" t="str">
        <f>'8.Dgia'!G3075</f>
        <v>kg</v>
      </c>
      <c r="G1314" s="1772">
        <f>'8.Dgia'!H3075</f>
        <v>12.09</v>
      </c>
      <c r="H1314" s="1853">
        <f>GVL!$I$68</f>
        <v>13600</v>
      </c>
      <c r="I1314" s="1824">
        <f t="shared" si="2"/>
        <v>164424</v>
      </c>
    </row>
    <row r="1315" spans="2:12" ht="15">
      <c r="B1315" s="1551" t="str">
        <f>'8.Dgia'!B3076</f>
        <v/>
      </c>
      <c r="C1315" s="1555">
        <f>'8.Dgia'!C3076</f>
        <v>0</v>
      </c>
      <c r="D1315" s="1552">
        <f>'8.Dgia'!D3076</f>
        <v>0</v>
      </c>
      <c r="E1315" s="1775" t="str">
        <f>'8.Dgia'!E3076</f>
        <v>Đá mài</v>
      </c>
      <c r="F1315" s="1771" t="str">
        <f>'8.Dgia'!G3076</f>
        <v>viên</v>
      </c>
      <c r="G1315" s="1772">
        <f>'8.Dgia'!H3076</f>
        <v>0.6</v>
      </c>
      <c r="H1315" s="1853">
        <f>GVL!$I$63</f>
        <v>25000</v>
      </c>
      <c r="I1315" s="1824">
        <f t="shared" si="2"/>
        <v>15000</v>
      </c>
    </row>
    <row r="1316" spans="2:12" ht="15">
      <c r="B1316" s="1551" t="str">
        <f>'8.Dgia'!B3077</f>
        <v/>
      </c>
      <c r="C1316" s="1555">
        <f>'8.Dgia'!C3077</f>
        <v>0</v>
      </c>
      <c r="D1316" s="1552">
        <f>'8.Dgia'!D3077</f>
        <v>0</v>
      </c>
      <c r="E1316" s="1775" t="str">
        <f>'8.Dgia'!E3077</f>
        <v>Que hàn</v>
      </c>
      <c r="F1316" s="1771" t="str">
        <f>'8.Dgia'!G3077</f>
        <v>kg</v>
      </c>
      <c r="G1316" s="1772">
        <f>'8.Dgia'!H3077</f>
        <v>15.7</v>
      </c>
      <c r="H1316" s="1853">
        <f>GVL!$I$153</f>
        <v>19090.909090909088</v>
      </c>
      <c r="I1316" s="1824">
        <f t="shared" si="2"/>
        <v>299727.27272727265</v>
      </c>
    </row>
    <row r="1317" spans="2:12" ht="15">
      <c r="B1317" s="1551" t="str">
        <f>'8.Dgia'!B3078</f>
        <v/>
      </c>
      <c r="C1317" s="1555">
        <f>'8.Dgia'!C3078</f>
        <v>0</v>
      </c>
      <c r="D1317" s="1552">
        <f>'8.Dgia'!D3078</f>
        <v>0</v>
      </c>
      <c r="E1317" s="1775" t="str">
        <f>'8.Dgia'!E3078</f>
        <v>Vật liệu khác</v>
      </c>
      <c r="F1317" s="1771" t="str">
        <f>'8.Dgia'!G3078</f>
        <v>%</v>
      </c>
      <c r="G1317" s="1772">
        <f>'8.Dgia'!H3078</f>
        <v>2.5</v>
      </c>
      <c r="H1317" s="1853">
        <f>SUM(I1311:I1316)</f>
        <v>2927730.9486254542</v>
      </c>
      <c r="I1317" s="1824">
        <f>H1317*G1317%</f>
        <v>73193.273715636358</v>
      </c>
    </row>
    <row r="1318" spans="2:12" s="658" customFormat="1" ht="15">
      <c r="B1318" s="1551" t="str">
        <f>'8.Dgia'!B3079</f>
        <v/>
      </c>
      <c r="C1318" s="1555">
        <f>'8.Dgia'!C3079</f>
        <v>0</v>
      </c>
      <c r="D1318" s="1552">
        <f>'8.Dgia'!D3079</f>
        <v>0</v>
      </c>
      <c r="E1318" s="1775" t="str">
        <f>'8.Dgia'!E3079</f>
        <v xml:space="preserve">  B - Nhân công 4.5/7</v>
      </c>
      <c r="F1318" s="1771" t="s">
        <v>552</v>
      </c>
      <c r="G1318" s="1772">
        <f>'8.Dgia'!H3079</f>
        <v>27.92</v>
      </c>
      <c r="H1318" s="1853">
        <f>'16.NC'!$G$20</f>
        <v>251057</v>
      </c>
      <c r="I1318" s="1854">
        <f>H1318*G1318</f>
        <v>7009511.4400000004</v>
      </c>
      <c r="J1318" s="850"/>
      <c r="K1318" s="850"/>
      <c r="L1318" s="850"/>
    </row>
    <row r="1319" spans="2:12" s="658" customFormat="1" ht="15">
      <c r="B1319" s="1551" t="str">
        <f>'8.Dgia'!B3080</f>
        <v/>
      </c>
      <c r="C1319" s="1555">
        <f>'8.Dgia'!C3080</f>
        <v>0</v>
      </c>
      <c r="D1319" s="1552">
        <f>'8.Dgia'!D3080</f>
        <v>0</v>
      </c>
      <c r="E1319" s="2018" t="str">
        <f>'8.Dgia'!E3080</f>
        <v xml:space="preserve">  C - Máy thi công</v>
      </c>
      <c r="F1319" s="1771">
        <f>'8.Dgia'!G3080</f>
        <v>0</v>
      </c>
      <c r="G1319" s="1772">
        <f>'8.Dgia'!H3080</f>
        <v>0</v>
      </c>
      <c r="H1319" s="1853"/>
      <c r="I1319" s="1854">
        <f>SUM(I1320:I1323)</f>
        <v>667446.47363250004</v>
      </c>
      <c r="J1319" s="850"/>
      <c r="K1319" s="850"/>
      <c r="L1319" s="850"/>
    </row>
    <row r="1320" spans="2:12" ht="15">
      <c r="B1320" s="1551" t="str">
        <f>'8.Dgia'!B3081</f>
        <v/>
      </c>
      <c r="C1320" s="1555">
        <f>'8.Dgia'!C3081</f>
        <v>0</v>
      </c>
      <c r="D1320" s="1552">
        <f>'8.Dgia'!D3081</f>
        <v>0</v>
      </c>
      <c r="E1320" s="1775" t="str">
        <f>'8.Dgia'!E3081</f>
        <v>Máy hàn 23kw</v>
      </c>
      <c r="F1320" s="1771" t="s">
        <v>5493</v>
      </c>
      <c r="G1320" s="1772">
        <f>'8.Dgia'!H3081</f>
        <v>2.62</v>
      </c>
      <c r="H1320" s="1853">
        <f>'9.may'!$P$510</f>
        <v>171649.155</v>
      </c>
      <c r="I1320" s="1824">
        <f>H1320*G1320</f>
        <v>449720.78610000003</v>
      </c>
    </row>
    <row r="1321" spans="2:12" ht="15">
      <c r="B1321" s="1551" t="str">
        <f>'8.Dgia'!B3082</f>
        <v/>
      </c>
      <c r="C1321" s="1555">
        <f>'8.Dgia'!C3082</f>
        <v>0</v>
      </c>
      <c r="D1321" s="1552">
        <f>'8.Dgia'!D3082</f>
        <v>0</v>
      </c>
      <c r="E1321" s="1775" t="str">
        <f>'8.Dgia'!E3082</f>
        <v>Máy mài 2.7kw</v>
      </c>
      <c r="F1321" s="1771" t="s">
        <v>5493</v>
      </c>
      <c r="G1321" s="1772">
        <f>'8.Dgia'!H3082</f>
        <v>1.29</v>
      </c>
      <c r="H1321" s="1853">
        <f>'9.may'!$P$564</f>
        <v>67591.852499999994</v>
      </c>
      <c r="I1321" s="1824">
        <f>H1321*G1321</f>
        <v>87193.489724999992</v>
      </c>
    </row>
    <row r="1322" spans="2:12" ht="15">
      <c r="B1322" s="1551" t="str">
        <f>'8.Dgia'!B3083</f>
        <v/>
      </c>
      <c r="C1322" s="1555">
        <f>'8.Dgia'!C3083</f>
        <v>0</v>
      </c>
      <c r="D1322" s="1552">
        <f>'8.Dgia'!D3083</f>
        <v>0</v>
      </c>
      <c r="E1322" s="1775" t="str">
        <f>'8.Dgia'!E3083</f>
        <v>Máy khoan 2.5kw</v>
      </c>
      <c r="F1322" s="1771" t="s">
        <v>5493</v>
      </c>
      <c r="G1322" s="1772">
        <f>'8.Dgia'!H3083</f>
        <v>1.29</v>
      </c>
      <c r="H1322" s="1853">
        <f>'9.may'!$P$757</f>
        <v>91042.645000000004</v>
      </c>
      <c r="I1322" s="1824">
        <f>H1322*G1322</f>
        <v>117445.01205</v>
      </c>
    </row>
    <row r="1323" spans="2:12" ht="15">
      <c r="B1323" s="1551" t="str">
        <f>'8.Dgia'!B3084</f>
        <v/>
      </c>
      <c r="C1323" s="1555">
        <f>'8.Dgia'!C3084</f>
        <v>0</v>
      </c>
      <c r="D1323" s="1552">
        <f>'8.Dgia'!D3084</f>
        <v>0</v>
      </c>
      <c r="E1323" s="1775" t="str">
        <f>'8.Dgia'!E3084</f>
        <v>Máy khác</v>
      </c>
      <c r="F1323" s="1771" t="str">
        <f>'8.Dgia'!G3084</f>
        <v>%</v>
      </c>
      <c r="G1323" s="1772">
        <f>'8.Dgia'!H3084</f>
        <v>2</v>
      </c>
      <c r="H1323" s="1853">
        <f>SUM(I1320:I1322)</f>
        <v>654359.28787500004</v>
      </c>
      <c r="I1323" s="1824">
        <f>H1323*G1323%</f>
        <v>13087.185757500001</v>
      </c>
    </row>
    <row r="1324" spans="2:12" ht="15">
      <c r="B1324" s="1551"/>
      <c r="C1324" s="1555"/>
      <c r="D1324" s="1552"/>
      <c r="E1324" s="1828" t="s">
        <v>5675</v>
      </c>
      <c r="F1324" s="1856">
        <f>$J$5</f>
        <v>0.02</v>
      </c>
      <c r="G1324" s="1772"/>
      <c r="H1324" s="1853"/>
      <c r="I1324" s="1863">
        <f>( I1310+I1318+I1319 )*F1324</f>
        <v>213557.64271947183</v>
      </c>
    </row>
    <row r="1325" spans="2:12" ht="15">
      <c r="B1325" s="1551"/>
      <c r="C1325" s="1555"/>
      <c r="D1325" s="1552"/>
      <c r="E1325" s="1831" t="s">
        <v>5676</v>
      </c>
      <c r="F1325" s="1831"/>
      <c r="G1325" s="1772"/>
      <c r="H1325" s="1853"/>
      <c r="I1325" s="1833">
        <f>I1324+I1324/F1324</f>
        <v>10891439.778693063</v>
      </c>
    </row>
    <row r="1326" spans="2:12" ht="15">
      <c r="B1326" s="1551"/>
      <c r="C1326" s="1555"/>
      <c r="D1326" s="1552"/>
      <c r="E1326" s="1834" t="s">
        <v>5677</v>
      </c>
      <c r="F1326" s="1858">
        <f>$K$5</f>
        <v>5.7750000000000003E-2</v>
      </c>
      <c r="G1326" s="1772"/>
      <c r="H1326" s="1853"/>
      <c r="I1326" s="1835">
        <f>I1325*F1326</f>
        <v>628980.64721952449</v>
      </c>
    </row>
    <row r="1327" spans="2:12" ht="15">
      <c r="B1327" s="1551"/>
      <c r="C1327" s="1555"/>
      <c r="D1327" s="1552"/>
      <c r="E1327" s="1834" t="s">
        <v>5678</v>
      </c>
      <c r="F1327" s="1856">
        <f>$L$5</f>
        <v>0.06</v>
      </c>
      <c r="G1327" s="1772"/>
      <c r="H1327" s="1853"/>
      <c r="I1327" s="1835">
        <f>SUM(I1325:I1326)*F1327</f>
        <v>691225.22555475519</v>
      </c>
    </row>
    <row r="1328" spans="2:12" ht="15">
      <c r="B1328" s="1551"/>
      <c r="C1328" s="1555"/>
      <c r="D1328" s="1552"/>
      <c r="E1328" s="1831" t="s">
        <v>5679</v>
      </c>
      <c r="F1328" s="1831"/>
      <c r="G1328" s="1772"/>
      <c r="H1328" s="1853"/>
      <c r="I1328" s="1833">
        <f>SUM(I1325:I1327)</f>
        <v>12211645.651467342</v>
      </c>
    </row>
    <row r="1329" spans="1:12" ht="15">
      <c r="B1329" s="1551"/>
      <c r="C1329" s="1555"/>
      <c r="D1329" s="1552"/>
      <c r="E1329" s="1834" t="s">
        <v>5680</v>
      </c>
      <c r="F1329" s="1856">
        <f>$M$5</f>
        <v>0.1</v>
      </c>
      <c r="G1329" s="1772"/>
      <c r="H1329" s="1853"/>
      <c r="I1329" s="1835">
        <f>I1328*F1329</f>
        <v>1221164.5651467342</v>
      </c>
    </row>
    <row r="1330" spans="1:12" ht="15">
      <c r="B1330" s="1551"/>
      <c r="C1330" s="1555"/>
      <c r="D1330" s="1552"/>
      <c r="E1330" s="1831" t="s">
        <v>5681</v>
      </c>
      <c r="F1330" s="1831"/>
      <c r="G1330" s="1772"/>
      <c r="H1330" s="1853"/>
      <c r="I1330" s="1833">
        <f>SUM(I1328:I1329)</f>
        <v>13432810.216614077</v>
      </c>
    </row>
    <row r="1331" spans="1:12" ht="12.75">
      <c r="B1331" s="1551"/>
      <c r="C1331" s="1555"/>
      <c r="D1331" s="1552"/>
      <c r="E1331" s="1558" t="s">
        <v>5682</v>
      </c>
      <c r="F1331" s="1595">
        <f>$N$5</f>
        <v>0.01</v>
      </c>
      <c r="G1331" s="1553"/>
      <c r="H1331" s="1594"/>
      <c r="I1331" s="1559">
        <f>I1330*F1331</f>
        <v>134328.10216614077</v>
      </c>
    </row>
    <row r="1332" spans="1:12" ht="15">
      <c r="B1332" s="1596"/>
      <c r="C1332" s="1597"/>
      <c r="D1332" s="1597"/>
      <c r="E1332" s="1859" t="s">
        <v>5683</v>
      </c>
      <c r="F1332" s="1859"/>
      <c r="G1332" s="1860"/>
      <c r="H1332" s="1861"/>
      <c r="I1332" s="1862">
        <f>ROUND(I1330+I1331,-2)</f>
        <v>13567100</v>
      </c>
    </row>
    <row r="1333" spans="1:12" ht="15">
      <c r="A1333" s="657">
        <v>1</v>
      </c>
      <c r="B1333" s="1549">
        <f>IF(A1333&lt;&gt;0,COUNTA(A$7:$A1333),"")</f>
        <v>81</v>
      </c>
      <c r="C1333" s="1555">
        <f>'8.Dgia'!C3085</f>
        <v>1776</v>
      </c>
      <c r="D1333" s="1696" t="str">
        <f>'8.Dgia'!D3085</f>
        <v>AI.64231</v>
      </c>
      <c r="E1333" s="1848" t="str">
        <f>'8.Dgia'!E3085</f>
        <v>Lắp đặt thép bản cọc tiêu</v>
      </c>
      <c r="F1333" s="1849" t="str">
        <f>'8.Dgia'!G3085</f>
        <v>tấn/ton</v>
      </c>
      <c r="G1333" s="1850">
        <f>'8.Dgia'!H3085</f>
        <v>0</v>
      </c>
      <c r="H1333" s="1851"/>
      <c r="I1333" s="1852"/>
      <c r="J1333" s="842">
        <f>+I1334</f>
        <v>497625.16362400004</v>
      </c>
      <c r="K1333" s="842">
        <f>+I1339</f>
        <v>2901350</v>
      </c>
      <c r="L1333" s="842">
        <f>+I1340</f>
        <v>236017.58812500001</v>
      </c>
    </row>
    <row r="1334" spans="1:12" s="658" customFormat="1" ht="15">
      <c r="B1334" s="1551" t="str">
        <f>'8.Dgia'!B3086</f>
        <v/>
      </c>
      <c r="C1334" s="1555">
        <f>'8.Dgia'!C3086</f>
        <v>0</v>
      </c>
      <c r="D1334" s="1552">
        <f>'8.Dgia'!D3086</f>
        <v>0</v>
      </c>
      <c r="E1334" s="2018" t="str">
        <f>'8.Dgia'!E3086</f>
        <v xml:space="preserve">  A - Vật liệu</v>
      </c>
      <c r="F1334" s="1771">
        <f>'8.Dgia'!G3086</f>
        <v>0</v>
      </c>
      <c r="G1334" s="1772">
        <f>'8.Dgia'!H3086</f>
        <v>0</v>
      </c>
      <c r="H1334" s="1853"/>
      <c r="I1334" s="1854">
        <f>SUM(I1335:I1338)</f>
        <v>497625.16362400004</v>
      </c>
      <c r="J1334" s="850"/>
      <c r="K1334" s="850"/>
      <c r="L1334" s="850"/>
    </row>
    <row r="1335" spans="1:12" ht="15">
      <c r="B1335" s="1551" t="str">
        <f>'8.Dgia'!B3087</f>
        <v/>
      </c>
      <c r="C1335" s="1555">
        <f>'8.Dgia'!C3087</f>
        <v>0</v>
      </c>
      <c r="D1335" s="1552">
        <f>'8.Dgia'!D3087</f>
        <v>0</v>
      </c>
      <c r="E1335" s="1775" t="str">
        <f>'8.Dgia'!E3087</f>
        <v>Que hàn</v>
      </c>
      <c r="F1335" s="1771" t="str">
        <f>'8.Dgia'!G3087</f>
        <v>kg</v>
      </c>
      <c r="G1335" s="1772">
        <f>'8.Dgia'!H3087</f>
        <v>3.14</v>
      </c>
      <c r="H1335" s="1853">
        <f>GVL!$I$153</f>
        <v>19090.909090909088</v>
      </c>
      <c r="I1335" s="1824">
        <f>H1335*G1335</f>
        <v>59945.454545454537</v>
      </c>
    </row>
    <row r="1336" spans="1:12" ht="15">
      <c r="B1336" s="1551" t="str">
        <f>'8.Dgia'!B3088</f>
        <v/>
      </c>
      <c r="C1336" s="1555">
        <f>'8.Dgia'!C3088</f>
        <v>0</v>
      </c>
      <c r="D1336" s="1552">
        <f>'8.Dgia'!D3088</f>
        <v>0</v>
      </c>
      <c r="E1336" s="1775" t="str">
        <f>'8.Dgia'!E3088</f>
        <v>Thép tròn D&lt;=18</v>
      </c>
      <c r="F1336" s="1771" t="str">
        <f>'8.Dgia'!G3088</f>
        <v>kg</v>
      </c>
      <c r="G1336" s="1772">
        <f>'8.Dgia'!H3088</f>
        <v>14</v>
      </c>
      <c r="H1336" s="1853">
        <f>GVL!$I$180</f>
        <v>16604.075560000001</v>
      </c>
      <c r="I1336" s="1824">
        <f>H1336*G1336</f>
        <v>232457.05784000002</v>
      </c>
    </row>
    <row r="1337" spans="1:12" ht="15">
      <c r="B1337" s="1551" t="str">
        <f>'8.Dgia'!B3089</f>
        <v/>
      </c>
      <c r="C1337" s="1555">
        <f>'8.Dgia'!C3089</f>
        <v>0</v>
      </c>
      <c r="D1337" s="1552">
        <f>'8.Dgia'!D3089</f>
        <v>0</v>
      </c>
      <c r="E1337" s="1775" t="str">
        <f>'8.Dgia'!E3089</f>
        <v>Dây thép buộc</v>
      </c>
      <c r="F1337" s="1771" t="str">
        <f>'8.Dgia'!G3089</f>
        <v>kg</v>
      </c>
      <c r="G1337" s="1772">
        <f>'8.Dgia'!H3089</f>
        <v>8.8000000000000007</v>
      </c>
      <c r="H1337" s="1853">
        <f>GVL!$I$89</f>
        <v>18180</v>
      </c>
      <c r="I1337" s="1824">
        <f>H1337*G1337</f>
        <v>159984</v>
      </c>
    </row>
    <row r="1338" spans="1:12" ht="15">
      <c r="B1338" s="1551" t="str">
        <f>'8.Dgia'!B3090</f>
        <v/>
      </c>
      <c r="C1338" s="1555">
        <f>'8.Dgia'!C3090</f>
        <v>0</v>
      </c>
      <c r="D1338" s="1552">
        <f>'8.Dgia'!D3090</f>
        <v>0</v>
      </c>
      <c r="E1338" s="1775" t="str">
        <f>'8.Dgia'!E3090</f>
        <v>Vật liệu khác</v>
      </c>
      <c r="F1338" s="1771" t="str">
        <f>'8.Dgia'!G3090</f>
        <v>%</v>
      </c>
      <c r="G1338" s="1772">
        <f>'8.Dgia'!H3090</f>
        <v>10</v>
      </c>
      <c r="H1338" s="1853">
        <f>SUM(I1335:I1337)</f>
        <v>452386.51238545455</v>
      </c>
      <c r="I1338" s="1824">
        <f>H1338*G1338%</f>
        <v>45238.651238545455</v>
      </c>
    </row>
    <row r="1339" spans="1:12" s="658" customFormat="1" ht="15">
      <c r="B1339" s="1551" t="str">
        <f>'8.Dgia'!B3091</f>
        <v/>
      </c>
      <c r="C1339" s="1555">
        <f>'8.Dgia'!C3091</f>
        <v>0</v>
      </c>
      <c r="D1339" s="1552">
        <f>'8.Dgia'!D3091</f>
        <v>0</v>
      </c>
      <c r="E1339" s="1775" t="str">
        <f>'8.Dgia'!E3091</f>
        <v xml:space="preserve">  B - Nhân công 4.0/7</v>
      </c>
      <c r="F1339" s="1771" t="s">
        <v>552</v>
      </c>
      <c r="G1339" s="1772">
        <f>'8.Dgia'!H3091</f>
        <v>12.5</v>
      </c>
      <c r="H1339" s="1853">
        <f>'16.NC'!$G$18</f>
        <v>232108</v>
      </c>
      <c r="I1339" s="1854">
        <f>H1339*G1339</f>
        <v>2901350</v>
      </c>
      <c r="J1339" s="850"/>
      <c r="K1339" s="850"/>
      <c r="L1339" s="850"/>
    </row>
    <row r="1340" spans="1:12" s="658" customFormat="1" ht="15">
      <c r="B1340" s="1551" t="str">
        <f>'8.Dgia'!B3092</f>
        <v/>
      </c>
      <c r="C1340" s="1555">
        <f>'8.Dgia'!C3092</f>
        <v>0</v>
      </c>
      <c r="D1340" s="1552">
        <f>'8.Dgia'!D3092</f>
        <v>0</v>
      </c>
      <c r="E1340" s="2018" t="str">
        <f>'8.Dgia'!E3092</f>
        <v xml:space="preserve">  C - Máy thi công</v>
      </c>
      <c r="F1340" s="1771">
        <f>'8.Dgia'!G3092</f>
        <v>0</v>
      </c>
      <c r="G1340" s="1772">
        <f>'8.Dgia'!H3092</f>
        <v>0</v>
      </c>
      <c r="H1340" s="1853"/>
      <c r="I1340" s="1854">
        <f>SUM(I1341:I1342)</f>
        <v>236017.58812500001</v>
      </c>
      <c r="J1340" s="850"/>
      <c r="K1340" s="850"/>
      <c r="L1340" s="850"/>
    </row>
    <row r="1341" spans="1:12" ht="15">
      <c r="B1341" s="1551" t="str">
        <f>'8.Dgia'!B3093</f>
        <v/>
      </c>
      <c r="C1341" s="1555">
        <f>'8.Dgia'!C3093</f>
        <v>0</v>
      </c>
      <c r="D1341" s="1552">
        <f>'8.Dgia'!D3093</f>
        <v>0</v>
      </c>
      <c r="E1341" s="1775" t="str">
        <f>'8.Dgia'!E3093</f>
        <v>Máy hàn 23Kw</v>
      </c>
      <c r="F1341" s="1771" t="s">
        <v>5493</v>
      </c>
      <c r="G1341" s="1772">
        <f>'8.Dgia'!H3093</f>
        <v>1.25</v>
      </c>
      <c r="H1341" s="1853">
        <f>'9.may'!$P$510</f>
        <v>171649.155</v>
      </c>
      <c r="I1341" s="1824">
        <f>H1341*G1341</f>
        <v>214561.44375000001</v>
      </c>
    </row>
    <row r="1342" spans="1:12" ht="15">
      <c r="B1342" s="1551" t="str">
        <f>'8.Dgia'!B3094</f>
        <v/>
      </c>
      <c r="C1342" s="1555">
        <f>'8.Dgia'!C3094</f>
        <v>0</v>
      </c>
      <c r="D1342" s="1552">
        <f>'8.Dgia'!D3094</f>
        <v>0</v>
      </c>
      <c r="E1342" s="1775" t="str">
        <f>'8.Dgia'!E3094</f>
        <v>Máy khác</v>
      </c>
      <c r="F1342" s="1771" t="str">
        <f>'8.Dgia'!G3094</f>
        <v>%</v>
      </c>
      <c r="G1342" s="1772">
        <f>'8.Dgia'!H3094</f>
        <v>10</v>
      </c>
      <c r="H1342" s="1853">
        <f>I1341</f>
        <v>214561.44375000001</v>
      </c>
      <c r="I1342" s="1824">
        <f>H1342*G1342%</f>
        <v>21456.144375000003</v>
      </c>
    </row>
    <row r="1343" spans="1:12" ht="15">
      <c r="B1343" s="1551"/>
      <c r="C1343" s="1555"/>
      <c r="D1343" s="1552"/>
      <c r="E1343" s="1828" t="s">
        <v>5675</v>
      </c>
      <c r="F1343" s="1856">
        <f>$J$5</f>
        <v>0.02</v>
      </c>
      <c r="G1343" s="1772"/>
      <c r="H1343" s="1853"/>
      <c r="I1343" s="1863">
        <f>( I1334+I1339+I1340 )*F1343</f>
        <v>72699.855034979992</v>
      </c>
    </row>
    <row r="1344" spans="1:12" ht="15">
      <c r="B1344" s="1551"/>
      <c r="C1344" s="1555"/>
      <c r="D1344" s="1552"/>
      <c r="E1344" s="1831" t="s">
        <v>5676</v>
      </c>
      <c r="F1344" s="1831"/>
      <c r="G1344" s="1772"/>
      <c r="H1344" s="1853"/>
      <c r="I1344" s="1833">
        <f>I1343+I1343/F1343</f>
        <v>3707692.6067839796</v>
      </c>
    </row>
    <row r="1345" spans="1:10" ht="15">
      <c r="B1345" s="1551"/>
      <c r="C1345" s="1555"/>
      <c r="D1345" s="1552"/>
      <c r="E1345" s="1834" t="s">
        <v>5677</v>
      </c>
      <c r="F1345" s="1858">
        <f>$K$5</f>
        <v>5.7750000000000003E-2</v>
      </c>
      <c r="G1345" s="1772"/>
      <c r="H1345" s="1853"/>
      <c r="I1345" s="1835">
        <f>I1344*F1345</f>
        <v>214119.24804177484</v>
      </c>
    </row>
    <row r="1346" spans="1:10" ht="15">
      <c r="B1346" s="1551"/>
      <c r="C1346" s="1555"/>
      <c r="D1346" s="1552"/>
      <c r="E1346" s="1834" t="s">
        <v>5678</v>
      </c>
      <c r="F1346" s="1856">
        <f>$L$5</f>
        <v>0.06</v>
      </c>
      <c r="G1346" s="1772"/>
      <c r="H1346" s="1853"/>
      <c r="I1346" s="1835">
        <f>SUM(I1344:I1345)*F1346</f>
        <v>235308.71128954526</v>
      </c>
    </row>
    <row r="1347" spans="1:10" ht="15">
      <c r="B1347" s="1551"/>
      <c r="C1347" s="1555"/>
      <c r="D1347" s="1552"/>
      <c r="E1347" s="1831" t="s">
        <v>5679</v>
      </c>
      <c r="F1347" s="1831"/>
      <c r="G1347" s="1772"/>
      <c r="H1347" s="1853"/>
      <c r="I1347" s="1833">
        <f>SUM(I1344:I1346)</f>
        <v>4157120.5661152997</v>
      </c>
    </row>
    <row r="1348" spans="1:10" ht="15">
      <c r="B1348" s="1551"/>
      <c r="C1348" s="1555"/>
      <c r="D1348" s="1552"/>
      <c r="E1348" s="1834" t="s">
        <v>5680</v>
      </c>
      <c r="F1348" s="1856">
        <f>$M$5</f>
        <v>0.1</v>
      </c>
      <c r="G1348" s="1772"/>
      <c r="H1348" s="1853"/>
      <c r="I1348" s="1835">
        <f>I1347*F1348</f>
        <v>415712.05661153002</v>
      </c>
    </row>
    <row r="1349" spans="1:10" ht="15">
      <c r="B1349" s="1551"/>
      <c r="C1349" s="1555"/>
      <c r="D1349" s="1552"/>
      <c r="E1349" s="1831" t="s">
        <v>5681</v>
      </c>
      <c r="F1349" s="1831"/>
      <c r="G1349" s="1772"/>
      <c r="H1349" s="1853"/>
      <c r="I1349" s="1833">
        <f>SUM(I1347:I1348)</f>
        <v>4572832.6227268297</v>
      </c>
    </row>
    <row r="1350" spans="1:10" ht="12.75">
      <c r="B1350" s="1551"/>
      <c r="C1350" s="1555"/>
      <c r="D1350" s="1552"/>
      <c r="E1350" s="1558" t="s">
        <v>5682</v>
      </c>
      <c r="F1350" s="1595">
        <f>$N$5</f>
        <v>0.01</v>
      </c>
      <c r="G1350" s="1553"/>
      <c r="H1350" s="1594"/>
      <c r="I1350" s="1559">
        <f>I1349*F1350</f>
        <v>45728.326227268299</v>
      </c>
    </row>
    <row r="1351" spans="1:10" ht="15">
      <c r="B1351" s="1596"/>
      <c r="C1351" s="1597"/>
      <c r="D1351" s="1597"/>
      <c r="E1351" s="1859" t="s">
        <v>5683</v>
      </c>
      <c r="F1351" s="1859"/>
      <c r="G1351" s="1860"/>
      <c r="H1351" s="1861"/>
      <c r="I1351" s="1862">
        <f>ROUND(I1349+I1350,-2)</f>
        <v>4618600</v>
      </c>
    </row>
    <row r="1352" spans="1:10" ht="15">
      <c r="A1352" s="657">
        <v>1</v>
      </c>
      <c r="B1352" s="1549">
        <f>IF(A1352&lt;&gt;0,COUNTA(A$7:$A1352),"")</f>
        <v>82</v>
      </c>
      <c r="C1352" s="1555">
        <f>'8.Dgia'!C3095</f>
        <v>0</v>
      </c>
      <c r="D1352" s="1696" t="str">
        <f>'8.Dgia'!D3095</f>
        <v>Tạm tính</v>
      </c>
      <c r="E1352" s="1848" t="str">
        <f>'8.Dgia'!E3095</f>
        <v>Đinh mũ</v>
      </c>
      <c r="F1352" s="1771" t="s">
        <v>567</v>
      </c>
      <c r="G1352" s="1850">
        <f>'8.Dgia'!H3095</f>
        <v>0</v>
      </c>
      <c r="H1352" s="1851"/>
      <c r="I1352" s="1852"/>
      <c r="J1352" s="842">
        <f>+I1353</f>
        <v>1000</v>
      </c>
    </row>
    <row r="1353" spans="1:10" ht="15">
      <c r="B1353" s="1551" t="str">
        <f>'8.Dgia'!B3096</f>
        <v/>
      </c>
      <c r="C1353" s="1555">
        <f>'8.Dgia'!C3096</f>
        <v>0</v>
      </c>
      <c r="D1353" s="1552">
        <f>'8.Dgia'!D3096</f>
        <v>0</v>
      </c>
      <c r="E1353" s="2018" t="str">
        <f>'8.Dgia'!E3096</f>
        <v xml:space="preserve">  A - Vật liệu</v>
      </c>
      <c r="F1353" s="1771">
        <f>'8.Dgia'!G3096</f>
        <v>0</v>
      </c>
      <c r="G1353" s="1772">
        <f>'8.Dgia'!H3096</f>
        <v>0</v>
      </c>
      <c r="H1353" s="1853"/>
      <c r="I1353" s="1854">
        <f>SUM(I1354:I1354)</f>
        <v>1000</v>
      </c>
    </row>
    <row r="1354" spans="1:10" ht="15">
      <c r="B1354" s="1551" t="str">
        <f>'8.Dgia'!B3097</f>
        <v/>
      </c>
      <c r="C1354" s="1555">
        <f>'8.Dgia'!C3097</f>
        <v>0</v>
      </c>
      <c r="D1354" s="1552">
        <f>'8.Dgia'!D3097</f>
        <v>0</v>
      </c>
      <c r="E1354" s="1775" t="str">
        <f>'8.Dgia'!E3097</f>
        <v>Đinh mũ</v>
      </c>
      <c r="F1354" s="1771" t="s">
        <v>567</v>
      </c>
      <c r="G1354" s="1772">
        <f>'8.Dgia'!H3097</f>
        <v>1</v>
      </c>
      <c r="H1354" s="1853">
        <f>GVL!$I$88</f>
        <v>1000</v>
      </c>
      <c r="I1354" s="1824">
        <f>H1354*G1354</f>
        <v>1000</v>
      </c>
    </row>
    <row r="1355" spans="1:10" ht="15">
      <c r="B1355" s="1551"/>
      <c r="C1355" s="1555"/>
      <c r="D1355" s="1552"/>
      <c r="E1355" s="1828" t="s">
        <v>5675</v>
      </c>
      <c r="F1355" s="1856">
        <f>$J$5</f>
        <v>0.02</v>
      </c>
      <c r="G1355" s="1772"/>
      <c r="H1355" s="1853"/>
      <c r="I1355" s="1863">
        <f>( I1353 )*F1355</f>
        <v>20</v>
      </c>
    </row>
    <row r="1356" spans="1:10" ht="15">
      <c r="B1356" s="1551"/>
      <c r="C1356" s="1555"/>
      <c r="D1356" s="1552"/>
      <c r="E1356" s="1831" t="s">
        <v>5676</v>
      </c>
      <c r="F1356" s="1831"/>
      <c r="G1356" s="1772"/>
      <c r="H1356" s="1853"/>
      <c r="I1356" s="1833">
        <f>I1355+I1355/F1355</f>
        <v>1020</v>
      </c>
    </row>
    <row r="1357" spans="1:10" ht="15">
      <c r="B1357" s="1551"/>
      <c r="C1357" s="1555"/>
      <c r="D1357" s="1552"/>
      <c r="E1357" s="1834" t="s">
        <v>5677</v>
      </c>
      <c r="F1357" s="1858">
        <f>$K$5</f>
        <v>5.7750000000000003E-2</v>
      </c>
      <c r="G1357" s="1772"/>
      <c r="H1357" s="1853"/>
      <c r="I1357" s="1835">
        <f>I1356*F1357</f>
        <v>58.905000000000001</v>
      </c>
    </row>
    <row r="1358" spans="1:10" ht="15">
      <c r="B1358" s="1551"/>
      <c r="C1358" s="1555"/>
      <c r="D1358" s="1552"/>
      <c r="E1358" s="1834" t="s">
        <v>5678</v>
      </c>
      <c r="F1358" s="1856">
        <f>$L$5</f>
        <v>0.06</v>
      </c>
      <c r="G1358" s="1772"/>
      <c r="H1358" s="1853"/>
      <c r="I1358" s="1835">
        <f>SUM(I1356:I1357)*F1358</f>
        <v>64.73429999999999</v>
      </c>
    </row>
    <row r="1359" spans="1:10" ht="15">
      <c r="B1359" s="1551"/>
      <c r="C1359" s="1555"/>
      <c r="D1359" s="1552"/>
      <c r="E1359" s="1831" t="s">
        <v>5679</v>
      </c>
      <c r="F1359" s="1831"/>
      <c r="G1359" s="1772"/>
      <c r="H1359" s="1853"/>
      <c r="I1359" s="1833">
        <f>SUM(I1356:I1358)</f>
        <v>1143.6393</v>
      </c>
    </row>
    <row r="1360" spans="1:10" ht="15">
      <c r="B1360" s="1551"/>
      <c r="C1360" s="1555"/>
      <c r="D1360" s="1552"/>
      <c r="E1360" s="1834" t="s">
        <v>5680</v>
      </c>
      <c r="F1360" s="1856">
        <f>$M$5</f>
        <v>0.1</v>
      </c>
      <c r="G1360" s="1772"/>
      <c r="H1360" s="1853"/>
      <c r="I1360" s="1835">
        <f>I1359*F1360</f>
        <v>114.36393000000001</v>
      </c>
    </row>
    <row r="1361" spans="1:12" ht="15">
      <c r="B1361" s="1551"/>
      <c r="C1361" s="1555"/>
      <c r="D1361" s="1552"/>
      <c r="E1361" s="1831" t="s">
        <v>5681</v>
      </c>
      <c r="F1361" s="1831"/>
      <c r="G1361" s="1772"/>
      <c r="H1361" s="1853"/>
      <c r="I1361" s="1833">
        <f>SUM(I1359:I1360)</f>
        <v>1258.00323</v>
      </c>
    </row>
    <row r="1362" spans="1:12" ht="12.75">
      <c r="B1362" s="1551"/>
      <c r="C1362" s="1555"/>
      <c r="D1362" s="1552"/>
      <c r="E1362" s="1558" t="s">
        <v>5682</v>
      </c>
      <c r="F1362" s="1595">
        <f>$N$5</f>
        <v>0.01</v>
      </c>
      <c r="G1362" s="1553"/>
      <c r="H1362" s="1594"/>
      <c r="I1362" s="1559">
        <f>I1361*F1362</f>
        <v>12.580032300000001</v>
      </c>
    </row>
    <row r="1363" spans="1:12" ht="15">
      <c r="B1363" s="1596"/>
      <c r="C1363" s="1597"/>
      <c r="D1363" s="1597"/>
      <c r="E1363" s="1859" t="s">
        <v>5683</v>
      </c>
      <c r="F1363" s="1859"/>
      <c r="G1363" s="1860"/>
      <c r="H1363" s="1861"/>
      <c r="I1363" s="1862">
        <f>ROUND(I1361+I1362,-2)</f>
        <v>1300</v>
      </c>
    </row>
    <row r="1364" spans="1:12" ht="15">
      <c r="A1364" s="657">
        <v>1</v>
      </c>
      <c r="B1364" s="1549">
        <f>IF(A1364&lt;&gt;0,COUNTA(A$7:$A1364),"")</f>
        <v>83</v>
      </c>
      <c r="C1364" s="1555">
        <f>'8.Dgia'!C3098</f>
        <v>1776</v>
      </c>
      <c r="D1364" s="1696" t="str">
        <f>'8.Dgia'!D3098</f>
        <v>AG.31311</v>
      </c>
      <c r="E1364" s="1848" t="str">
        <f>'8.Dgia'!E3098</f>
        <v>Ván khuôn</v>
      </c>
      <c r="F1364" s="1849" t="str">
        <f>'8.Dgia'!G3098</f>
        <v>100m2</v>
      </c>
      <c r="G1364" s="1850">
        <f>'8.Dgia'!H3098</f>
        <v>0</v>
      </c>
      <c r="H1364" s="1851"/>
      <c r="I1364" s="1852"/>
      <c r="J1364" s="842">
        <f>+I1365</f>
        <v>748317.88800000004</v>
      </c>
      <c r="K1364" s="842">
        <f>+I1369</f>
        <v>5102351.1000000006</v>
      </c>
      <c r="L1364" s="842">
        <f>+I1379</f>
        <v>0</v>
      </c>
    </row>
    <row r="1365" spans="1:12" s="658" customFormat="1" ht="15">
      <c r="B1365" s="1551" t="str">
        <f>'8.Dgia'!B3099</f>
        <v/>
      </c>
      <c r="C1365" s="1555">
        <f>'8.Dgia'!C3099</f>
        <v>0</v>
      </c>
      <c r="D1365" s="1552">
        <f>'8.Dgia'!D3099</f>
        <v>0</v>
      </c>
      <c r="E1365" s="2018" t="str">
        <f>'8.Dgia'!E3099</f>
        <v xml:space="preserve">  A - Vật liệu</v>
      </c>
      <c r="F1365" s="1771">
        <f>'8.Dgia'!G3099</f>
        <v>0</v>
      </c>
      <c r="G1365" s="1772">
        <f>'8.Dgia'!H3099</f>
        <v>0</v>
      </c>
      <c r="H1365" s="1853"/>
      <c r="I1365" s="1854">
        <f>SUM(I1366:I1368)</f>
        <v>748317.88800000004</v>
      </c>
      <c r="J1365" s="850"/>
      <c r="K1365" s="850"/>
      <c r="L1365" s="850"/>
    </row>
    <row r="1366" spans="1:12" ht="15">
      <c r="B1366" s="1551" t="str">
        <f>'8.Dgia'!B3100</f>
        <v/>
      </c>
      <c r="C1366" s="1555">
        <f>'8.Dgia'!C3100</f>
        <v>0</v>
      </c>
      <c r="D1366" s="1552">
        <f>'8.Dgia'!D3100</f>
        <v>0</v>
      </c>
      <c r="E1366" s="1775" t="str">
        <f>'8.Dgia'!E3100</f>
        <v>Gỗ</v>
      </c>
      <c r="F1366" s="1771" t="str">
        <f>'8.Dgia'!G3100</f>
        <v>m3</v>
      </c>
      <c r="G1366" s="1772">
        <f>'8.Dgia'!H3100</f>
        <v>0.123</v>
      </c>
      <c r="H1366" s="1853">
        <f>GVL!$I$96</f>
        <v>6000000</v>
      </c>
      <c r="I1366" s="1824">
        <f>H1366*G1366</f>
        <v>738000</v>
      </c>
    </row>
    <row r="1367" spans="1:12" ht="15">
      <c r="B1367" s="1551" t="str">
        <f>'8.Dgia'!B3101</f>
        <v/>
      </c>
      <c r="C1367" s="1555">
        <f>'8.Dgia'!C3101</f>
        <v>0</v>
      </c>
      <c r="D1367" s="1552">
        <f>'8.Dgia'!D3101</f>
        <v>0</v>
      </c>
      <c r="E1367" s="1775" t="str">
        <f>'8.Dgia'!E3101</f>
        <v>Đinh các loại</v>
      </c>
      <c r="F1367" s="1771" t="str">
        <f>'8.Dgia'!G3101</f>
        <v>kg</v>
      </c>
      <c r="G1367" s="1772">
        <f>'8.Dgia'!H3101</f>
        <v>0.16</v>
      </c>
      <c r="H1367" s="1853">
        <f>GVL!$I$86</f>
        <v>18180</v>
      </c>
      <c r="I1367" s="1824">
        <f>H1367*G1367</f>
        <v>2908.8</v>
      </c>
    </row>
    <row r="1368" spans="1:12" ht="15">
      <c r="B1368" s="1551" t="str">
        <f>'8.Dgia'!B3102</f>
        <v/>
      </c>
      <c r="C1368" s="1555">
        <f>'8.Dgia'!C3102</f>
        <v>0</v>
      </c>
      <c r="D1368" s="1552">
        <f>'8.Dgia'!D3102</f>
        <v>0</v>
      </c>
      <c r="E1368" s="1775" t="str">
        <f>'8.Dgia'!E3102</f>
        <v>Vật liệu khác</v>
      </c>
      <c r="F1368" s="1771" t="str">
        <f>'8.Dgia'!G3102</f>
        <v>%</v>
      </c>
      <c r="G1368" s="1772">
        <f>'8.Dgia'!H3102</f>
        <v>1</v>
      </c>
      <c r="H1368" s="1853">
        <f>SUM(I1366:I1367)</f>
        <v>740908.8</v>
      </c>
      <c r="I1368" s="1824">
        <f>H1368*G1368%</f>
        <v>7409.0880000000006</v>
      </c>
    </row>
    <row r="1369" spans="1:12" s="658" customFormat="1" ht="15">
      <c r="B1369" s="1551" t="str">
        <f>'8.Dgia'!B3103</f>
        <v/>
      </c>
      <c r="C1369" s="1555">
        <f>'8.Dgia'!C3103</f>
        <v>0</v>
      </c>
      <c r="D1369" s="1552">
        <f>'8.Dgia'!D3103</f>
        <v>0</v>
      </c>
      <c r="E1369" s="1775" t="str">
        <f>'8.Dgia'!E3103</f>
        <v xml:space="preserve">  B - Nhân công 3.0/7</v>
      </c>
      <c r="F1369" s="1771" t="s">
        <v>552</v>
      </c>
      <c r="G1369" s="1772">
        <f>'8.Dgia'!H3103</f>
        <v>25.62</v>
      </c>
      <c r="H1369" s="1853">
        <f>'16.NC'!$G$13</f>
        <v>199155</v>
      </c>
      <c r="I1369" s="1854">
        <f>H1369*G1369</f>
        <v>5102351.1000000006</v>
      </c>
      <c r="J1369" s="850"/>
      <c r="K1369" s="850"/>
      <c r="L1369" s="850"/>
    </row>
    <row r="1370" spans="1:12" ht="15">
      <c r="B1370" s="1551"/>
      <c r="C1370" s="1555"/>
      <c r="D1370" s="1552"/>
      <c r="E1370" s="1828" t="s">
        <v>5675</v>
      </c>
      <c r="F1370" s="1856">
        <f>$J$5</f>
        <v>0.02</v>
      </c>
      <c r="G1370" s="1772"/>
      <c r="H1370" s="1853"/>
      <c r="I1370" s="1863">
        <f>( I1365+I1369 )*F1370</f>
        <v>117013.37976000003</v>
      </c>
    </row>
    <row r="1371" spans="1:12" ht="15">
      <c r="B1371" s="1551"/>
      <c r="C1371" s="1555"/>
      <c r="D1371" s="1552"/>
      <c r="E1371" s="1831" t="s">
        <v>5676</v>
      </c>
      <c r="F1371" s="1831"/>
      <c r="G1371" s="1772"/>
      <c r="H1371" s="1853"/>
      <c r="I1371" s="1833">
        <f>I1370+I1370/F1370</f>
        <v>5967682.3677600008</v>
      </c>
    </row>
    <row r="1372" spans="1:12" ht="15">
      <c r="B1372" s="1551"/>
      <c r="C1372" s="1555"/>
      <c r="D1372" s="1552"/>
      <c r="E1372" s="1834" t="s">
        <v>5677</v>
      </c>
      <c r="F1372" s="1858">
        <f>$K$5</f>
        <v>5.7750000000000003E-2</v>
      </c>
      <c r="G1372" s="1772"/>
      <c r="H1372" s="1853"/>
      <c r="I1372" s="1835">
        <f>I1371*F1372</f>
        <v>344633.65673814004</v>
      </c>
    </row>
    <row r="1373" spans="1:12" ht="15">
      <c r="B1373" s="1551"/>
      <c r="C1373" s="1555"/>
      <c r="D1373" s="1552"/>
      <c r="E1373" s="1834" t="s">
        <v>5678</v>
      </c>
      <c r="F1373" s="1856">
        <f>$L$5</f>
        <v>0.06</v>
      </c>
      <c r="G1373" s="1772"/>
      <c r="H1373" s="1853"/>
      <c r="I1373" s="1835">
        <f>SUM(I1371:I1372)*F1373</f>
        <v>378738.9614698884</v>
      </c>
    </row>
    <row r="1374" spans="1:12" ht="15">
      <c r="B1374" s="1551"/>
      <c r="C1374" s="1555"/>
      <c r="D1374" s="1552"/>
      <c r="E1374" s="1831" t="s">
        <v>5679</v>
      </c>
      <c r="F1374" s="1831"/>
      <c r="G1374" s="1772"/>
      <c r="H1374" s="1853"/>
      <c r="I1374" s="1833">
        <f>SUM(I1371:I1373)</f>
        <v>6691054.9859680291</v>
      </c>
    </row>
    <row r="1375" spans="1:12" ht="15">
      <c r="B1375" s="1551"/>
      <c r="C1375" s="1555"/>
      <c r="D1375" s="1552"/>
      <c r="E1375" s="1834" t="s">
        <v>5680</v>
      </c>
      <c r="F1375" s="1856">
        <f>$M$5</f>
        <v>0.1</v>
      </c>
      <c r="G1375" s="1772"/>
      <c r="H1375" s="1853"/>
      <c r="I1375" s="1835">
        <f>I1374*F1375</f>
        <v>669105.49859680294</v>
      </c>
    </row>
    <row r="1376" spans="1:12" ht="15">
      <c r="B1376" s="1551"/>
      <c r="C1376" s="1555"/>
      <c r="D1376" s="1552"/>
      <c r="E1376" s="1831" t="s">
        <v>5681</v>
      </c>
      <c r="F1376" s="1831"/>
      <c r="G1376" s="1772"/>
      <c r="H1376" s="1853"/>
      <c r="I1376" s="1833">
        <f>SUM(I1374:I1375)</f>
        <v>7360160.4845648324</v>
      </c>
    </row>
    <row r="1377" spans="1:12" ht="12.75">
      <c r="B1377" s="1551"/>
      <c r="C1377" s="1555"/>
      <c r="D1377" s="1552"/>
      <c r="E1377" s="1558" t="s">
        <v>5682</v>
      </c>
      <c r="F1377" s="1595">
        <f>$N$5</f>
        <v>0.01</v>
      </c>
      <c r="G1377" s="1553"/>
      <c r="H1377" s="1594"/>
      <c r="I1377" s="1559">
        <f>I1376*F1377</f>
        <v>73601.604845648326</v>
      </c>
    </row>
    <row r="1378" spans="1:12" ht="15">
      <c r="B1378" s="1596"/>
      <c r="C1378" s="1597"/>
      <c r="D1378" s="1597"/>
      <c r="E1378" s="1859" t="s">
        <v>5683</v>
      </c>
      <c r="F1378" s="1859"/>
      <c r="G1378" s="1860"/>
      <c r="H1378" s="1861"/>
      <c r="I1378" s="1862">
        <f>ROUND(I1376+I1377,-2)</f>
        <v>7433800</v>
      </c>
    </row>
    <row r="1379" spans="1:12" ht="15">
      <c r="A1379" s="657">
        <v>1</v>
      </c>
      <c r="B1379" s="1549">
        <f>IF(A1379&lt;&gt;0,COUNTA(A$7:$A1379),"")</f>
        <v>84</v>
      </c>
      <c r="C1379" s="1555">
        <f>'8.Dgia'!C3104</f>
        <v>1776</v>
      </c>
      <c r="D1379" s="1696" t="str">
        <f>'8.Dgia'!D3104</f>
        <v>AC.11211</v>
      </c>
      <c r="E1379" s="1848" t="str">
        <f>'8.Dgia'!E3104</f>
        <v>Đóng cọc tràm L&lt;= 2.5m, đất C1</v>
      </c>
      <c r="F1379" s="1849" t="s">
        <v>543</v>
      </c>
      <c r="G1379" s="1850">
        <f>'8.Dgia'!H3104</f>
        <v>0</v>
      </c>
      <c r="H1379" s="1851"/>
      <c r="I1379" s="1852"/>
      <c r="J1379" s="842">
        <f>+I1380</f>
        <v>4914.0759574468084</v>
      </c>
      <c r="K1379" s="842">
        <f>+I1385</f>
        <v>4670.2740000000003</v>
      </c>
    </row>
    <row r="1380" spans="1:12" ht="15">
      <c r="B1380" s="1551" t="str">
        <f>'8.Dgia'!B3105</f>
        <v/>
      </c>
      <c r="C1380" s="1555">
        <f>'8.Dgia'!C3105</f>
        <v>0</v>
      </c>
      <c r="D1380" s="1552">
        <f>'8.Dgia'!D3105</f>
        <v>0</v>
      </c>
      <c r="E1380" s="2018" t="str">
        <f>'8.Dgia'!E3105</f>
        <v xml:space="preserve">  A - Vật liệu</v>
      </c>
      <c r="F1380" s="1771">
        <f>'8.Dgia'!G3105</f>
        <v>0</v>
      </c>
      <c r="G1380" s="1772">
        <f>'8.Dgia'!H3105</f>
        <v>0</v>
      </c>
      <c r="H1380" s="1853"/>
      <c r="I1380" s="1854">
        <f>SUM(I1381:I1384)</f>
        <v>4914.0759574468084</v>
      </c>
    </row>
    <row r="1381" spans="1:12" ht="15">
      <c r="B1381" s="1551" t="str">
        <f>'8.Dgia'!B3106</f>
        <v/>
      </c>
      <c r="C1381" s="1555">
        <f>'8.Dgia'!C3106</f>
        <v>0</v>
      </c>
      <c r="D1381" s="1552">
        <f>'8.Dgia'!D3106</f>
        <v>0</v>
      </c>
      <c r="E1381" s="1775" t="str">
        <f>'8.Dgia'!E3106</f>
        <v>Cọc tràm</v>
      </c>
      <c r="F1381" s="1771" t="str">
        <f>'8.Dgia'!G3106</f>
        <v>m</v>
      </c>
      <c r="G1381" s="1772">
        <f>'8.Dgia'!H3106/100</f>
        <v>1.05</v>
      </c>
      <c r="H1381" s="1853">
        <f>GVL!$I$45</f>
        <v>3617.0212765957444</v>
      </c>
      <c r="I1381" s="1824">
        <f>H1381*G1381</f>
        <v>3797.872340425532</v>
      </c>
    </row>
    <row r="1382" spans="1:12" ht="15">
      <c r="B1382" s="1551" t="str">
        <f>'8.Dgia'!B3107</f>
        <v/>
      </c>
      <c r="C1382" s="1555">
        <f>'8.Dgia'!C3107</f>
        <v>0</v>
      </c>
      <c r="D1382" s="1552">
        <f>'8.Dgia'!D3107</f>
        <v>0</v>
      </c>
      <c r="E1382" s="1775" t="str">
        <f>'8.Dgia'!E3107</f>
        <v>Cây chống</v>
      </c>
      <c r="F1382" s="1771" t="str">
        <f>'8.Dgia'!G3107</f>
        <v>cây</v>
      </c>
      <c r="G1382" s="1772">
        <f>'8.Dgia'!H3107/100</f>
        <v>1.66E-2</v>
      </c>
      <c r="H1382" s="1853">
        <f>GVL!$I$40</f>
        <v>17000</v>
      </c>
      <c r="I1382" s="1824">
        <f>H1382*G1382</f>
        <v>282.2</v>
      </c>
      <c r="L1382" s="872"/>
    </row>
    <row r="1383" spans="1:12" ht="15">
      <c r="B1383" s="1551" t="str">
        <f>'8.Dgia'!B3108</f>
        <v/>
      </c>
      <c r="C1383" s="1555">
        <f>'8.Dgia'!C3108</f>
        <v>0</v>
      </c>
      <c r="D1383" s="1552">
        <f>'8.Dgia'!D3108</f>
        <v>0</v>
      </c>
      <c r="E1383" s="1775" t="str">
        <f>'8.Dgia'!E3108</f>
        <v>Gỗ</v>
      </c>
      <c r="F1383" s="1771" t="str">
        <f>'8.Dgia'!G3108</f>
        <v>m3</v>
      </c>
      <c r="G1383" s="1772">
        <f>'8.Dgia'!H3108/100</f>
        <v>1E-4</v>
      </c>
      <c r="H1383" s="1853">
        <f>GVL!$I$96</f>
        <v>6000000</v>
      </c>
      <c r="I1383" s="1824">
        <f>H1383*G1383</f>
        <v>600</v>
      </c>
      <c r="L1383" s="872"/>
    </row>
    <row r="1384" spans="1:12" ht="15">
      <c r="B1384" s="1551" t="str">
        <f>'8.Dgia'!B3109</f>
        <v/>
      </c>
      <c r="C1384" s="1555">
        <f>'8.Dgia'!C3109</f>
        <v>0</v>
      </c>
      <c r="D1384" s="1552">
        <f>'8.Dgia'!D3109</f>
        <v>0</v>
      </c>
      <c r="E1384" s="1775" t="str">
        <f>'8.Dgia'!E3109</f>
        <v>Vật liệu khác</v>
      </c>
      <c r="F1384" s="1771" t="str">
        <f>'8.Dgia'!G3109</f>
        <v>%</v>
      </c>
      <c r="G1384" s="1772">
        <f>'8.Dgia'!H3109</f>
        <v>5</v>
      </c>
      <c r="H1384" s="1853">
        <f>SUM(I1381:I1383)</f>
        <v>4680.0723404255314</v>
      </c>
      <c r="I1384" s="1824">
        <f>H1384*G1384%</f>
        <v>234.00361702127657</v>
      </c>
      <c r="L1384" s="872"/>
    </row>
    <row r="1385" spans="1:12" ht="15">
      <c r="B1385" s="1551" t="str">
        <f>'8.Dgia'!B3110</f>
        <v/>
      </c>
      <c r="C1385" s="1555">
        <f>'8.Dgia'!C3110</f>
        <v>0</v>
      </c>
      <c r="D1385" s="1552">
        <f>'8.Dgia'!D3110</f>
        <v>0</v>
      </c>
      <c r="E1385" s="1775" t="str">
        <f>'8.Dgia'!E3110</f>
        <v xml:space="preserve">  B - Nhân công 3.5/7</v>
      </c>
      <c r="F1385" s="1771" t="s">
        <v>552</v>
      </c>
      <c r="G1385" s="1772">
        <f>'8.Dgia'!H3110/100</f>
        <v>2.1700000000000001E-2</v>
      </c>
      <c r="H1385" s="1853">
        <f>'16.NC'!$G$16</f>
        <v>215220</v>
      </c>
      <c r="I1385" s="1854">
        <f>H1385*G1385</f>
        <v>4670.2740000000003</v>
      </c>
      <c r="L1385" s="872"/>
    </row>
    <row r="1386" spans="1:12" ht="15">
      <c r="B1386" s="1551"/>
      <c r="C1386" s="1555"/>
      <c r="D1386" s="1552"/>
      <c r="E1386" s="1828" t="s">
        <v>5675</v>
      </c>
      <c r="F1386" s="1856">
        <f>$J$5</f>
        <v>0.02</v>
      </c>
      <c r="G1386" s="1772"/>
      <c r="H1386" s="1853"/>
      <c r="I1386" s="1863">
        <f>( I1380+I1385 )*F1386</f>
        <v>191.68699914893617</v>
      </c>
    </row>
    <row r="1387" spans="1:12" ht="15">
      <c r="B1387" s="1551"/>
      <c r="C1387" s="1555"/>
      <c r="D1387" s="1552"/>
      <c r="E1387" s="1831" t="s">
        <v>5676</v>
      </c>
      <c r="F1387" s="1831"/>
      <c r="G1387" s="1772"/>
      <c r="H1387" s="1853"/>
      <c r="I1387" s="1833">
        <f>I1386+I1386/F1386</f>
        <v>9776.0369565957444</v>
      </c>
    </row>
    <row r="1388" spans="1:12" ht="15">
      <c r="B1388" s="1551"/>
      <c r="C1388" s="1555"/>
      <c r="D1388" s="1552"/>
      <c r="E1388" s="1834" t="s">
        <v>5677</v>
      </c>
      <c r="F1388" s="1858">
        <f>$K$5</f>
        <v>5.7750000000000003E-2</v>
      </c>
      <c r="G1388" s="1772"/>
      <c r="H1388" s="1853"/>
      <c r="I1388" s="1835">
        <f>I1387*F1388</f>
        <v>564.56613424340424</v>
      </c>
    </row>
    <row r="1389" spans="1:12" ht="15">
      <c r="B1389" s="1551"/>
      <c r="C1389" s="1555"/>
      <c r="D1389" s="1552"/>
      <c r="E1389" s="1834" t="s">
        <v>5678</v>
      </c>
      <c r="F1389" s="1856">
        <f>$L$5</f>
        <v>0.06</v>
      </c>
      <c r="G1389" s="1772"/>
      <c r="H1389" s="1853"/>
      <c r="I1389" s="1835">
        <f>SUM(I1387:I1388)*F1389</f>
        <v>620.43618545034894</v>
      </c>
    </row>
    <row r="1390" spans="1:12" ht="15">
      <c r="B1390" s="1551"/>
      <c r="C1390" s="1555"/>
      <c r="D1390" s="1552"/>
      <c r="E1390" s="1831" t="s">
        <v>5679</v>
      </c>
      <c r="F1390" s="1831"/>
      <c r="G1390" s="1772"/>
      <c r="H1390" s="1853"/>
      <c r="I1390" s="1833">
        <f>SUM(I1387:I1389)</f>
        <v>10961.039276289499</v>
      </c>
    </row>
    <row r="1391" spans="1:12" ht="15">
      <c r="B1391" s="1551"/>
      <c r="C1391" s="1555"/>
      <c r="D1391" s="1552"/>
      <c r="E1391" s="1834" t="s">
        <v>5680</v>
      </c>
      <c r="F1391" s="1856">
        <f>$M$5</f>
        <v>0.1</v>
      </c>
      <c r="G1391" s="1772"/>
      <c r="H1391" s="1853"/>
      <c r="I1391" s="1835">
        <f>I1390*F1391</f>
        <v>1096.10392762895</v>
      </c>
    </row>
    <row r="1392" spans="1:12" ht="15">
      <c r="B1392" s="1551"/>
      <c r="C1392" s="1555"/>
      <c r="D1392" s="1552"/>
      <c r="E1392" s="1831" t="s">
        <v>5681</v>
      </c>
      <c r="F1392" s="1831"/>
      <c r="G1392" s="1772"/>
      <c r="H1392" s="1853"/>
      <c r="I1392" s="1833">
        <f>SUM(I1390:I1391)</f>
        <v>12057.143203918449</v>
      </c>
    </row>
    <row r="1393" spans="1:12" ht="12.75">
      <c r="B1393" s="1551"/>
      <c r="C1393" s="1555"/>
      <c r="D1393" s="1552"/>
      <c r="E1393" s="1558" t="s">
        <v>5682</v>
      </c>
      <c r="F1393" s="1595">
        <f>$N$5</f>
        <v>0.01</v>
      </c>
      <c r="G1393" s="1553"/>
      <c r="H1393" s="1594"/>
      <c r="I1393" s="1559">
        <f>I1392*F1393</f>
        <v>120.5714320391845</v>
      </c>
    </row>
    <row r="1394" spans="1:12" ht="15">
      <c r="B1394" s="1596"/>
      <c r="C1394" s="1597"/>
      <c r="D1394" s="1597"/>
      <c r="E1394" s="1859" t="s">
        <v>5683</v>
      </c>
      <c r="F1394" s="1859"/>
      <c r="G1394" s="1860"/>
      <c r="H1394" s="1861"/>
      <c r="I1394" s="1862">
        <f>ROUND(I1392+I1393,-2)</f>
        <v>12200</v>
      </c>
    </row>
    <row r="1395" spans="1:12" ht="15">
      <c r="A1395" s="657">
        <v>1</v>
      </c>
      <c r="B1395" s="1549">
        <f>IF(A1395&lt;&gt;0,COUNTA(A$7:$A1395),"")</f>
        <v>85</v>
      </c>
      <c r="C1395" s="1555">
        <f>'8.Dgia'!C3166</f>
        <v>1776</v>
      </c>
      <c r="D1395" s="1696" t="str">
        <f>'8.Dgia'!D3166</f>
        <v>AG.11110</v>
      </c>
      <c r="E1395" s="1848" t="str">
        <f>'8.Dgia'!E3166</f>
        <v>Bê tông C20 đá 1x2 bó vỉa</v>
      </c>
      <c r="F1395" s="1849" t="str">
        <f>'8.Dgia'!G3166</f>
        <v>m3</v>
      </c>
      <c r="G1395" s="1850">
        <f>'8.Dgia'!H3166</f>
        <v>0</v>
      </c>
      <c r="H1395" s="1851"/>
      <c r="I1395" s="1823"/>
      <c r="J1395" s="842">
        <f>+I1396</f>
        <v>902132.22389552847</v>
      </c>
      <c r="K1395" s="842">
        <f>+I1399</f>
        <v>364453.65</v>
      </c>
      <c r="L1395" s="842">
        <f>+I1400</f>
        <v>33661.027455000003</v>
      </c>
    </row>
    <row r="1396" spans="1:12" ht="15">
      <c r="B1396" s="1551" t="str">
        <f>'8.Dgia'!B3167</f>
        <v/>
      </c>
      <c r="C1396" s="1555">
        <f>'8.Dgia'!C3167</f>
        <v>0</v>
      </c>
      <c r="D1396" s="1552">
        <f>'8.Dgia'!D3167</f>
        <v>0</v>
      </c>
      <c r="E1396" s="2018" t="str">
        <f>'8.Dgia'!E3167</f>
        <v xml:space="preserve">  A - Vật liệu</v>
      </c>
      <c r="F1396" s="1771">
        <f>'8.Dgia'!G3167</f>
        <v>0</v>
      </c>
      <c r="G1396" s="1772">
        <f>'8.Dgia'!H3167</f>
        <v>0</v>
      </c>
      <c r="H1396" s="1853"/>
      <c r="I1396" s="1854">
        <f>SUM(I1397:I1398)</f>
        <v>902132.22389552847</v>
      </c>
    </row>
    <row r="1397" spans="1:12" ht="15">
      <c r="B1397" s="1551" t="str">
        <f>'8.Dgia'!B3168</f>
        <v/>
      </c>
      <c r="C1397" s="1555">
        <f>'8.Dgia'!C3168</f>
        <v>0</v>
      </c>
      <c r="D1397" s="1552" t="str">
        <f>'8.Dgia'!D3168</f>
        <v>C3124</v>
      </c>
      <c r="E1397" s="1775" t="str">
        <f>'8.Dgia'!E3168</f>
        <v>Vữa bê tông đá 1x2 C20 SN 2-4</v>
      </c>
      <c r="F1397" s="1771" t="str">
        <f>'8.Dgia'!G3168</f>
        <v>m3</v>
      </c>
      <c r="G1397" s="1772">
        <f>'8.Dgia'!H3168</f>
        <v>1.0149999999999999</v>
      </c>
      <c r="H1397" s="1853">
        <f>GVL!$I$194</f>
        <v>884378.32894201751</v>
      </c>
      <c r="I1397" s="1824">
        <f>H1397*G1397</f>
        <v>897644.00387614768</v>
      </c>
    </row>
    <row r="1398" spans="1:12" ht="15">
      <c r="B1398" s="1551" t="str">
        <f>'8.Dgia'!B3169</f>
        <v/>
      </c>
      <c r="C1398" s="1555">
        <f>'8.Dgia'!C3169</f>
        <v>0</v>
      </c>
      <c r="D1398" s="1552">
        <f>'8.Dgia'!D3169</f>
        <v>0</v>
      </c>
      <c r="E1398" s="1775" t="str">
        <f>'8.Dgia'!E3169</f>
        <v>Vật liệu khác</v>
      </c>
      <c r="F1398" s="1771" t="str">
        <f>'8.Dgia'!G3169</f>
        <v>%</v>
      </c>
      <c r="G1398" s="1772">
        <f>'8.Dgia'!H3169</f>
        <v>0.5</v>
      </c>
      <c r="H1398" s="1853">
        <f>+I1397</f>
        <v>897644.00387614768</v>
      </c>
      <c r="I1398" s="1824">
        <f>H1398*G1398%</f>
        <v>4488.2200193807384</v>
      </c>
    </row>
    <row r="1399" spans="1:12" ht="15">
      <c r="B1399" s="1551" t="str">
        <f>'8.Dgia'!B3170</f>
        <v/>
      </c>
      <c r="C1399" s="1555">
        <f>'8.Dgia'!C3170</f>
        <v>0</v>
      </c>
      <c r="D1399" s="1552">
        <f>'8.Dgia'!D3170</f>
        <v>0</v>
      </c>
      <c r="E1399" s="1775" t="str">
        <f>'8.Dgia'!E3170</f>
        <v xml:space="preserve">  B - Nhân công 3.0/7</v>
      </c>
      <c r="F1399" s="1771" t="s">
        <v>552</v>
      </c>
      <c r="G1399" s="1772">
        <f>'8.Dgia'!H3170</f>
        <v>1.83</v>
      </c>
      <c r="H1399" s="1853">
        <f>'16.NC'!$G$13</f>
        <v>199155</v>
      </c>
      <c r="I1399" s="1854">
        <f>H1399*G1399</f>
        <v>364453.65</v>
      </c>
    </row>
    <row r="1400" spans="1:12" ht="15">
      <c r="B1400" s="1551" t="str">
        <f>'8.Dgia'!B3171</f>
        <v/>
      </c>
      <c r="C1400" s="1555">
        <f>'8.Dgia'!C3171</f>
        <v>0</v>
      </c>
      <c r="D1400" s="1552">
        <f>'8.Dgia'!D3171</f>
        <v>0</v>
      </c>
      <c r="E1400" s="2018" t="str">
        <f>'8.Dgia'!E3171</f>
        <v xml:space="preserve">  C - Máy thi công</v>
      </c>
      <c r="F1400" s="1771">
        <f>'8.Dgia'!G3171</f>
        <v>0</v>
      </c>
      <c r="G1400" s="1772">
        <f>'8.Dgia'!H3171</f>
        <v>0</v>
      </c>
      <c r="H1400" s="1853"/>
      <c r="I1400" s="1854">
        <f>SUM(I1401:I1403)</f>
        <v>33661.027455000003</v>
      </c>
    </row>
    <row r="1401" spans="1:12" ht="15">
      <c r="B1401" s="1551" t="str">
        <f>'8.Dgia'!B3172</f>
        <v/>
      </c>
      <c r="C1401" s="1555">
        <f>'8.Dgia'!C3172</f>
        <v>0</v>
      </c>
      <c r="D1401" s="1552">
        <f>'8.Dgia'!D3172</f>
        <v>0</v>
      </c>
      <c r="E1401" s="1775" t="str">
        <f>'8.Dgia'!E3172</f>
        <v>Máy trộn 250l</v>
      </c>
      <c r="F1401" s="1771" t="s">
        <v>5493</v>
      </c>
      <c r="G1401" s="1772">
        <f>'8.Dgia'!H3172</f>
        <v>9.5000000000000001E-2</v>
      </c>
      <c r="H1401" s="1853">
        <f>'9.may'!$P$333</f>
        <v>180447.90000000002</v>
      </c>
      <c r="I1401" s="1824">
        <f>H1401*G1401</f>
        <v>17142.550500000001</v>
      </c>
    </row>
    <row r="1402" spans="1:12" ht="15">
      <c r="B1402" s="1551" t="str">
        <f>'8.Dgia'!B3173</f>
        <v/>
      </c>
      <c r="C1402" s="1555">
        <f>'8.Dgia'!C3173</f>
        <v>0</v>
      </c>
      <c r="D1402" s="1552">
        <f>'8.Dgia'!D3173</f>
        <v>0</v>
      </c>
      <c r="E1402" s="1775" t="str">
        <f>'8.Dgia'!E3173</f>
        <v>Máy đầm dùi 1.5kw</v>
      </c>
      <c r="F1402" s="1771" t="s">
        <v>5493</v>
      </c>
      <c r="G1402" s="1772">
        <f>'8.Dgia'!H3173</f>
        <v>0.18</v>
      </c>
      <c r="H1402" s="1853">
        <f>'9.may'!$P$382</f>
        <v>74768.797500000001</v>
      </c>
      <c r="I1402" s="1824">
        <f>H1402*G1402</f>
        <v>13458.38355</v>
      </c>
    </row>
    <row r="1403" spans="1:12" ht="15">
      <c r="B1403" s="1551" t="str">
        <f>'8.Dgia'!B3174</f>
        <v/>
      </c>
      <c r="C1403" s="1555">
        <f>'8.Dgia'!C3174</f>
        <v>0</v>
      </c>
      <c r="D1403" s="1552">
        <f>'8.Dgia'!D3174</f>
        <v>0</v>
      </c>
      <c r="E1403" s="1775" t="str">
        <f>'8.Dgia'!E3174</f>
        <v>Máy khác</v>
      </c>
      <c r="F1403" s="1771" t="str">
        <f>'8.Dgia'!G3174</f>
        <v>%</v>
      </c>
      <c r="G1403" s="1772">
        <f>'8.Dgia'!H3174</f>
        <v>10</v>
      </c>
      <c r="H1403" s="1853">
        <f>SUM(I1401:I1402)</f>
        <v>30600.934050000003</v>
      </c>
      <c r="I1403" s="1824">
        <f>H1403*G1403%</f>
        <v>3060.0934050000005</v>
      </c>
    </row>
    <row r="1404" spans="1:12" ht="15">
      <c r="B1404" s="1551"/>
      <c r="C1404" s="1555"/>
      <c r="D1404" s="1552"/>
      <c r="E1404" s="1828" t="s">
        <v>5675</v>
      </c>
      <c r="F1404" s="1856">
        <f>$J$5</f>
        <v>0.02</v>
      </c>
      <c r="G1404" s="1772"/>
      <c r="H1404" s="1853"/>
      <c r="I1404" s="1863">
        <f>( I1396+I1399+I1400 )*F1404</f>
        <v>26004.938027010568</v>
      </c>
    </row>
    <row r="1405" spans="1:12" ht="15">
      <c r="B1405" s="1551"/>
      <c r="C1405" s="1555"/>
      <c r="D1405" s="1552"/>
      <c r="E1405" s="1831" t="s">
        <v>5676</v>
      </c>
      <c r="F1405" s="1831"/>
      <c r="G1405" s="1772"/>
      <c r="H1405" s="1853"/>
      <c r="I1405" s="1833">
        <f>I1404+I1404/F1404</f>
        <v>1326251.839377539</v>
      </c>
    </row>
    <row r="1406" spans="1:12" ht="15">
      <c r="B1406" s="1551"/>
      <c r="C1406" s="1555"/>
      <c r="D1406" s="1552"/>
      <c r="E1406" s="1834" t="s">
        <v>5677</v>
      </c>
      <c r="F1406" s="1858">
        <f>$K$5</f>
        <v>5.7750000000000003E-2</v>
      </c>
      <c r="G1406" s="1772"/>
      <c r="H1406" s="1853"/>
      <c r="I1406" s="1835">
        <f>I1405*F1406</f>
        <v>76591.043724052884</v>
      </c>
    </row>
    <row r="1407" spans="1:12" ht="15">
      <c r="B1407" s="1551"/>
      <c r="C1407" s="1555"/>
      <c r="D1407" s="1552"/>
      <c r="E1407" s="1834" t="s">
        <v>5678</v>
      </c>
      <c r="F1407" s="1856">
        <f>$L$5</f>
        <v>0.06</v>
      </c>
      <c r="G1407" s="1772"/>
      <c r="H1407" s="1853"/>
      <c r="I1407" s="1835">
        <f>SUM(I1405:I1406)*F1407</f>
        <v>84170.572986095503</v>
      </c>
    </row>
    <row r="1408" spans="1:12" ht="15">
      <c r="B1408" s="1551"/>
      <c r="C1408" s="1555"/>
      <c r="D1408" s="1552"/>
      <c r="E1408" s="1831" t="s">
        <v>5679</v>
      </c>
      <c r="F1408" s="1831"/>
      <c r="G1408" s="1772"/>
      <c r="H1408" s="1853"/>
      <c r="I1408" s="1833">
        <f>SUM(I1405:I1407)</f>
        <v>1487013.4560876873</v>
      </c>
    </row>
    <row r="1409" spans="1:12" ht="15">
      <c r="B1409" s="1551"/>
      <c r="C1409" s="1555"/>
      <c r="D1409" s="1552"/>
      <c r="E1409" s="1834" t="s">
        <v>5680</v>
      </c>
      <c r="F1409" s="1856">
        <f>$M$5</f>
        <v>0.1</v>
      </c>
      <c r="G1409" s="1772"/>
      <c r="H1409" s="1853"/>
      <c r="I1409" s="1835">
        <f>I1408*F1409</f>
        <v>148701.34560876872</v>
      </c>
    </row>
    <row r="1410" spans="1:12" ht="15">
      <c r="B1410" s="1551"/>
      <c r="C1410" s="1555"/>
      <c r="D1410" s="1552"/>
      <c r="E1410" s="1831" t="s">
        <v>5681</v>
      </c>
      <c r="F1410" s="1831"/>
      <c r="G1410" s="1772"/>
      <c r="H1410" s="1853"/>
      <c r="I1410" s="1833">
        <f>SUM(I1408:I1409)</f>
        <v>1635714.801696456</v>
      </c>
    </row>
    <row r="1411" spans="1:12" ht="12.75">
      <c r="B1411" s="1551"/>
      <c r="C1411" s="1555"/>
      <c r="D1411" s="1552"/>
      <c r="E1411" s="1558" t="s">
        <v>5682</v>
      </c>
      <c r="F1411" s="1595">
        <f>$N$5</f>
        <v>0.01</v>
      </c>
      <c r="G1411" s="1553"/>
      <c r="H1411" s="1594"/>
      <c r="I1411" s="1559">
        <f>I1410*F1411</f>
        <v>16357.14801696456</v>
      </c>
    </row>
    <row r="1412" spans="1:12" ht="15">
      <c r="B1412" s="1596"/>
      <c r="C1412" s="1597"/>
      <c r="D1412" s="1597"/>
      <c r="E1412" s="1859" t="s">
        <v>5683</v>
      </c>
      <c r="F1412" s="1859"/>
      <c r="G1412" s="1860"/>
      <c r="H1412" s="1861"/>
      <c r="I1412" s="1862">
        <f>ROUND(I1410+I1411,-2)</f>
        <v>1652100</v>
      </c>
    </row>
    <row r="1413" spans="1:12" ht="15">
      <c r="A1413" s="657">
        <v>1</v>
      </c>
      <c r="B1413" s="1549">
        <f>IF(A1413&lt;&gt;0,COUNTA(A$7:$A1413),"")</f>
        <v>86</v>
      </c>
      <c r="C1413" s="1555">
        <f>'8.Dgia'!C3175</f>
        <v>1776</v>
      </c>
      <c r="D1413" s="1696" t="str">
        <f>'8.Dgia'!D3175</f>
        <v>AG.11110</v>
      </c>
      <c r="E1413" s="1848" t="str">
        <f>'8.Dgia'!E3175</f>
        <v>Bê tông C15 cọc tiêu</v>
      </c>
      <c r="F1413" s="1849" t="str">
        <f>'8.Dgia'!G3175</f>
        <v>m3</v>
      </c>
      <c r="G1413" s="1850">
        <f>'8.Dgia'!H3175</f>
        <v>0</v>
      </c>
      <c r="H1413" s="1851"/>
      <c r="I1413" s="1823"/>
      <c r="J1413" s="842">
        <f>+I1414</f>
        <v>836171.72269721131</v>
      </c>
      <c r="K1413" s="842">
        <f>+I1417</f>
        <v>364453.65</v>
      </c>
      <c r="L1413" s="842">
        <f>+I1418</f>
        <v>33661.027455000003</v>
      </c>
    </row>
    <row r="1414" spans="1:12" ht="15">
      <c r="B1414" s="1551" t="str">
        <f>'8.Dgia'!B3176</f>
        <v/>
      </c>
      <c r="C1414" s="1555">
        <f>'8.Dgia'!C3176</f>
        <v>0</v>
      </c>
      <c r="D1414" s="1552">
        <f>'8.Dgia'!D3176</f>
        <v>0</v>
      </c>
      <c r="E1414" s="2018" t="str">
        <f>'8.Dgia'!E3176</f>
        <v xml:space="preserve">  A - Vật liệu</v>
      </c>
      <c r="F1414" s="1771">
        <f>'8.Dgia'!G3176</f>
        <v>0</v>
      </c>
      <c r="G1414" s="1772">
        <f>'8.Dgia'!H3176</f>
        <v>0</v>
      </c>
      <c r="H1414" s="1853"/>
      <c r="I1414" s="1854">
        <f>SUM(I1415:I1416)</f>
        <v>836171.72269721131</v>
      </c>
    </row>
    <row r="1415" spans="1:12" ht="15">
      <c r="B1415" s="1551" t="str">
        <f>'8.Dgia'!B3177</f>
        <v/>
      </c>
      <c r="C1415" s="1555">
        <f>'8.Dgia'!C3177</f>
        <v>0</v>
      </c>
      <c r="D1415" s="1552" t="str">
        <f>'8.Dgia'!D3177</f>
        <v>C3123</v>
      </c>
      <c r="E1415" s="1775" t="str">
        <f>'8.Dgia'!E3177</f>
        <v>Vữa bê tông đá 1x2 C15 SN 2-4</v>
      </c>
      <c r="F1415" s="1771" t="str">
        <f>'8.Dgia'!G3177</f>
        <v>m3</v>
      </c>
      <c r="G1415" s="1772">
        <f>'8.Dgia'!H3177</f>
        <v>1.0149999999999999</v>
      </c>
      <c r="H1415" s="1853">
        <f>GVL!$I$193</f>
        <v>819715.92549294059</v>
      </c>
      <c r="I1415" s="1824">
        <f>H1415*G1415</f>
        <v>832011.66437533463</v>
      </c>
    </row>
    <row r="1416" spans="1:12" ht="15">
      <c r="B1416" s="1551" t="str">
        <f>'8.Dgia'!B3178</f>
        <v/>
      </c>
      <c r="C1416" s="1555">
        <f>'8.Dgia'!C3178</f>
        <v>0</v>
      </c>
      <c r="D1416" s="1552">
        <f>'8.Dgia'!D3178</f>
        <v>0</v>
      </c>
      <c r="E1416" s="1775" t="str">
        <f>'8.Dgia'!E3178</f>
        <v>Vật liệu khác</v>
      </c>
      <c r="F1416" s="1771" t="str">
        <f>'8.Dgia'!G3178</f>
        <v>%</v>
      </c>
      <c r="G1416" s="1772">
        <f>'8.Dgia'!H3178</f>
        <v>0.5</v>
      </c>
      <c r="H1416" s="1853">
        <f>+I1415</f>
        <v>832011.66437533463</v>
      </c>
      <c r="I1416" s="1824">
        <f>H1416*G1416%</f>
        <v>4160.0583218766733</v>
      </c>
    </row>
    <row r="1417" spans="1:12" ht="15">
      <c r="B1417" s="1551" t="str">
        <f>'8.Dgia'!B3179</f>
        <v/>
      </c>
      <c r="C1417" s="1555">
        <f>'8.Dgia'!C3179</f>
        <v>0</v>
      </c>
      <c r="D1417" s="1552">
        <f>'8.Dgia'!D3179</f>
        <v>0</v>
      </c>
      <c r="E1417" s="1775" t="str">
        <f>'8.Dgia'!E3179</f>
        <v xml:space="preserve">  B - Nhân công 3.0/7</v>
      </c>
      <c r="F1417" s="1771" t="s">
        <v>552</v>
      </c>
      <c r="G1417" s="1772">
        <f>'8.Dgia'!H3179</f>
        <v>1.83</v>
      </c>
      <c r="H1417" s="1853">
        <f>'16.NC'!$G$13</f>
        <v>199155</v>
      </c>
      <c r="I1417" s="1854">
        <f>H1417*G1417</f>
        <v>364453.65</v>
      </c>
    </row>
    <row r="1418" spans="1:12" ht="15">
      <c r="B1418" s="1551" t="str">
        <f>'8.Dgia'!B3180</f>
        <v/>
      </c>
      <c r="C1418" s="1555">
        <f>'8.Dgia'!C3180</f>
        <v>0</v>
      </c>
      <c r="D1418" s="1552">
        <f>'8.Dgia'!D3180</f>
        <v>0</v>
      </c>
      <c r="E1418" s="2018" t="str">
        <f>'8.Dgia'!E3180</f>
        <v xml:space="preserve">  C - Máy thi công</v>
      </c>
      <c r="F1418" s="1771">
        <f>'8.Dgia'!G3180</f>
        <v>0</v>
      </c>
      <c r="G1418" s="1772">
        <f>'8.Dgia'!H3180</f>
        <v>0</v>
      </c>
      <c r="H1418" s="1853"/>
      <c r="I1418" s="1854">
        <f>SUM(I1419:I1421)</f>
        <v>33661.027455000003</v>
      </c>
    </row>
    <row r="1419" spans="1:12" ht="15">
      <c r="B1419" s="1551" t="str">
        <f>'8.Dgia'!B3181</f>
        <v/>
      </c>
      <c r="C1419" s="1555">
        <f>'8.Dgia'!C3181</f>
        <v>0</v>
      </c>
      <c r="D1419" s="1552">
        <f>'8.Dgia'!D3181</f>
        <v>0</v>
      </c>
      <c r="E1419" s="1775" t="str">
        <f>'8.Dgia'!E3181</f>
        <v>Máy trộn 250l</v>
      </c>
      <c r="F1419" s="1771" t="s">
        <v>5493</v>
      </c>
      <c r="G1419" s="1772">
        <f>'8.Dgia'!H3181</f>
        <v>9.5000000000000001E-2</v>
      </c>
      <c r="H1419" s="1853">
        <f>'9.may'!$P$333</f>
        <v>180447.90000000002</v>
      </c>
      <c r="I1419" s="1824">
        <f>H1419*G1419</f>
        <v>17142.550500000001</v>
      </c>
    </row>
    <row r="1420" spans="1:12" ht="15">
      <c r="B1420" s="1551" t="str">
        <f>'8.Dgia'!B3182</f>
        <v/>
      </c>
      <c r="C1420" s="1555">
        <f>'8.Dgia'!C3182</f>
        <v>0</v>
      </c>
      <c r="D1420" s="1552">
        <f>'8.Dgia'!D3182</f>
        <v>0</v>
      </c>
      <c r="E1420" s="1775" t="str">
        <f>'8.Dgia'!E3182</f>
        <v>Máy đầm dùi 1.5kw</v>
      </c>
      <c r="F1420" s="1771" t="s">
        <v>5493</v>
      </c>
      <c r="G1420" s="1772">
        <f>'8.Dgia'!H3182</f>
        <v>0.18</v>
      </c>
      <c r="H1420" s="1853">
        <f>'9.may'!$P$382</f>
        <v>74768.797500000001</v>
      </c>
      <c r="I1420" s="1824">
        <f>H1420*G1420</f>
        <v>13458.38355</v>
      </c>
    </row>
    <row r="1421" spans="1:12" ht="15">
      <c r="B1421" s="1551" t="str">
        <f>'8.Dgia'!B3183</f>
        <v/>
      </c>
      <c r="C1421" s="1555">
        <f>'8.Dgia'!C3183</f>
        <v>0</v>
      </c>
      <c r="D1421" s="1552">
        <f>'8.Dgia'!D3183</f>
        <v>0</v>
      </c>
      <c r="E1421" s="1775" t="str">
        <f>'8.Dgia'!E3183</f>
        <v>Máy khác</v>
      </c>
      <c r="F1421" s="1771" t="str">
        <f>'8.Dgia'!G3183</f>
        <v>%</v>
      </c>
      <c r="G1421" s="1772">
        <f>'8.Dgia'!H3183</f>
        <v>10</v>
      </c>
      <c r="H1421" s="1853">
        <f>SUM(I1419:I1420)</f>
        <v>30600.934050000003</v>
      </c>
      <c r="I1421" s="1824">
        <f>H1421*G1421%</f>
        <v>3060.0934050000005</v>
      </c>
    </row>
    <row r="1422" spans="1:12" ht="15">
      <c r="B1422" s="1551"/>
      <c r="C1422" s="1555"/>
      <c r="D1422" s="1552"/>
      <c r="E1422" s="1828" t="s">
        <v>5675</v>
      </c>
      <c r="F1422" s="1856">
        <f>$J$5</f>
        <v>0.02</v>
      </c>
      <c r="G1422" s="1772"/>
      <c r="H1422" s="1853"/>
      <c r="I1422" s="1863">
        <f>( I1414+I1417+I1418 )*F1422</f>
        <v>24685.728003044227</v>
      </c>
    </row>
    <row r="1423" spans="1:12" ht="15">
      <c r="B1423" s="1551"/>
      <c r="C1423" s="1555"/>
      <c r="D1423" s="1552"/>
      <c r="E1423" s="1831" t="s">
        <v>5676</v>
      </c>
      <c r="F1423" s="1831"/>
      <c r="G1423" s="1772"/>
      <c r="H1423" s="1853"/>
      <c r="I1423" s="1833">
        <f>I1422+I1422/F1422</f>
        <v>1258972.1281552555</v>
      </c>
    </row>
    <row r="1424" spans="1:12" ht="15">
      <c r="B1424" s="1551"/>
      <c r="C1424" s="1555"/>
      <c r="D1424" s="1552"/>
      <c r="E1424" s="1834" t="s">
        <v>5677</v>
      </c>
      <c r="F1424" s="1858">
        <f>$K$5</f>
        <v>5.7750000000000003E-2</v>
      </c>
      <c r="G1424" s="1772"/>
      <c r="H1424" s="1853"/>
      <c r="I1424" s="1835">
        <f>I1423*F1424</f>
        <v>72705.640400966004</v>
      </c>
    </row>
    <row r="1425" spans="1:12" ht="15">
      <c r="B1425" s="1551"/>
      <c r="C1425" s="1555"/>
      <c r="D1425" s="1552"/>
      <c r="E1425" s="1834" t="s">
        <v>5678</v>
      </c>
      <c r="F1425" s="1856">
        <f>$L$5</f>
        <v>0.06</v>
      </c>
      <c r="G1425" s="1772"/>
      <c r="H1425" s="1853"/>
      <c r="I1425" s="1835">
        <f>SUM(I1423:I1424)*F1425</f>
        <v>79900.666113373285</v>
      </c>
    </row>
    <row r="1426" spans="1:12" ht="15">
      <c r="B1426" s="1551"/>
      <c r="C1426" s="1555"/>
      <c r="D1426" s="1552"/>
      <c r="E1426" s="1831" t="s">
        <v>5679</v>
      </c>
      <c r="F1426" s="1831"/>
      <c r="G1426" s="1772"/>
      <c r="H1426" s="1853"/>
      <c r="I1426" s="1833">
        <f>SUM(I1423:I1425)</f>
        <v>1411578.4346695947</v>
      </c>
    </row>
    <row r="1427" spans="1:12" ht="15">
      <c r="B1427" s="1551"/>
      <c r="C1427" s="1555"/>
      <c r="D1427" s="1552"/>
      <c r="E1427" s="1834" t="s">
        <v>5680</v>
      </c>
      <c r="F1427" s="1856">
        <f>$M$5</f>
        <v>0.1</v>
      </c>
      <c r="G1427" s="1772"/>
      <c r="H1427" s="1853"/>
      <c r="I1427" s="1835">
        <f>I1426*F1427</f>
        <v>141157.84346695949</v>
      </c>
    </row>
    <row r="1428" spans="1:12" ht="15">
      <c r="B1428" s="1551"/>
      <c r="C1428" s="1555"/>
      <c r="D1428" s="1552"/>
      <c r="E1428" s="1831" t="s">
        <v>5681</v>
      </c>
      <c r="F1428" s="1831"/>
      <c r="G1428" s="1772"/>
      <c r="H1428" s="1853"/>
      <c r="I1428" s="1833">
        <f>SUM(I1426:I1427)</f>
        <v>1552736.2781365542</v>
      </c>
    </row>
    <row r="1429" spans="1:12" ht="12.75">
      <c r="B1429" s="1551"/>
      <c r="C1429" s="1555"/>
      <c r="D1429" s="1552"/>
      <c r="E1429" s="1558" t="s">
        <v>5682</v>
      </c>
      <c r="F1429" s="1595">
        <f>$N$5</f>
        <v>0.01</v>
      </c>
      <c r="G1429" s="1553"/>
      <c r="H1429" s="1594"/>
      <c r="I1429" s="1559">
        <f>I1428*F1429</f>
        <v>15527.362781365542</v>
      </c>
    </row>
    <row r="1430" spans="1:12" ht="15">
      <c r="B1430" s="1596"/>
      <c r="C1430" s="1597"/>
      <c r="D1430" s="1597"/>
      <c r="E1430" s="1859" t="s">
        <v>5683</v>
      </c>
      <c r="F1430" s="1859"/>
      <c r="G1430" s="1860"/>
      <c r="H1430" s="1861"/>
      <c r="I1430" s="1862">
        <f>ROUND(I1428+I1429,-2)</f>
        <v>1568300</v>
      </c>
    </row>
    <row r="1431" spans="1:12" ht="30">
      <c r="A1431" s="657">
        <v>1</v>
      </c>
      <c r="B1431" s="1549">
        <f>IF(A1431&lt;&gt;0,COUNTA(A$7:$A1431),"")</f>
        <v>87</v>
      </c>
      <c r="C1431" s="1555">
        <f>'8.Dgia'!C3188</f>
        <v>1776</v>
      </c>
      <c r="D1431" s="1696" t="str">
        <f>'8.Dgia'!D3188</f>
        <v>AD.23225vd</v>
      </c>
      <c r="E1431" s="1848" t="str">
        <f>'8.Dgia'!E3188</f>
        <v>Trải bê tông nhựa hạt trung tăng cường (HS=1/0,07)</v>
      </c>
      <c r="F1431" s="1849" t="s">
        <v>545</v>
      </c>
      <c r="G1431" s="1850">
        <f>'8.Dgia'!H3188</f>
        <v>0</v>
      </c>
      <c r="H1431" s="1851"/>
      <c r="I1431" s="1823"/>
      <c r="K1431" s="842">
        <f>+I1432</f>
        <v>84553.628571428548</v>
      </c>
      <c r="L1431" s="842">
        <f>+I1433</f>
        <v>68189.855875162582</v>
      </c>
    </row>
    <row r="1432" spans="1:12" ht="15">
      <c r="B1432" s="1551" t="str">
        <f>'8.Dgia'!B3189</f>
        <v/>
      </c>
      <c r="C1432" s="1555">
        <f>'8.Dgia'!C3189</f>
        <v>0</v>
      </c>
      <c r="D1432" s="1552">
        <f>'8.Dgia'!D3189</f>
        <v>0</v>
      </c>
      <c r="E1432" s="1775" t="str">
        <f>'8.Dgia'!E3189</f>
        <v xml:space="preserve">  B - Nhân công 4.0/7</v>
      </c>
      <c r="F1432" s="1771" t="s">
        <v>552</v>
      </c>
      <c r="G1432" s="1772">
        <f>'8.Dgia'!H3189/100</f>
        <v>0.36428571428571421</v>
      </c>
      <c r="H1432" s="1853">
        <f>'16.NC'!$G$18</f>
        <v>232108</v>
      </c>
      <c r="I1432" s="1854">
        <f>H1432*G1432</f>
        <v>84553.628571428548</v>
      </c>
    </row>
    <row r="1433" spans="1:12" ht="15">
      <c r="B1433" s="1551" t="str">
        <f>'8.Dgia'!B3190</f>
        <v/>
      </c>
      <c r="C1433" s="1555">
        <f>'8.Dgia'!C3190</f>
        <v>0</v>
      </c>
      <c r="D1433" s="1552">
        <f>'8.Dgia'!D3190</f>
        <v>0</v>
      </c>
      <c r="E1433" s="2018" t="str">
        <f>'8.Dgia'!E3190</f>
        <v xml:space="preserve">  C - Máy thi công</v>
      </c>
      <c r="F1433" s="1771">
        <f>'8.Dgia'!G3190</f>
        <v>0</v>
      </c>
      <c r="G1433" s="1772">
        <f>'8.Dgia'!H3190/100</f>
        <v>0</v>
      </c>
      <c r="H1433" s="1853"/>
      <c r="I1433" s="1854">
        <f>SUM(I1434:I1437)</f>
        <v>68189.855875162582</v>
      </c>
    </row>
    <row r="1434" spans="1:12" ht="15">
      <c r="B1434" s="1551" t="str">
        <f>'8.Dgia'!B3191</f>
        <v/>
      </c>
      <c r="C1434" s="1555">
        <f>'8.Dgia'!C3191</f>
        <v>0</v>
      </c>
      <c r="D1434" s="1552">
        <f>'8.Dgia'!D3191</f>
        <v>0</v>
      </c>
      <c r="E1434" s="1775" t="str">
        <f>'8.Dgia'!E3191</f>
        <v>Máy rải 130-140cv</v>
      </c>
      <c r="F1434" s="1771" t="s">
        <v>5493</v>
      </c>
      <c r="G1434" s="1772">
        <f>'8.Dgia'!H3191/100</f>
        <v>8.6857142857142845E-3</v>
      </c>
      <c r="H1434" s="1853">
        <f>'9.may'!$P$752</f>
        <v>4352684.9563636361</v>
      </c>
      <c r="I1434" s="1824">
        <f>H1434*G1434</f>
        <v>37806.17790670129</v>
      </c>
    </row>
    <row r="1435" spans="1:12" ht="15">
      <c r="B1435" s="1551" t="str">
        <f>'8.Dgia'!B3192</f>
        <v/>
      </c>
      <c r="C1435" s="1555">
        <f>'8.Dgia'!C3192</f>
        <v>0</v>
      </c>
      <c r="D1435" s="1552">
        <f>'8.Dgia'!D3192</f>
        <v>0</v>
      </c>
      <c r="E1435" s="1775" t="str">
        <f>'8.Dgia'!E3192</f>
        <v>Máy lu bánh thép 10T</v>
      </c>
      <c r="F1435" s="1771" t="s">
        <v>5493</v>
      </c>
      <c r="G1435" s="1772">
        <f>'8.Dgia'!H3192/100</f>
        <v>1.714285714285714E-2</v>
      </c>
      <c r="H1435" s="1853">
        <f>'9.may'!$P$122</f>
        <v>950702.42999999993</v>
      </c>
      <c r="I1435" s="1824">
        <f>H1435*G1435</f>
        <v>16297.755942857139</v>
      </c>
    </row>
    <row r="1436" spans="1:12" ht="15">
      <c r="B1436" s="1551" t="str">
        <f>'8.Dgia'!B3193</f>
        <v/>
      </c>
      <c r="C1436" s="1555">
        <f>'8.Dgia'!C3193</f>
        <v>0</v>
      </c>
      <c r="D1436" s="1552">
        <f>'8.Dgia'!D3193</f>
        <v>0</v>
      </c>
      <c r="E1436" s="1775" t="str">
        <f>'8.Dgia'!E3193</f>
        <v>Lu bánh lốp 16T</v>
      </c>
      <c r="F1436" s="1771" t="s">
        <v>5493</v>
      </c>
      <c r="G1436" s="1772">
        <f>'8.Dgia'!H3193/100</f>
        <v>9.1428571428571418E-3</v>
      </c>
      <c r="H1436" s="1853">
        <f>'9.may'!$P$109</f>
        <v>1394407.2218181817</v>
      </c>
      <c r="I1436" s="1824">
        <f>H1436*G1436</f>
        <v>12748.866028051945</v>
      </c>
    </row>
    <row r="1437" spans="1:12" ht="15">
      <c r="B1437" s="1551" t="str">
        <f>'8.Dgia'!B3194</f>
        <v/>
      </c>
      <c r="C1437" s="1555">
        <f>'8.Dgia'!C3194</f>
        <v>0</v>
      </c>
      <c r="D1437" s="1552">
        <f>'8.Dgia'!D3194</f>
        <v>0</v>
      </c>
      <c r="E1437" s="1775" t="str">
        <f>'8.Dgia'!E3194</f>
        <v>Máy khác</v>
      </c>
      <c r="F1437" s="1771" t="str">
        <f>'8.Dgia'!G3194</f>
        <v>%</v>
      </c>
      <c r="G1437" s="1772">
        <f>'8.Dgia'!H3194</f>
        <v>2</v>
      </c>
      <c r="H1437" s="1853">
        <f>+SUM(I1434:I1436)</f>
        <v>66852.799877610378</v>
      </c>
      <c r="I1437" s="1824">
        <f>H1437*G1437%</f>
        <v>1337.0559975522076</v>
      </c>
    </row>
    <row r="1438" spans="1:12" ht="15">
      <c r="B1438" s="1551"/>
      <c r="C1438" s="1555"/>
      <c r="D1438" s="1552"/>
      <c r="E1438" s="1828" t="s">
        <v>5675</v>
      </c>
      <c r="F1438" s="1856">
        <f>$J$5</f>
        <v>0.02</v>
      </c>
      <c r="G1438" s="1772"/>
      <c r="H1438" s="1853"/>
      <c r="I1438" s="1863">
        <f>( I1432+I1433 )*F1438</f>
        <v>3054.8696889318226</v>
      </c>
    </row>
    <row r="1439" spans="1:12" ht="15">
      <c r="B1439" s="1551"/>
      <c r="C1439" s="1555"/>
      <c r="D1439" s="1552"/>
      <c r="E1439" s="1831" t="s">
        <v>5676</v>
      </c>
      <c r="F1439" s="1831"/>
      <c r="G1439" s="1772"/>
      <c r="H1439" s="1853"/>
      <c r="I1439" s="1833">
        <f>I1438+I1438/F1438</f>
        <v>155798.35413552294</v>
      </c>
    </row>
    <row r="1440" spans="1:12" ht="15">
      <c r="B1440" s="1551"/>
      <c r="C1440" s="1555"/>
      <c r="D1440" s="1552"/>
      <c r="E1440" s="1834" t="s">
        <v>5677</v>
      </c>
      <c r="F1440" s="1858">
        <f>$K$5</f>
        <v>5.7750000000000003E-2</v>
      </c>
      <c r="G1440" s="1772"/>
      <c r="H1440" s="1853"/>
      <c r="I1440" s="1835">
        <f>I1439*F1440</f>
        <v>8997.3549513264497</v>
      </c>
    </row>
    <row r="1441" spans="1:12" ht="15">
      <c r="B1441" s="1551"/>
      <c r="C1441" s="1555"/>
      <c r="D1441" s="1552"/>
      <c r="E1441" s="1834" t="s">
        <v>5678</v>
      </c>
      <c r="F1441" s="1856">
        <f>$L$5</f>
        <v>0.06</v>
      </c>
      <c r="G1441" s="1772"/>
      <c r="H1441" s="1853"/>
      <c r="I1441" s="1835">
        <f>SUM(I1439:I1440)*F1441</f>
        <v>9887.7425452109619</v>
      </c>
    </row>
    <row r="1442" spans="1:12" ht="15">
      <c r="B1442" s="1551"/>
      <c r="C1442" s="1555"/>
      <c r="D1442" s="1552"/>
      <c r="E1442" s="1831" t="s">
        <v>5679</v>
      </c>
      <c r="F1442" s="1831"/>
      <c r="G1442" s="1772"/>
      <c r="H1442" s="1853"/>
      <c r="I1442" s="1833">
        <f>SUM(I1439:I1441)</f>
        <v>174683.45163206034</v>
      </c>
    </row>
    <row r="1443" spans="1:12" ht="15">
      <c r="B1443" s="1551"/>
      <c r="C1443" s="1555"/>
      <c r="D1443" s="1552"/>
      <c r="E1443" s="1834" t="s">
        <v>5680</v>
      </c>
      <c r="F1443" s="1856">
        <f>$M$5</f>
        <v>0.1</v>
      </c>
      <c r="G1443" s="1772"/>
      <c r="H1443" s="1853"/>
      <c r="I1443" s="1835">
        <f>I1442*F1443</f>
        <v>17468.345163206035</v>
      </c>
    </row>
    <row r="1444" spans="1:12" ht="15">
      <c r="B1444" s="1551"/>
      <c r="C1444" s="1555"/>
      <c r="D1444" s="1552"/>
      <c r="E1444" s="1831" t="s">
        <v>5681</v>
      </c>
      <c r="F1444" s="1831"/>
      <c r="G1444" s="1772"/>
      <c r="H1444" s="1853"/>
      <c r="I1444" s="1833">
        <f>SUM(I1442:I1443)</f>
        <v>192151.79679526639</v>
      </c>
    </row>
    <row r="1445" spans="1:12" ht="12.75">
      <c r="B1445" s="1551"/>
      <c r="C1445" s="1555"/>
      <c r="D1445" s="1552"/>
      <c r="E1445" s="1558" t="s">
        <v>5682</v>
      </c>
      <c r="F1445" s="1595">
        <f>$N$5</f>
        <v>0.01</v>
      </c>
      <c r="G1445" s="1553"/>
      <c r="H1445" s="1594"/>
      <c r="I1445" s="1559">
        <f>I1444*F1445</f>
        <v>1921.5179679526639</v>
      </c>
    </row>
    <row r="1446" spans="1:12" ht="15">
      <c r="B1446" s="1596"/>
      <c r="C1446" s="1597"/>
      <c r="D1446" s="1597"/>
      <c r="E1446" s="1859" t="s">
        <v>5683</v>
      </c>
      <c r="F1446" s="1859"/>
      <c r="G1446" s="1860"/>
      <c r="H1446" s="1861"/>
      <c r="I1446" s="1862">
        <f>ROUND(I1444+I1445,-2)</f>
        <v>194100</v>
      </c>
    </row>
    <row r="1447" spans="1:12" ht="15">
      <c r="A1447" s="657">
        <v>1</v>
      </c>
      <c r="B1447" s="1549">
        <f>IF(A1447&lt;&gt;0,COUNTA(A$7:$A1447),"")</f>
        <v>88</v>
      </c>
      <c r="C1447" s="1495">
        <f>'8.Dgia'!C3195</f>
        <v>1776</v>
      </c>
      <c r="D1447" s="1693" t="str">
        <f>'8.Dgia'!D3195</f>
        <v>AB.42231</v>
      </c>
      <c r="E1447" s="1864" t="str">
        <f>'8.Dgia'!E3195</f>
        <v>Vận chuyển bằng ôtô tự đổ, 10T, C1, L=4Km</v>
      </c>
      <c r="F1447" s="1865" t="s">
        <v>545</v>
      </c>
      <c r="G1447" s="1866">
        <f>'8.Dgia'!H3195</f>
        <v>0</v>
      </c>
      <c r="H1447" s="1867"/>
      <c r="I1447" s="1868"/>
      <c r="L1447" s="842">
        <f>+I1448</f>
        <v>25721.658637499997</v>
      </c>
    </row>
    <row r="1448" spans="1:12" ht="15">
      <c r="B1448" s="1691" t="str">
        <f>'8.Dgia'!B3196</f>
        <v/>
      </c>
      <c r="C1448" s="1495">
        <f>'8.Dgia'!C3196</f>
        <v>0</v>
      </c>
      <c r="D1448" s="1537">
        <f>'8.Dgia'!D3196</f>
        <v>0</v>
      </c>
      <c r="E1448" s="2019" t="str">
        <f>'8.Dgia'!E3196</f>
        <v xml:space="preserve">  C - Máy thi công</v>
      </c>
      <c r="F1448" s="1745">
        <f>'8.Dgia'!G3196</f>
        <v>0</v>
      </c>
      <c r="G1448" s="1746">
        <f>'8.Dgia'!H3196</f>
        <v>0</v>
      </c>
      <c r="H1448" s="1869"/>
      <c r="I1448" s="1870">
        <f>SUM(I1449:I1450)</f>
        <v>25721.658637499997</v>
      </c>
    </row>
    <row r="1449" spans="1:12" ht="15">
      <c r="B1449" s="1691" t="str">
        <f>'8.Dgia'!B3197</f>
        <v/>
      </c>
      <c r="C1449" s="1495">
        <f>'8.Dgia'!C3197</f>
        <v>0</v>
      </c>
      <c r="D1449" s="1537" t="str">
        <f>'8.Dgia'!D3197</f>
        <v>AB.41431</v>
      </c>
      <c r="E1449" s="1749" t="str">
        <f>'8.Dgia'!E3197</f>
        <v>Ôtô tự đổ 10T</v>
      </c>
      <c r="F1449" s="1771" t="s">
        <v>5493</v>
      </c>
      <c r="G1449" s="1746">
        <f>'8.Dgia'!H3197/100</f>
        <v>6.8500000000000002E-3</v>
      </c>
      <c r="H1449" s="1883">
        <f>'9.may'!$P$148</f>
        <v>1870666.0827272725</v>
      </c>
      <c r="I1449" s="1747">
        <f>H1449*G1449</f>
        <v>12814.062666681817</v>
      </c>
    </row>
    <row r="1450" spans="1:12" ht="15">
      <c r="B1450" s="1691" t="str">
        <f>'8.Dgia'!B3198</f>
        <v/>
      </c>
      <c r="C1450" s="1495">
        <f>'8.Dgia'!C3198</f>
        <v>0</v>
      </c>
      <c r="D1450" s="1537" t="str">
        <f>'8.Dgia'!D3198</f>
        <v>AB.42231</v>
      </c>
      <c r="E1450" s="1749" t="str">
        <f>'8.Dgia'!E3198</f>
        <v>Ôtô tự đổ 10T</v>
      </c>
      <c r="F1450" s="1771" t="s">
        <v>5493</v>
      </c>
      <c r="G1450" s="1746">
        <f>'8.Dgia'!H3198/100</f>
        <v>6.9000000000000008E-3</v>
      </c>
      <c r="H1450" s="1883">
        <f>'9.may'!$P$148</f>
        <v>1870666.0827272725</v>
      </c>
      <c r="I1450" s="1747">
        <f>H1450*G1450</f>
        <v>12907.595970818182</v>
      </c>
    </row>
    <row r="1451" spans="1:12" ht="15">
      <c r="B1451" s="1691"/>
      <c r="C1451" s="1495"/>
      <c r="D1451" s="1537"/>
      <c r="E1451" s="1752" t="s">
        <v>5675</v>
      </c>
      <c r="F1451" s="1871">
        <f>$J$5</f>
        <v>0.02</v>
      </c>
      <c r="G1451" s="1746"/>
      <c r="H1451" s="1869"/>
      <c r="I1451" s="1872">
        <f>( I1448 )*F1451</f>
        <v>514.43317274999993</v>
      </c>
    </row>
    <row r="1452" spans="1:12" ht="15">
      <c r="B1452" s="1691"/>
      <c r="C1452" s="1495"/>
      <c r="D1452" s="1537"/>
      <c r="E1452" s="1757" t="s">
        <v>5676</v>
      </c>
      <c r="F1452" s="1757"/>
      <c r="G1452" s="1746"/>
      <c r="H1452" s="1869"/>
      <c r="I1452" s="1761">
        <f>I1451+I1451/F1451</f>
        <v>26236.091810249996</v>
      </c>
    </row>
    <row r="1453" spans="1:12" ht="15">
      <c r="B1453" s="1691"/>
      <c r="C1453" s="1495"/>
      <c r="D1453" s="1537"/>
      <c r="E1453" s="1762" t="s">
        <v>5677</v>
      </c>
      <c r="F1453" s="1873">
        <f>$K$5</f>
        <v>5.7750000000000003E-2</v>
      </c>
      <c r="G1453" s="1746"/>
      <c r="H1453" s="1869"/>
      <c r="I1453" s="1764">
        <f>I1452*F1453</f>
        <v>1515.1343020419374</v>
      </c>
    </row>
    <row r="1454" spans="1:12" ht="15">
      <c r="B1454" s="1691"/>
      <c r="C1454" s="1495"/>
      <c r="D1454" s="1537"/>
      <c r="E1454" s="1762" t="s">
        <v>5678</v>
      </c>
      <c r="F1454" s="1871">
        <f>$L$5</f>
        <v>0.06</v>
      </c>
      <c r="G1454" s="1746"/>
      <c r="H1454" s="1869"/>
      <c r="I1454" s="1764">
        <f>SUM(I1452:I1453)*F1454</f>
        <v>1665.0735667375159</v>
      </c>
    </row>
    <row r="1455" spans="1:12" ht="15">
      <c r="B1455" s="1691"/>
      <c r="C1455" s="1495"/>
      <c r="D1455" s="1537"/>
      <c r="E1455" s="1757" t="s">
        <v>5679</v>
      </c>
      <c r="F1455" s="1757"/>
      <c r="G1455" s="1746"/>
      <c r="H1455" s="1869"/>
      <c r="I1455" s="1761">
        <f>SUM(I1452:I1454)</f>
        <v>29416.299679029449</v>
      </c>
    </row>
    <row r="1456" spans="1:12" ht="15">
      <c r="B1456" s="1691"/>
      <c r="C1456" s="1495"/>
      <c r="D1456" s="1537"/>
      <c r="E1456" s="1762" t="s">
        <v>5680</v>
      </c>
      <c r="F1456" s="1871">
        <f>$M$5</f>
        <v>0.1</v>
      </c>
      <c r="G1456" s="1746"/>
      <c r="H1456" s="1869"/>
      <c r="I1456" s="1764">
        <f>I1455*F1456</f>
        <v>2941.6299679029453</v>
      </c>
    </row>
    <row r="1457" spans="1:12" ht="15">
      <c r="B1457" s="1691"/>
      <c r="C1457" s="1495"/>
      <c r="D1457" s="1537"/>
      <c r="E1457" s="1757" t="s">
        <v>5681</v>
      </c>
      <c r="F1457" s="1757"/>
      <c r="G1457" s="1746"/>
      <c r="H1457" s="1869"/>
      <c r="I1457" s="1761">
        <f>SUM(I1455:I1456)</f>
        <v>32357.929646932396</v>
      </c>
    </row>
    <row r="1458" spans="1:12" ht="12.75">
      <c r="B1458" s="1691"/>
      <c r="C1458" s="1495"/>
      <c r="D1458" s="1537"/>
      <c r="E1458" s="1498" t="s">
        <v>5682</v>
      </c>
      <c r="F1458" s="1497">
        <f>$N$5</f>
        <v>0.01</v>
      </c>
      <c r="G1458" s="1692"/>
      <c r="H1458" s="1496"/>
      <c r="I1458" s="1499">
        <f>I1457*F1458</f>
        <v>323.57929646932399</v>
      </c>
    </row>
    <row r="1459" spans="1:12" ht="15">
      <c r="B1459" s="1500"/>
      <c r="C1459" s="1501"/>
      <c r="D1459" s="1501"/>
      <c r="E1459" s="1874" t="s">
        <v>5683</v>
      </c>
      <c r="F1459" s="1874"/>
      <c r="G1459" s="1875"/>
      <c r="H1459" s="1876"/>
      <c r="I1459" s="1862">
        <f>ROUND(I1457+I1458,-2)</f>
        <v>32700</v>
      </c>
    </row>
    <row r="1460" spans="1:12" ht="15">
      <c r="A1460" s="657">
        <v>1</v>
      </c>
      <c r="B1460" s="1549">
        <f>IF(A1460&lt;&gt;0,COUNTA(A$7:$A1460),"")</f>
        <v>89</v>
      </c>
      <c r="C1460" s="1555">
        <f>'8.Dgia'!C3199</f>
        <v>1776</v>
      </c>
      <c r="D1460" s="1696" t="str">
        <f>'8.Dgia'!D3199</f>
        <v>AB.42234</v>
      </c>
      <c r="E1460" s="1848" t="str">
        <f>'8.Dgia'!E3199</f>
        <v>Vận chuyển bằng ôtô tự đổ, 10T, C4, L=4Km</v>
      </c>
      <c r="F1460" s="1849" t="s">
        <v>545</v>
      </c>
      <c r="G1460" s="1850">
        <f>'8.Dgia'!H3199</f>
        <v>0</v>
      </c>
      <c r="H1460" s="1851"/>
      <c r="I1460" s="1852"/>
      <c r="L1460" s="842">
        <f>+I1461</f>
        <v>36290.922004909087</v>
      </c>
    </row>
    <row r="1461" spans="1:12" ht="15">
      <c r="B1461" s="1551" t="str">
        <f>'8.Dgia'!B3200</f>
        <v/>
      </c>
      <c r="C1461" s="1555">
        <f>'8.Dgia'!C3200</f>
        <v>0</v>
      </c>
      <c r="D1461" s="1552">
        <f>'8.Dgia'!D3200</f>
        <v>0</v>
      </c>
      <c r="E1461" s="2018" t="str">
        <f>'8.Dgia'!E3200</f>
        <v xml:space="preserve">  C - Máy thi công</v>
      </c>
      <c r="F1461" s="1771">
        <f>'8.Dgia'!G3200</f>
        <v>0</v>
      </c>
      <c r="G1461" s="1772">
        <f>'8.Dgia'!H3200</f>
        <v>0</v>
      </c>
      <c r="H1461" s="1853"/>
      <c r="I1461" s="1854">
        <f>SUM(I1462:I1463)</f>
        <v>36290.922004909087</v>
      </c>
    </row>
    <row r="1462" spans="1:12" ht="15">
      <c r="B1462" s="1551" t="str">
        <f>'8.Dgia'!B3201</f>
        <v/>
      </c>
      <c r="C1462" s="1555">
        <f>'8.Dgia'!C3201</f>
        <v>0</v>
      </c>
      <c r="D1462" s="1552" t="str">
        <f>'8.Dgia'!D3201</f>
        <v>AB.41434</v>
      </c>
      <c r="E1462" s="1775" t="str">
        <f>'8.Dgia'!E3201</f>
        <v>Ôtô tự đổ 10T</v>
      </c>
      <c r="F1462" s="1771" t="s">
        <v>5493</v>
      </c>
      <c r="G1462" s="1772">
        <f>'8.Dgia'!H3201/100</f>
        <v>9.1999999999999998E-3</v>
      </c>
      <c r="H1462" s="1853">
        <f>'9.may'!$P$148</f>
        <v>1870666.0827272725</v>
      </c>
      <c r="I1462" s="1824">
        <f>H1462*G1462</f>
        <v>17210.127961090908</v>
      </c>
    </row>
    <row r="1463" spans="1:12" ht="15">
      <c r="B1463" s="1551" t="str">
        <f>'8.Dgia'!B3202</f>
        <v/>
      </c>
      <c r="C1463" s="1555">
        <f>'8.Dgia'!C3202</f>
        <v>0</v>
      </c>
      <c r="D1463" s="1552" t="str">
        <f>'8.Dgia'!D3202</f>
        <v>AB.42234</v>
      </c>
      <c r="E1463" s="1775" t="str">
        <f>'8.Dgia'!E3202</f>
        <v>Ôtô tự đổ 10T</v>
      </c>
      <c r="F1463" s="1771" t="s">
        <v>5493</v>
      </c>
      <c r="G1463" s="1772">
        <f>'8.Dgia'!H3202/100</f>
        <v>1.0200000000000001E-2</v>
      </c>
      <c r="H1463" s="1853">
        <f>'9.may'!$P$148</f>
        <v>1870666.0827272725</v>
      </c>
      <c r="I1463" s="1824">
        <f>H1463*G1463</f>
        <v>19080.794043818179</v>
      </c>
    </row>
    <row r="1464" spans="1:12" ht="15">
      <c r="B1464" s="1551"/>
      <c r="C1464" s="1555"/>
      <c r="D1464" s="1552"/>
      <c r="E1464" s="1828" t="s">
        <v>5675</v>
      </c>
      <c r="F1464" s="1856">
        <f>$J$5</f>
        <v>0.02</v>
      </c>
      <c r="G1464" s="1772"/>
      <c r="H1464" s="1853"/>
      <c r="I1464" s="1863">
        <f>( I1461 )*F1464</f>
        <v>725.81844009818178</v>
      </c>
    </row>
    <row r="1465" spans="1:12" ht="15">
      <c r="B1465" s="1551"/>
      <c r="C1465" s="1555"/>
      <c r="D1465" s="1552"/>
      <c r="E1465" s="1831" t="s">
        <v>5676</v>
      </c>
      <c r="F1465" s="1831"/>
      <c r="G1465" s="1772"/>
      <c r="H1465" s="1853"/>
      <c r="I1465" s="1833">
        <f>I1464+I1464/F1464</f>
        <v>37016.740445007272</v>
      </c>
    </row>
    <row r="1466" spans="1:12" ht="15">
      <c r="B1466" s="1551"/>
      <c r="C1466" s="1555"/>
      <c r="D1466" s="1552"/>
      <c r="E1466" s="1834" t="s">
        <v>5677</v>
      </c>
      <c r="F1466" s="1858">
        <f>$K$5</f>
        <v>5.7750000000000003E-2</v>
      </c>
      <c r="G1466" s="1772"/>
      <c r="H1466" s="1853"/>
      <c r="I1466" s="1835">
        <f>I1465*F1466</f>
        <v>2137.7167606991702</v>
      </c>
    </row>
    <row r="1467" spans="1:12" ht="15">
      <c r="B1467" s="1551"/>
      <c r="C1467" s="1555"/>
      <c r="D1467" s="1552"/>
      <c r="E1467" s="1834" t="s">
        <v>5678</v>
      </c>
      <c r="F1467" s="1856">
        <f>$L$5</f>
        <v>0.06</v>
      </c>
      <c r="G1467" s="1772"/>
      <c r="H1467" s="1853"/>
      <c r="I1467" s="1835">
        <f>SUM(I1465:I1466)*F1467</f>
        <v>2349.2674323423867</v>
      </c>
    </row>
    <row r="1468" spans="1:12" ht="15">
      <c r="B1468" s="1551"/>
      <c r="C1468" s="1555"/>
      <c r="D1468" s="1552"/>
      <c r="E1468" s="1831" t="s">
        <v>5679</v>
      </c>
      <c r="F1468" s="1831"/>
      <c r="G1468" s="1772"/>
      <c r="H1468" s="1853"/>
      <c r="I1468" s="1833">
        <f>SUM(I1465:I1467)</f>
        <v>41503.724638048829</v>
      </c>
    </row>
    <row r="1469" spans="1:12" ht="15">
      <c r="B1469" s="1551"/>
      <c r="C1469" s="1555"/>
      <c r="D1469" s="1552"/>
      <c r="E1469" s="1834" t="s">
        <v>5680</v>
      </c>
      <c r="F1469" s="1856">
        <f>$M$5</f>
        <v>0.1</v>
      </c>
      <c r="G1469" s="1772"/>
      <c r="H1469" s="1853"/>
      <c r="I1469" s="1835">
        <f>I1468*F1469</f>
        <v>4150.3724638048834</v>
      </c>
    </row>
    <row r="1470" spans="1:12" ht="15">
      <c r="B1470" s="1551"/>
      <c r="C1470" s="1555"/>
      <c r="D1470" s="1552"/>
      <c r="E1470" s="1831" t="s">
        <v>5681</v>
      </c>
      <c r="F1470" s="1831"/>
      <c r="G1470" s="1772"/>
      <c r="H1470" s="1853"/>
      <c r="I1470" s="1833">
        <f>SUM(I1468:I1469)</f>
        <v>45654.097101853709</v>
      </c>
    </row>
    <row r="1471" spans="1:12" ht="12.75">
      <c r="B1471" s="1551"/>
      <c r="C1471" s="1555"/>
      <c r="D1471" s="1552"/>
      <c r="E1471" s="1558" t="s">
        <v>5682</v>
      </c>
      <c r="F1471" s="1595">
        <f>$N$5</f>
        <v>0.01</v>
      </c>
      <c r="G1471" s="1553"/>
      <c r="H1471" s="1594"/>
      <c r="I1471" s="1559">
        <f>I1470*F1471</f>
        <v>456.54097101853711</v>
      </c>
    </row>
    <row r="1472" spans="1:12" ht="15">
      <c r="B1472" s="1596"/>
      <c r="C1472" s="1597"/>
      <c r="D1472" s="1597"/>
      <c r="E1472" s="1859" t="s">
        <v>5683</v>
      </c>
      <c r="F1472" s="1859"/>
      <c r="G1472" s="1860"/>
      <c r="H1472" s="1861"/>
      <c r="I1472" s="1862">
        <f>ROUND(I1470+I1471,-2)</f>
        <v>46100</v>
      </c>
    </row>
    <row r="1473" spans="1:12" ht="15">
      <c r="A1473" s="657">
        <v>1</v>
      </c>
      <c r="B1473" s="1549">
        <f>IF(A1473&lt;&gt;0,COUNTA(A$7:$A1473),"")</f>
        <v>90</v>
      </c>
      <c r="C1473" s="1555">
        <f>'8.Dgia'!C3209</f>
        <v>1776</v>
      </c>
      <c r="D1473" s="1696" t="str">
        <f>'8.Dgia'!D3209</f>
        <v>AF.51140</v>
      </c>
      <c r="E1473" s="1848" t="str">
        <f>'8.Dgia'!E3209</f>
        <v>Sản xuất và vận chuyển vữa bê tông 1Km</v>
      </c>
      <c r="F1473" s="1849" t="str">
        <f>'8.Dgia'!G3209</f>
        <v>m3</v>
      </c>
      <c r="G1473" s="1850">
        <f>'8.Dgia'!H3209</f>
        <v>0</v>
      </c>
      <c r="H1473" s="1851"/>
      <c r="I1473" s="1852"/>
      <c r="K1473" s="842">
        <f>+I1474</f>
        <v>13940.850000000002</v>
      </c>
      <c r="L1473" s="842">
        <f>+I1475</f>
        <v>120327.10071075</v>
      </c>
    </row>
    <row r="1474" spans="1:12" s="658" customFormat="1" ht="15">
      <c r="B1474" s="1551" t="str">
        <f>'8.Dgia'!B3210</f>
        <v/>
      </c>
      <c r="C1474" s="1555">
        <f>'8.Dgia'!C3210</f>
        <v>0</v>
      </c>
      <c r="D1474" s="1552" t="str">
        <f>'8.Dgia'!D3210</f>
        <v>AF.51140</v>
      </c>
      <c r="E1474" s="1775" t="str">
        <f>'8.Dgia'!E3210</f>
        <v xml:space="preserve">  B - Nhân công 3.0/7</v>
      </c>
      <c r="F1474" s="1771" t="s">
        <v>552</v>
      </c>
      <c r="G1474" s="1772">
        <f>'8.Dgia'!H3210</f>
        <v>7.0000000000000007E-2</v>
      </c>
      <c r="H1474" s="1853">
        <f>'16.NC'!$G$13</f>
        <v>199155</v>
      </c>
      <c r="I1474" s="1854">
        <f>H1474*G1474</f>
        <v>13940.850000000002</v>
      </c>
      <c r="J1474" s="850"/>
      <c r="K1474" s="850"/>
      <c r="L1474" s="850"/>
    </row>
    <row r="1475" spans="1:12" s="658" customFormat="1" ht="15">
      <c r="B1475" s="1551" t="str">
        <f>'8.Dgia'!B3211</f>
        <v/>
      </c>
      <c r="C1475" s="1555">
        <f>'8.Dgia'!C3211</f>
        <v>0</v>
      </c>
      <c r="D1475" s="1552">
        <f>'8.Dgia'!D3211</f>
        <v>0</v>
      </c>
      <c r="E1475" s="2018" t="str">
        <f>'8.Dgia'!E3211</f>
        <v xml:space="preserve">  C - Máy thi công</v>
      </c>
      <c r="F1475" s="1771">
        <f>'8.Dgia'!G3211</f>
        <v>0</v>
      </c>
      <c r="G1475" s="1772">
        <f>'8.Dgia'!H3211</f>
        <v>0</v>
      </c>
      <c r="H1475" s="1853"/>
      <c r="I1475" s="1854">
        <f>SUM(I1476:I1481)</f>
        <v>120327.10071075</v>
      </c>
      <c r="J1475" s="850"/>
      <c r="K1475" s="850"/>
      <c r="L1475" s="850"/>
    </row>
    <row r="1476" spans="1:12" ht="15">
      <c r="B1476" s="1551" t="str">
        <f>'8.Dgia'!B3212</f>
        <v/>
      </c>
      <c r="C1476" s="1555">
        <f>'8.Dgia'!C3212</f>
        <v>0</v>
      </c>
      <c r="D1476" s="1552" t="str">
        <f>'8.Dgia'!D3212</f>
        <v>AF.51140</v>
      </c>
      <c r="E1476" s="1775" t="str">
        <f>'8.Dgia'!E3212</f>
        <v>Trạm trộn bêtông 50m3/h</v>
      </c>
      <c r="F1476" s="1771" t="s">
        <v>5493</v>
      </c>
      <c r="G1476" s="1772">
        <f>'8.Dgia'!H3212</f>
        <v>7.0000000000000001E-3</v>
      </c>
      <c r="H1476" s="1853">
        <f>'9.may'!$P$351</f>
        <v>2766761.5200000005</v>
      </c>
      <c r="I1476" s="1824">
        <f>H1476*G1476</f>
        <v>19367.330640000004</v>
      </c>
    </row>
    <row r="1477" spans="1:12" ht="15">
      <c r="B1477" s="1551" t="str">
        <f>'8.Dgia'!B3213</f>
        <v/>
      </c>
      <c r="C1477" s="1555">
        <f>'8.Dgia'!C3213</f>
        <v>0</v>
      </c>
      <c r="D1477" s="1552">
        <f>'8.Dgia'!D3213</f>
        <v>0</v>
      </c>
      <c r="E1477" s="1775" t="str">
        <f>'8.Dgia'!E3213</f>
        <v>Máy xúc 1.25m3</v>
      </c>
      <c r="F1477" s="1771" t="s">
        <v>5493</v>
      </c>
      <c r="G1477" s="1772">
        <f>'8.Dgia'!H3213</f>
        <v>7.0000000000000001E-3</v>
      </c>
      <c r="H1477" s="1853">
        <f>'9.may'!$P$722</f>
        <v>1941040.5763636362</v>
      </c>
      <c r="I1477" s="1824">
        <f>H1477*G1477</f>
        <v>13587.284034545453</v>
      </c>
    </row>
    <row r="1478" spans="1:12" ht="15">
      <c r="B1478" s="1551" t="str">
        <f>'8.Dgia'!B3214</f>
        <v/>
      </c>
      <c r="C1478" s="1555">
        <f>'8.Dgia'!C3214</f>
        <v>0</v>
      </c>
      <c r="D1478" s="1552">
        <f>'8.Dgia'!D3214</f>
        <v>0</v>
      </c>
      <c r="E1478" s="1775" t="str">
        <f>'8.Dgia'!E3214</f>
        <v>Máy ủi 110cv</v>
      </c>
      <c r="F1478" s="1771" t="s">
        <v>5493</v>
      </c>
      <c r="G1478" s="1772">
        <f>'8.Dgia'!H3214</f>
        <v>3.5000000000000001E-3</v>
      </c>
      <c r="H1478" s="1853">
        <f>'9.may'!$P$70</f>
        <v>1959433.0499999998</v>
      </c>
      <c r="I1478" s="1824">
        <f>H1478*G1478</f>
        <v>6858.0156749999996</v>
      </c>
    </row>
    <row r="1479" spans="1:12" ht="15">
      <c r="B1479" s="1551" t="str">
        <f>'8.Dgia'!B3215</f>
        <v/>
      </c>
      <c r="C1479" s="1555">
        <f>'8.Dgia'!C3215</f>
        <v>0</v>
      </c>
      <c r="D1479" s="1552">
        <f>'8.Dgia'!D3215</f>
        <v>0</v>
      </c>
      <c r="E1479" s="1775" t="str">
        <f>'8.Dgia'!E3215</f>
        <v>Máy khác</v>
      </c>
      <c r="F1479" s="1771" t="str">
        <f>'8.Dgia'!G3215</f>
        <v>%</v>
      </c>
      <c r="G1479" s="1772">
        <f>'8.Dgia'!H3215</f>
        <v>5</v>
      </c>
      <c r="H1479" s="1853">
        <f>SUM(I1476:I1478)</f>
        <v>39812.630349545463</v>
      </c>
      <c r="I1479" s="1824">
        <f>H1479*G1479%</f>
        <v>1990.6315174772733</v>
      </c>
    </row>
    <row r="1480" spans="1:12" ht="15">
      <c r="B1480" s="1551" t="str">
        <f>'8.Dgia'!B3216</f>
        <v/>
      </c>
      <c r="C1480" s="1555">
        <f>'8.Dgia'!C3216</f>
        <v>0</v>
      </c>
      <c r="D1480" s="1552" t="str">
        <f>'8.Dgia'!D3216</f>
        <v>AF.52122</v>
      </c>
      <c r="E1480" s="1775" t="str">
        <f>'8.Dgia'!E3216</f>
        <v>Vận chuyển bê tông 1km</v>
      </c>
      <c r="F1480" s="1771">
        <f>'8.Dgia'!G3216</f>
        <v>0</v>
      </c>
      <c r="G1480" s="1772">
        <f>'8.Dgia'!H3216</f>
        <v>0</v>
      </c>
      <c r="H1480" s="1853"/>
      <c r="I1480" s="1824"/>
    </row>
    <row r="1481" spans="1:12" ht="15">
      <c r="B1481" s="1551" t="str">
        <f>'8.Dgia'!B3217</f>
        <v/>
      </c>
      <c r="C1481" s="1555">
        <f>'8.Dgia'!C3217</f>
        <v>0</v>
      </c>
      <c r="D1481" s="1552">
        <f>'8.Dgia'!D3217</f>
        <v>0</v>
      </c>
      <c r="E1481" s="1775" t="str">
        <f>'8.Dgia'!E3217</f>
        <v>Ôtô chuyển trộn 10.7m3</v>
      </c>
      <c r="F1481" s="1771" t="s">
        <v>5493</v>
      </c>
      <c r="G1481" s="1772">
        <f>'8.Dgia'!H3217</f>
        <v>2.6099999999999998E-2</v>
      </c>
      <c r="H1481" s="1853">
        <f>'9.may'!$P$171</f>
        <v>3008576.2009090907</v>
      </c>
      <c r="I1481" s="1824">
        <f>H1481*G1481</f>
        <v>78523.838843727266</v>
      </c>
    </row>
    <row r="1482" spans="1:12" ht="15">
      <c r="B1482" s="1551"/>
      <c r="C1482" s="1555"/>
      <c r="D1482" s="1552"/>
      <c r="E1482" s="1828" t="s">
        <v>5675</v>
      </c>
      <c r="F1482" s="1856">
        <f>$J$5</f>
        <v>0.02</v>
      </c>
      <c r="G1482" s="1772"/>
      <c r="H1482" s="1853"/>
      <c r="I1482" s="1863">
        <f>( I1474+I1475 )*F1482</f>
        <v>2685.3590142150001</v>
      </c>
    </row>
    <row r="1483" spans="1:12" ht="15">
      <c r="B1483" s="1551"/>
      <c r="C1483" s="1555"/>
      <c r="D1483" s="1552"/>
      <c r="E1483" s="1831" t="s">
        <v>5676</v>
      </c>
      <c r="F1483" s="1831"/>
      <c r="G1483" s="1772"/>
      <c r="H1483" s="1853"/>
      <c r="I1483" s="1833">
        <f>I1482+I1482/F1482</f>
        <v>136953.30972496502</v>
      </c>
    </row>
    <row r="1484" spans="1:12" ht="15">
      <c r="B1484" s="1551"/>
      <c r="C1484" s="1555"/>
      <c r="D1484" s="1552"/>
      <c r="E1484" s="1834" t="s">
        <v>5677</v>
      </c>
      <c r="F1484" s="1858">
        <f>$K$5</f>
        <v>5.7750000000000003E-2</v>
      </c>
      <c r="G1484" s="1772"/>
      <c r="H1484" s="1853"/>
      <c r="I1484" s="1835">
        <f>I1483*F1484</f>
        <v>7909.0536366167298</v>
      </c>
    </row>
    <row r="1485" spans="1:12" ht="15">
      <c r="B1485" s="1551"/>
      <c r="C1485" s="1555"/>
      <c r="D1485" s="1552"/>
      <c r="E1485" s="1834" t="s">
        <v>5678</v>
      </c>
      <c r="F1485" s="1856">
        <f>$L$5</f>
        <v>0.06</v>
      </c>
      <c r="G1485" s="1772"/>
      <c r="H1485" s="1853"/>
      <c r="I1485" s="1835">
        <f>SUM(I1483:I1484)*F1485</f>
        <v>8691.741801694905</v>
      </c>
    </row>
    <row r="1486" spans="1:12" ht="15">
      <c r="B1486" s="1551"/>
      <c r="C1486" s="1555"/>
      <c r="D1486" s="1552"/>
      <c r="E1486" s="1831" t="s">
        <v>5679</v>
      </c>
      <c r="F1486" s="1831"/>
      <c r="G1486" s="1772"/>
      <c r="H1486" s="1853"/>
      <c r="I1486" s="1833">
        <f>SUM(I1483:I1485)</f>
        <v>153554.10516327666</v>
      </c>
    </row>
    <row r="1487" spans="1:12" ht="15">
      <c r="B1487" s="1551"/>
      <c r="C1487" s="1555"/>
      <c r="D1487" s="1552"/>
      <c r="E1487" s="1834" t="s">
        <v>5680</v>
      </c>
      <c r="F1487" s="1856">
        <f>$M$5</f>
        <v>0.1</v>
      </c>
      <c r="G1487" s="1772"/>
      <c r="H1487" s="1853"/>
      <c r="I1487" s="1835">
        <f>I1486*F1487</f>
        <v>15355.410516327667</v>
      </c>
    </row>
    <row r="1488" spans="1:12" ht="15">
      <c r="B1488" s="1551"/>
      <c r="C1488" s="1555"/>
      <c r="D1488" s="1552"/>
      <c r="E1488" s="1831" t="s">
        <v>5681</v>
      </c>
      <c r="F1488" s="1831"/>
      <c r="G1488" s="1772"/>
      <c r="H1488" s="1853"/>
      <c r="I1488" s="1833">
        <f>SUM(I1486:I1487)</f>
        <v>168909.51567960432</v>
      </c>
    </row>
    <row r="1489" spans="2:12" ht="12.75">
      <c r="B1489" s="1551"/>
      <c r="C1489" s="1555"/>
      <c r="D1489" s="1552"/>
      <c r="E1489" s="1558" t="s">
        <v>5682</v>
      </c>
      <c r="F1489" s="1595">
        <f>$N$5</f>
        <v>0.01</v>
      </c>
      <c r="G1489" s="1553"/>
      <c r="H1489" s="1594"/>
      <c r="I1489" s="1559">
        <f>I1488*F1489</f>
        <v>1689.0951567960433</v>
      </c>
    </row>
    <row r="1490" spans="2:12" ht="15">
      <c r="B1490" s="1596"/>
      <c r="C1490" s="1597"/>
      <c r="D1490" s="1597"/>
      <c r="E1490" s="1859" t="s">
        <v>5683</v>
      </c>
      <c r="F1490" s="1859"/>
      <c r="G1490" s="1860"/>
      <c r="H1490" s="1861"/>
      <c r="I1490" s="1862">
        <f>ROUND(I1488+I1489,-2)</f>
        <v>170600</v>
      </c>
    </row>
    <row r="1491" spans="2:12" ht="18.75" customHeight="1">
      <c r="B1491" s="990" t="str">
        <f>IF(C1491="","",COUNTA($C$7:C1492))</f>
        <v/>
      </c>
      <c r="C1491" s="1477"/>
      <c r="D1491" s="1477"/>
      <c r="E1491" s="1478"/>
      <c r="F1491" s="1477"/>
      <c r="G1491" s="990"/>
      <c r="H1491" s="1479"/>
      <c r="I1491" s="1480"/>
      <c r="J1491" s="1738"/>
      <c r="K1491" s="1739"/>
      <c r="L1491" s="1738"/>
    </row>
    <row r="1492" spans="2:12" ht="18.75" customHeight="1">
      <c r="B1492" s="990" t="str">
        <f>IF(C1492="","",COUNTA($C$7:C1493))</f>
        <v/>
      </c>
      <c r="C1492" s="1477"/>
      <c r="D1492" s="1477"/>
      <c r="E1492" s="1478"/>
      <c r="F1492" s="1477"/>
      <c r="G1492" s="990"/>
      <c r="H1492" s="1479"/>
      <c r="I1492" s="1480"/>
      <c r="J1492" s="1738"/>
      <c r="K1492" s="1739"/>
      <c r="L1492" s="1738"/>
    </row>
    <row r="1493" spans="2:12" ht="18.75" customHeight="1">
      <c r="B1493" s="990" t="str">
        <f>IF(C1493="","",COUNTA($C$7:C1494))</f>
        <v/>
      </c>
      <c r="C1493" s="1477"/>
      <c r="D1493" s="1477"/>
      <c r="E1493" s="1478"/>
      <c r="F1493" s="1477"/>
      <c r="G1493" s="990"/>
      <c r="H1493" s="1479"/>
      <c r="I1493" s="1480"/>
      <c r="J1493" s="1738"/>
      <c r="K1493" s="1739"/>
      <c r="L1493" s="1738"/>
    </row>
    <row r="1494" spans="2:12" ht="18.75" customHeight="1">
      <c r="B1494" s="990" t="str">
        <f>IF(C1494="","",COUNTA($C$7:C1495))</f>
        <v/>
      </c>
      <c r="C1494" s="1477"/>
      <c r="D1494" s="1477"/>
      <c r="E1494" s="1478"/>
      <c r="F1494" s="1477"/>
      <c r="G1494" s="990"/>
      <c r="H1494" s="1479"/>
      <c r="I1494" s="1480"/>
      <c r="J1494" s="1738"/>
      <c r="K1494" s="1739"/>
      <c r="L1494" s="1738"/>
    </row>
    <row r="1495" spans="2:12" ht="18.75" customHeight="1">
      <c r="B1495" s="990" t="str">
        <f>IF(C1495="","",COUNTA($C$7:C1496))</f>
        <v/>
      </c>
      <c r="C1495" s="1477"/>
      <c r="D1495" s="1477"/>
      <c r="E1495" s="1478"/>
      <c r="F1495" s="1477"/>
      <c r="G1495" s="990"/>
      <c r="H1495" s="1479"/>
      <c r="I1495" s="1480"/>
      <c r="J1495" s="1738"/>
      <c r="K1495" s="1739"/>
      <c r="L1495" s="1738"/>
    </row>
    <row r="1496" spans="2:12" ht="18.75" customHeight="1">
      <c r="B1496" s="990" t="str">
        <f>IF(C1496="","",COUNTA($C$7:C1497))</f>
        <v/>
      </c>
      <c r="C1496" s="1477"/>
      <c r="D1496" s="1477"/>
      <c r="E1496" s="1478"/>
      <c r="F1496" s="1477"/>
      <c r="G1496" s="990"/>
      <c r="H1496" s="1479"/>
      <c r="I1496" s="1480"/>
      <c r="J1496" s="1738"/>
      <c r="K1496" s="1739"/>
      <c r="L1496" s="1738"/>
    </row>
    <row r="1497" spans="2:12" ht="18.75" customHeight="1">
      <c r="B1497" s="990" t="str">
        <f>IF(C1497="","",COUNTA($C$7:C1498))</f>
        <v/>
      </c>
      <c r="C1497" s="1477"/>
      <c r="D1497" s="1477"/>
      <c r="E1497" s="1478"/>
      <c r="F1497" s="1477"/>
      <c r="G1497" s="990"/>
      <c r="H1497" s="1479"/>
      <c r="I1497" s="1480"/>
      <c r="J1497" s="1738"/>
      <c r="K1497" s="1739"/>
      <c r="L1497" s="1738"/>
    </row>
    <row r="1498" spans="2:12" ht="18.75" customHeight="1">
      <c r="B1498" s="990" t="str">
        <f>IF(C1498="","",COUNTA($C$7:C1499))</f>
        <v/>
      </c>
      <c r="C1498" s="1477"/>
      <c r="D1498" s="1477"/>
      <c r="E1498" s="1478"/>
      <c r="F1498" s="1477"/>
      <c r="G1498" s="990"/>
      <c r="H1498" s="1479"/>
      <c r="I1498" s="1480"/>
      <c r="J1498" s="1738"/>
      <c r="K1498" s="1739"/>
      <c r="L1498" s="1738"/>
    </row>
    <row r="1499" spans="2:12" ht="18.75" customHeight="1">
      <c r="B1499" s="990" t="str">
        <f>IF(C1499="","",COUNTA($C$7:C1500))</f>
        <v/>
      </c>
      <c r="C1499" s="1477"/>
      <c r="D1499" s="1477"/>
      <c r="E1499" s="1478"/>
      <c r="F1499" s="1477"/>
      <c r="G1499" s="990"/>
      <c r="H1499" s="1479"/>
      <c r="I1499" s="1480"/>
      <c r="J1499" s="1738"/>
      <c r="K1499" s="1739"/>
      <c r="L1499" s="1738"/>
    </row>
    <row r="1500" spans="2:12" ht="18.75" customHeight="1">
      <c r="B1500" s="990" t="str">
        <f>IF(C1500="","",COUNTA($C$7:C1501))</f>
        <v/>
      </c>
      <c r="C1500" s="1477"/>
      <c r="D1500" s="1477"/>
      <c r="E1500" s="1478"/>
      <c r="F1500" s="1477"/>
      <c r="G1500" s="990"/>
      <c r="H1500" s="1479"/>
      <c r="I1500" s="1480"/>
      <c r="J1500" s="1738"/>
      <c r="K1500" s="1739"/>
      <c r="L1500" s="1738"/>
    </row>
    <row r="1501" spans="2:12" ht="18.75" customHeight="1">
      <c r="B1501" s="990" t="str">
        <f>IF(C1501="","",COUNTA($C$7:C1502))</f>
        <v/>
      </c>
      <c r="C1501" s="1477"/>
      <c r="D1501" s="1477"/>
      <c r="E1501" s="1478"/>
      <c r="F1501" s="1477"/>
      <c r="G1501" s="990"/>
      <c r="H1501" s="1479"/>
      <c r="I1501" s="1480"/>
      <c r="J1501" s="1738"/>
      <c r="K1501" s="1739"/>
      <c r="L1501" s="1738"/>
    </row>
    <row r="1502" spans="2:12" ht="18.75" customHeight="1">
      <c r="B1502" s="990" t="str">
        <f>IF(C1502="","",COUNTA($C$7:C1503))</f>
        <v/>
      </c>
      <c r="C1502" s="1477"/>
      <c r="D1502" s="1477"/>
      <c r="E1502" s="1478"/>
      <c r="F1502" s="1477"/>
      <c r="G1502" s="990"/>
      <c r="H1502" s="1479"/>
      <c r="I1502" s="1480"/>
      <c r="J1502" s="1738"/>
      <c r="K1502" s="1739"/>
      <c r="L1502" s="1738"/>
    </row>
    <row r="1503" spans="2:12" ht="18.75" customHeight="1">
      <c r="B1503" s="990" t="str">
        <f>IF(C1503="","",COUNTA($C$7:C1504))</f>
        <v/>
      </c>
      <c r="C1503" s="1477"/>
      <c r="D1503" s="1477"/>
      <c r="E1503" s="1478"/>
      <c r="F1503" s="1477"/>
      <c r="G1503" s="990"/>
      <c r="H1503" s="1479"/>
      <c r="I1503" s="1480"/>
      <c r="J1503" s="826"/>
      <c r="K1503" s="826"/>
      <c r="L1503" s="826"/>
    </row>
    <row r="1504" spans="2:12" ht="18.75" customHeight="1">
      <c r="B1504" s="990" t="str">
        <f>IF(C1504="","",COUNTA($C$7:C1505))</f>
        <v/>
      </c>
      <c r="C1504" s="1477"/>
      <c r="D1504" s="1477"/>
      <c r="E1504" s="1478"/>
      <c r="F1504" s="1477"/>
      <c r="G1504" s="990"/>
      <c r="H1504" s="1479"/>
      <c r="I1504" s="1480"/>
      <c r="J1504" s="826"/>
      <c r="K1504" s="826"/>
      <c r="L1504" s="826"/>
    </row>
    <row r="1505" spans="2:12" ht="18.75" customHeight="1">
      <c r="B1505" s="990" t="str">
        <f>IF(C1505="","",COUNTA($C$7:C1506))</f>
        <v/>
      </c>
      <c r="C1505" s="1477"/>
      <c r="D1505" s="1477"/>
      <c r="E1505" s="1478"/>
      <c r="F1505" s="1477"/>
      <c r="G1505" s="990"/>
      <c r="H1505" s="1479"/>
      <c r="I1505" s="1480"/>
      <c r="J1505" s="826"/>
      <c r="K1505" s="826"/>
      <c r="L1505" s="826"/>
    </row>
    <row r="1506" spans="2:12" ht="18.75" customHeight="1">
      <c r="B1506" s="990" t="str">
        <f>IF(C1506="","",COUNTA($C$7:C1507))</f>
        <v/>
      </c>
      <c r="C1506" s="1477"/>
      <c r="D1506" s="1477"/>
      <c r="E1506" s="1478"/>
      <c r="F1506" s="1477"/>
      <c r="G1506" s="990"/>
      <c r="H1506" s="1479"/>
      <c r="I1506" s="1480"/>
      <c r="J1506" s="826"/>
      <c r="K1506" s="826"/>
      <c r="L1506" s="826"/>
    </row>
    <row r="1507" spans="2:12" ht="18.75" customHeight="1">
      <c r="B1507" s="990" t="str">
        <f>IF(C1507="","",COUNTA($C$7:C1508))</f>
        <v/>
      </c>
      <c r="C1507" s="1477"/>
      <c r="D1507" s="1477"/>
      <c r="E1507" s="1478"/>
      <c r="F1507" s="1477"/>
      <c r="G1507" s="990"/>
      <c r="H1507" s="1479"/>
      <c r="I1507" s="1480"/>
      <c r="J1507" s="826"/>
      <c r="K1507" s="826"/>
      <c r="L1507" s="826"/>
    </row>
    <row r="1508" spans="2:12" ht="18.75" customHeight="1">
      <c r="B1508" s="990" t="str">
        <f>IF(C1508="","",COUNTA($C$7:C1509))</f>
        <v/>
      </c>
      <c r="C1508" s="1477"/>
      <c r="D1508" s="1477"/>
      <c r="E1508" s="1478"/>
      <c r="F1508" s="1477"/>
      <c r="G1508" s="990"/>
      <c r="H1508" s="1479"/>
      <c r="I1508" s="1480"/>
      <c r="J1508" s="826"/>
      <c r="K1508" s="826"/>
      <c r="L1508" s="826"/>
    </row>
    <row r="1509" spans="2:12" ht="18.75" customHeight="1">
      <c r="B1509" s="990" t="str">
        <f>IF(C1509="","",COUNTA($C$7:C1510))</f>
        <v/>
      </c>
      <c r="C1509" s="1477"/>
      <c r="D1509" s="1477"/>
      <c r="E1509" s="1478"/>
      <c r="F1509" s="1477"/>
      <c r="G1509" s="990"/>
      <c r="H1509" s="1479"/>
      <c r="I1509" s="1480"/>
      <c r="J1509" s="826"/>
      <c r="K1509" s="826"/>
      <c r="L1509" s="826"/>
    </row>
    <row r="1510" spans="2:12" ht="18.75" customHeight="1">
      <c r="B1510" s="990" t="str">
        <f>IF(C1510="","",COUNTA($C$7:C1511))</f>
        <v/>
      </c>
      <c r="C1510" s="1477"/>
      <c r="D1510" s="1477"/>
      <c r="E1510" s="1478"/>
      <c r="F1510" s="1477"/>
      <c r="G1510" s="990"/>
      <c r="H1510" s="1479"/>
      <c r="I1510" s="1480"/>
      <c r="J1510" s="826"/>
      <c r="K1510" s="826"/>
      <c r="L1510" s="826"/>
    </row>
    <row r="1511" spans="2:12" ht="18.75" customHeight="1">
      <c r="B1511" s="990" t="str">
        <f>IF(C1511="","",COUNTA($C$7:C1512))</f>
        <v/>
      </c>
      <c r="C1511" s="1477"/>
      <c r="D1511" s="1477"/>
      <c r="E1511" s="1478"/>
      <c r="F1511" s="1477"/>
      <c r="G1511" s="990"/>
      <c r="H1511" s="1479"/>
      <c r="I1511" s="1480"/>
      <c r="J1511" s="826"/>
      <c r="K1511" s="826"/>
      <c r="L1511" s="826"/>
    </row>
    <row r="1512" spans="2:12" ht="18.75" customHeight="1">
      <c r="B1512" s="990" t="str">
        <f>IF(C1512="","",COUNTA($C$7:C1513))</f>
        <v/>
      </c>
      <c r="C1512" s="1477"/>
      <c r="D1512" s="1477"/>
      <c r="E1512" s="1478"/>
      <c r="F1512" s="1477"/>
      <c r="G1512" s="990"/>
      <c r="H1512" s="1479"/>
      <c r="I1512" s="1480"/>
      <c r="J1512" s="826"/>
      <c r="K1512" s="826"/>
      <c r="L1512" s="826"/>
    </row>
    <row r="1513" spans="2:12" ht="18.75" customHeight="1">
      <c r="B1513" s="990" t="str">
        <f>IF(C1513="","",COUNTA($C$7:C1514))</f>
        <v/>
      </c>
      <c r="C1513" s="1477"/>
      <c r="D1513" s="1477"/>
      <c r="E1513" s="1478"/>
      <c r="F1513" s="1477"/>
      <c r="G1513" s="990"/>
      <c r="H1513" s="1479"/>
      <c r="I1513" s="1480"/>
      <c r="J1513" s="826"/>
      <c r="K1513" s="826"/>
      <c r="L1513" s="826"/>
    </row>
    <row r="1514" spans="2:12" ht="18.75" customHeight="1">
      <c r="B1514" s="990" t="str">
        <f>IF(C1514="","",COUNTA($C$7:C1515))</f>
        <v/>
      </c>
      <c r="C1514" s="1477"/>
      <c r="D1514" s="1477"/>
      <c r="E1514" s="1478"/>
      <c r="F1514" s="1477"/>
      <c r="G1514" s="990"/>
      <c r="H1514" s="1479"/>
      <c r="I1514" s="1480"/>
      <c r="J1514" s="826"/>
      <c r="K1514" s="826"/>
      <c r="L1514" s="826"/>
    </row>
    <row r="1515" spans="2:12" ht="18.75" customHeight="1">
      <c r="B1515" s="990" t="str">
        <f>IF(C1515="","",COUNTA($C$7:C1516))</f>
        <v/>
      </c>
      <c r="C1515" s="1477"/>
      <c r="D1515" s="1477"/>
      <c r="E1515" s="1478"/>
      <c r="F1515" s="1477"/>
      <c r="G1515" s="990"/>
      <c r="H1515" s="1479"/>
      <c r="I1515" s="1480"/>
      <c r="J1515" s="826"/>
      <c r="K1515" s="826"/>
      <c r="L1515" s="826"/>
    </row>
    <row r="1516" spans="2:12" ht="18.75" customHeight="1">
      <c r="B1516" s="990" t="str">
        <f>IF(C1516="","",COUNTA($C$7:C1517))</f>
        <v/>
      </c>
      <c r="C1516" s="1477"/>
      <c r="D1516" s="1477"/>
      <c r="E1516" s="1478"/>
      <c r="F1516" s="1477"/>
      <c r="G1516" s="990"/>
      <c r="H1516" s="1479"/>
      <c r="I1516" s="1480"/>
      <c r="J1516" s="826"/>
      <c r="K1516" s="826"/>
      <c r="L1516" s="826"/>
    </row>
    <row r="1517" spans="2:12" ht="18.75" customHeight="1">
      <c r="B1517" s="990" t="str">
        <f>IF(C1517="","",COUNTA($C$7:C1518))</f>
        <v/>
      </c>
      <c r="C1517" s="1477"/>
      <c r="D1517" s="1477"/>
      <c r="E1517" s="1478"/>
      <c r="F1517" s="1477"/>
      <c r="G1517" s="990"/>
      <c r="H1517" s="1479"/>
      <c r="I1517" s="1480"/>
      <c r="J1517" s="826"/>
      <c r="K1517" s="826"/>
      <c r="L1517" s="826"/>
    </row>
    <row r="1518" spans="2:12" ht="18.75" customHeight="1">
      <c r="B1518" s="990" t="str">
        <f>IF(C1518="","",COUNTA($C$7:C1519))</f>
        <v/>
      </c>
      <c r="C1518" s="1477"/>
      <c r="D1518" s="1477"/>
      <c r="E1518" s="1478"/>
      <c r="F1518" s="1477"/>
      <c r="G1518" s="990"/>
      <c r="H1518" s="1479"/>
      <c r="I1518" s="1480"/>
      <c r="J1518" s="826"/>
      <c r="K1518" s="826"/>
      <c r="L1518" s="826"/>
    </row>
    <row r="1519" spans="2:12" ht="18.75" customHeight="1">
      <c r="B1519" s="990" t="str">
        <f>IF(C1519="","",COUNTA($C$7:C1520))</f>
        <v/>
      </c>
      <c r="C1519" s="1477"/>
      <c r="D1519" s="1477"/>
      <c r="E1519" s="1478"/>
      <c r="F1519" s="1477"/>
      <c r="G1519" s="990"/>
      <c r="H1519" s="1479"/>
      <c r="I1519" s="1480"/>
      <c r="J1519" s="826"/>
      <c r="K1519" s="826"/>
      <c r="L1519" s="826"/>
    </row>
    <row r="1520" spans="2:12" ht="18.75" customHeight="1">
      <c r="B1520" s="990" t="str">
        <f>IF(C1520="","",COUNTA($C$7:C1521))</f>
        <v/>
      </c>
      <c r="C1520" s="1477"/>
      <c r="D1520" s="1477"/>
      <c r="E1520" s="1478"/>
      <c r="F1520" s="1477"/>
      <c r="G1520" s="990"/>
      <c r="H1520" s="1479"/>
      <c r="I1520" s="1480"/>
      <c r="J1520" s="826"/>
      <c r="K1520" s="826"/>
      <c r="L1520" s="826"/>
    </row>
    <row r="1521" spans="2:12" ht="18.75" customHeight="1">
      <c r="B1521" s="990" t="str">
        <f>IF(C1521="","",COUNTA($C$7:C1522))</f>
        <v/>
      </c>
      <c r="C1521" s="1477"/>
      <c r="D1521" s="1477"/>
      <c r="E1521" s="1478"/>
      <c r="F1521" s="1477"/>
      <c r="G1521" s="990"/>
      <c r="H1521" s="1479"/>
      <c r="I1521" s="1480"/>
      <c r="J1521" s="826"/>
      <c r="K1521" s="826"/>
      <c r="L1521" s="826"/>
    </row>
    <row r="1522" spans="2:12" ht="18.75" customHeight="1">
      <c r="B1522" s="990" t="str">
        <f>IF(C1522="","",COUNTA($C$7:C1523))</f>
        <v/>
      </c>
      <c r="C1522" s="1477"/>
      <c r="D1522" s="1477"/>
      <c r="E1522" s="1478"/>
      <c r="F1522" s="1477"/>
      <c r="G1522" s="990"/>
      <c r="H1522" s="1479"/>
      <c r="I1522" s="1480"/>
      <c r="J1522" s="826"/>
      <c r="K1522" s="826"/>
      <c r="L1522" s="826"/>
    </row>
    <row r="1523" spans="2:12" ht="18.75" customHeight="1">
      <c r="B1523" s="990" t="str">
        <f>IF(C1523="","",COUNTA($C$7:C1524))</f>
        <v/>
      </c>
      <c r="C1523" s="1477"/>
      <c r="D1523" s="1477"/>
      <c r="E1523" s="1478"/>
      <c r="F1523" s="1477"/>
      <c r="G1523" s="990"/>
      <c r="H1523" s="1479"/>
      <c r="I1523" s="1480"/>
      <c r="J1523" s="826"/>
      <c r="K1523" s="826"/>
      <c r="L1523" s="826"/>
    </row>
    <row r="1524" spans="2:12" ht="18.75" customHeight="1">
      <c r="B1524" s="990" t="str">
        <f>IF(C1524="","",COUNTA($C$7:C1525))</f>
        <v/>
      </c>
      <c r="C1524" s="1477"/>
      <c r="D1524" s="1477"/>
      <c r="E1524" s="1478"/>
      <c r="F1524" s="1477"/>
      <c r="G1524" s="990"/>
      <c r="H1524" s="1479"/>
      <c r="I1524" s="1480"/>
      <c r="J1524" s="826"/>
      <c r="K1524" s="826"/>
      <c r="L1524" s="826"/>
    </row>
    <row r="1525" spans="2:12" ht="18.75" customHeight="1">
      <c r="B1525" s="990" t="str">
        <f>IF(C1525="","",COUNTA($C$7:C1526))</f>
        <v/>
      </c>
      <c r="C1525" s="1477"/>
      <c r="D1525" s="1477"/>
      <c r="E1525" s="1478"/>
      <c r="F1525" s="1477"/>
      <c r="G1525" s="990"/>
      <c r="H1525" s="1479"/>
      <c r="I1525" s="1480"/>
      <c r="J1525" s="826"/>
      <c r="K1525" s="826"/>
      <c r="L1525" s="826"/>
    </row>
    <row r="1526" spans="2:12" ht="18.75" customHeight="1">
      <c r="B1526" s="990" t="str">
        <f>IF(C1526="","",COUNTA($C$7:C1527))</f>
        <v/>
      </c>
      <c r="C1526" s="1477"/>
      <c r="D1526" s="1477"/>
      <c r="E1526" s="1478"/>
      <c r="F1526" s="1477"/>
      <c r="G1526" s="990"/>
      <c r="H1526" s="1479"/>
      <c r="I1526" s="1480"/>
      <c r="J1526" s="826"/>
      <c r="K1526" s="826"/>
      <c r="L1526" s="826"/>
    </row>
    <row r="1527" spans="2:12" ht="18.75" customHeight="1">
      <c r="B1527" s="990" t="str">
        <f>IF(C1527="","",COUNTA($C$7:C1528))</f>
        <v/>
      </c>
      <c r="C1527" s="1477"/>
      <c r="D1527" s="1477"/>
      <c r="E1527" s="1478"/>
      <c r="F1527" s="1477"/>
      <c r="G1527" s="990"/>
      <c r="H1527" s="1479"/>
      <c r="I1527" s="1480"/>
      <c r="J1527" s="826"/>
      <c r="K1527" s="826"/>
      <c r="L1527" s="826"/>
    </row>
    <row r="1528" spans="2:12" ht="18.75" customHeight="1">
      <c r="B1528" s="990" t="str">
        <f>IF(C1528="","",COUNTA($C$7:C1529))</f>
        <v/>
      </c>
      <c r="C1528" s="1477"/>
      <c r="D1528" s="1477"/>
      <c r="E1528" s="1478"/>
      <c r="F1528" s="1477"/>
      <c r="G1528" s="990"/>
      <c r="H1528" s="1479"/>
      <c r="I1528" s="1480"/>
      <c r="J1528" s="826"/>
      <c r="K1528" s="826"/>
      <c r="L1528" s="826"/>
    </row>
    <row r="1529" spans="2:12" ht="18.75" customHeight="1">
      <c r="B1529" s="990" t="str">
        <f>IF(C1529="","",COUNTA($C$7:C1530))</f>
        <v/>
      </c>
      <c r="C1529" s="1477"/>
      <c r="D1529" s="1477"/>
      <c r="E1529" s="1478"/>
      <c r="F1529" s="1477"/>
      <c r="G1529" s="990"/>
      <c r="H1529" s="1479"/>
      <c r="I1529" s="1480"/>
      <c r="J1529" s="826"/>
      <c r="K1529" s="826"/>
      <c r="L1529" s="826"/>
    </row>
    <row r="1530" spans="2:12" ht="18.75" customHeight="1">
      <c r="B1530" s="990" t="str">
        <f>IF(C1530="","",COUNTA($C$7:C1531))</f>
        <v/>
      </c>
      <c r="C1530" s="1477"/>
      <c r="D1530" s="1477"/>
      <c r="E1530" s="1478"/>
      <c r="F1530" s="1477"/>
      <c r="G1530" s="990"/>
      <c r="H1530" s="1479"/>
      <c r="I1530" s="1480"/>
      <c r="J1530" s="826"/>
      <c r="K1530" s="826"/>
      <c r="L1530" s="826"/>
    </row>
    <row r="1531" spans="2:12" ht="18.75" customHeight="1">
      <c r="B1531" s="990" t="str">
        <f>IF(C1531="","",COUNTA($C$7:C1532))</f>
        <v/>
      </c>
      <c r="C1531" s="1477"/>
      <c r="D1531" s="1477"/>
      <c r="E1531" s="1478"/>
      <c r="F1531" s="1477"/>
      <c r="G1531" s="990"/>
      <c r="H1531" s="1479"/>
      <c r="I1531" s="1480"/>
      <c r="J1531" s="826"/>
      <c r="K1531" s="826"/>
      <c r="L1531" s="826"/>
    </row>
    <row r="1532" spans="2:12" ht="18.75" customHeight="1">
      <c r="B1532" s="990" t="str">
        <f>IF(C1532="","",COUNTA($C$7:C1533))</f>
        <v/>
      </c>
      <c r="C1532" s="1477"/>
      <c r="D1532" s="1477"/>
      <c r="E1532" s="1478"/>
      <c r="F1532" s="1477"/>
      <c r="G1532" s="990"/>
      <c r="H1532" s="1479"/>
      <c r="I1532" s="1480"/>
      <c r="J1532" s="826"/>
      <c r="K1532" s="826"/>
      <c r="L1532" s="826"/>
    </row>
    <row r="1533" spans="2:12" ht="18.75" customHeight="1">
      <c r="B1533" s="990" t="str">
        <f>IF(C1533="","",COUNTA($C$7:C1534))</f>
        <v/>
      </c>
      <c r="C1533" s="1477"/>
      <c r="D1533" s="1477"/>
      <c r="E1533" s="1478"/>
      <c r="F1533" s="1477"/>
      <c r="G1533" s="990"/>
      <c r="H1533" s="1479"/>
      <c r="I1533" s="1480"/>
      <c r="J1533" s="826"/>
      <c r="K1533" s="826"/>
      <c r="L1533" s="826"/>
    </row>
    <row r="1534" spans="2:12" ht="18.75" customHeight="1">
      <c r="B1534" s="990" t="str">
        <f>IF(C1534="","",COUNTA($C$7:C1535))</f>
        <v/>
      </c>
      <c r="C1534" s="1477"/>
      <c r="D1534" s="1477"/>
      <c r="E1534" s="1478"/>
      <c r="F1534" s="1477"/>
      <c r="G1534" s="990"/>
      <c r="H1534" s="1479"/>
      <c r="I1534" s="1480"/>
      <c r="J1534" s="826"/>
      <c r="K1534" s="826"/>
      <c r="L1534" s="826"/>
    </row>
    <row r="1535" spans="2:12" ht="18.75" customHeight="1">
      <c r="B1535" s="990" t="str">
        <f>IF(C1535="","",COUNTA($C$7:C1536))</f>
        <v/>
      </c>
      <c r="C1535" s="1477"/>
      <c r="D1535" s="1477"/>
      <c r="E1535" s="1478"/>
      <c r="F1535" s="1477"/>
      <c r="G1535" s="990"/>
      <c r="H1535" s="1479"/>
      <c r="I1535" s="1480"/>
      <c r="J1535" s="826"/>
      <c r="K1535" s="826"/>
      <c r="L1535" s="826"/>
    </row>
    <row r="1536" spans="2:12" ht="18.75" customHeight="1">
      <c r="B1536" s="990" t="str">
        <f>IF(C1536="","",COUNTA($C$7:C1537))</f>
        <v/>
      </c>
      <c r="C1536" s="1477"/>
      <c r="D1536" s="1477"/>
      <c r="E1536" s="1478"/>
      <c r="F1536" s="1477"/>
      <c r="G1536" s="990"/>
      <c r="H1536" s="1479"/>
      <c r="I1536" s="1480"/>
      <c r="J1536" s="826"/>
      <c r="K1536" s="826"/>
      <c r="L1536" s="826"/>
    </row>
    <row r="1537" spans="2:12" ht="18.75" customHeight="1">
      <c r="B1537" s="990" t="str">
        <f>IF(C1537="","",COUNTA($C$7:C1538))</f>
        <v/>
      </c>
      <c r="C1537" s="1477"/>
      <c r="D1537" s="1477"/>
      <c r="E1537" s="1478"/>
      <c r="F1537" s="1477"/>
      <c r="G1537" s="990"/>
      <c r="H1537" s="1479"/>
      <c r="I1537" s="1480"/>
      <c r="J1537" s="826"/>
      <c r="K1537" s="826"/>
      <c r="L1537" s="826"/>
    </row>
    <row r="1538" spans="2:12" ht="18.75" customHeight="1">
      <c r="B1538" s="990" t="str">
        <f>IF(C1538="","",COUNTA($C$7:C1539))</f>
        <v/>
      </c>
      <c r="C1538" s="1477"/>
      <c r="D1538" s="1477"/>
      <c r="E1538" s="1478"/>
      <c r="F1538" s="1477"/>
      <c r="G1538" s="990"/>
      <c r="H1538" s="1479"/>
      <c r="I1538" s="1480"/>
      <c r="J1538" s="826"/>
      <c r="K1538" s="826"/>
      <c r="L1538" s="826"/>
    </row>
    <row r="1539" spans="2:12" ht="18.75" customHeight="1">
      <c r="B1539" s="990" t="str">
        <f>IF(C1539="","",COUNTA($C$7:C1540))</f>
        <v/>
      </c>
      <c r="C1539" s="1477"/>
      <c r="D1539" s="1477"/>
      <c r="E1539" s="1478"/>
      <c r="F1539" s="1477"/>
      <c r="G1539" s="990"/>
      <c r="H1539" s="1479"/>
      <c r="I1539" s="1480"/>
      <c r="J1539" s="826"/>
      <c r="K1539" s="826"/>
      <c r="L1539" s="826"/>
    </row>
    <row r="1540" spans="2:12" ht="18.75" customHeight="1">
      <c r="B1540" s="990" t="str">
        <f>IF(C1540="","",COUNTA($C$7:C1541))</f>
        <v/>
      </c>
      <c r="C1540" s="1477"/>
      <c r="D1540" s="1477"/>
      <c r="E1540" s="1478"/>
      <c r="F1540" s="1477"/>
      <c r="G1540" s="990"/>
      <c r="H1540" s="1479"/>
      <c r="I1540" s="1480"/>
      <c r="J1540" s="826"/>
      <c r="K1540" s="826"/>
      <c r="L1540" s="826"/>
    </row>
    <row r="1541" spans="2:12" ht="18.75" customHeight="1">
      <c r="B1541" s="990" t="str">
        <f>IF(C1541="","",COUNTA($C$7:C1542))</f>
        <v/>
      </c>
      <c r="C1541" s="1477"/>
      <c r="D1541" s="1477"/>
      <c r="E1541" s="1478"/>
      <c r="F1541" s="1477"/>
      <c r="G1541" s="990"/>
      <c r="H1541" s="1479"/>
      <c r="I1541" s="1480"/>
      <c r="J1541" s="826"/>
      <c r="K1541" s="826"/>
      <c r="L1541" s="826"/>
    </row>
    <row r="1542" spans="2:12" ht="18.75" customHeight="1">
      <c r="B1542" s="990" t="str">
        <f>IF(C1542="","",COUNTA($C$7:C1543))</f>
        <v/>
      </c>
      <c r="C1542" s="1477"/>
      <c r="D1542" s="1477"/>
      <c r="E1542" s="1478"/>
      <c r="F1542" s="1477"/>
      <c r="G1542" s="990"/>
      <c r="H1542" s="1479"/>
      <c r="I1542" s="1480"/>
      <c r="J1542" s="826"/>
      <c r="K1542" s="826"/>
      <c r="L1542" s="826"/>
    </row>
    <row r="1543" spans="2:12" ht="18.75" customHeight="1">
      <c r="B1543" s="990" t="str">
        <f>IF(C1543="","",COUNTA($C$7:C1544))</f>
        <v/>
      </c>
      <c r="C1543" s="1477"/>
      <c r="D1543" s="1477"/>
      <c r="E1543" s="1478"/>
      <c r="F1543" s="1477"/>
      <c r="G1543" s="990"/>
      <c r="H1543" s="1479"/>
      <c r="I1543" s="1480"/>
      <c r="J1543" s="826"/>
      <c r="K1543" s="826"/>
      <c r="L1543" s="826"/>
    </row>
    <row r="1544" spans="2:12" ht="18.75" customHeight="1">
      <c r="B1544" s="990" t="str">
        <f>IF(C1544="","",COUNTA($C$7:C1545))</f>
        <v/>
      </c>
      <c r="C1544" s="1477"/>
      <c r="D1544" s="1477"/>
      <c r="E1544" s="1478"/>
      <c r="F1544" s="1477"/>
      <c r="G1544" s="990"/>
      <c r="H1544" s="1479"/>
      <c r="I1544" s="1480"/>
      <c r="J1544" s="826"/>
      <c r="K1544" s="826"/>
      <c r="L1544" s="826"/>
    </row>
    <row r="1545" spans="2:12" ht="18.75" customHeight="1">
      <c r="B1545" s="990" t="str">
        <f>IF(C1545="","",COUNTA($C$7:C1546))</f>
        <v/>
      </c>
      <c r="C1545" s="1477"/>
      <c r="D1545" s="1477"/>
      <c r="E1545" s="1478"/>
      <c r="F1545" s="1477"/>
      <c r="G1545" s="990"/>
      <c r="H1545" s="1479"/>
      <c r="I1545" s="1480"/>
      <c r="J1545" s="826"/>
      <c r="K1545" s="826"/>
      <c r="L1545" s="826"/>
    </row>
    <row r="1546" spans="2:12" ht="18.75" customHeight="1">
      <c r="B1546" s="990" t="str">
        <f>IF(C1546="","",COUNTA($C$7:C1547))</f>
        <v/>
      </c>
      <c r="C1546" s="1477"/>
      <c r="D1546" s="1477"/>
      <c r="E1546" s="1478"/>
      <c r="F1546" s="1477"/>
      <c r="G1546" s="990"/>
      <c r="H1546" s="1479"/>
      <c r="I1546" s="1480"/>
      <c r="J1546" s="826"/>
      <c r="K1546" s="826"/>
      <c r="L1546" s="826"/>
    </row>
    <row r="1547" spans="2:12" ht="18.75" customHeight="1">
      <c r="B1547" s="990" t="str">
        <f>IF(C1547="","",COUNTA($C$7:C1548))</f>
        <v/>
      </c>
      <c r="C1547" s="1477"/>
      <c r="D1547" s="1477"/>
      <c r="E1547" s="1478"/>
      <c r="F1547" s="1477"/>
      <c r="G1547" s="990"/>
      <c r="H1547" s="1479"/>
      <c r="I1547" s="1480"/>
      <c r="J1547" s="826"/>
      <c r="K1547" s="826"/>
      <c r="L1547" s="826"/>
    </row>
    <row r="1548" spans="2:12" ht="18.75" customHeight="1">
      <c r="B1548" s="990" t="str">
        <f>IF(C1548="","",COUNTA($C$7:C1549))</f>
        <v/>
      </c>
      <c r="C1548" s="1477"/>
      <c r="D1548" s="1477"/>
      <c r="E1548" s="1478"/>
      <c r="F1548" s="1477"/>
      <c r="G1548" s="990"/>
      <c r="H1548" s="1479"/>
      <c r="I1548" s="1480"/>
      <c r="J1548" s="826"/>
      <c r="K1548" s="826"/>
      <c r="L1548" s="826"/>
    </row>
    <row r="1549" spans="2:12" ht="18.75" customHeight="1">
      <c r="B1549" s="990" t="str">
        <f>IF(C1549="","",COUNTA($C$7:C1550))</f>
        <v/>
      </c>
      <c r="C1549" s="1477"/>
      <c r="D1549" s="1477"/>
      <c r="E1549" s="1478"/>
      <c r="F1549" s="1477"/>
      <c r="G1549" s="990"/>
      <c r="H1549" s="1479"/>
      <c r="I1549" s="1480"/>
      <c r="J1549" s="826"/>
      <c r="K1549" s="826"/>
      <c r="L1549" s="826"/>
    </row>
    <row r="1550" spans="2:12" ht="18.75" customHeight="1">
      <c r="B1550" s="990" t="str">
        <f>IF(C1550="","",COUNTA($C$7:C1551))</f>
        <v/>
      </c>
      <c r="C1550" s="1477"/>
      <c r="D1550" s="1477"/>
      <c r="E1550" s="1478"/>
      <c r="F1550" s="1477"/>
      <c r="G1550" s="990"/>
      <c r="H1550" s="1479"/>
      <c r="I1550" s="1480"/>
      <c r="J1550" s="826"/>
      <c r="K1550" s="826"/>
      <c r="L1550" s="826"/>
    </row>
    <row r="1551" spans="2:12" ht="18.75" customHeight="1">
      <c r="B1551" s="990" t="str">
        <f>IF(C1551="","",COUNTA($C$7:C1552))</f>
        <v/>
      </c>
      <c r="C1551" s="1477"/>
      <c r="D1551" s="1477"/>
      <c r="E1551" s="1478"/>
      <c r="F1551" s="1477"/>
      <c r="G1551" s="990"/>
      <c r="H1551" s="1479"/>
      <c r="I1551" s="1480"/>
      <c r="J1551" s="826"/>
      <c r="K1551" s="826"/>
      <c r="L1551" s="826"/>
    </row>
    <row r="1552" spans="2:12" ht="18.75" customHeight="1">
      <c r="B1552" s="990" t="str">
        <f>IF(C1552="","",COUNTA($C$7:C1553))</f>
        <v/>
      </c>
      <c r="C1552" s="1477"/>
      <c r="D1552" s="1477"/>
      <c r="E1552" s="1478"/>
      <c r="F1552" s="1477"/>
      <c r="G1552" s="990"/>
      <c r="H1552" s="1479"/>
      <c r="I1552" s="1480"/>
      <c r="J1552" s="826"/>
      <c r="K1552" s="826"/>
      <c r="L1552" s="826"/>
    </row>
    <row r="1553" spans="2:12" ht="18.75" customHeight="1">
      <c r="B1553" s="990" t="str">
        <f>IF(C1553="","",COUNTA($C$7:C1554))</f>
        <v/>
      </c>
      <c r="C1553" s="1477"/>
      <c r="D1553" s="1477"/>
      <c r="E1553" s="1478"/>
      <c r="F1553" s="1477"/>
      <c r="G1553" s="990"/>
      <c r="H1553" s="1479"/>
      <c r="I1553" s="1480"/>
      <c r="J1553" s="826"/>
      <c r="K1553" s="826"/>
      <c r="L1553" s="826"/>
    </row>
    <row r="1554" spans="2:12" ht="18.75" customHeight="1">
      <c r="B1554" s="990" t="str">
        <f>IF(C1554="","",COUNTA($C$7:C1555))</f>
        <v/>
      </c>
      <c r="C1554" s="1477"/>
      <c r="D1554" s="1477"/>
      <c r="E1554" s="1478"/>
      <c r="F1554" s="1477"/>
      <c r="G1554" s="990"/>
      <c r="H1554" s="1479"/>
      <c r="I1554" s="1480"/>
      <c r="J1554" s="826"/>
      <c r="K1554" s="826"/>
      <c r="L1554" s="826"/>
    </row>
    <row r="1555" spans="2:12" ht="18.75" customHeight="1">
      <c r="B1555" s="990" t="str">
        <f>IF(C1555="","",COUNTA($C$7:C1556))</f>
        <v/>
      </c>
      <c r="C1555" s="1477"/>
      <c r="D1555" s="1477"/>
      <c r="E1555" s="1478"/>
      <c r="F1555" s="1477"/>
      <c r="G1555" s="990"/>
      <c r="H1555" s="1479"/>
      <c r="I1555" s="1480"/>
      <c r="J1555" s="826"/>
      <c r="K1555" s="826"/>
      <c r="L1555" s="826"/>
    </row>
    <row r="1556" spans="2:12" ht="18.75" customHeight="1">
      <c r="B1556" s="990" t="str">
        <f>IF(C1556="","",COUNTA($C$7:C1557))</f>
        <v/>
      </c>
      <c r="C1556" s="1477"/>
      <c r="D1556" s="1477"/>
      <c r="E1556" s="1478"/>
      <c r="F1556" s="1477"/>
      <c r="G1556" s="990"/>
      <c r="H1556" s="1479"/>
      <c r="I1556" s="1480"/>
      <c r="J1556" s="826"/>
      <c r="K1556" s="826"/>
      <c r="L1556" s="826"/>
    </row>
    <row r="1557" spans="2:12" ht="18.75" customHeight="1">
      <c r="B1557" s="990" t="str">
        <f>IF(C1557="","",COUNTA($C$7:C1558))</f>
        <v/>
      </c>
      <c r="C1557" s="1477"/>
      <c r="D1557" s="1477"/>
      <c r="E1557" s="1478"/>
      <c r="F1557" s="1477"/>
      <c r="G1557" s="990"/>
      <c r="H1557" s="1479"/>
      <c r="I1557" s="1480"/>
      <c r="J1557" s="826"/>
      <c r="K1557" s="826"/>
      <c r="L1557" s="826"/>
    </row>
    <row r="1558" spans="2:12" ht="18.75" customHeight="1">
      <c r="B1558" s="990" t="str">
        <f>IF(C1558="","",COUNTA($C$7:C1559))</f>
        <v/>
      </c>
      <c r="C1558" s="1477"/>
      <c r="D1558" s="1477"/>
      <c r="E1558" s="1478"/>
      <c r="F1558" s="1477"/>
      <c r="G1558" s="990"/>
      <c r="H1558" s="1479"/>
      <c r="I1558" s="1480"/>
      <c r="J1558" s="826"/>
      <c r="K1558" s="826"/>
      <c r="L1558" s="826"/>
    </row>
    <row r="1559" spans="2:12" ht="18.75" customHeight="1">
      <c r="B1559" s="990" t="str">
        <f>IF(C1559="","",COUNTA($C$7:C1560))</f>
        <v/>
      </c>
      <c r="C1559" s="1477"/>
      <c r="D1559" s="1477"/>
      <c r="E1559" s="1478"/>
      <c r="F1559" s="1477"/>
      <c r="G1559" s="990"/>
      <c r="H1559" s="1479"/>
      <c r="I1559" s="1480"/>
      <c r="J1559" s="826"/>
      <c r="K1559" s="826"/>
      <c r="L1559" s="826"/>
    </row>
    <row r="1560" spans="2:12" ht="18.75" customHeight="1">
      <c r="B1560" s="990" t="str">
        <f>IF(C1560="","",COUNTA($C$7:C1561))</f>
        <v/>
      </c>
      <c r="C1560" s="1477"/>
      <c r="D1560" s="1477"/>
      <c r="E1560" s="1478"/>
      <c r="F1560" s="1477"/>
      <c r="G1560" s="990"/>
      <c r="H1560" s="1479"/>
      <c r="I1560" s="1480"/>
      <c r="J1560" s="826"/>
      <c r="K1560" s="826"/>
      <c r="L1560" s="826"/>
    </row>
    <row r="1561" spans="2:12" ht="18.75" customHeight="1">
      <c r="B1561" s="990" t="str">
        <f>IF(C1561="","",COUNTA($C$7:C1562))</f>
        <v/>
      </c>
      <c r="C1561" s="1477"/>
      <c r="D1561" s="1477"/>
      <c r="E1561" s="1478"/>
      <c r="F1561" s="1477"/>
      <c r="G1561" s="990"/>
      <c r="H1561" s="1479"/>
      <c r="I1561" s="1480"/>
      <c r="J1561" s="826"/>
      <c r="K1561" s="826"/>
      <c r="L1561" s="826"/>
    </row>
    <row r="1562" spans="2:12" ht="18.75" customHeight="1">
      <c r="B1562" s="990" t="str">
        <f>IF(C1562="","",COUNTA($C$7:C1563))</f>
        <v/>
      </c>
      <c r="C1562" s="1477"/>
      <c r="D1562" s="1477"/>
      <c r="E1562" s="1478"/>
      <c r="F1562" s="1477"/>
      <c r="G1562" s="990"/>
      <c r="H1562" s="1479"/>
      <c r="I1562" s="1480"/>
      <c r="J1562" s="826"/>
      <c r="K1562" s="826"/>
      <c r="L1562" s="826"/>
    </row>
    <row r="1563" spans="2:12" ht="18.75" customHeight="1">
      <c r="B1563" s="990" t="str">
        <f>IF(C1563="","",COUNTA($C$7:C1564))</f>
        <v/>
      </c>
      <c r="C1563" s="1477"/>
      <c r="D1563" s="1477"/>
      <c r="E1563" s="1478"/>
      <c r="F1563" s="1477"/>
      <c r="G1563" s="990"/>
      <c r="H1563" s="1479"/>
      <c r="I1563" s="1480"/>
      <c r="J1563" s="826"/>
      <c r="K1563" s="826"/>
      <c r="L1563" s="826"/>
    </row>
    <row r="1564" spans="2:12" ht="18.75" customHeight="1">
      <c r="B1564" s="990" t="str">
        <f>IF(C1564="","",COUNTA($C$7:C1565))</f>
        <v/>
      </c>
      <c r="C1564" s="1477"/>
      <c r="D1564" s="1477"/>
      <c r="E1564" s="1478"/>
      <c r="F1564" s="1477"/>
      <c r="G1564" s="990"/>
      <c r="H1564" s="1479"/>
      <c r="I1564" s="1480"/>
      <c r="J1564" s="826"/>
      <c r="K1564" s="826"/>
      <c r="L1564" s="826"/>
    </row>
    <row r="1565" spans="2:12" ht="18.75" customHeight="1">
      <c r="B1565" s="990" t="str">
        <f>IF(C1565="","",COUNTA($C$7:C1566))</f>
        <v/>
      </c>
      <c r="C1565" s="1477"/>
      <c r="D1565" s="1477"/>
      <c r="E1565" s="1478"/>
      <c r="F1565" s="1477"/>
      <c r="G1565" s="990"/>
      <c r="H1565" s="1479"/>
      <c r="I1565" s="1480"/>
      <c r="J1565" s="826"/>
      <c r="K1565" s="826"/>
      <c r="L1565" s="826"/>
    </row>
    <row r="1566" spans="2:12" ht="18.75" customHeight="1">
      <c r="B1566" s="990" t="str">
        <f>IF(C1566="","",COUNTA($C$7:C1567))</f>
        <v/>
      </c>
      <c r="C1566" s="1477"/>
      <c r="D1566" s="1477"/>
      <c r="E1566" s="1478"/>
      <c r="F1566" s="1477"/>
      <c r="G1566" s="990"/>
      <c r="H1566" s="1479"/>
      <c r="I1566" s="1480"/>
      <c r="J1566" s="826"/>
      <c r="K1566" s="826"/>
      <c r="L1566" s="826"/>
    </row>
    <row r="1567" spans="2:12" ht="18.75" customHeight="1">
      <c r="B1567" s="990" t="str">
        <f>IF(C1567="","",COUNTA($C$7:C1568))</f>
        <v/>
      </c>
      <c r="C1567" s="1477"/>
      <c r="D1567" s="1477"/>
      <c r="E1567" s="1478"/>
      <c r="F1567" s="1477"/>
      <c r="G1567" s="990"/>
      <c r="H1567" s="1479"/>
      <c r="I1567" s="1480"/>
      <c r="J1567" s="826"/>
      <c r="K1567" s="826"/>
      <c r="L1567" s="826"/>
    </row>
    <row r="1568" spans="2:12" ht="18.75" customHeight="1">
      <c r="B1568" s="990" t="str">
        <f>IF(C1568="","",COUNTA($C$7:C1569))</f>
        <v/>
      </c>
      <c r="C1568" s="1477"/>
      <c r="D1568" s="1477"/>
      <c r="E1568" s="1478"/>
      <c r="F1568" s="1477"/>
      <c r="G1568" s="990"/>
      <c r="H1568" s="1479"/>
      <c r="I1568" s="1480"/>
      <c r="J1568" s="826"/>
      <c r="K1568" s="826"/>
      <c r="L1568" s="826"/>
    </row>
    <row r="1569" spans="2:12" ht="18.75" customHeight="1">
      <c r="B1569" s="990" t="str">
        <f>IF(C1569="","",COUNTA($C$7:C1570))</f>
        <v/>
      </c>
      <c r="C1569" s="1477"/>
      <c r="D1569" s="1477"/>
      <c r="E1569" s="1478"/>
      <c r="F1569" s="1477"/>
      <c r="G1569" s="990"/>
      <c r="H1569" s="1479"/>
      <c r="I1569" s="1480"/>
      <c r="J1569" s="826"/>
      <c r="K1569" s="826"/>
      <c r="L1569" s="826"/>
    </row>
    <row r="1570" spans="2:12" ht="18.75" customHeight="1">
      <c r="B1570" s="990" t="str">
        <f>IF(C1570="","",COUNTA($C$7:C1571))</f>
        <v/>
      </c>
      <c r="C1570" s="1477"/>
      <c r="D1570" s="1477"/>
      <c r="E1570" s="1478"/>
      <c r="F1570" s="1477"/>
      <c r="G1570" s="990"/>
      <c r="H1570" s="1479"/>
      <c r="I1570" s="1480"/>
      <c r="J1570" s="826"/>
      <c r="K1570" s="826"/>
      <c r="L1570" s="826"/>
    </row>
    <row r="1571" spans="2:12" ht="18.75" customHeight="1">
      <c r="B1571" s="990" t="str">
        <f>IF(C1571="","",COUNTA($C$7:C1572))</f>
        <v/>
      </c>
      <c r="C1571" s="1477"/>
      <c r="D1571" s="1477"/>
      <c r="E1571" s="1478"/>
      <c r="F1571" s="1477"/>
      <c r="G1571" s="990"/>
      <c r="H1571" s="1479"/>
      <c r="I1571" s="1480"/>
      <c r="J1571" s="826"/>
      <c r="K1571" s="826"/>
      <c r="L1571" s="826"/>
    </row>
    <row r="1572" spans="2:12" ht="18.75" customHeight="1">
      <c r="B1572" s="990" t="str">
        <f>IF(C1572="","",COUNTA($C$7:C1573))</f>
        <v/>
      </c>
      <c r="C1572" s="1477"/>
      <c r="D1572" s="1477"/>
      <c r="E1572" s="1478"/>
      <c r="F1572" s="1477"/>
      <c r="G1572" s="990"/>
      <c r="H1572" s="1479"/>
      <c r="I1572" s="1480"/>
      <c r="J1572" s="826"/>
      <c r="K1572" s="826"/>
      <c r="L1572" s="826"/>
    </row>
    <row r="1573" spans="2:12" ht="18.75" customHeight="1">
      <c r="B1573" s="990" t="str">
        <f>IF(C1573="","",COUNTA($C$7:C1574))</f>
        <v/>
      </c>
      <c r="C1573" s="1477"/>
      <c r="D1573" s="1477"/>
      <c r="E1573" s="1478"/>
      <c r="F1573" s="1477"/>
      <c r="G1573" s="990"/>
      <c r="H1573" s="1479"/>
      <c r="I1573" s="1480"/>
      <c r="J1573" s="826"/>
      <c r="K1573" s="826"/>
      <c r="L1573" s="826"/>
    </row>
    <row r="1574" spans="2:12" ht="18.75" customHeight="1">
      <c r="B1574" s="990" t="str">
        <f>IF(C1574="","",COUNTA($C$7:C1575))</f>
        <v/>
      </c>
      <c r="C1574" s="1477"/>
      <c r="D1574" s="1477"/>
      <c r="E1574" s="1478"/>
      <c r="F1574" s="1477"/>
      <c r="G1574" s="990"/>
      <c r="H1574" s="1479"/>
      <c r="I1574" s="1480"/>
      <c r="J1574" s="826"/>
      <c r="K1574" s="826"/>
      <c r="L1574" s="826"/>
    </row>
    <row r="1575" spans="2:12" ht="18.75" customHeight="1">
      <c r="B1575" s="990" t="str">
        <f>IF(C1575="","",COUNTA($C$7:C1576))</f>
        <v/>
      </c>
      <c r="C1575" s="1477"/>
      <c r="D1575" s="1477"/>
      <c r="E1575" s="1478"/>
      <c r="F1575" s="1477"/>
      <c r="G1575" s="990"/>
      <c r="H1575" s="1479"/>
      <c r="I1575" s="1480"/>
      <c r="J1575" s="826"/>
      <c r="K1575" s="826"/>
      <c r="L1575" s="826"/>
    </row>
    <row r="1576" spans="2:12" ht="18.75" customHeight="1">
      <c r="B1576" s="990" t="str">
        <f>IF(C1576="","",COUNTA($C$7:C1577))</f>
        <v/>
      </c>
      <c r="C1576" s="1477"/>
      <c r="D1576" s="1477"/>
      <c r="E1576" s="1478"/>
      <c r="F1576" s="1477"/>
      <c r="G1576" s="990"/>
      <c r="H1576" s="1479"/>
      <c r="I1576" s="1480"/>
      <c r="J1576" s="826"/>
      <c r="K1576" s="826"/>
      <c r="L1576" s="826"/>
    </row>
    <row r="1577" spans="2:12" ht="18.75" customHeight="1">
      <c r="B1577" s="990" t="str">
        <f>IF(C1577="","",COUNTA($C$7:C1578))</f>
        <v/>
      </c>
      <c r="C1577" s="1477"/>
      <c r="D1577" s="1477"/>
      <c r="E1577" s="1478"/>
      <c r="F1577" s="1477"/>
      <c r="G1577" s="990"/>
      <c r="H1577" s="1479"/>
      <c r="I1577" s="1480"/>
      <c r="J1577" s="826"/>
      <c r="K1577" s="826"/>
      <c r="L1577" s="826"/>
    </row>
  </sheetData>
  <autoFilter ref="B6:BY1577"/>
  <pageMargins left="0.84" right="0.33" top="0.38" bottom="0.53" header="0" footer="0.32"/>
  <pageSetup paperSize="9" scale="92" firstPageNumber="30" orientation="portrait" blackAndWhite="1" r:id="rId1"/>
  <headerFooter>
    <oddFooter>&amp;CPage &amp;P of CTĐ</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N184"/>
  <sheetViews>
    <sheetView showZeros="0" showRuler="0" view="pageBreakPreview" zoomScaleNormal="100" zoomScaleSheetLayoutView="100" workbookViewId="0">
      <selection activeCell="G3221" sqref="G3221"/>
    </sheetView>
  </sheetViews>
  <sheetFormatPr defaultRowHeight="18.75" customHeight="1"/>
  <cols>
    <col min="1" max="1" width="2.7109375" style="657" customWidth="1"/>
    <col min="2" max="2" width="4.5703125" style="657" bestFit="1" customWidth="1"/>
    <col min="3" max="3" width="11.140625" style="657" customWidth="1"/>
    <col min="4" max="4" width="35.140625" style="959" customWidth="1"/>
    <col min="5" max="5" width="9.28515625" style="657" customWidth="1"/>
    <col min="6" max="6" width="9.7109375" style="700" customWidth="1"/>
    <col min="7" max="7" width="12" style="932" customWidth="1"/>
    <col min="8" max="8" width="16.5703125" style="960" customWidth="1"/>
    <col min="9" max="9" width="12.28515625" style="842" bestFit="1" customWidth="1"/>
    <col min="10" max="11" width="11.28515625" style="842" bestFit="1" customWidth="1"/>
    <col min="12" max="12" width="4.85546875" style="657" bestFit="1" customWidth="1"/>
    <col min="13" max="13" width="3.85546875" style="657" bestFit="1" customWidth="1"/>
    <col min="14" max="16384" width="9.140625" style="657"/>
  </cols>
  <sheetData>
    <row r="1" spans="2:14" s="826" customFormat="1" ht="23.25" customHeight="1">
      <c r="B1" s="1652" t="s">
        <v>2136</v>
      </c>
      <c r="C1" s="824"/>
      <c r="D1" s="822"/>
      <c r="E1" s="824"/>
      <c r="F1" s="824"/>
      <c r="G1" s="824"/>
      <c r="H1" s="825"/>
    </row>
    <row r="2" spans="2:14" s="1656" customFormat="1" ht="20.100000000000001" customHeight="1">
      <c r="B2" s="1653" t="str">
        <f>GiaDuThau!A2</f>
        <v>DỰ ÁN ĐẦU TƯ XÂY DỰNG CẦU LONG BÌNH – CHREY THOM</v>
      </c>
      <c r="C2" s="1654"/>
      <c r="D2" s="1570"/>
      <c r="E2" s="1654"/>
      <c r="F2" s="1654"/>
      <c r="G2" s="1654"/>
      <c r="H2" s="1655"/>
    </row>
    <row r="3" spans="2:14" s="1656" customFormat="1" ht="20.100000000000001" customHeight="1">
      <c r="B3" s="1653" t="str">
        <f>GiaDuThau!A3</f>
        <v>HẠNG MỤC: PHẦN CẦU, PHẦN TUYẾN, CHIẾU SÁNG (PHÍA BỜ VIỆT NAM)</v>
      </c>
      <c r="C3" s="1654"/>
      <c r="D3" s="1570"/>
      <c r="E3" s="1654"/>
      <c r="F3" s="1654"/>
      <c r="G3" s="1654"/>
      <c r="H3" s="1655"/>
    </row>
    <row r="4" spans="2:14" s="826" customFormat="1" ht="12.75">
      <c r="B4" s="830"/>
      <c r="C4" s="824"/>
      <c r="D4" s="822"/>
      <c r="E4" s="824"/>
      <c r="F4" s="824"/>
      <c r="G4" s="824"/>
      <c r="H4" s="763" t="s">
        <v>5084</v>
      </c>
    </row>
    <row r="5" spans="2:14" s="831" customFormat="1" ht="24" customHeight="1">
      <c r="B5" s="1051" t="s">
        <v>524</v>
      </c>
      <c r="C5" s="1052" t="s">
        <v>533</v>
      </c>
      <c r="D5" s="1053" t="s">
        <v>285</v>
      </c>
      <c r="E5" s="1051" t="s">
        <v>282</v>
      </c>
      <c r="F5" s="1053" t="s">
        <v>283</v>
      </c>
      <c r="G5" s="128" t="s">
        <v>284</v>
      </c>
      <c r="H5" s="127" t="s">
        <v>569</v>
      </c>
      <c r="I5" s="1468">
        <v>0.02</v>
      </c>
      <c r="J5" s="1469">
        <f>5.5%*1.05</f>
        <v>5.7750000000000003E-2</v>
      </c>
      <c r="K5" s="1468">
        <v>0.06</v>
      </c>
      <c r="L5" s="1468">
        <v>0.1</v>
      </c>
      <c r="M5" s="1468">
        <v>0.01</v>
      </c>
      <c r="N5" s="821"/>
    </row>
    <row r="6" spans="2:14" s="831" customFormat="1" ht="15" customHeight="1">
      <c r="B6" s="1734">
        <v>1</v>
      </c>
      <c r="C6" s="1734">
        <v>2</v>
      </c>
      <c r="D6" s="1734">
        <v>3</v>
      </c>
      <c r="E6" s="1734">
        <v>4</v>
      </c>
      <c r="F6" s="1734">
        <v>5</v>
      </c>
      <c r="G6" s="1734">
        <v>6</v>
      </c>
      <c r="H6" s="1734">
        <v>7</v>
      </c>
      <c r="I6" s="1488">
        <f>(1+I5)*(1+J5)*(1+K5)*(1+L5)*(1+M5)</f>
        <v>1.2705832623000002</v>
      </c>
      <c r="J6" s="832"/>
      <c r="K6" s="832"/>
    </row>
    <row r="7" spans="2:14" s="872" customFormat="1" ht="28.5">
      <c r="B7" s="838">
        <v>1</v>
      </c>
      <c r="C7" s="1910" t="s">
        <v>5805</v>
      </c>
      <c r="D7" s="1911" t="s">
        <v>5806</v>
      </c>
      <c r="E7" s="1912" t="s">
        <v>567</v>
      </c>
      <c r="F7" s="1913">
        <v>0</v>
      </c>
      <c r="G7" s="1914"/>
      <c r="H7" s="1915"/>
      <c r="I7" s="842">
        <f>+H8</f>
        <v>6800000</v>
      </c>
      <c r="J7" s="842">
        <f>+H10</f>
        <v>109463.5</v>
      </c>
      <c r="K7" s="842">
        <f>+H11</f>
        <v>197443.20354545454</v>
      </c>
    </row>
    <row r="8" spans="2:14" s="658" customFormat="1" ht="15">
      <c r="B8" s="835" t="s">
        <v>415</v>
      </c>
      <c r="C8" s="1472">
        <v>0</v>
      </c>
      <c r="D8" s="1902" t="s">
        <v>2032</v>
      </c>
      <c r="E8" s="1903">
        <v>0</v>
      </c>
      <c r="F8" s="1904">
        <v>0</v>
      </c>
      <c r="G8" s="1883"/>
      <c r="H8" s="1884">
        <f>SUM(H9:H9)</f>
        <v>6800000</v>
      </c>
      <c r="I8" s="850"/>
      <c r="J8" s="850"/>
      <c r="K8" s="850"/>
    </row>
    <row r="9" spans="2:14" ht="30">
      <c r="B9" s="835" t="s">
        <v>415</v>
      </c>
      <c r="C9" s="1472"/>
      <c r="D9" s="1902" t="s">
        <v>5806</v>
      </c>
      <c r="E9" s="1903" t="s">
        <v>567</v>
      </c>
      <c r="F9" s="1904">
        <v>1</v>
      </c>
      <c r="G9" s="1883">
        <f>GVL!$I$79</f>
        <v>6800000</v>
      </c>
      <c r="H9" s="1792">
        <f>+F9*G9</f>
        <v>6800000</v>
      </c>
    </row>
    <row r="10" spans="2:14" s="658" customFormat="1" ht="15">
      <c r="B10" s="835" t="s">
        <v>415</v>
      </c>
      <c r="C10" s="1472">
        <v>0</v>
      </c>
      <c r="D10" s="1902" t="s">
        <v>2039</v>
      </c>
      <c r="E10" s="1903" t="s">
        <v>552</v>
      </c>
      <c r="F10" s="1904">
        <v>0.5</v>
      </c>
      <c r="G10" s="1883">
        <f>'16.NC'!$F$18</f>
        <v>218927</v>
      </c>
      <c r="H10" s="1884">
        <f>G10*F10</f>
        <v>109463.5</v>
      </c>
      <c r="I10" s="850"/>
      <c r="J10" s="850"/>
      <c r="K10" s="850"/>
    </row>
    <row r="11" spans="2:14" s="658" customFormat="1" ht="15">
      <c r="B11" s="835" t="s">
        <v>415</v>
      </c>
      <c r="C11" s="1472">
        <v>0</v>
      </c>
      <c r="D11" s="1902" t="s">
        <v>2033</v>
      </c>
      <c r="E11" s="1903">
        <v>0</v>
      </c>
      <c r="F11" s="1904">
        <v>0</v>
      </c>
      <c r="G11" s="1883"/>
      <c r="H11" s="1884">
        <f>SUM(H12:H12)</f>
        <v>197443.20354545454</v>
      </c>
      <c r="I11" s="850"/>
      <c r="J11" s="850"/>
      <c r="K11" s="850"/>
    </row>
    <row r="12" spans="2:14" ht="15">
      <c r="B12" s="835" t="s">
        <v>415</v>
      </c>
      <c r="C12" s="1472">
        <v>0</v>
      </c>
      <c r="D12" s="1902" t="s">
        <v>5807</v>
      </c>
      <c r="E12" s="1903" t="s">
        <v>5493</v>
      </c>
      <c r="F12" s="1904">
        <v>0.15</v>
      </c>
      <c r="G12" s="1883">
        <f>'9.may'!$P$682</f>
        <v>1316288.0236363637</v>
      </c>
      <c r="H12" s="1792">
        <f>G12*F12</f>
        <v>197443.20354545454</v>
      </c>
    </row>
    <row r="13" spans="2:14" ht="15">
      <c r="B13" s="835"/>
      <c r="C13" s="1472"/>
      <c r="D13" s="1813" t="s">
        <v>5675</v>
      </c>
      <c r="E13" s="1905">
        <f>$I$5</f>
        <v>0.02</v>
      </c>
      <c r="F13" s="1904"/>
      <c r="G13" s="1883"/>
      <c r="H13" s="1906">
        <f>(H8+H10+H11)*E13</f>
        <v>142138.13407090909</v>
      </c>
    </row>
    <row r="14" spans="2:14" ht="15">
      <c r="B14" s="835"/>
      <c r="C14" s="1472"/>
      <c r="D14" s="1817" t="s">
        <v>5676</v>
      </c>
      <c r="E14" s="1907"/>
      <c r="F14" s="1904"/>
      <c r="G14" s="1883"/>
      <c r="H14" s="1820">
        <f>H13+H13/E13</f>
        <v>7249044.8376163626</v>
      </c>
    </row>
    <row r="15" spans="2:14" ht="15">
      <c r="B15" s="835"/>
      <c r="C15" s="1472"/>
      <c r="D15" s="1821" t="s">
        <v>5677</v>
      </c>
      <c r="E15" s="1908">
        <f>$J$5</f>
        <v>5.7750000000000003E-2</v>
      </c>
      <c r="F15" s="1904"/>
      <c r="G15" s="1883"/>
      <c r="H15" s="1822">
        <f>H14*E15</f>
        <v>418632.33937234496</v>
      </c>
    </row>
    <row r="16" spans="2:14" ht="15">
      <c r="B16" s="835"/>
      <c r="C16" s="1472"/>
      <c r="D16" s="1821" t="s">
        <v>5678</v>
      </c>
      <c r="E16" s="1905">
        <f>$K$5</f>
        <v>0.06</v>
      </c>
      <c r="F16" s="1904"/>
      <c r="G16" s="1883"/>
      <c r="H16" s="1822">
        <f>SUM(H14:H15)*E16</f>
        <v>460060.63061932247</v>
      </c>
    </row>
    <row r="17" spans="2:11" ht="15">
      <c r="B17" s="835"/>
      <c r="C17" s="1472"/>
      <c r="D17" s="1817" t="s">
        <v>5679</v>
      </c>
      <c r="E17" s="1907"/>
      <c r="F17" s="1904"/>
      <c r="G17" s="1883"/>
      <c r="H17" s="1820">
        <f>SUM(H14:H16)</f>
        <v>8127737.8076080307</v>
      </c>
    </row>
    <row r="18" spans="2:11" ht="15">
      <c r="B18" s="835"/>
      <c r="C18" s="1472"/>
      <c r="D18" s="1821" t="s">
        <v>5680</v>
      </c>
      <c r="E18" s="1905">
        <f>$L$5</f>
        <v>0.1</v>
      </c>
      <c r="F18" s="1904"/>
      <c r="G18" s="1883"/>
      <c r="H18" s="1822">
        <f>H17*E18</f>
        <v>812773.78076080314</v>
      </c>
    </row>
    <row r="19" spans="2:11" ht="15">
      <c r="B19" s="835"/>
      <c r="C19" s="1472"/>
      <c r="D19" s="1817" t="s">
        <v>5681</v>
      </c>
      <c r="E19" s="1907"/>
      <c r="F19" s="1904"/>
      <c r="G19" s="1883"/>
      <c r="H19" s="1820">
        <f>SUM(H17:H18)</f>
        <v>8940511.5883688331</v>
      </c>
    </row>
    <row r="20" spans="2:11" ht="12.75">
      <c r="B20" s="835"/>
      <c r="C20" s="1472"/>
      <c r="D20" s="1475" t="s">
        <v>5682</v>
      </c>
      <c r="E20" s="1531">
        <f>$M$5</f>
        <v>0.01</v>
      </c>
      <c r="F20" s="1481"/>
      <c r="G20" s="848"/>
      <c r="H20" s="1476">
        <f>H19*E20</f>
        <v>89405.115883688326</v>
      </c>
    </row>
    <row r="21" spans="2:11" ht="15">
      <c r="B21" s="1470"/>
      <c r="C21" s="1473"/>
      <c r="D21" s="1888" t="s">
        <v>5683</v>
      </c>
      <c r="E21" s="1909"/>
      <c r="F21" s="1889"/>
      <c r="G21" s="1890"/>
      <c r="H21" s="1891">
        <f>ROUND(H19+H20,-2)</f>
        <v>9029900</v>
      </c>
    </row>
    <row r="22" spans="2:11" s="872" customFormat="1" ht="14.25">
      <c r="B22" s="838">
        <v>2</v>
      </c>
      <c r="C22" s="1910" t="s">
        <v>5805</v>
      </c>
      <c r="D22" s="1911" t="s">
        <v>5811</v>
      </c>
      <c r="E22" s="1912" t="s">
        <v>567</v>
      </c>
      <c r="F22" s="1913">
        <v>0</v>
      </c>
      <c r="G22" s="1914"/>
      <c r="H22" s="1915"/>
      <c r="I22" s="842">
        <f>+H23</f>
        <v>6360000</v>
      </c>
      <c r="J22" s="842">
        <f>+H25</f>
        <v>109463.5</v>
      </c>
      <c r="K22" s="842">
        <f>+H26</f>
        <v>197443.20354545454</v>
      </c>
    </row>
    <row r="23" spans="2:11" s="658" customFormat="1" ht="15">
      <c r="B23" s="835" t="s">
        <v>415</v>
      </c>
      <c r="C23" s="1472">
        <v>0</v>
      </c>
      <c r="D23" s="1902" t="s">
        <v>2032</v>
      </c>
      <c r="E23" s="1903">
        <v>0</v>
      </c>
      <c r="F23" s="1904">
        <v>0</v>
      </c>
      <c r="G23" s="1883"/>
      <c r="H23" s="1884">
        <f>SUM(H24:H24)</f>
        <v>6360000</v>
      </c>
      <c r="I23" s="850"/>
      <c r="J23" s="850"/>
      <c r="K23" s="850"/>
    </row>
    <row r="24" spans="2:11" ht="15">
      <c r="B24" s="835" t="s">
        <v>415</v>
      </c>
      <c r="C24" s="1472"/>
      <c r="D24" s="1902" t="s">
        <v>5811</v>
      </c>
      <c r="E24" s="1903" t="s">
        <v>567</v>
      </c>
      <c r="F24" s="1904">
        <v>1</v>
      </c>
      <c r="G24" s="1883">
        <f>GVL!$I$80</f>
        <v>6360000</v>
      </c>
      <c r="H24" s="1792">
        <f>+F24*G24</f>
        <v>6360000</v>
      </c>
    </row>
    <row r="25" spans="2:11" s="658" customFormat="1" ht="15">
      <c r="B25" s="835" t="s">
        <v>415</v>
      </c>
      <c r="C25" s="1472">
        <v>0</v>
      </c>
      <c r="D25" s="1902" t="s">
        <v>2039</v>
      </c>
      <c r="E25" s="1903" t="s">
        <v>552</v>
      </c>
      <c r="F25" s="1904">
        <v>0.5</v>
      </c>
      <c r="G25" s="1883">
        <f>'16.NC'!$F$18</f>
        <v>218927</v>
      </c>
      <c r="H25" s="1884">
        <f>G25*F25</f>
        <v>109463.5</v>
      </c>
      <c r="I25" s="850"/>
      <c r="J25" s="850"/>
      <c r="K25" s="850"/>
    </row>
    <row r="26" spans="2:11" s="658" customFormat="1" ht="15">
      <c r="B26" s="835" t="s">
        <v>415</v>
      </c>
      <c r="C26" s="1472">
        <v>0</v>
      </c>
      <c r="D26" s="1902" t="s">
        <v>2033</v>
      </c>
      <c r="E26" s="1903">
        <v>0</v>
      </c>
      <c r="F26" s="1904">
        <v>0</v>
      </c>
      <c r="G26" s="1883"/>
      <c r="H26" s="1884">
        <f>SUM(H27:H27)</f>
        <v>197443.20354545454</v>
      </c>
      <c r="I26" s="850"/>
      <c r="J26" s="850"/>
      <c r="K26" s="850"/>
    </row>
    <row r="27" spans="2:11" ht="15">
      <c r="B27" s="835" t="s">
        <v>415</v>
      </c>
      <c r="C27" s="1472">
        <v>0</v>
      </c>
      <c r="D27" s="1902" t="s">
        <v>5807</v>
      </c>
      <c r="E27" s="1903" t="s">
        <v>5493</v>
      </c>
      <c r="F27" s="1904">
        <v>0.15</v>
      </c>
      <c r="G27" s="1883">
        <f>'9.may'!$P$682</f>
        <v>1316288.0236363637</v>
      </c>
      <c r="H27" s="1792">
        <f>G27*F27</f>
        <v>197443.20354545454</v>
      </c>
    </row>
    <row r="28" spans="2:11" ht="15">
      <c r="B28" s="835"/>
      <c r="C28" s="1472"/>
      <c r="D28" s="1813" t="s">
        <v>5675</v>
      </c>
      <c r="E28" s="1905">
        <f>$I$5</f>
        <v>0.02</v>
      </c>
      <c r="F28" s="1904"/>
      <c r="G28" s="1883"/>
      <c r="H28" s="1906">
        <f>(H23+H25+H26)*E28</f>
        <v>133338.13407090909</v>
      </c>
    </row>
    <row r="29" spans="2:11" ht="15">
      <c r="B29" s="835"/>
      <c r="C29" s="1472"/>
      <c r="D29" s="1817" t="s">
        <v>5676</v>
      </c>
      <c r="E29" s="1907"/>
      <c r="F29" s="1904"/>
      <c r="G29" s="1883"/>
      <c r="H29" s="1820">
        <f>H28+H28/E28</f>
        <v>6800244.8376163626</v>
      </c>
    </row>
    <row r="30" spans="2:11" ht="15">
      <c r="B30" s="835"/>
      <c r="C30" s="1472"/>
      <c r="D30" s="1821" t="s">
        <v>5677</v>
      </c>
      <c r="E30" s="1908">
        <f>$J$5</f>
        <v>5.7750000000000003E-2</v>
      </c>
      <c r="F30" s="1904"/>
      <c r="G30" s="1883"/>
      <c r="H30" s="1822">
        <f>H29*E30</f>
        <v>392714.13937234494</v>
      </c>
    </row>
    <row r="31" spans="2:11" ht="15">
      <c r="B31" s="835"/>
      <c r="C31" s="1472"/>
      <c r="D31" s="1821" t="s">
        <v>5678</v>
      </c>
      <c r="E31" s="1905">
        <f>$K$5</f>
        <v>0.06</v>
      </c>
      <c r="F31" s="1904"/>
      <c r="G31" s="1883"/>
      <c r="H31" s="1822">
        <f>SUM(H29:H30)*E31</f>
        <v>431577.53861932247</v>
      </c>
    </row>
    <row r="32" spans="2:11" ht="15">
      <c r="B32" s="835"/>
      <c r="C32" s="1472"/>
      <c r="D32" s="1817" t="s">
        <v>5679</v>
      </c>
      <c r="E32" s="1907"/>
      <c r="F32" s="1904"/>
      <c r="G32" s="1883"/>
      <c r="H32" s="1820">
        <f>SUM(H29:H31)</f>
        <v>7624536.5156080304</v>
      </c>
    </row>
    <row r="33" spans="2:11" ht="15">
      <c r="B33" s="835"/>
      <c r="C33" s="1472"/>
      <c r="D33" s="1821" t="s">
        <v>5680</v>
      </c>
      <c r="E33" s="1905">
        <f>$L$5</f>
        <v>0.1</v>
      </c>
      <c r="F33" s="1904"/>
      <c r="G33" s="1883"/>
      <c r="H33" s="1822">
        <f>H32*E33</f>
        <v>762453.65156080306</v>
      </c>
    </row>
    <row r="34" spans="2:11" ht="15">
      <c r="B34" s="835"/>
      <c r="C34" s="1472"/>
      <c r="D34" s="1817" t="s">
        <v>5681</v>
      </c>
      <c r="E34" s="1907"/>
      <c r="F34" s="1904"/>
      <c r="G34" s="1883"/>
      <c r="H34" s="1820">
        <f>SUM(H32:H33)</f>
        <v>8386990.1671688333</v>
      </c>
    </row>
    <row r="35" spans="2:11" ht="12.75">
      <c r="B35" s="835"/>
      <c r="C35" s="1472"/>
      <c r="D35" s="1475" t="s">
        <v>5682</v>
      </c>
      <c r="E35" s="1531">
        <f>$M$5</f>
        <v>0.01</v>
      </c>
      <c r="F35" s="1481"/>
      <c r="G35" s="848"/>
      <c r="H35" s="1476">
        <f>H34*E35</f>
        <v>83869.901671688334</v>
      </c>
    </row>
    <row r="36" spans="2:11" ht="15">
      <c r="B36" s="1470"/>
      <c r="C36" s="1473"/>
      <c r="D36" s="1888" t="s">
        <v>5683</v>
      </c>
      <c r="E36" s="1909"/>
      <c r="F36" s="1889"/>
      <c r="G36" s="1890"/>
      <c r="H36" s="1891">
        <f>ROUND(H34+H35,-2)</f>
        <v>8470900</v>
      </c>
    </row>
    <row r="37" spans="2:11" s="872" customFormat="1" ht="14.25">
      <c r="B37" s="838">
        <v>3</v>
      </c>
      <c r="C37" s="1910" t="s">
        <v>5805</v>
      </c>
      <c r="D37" s="1911" t="s">
        <v>5812</v>
      </c>
      <c r="E37" s="1912" t="s">
        <v>567</v>
      </c>
      <c r="F37" s="1913">
        <v>0</v>
      </c>
      <c r="G37" s="1914"/>
      <c r="H37" s="1915"/>
      <c r="I37" s="842">
        <f>+H38</f>
        <v>6720000</v>
      </c>
      <c r="J37" s="842">
        <f>+H40</f>
        <v>109463.5</v>
      </c>
      <c r="K37" s="842">
        <f>+H41</f>
        <v>197443.20354545454</v>
      </c>
    </row>
    <row r="38" spans="2:11" s="658" customFormat="1" ht="15">
      <c r="B38" s="835" t="s">
        <v>415</v>
      </c>
      <c r="C38" s="1472">
        <v>0</v>
      </c>
      <c r="D38" s="1902" t="s">
        <v>2032</v>
      </c>
      <c r="E38" s="1903">
        <v>0</v>
      </c>
      <c r="F38" s="1904">
        <v>0</v>
      </c>
      <c r="G38" s="1883"/>
      <c r="H38" s="1884">
        <f>SUM(H39:H39)</f>
        <v>6720000</v>
      </c>
      <c r="I38" s="850"/>
      <c r="J38" s="850"/>
      <c r="K38" s="850"/>
    </row>
    <row r="39" spans="2:11" ht="15">
      <c r="B39" s="835" t="s">
        <v>415</v>
      </c>
      <c r="C39" s="1472"/>
      <c r="D39" s="1902" t="s">
        <v>5812</v>
      </c>
      <c r="E39" s="1903" t="s">
        <v>567</v>
      </c>
      <c r="F39" s="1904">
        <v>1</v>
      </c>
      <c r="G39" s="1883">
        <f>GVL!$I$81</f>
        <v>6720000</v>
      </c>
      <c r="H39" s="1792">
        <f>+F39*G39</f>
        <v>6720000</v>
      </c>
    </row>
    <row r="40" spans="2:11" s="658" customFormat="1" ht="15">
      <c r="B40" s="835" t="s">
        <v>415</v>
      </c>
      <c r="C40" s="1472">
        <v>0</v>
      </c>
      <c r="D40" s="1902" t="s">
        <v>2039</v>
      </c>
      <c r="E40" s="1903" t="s">
        <v>552</v>
      </c>
      <c r="F40" s="1904">
        <v>0.5</v>
      </c>
      <c r="G40" s="1883">
        <f>'16.NC'!$F$18</f>
        <v>218927</v>
      </c>
      <c r="H40" s="1884">
        <f>G40*F40</f>
        <v>109463.5</v>
      </c>
      <c r="I40" s="850"/>
      <c r="J40" s="850"/>
      <c r="K40" s="850"/>
    </row>
    <row r="41" spans="2:11" s="658" customFormat="1" ht="15">
      <c r="B41" s="835" t="s">
        <v>415</v>
      </c>
      <c r="C41" s="1472">
        <v>0</v>
      </c>
      <c r="D41" s="1902" t="s">
        <v>2033</v>
      </c>
      <c r="E41" s="1903">
        <v>0</v>
      </c>
      <c r="F41" s="1904">
        <v>0</v>
      </c>
      <c r="G41" s="1883"/>
      <c r="H41" s="1884">
        <f>SUM(H42:H42)</f>
        <v>197443.20354545454</v>
      </c>
      <c r="I41" s="850"/>
      <c r="J41" s="850"/>
      <c r="K41" s="850"/>
    </row>
    <row r="42" spans="2:11" ht="15">
      <c r="B42" s="835" t="s">
        <v>415</v>
      </c>
      <c r="C42" s="1472">
        <v>0</v>
      </c>
      <c r="D42" s="1902" t="s">
        <v>5807</v>
      </c>
      <c r="E42" s="1903" t="s">
        <v>5493</v>
      </c>
      <c r="F42" s="1904">
        <v>0.15</v>
      </c>
      <c r="G42" s="1883">
        <f>'9.may'!$P$682</f>
        <v>1316288.0236363637</v>
      </c>
      <c r="H42" s="1792">
        <f>G42*F42</f>
        <v>197443.20354545454</v>
      </c>
    </row>
    <row r="43" spans="2:11" ht="15">
      <c r="B43" s="835"/>
      <c r="C43" s="1472"/>
      <c r="D43" s="1813" t="s">
        <v>5675</v>
      </c>
      <c r="E43" s="1905">
        <f>$I$5</f>
        <v>0.02</v>
      </c>
      <c r="F43" s="1904"/>
      <c r="G43" s="1883"/>
      <c r="H43" s="1906">
        <f>(H38+H40+H41)*E43</f>
        <v>140538.13407090909</v>
      </c>
    </row>
    <row r="44" spans="2:11" ht="15">
      <c r="B44" s="835"/>
      <c r="C44" s="1472"/>
      <c r="D44" s="1817" t="s">
        <v>5676</v>
      </c>
      <c r="E44" s="1907"/>
      <c r="F44" s="1904"/>
      <c r="G44" s="1883"/>
      <c r="H44" s="1820">
        <f>H43+H43/E43</f>
        <v>7167444.8376163626</v>
      </c>
    </row>
    <row r="45" spans="2:11" ht="15">
      <c r="B45" s="835"/>
      <c r="C45" s="1472"/>
      <c r="D45" s="1821" t="s">
        <v>5677</v>
      </c>
      <c r="E45" s="1908">
        <f>$J$5</f>
        <v>5.7750000000000003E-2</v>
      </c>
      <c r="F45" s="1904"/>
      <c r="G45" s="1883"/>
      <c r="H45" s="1822">
        <f>H44*E45</f>
        <v>413919.93937234493</v>
      </c>
    </row>
    <row r="46" spans="2:11" ht="15">
      <c r="B46" s="835"/>
      <c r="C46" s="1472"/>
      <c r="D46" s="1821" t="s">
        <v>5678</v>
      </c>
      <c r="E46" s="1905">
        <f>$K$5</f>
        <v>0.06</v>
      </c>
      <c r="F46" s="1904"/>
      <c r="G46" s="1883"/>
      <c r="H46" s="1822">
        <f>SUM(H44:H45)*E46</f>
        <v>454881.88661932241</v>
      </c>
    </row>
    <row r="47" spans="2:11" ht="15">
      <c r="B47" s="835"/>
      <c r="C47" s="1472"/>
      <c r="D47" s="1817" t="s">
        <v>5679</v>
      </c>
      <c r="E47" s="1907"/>
      <c r="F47" s="1904"/>
      <c r="G47" s="1883"/>
      <c r="H47" s="1820">
        <f>SUM(H44:H46)</f>
        <v>8036246.6636080295</v>
      </c>
    </row>
    <row r="48" spans="2:11" ht="15">
      <c r="B48" s="835"/>
      <c r="C48" s="1472"/>
      <c r="D48" s="1821" t="s">
        <v>5680</v>
      </c>
      <c r="E48" s="1905">
        <f>$L$5</f>
        <v>0.1</v>
      </c>
      <c r="F48" s="1904"/>
      <c r="G48" s="1883"/>
      <c r="H48" s="1822">
        <f>H47*E48</f>
        <v>803624.66636080295</v>
      </c>
    </row>
    <row r="49" spans="2:11" ht="15">
      <c r="B49" s="835"/>
      <c r="C49" s="1472"/>
      <c r="D49" s="1817" t="s">
        <v>5681</v>
      </c>
      <c r="E49" s="1907"/>
      <c r="F49" s="1904"/>
      <c r="G49" s="1883"/>
      <c r="H49" s="1820">
        <f>SUM(H47:H48)</f>
        <v>8839871.3299688324</v>
      </c>
    </row>
    <row r="50" spans="2:11" ht="12.75">
      <c r="B50" s="835"/>
      <c r="C50" s="1472"/>
      <c r="D50" s="1475" t="s">
        <v>5682</v>
      </c>
      <c r="E50" s="1531">
        <f>$M$5</f>
        <v>0.01</v>
      </c>
      <c r="F50" s="1481"/>
      <c r="G50" s="848"/>
      <c r="H50" s="1476">
        <f>H49*E50</f>
        <v>88398.71329968833</v>
      </c>
    </row>
    <row r="51" spans="2:11" ht="15">
      <c r="B51" s="1470"/>
      <c r="C51" s="1473"/>
      <c r="D51" s="1888" t="s">
        <v>5683</v>
      </c>
      <c r="E51" s="1909"/>
      <c r="F51" s="1889"/>
      <c r="G51" s="1890"/>
      <c r="H51" s="1891">
        <f>ROUND(H49+H50,-2)</f>
        <v>8928300</v>
      </c>
    </row>
    <row r="52" spans="2:11" s="872" customFormat="1" ht="14.25">
      <c r="B52" s="838">
        <v>4</v>
      </c>
      <c r="C52" s="1910" t="s">
        <v>5813</v>
      </c>
      <c r="D52" s="1911" t="s">
        <v>5814</v>
      </c>
      <c r="E52" s="1912" t="s">
        <v>307</v>
      </c>
      <c r="F52" s="1913">
        <v>0</v>
      </c>
      <c r="G52" s="1914"/>
      <c r="H52" s="1915"/>
      <c r="I52" s="842">
        <f>+H53</f>
        <v>25000000</v>
      </c>
      <c r="J52" s="842">
        <f>+H55</f>
        <v>476725.7</v>
      </c>
      <c r="K52" s="842">
        <f>+H56</f>
        <v>0</v>
      </c>
    </row>
    <row r="53" spans="2:11" s="658" customFormat="1" ht="15">
      <c r="B53" s="835" t="s">
        <v>415</v>
      </c>
      <c r="C53" s="1472">
        <v>0</v>
      </c>
      <c r="D53" s="1902" t="s">
        <v>2032</v>
      </c>
      <c r="E53" s="1903">
        <v>0</v>
      </c>
      <c r="F53" s="1904">
        <v>0</v>
      </c>
      <c r="G53" s="1883"/>
      <c r="H53" s="1884">
        <f>SUM(H54:H54)</f>
        <v>25000000</v>
      </c>
      <c r="I53" s="850"/>
      <c r="J53" s="850"/>
      <c r="K53" s="850"/>
    </row>
    <row r="54" spans="2:11" ht="15">
      <c r="B54" s="835" t="s">
        <v>415</v>
      </c>
      <c r="C54" s="1472"/>
      <c r="D54" s="1902" t="s">
        <v>5815</v>
      </c>
      <c r="E54" s="1903" t="s">
        <v>307</v>
      </c>
      <c r="F54" s="1904">
        <v>1</v>
      </c>
      <c r="G54" s="1883">
        <f>GVL!$I$82</f>
        <v>25000000</v>
      </c>
      <c r="H54" s="1792">
        <f>+F54*G54</f>
        <v>25000000</v>
      </c>
    </row>
    <row r="55" spans="2:11" s="658" customFormat="1" ht="15">
      <c r="B55" s="835" t="s">
        <v>415</v>
      </c>
      <c r="C55" s="1472">
        <v>0</v>
      </c>
      <c r="D55" s="1902" t="s">
        <v>2037</v>
      </c>
      <c r="E55" s="1903" t="s">
        <v>552</v>
      </c>
      <c r="F55" s="1904">
        <v>2.35</v>
      </c>
      <c r="G55" s="1883">
        <f>'16.NC'!$F$16</f>
        <v>202862</v>
      </c>
      <c r="H55" s="1884">
        <f>G55*F55</f>
        <v>476725.7</v>
      </c>
      <c r="I55" s="850"/>
      <c r="J55" s="850"/>
      <c r="K55" s="850"/>
    </row>
    <row r="56" spans="2:11" s="658" customFormat="1" ht="15">
      <c r="B56" s="835" t="s">
        <v>415</v>
      </c>
      <c r="C56" s="1472">
        <v>0</v>
      </c>
      <c r="D56" s="1902" t="s">
        <v>2033</v>
      </c>
      <c r="E56" s="1903">
        <v>0</v>
      </c>
      <c r="F56" s="1904">
        <v>0</v>
      </c>
      <c r="G56" s="1883"/>
      <c r="H56" s="1884">
        <f>SUM(H57:H57)</f>
        <v>0</v>
      </c>
      <c r="I56" s="850"/>
      <c r="J56" s="850"/>
      <c r="K56" s="850"/>
    </row>
    <row r="57" spans="2:11" ht="12.75">
      <c r="B57" s="835"/>
      <c r="C57" s="1472"/>
      <c r="D57" s="1467"/>
      <c r="E57" s="835"/>
      <c r="F57" s="1481"/>
      <c r="G57" s="848"/>
      <c r="H57" s="853"/>
    </row>
    <row r="58" spans="2:11" ht="15">
      <c r="B58" s="835"/>
      <c r="C58" s="1472"/>
      <c r="D58" s="1813" t="s">
        <v>5675</v>
      </c>
      <c r="E58" s="1905">
        <f>$I$5</f>
        <v>0.02</v>
      </c>
      <c r="F58" s="1904"/>
      <c r="G58" s="1883"/>
      <c r="H58" s="1906">
        <f>(H53+H55+H56)*E58</f>
        <v>509534.51400000002</v>
      </c>
    </row>
    <row r="59" spans="2:11" ht="15">
      <c r="B59" s="835"/>
      <c r="C59" s="1472"/>
      <c r="D59" s="1817" t="s">
        <v>5676</v>
      </c>
      <c r="E59" s="1907"/>
      <c r="F59" s="1904"/>
      <c r="G59" s="1883"/>
      <c r="H59" s="1820">
        <f>H58+H58/E58</f>
        <v>25986260.213999998</v>
      </c>
    </row>
    <row r="60" spans="2:11" ht="15">
      <c r="B60" s="835"/>
      <c r="C60" s="1472"/>
      <c r="D60" s="1821" t="s">
        <v>5677</v>
      </c>
      <c r="E60" s="1908">
        <f>$J$5</f>
        <v>5.7750000000000003E-2</v>
      </c>
      <c r="F60" s="1904"/>
      <c r="G60" s="1883"/>
      <c r="H60" s="1822">
        <f>H59*E60</f>
        <v>1500706.5273585001</v>
      </c>
    </row>
    <row r="61" spans="2:11" ht="15">
      <c r="B61" s="835"/>
      <c r="C61" s="1472"/>
      <c r="D61" s="1821" t="s">
        <v>5678</v>
      </c>
      <c r="E61" s="1905">
        <f>$K$5</f>
        <v>0.06</v>
      </c>
      <c r="F61" s="1904"/>
      <c r="G61" s="1883"/>
      <c r="H61" s="1822">
        <f>SUM(H59:H60)*E61</f>
        <v>1649218.0044815098</v>
      </c>
    </row>
    <row r="62" spans="2:11" ht="15">
      <c r="B62" s="835"/>
      <c r="C62" s="1472"/>
      <c r="D62" s="1817" t="s">
        <v>5679</v>
      </c>
      <c r="E62" s="1907"/>
      <c r="F62" s="1904"/>
      <c r="G62" s="1883"/>
      <c r="H62" s="1820">
        <f>SUM(H59:H61)</f>
        <v>29136184.745840006</v>
      </c>
    </row>
    <row r="63" spans="2:11" ht="15">
      <c r="B63" s="835"/>
      <c r="C63" s="1472"/>
      <c r="D63" s="1821" t="s">
        <v>5680</v>
      </c>
      <c r="E63" s="1905">
        <f>$L$5</f>
        <v>0.1</v>
      </c>
      <c r="F63" s="1904"/>
      <c r="G63" s="1883"/>
      <c r="H63" s="1822">
        <f>H62*E63</f>
        <v>2913618.4745840007</v>
      </c>
    </row>
    <row r="64" spans="2:11" ht="15">
      <c r="B64" s="835"/>
      <c r="C64" s="1472"/>
      <c r="D64" s="1817" t="s">
        <v>5681</v>
      </c>
      <c r="E64" s="1907"/>
      <c r="F64" s="1904"/>
      <c r="G64" s="1883"/>
      <c r="H64" s="1820">
        <f>SUM(H62:H63)</f>
        <v>32049803.220424008</v>
      </c>
    </row>
    <row r="65" spans="2:11" ht="12.75">
      <c r="B65" s="835"/>
      <c r="C65" s="1472"/>
      <c r="D65" s="1475" t="s">
        <v>5682</v>
      </c>
      <c r="E65" s="1531">
        <f>$M$5</f>
        <v>0.01</v>
      </c>
      <c r="F65" s="1481"/>
      <c r="G65" s="848"/>
      <c r="H65" s="1476">
        <f>H64*E65</f>
        <v>320498.03220424009</v>
      </c>
    </row>
    <row r="66" spans="2:11" ht="15">
      <c r="B66" s="1470"/>
      <c r="C66" s="1473"/>
      <c r="D66" s="1888" t="s">
        <v>5683</v>
      </c>
      <c r="E66" s="1909"/>
      <c r="F66" s="1889"/>
      <c r="G66" s="1890"/>
      <c r="H66" s="1891">
        <f>ROUND(H64+H65,-2)</f>
        <v>32370300</v>
      </c>
    </row>
    <row r="67" spans="2:11" s="872" customFormat="1" ht="14.25">
      <c r="B67" s="838">
        <v>5</v>
      </c>
      <c r="C67" s="1910" t="s">
        <v>5819</v>
      </c>
      <c r="D67" s="1911" t="s">
        <v>5820</v>
      </c>
      <c r="E67" s="1912" t="s">
        <v>5818</v>
      </c>
      <c r="F67" s="1913">
        <v>0</v>
      </c>
      <c r="G67" s="1914"/>
      <c r="H67" s="1915"/>
      <c r="I67" s="842">
        <f>+H68</f>
        <v>5266000</v>
      </c>
      <c r="J67" s="842">
        <f>+H71</f>
        <v>507155</v>
      </c>
      <c r="K67" s="842">
        <f>+H72</f>
        <v>293775.15051136364</v>
      </c>
    </row>
    <row r="68" spans="2:11" s="658" customFormat="1" ht="15">
      <c r="B68" s="835" t="s">
        <v>415</v>
      </c>
      <c r="C68" s="1472">
        <v>0</v>
      </c>
      <c r="D68" s="1902" t="s">
        <v>2032</v>
      </c>
      <c r="E68" s="1903">
        <v>0</v>
      </c>
      <c r="F68" s="1904">
        <v>0</v>
      </c>
      <c r="G68" s="1883"/>
      <c r="H68" s="1884">
        <f>SUM(H69:H70)</f>
        <v>5266000</v>
      </c>
      <c r="I68" s="850"/>
      <c r="J68" s="850"/>
      <c r="K68" s="850"/>
    </row>
    <row r="69" spans="2:11" ht="15">
      <c r="B69" s="835" t="s">
        <v>415</v>
      </c>
      <c r="C69" s="1472"/>
      <c r="D69" s="1902" t="s">
        <v>5821</v>
      </c>
      <c r="E69" s="1903" t="s">
        <v>5818</v>
      </c>
      <c r="F69" s="1904">
        <v>1</v>
      </c>
      <c r="G69" s="1883">
        <f>GVL!$I$83</f>
        <v>4561000</v>
      </c>
      <c r="H69" s="1792">
        <f>+F69*G69</f>
        <v>4561000</v>
      </c>
    </row>
    <row r="70" spans="2:11" ht="15">
      <c r="B70" s="835" t="s">
        <v>415</v>
      </c>
      <c r="C70" s="1472"/>
      <c r="D70" s="1902" t="s">
        <v>5822</v>
      </c>
      <c r="E70" s="1903" t="s">
        <v>307</v>
      </c>
      <c r="F70" s="1904">
        <v>1</v>
      </c>
      <c r="G70" s="1883">
        <f>GVL!$I$84</f>
        <v>705000</v>
      </c>
      <c r="H70" s="1792">
        <f>+F70*G70</f>
        <v>705000</v>
      </c>
    </row>
    <row r="71" spans="2:11" s="658" customFormat="1" ht="15">
      <c r="B71" s="835" t="s">
        <v>415</v>
      </c>
      <c r="C71" s="1472">
        <v>0</v>
      </c>
      <c r="D71" s="1902" t="s">
        <v>2037</v>
      </c>
      <c r="E71" s="1903" t="s">
        <v>552</v>
      </c>
      <c r="F71" s="1904">
        <v>2.5</v>
      </c>
      <c r="G71" s="1883">
        <f>'16.NC'!$F$16</f>
        <v>202862</v>
      </c>
      <c r="H71" s="1884">
        <f>G71*F71</f>
        <v>507155</v>
      </c>
      <c r="I71" s="850"/>
      <c r="J71" s="850"/>
      <c r="K71" s="850"/>
    </row>
    <row r="72" spans="2:11" s="658" customFormat="1" ht="15">
      <c r="B72" s="835" t="s">
        <v>415</v>
      </c>
      <c r="C72" s="1472">
        <v>0</v>
      </c>
      <c r="D72" s="1902" t="s">
        <v>2033</v>
      </c>
      <c r="E72" s="1903">
        <v>0</v>
      </c>
      <c r="F72" s="1904">
        <v>0</v>
      </c>
      <c r="G72" s="1883"/>
      <c r="H72" s="1884">
        <f>SUM(H73:H73)</f>
        <v>293775.15051136364</v>
      </c>
      <c r="I72" s="850"/>
      <c r="J72" s="850"/>
      <c r="K72" s="850"/>
    </row>
    <row r="73" spans="2:11" ht="15">
      <c r="B73" s="835"/>
      <c r="C73" s="1472"/>
      <c r="D73" s="1902" t="s">
        <v>1008</v>
      </c>
      <c r="E73" s="1903" t="s">
        <v>5493</v>
      </c>
      <c r="F73" s="1904">
        <v>0.25</v>
      </c>
      <c r="G73" s="1883">
        <f>'9.may'!$P$224</f>
        <v>1175100.6020454546</v>
      </c>
      <c r="H73" s="1792">
        <f>+F73*G73</f>
        <v>293775.15051136364</v>
      </c>
    </row>
    <row r="74" spans="2:11" ht="15">
      <c r="B74" s="835"/>
      <c r="C74" s="1472"/>
      <c r="D74" s="1813" t="s">
        <v>5675</v>
      </c>
      <c r="E74" s="1905">
        <f>$I$5</f>
        <v>0.02</v>
      </c>
      <c r="F74" s="1904"/>
      <c r="G74" s="1883"/>
      <c r="H74" s="1906">
        <f>(H68+H71+H72)*E74</f>
        <v>121338.60301022728</v>
      </c>
    </row>
    <row r="75" spans="2:11" ht="15">
      <c r="B75" s="835"/>
      <c r="C75" s="1472"/>
      <c r="D75" s="1817" t="s">
        <v>5676</v>
      </c>
      <c r="E75" s="1907"/>
      <c r="F75" s="1904"/>
      <c r="G75" s="1883"/>
      <c r="H75" s="1820">
        <f>H74+H74/E74</f>
        <v>6188268.7535215905</v>
      </c>
    </row>
    <row r="76" spans="2:11" ht="15">
      <c r="B76" s="835"/>
      <c r="C76" s="1472"/>
      <c r="D76" s="1821" t="s">
        <v>5677</v>
      </c>
      <c r="E76" s="1908">
        <f>$J$5</f>
        <v>5.7750000000000003E-2</v>
      </c>
      <c r="F76" s="1904"/>
      <c r="G76" s="1883"/>
      <c r="H76" s="1822">
        <f>H75*E76</f>
        <v>357372.52051587187</v>
      </c>
    </row>
    <row r="77" spans="2:11" ht="15">
      <c r="B77" s="835"/>
      <c r="C77" s="1472"/>
      <c r="D77" s="1821" t="s">
        <v>5678</v>
      </c>
      <c r="E77" s="1905">
        <f>$K$5</f>
        <v>0.06</v>
      </c>
      <c r="F77" s="1904"/>
      <c r="G77" s="1883"/>
      <c r="H77" s="1822">
        <f>SUM(H75:H76)*E77</f>
        <v>392738.47644224775</v>
      </c>
    </row>
    <row r="78" spans="2:11" ht="15">
      <c r="B78" s="835"/>
      <c r="C78" s="1472"/>
      <c r="D78" s="1817" t="s">
        <v>5679</v>
      </c>
      <c r="E78" s="1907"/>
      <c r="F78" s="1904"/>
      <c r="G78" s="1883"/>
      <c r="H78" s="1820">
        <f>SUM(H75:H77)</f>
        <v>6938379.7504797103</v>
      </c>
    </row>
    <row r="79" spans="2:11" ht="15">
      <c r="B79" s="835"/>
      <c r="C79" s="1472"/>
      <c r="D79" s="1821" t="s">
        <v>5680</v>
      </c>
      <c r="E79" s="1905">
        <f>$L$5</f>
        <v>0.1</v>
      </c>
      <c r="F79" s="1904"/>
      <c r="G79" s="1883"/>
      <c r="H79" s="1822">
        <f>H78*E79</f>
        <v>693837.97504797112</v>
      </c>
    </row>
    <row r="80" spans="2:11" ht="15">
      <c r="B80" s="835"/>
      <c r="C80" s="1472"/>
      <c r="D80" s="1817" t="s">
        <v>5681</v>
      </c>
      <c r="E80" s="1907"/>
      <c r="F80" s="1904"/>
      <c r="G80" s="1883"/>
      <c r="H80" s="1820">
        <f>SUM(H78:H79)</f>
        <v>7632217.7255276814</v>
      </c>
    </row>
    <row r="81" spans="2:11" ht="12.75">
      <c r="B81" s="835"/>
      <c r="C81" s="1472"/>
      <c r="D81" s="1475" t="s">
        <v>5682</v>
      </c>
      <c r="E81" s="1531">
        <f>$M$5</f>
        <v>0.01</v>
      </c>
      <c r="F81" s="1481"/>
      <c r="G81" s="848"/>
      <c r="H81" s="1476">
        <f>H80*E81</f>
        <v>76322.177255276809</v>
      </c>
    </row>
    <row r="82" spans="2:11" ht="15">
      <c r="B82" s="1470"/>
      <c r="C82" s="1473"/>
      <c r="D82" s="1888" t="s">
        <v>5683</v>
      </c>
      <c r="E82" s="1909"/>
      <c r="F82" s="1889"/>
      <c r="G82" s="1890"/>
      <c r="H82" s="1891">
        <f>ROUND(H80+H81,-2)</f>
        <v>7708500</v>
      </c>
    </row>
    <row r="83" spans="2:11" s="872" customFormat="1" ht="28.5">
      <c r="B83" s="838">
        <v>6</v>
      </c>
      <c r="C83" s="1910" t="s">
        <v>5823</v>
      </c>
      <c r="D83" s="1911" t="s">
        <v>5824</v>
      </c>
      <c r="E83" s="1912" t="s">
        <v>5818</v>
      </c>
      <c r="F83" s="1913">
        <v>0</v>
      </c>
      <c r="G83" s="1914"/>
      <c r="H83" s="1915"/>
      <c r="I83" s="842">
        <f>+H84</f>
        <v>0</v>
      </c>
      <c r="J83" s="842">
        <f>+H87</f>
        <v>0</v>
      </c>
      <c r="K83" s="842">
        <f>+H88</f>
        <v>46362.276088636361</v>
      </c>
    </row>
    <row r="84" spans="2:11" s="658" customFormat="1" ht="15">
      <c r="B84" s="835" t="s">
        <v>415</v>
      </c>
      <c r="C84" s="1472">
        <v>0</v>
      </c>
      <c r="D84" s="1902" t="s">
        <v>2032</v>
      </c>
      <c r="E84" s="1903">
        <v>0</v>
      </c>
      <c r="F84" s="1904">
        <v>0</v>
      </c>
      <c r="G84" s="1883"/>
      <c r="H84" s="1884">
        <f>SUM(H85:H86)</f>
        <v>0</v>
      </c>
      <c r="I84" s="850"/>
      <c r="J84" s="850"/>
      <c r="K84" s="850"/>
    </row>
    <row r="85" spans="2:11" ht="12.75">
      <c r="B85" s="835" t="s">
        <v>415</v>
      </c>
      <c r="C85" s="1472"/>
      <c r="D85" s="1467"/>
      <c r="E85" s="835"/>
      <c r="F85" s="1481"/>
      <c r="G85" s="848"/>
      <c r="H85" s="853">
        <f>+F85*G85</f>
        <v>0</v>
      </c>
    </row>
    <row r="86" spans="2:11" ht="12.75">
      <c r="B86" s="835" t="s">
        <v>415</v>
      </c>
      <c r="C86" s="1472"/>
      <c r="D86" s="1467"/>
      <c r="E86" s="835"/>
      <c r="F86" s="1481"/>
      <c r="G86" s="848"/>
      <c r="H86" s="853">
        <f>+F86*G86</f>
        <v>0</v>
      </c>
    </row>
    <row r="87" spans="2:11" s="658" customFormat="1" ht="15">
      <c r="B87" s="835" t="s">
        <v>415</v>
      </c>
      <c r="C87" s="1472">
        <v>0</v>
      </c>
      <c r="D87" s="1902" t="s">
        <v>2037</v>
      </c>
      <c r="E87" s="1903" t="s">
        <v>552</v>
      </c>
      <c r="F87" s="1904"/>
      <c r="G87" s="1883">
        <f>'16.NC'!$F$16</f>
        <v>202862</v>
      </c>
      <c r="H87" s="1884">
        <f>G87*F87</f>
        <v>0</v>
      </c>
      <c r="I87" s="850"/>
      <c r="J87" s="850"/>
      <c r="K87" s="850"/>
    </row>
    <row r="88" spans="2:11" s="658" customFormat="1" ht="15">
      <c r="B88" s="835" t="s">
        <v>415</v>
      </c>
      <c r="C88" s="1472">
        <v>0</v>
      </c>
      <c r="D88" s="1902" t="s">
        <v>2033</v>
      </c>
      <c r="E88" s="1903">
        <v>0</v>
      </c>
      <c r="F88" s="1904">
        <v>0</v>
      </c>
      <c r="G88" s="1883"/>
      <c r="H88" s="1884">
        <f>SUM(H89:H90)</f>
        <v>46362.276088636361</v>
      </c>
      <c r="I88" s="850"/>
      <c r="J88" s="850"/>
      <c r="K88" s="850"/>
    </row>
    <row r="89" spans="2:11" ht="15">
      <c r="B89" s="835"/>
      <c r="C89" s="1472"/>
      <c r="D89" s="1902" t="s">
        <v>5825</v>
      </c>
      <c r="E89" s="1903" t="s">
        <v>5493</v>
      </c>
      <c r="F89" s="1904">
        <v>2.5000000000000001E-2</v>
      </c>
      <c r="G89" s="1883">
        <f>'9.may'!$P$136</f>
        <v>1384450.8027272727</v>
      </c>
      <c r="H89" s="1792">
        <f>+F89*G89</f>
        <v>34611.270068181817</v>
      </c>
    </row>
    <row r="90" spans="2:11" ht="15">
      <c r="B90" s="835"/>
      <c r="C90" s="1472"/>
      <c r="D90" s="1902" t="s">
        <v>1008</v>
      </c>
      <c r="E90" s="1903" t="s">
        <v>5493</v>
      </c>
      <c r="F90" s="1904">
        <v>0.01</v>
      </c>
      <c r="G90" s="1883">
        <f>'9.may'!$P$224</f>
        <v>1175100.6020454546</v>
      </c>
      <c r="H90" s="1792">
        <f>+F90*G90</f>
        <v>11751.006020454546</v>
      </c>
    </row>
    <row r="91" spans="2:11" ht="15">
      <c r="B91" s="835"/>
      <c r="C91" s="1472"/>
      <c r="D91" s="1813" t="s">
        <v>5675</v>
      </c>
      <c r="E91" s="1905">
        <f>$I$5</f>
        <v>0.02</v>
      </c>
      <c r="F91" s="1904"/>
      <c r="G91" s="1883"/>
      <c r="H91" s="1906">
        <f>(H84+H87+H88)*E91</f>
        <v>927.24552177272722</v>
      </c>
    </row>
    <row r="92" spans="2:11" ht="15">
      <c r="B92" s="835"/>
      <c r="C92" s="1472"/>
      <c r="D92" s="1817" t="s">
        <v>5676</v>
      </c>
      <c r="E92" s="1907"/>
      <c r="F92" s="1904"/>
      <c r="G92" s="1883"/>
      <c r="H92" s="1820">
        <f>H91+H91/E91</f>
        <v>47289.521610409087</v>
      </c>
    </row>
    <row r="93" spans="2:11" ht="15">
      <c r="B93" s="835"/>
      <c r="C93" s="1472"/>
      <c r="D93" s="1821" t="s">
        <v>5677</v>
      </c>
      <c r="E93" s="1908">
        <f>$J$5</f>
        <v>5.7750000000000003E-2</v>
      </c>
      <c r="F93" s="1904"/>
      <c r="G93" s="1883"/>
      <c r="H93" s="1822">
        <f>H92*E93</f>
        <v>2730.9698730011251</v>
      </c>
    </row>
    <row r="94" spans="2:11" ht="15">
      <c r="B94" s="835"/>
      <c r="C94" s="1472"/>
      <c r="D94" s="1821" t="s">
        <v>5678</v>
      </c>
      <c r="E94" s="1905">
        <f>$K$5</f>
        <v>0.06</v>
      </c>
      <c r="F94" s="1904"/>
      <c r="G94" s="1883"/>
      <c r="H94" s="1822">
        <f>SUM(H92:H93)*E94</f>
        <v>3001.2294890046123</v>
      </c>
    </row>
    <row r="95" spans="2:11" ht="15">
      <c r="B95" s="835"/>
      <c r="C95" s="1472"/>
      <c r="D95" s="1817" t="s">
        <v>5679</v>
      </c>
      <c r="E95" s="1907"/>
      <c r="F95" s="1904"/>
      <c r="G95" s="1883"/>
      <c r="H95" s="1820">
        <f>SUM(H92:H94)</f>
        <v>53021.72097241482</v>
      </c>
    </row>
    <row r="96" spans="2:11" ht="15">
      <c r="B96" s="835"/>
      <c r="C96" s="1472"/>
      <c r="D96" s="1821" t="s">
        <v>5680</v>
      </c>
      <c r="E96" s="1905">
        <f>$L$5</f>
        <v>0.1</v>
      </c>
      <c r="F96" s="1904"/>
      <c r="G96" s="1883"/>
      <c r="H96" s="1822">
        <f>H95*E96</f>
        <v>5302.1720972414823</v>
      </c>
    </row>
    <row r="97" spans="2:11" ht="15">
      <c r="B97" s="835"/>
      <c r="C97" s="1472"/>
      <c r="D97" s="1817" t="s">
        <v>5681</v>
      </c>
      <c r="E97" s="1907"/>
      <c r="F97" s="1904"/>
      <c r="G97" s="1883"/>
      <c r="H97" s="1820">
        <f>SUM(H95:H96)</f>
        <v>58323.893069656304</v>
      </c>
    </row>
    <row r="98" spans="2:11" ht="12.75">
      <c r="B98" s="835"/>
      <c r="C98" s="1472"/>
      <c r="D98" s="1475" t="s">
        <v>5682</v>
      </c>
      <c r="E98" s="1531">
        <f>$M$5</f>
        <v>0.01</v>
      </c>
      <c r="F98" s="1481"/>
      <c r="G98" s="848"/>
      <c r="H98" s="1476">
        <f>H97*E98</f>
        <v>583.2389306965631</v>
      </c>
    </row>
    <row r="99" spans="2:11" ht="15">
      <c r="B99" s="1470"/>
      <c r="C99" s="1473"/>
      <c r="D99" s="1888" t="s">
        <v>5683</v>
      </c>
      <c r="E99" s="1909"/>
      <c r="F99" s="1889"/>
      <c r="G99" s="1890"/>
      <c r="H99" s="1891">
        <f>ROUND(H97+H98,-2)</f>
        <v>58900</v>
      </c>
    </row>
    <row r="100" spans="2:11" s="872" customFormat="1" ht="14.25">
      <c r="B100" s="838">
        <v>7</v>
      </c>
      <c r="C100" s="1910" t="s">
        <v>5826</v>
      </c>
      <c r="D100" s="1911" t="s">
        <v>5827</v>
      </c>
      <c r="E100" s="1912" t="s">
        <v>567</v>
      </c>
      <c r="F100" s="1913">
        <v>0</v>
      </c>
      <c r="G100" s="1914"/>
      <c r="H100" s="1915"/>
      <c r="I100" s="842">
        <f>+H101</f>
        <v>454000</v>
      </c>
      <c r="J100" s="842">
        <f>+H104</f>
        <v>207980.65</v>
      </c>
      <c r="K100" s="842">
        <f>+H105</f>
        <v>263257.60472727276</v>
      </c>
    </row>
    <row r="101" spans="2:11" s="658" customFormat="1" ht="15">
      <c r="B101" s="835" t="s">
        <v>415</v>
      </c>
      <c r="C101" s="1472">
        <v>0</v>
      </c>
      <c r="D101" s="1902" t="s">
        <v>2032</v>
      </c>
      <c r="E101" s="1903">
        <v>0</v>
      </c>
      <c r="F101" s="1904">
        <v>0</v>
      </c>
      <c r="G101" s="1883"/>
      <c r="H101" s="1884">
        <f>SUM(H102:H103)</f>
        <v>454000</v>
      </c>
      <c r="I101" s="850"/>
      <c r="J101" s="850"/>
      <c r="K101" s="850"/>
    </row>
    <row r="102" spans="2:11" ht="15">
      <c r="B102" s="835" t="s">
        <v>415</v>
      </c>
      <c r="C102" s="1472"/>
      <c r="D102" s="1902" t="s">
        <v>5828</v>
      </c>
      <c r="E102" s="1903" t="s">
        <v>567</v>
      </c>
      <c r="F102" s="1904">
        <v>1</v>
      </c>
      <c r="G102" s="1883">
        <f>GVL!$I$85</f>
        <v>454000</v>
      </c>
      <c r="H102" s="1792">
        <f>+F102*G102</f>
        <v>454000</v>
      </c>
    </row>
    <row r="103" spans="2:11" ht="12.75">
      <c r="B103" s="835" t="s">
        <v>415</v>
      </c>
      <c r="C103" s="1472"/>
      <c r="D103" s="1467"/>
      <c r="E103" s="835"/>
      <c r="F103" s="1481"/>
      <c r="G103" s="848"/>
      <c r="H103" s="853">
        <f>+F103*G103</f>
        <v>0</v>
      </c>
    </row>
    <row r="104" spans="2:11" s="658" customFormat="1" ht="15">
      <c r="B104" s="835" t="s">
        <v>415</v>
      </c>
      <c r="C104" s="1472">
        <v>0</v>
      </c>
      <c r="D104" s="1902" t="s">
        <v>2039</v>
      </c>
      <c r="E104" s="1903" t="s">
        <v>552</v>
      </c>
      <c r="F104" s="1904">
        <v>0.95</v>
      </c>
      <c r="G104" s="1883">
        <f>'16.NC'!$F$18</f>
        <v>218927</v>
      </c>
      <c r="H104" s="1884">
        <f>G104*F104</f>
        <v>207980.65</v>
      </c>
      <c r="I104" s="850"/>
      <c r="J104" s="850"/>
      <c r="K104" s="850"/>
    </row>
    <row r="105" spans="2:11" s="658" customFormat="1" ht="15">
      <c r="B105" s="835" t="s">
        <v>415</v>
      </c>
      <c r="C105" s="1472">
        <v>0</v>
      </c>
      <c r="D105" s="1902" t="s">
        <v>2033</v>
      </c>
      <c r="E105" s="1903">
        <v>0</v>
      </c>
      <c r="F105" s="1904">
        <v>0</v>
      </c>
      <c r="G105" s="1883"/>
      <c r="H105" s="1884">
        <f>SUM(H106:H107)</f>
        <v>263257.60472727276</v>
      </c>
      <c r="I105" s="850"/>
      <c r="J105" s="850"/>
      <c r="K105" s="850"/>
    </row>
    <row r="106" spans="2:11" ht="15">
      <c r="B106" s="835" t="s">
        <v>415</v>
      </c>
      <c r="C106" s="1472">
        <v>0</v>
      </c>
      <c r="D106" s="1902" t="s">
        <v>5807</v>
      </c>
      <c r="E106" s="1903" t="s">
        <v>5493</v>
      </c>
      <c r="F106" s="1904">
        <v>0.2</v>
      </c>
      <c r="G106" s="1883">
        <f>'9.may'!$P$682</f>
        <v>1316288.0236363637</v>
      </c>
      <c r="H106" s="1792">
        <f>G106*F106</f>
        <v>263257.60472727276</v>
      </c>
    </row>
    <row r="107" spans="2:11" ht="12.75">
      <c r="B107" s="835"/>
      <c r="C107" s="1472"/>
      <c r="D107" s="1467"/>
      <c r="E107" s="835"/>
      <c r="F107" s="1481"/>
      <c r="G107" s="848"/>
      <c r="H107" s="853">
        <f>+F107*G107</f>
        <v>0</v>
      </c>
    </row>
    <row r="108" spans="2:11" ht="15">
      <c r="B108" s="835"/>
      <c r="C108" s="1472"/>
      <c r="D108" s="1813" t="s">
        <v>5675</v>
      </c>
      <c r="E108" s="1905">
        <f>$I$5</f>
        <v>0.02</v>
      </c>
      <c r="F108" s="1904"/>
      <c r="G108" s="1883"/>
      <c r="H108" s="1906">
        <f>(H101+H104+H105)*E108</f>
        <v>18504.765094545455</v>
      </c>
    </row>
    <row r="109" spans="2:11" ht="15">
      <c r="B109" s="835"/>
      <c r="C109" s="1472"/>
      <c r="D109" s="1817" t="s">
        <v>5676</v>
      </c>
      <c r="E109" s="1907"/>
      <c r="F109" s="1904"/>
      <c r="G109" s="1883"/>
      <c r="H109" s="1820">
        <f>H108+H108/E108</f>
        <v>943743.01982181822</v>
      </c>
    </row>
    <row r="110" spans="2:11" ht="15">
      <c r="B110" s="835"/>
      <c r="C110" s="1472"/>
      <c r="D110" s="1821" t="s">
        <v>5677</v>
      </c>
      <c r="E110" s="1908">
        <f>$J$5</f>
        <v>5.7750000000000003E-2</v>
      </c>
      <c r="F110" s="1904"/>
      <c r="G110" s="1883"/>
      <c r="H110" s="1822">
        <f>H109*E110</f>
        <v>54501.159394710005</v>
      </c>
    </row>
    <row r="111" spans="2:11" ht="15">
      <c r="B111" s="835"/>
      <c r="C111" s="1472"/>
      <c r="D111" s="1821" t="s">
        <v>5678</v>
      </c>
      <c r="E111" s="1905">
        <f>$K$5</f>
        <v>0.06</v>
      </c>
      <c r="F111" s="1904"/>
      <c r="G111" s="1883"/>
      <c r="H111" s="1822">
        <f>SUM(H109:H110)*E111</f>
        <v>59894.650752991693</v>
      </c>
    </row>
    <row r="112" spans="2:11" ht="15">
      <c r="B112" s="835"/>
      <c r="C112" s="1472"/>
      <c r="D112" s="1817" t="s">
        <v>5679</v>
      </c>
      <c r="E112" s="1907"/>
      <c r="F112" s="1904"/>
      <c r="G112" s="1883"/>
      <c r="H112" s="1820">
        <f>SUM(H109:H111)</f>
        <v>1058138.82996952</v>
      </c>
    </row>
    <row r="113" spans="2:11" ht="15">
      <c r="B113" s="835"/>
      <c r="C113" s="1472"/>
      <c r="D113" s="1821" t="s">
        <v>5680</v>
      </c>
      <c r="E113" s="1905">
        <f>$L$5</f>
        <v>0.1</v>
      </c>
      <c r="F113" s="1904"/>
      <c r="G113" s="1883"/>
      <c r="H113" s="1822">
        <f>H112*E113</f>
        <v>105813.882996952</v>
      </c>
    </row>
    <row r="114" spans="2:11" ht="15">
      <c r="B114" s="835"/>
      <c r="C114" s="1472"/>
      <c r="D114" s="1817" t="s">
        <v>5681</v>
      </c>
      <c r="E114" s="1907"/>
      <c r="F114" s="1904"/>
      <c r="G114" s="1883"/>
      <c r="H114" s="1820">
        <f>SUM(H112:H113)</f>
        <v>1163952.7129664719</v>
      </c>
    </row>
    <row r="115" spans="2:11" ht="12.75">
      <c r="B115" s="835"/>
      <c r="C115" s="1472"/>
      <c r="D115" s="1475" t="s">
        <v>5682</v>
      </c>
      <c r="E115" s="1531">
        <f>$M$5</f>
        <v>0.01</v>
      </c>
      <c r="F115" s="1481"/>
      <c r="G115" s="848"/>
      <c r="H115" s="1476">
        <f>H114*E115</f>
        <v>11639.527129664719</v>
      </c>
    </row>
    <row r="116" spans="2:11" ht="15">
      <c r="B116" s="1470"/>
      <c r="C116" s="1473"/>
      <c r="D116" s="1888" t="s">
        <v>5683</v>
      </c>
      <c r="E116" s="1909"/>
      <c r="F116" s="1889"/>
      <c r="G116" s="1890"/>
      <c r="H116" s="1891">
        <f>ROUND(H114+H115,-2)</f>
        <v>1175600</v>
      </c>
    </row>
    <row r="117" spans="2:11" s="872" customFormat="1" ht="14.25">
      <c r="B117" s="838">
        <v>8</v>
      </c>
      <c r="C117" s="1910" t="s">
        <v>5826</v>
      </c>
      <c r="D117" s="1911" t="s">
        <v>5829</v>
      </c>
      <c r="E117" s="1912" t="s">
        <v>5830</v>
      </c>
      <c r="F117" s="1913">
        <v>0</v>
      </c>
      <c r="G117" s="1914"/>
      <c r="H117" s="1915"/>
      <c r="I117" s="842">
        <f>+H118</f>
        <v>86666.666666666657</v>
      </c>
      <c r="J117" s="842">
        <f>+H121</f>
        <v>177457.15</v>
      </c>
      <c r="K117" s="842">
        <f>+H122</f>
        <v>0</v>
      </c>
    </row>
    <row r="118" spans="2:11" s="658" customFormat="1" ht="15">
      <c r="B118" s="835" t="s">
        <v>415</v>
      </c>
      <c r="C118" s="1472">
        <v>0</v>
      </c>
      <c r="D118" s="1902" t="s">
        <v>2032</v>
      </c>
      <c r="E118" s="1903">
        <v>0</v>
      </c>
      <c r="F118" s="1904">
        <v>0</v>
      </c>
      <c r="G118" s="1883"/>
      <c r="H118" s="1884">
        <f>SUM(H119:H120)</f>
        <v>86666.666666666657</v>
      </c>
      <c r="I118" s="850"/>
      <c r="J118" s="850"/>
      <c r="K118" s="850"/>
    </row>
    <row r="119" spans="2:11" ht="15">
      <c r="B119" s="835" t="s">
        <v>415</v>
      </c>
      <c r="C119" s="1472"/>
      <c r="D119" s="1902" t="s">
        <v>5831</v>
      </c>
      <c r="E119" s="1903" t="s">
        <v>558</v>
      </c>
      <c r="F119" s="1904">
        <v>0.3</v>
      </c>
      <c r="G119" s="1883">
        <f>GVL!$I$159</f>
        <v>86666.666666666672</v>
      </c>
      <c r="H119" s="1792">
        <f>+F119*G119</f>
        <v>26000</v>
      </c>
    </row>
    <row r="120" spans="2:11" ht="15">
      <c r="B120" s="835" t="s">
        <v>415</v>
      </c>
      <c r="C120" s="1472"/>
      <c r="D120" s="1902" t="s">
        <v>5832</v>
      </c>
      <c r="E120" s="1903" t="s">
        <v>558</v>
      </c>
      <c r="F120" s="1904">
        <v>0.7</v>
      </c>
      <c r="G120" s="1883">
        <f>GVL!$I$159</f>
        <v>86666.666666666672</v>
      </c>
      <c r="H120" s="1792">
        <f>+F120*G120</f>
        <v>60666.666666666664</v>
      </c>
    </row>
    <row r="121" spans="2:11" s="658" customFormat="1" ht="15">
      <c r="B121" s="835" t="s">
        <v>415</v>
      </c>
      <c r="C121" s="1472">
        <v>0</v>
      </c>
      <c r="D121" s="1902" t="s">
        <v>2038</v>
      </c>
      <c r="E121" s="1903" t="s">
        <v>552</v>
      </c>
      <c r="F121" s="1904">
        <v>0.95</v>
      </c>
      <c r="G121" s="1883">
        <f>'16.NC'!$F$13</f>
        <v>186797</v>
      </c>
      <c r="H121" s="1884">
        <f>G121*F121</f>
        <v>177457.15</v>
      </c>
      <c r="I121" s="850"/>
      <c r="J121" s="850"/>
      <c r="K121" s="850"/>
    </row>
    <row r="122" spans="2:11" s="658" customFormat="1" ht="15">
      <c r="B122" s="835" t="s">
        <v>415</v>
      </c>
      <c r="C122" s="1472">
        <v>0</v>
      </c>
      <c r="D122" s="1902" t="s">
        <v>2033</v>
      </c>
      <c r="E122" s="1903">
        <v>0</v>
      </c>
      <c r="F122" s="1904">
        <v>0</v>
      </c>
      <c r="G122" s="1883"/>
      <c r="H122" s="1884">
        <f>SUM(H123:H124)</f>
        <v>0</v>
      </c>
      <c r="I122" s="850"/>
      <c r="J122" s="850"/>
      <c r="K122" s="850"/>
    </row>
    <row r="123" spans="2:11" ht="12.75">
      <c r="B123" s="835" t="s">
        <v>415</v>
      </c>
      <c r="C123" s="1472">
        <v>0</v>
      </c>
      <c r="D123" s="1467"/>
      <c r="E123" s="835"/>
      <c r="F123" s="1481"/>
      <c r="G123" s="848"/>
      <c r="H123" s="853">
        <f>G123*F123</f>
        <v>0</v>
      </c>
    </row>
    <row r="124" spans="2:11" ht="12.75">
      <c r="B124" s="835"/>
      <c r="C124" s="1472"/>
      <c r="D124" s="1467"/>
      <c r="E124" s="835"/>
      <c r="F124" s="1481"/>
      <c r="G124" s="848"/>
      <c r="H124" s="853">
        <f>+F124*G124</f>
        <v>0</v>
      </c>
    </row>
    <row r="125" spans="2:11" ht="15">
      <c r="B125" s="835"/>
      <c r="C125" s="1472"/>
      <c r="D125" s="1813" t="s">
        <v>5675</v>
      </c>
      <c r="E125" s="1905">
        <f>$I$5</f>
        <v>0.02</v>
      </c>
      <c r="F125" s="1904"/>
      <c r="G125" s="1883"/>
      <c r="H125" s="1906">
        <f>(H118+H121+H122)*E125</f>
        <v>5282.4763333333331</v>
      </c>
    </row>
    <row r="126" spans="2:11" ht="15">
      <c r="B126" s="835"/>
      <c r="C126" s="1472"/>
      <c r="D126" s="1817" t="s">
        <v>5676</v>
      </c>
      <c r="E126" s="1907"/>
      <c r="F126" s="1904"/>
      <c r="G126" s="1883"/>
      <c r="H126" s="1820">
        <f>H125+H125/E125</f>
        <v>269406.29300000001</v>
      </c>
    </row>
    <row r="127" spans="2:11" ht="15">
      <c r="B127" s="835"/>
      <c r="C127" s="1472"/>
      <c r="D127" s="1821" t="s">
        <v>5677</v>
      </c>
      <c r="E127" s="1908">
        <f>$J$5</f>
        <v>5.7750000000000003E-2</v>
      </c>
      <c r="F127" s="1904"/>
      <c r="G127" s="1883"/>
      <c r="H127" s="1822">
        <f>H126*E127</f>
        <v>15558.21342075</v>
      </c>
    </row>
    <row r="128" spans="2:11" ht="15">
      <c r="B128" s="835"/>
      <c r="C128" s="1472"/>
      <c r="D128" s="1821" t="s">
        <v>5678</v>
      </c>
      <c r="E128" s="1905">
        <f>$K$5</f>
        <v>0.06</v>
      </c>
      <c r="F128" s="1904"/>
      <c r="G128" s="1883"/>
      <c r="H128" s="1822">
        <f>SUM(H126:H127)*E128</f>
        <v>17097.870385244998</v>
      </c>
    </row>
    <row r="129" spans="2:11" ht="15">
      <c r="B129" s="835"/>
      <c r="C129" s="1472"/>
      <c r="D129" s="1817" t="s">
        <v>5679</v>
      </c>
      <c r="E129" s="1907"/>
      <c r="F129" s="1904"/>
      <c r="G129" s="1883"/>
      <c r="H129" s="1820">
        <f>SUM(H126:H128)</f>
        <v>302062.37680599501</v>
      </c>
    </row>
    <row r="130" spans="2:11" ht="15">
      <c r="B130" s="835"/>
      <c r="C130" s="1472"/>
      <c r="D130" s="1821" t="s">
        <v>5680</v>
      </c>
      <c r="E130" s="1905">
        <f>$L$5</f>
        <v>0.1</v>
      </c>
      <c r="F130" s="1904"/>
      <c r="G130" s="1883"/>
      <c r="H130" s="1822">
        <f>H129*E130</f>
        <v>30206.237680599501</v>
      </c>
    </row>
    <row r="131" spans="2:11" ht="15">
      <c r="B131" s="835"/>
      <c r="C131" s="1472"/>
      <c r="D131" s="1817" t="s">
        <v>5681</v>
      </c>
      <c r="E131" s="1907"/>
      <c r="F131" s="1904"/>
      <c r="G131" s="1883"/>
      <c r="H131" s="1820">
        <f>SUM(H129:H130)</f>
        <v>332268.61448659451</v>
      </c>
    </row>
    <row r="132" spans="2:11" ht="12.75">
      <c r="B132" s="835"/>
      <c r="C132" s="1472"/>
      <c r="D132" s="1475" t="s">
        <v>5682</v>
      </c>
      <c r="E132" s="1531">
        <f>$M$5</f>
        <v>0.01</v>
      </c>
      <c r="F132" s="1481"/>
      <c r="G132" s="848"/>
      <c r="H132" s="1476">
        <f>H131*E132</f>
        <v>3322.6861448659452</v>
      </c>
    </row>
    <row r="133" spans="2:11" ht="15">
      <c r="B133" s="1470"/>
      <c r="C133" s="1473"/>
      <c r="D133" s="1888" t="s">
        <v>5683</v>
      </c>
      <c r="E133" s="1909"/>
      <c r="F133" s="1889"/>
      <c r="G133" s="1890"/>
      <c r="H133" s="1891">
        <f>ROUND(H131+H132,-2)</f>
        <v>335600</v>
      </c>
    </row>
    <row r="134" spans="2:11" s="872" customFormat="1" ht="28.5">
      <c r="B134" s="838">
        <v>9</v>
      </c>
      <c r="C134" s="1910" t="s">
        <v>5833</v>
      </c>
      <c r="D134" s="1911" t="s">
        <v>5834</v>
      </c>
      <c r="E134" s="1912" t="s">
        <v>307</v>
      </c>
      <c r="F134" s="1913">
        <v>0</v>
      </c>
      <c r="G134" s="1914"/>
      <c r="H134" s="1915"/>
      <c r="I134" s="842">
        <f>+H135</f>
        <v>13520000</v>
      </c>
      <c r="J134" s="842">
        <f>+H138</f>
        <v>507155</v>
      </c>
      <c r="K134" s="842">
        <f>+H139</f>
        <v>235020.12040909092</v>
      </c>
    </row>
    <row r="135" spans="2:11" s="658" customFormat="1" ht="15">
      <c r="B135" s="835" t="s">
        <v>415</v>
      </c>
      <c r="C135" s="1472">
        <v>0</v>
      </c>
      <c r="D135" s="1902" t="s">
        <v>2032</v>
      </c>
      <c r="E135" s="1903">
        <v>0</v>
      </c>
      <c r="F135" s="1904">
        <v>0</v>
      </c>
      <c r="G135" s="1883"/>
      <c r="H135" s="1884">
        <f>SUM(H136:H137)</f>
        <v>13520000</v>
      </c>
      <c r="I135" s="850"/>
      <c r="J135" s="850"/>
      <c r="K135" s="850"/>
    </row>
    <row r="136" spans="2:11" ht="15">
      <c r="B136" s="835" t="s">
        <v>415</v>
      </c>
      <c r="C136" s="1472"/>
      <c r="D136" s="1902" t="s">
        <v>5835</v>
      </c>
      <c r="E136" s="1903" t="s">
        <v>307</v>
      </c>
      <c r="F136" s="1904">
        <v>1</v>
      </c>
      <c r="G136" s="1883">
        <f>GVL!$I$186</f>
        <v>13520000</v>
      </c>
      <c r="H136" s="1792">
        <f>+F136*G136</f>
        <v>13520000</v>
      </c>
    </row>
    <row r="137" spans="2:11" ht="12.75">
      <c r="B137" s="835" t="s">
        <v>415</v>
      </c>
      <c r="C137" s="1472"/>
      <c r="D137" s="1467"/>
      <c r="E137" s="835"/>
      <c r="F137" s="1481"/>
      <c r="G137" s="848"/>
      <c r="H137" s="853">
        <f>+F137*G137</f>
        <v>0</v>
      </c>
    </row>
    <row r="138" spans="2:11" s="658" customFormat="1" ht="15">
      <c r="B138" s="835" t="s">
        <v>415</v>
      </c>
      <c r="C138" s="1472">
        <v>0</v>
      </c>
      <c r="D138" s="1902" t="s">
        <v>2037</v>
      </c>
      <c r="E138" s="1903" t="s">
        <v>552</v>
      </c>
      <c r="F138" s="1904">
        <v>2.5</v>
      </c>
      <c r="G138" s="1883">
        <f>'16.NC'!$F$16</f>
        <v>202862</v>
      </c>
      <c r="H138" s="1884">
        <f>G138*F138</f>
        <v>507155</v>
      </c>
      <c r="I138" s="850"/>
      <c r="J138" s="850"/>
      <c r="K138" s="850"/>
    </row>
    <row r="139" spans="2:11" s="658" customFormat="1" ht="15">
      <c r="B139" s="835" t="s">
        <v>415</v>
      </c>
      <c r="C139" s="1472">
        <v>0</v>
      </c>
      <c r="D139" s="1902" t="s">
        <v>2033</v>
      </c>
      <c r="E139" s="1903">
        <v>0</v>
      </c>
      <c r="F139" s="1904">
        <v>0</v>
      </c>
      <c r="G139" s="1883"/>
      <c r="H139" s="1884">
        <f>SUM(H140:H141)</f>
        <v>235020.12040909092</v>
      </c>
      <c r="I139" s="850"/>
      <c r="J139" s="850"/>
      <c r="K139" s="850"/>
    </row>
    <row r="140" spans="2:11" ht="15">
      <c r="B140" s="835"/>
      <c r="C140" s="1472"/>
      <c r="D140" s="1902" t="s">
        <v>1008</v>
      </c>
      <c r="E140" s="1903" t="s">
        <v>5493</v>
      </c>
      <c r="F140" s="1904">
        <v>0.2</v>
      </c>
      <c r="G140" s="1883">
        <f>'9.may'!$P$224</f>
        <v>1175100.6020454546</v>
      </c>
      <c r="H140" s="1792">
        <f>+F140*G140</f>
        <v>235020.12040909092</v>
      </c>
    </row>
    <row r="141" spans="2:11" ht="12.75">
      <c r="B141" s="835"/>
      <c r="C141" s="1472"/>
      <c r="D141" s="1467"/>
      <c r="E141" s="835"/>
      <c r="F141" s="1481"/>
      <c r="G141" s="848"/>
      <c r="H141" s="853">
        <f>+F141*G141</f>
        <v>0</v>
      </c>
    </row>
    <row r="142" spans="2:11" ht="15">
      <c r="B142" s="835"/>
      <c r="C142" s="1472"/>
      <c r="D142" s="1813" t="s">
        <v>5675</v>
      </c>
      <c r="E142" s="1905">
        <f>$I$5</f>
        <v>0.02</v>
      </c>
      <c r="F142" s="1904"/>
      <c r="G142" s="1883"/>
      <c r="H142" s="1906">
        <f>(H135+H138+H139)*E142</f>
        <v>285243.50240818178</v>
      </c>
    </row>
    <row r="143" spans="2:11" ht="15">
      <c r="B143" s="835"/>
      <c r="C143" s="1472"/>
      <c r="D143" s="1817" t="s">
        <v>5676</v>
      </c>
      <c r="E143" s="1907"/>
      <c r="F143" s="1904"/>
      <c r="G143" s="1883"/>
      <c r="H143" s="1820">
        <f>H142+H142/E142</f>
        <v>14547418.62281727</v>
      </c>
    </row>
    <row r="144" spans="2:11" ht="15">
      <c r="B144" s="835"/>
      <c r="C144" s="1472"/>
      <c r="D144" s="1821" t="s">
        <v>5677</v>
      </c>
      <c r="E144" s="1908">
        <f>$J$5</f>
        <v>5.7750000000000003E-2</v>
      </c>
      <c r="F144" s="1904"/>
      <c r="G144" s="1883"/>
      <c r="H144" s="1822">
        <f>H143*E144</f>
        <v>840113.42546769744</v>
      </c>
    </row>
    <row r="145" spans="2:11" ht="15">
      <c r="B145" s="835"/>
      <c r="C145" s="1472"/>
      <c r="D145" s="1821" t="s">
        <v>5678</v>
      </c>
      <c r="E145" s="1905">
        <f>$K$5</f>
        <v>0.06</v>
      </c>
      <c r="F145" s="1904"/>
      <c r="G145" s="1883"/>
      <c r="H145" s="1822">
        <f>SUM(H143:H144)*E145</f>
        <v>923251.92289709812</v>
      </c>
    </row>
    <row r="146" spans="2:11" ht="15">
      <c r="B146" s="835"/>
      <c r="C146" s="1472"/>
      <c r="D146" s="1817" t="s">
        <v>5679</v>
      </c>
      <c r="E146" s="1907"/>
      <c r="F146" s="1904"/>
      <c r="G146" s="1883"/>
      <c r="H146" s="1820">
        <f>SUM(H143:H145)</f>
        <v>16310783.971182067</v>
      </c>
    </row>
    <row r="147" spans="2:11" ht="15">
      <c r="B147" s="835"/>
      <c r="C147" s="1472"/>
      <c r="D147" s="1821" t="s">
        <v>5680</v>
      </c>
      <c r="E147" s="1905">
        <f>$L$5</f>
        <v>0.1</v>
      </c>
      <c r="F147" s="1904"/>
      <c r="G147" s="1883"/>
      <c r="H147" s="1822">
        <f>H146*E147</f>
        <v>1631078.3971182068</v>
      </c>
    </row>
    <row r="148" spans="2:11" ht="15">
      <c r="B148" s="835"/>
      <c r="C148" s="1472"/>
      <c r="D148" s="1817" t="s">
        <v>5681</v>
      </c>
      <c r="E148" s="1907"/>
      <c r="F148" s="1904"/>
      <c r="G148" s="1883"/>
      <c r="H148" s="1820">
        <f>SUM(H146:H147)</f>
        <v>17941862.368300274</v>
      </c>
    </row>
    <row r="149" spans="2:11" ht="12.75">
      <c r="B149" s="835"/>
      <c r="C149" s="1472"/>
      <c r="D149" s="1475" t="s">
        <v>5682</v>
      </c>
      <c r="E149" s="1531">
        <f>$M$5</f>
        <v>0.01</v>
      </c>
      <c r="F149" s="1481"/>
      <c r="G149" s="848"/>
      <c r="H149" s="1476">
        <f>H148*E149</f>
        <v>179418.62368300275</v>
      </c>
    </row>
    <row r="150" spans="2:11" ht="15">
      <c r="B150" s="1470"/>
      <c r="C150" s="1473"/>
      <c r="D150" s="1888" t="s">
        <v>5683</v>
      </c>
      <c r="E150" s="1909"/>
      <c r="F150" s="1889"/>
      <c r="G150" s="1890"/>
      <c r="H150" s="1891">
        <f>ROUND(H148+H149,-2)</f>
        <v>18121300</v>
      </c>
    </row>
    <row r="151" spans="2:11" s="872" customFormat="1" ht="14.25">
      <c r="B151" s="838">
        <v>10</v>
      </c>
      <c r="C151" s="1910" t="s">
        <v>5836</v>
      </c>
      <c r="D151" s="1911" t="s">
        <v>5837</v>
      </c>
      <c r="E151" s="1912" t="s">
        <v>307</v>
      </c>
      <c r="F151" s="1913">
        <v>0</v>
      </c>
      <c r="G151" s="1914"/>
      <c r="H151" s="1915"/>
      <c r="I151" s="842">
        <f>+H152</f>
        <v>450000</v>
      </c>
      <c r="J151" s="842">
        <f>+H155</f>
        <v>109463.5</v>
      </c>
      <c r="K151" s="842">
        <f>+H156</f>
        <v>0</v>
      </c>
    </row>
    <row r="152" spans="2:11" s="658" customFormat="1" ht="15">
      <c r="B152" s="835" t="s">
        <v>415</v>
      </c>
      <c r="C152" s="1472">
        <v>0</v>
      </c>
      <c r="D152" s="1902" t="s">
        <v>2032</v>
      </c>
      <c r="E152" s="1903">
        <v>0</v>
      </c>
      <c r="F152" s="1904">
        <v>0</v>
      </c>
      <c r="G152" s="1883"/>
      <c r="H152" s="1884">
        <f>SUM(H153:H154)</f>
        <v>450000</v>
      </c>
      <c r="I152" s="850"/>
      <c r="J152" s="850"/>
      <c r="K152" s="850"/>
    </row>
    <row r="153" spans="2:11" ht="15">
      <c r="B153" s="835" t="s">
        <v>415</v>
      </c>
      <c r="C153" s="1472"/>
      <c r="D153" s="1902" t="s">
        <v>5837</v>
      </c>
      <c r="E153" s="1903" t="s">
        <v>567</v>
      </c>
      <c r="F153" s="1904">
        <v>1</v>
      </c>
      <c r="G153" s="1883">
        <f>GVL!$I$23</f>
        <v>450000</v>
      </c>
      <c r="H153" s="1792">
        <f>+F153*G153</f>
        <v>450000</v>
      </c>
    </row>
    <row r="154" spans="2:11" ht="12.75">
      <c r="B154" s="835" t="s">
        <v>415</v>
      </c>
      <c r="C154" s="1472"/>
      <c r="D154" s="1467"/>
      <c r="E154" s="835"/>
      <c r="F154" s="1481"/>
      <c r="G154" s="848"/>
      <c r="H154" s="853">
        <f>+F154*G154</f>
        <v>0</v>
      </c>
    </row>
    <row r="155" spans="2:11" s="658" customFormat="1" ht="15">
      <c r="B155" s="835" t="s">
        <v>415</v>
      </c>
      <c r="C155" s="1472">
        <v>0</v>
      </c>
      <c r="D155" s="1902" t="s">
        <v>2039</v>
      </c>
      <c r="E155" s="1903" t="s">
        <v>552</v>
      </c>
      <c r="F155" s="1904">
        <v>0.5</v>
      </c>
      <c r="G155" s="1883">
        <f>'16.NC'!$F$18</f>
        <v>218927</v>
      </c>
      <c r="H155" s="1884">
        <f>G155*F155</f>
        <v>109463.5</v>
      </c>
      <c r="I155" s="850"/>
      <c r="J155" s="850"/>
      <c r="K155" s="850"/>
    </row>
    <row r="156" spans="2:11" s="658" customFormat="1" ht="15">
      <c r="B156" s="835" t="s">
        <v>415</v>
      </c>
      <c r="C156" s="1472">
        <v>0</v>
      </c>
      <c r="D156" s="1902" t="s">
        <v>2033</v>
      </c>
      <c r="E156" s="1903">
        <v>0</v>
      </c>
      <c r="F156" s="1904">
        <v>0</v>
      </c>
      <c r="G156" s="1883"/>
      <c r="H156" s="1884">
        <f>SUM(H157:H158)</f>
        <v>0</v>
      </c>
      <c r="I156" s="850"/>
      <c r="J156" s="850"/>
      <c r="K156" s="850"/>
    </row>
    <row r="157" spans="2:11" ht="12.75">
      <c r="B157" s="835"/>
      <c r="C157" s="1472"/>
      <c r="D157" s="1467"/>
      <c r="E157" s="835"/>
      <c r="F157" s="1481"/>
      <c r="G157" s="848"/>
      <c r="H157" s="853">
        <f>+F157*G157</f>
        <v>0</v>
      </c>
    </row>
    <row r="158" spans="2:11" ht="12.75">
      <c r="B158" s="835"/>
      <c r="C158" s="1472"/>
      <c r="D158" s="1467"/>
      <c r="E158" s="835"/>
      <c r="F158" s="1481"/>
      <c r="G158" s="848"/>
      <c r="H158" s="853">
        <f>+F158*G158</f>
        <v>0</v>
      </c>
    </row>
    <row r="159" spans="2:11" ht="15">
      <c r="B159" s="835"/>
      <c r="C159" s="1472"/>
      <c r="D159" s="1813" t="s">
        <v>5675</v>
      </c>
      <c r="E159" s="1905">
        <f>$I$5</f>
        <v>0.02</v>
      </c>
      <c r="F159" s="1904"/>
      <c r="G159" s="1883"/>
      <c r="H159" s="1906">
        <f>(H152+H155+H156)*E159</f>
        <v>11189.27</v>
      </c>
    </row>
    <row r="160" spans="2:11" ht="15">
      <c r="B160" s="835"/>
      <c r="C160" s="1472"/>
      <c r="D160" s="1817" t="s">
        <v>5676</v>
      </c>
      <c r="E160" s="1907"/>
      <c r="F160" s="1904"/>
      <c r="G160" s="1883"/>
      <c r="H160" s="1820">
        <f>H159+H159/E159</f>
        <v>570652.77</v>
      </c>
    </row>
    <row r="161" spans="2:11" ht="15">
      <c r="B161" s="835"/>
      <c r="C161" s="1472"/>
      <c r="D161" s="1821" t="s">
        <v>5677</v>
      </c>
      <c r="E161" s="1908">
        <f>$J$5</f>
        <v>5.7750000000000003E-2</v>
      </c>
      <c r="F161" s="1904"/>
      <c r="G161" s="1883"/>
      <c r="H161" s="1822">
        <f>H160*E161</f>
        <v>32955.197467500002</v>
      </c>
    </row>
    <row r="162" spans="2:11" ht="15">
      <c r="B162" s="835"/>
      <c r="C162" s="1472"/>
      <c r="D162" s="1821" t="s">
        <v>5678</v>
      </c>
      <c r="E162" s="1905">
        <f>$K$5</f>
        <v>0.06</v>
      </c>
      <c r="F162" s="1904"/>
      <c r="G162" s="1883"/>
      <c r="H162" s="1822">
        <f>SUM(H160:H161)*E162</f>
        <v>36216.478048049998</v>
      </c>
    </row>
    <row r="163" spans="2:11" ht="15">
      <c r="B163" s="835"/>
      <c r="C163" s="1472"/>
      <c r="D163" s="1817" t="s">
        <v>5679</v>
      </c>
      <c r="E163" s="1907"/>
      <c r="F163" s="1904"/>
      <c r="G163" s="1883"/>
      <c r="H163" s="1820">
        <f>SUM(H160:H162)</f>
        <v>639824.44551554997</v>
      </c>
    </row>
    <row r="164" spans="2:11" ht="15">
      <c r="B164" s="835"/>
      <c r="C164" s="1472"/>
      <c r="D164" s="1821" t="s">
        <v>5680</v>
      </c>
      <c r="E164" s="1905">
        <f>$L$5</f>
        <v>0.1</v>
      </c>
      <c r="F164" s="1904"/>
      <c r="G164" s="1883"/>
      <c r="H164" s="1822">
        <f>H163*E164</f>
        <v>63982.444551555003</v>
      </c>
    </row>
    <row r="165" spans="2:11" ht="15">
      <c r="B165" s="835"/>
      <c r="C165" s="1472"/>
      <c r="D165" s="1817" t="s">
        <v>5681</v>
      </c>
      <c r="E165" s="1907"/>
      <c r="F165" s="1904"/>
      <c r="G165" s="1883"/>
      <c r="H165" s="1820">
        <f>SUM(H163:H164)</f>
        <v>703806.89006710495</v>
      </c>
    </row>
    <row r="166" spans="2:11" ht="12.75">
      <c r="B166" s="835"/>
      <c r="C166" s="1472"/>
      <c r="D166" s="1475" t="s">
        <v>5682</v>
      </c>
      <c r="E166" s="1531">
        <f>$M$5</f>
        <v>0.01</v>
      </c>
      <c r="F166" s="1481"/>
      <c r="G166" s="848"/>
      <c r="H166" s="1476">
        <f>H165*E166</f>
        <v>7038.06890067105</v>
      </c>
    </row>
    <row r="167" spans="2:11" ht="15">
      <c r="B167" s="1470"/>
      <c r="C167" s="1473"/>
      <c r="D167" s="1888" t="s">
        <v>5683</v>
      </c>
      <c r="E167" s="1909"/>
      <c r="F167" s="1889"/>
      <c r="G167" s="1890"/>
      <c r="H167" s="1891">
        <f>ROUND(H165+H166,-2)</f>
        <v>710800</v>
      </c>
    </row>
    <row r="168" spans="2:11" s="872" customFormat="1" ht="14.25">
      <c r="B168" s="838">
        <v>11</v>
      </c>
      <c r="C168" s="1910" t="s">
        <v>694</v>
      </c>
      <c r="D168" s="1911" t="s">
        <v>5838</v>
      </c>
      <c r="E168" s="1912" t="s">
        <v>307</v>
      </c>
      <c r="F168" s="1913">
        <v>0</v>
      </c>
      <c r="G168" s="1914"/>
      <c r="H168" s="1915"/>
      <c r="I168" s="842">
        <f>+H169</f>
        <v>450000</v>
      </c>
      <c r="J168" s="842">
        <f>+H172</f>
        <v>109463.5</v>
      </c>
      <c r="K168" s="842">
        <f>+H173</f>
        <v>0</v>
      </c>
    </row>
    <row r="169" spans="2:11" s="658" customFormat="1" ht="15">
      <c r="B169" s="835" t="s">
        <v>415</v>
      </c>
      <c r="C169" s="1472">
        <v>0</v>
      </c>
      <c r="D169" s="1902" t="s">
        <v>2032</v>
      </c>
      <c r="E169" s="1903">
        <v>0</v>
      </c>
      <c r="F169" s="1904">
        <v>0</v>
      </c>
      <c r="G169" s="1883"/>
      <c r="H169" s="1884">
        <f>SUM(H170:H171)</f>
        <v>450000</v>
      </c>
      <c r="I169" s="850"/>
      <c r="J169" s="850"/>
      <c r="K169" s="850"/>
    </row>
    <row r="170" spans="2:11" ht="15">
      <c r="B170" s="835" t="s">
        <v>415</v>
      </c>
      <c r="C170" s="1472"/>
      <c r="D170" s="1902" t="s">
        <v>5837</v>
      </c>
      <c r="E170" s="1903" t="s">
        <v>567</v>
      </c>
      <c r="F170" s="1904">
        <v>1</v>
      </c>
      <c r="G170" s="1883">
        <f>GVL!$I$23</f>
        <v>450000</v>
      </c>
      <c r="H170" s="1792">
        <f>+F170*G170</f>
        <v>450000</v>
      </c>
    </row>
    <row r="171" spans="2:11" ht="12.75">
      <c r="B171" s="835" t="s">
        <v>415</v>
      </c>
      <c r="C171" s="1472"/>
      <c r="D171" s="1467"/>
      <c r="E171" s="835"/>
      <c r="F171" s="1481"/>
      <c r="G171" s="848"/>
      <c r="H171" s="853">
        <f>+F171*G171</f>
        <v>0</v>
      </c>
    </row>
    <row r="172" spans="2:11" s="658" customFormat="1" ht="15">
      <c r="B172" s="835" t="s">
        <v>415</v>
      </c>
      <c r="C172" s="1472">
        <v>0</v>
      </c>
      <c r="D172" s="1902" t="s">
        <v>2039</v>
      </c>
      <c r="E172" s="1903" t="s">
        <v>552</v>
      </c>
      <c r="F172" s="1904">
        <v>0.5</v>
      </c>
      <c r="G172" s="1883">
        <f>'16.NC'!$F$18</f>
        <v>218927</v>
      </c>
      <c r="H172" s="1884">
        <f>G172*F172</f>
        <v>109463.5</v>
      </c>
      <c r="I172" s="850"/>
      <c r="J172" s="850"/>
      <c r="K172" s="850"/>
    </row>
    <row r="173" spans="2:11" s="658" customFormat="1" ht="15">
      <c r="B173" s="835" t="s">
        <v>415</v>
      </c>
      <c r="C173" s="1472">
        <v>0</v>
      </c>
      <c r="D173" s="1902" t="s">
        <v>2033</v>
      </c>
      <c r="E173" s="1903">
        <v>0</v>
      </c>
      <c r="F173" s="1904">
        <v>0</v>
      </c>
      <c r="G173" s="1883"/>
      <c r="H173" s="1884">
        <f>SUM(H174:H175)</f>
        <v>0</v>
      </c>
      <c r="I173" s="850"/>
      <c r="J173" s="850"/>
      <c r="K173" s="850"/>
    </row>
    <row r="174" spans="2:11" ht="12.75">
      <c r="B174" s="835"/>
      <c r="C174" s="1472"/>
      <c r="D174" s="1467"/>
      <c r="E174" s="835"/>
      <c r="F174" s="1481"/>
      <c r="G174" s="848"/>
      <c r="H174" s="853">
        <f>+F174*G174</f>
        <v>0</v>
      </c>
    </row>
    <row r="175" spans="2:11" ht="12.75">
      <c r="B175" s="835"/>
      <c r="C175" s="1472"/>
      <c r="D175" s="1467"/>
      <c r="E175" s="835"/>
      <c r="F175" s="1481"/>
      <c r="G175" s="848"/>
      <c r="H175" s="853">
        <f>+F175*G175</f>
        <v>0</v>
      </c>
    </row>
    <row r="176" spans="2:11" ht="15">
      <c r="B176" s="835"/>
      <c r="C176" s="1472"/>
      <c r="D176" s="1813" t="s">
        <v>5675</v>
      </c>
      <c r="E176" s="1905">
        <f>$I$5</f>
        <v>0.02</v>
      </c>
      <c r="F176" s="1904"/>
      <c r="G176" s="1883"/>
      <c r="H176" s="1906">
        <f>(H169+H172+H173)*E176</f>
        <v>11189.27</v>
      </c>
    </row>
    <row r="177" spans="2:8" ht="15">
      <c r="B177" s="835"/>
      <c r="C177" s="1472"/>
      <c r="D177" s="1817" t="s">
        <v>5676</v>
      </c>
      <c r="E177" s="1907"/>
      <c r="F177" s="1904"/>
      <c r="G177" s="1883"/>
      <c r="H177" s="1820">
        <f>H176+H176/E176</f>
        <v>570652.77</v>
      </c>
    </row>
    <row r="178" spans="2:8" ht="15">
      <c r="B178" s="835"/>
      <c r="C178" s="1472"/>
      <c r="D178" s="1821" t="s">
        <v>5677</v>
      </c>
      <c r="E178" s="1908">
        <f>$J$5</f>
        <v>5.7750000000000003E-2</v>
      </c>
      <c r="F178" s="1904"/>
      <c r="G178" s="1883"/>
      <c r="H178" s="1822">
        <f>H177*E178</f>
        <v>32955.197467500002</v>
      </c>
    </row>
    <row r="179" spans="2:8" ht="15">
      <c r="B179" s="835"/>
      <c r="C179" s="1472"/>
      <c r="D179" s="1821" t="s">
        <v>5678</v>
      </c>
      <c r="E179" s="1905">
        <f>$K$5</f>
        <v>0.06</v>
      </c>
      <c r="F179" s="1904"/>
      <c r="G179" s="1883"/>
      <c r="H179" s="1822">
        <f>SUM(H177:H178)*E179</f>
        <v>36216.478048049998</v>
      </c>
    </row>
    <row r="180" spans="2:8" ht="15">
      <c r="B180" s="835"/>
      <c r="C180" s="1472"/>
      <c r="D180" s="1817" t="s">
        <v>5679</v>
      </c>
      <c r="E180" s="1907"/>
      <c r="F180" s="1904"/>
      <c r="G180" s="1883"/>
      <c r="H180" s="1820">
        <f>SUM(H177:H179)</f>
        <v>639824.44551554997</v>
      </c>
    </row>
    <row r="181" spans="2:8" ht="15">
      <c r="B181" s="835"/>
      <c r="C181" s="1472"/>
      <c r="D181" s="1821" t="s">
        <v>5680</v>
      </c>
      <c r="E181" s="1905">
        <f>$L$5</f>
        <v>0.1</v>
      </c>
      <c r="F181" s="1904"/>
      <c r="G181" s="1883"/>
      <c r="H181" s="1822">
        <f>H180*E181</f>
        <v>63982.444551555003</v>
      </c>
    </row>
    <row r="182" spans="2:8" ht="15">
      <c r="B182" s="835"/>
      <c r="C182" s="1472"/>
      <c r="D182" s="1817" t="s">
        <v>5681</v>
      </c>
      <c r="E182" s="1907"/>
      <c r="F182" s="1904"/>
      <c r="G182" s="1883"/>
      <c r="H182" s="1820">
        <f>SUM(H180:H181)</f>
        <v>703806.89006710495</v>
      </c>
    </row>
    <row r="183" spans="2:8" ht="12.75">
      <c r="B183" s="835"/>
      <c r="C183" s="1472"/>
      <c r="D183" s="1475" t="s">
        <v>5682</v>
      </c>
      <c r="E183" s="1531">
        <f>$M$5</f>
        <v>0.01</v>
      </c>
      <c r="F183" s="1481"/>
      <c r="G183" s="848"/>
      <c r="H183" s="1476">
        <f>H182*E183</f>
        <v>7038.06890067105</v>
      </c>
    </row>
    <row r="184" spans="2:8" ht="15">
      <c r="B184" s="1470"/>
      <c r="C184" s="1473"/>
      <c r="D184" s="1888" t="s">
        <v>5683</v>
      </c>
      <c r="E184" s="1909"/>
      <c r="F184" s="1889"/>
      <c r="G184" s="1890"/>
      <c r="H184" s="1891">
        <f>ROUND(H182+H183,-2)</f>
        <v>710800</v>
      </c>
    </row>
  </sheetData>
  <autoFilter ref="B6:H184"/>
  <pageMargins left="0.8" right="0.2" top="0.38" bottom="0.37" header="0" footer="0.17"/>
  <pageSetup paperSize="9" scale="92" firstPageNumber="30" orientation="portrait" blackAndWhite="1" r:id="rId1"/>
  <headerFooter>
    <oddFooter>&amp;R&amp;9&amp;P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208"/>
  <sheetViews>
    <sheetView showZeros="0" view="pageBreakPreview" topLeftCell="A186" zoomScale="115" zoomScaleNormal="100" zoomScaleSheetLayoutView="115" workbookViewId="0">
      <selection activeCell="I199" sqref="I199"/>
    </sheetView>
  </sheetViews>
  <sheetFormatPr defaultRowHeight="19.5" customHeight="1" outlineLevelCol="1"/>
  <cols>
    <col min="1" max="1" width="5.28515625" style="976" customWidth="1"/>
    <col min="2" max="2" width="44.7109375" style="195" bestFit="1" customWidth="1"/>
    <col min="3" max="3" width="36.42578125" style="195" hidden="1" customWidth="1" outlineLevel="1"/>
    <col min="4" max="4" width="10.85546875" style="706" customWidth="1" collapsed="1"/>
    <col min="5" max="5" width="15.28515625" style="193" customWidth="1"/>
    <col min="6" max="6" width="13.7109375" style="193" customWidth="1"/>
    <col min="7" max="7" width="14.85546875" style="193" customWidth="1"/>
    <col min="8" max="8" width="17.42578125" style="193" customWidth="1"/>
    <col min="9" max="9" width="17.7109375" style="193" customWidth="1"/>
    <col min="10" max="16384" width="9.140625" style="87"/>
  </cols>
  <sheetData>
    <row r="1" spans="1:9" ht="24" hidden="1" customHeight="1">
      <c r="A1" s="723" t="e">
        <f>'10.PLV'!#REF!</f>
        <v>#REF!</v>
      </c>
      <c r="B1" s="724"/>
      <c r="C1" s="724"/>
      <c r="D1" s="725"/>
      <c r="E1" s="725"/>
      <c r="F1" s="726"/>
      <c r="G1" s="726"/>
      <c r="H1" s="726"/>
      <c r="I1" s="725"/>
    </row>
    <row r="2" spans="1:9" ht="24.75" customHeight="1">
      <c r="A2" s="728" t="s">
        <v>655</v>
      </c>
      <c r="B2" s="724"/>
      <c r="C2" s="724"/>
      <c r="D2" s="725"/>
      <c r="E2" s="725"/>
      <c r="F2" s="726"/>
      <c r="G2" s="726"/>
      <c r="H2" s="726"/>
      <c r="I2" s="725"/>
    </row>
    <row r="3" spans="1:9" ht="20.100000000000001" customHeight="1">
      <c r="A3" s="1733" t="str">
        <f>'10.PLV'!A2</f>
        <v>DỰ ÁN ĐẦU TƯ XÂY DỰNG CẦU LONG BÌNH – CHREY THOM</v>
      </c>
      <c r="B3" s="724"/>
      <c r="C3" s="724"/>
      <c r="D3" s="725"/>
      <c r="E3" s="725"/>
      <c r="F3" s="726"/>
      <c r="G3" s="726"/>
      <c r="H3" s="726"/>
      <c r="I3" s="725"/>
    </row>
    <row r="4" spans="1:9" ht="20.100000000000001" customHeight="1">
      <c r="A4" s="1972" t="str">
        <f>'10.PLV'!A3</f>
        <v>HẠNG MỤC: PHẦN CẦU, PHẦN TUYẾN, CHIẾU SÁNG (PHÍA BỜ VIỆT NAM)</v>
      </c>
      <c r="B4" s="724"/>
      <c r="C4" s="724"/>
      <c r="D4" s="725"/>
      <c r="E4" s="725"/>
      <c r="F4" s="726"/>
      <c r="G4" s="726"/>
      <c r="H4" s="726"/>
      <c r="I4" s="725"/>
    </row>
    <row r="5" spans="1:9" ht="9.9499999999999993" customHeight="1">
      <c r="A5" s="975"/>
      <c r="B5" s="729"/>
      <c r="C5" s="729"/>
      <c r="D5" s="700"/>
      <c r="E5" s="657"/>
      <c r="F5" s="730"/>
      <c r="G5" s="726"/>
      <c r="H5" s="726"/>
      <c r="I5" s="657"/>
    </row>
    <row r="6" spans="1:9" s="659" customFormat="1" ht="16.5" customHeight="1">
      <c r="A6" s="1721" t="s">
        <v>529</v>
      </c>
      <c r="B6" s="1722" t="s">
        <v>200</v>
      </c>
      <c r="C6" s="1722" t="s">
        <v>4916</v>
      </c>
      <c r="D6" s="1722" t="s">
        <v>282</v>
      </c>
      <c r="E6" s="1722" t="s">
        <v>1995</v>
      </c>
      <c r="F6" s="1723" t="s">
        <v>1996</v>
      </c>
      <c r="G6" s="1723" t="s">
        <v>1997</v>
      </c>
      <c r="H6" s="1723" t="s">
        <v>455</v>
      </c>
      <c r="I6" s="1722" t="s">
        <v>5870</v>
      </c>
    </row>
    <row r="7" spans="1:9" s="659" customFormat="1" ht="29.25" hidden="1" customHeight="1">
      <c r="A7" s="1724" t="s">
        <v>5009</v>
      </c>
      <c r="B7" s="1725" t="s">
        <v>5041</v>
      </c>
      <c r="C7" s="1726"/>
      <c r="D7" s="1727" t="s">
        <v>5002</v>
      </c>
      <c r="E7" s="1728" t="s">
        <v>5042</v>
      </c>
      <c r="F7" s="1728" t="s">
        <v>5043</v>
      </c>
      <c r="G7" s="1728" t="s">
        <v>4977</v>
      </c>
      <c r="H7" s="1728" t="s">
        <v>5044</v>
      </c>
      <c r="I7" s="1729" t="s">
        <v>5045</v>
      </c>
    </row>
    <row r="8" spans="1:9" ht="15" customHeight="1">
      <c r="A8" s="1730">
        <v>1</v>
      </c>
      <c r="B8" s="1731" t="s">
        <v>403</v>
      </c>
      <c r="C8" s="1731" t="str">
        <f>VLOOKUP(B8,DICH!B:C,2,FALSE)</f>
        <v>Acetylene</v>
      </c>
      <c r="D8" s="1632" t="s">
        <v>565</v>
      </c>
      <c r="E8" s="149"/>
      <c r="F8" s="149"/>
      <c r="G8" s="149">
        <v>48000</v>
      </c>
      <c r="H8" s="149"/>
      <c r="I8" s="1980">
        <v>200000</v>
      </c>
    </row>
    <row r="9" spans="1:9" ht="15" customHeight="1">
      <c r="A9" s="806">
        <v>2</v>
      </c>
      <c r="B9" s="245" t="s">
        <v>513</v>
      </c>
      <c r="C9" s="245" t="str">
        <f>VLOOKUP(B9,DICH!B:C,2,FALSE)</f>
        <v>Steel plate 180x180x45</v>
      </c>
      <c r="D9" s="240" t="s">
        <v>558</v>
      </c>
      <c r="E9" s="166"/>
      <c r="F9" s="166"/>
      <c r="G9" s="166"/>
      <c r="H9" s="166"/>
      <c r="I9" s="166">
        <f>I170</f>
        <v>16703.248369172808</v>
      </c>
    </row>
    <row r="10" spans="1:9" ht="15" customHeight="1">
      <c r="A10" s="806">
        <v>3</v>
      </c>
      <c r="B10" s="245" t="s">
        <v>682</v>
      </c>
      <c r="C10" s="245" t="str">
        <f>VLOOKUP(B10,DICH!B:C,2,FALSE)</f>
        <v>Bag</v>
      </c>
      <c r="D10" s="240" t="s">
        <v>567</v>
      </c>
      <c r="E10" s="166"/>
      <c r="F10" s="166">
        <v>10000</v>
      </c>
      <c r="G10" s="166"/>
      <c r="H10" s="166"/>
      <c r="I10" s="166">
        <v>5000</v>
      </c>
    </row>
    <row r="11" spans="1:9" ht="15" customHeight="1">
      <c r="A11" s="806">
        <v>4</v>
      </c>
      <c r="B11" s="245" t="s">
        <v>604</v>
      </c>
      <c r="C11" s="245" t="str">
        <f>VLOOKUP(B11,DICH!B:C,2,FALSE)</f>
        <v>Bentonite</v>
      </c>
      <c r="D11" s="240" t="s">
        <v>558</v>
      </c>
      <c r="E11" s="166"/>
      <c r="F11" s="166">
        <f>3200000/1000/1.1</f>
        <v>2909.090909090909</v>
      </c>
      <c r="G11" s="166"/>
      <c r="H11" s="166"/>
      <c r="I11" s="166">
        <v>3300</v>
      </c>
    </row>
    <row r="12" spans="1:9" ht="15" customHeight="1">
      <c r="A12" s="806">
        <v>5</v>
      </c>
      <c r="B12" s="662" t="s">
        <v>3955</v>
      </c>
      <c r="C12" s="245" t="str">
        <f>VLOOKUP(B12,DICH!B:C,2,FALSE)</f>
        <v>Rectangular traffic sign 0.7x0.3m</v>
      </c>
      <c r="D12" s="240" t="s">
        <v>307</v>
      </c>
      <c r="E12" s="166"/>
      <c r="F12" s="166">
        <f>1000000*0.7*0.3</f>
        <v>210000</v>
      </c>
      <c r="G12" s="166"/>
      <c r="H12" s="166"/>
      <c r="I12" s="166">
        <f t="shared" ref="I12:I35" si="0">SUM(E12:H12)</f>
        <v>210000</v>
      </c>
    </row>
    <row r="13" spans="1:9" ht="15" customHeight="1">
      <c r="A13" s="806">
        <v>6</v>
      </c>
      <c r="B13" s="662" t="s">
        <v>3953</v>
      </c>
      <c r="C13" s="245" t="str">
        <f>VLOOKUP(B13,DICH!B:C,2,FALSE)</f>
        <v>Rectangular traffic sign 0.9x0.45m</v>
      </c>
      <c r="D13" s="240" t="s">
        <v>307</v>
      </c>
      <c r="E13" s="166"/>
      <c r="F13" s="166">
        <f>1000000*0.9*0.45</f>
        <v>405000</v>
      </c>
      <c r="G13" s="166"/>
      <c r="H13" s="166"/>
      <c r="I13" s="166">
        <f t="shared" si="0"/>
        <v>405000</v>
      </c>
    </row>
    <row r="14" spans="1:9" ht="15" customHeight="1">
      <c r="A14" s="806">
        <v>7</v>
      </c>
      <c r="B14" s="852" t="s">
        <v>3567</v>
      </c>
      <c r="C14" s="245" t="str">
        <f>VLOOKUP(B14,DICH!B:C,2,FALSE)</f>
        <v>Rectangular traffic sign 1.2x0.25m</v>
      </c>
      <c r="D14" s="240" t="s">
        <v>307</v>
      </c>
      <c r="E14" s="166"/>
      <c r="F14" s="166">
        <f>1000000*1.2*0.25</f>
        <v>300000</v>
      </c>
      <c r="G14" s="166"/>
      <c r="H14" s="166"/>
      <c r="I14" s="166">
        <f t="shared" si="0"/>
        <v>300000</v>
      </c>
    </row>
    <row r="15" spans="1:9" ht="15" customHeight="1">
      <c r="A15" s="806">
        <v>8</v>
      </c>
      <c r="B15" s="662" t="s">
        <v>3952</v>
      </c>
      <c r="C15" s="245" t="str">
        <f>VLOOKUP(B15,DICH!B:C,2,FALSE)</f>
        <v>Rectangular traffic sign 1.6x1.0m</v>
      </c>
      <c r="D15" s="240" t="s">
        <v>307</v>
      </c>
      <c r="E15" s="166"/>
      <c r="F15" s="166">
        <f>1000000*1.6*1</f>
        <v>1600000</v>
      </c>
      <c r="G15" s="166"/>
      <c r="H15" s="166"/>
      <c r="I15" s="166">
        <f t="shared" si="0"/>
        <v>1600000</v>
      </c>
    </row>
    <row r="16" spans="1:9" ht="15" customHeight="1">
      <c r="A16" s="806">
        <v>9</v>
      </c>
      <c r="B16" s="662" t="s">
        <v>2050</v>
      </c>
      <c r="C16" s="245" t="str">
        <f>VLOOKUP(B16,DICH!B:C,2,FALSE)</f>
        <v>Rectangular traffic sign 2.4x1.5m</v>
      </c>
      <c r="D16" s="240" t="s">
        <v>307</v>
      </c>
      <c r="E16" s="166"/>
      <c r="F16" s="166">
        <f>1000000*2.4*1.5</f>
        <v>3600000</v>
      </c>
      <c r="G16" s="166"/>
      <c r="H16" s="166"/>
      <c r="I16" s="166">
        <f t="shared" si="0"/>
        <v>3600000</v>
      </c>
    </row>
    <row r="17" spans="1:9" ht="15" customHeight="1">
      <c r="A17" s="806">
        <v>10</v>
      </c>
      <c r="B17" s="852" t="s">
        <v>3566</v>
      </c>
      <c r="C17" s="245" t="str">
        <f>VLOOKUP(B17,DICH!B:C,2,FALSE)</f>
        <v>Rectangular traffic sign 2x1m</v>
      </c>
      <c r="D17" s="240" t="s">
        <v>307</v>
      </c>
      <c r="E17" s="166"/>
      <c r="F17" s="166">
        <f>1000000*2*1</f>
        <v>2000000</v>
      </c>
      <c r="G17" s="166"/>
      <c r="H17" s="166"/>
      <c r="I17" s="166">
        <f t="shared" si="0"/>
        <v>2000000</v>
      </c>
    </row>
    <row r="18" spans="1:9" ht="15" customHeight="1">
      <c r="A18" s="806">
        <v>11</v>
      </c>
      <c r="B18" s="662" t="s">
        <v>3954</v>
      </c>
      <c r="C18" s="245" t="str">
        <f>VLOOKUP(B18,DICH!B:C,2,FALSE)</f>
        <v>Square traffic sign 0.6x0.6m</v>
      </c>
      <c r="D18" s="240" t="s">
        <v>307</v>
      </c>
      <c r="E18" s="166"/>
      <c r="F18" s="166">
        <f>1000000*0.6*0.6</f>
        <v>360000</v>
      </c>
      <c r="G18" s="166"/>
      <c r="H18" s="166"/>
      <c r="I18" s="166">
        <f t="shared" si="0"/>
        <v>360000</v>
      </c>
    </row>
    <row r="19" spans="1:9" ht="15" customHeight="1">
      <c r="A19" s="806">
        <v>12</v>
      </c>
      <c r="B19" s="662" t="s">
        <v>3956</v>
      </c>
      <c r="C19" s="245" t="str">
        <f>VLOOKUP(B19,DICH!B:C,2,FALSE)</f>
        <v>Triangle traffic sign 0.7m</v>
      </c>
      <c r="D19" s="240" t="s">
        <v>307</v>
      </c>
      <c r="E19" s="166"/>
      <c r="F19" s="166">
        <v>253000</v>
      </c>
      <c r="G19" s="166"/>
      <c r="H19" s="166"/>
      <c r="I19" s="166">
        <f t="shared" si="0"/>
        <v>253000</v>
      </c>
    </row>
    <row r="20" spans="1:9" ht="15" customHeight="1">
      <c r="A20" s="806">
        <v>13</v>
      </c>
      <c r="B20" s="662" t="s">
        <v>2027</v>
      </c>
      <c r="C20" s="245" t="str">
        <f>VLOOKUP(B20,DICH!B:C,2,FALSE)</f>
        <v>Triangle traffic sign 0.87m</v>
      </c>
      <c r="D20" s="240" t="s">
        <v>307</v>
      </c>
      <c r="E20" s="166"/>
      <c r="F20" s="166">
        <f>380000</f>
        <v>380000</v>
      </c>
      <c r="G20" s="166"/>
      <c r="H20" s="166"/>
      <c r="I20" s="166">
        <f t="shared" si="0"/>
        <v>380000</v>
      </c>
    </row>
    <row r="21" spans="1:9" ht="15" customHeight="1">
      <c r="A21" s="806">
        <v>14</v>
      </c>
      <c r="B21" s="662" t="s">
        <v>3957</v>
      </c>
      <c r="C21" s="245" t="str">
        <f>VLOOKUP(B21,DICH!B:C,2,FALSE)</f>
        <v>Circlar traffic sign 0.7m</v>
      </c>
      <c r="D21" s="240" t="s">
        <v>307</v>
      </c>
      <c r="E21" s="166"/>
      <c r="F21" s="166">
        <v>396000</v>
      </c>
      <c r="G21" s="166"/>
      <c r="H21" s="166"/>
      <c r="I21" s="166">
        <f t="shared" si="0"/>
        <v>396000</v>
      </c>
    </row>
    <row r="22" spans="1:9" ht="15" customHeight="1">
      <c r="A22" s="806">
        <v>15</v>
      </c>
      <c r="B22" s="662" t="s">
        <v>2103</v>
      </c>
      <c r="C22" s="245" t="str">
        <f>VLOOKUP(B22,DICH!B:C,2,FALSE)</f>
        <v>Circlar traffic sign 0.87m</v>
      </c>
      <c r="D22" s="240" t="s">
        <v>307</v>
      </c>
      <c r="E22" s="166"/>
      <c r="F22" s="166">
        <v>590000</v>
      </c>
      <c r="G22" s="166"/>
      <c r="H22" s="166"/>
      <c r="I22" s="166">
        <f t="shared" si="0"/>
        <v>590000</v>
      </c>
    </row>
    <row r="23" spans="1:9" ht="15" customHeight="1">
      <c r="A23" s="806">
        <v>16</v>
      </c>
      <c r="B23" s="245" t="s">
        <v>5837</v>
      </c>
      <c r="C23" s="245" t="e">
        <f>VLOOKUP(B23,DICH!B:C,2,FALSE)</f>
        <v>#N/A</v>
      </c>
      <c r="D23" s="240" t="s">
        <v>14</v>
      </c>
      <c r="E23" s="166"/>
      <c r="F23" s="166">
        <v>450000</v>
      </c>
      <c r="G23" s="166"/>
      <c r="H23" s="166"/>
      <c r="I23" s="166">
        <f t="shared" ref="I23" si="1">SUM(E23:H23)</f>
        <v>450000</v>
      </c>
    </row>
    <row r="24" spans="1:9" ht="15" customHeight="1">
      <c r="A24" s="806">
        <v>17</v>
      </c>
      <c r="B24" s="245" t="s">
        <v>592</v>
      </c>
      <c r="C24" s="245" t="str">
        <f>VLOOKUP(B24,DICH!B:C,2,FALSE)</f>
        <v>Stone powder</v>
      </c>
      <c r="D24" s="240" t="s">
        <v>558</v>
      </c>
      <c r="E24" s="166"/>
      <c r="F24" s="166">
        <v>1000</v>
      </c>
      <c r="G24" s="166"/>
      <c r="H24" s="166"/>
      <c r="I24" s="1979">
        <v>500</v>
      </c>
    </row>
    <row r="25" spans="1:9" ht="15" customHeight="1">
      <c r="A25" s="806">
        <v>18</v>
      </c>
      <c r="B25" s="662" t="s">
        <v>2069</v>
      </c>
      <c r="C25" s="245" t="str">
        <f>VLOOKUP(B25,DICH!B:C,2,FALSE)</f>
        <v>Bbolt D16mmm</v>
      </c>
      <c r="D25" s="240" t="s">
        <v>307</v>
      </c>
      <c r="E25" s="166"/>
      <c r="F25" s="166">
        <f>F27</f>
        <v>3500</v>
      </c>
      <c r="G25" s="166"/>
      <c r="H25" s="166"/>
      <c r="I25" s="166">
        <f t="shared" si="0"/>
        <v>3500</v>
      </c>
    </row>
    <row r="26" spans="1:9" ht="15" customHeight="1">
      <c r="A26" s="806">
        <v>19</v>
      </c>
      <c r="B26" s="245" t="s">
        <v>597</v>
      </c>
      <c r="C26" s="245" t="str">
        <f>VLOOKUP(B26,DICH!B:C,2,FALSE)</f>
        <v>Bbolt M14</v>
      </c>
      <c r="D26" s="240" t="s">
        <v>307</v>
      </c>
      <c r="E26" s="166"/>
      <c r="F26" s="166">
        <v>3000</v>
      </c>
      <c r="G26" s="166"/>
      <c r="H26" s="166"/>
      <c r="I26" s="166">
        <f t="shared" si="0"/>
        <v>3000</v>
      </c>
    </row>
    <row r="27" spans="1:9" ht="15" customHeight="1">
      <c r="A27" s="806">
        <v>20</v>
      </c>
      <c r="B27" s="245" t="s">
        <v>608</v>
      </c>
      <c r="C27" s="245" t="str">
        <f>VLOOKUP(B27,DICH!B:C,2,FALSE)</f>
        <v>Bbolt M16</v>
      </c>
      <c r="D27" s="240" t="s">
        <v>307</v>
      </c>
      <c r="E27" s="166"/>
      <c r="F27" s="166">
        <v>3500</v>
      </c>
      <c r="G27" s="166"/>
      <c r="H27" s="166"/>
      <c r="I27" s="166">
        <f t="shared" si="0"/>
        <v>3500</v>
      </c>
    </row>
    <row r="28" spans="1:9" ht="15" customHeight="1">
      <c r="A28" s="806">
        <v>21</v>
      </c>
      <c r="B28" s="245" t="s">
        <v>623</v>
      </c>
      <c r="C28" s="245" t="str">
        <f>VLOOKUP(B28,DICH!B:C,2,FALSE)</f>
        <v>Bbolt M20</v>
      </c>
      <c r="D28" s="240" t="s">
        <v>307</v>
      </c>
      <c r="E28" s="166"/>
      <c r="F28" s="166">
        <v>4000</v>
      </c>
      <c r="G28" s="166"/>
      <c r="H28" s="166"/>
      <c r="I28" s="166">
        <v>5000</v>
      </c>
    </row>
    <row r="29" spans="1:9" ht="15" customHeight="1">
      <c r="A29" s="806">
        <v>22</v>
      </c>
      <c r="B29" s="662" t="s">
        <v>3420</v>
      </c>
      <c r="C29" s="245" t="str">
        <f>VLOOKUP(B29,DICH!B:C,2,FALSE)</f>
        <v>Bbolt M24x290</v>
      </c>
      <c r="D29" s="240" t="s">
        <v>307</v>
      </c>
      <c r="E29" s="166"/>
      <c r="F29" s="166">
        <v>10000</v>
      </c>
      <c r="G29" s="166"/>
      <c r="H29" s="166"/>
      <c r="I29" s="166">
        <f t="shared" si="0"/>
        <v>10000</v>
      </c>
    </row>
    <row r="30" spans="1:9" ht="15" customHeight="1">
      <c r="A30" s="806">
        <v>23</v>
      </c>
      <c r="B30" s="662" t="s">
        <v>3421</v>
      </c>
      <c r="C30" s="245" t="str">
        <f>VLOOKUP(B30,DICH!B:C,2,FALSE)</f>
        <v>Bbolt M8x50</v>
      </c>
      <c r="D30" s="240" t="s">
        <v>307</v>
      </c>
      <c r="E30" s="166"/>
      <c r="F30" s="166">
        <v>1200</v>
      </c>
      <c r="G30" s="166"/>
      <c r="H30" s="166"/>
      <c r="I30" s="166">
        <f t="shared" si="0"/>
        <v>1200</v>
      </c>
    </row>
    <row r="31" spans="1:9" ht="15" customHeight="1">
      <c r="A31" s="806">
        <v>24</v>
      </c>
      <c r="B31" s="245" t="s">
        <v>372</v>
      </c>
      <c r="C31" s="245" t="str">
        <f>VLOOKUP(B31,DICH!B:C,2,FALSE)</f>
        <v>Bbolt D22</v>
      </c>
      <c r="D31" s="240" t="s">
        <v>307</v>
      </c>
      <c r="E31" s="166"/>
      <c r="F31" s="166">
        <v>10000</v>
      </c>
      <c r="G31" s="166"/>
      <c r="H31" s="166"/>
      <c r="I31" s="166">
        <f t="shared" si="0"/>
        <v>10000</v>
      </c>
    </row>
    <row r="32" spans="1:9" ht="15" customHeight="1">
      <c r="A32" s="806">
        <v>25</v>
      </c>
      <c r="B32" s="661" t="s">
        <v>3620</v>
      </c>
      <c r="C32" s="245" t="str">
        <f>VLOOKUP(B32,DICH!B:C,2,FALSE)</f>
        <v>Drill rods L=1.5m</v>
      </c>
      <c r="D32" s="702" t="s">
        <v>567</v>
      </c>
      <c r="E32" s="166"/>
      <c r="F32" s="166"/>
      <c r="G32" s="166">
        <v>95000</v>
      </c>
      <c r="H32" s="166"/>
      <c r="I32" s="166">
        <f t="shared" si="0"/>
        <v>95000</v>
      </c>
    </row>
    <row r="33" spans="1:9" ht="15" customHeight="1">
      <c r="A33" s="806">
        <v>26</v>
      </c>
      <c r="B33" s="245" t="s">
        <v>191</v>
      </c>
      <c r="C33" s="245" t="str">
        <f>VLOOKUP(B33,DICH!B:C,2,FALSE)</f>
        <v>Selective aggregate</v>
      </c>
      <c r="D33" s="239" t="s">
        <v>545</v>
      </c>
      <c r="E33" s="166">
        <v>46818</v>
      </c>
      <c r="F33" s="166"/>
      <c r="G33" s="166"/>
      <c r="H33" s="166">
        <f>'13.vanchuyen'!$AI$56</f>
        <v>144322.65112476909</v>
      </c>
      <c r="I33" s="1979">
        <f t="shared" si="0"/>
        <v>191140.65112476909</v>
      </c>
    </row>
    <row r="34" spans="1:9" ht="15" customHeight="1">
      <c r="A34" s="806">
        <v>27</v>
      </c>
      <c r="B34" s="245" t="s">
        <v>5612</v>
      </c>
      <c r="C34" s="1418" t="str">
        <f>VLOOKUP(B34,DICH!B:C,2,FALSE)</f>
        <v>Stone aggregate 0x4 type 1</v>
      </c>
      <c r="D34" s="240" t="s">
        <v>545</v>
      </c>
      <c r="E34" s="1002">
        <f>'Cong bo gia'!$D$21</f>
        <v>137000</v>
      </c>
      <c r="F34" s="166"/>
      <c r="G34" s="166"/>
      <c r="H34" s="1002">
        <f>$H$58</f>
        <v>162185.41224953817</v>
      </c>
      <c r="I34" s="166">
        <f t="shared" si="0"/>
        <v>299185.41224953817</v>
      </c>
    </row>
    <row r="35" spans="1:9" ht="15" customHeight="1">
      <c r="A35" s="806">
        <v>28</v>
      </c>
      <c r="B35" s="245" t="s">
        <v>3571</v>
      </c>
      <c r="C35" s="1418" t="str">
        <f>VLOOKUP(B35,DICH!B:C,2,FALSE)</f>
        <v>Stone aggregate 0x4 type 2</v>
      </c>
      <c r="D35" s="240" t="s">
        <v>545</v>
      </c>
      <c r="E35" s="1002">
        <f>$E$34*0.9</f>
        <v>123300</v>
      </c>
      <c r="F35" s="166"/>
      <c r="G35" s="166"/>
      <c r="H35" s="1002">
        <f>$H$58</f>
        <v>162185.41224953817</v>
      </c>
      <c r="I35" s="166">
        <f t="shared" si="0"/>
        <v>285485.41224953817</v>
      </c>
    </row>
    <row r="36" spans="1:9" ht="15" customHeight="1">
      <c r="A36" s="806">
        <v>29</v>
      </c>
      <c r="B36" s="245" t="s">
        <v>80</v>
      </c>
      <c r="C36" s="245" t="str">
        <f>VLOOKUP(B36,DICH!B:C,2,FALSE)</f>
        <v>Sand asphalt concrete</v>
      </c>
      <c r="D36" s="240" t="s">
        <v>545</v>
      </c>
      <c r="E36" s="166"/>
      <c r="F36" s="166"/>
      <c r="G36" s="166"/>
      <c r="H36" s="166"/>
      <c r="I36" s="166">
        <f>I38</f>
        <v>128096.80157931453</v>
      </c>
    </row>
    <row r="37" spans="1:9" ht="15" customHeight="1">
      <c r="A37" s="806">
        <v>30</v>
      </c>
      <c r="B37" s="245" t="s">
        <v>602</v>
      </c>
      <c r="C37" s="245" t="str">
        <f>VLOOKUP(B37,DICH!B:C,2,FALSE)</f>
        <v>Find sand</v>
      </c>
      <c r="D37" s="240" t="s">
        <v>545</v>
      </c>
      <c r="E37" s="166">
        <f>'Cong bo gia'!$D$58</f>
        <v>12500</v>
      </c>
      <c r="F37" s="166"/>
      <c r="G37" s="166"/>
      <c r="H37" s="166">
        <f>'13.vanchuyen'!$AI$37</f>
        <v>80713.626124769085</v>
      </c>
      <c r="I37" s="166">
        <f t="shared" ref="I37:I42" si="2">SUM(E37:H37)</f>
        <v>93213.626124769085</v>
      </c>
    </row>
    <row r="38" spans="1:9" ht="15" customHeight="1">
      <c r="A38" s="806">
        <v>31</v>
      </c>
      <c r="B38" s="245" t="s">
        <v>214</v>
      </c>
      <c r="C38" s="245" t="str">
        <f>VLOOKUP(B38,DICH!B:C,2,FALSE)</f>
        <v>Sand to pouring concrete</v>
      </c>
      <c r="D38" s="240" t="s">
        <v>545</v>
      </c>
      <c r="E38" s="166">
        <f>$E$39</f>
        <v>25454.545454545452</v>
      </c>
      <c r="F38" s="166"/>
      <c r="G38" s="166"/>
      <c r="H38" s="166">
        <f>$H$39</f>
        <v>102642.25612476908</v>
      </c>
      <c r="I38" s="166">
        <f t="shared" si="2"/>
        <v>128096.80157931453</v>
      </c>
    </row>
    <row r="39" spans="1:9" ht="15" customHeight="1">
      <c r="A39" s="806">
        <v>32</v>
      </c>
      <c r="B39" s="245" t="s">
        <v>588</v>
      </c>
      <c r="C39" s="245" t="str">
        <f>VLOOKUP(B39,DICH!B:C,2,FALSE)</f>
        <v>Medium sand</v>
      </c>
      <c r="D39" s="240" t="s">
        <v>545</v>
      </c>
      <c r="E39" s="166">
        <f>'Cong bo gia'!$D$59</f>
        <v>25454.545454545452</v>
      </c>
      <c r="F39" s="166"/>
      <c r="G39" s="166"/>
      <c r="H39" s="166">
        <f>'13.vanchuyen'!$AI$40</f>
        <v>102642.25612476908</v>
      </c>
      <c r="I39" s="166">
        <f t="shared" si="2"/>
        <v>128096.80157931453</v>
      </c>
    </row>
    <row r="40" spans="1:9" ht="15" customHeight="1">
      <c r="A40" s="806">
        <v>33</v>
      </c>
      <c r="B40" s="245" t="s">
        <v>273</v>
      </c>
      <c r="C40" s="245" t="str">
        <f>VLOOKUP(B40,DICH!B:C,2,FALSE)</f>
        <v>Strut</v>
      </c>
      <c r="D40" s="240" t="s">
        <v>462</v>
      </c>
      <c r="E40" s="166">
        <f>'Cong bo gia'!$E$86</f>
        <v>17000</v>
      </c>
      <c r="F40" s="166"/>
      <c r="G40" s="166"/>
      <c r="H40" s="166"/>
      <c r="I40" s="166">
        <f t="shared" si="2"/>
        <v>17000</v>
      </c>
    </row>
    <row r="41" spans="1:9" ht="15" customHeight="1">
      <c r="A41" s="806">
        <v>34</v>
      </c>
      <c r="B41" s="662" t="s">
        <v>3834</v>
      </c>
      <c r="C41" s="245" t="str">
        <f>VLOOKUP(B41,DICH!B:C,2,FALSE)</f>
        <v>broom</v>
      </c>
      <c r="D41" s="702" t="s">
        <v>567</v>
      </c>
      <c r="E41" s="166"/>
      <c r="F41" s="166">
        <v>15000</v>
      </c>
      <c r="G41" s="166"/>
      <c r="H41" s="166"/>
      <c r="I41" s="1979">
        <f t="shared" si="2"/>
        <v>15000</v>
      </c>
    </row>
    <row r="42" spans="1:9" ht="15" customHeight="1">
      <c r="A42" s="806">
        <v>35</v>
      </c>
      <c r="B42" s="662" t="s">
        <v>146</v>
      </c>
      <c r="C42" s="245" t="str">
        <f>VLOOKUP(B42,DICH!B:C,2,FALSE)</f>
        <v>Plastic cup</v>
      </c>
      <c r="D42" s="702" t="s">
        <v>14</v>
      </c>
      <c r="E42" s="166"/>
      <c r="F42" s="166"/>
      <c r="G42" s="166">
        <v>1000</v>
      </c>
      <c r="H42" s="166"/>
      <c r="I42" s="166">
        <f t="shared" si="2"/>
        <v>1000</v>
      </c>
    </row>
    <row r="43" spans="1:9" ht="15" customHeight="1">
      <c r="A43" s="806">
        <v>36</v>
      </c>
      <c r="B43" s="662" t="s">
        <v>145</v>
      </c>
      <c r="C43" s="245" t="str">
        <f>VLOOKUP(B43,DICH!B:C,2,FALSE)</f>
        <v xml:space="preserve"> plastic cudgel </v>
      </c>
      <c r="D43" s="702" t="s">
        <v>14</v>
      </c>
      <c r="E43" s="166"/>
      <c r="F43" s="166"/>
      <c r="G43" s="166">
        <v>500</v>
      </c>
      <c r="H43" s="166"/>
      <c r="I43" s="166">
        <v>1000</v>
      </c>
    </row>
    <row r="44" spans="1:9" ht="15" customHeight="1">
      <c r="A44" s="806">
        <v>37</v>
      </c>
      <c r="B44" s="245" t="s">
        <v>5600</v>
      </c>
      <c r="C44" s="245" t="str">
        <f>VLOOKUP(B44,DICH!B:C,2,FALSE)</f>
        <v>Shaped steel H250x250</v>
      </c>
      <c r="D44" s="240" t="s">
        <v>543</v>
      </c>
      <c r="E44" s="166"/>
      <c r="F44" s="166"/>
      <c r="G44" s="166"/>
      <c r="H44" s="166"/>
      <c r="I44" s="166">
        <f>I170*74.2</f>
        <v>1239381.0289926224</v>
      </c>
    </row>
    <row r="45" spans="1:9" ht="15" customHeight="1">
      <c r="A45" s="806">
        <v>38</v>
      </c>
      <c r="B45" s="245" t="s">
        <v>463</v>
      </c>
      <c r="C45" s="245" t="str">
        <f>VLOOKUP(B45,DICH!B:C,2,FALSE)</f>
        <v>Wooden pile</v>
      </c>
      <c r="D45" s="240" t="s">
        <v>543</v>
      </c>
      <c r="E45" s="166">
        <f>'Cong bo gia'!$E$86/4.7</f>
        <v>3617.0212765957444</v>
      </c>
      <c r="F45" s="166"/>
      <c r="G45" s="166"/>
      <c r="H45" s="166"/>
      <c r="I45" s="1979">
        <f>SUM(E45:H45)</f>
        <v>3617.0212765957444</v>
      </c>
    </row>
    <row r="46" spans="1:9" ht="15" customHeight="1">
      <c r="A46" s="806">
        <v>39</v>
      </c>
      <c r="B46" s="245" t="s">
        <v>638</v>
      </c>
      <c r="C46" s="245" t="str">
        <f>VLOOKUP(B46,DICH!B:C,2,FALSE)</f>
        <v>Steel sheet stake</v>
      </c>
      <c r="D46" s="240" t="s">
        <v>543</v>
      </c>
      <c r="E46" s="166"/>
      <c r="F46" s="166"/>
      <c r="G46" s="166"/>
      <c r="H46" s="166"/>
      <c r="I46" s="166">
        <v>1270000</v>
      </c>
    </row>
    <row r="47" spans="1:9" ht="15" customHeight="1">
      <c r="A47" s="806">
        <v>40</v>
      </c>
      <c r="B47" s="245" t="s">
        <v>64</v>
      </c>
      <c r="C47" s="245" t="str">
        <f>VLOOKUP(B47,DICH!B:C,2,FALSE)</f>
        <v>Coupler D36</v>
      </c>
      <c r="D47" s="240" t="s">
        <v>307</v>
      </c>
      <c r="E47" s="166"/>
      <c r="F47" s="166">
        <f>'12.ssg'!$K$25</f>
        <v>879000</v>
      </c>
      <c r="G47" s="166"/>
      <c r="H47" s="166"/>
      <c r="I47" s="1979">
        <f t="shared" ref="I47" si="3">SUM(E47:H47)</f>
        <v>879000</v>
      </c>
    </row>
    <row r="48" spans="1:9" ht="15" customHeight="1">
      <c r="A48" s="806">
        <v>41</v>
      </c>
      <c r="B48" s="245" t="s">
        <v>593</v>
      </c>
      <c r="C48" s="245" t="str">
        <f>VLOOKUP(B48,DICH!B:C,2,FALSE)</f>
        <v>Firewood</v>
      </c>
      <c r="D48" s="240" t="s">
        <v>558</v>
      </c>
      <c r="E48" s="166"/>
      <c r="F48" s="166">
        <v>1000</v>
      </c>
      <c r="G48" s="166"/>
      <c r="H48" s="166"/>
      <c r="I48" s="166">
        <v>1200</v>
      </c>
    </row>
    <row r="49" spans="1:10" ht="15" customHeight="1">
      <c r="A49" s="806">
        <v>42</v>
      </c>
      <c r="B49" s="662" t="s">
        <v>498</v>
      </c>
      <c r="C49" s="245" t="str">
        <f>VLOOKUP(B49,DICH!B:C,2,FALSE)</f>
        <v>Cast iron grid</v>
      </c>
      <c r="D49" s="240" t="s">
        <v>558</v>
      </c>
      <c r="E49" s="166"/>
      <c r="F49" s="166">
        <v>29900</v>
      </c>
      <c r="G49" s="166"/>
      <c r="H49" s="166"/>
      <c r="I49" s="1979">
        <v>30000</v>
      </c>
    </row>
    <row r="50" spans="1:10" ht="15" customHeight="1">
      <c r="A50" s="806">
        <v>43</v>
      </c>
      <c r="B50" s="661" t="s">
        <v>26</v>
      </c>
      <c r="C50" s="245" t="str">
        <f>VLOOKUP(B50,DICH!B:C,2,FALSE)</f>
        <v>Stone 0.5-1.0</v>
      </c>
      <c r="D50" s="240" t="s">
        <v>545</v>
      </c>
      <c r="E50" s="166"/>
      <c r="F50" s="166"/>
      <c r="G50" s="166"/>
      <c r="H50" s="166"/>
      <c r="I50" s="166">
        <f>I51</f>
        <v>364185.41224953817</v>
      </c>
    </row>
    <row r="51" spans="1:10" ht="15" customHeight="1">
      <c r="A51" s="806">
        <v>44</v>
      </c>
      <c r="B51" s="661" t="s">
        <v>25</v>
      </c>
      <c r="C51" s="245" t="str">
        <f>VLOOKUP(B51,DICH!B:C,2,FALSE)</f>
        <v>Stone 0.5-1.6</v>
      </c>
      <c r="D51" s="240" t="s">
        <v>545</v>
      </c>
      <c r="E51" s="166"/>
      <c r="F51" s="166"/>
      <c r="G51" s="166"/>
      <c r="H51" s="166"/>
      <c r="I51" s="166">
        <f>I52</f>
        <v>364185.41224953817</v>
      </c>
    </row>
    <row r="52" spans="1:10" ht="15" customHeight="1">
      <c r="A52" s="806">
        <v>45</v>
      </c>
      <c r="B52" s="661" t="s">
        <v>24</v>
      </c>
      <c r="C52" s="245" t="str">
        <f>VLOOKUP(B52,DICH!B:C,2,FALSE)</f>
        <v>Stone 0.5-2</v>
      </c>
      <c r="D52" s="240" t="s">
        <v>545</v>
      </c>
      <c r="E52" s="166"/>
      <c r="F52" s="166"/>
      <c r="G52" s="166"/>
      <c r="H52" s="166"/>
      <c r="I52" s="166">
        <f>I58</f>
        <v>364185.41224953817</v>
      </c>
    </row>
    <row r="53" spans="1:10" ht="15" customHeight="1">
      <c r="A53" s="806">
        <v>46</v>
      </c>
      <c r="B53" s="245" t="s">
        <v>86</v>
      </c>
      <c r="C53" s="245" t="str">
        <f>VLOOKUP(B53,DICH!B:C,2,FALSE)</f>
        <v>Stone 0.5x1 asphalt concrete</v>
      </c>
      <c r="D53" s="240" t="s">
        <v>545</v>
      </c>
      <c r="E53" s="1002">
        <v>250000</v>
      </c>
      <c r="F53" s="166"/>
      <c r="G53" s="166"/>
      <c r="H53" s="1002">
        <f>$H$55</f>
        <v>162185.41224953817</v>
      </c>
      <c r="I53" s="166">
        <f>SUM(E53:H53)</f>
        <v>412185.41224953817</v>
      </c>
    </row>
    <row r="54" spans="1:10" ht="15" customHeight="1">
      <c r="A54" s="806">
        <v>47</v>
      </c>
      <c r="B54" s="245" t="s">
        <v>89</v>
      </c>
      <c r="C54" s="245" t="str">
        <f>VLOOKUP(B54,DICH!B:C,2,FALSE)</f>
        <v>Stone 0-0.5</v>
      </c>
      <c r="D54" s="240" t="s">
        <v>545</v>
      </c>
      <c r="E54" s="166"/>
      <c r="F54" s="166"/>
      <c r="G54" s="166"/>
      <c r="H54" s="166"/>
      <c r="I54" s="166">
        <f>I58</f>
        <v>364185.41224953817</v>
      </c>
    </row>
    <row r="55" spans="1:10" ht="15" customHeight="1">
      <c r="A55" s="806">
        <v>48</v>
      </c>
      <c r="B55" s="245" t="s">
        <v>2209</v>
      </c>
      <c r="C55" s="245" t="str">
        <f>VLOOKUP(B55,DICH!B:C,2,FALSE)</f>
        <v>Stone 0x0.5 asphalt concrete</v>
      </c>
      <c r="D55" s="240" t="s">
        <v>545</v>
      </c>
      <c r="E55" s="1002">
        <v>180000</v>
      </c>
      <c r="F55" s="166"/>
      <c r="G55" s="166"/>
      <c r="H55" s="1002">
        <f>'13.vanchuyen'!$AI$23</f>
        <v>162185.41224953817</v>
      </c>
      <c r="I55" s="166">
        <f t="shared" ref="I55:I63" si="4">SUM(E55:H55)</f>
        <v>342185.41224953817</v>
      </c>
    </row>
    <row r="56" spans="1:10" ht="15" customHeight="1">
      <c r="A56" s="806">
        <v>49</v>
      </c>
      <c r="B56" s="245" t="s">
        <v>5180</v>
      </c>
      <c r="C56" s="245" t="str">
        <f>VLOOKUP(B56,[5]DICH!B$1:C$65536,2,FALSE)</f>
        <v>Stone 1.6x1.9 asphalt concrete</v>
      </c>
      <c r="D56" s="240" t="s">
        <v>545</v>
      </c>
      <c r="E56" s="1002">
        <v>202000</v>
      </c>
      <c r="F56" s="166"/>
      <c r="G56" s="166"/>
      <c r="H56" s="1002">
        <f>$H$59</f>
        <v>162185.41224953817</v>
      </c>
      <c r="I56" s="166">
        <f t="shared" si="4"/>
        <v>364185.41224953817</v>
      </c>
    </row>
    <row r="57" spans="1:10" ht="15" customHeight="1">
      <c r="A57" s="806">
        <v>50</v>
      </c>
      <c r="B57" s="245" t="s">
        <v>2210</v>
      </c>
      <c r="C57" s="245" t="str">
        <f>VLOOKUP(B57,DICH!B:C,2,FALSE)</f>
        <v>Stone 1x1.6 asphalt concrete</v>
      </c>
      <c r="D57" s="240" t="s">
        <v>545</v>
      </c>
      <c r="E57" s="1002">
        <v>202000</v>
      </c>
      <c r="F57" s="166"/>
      <c r="G57" s="166"/>
      <c r="H57" s="1002">
        <f>$H$53</f>
        <v>162185.41224953817</v>
      </c>
      <c r="I57" s="166">
        <f t="shared" si="4"/>
        <v>364185.41224953817</v>
      </c>
      <c r="J57" s="1720"/>
    </row>
    <row r="58" spans="1:10" ht="15" customHeight="1">
      <c r="A58" s="806">
        <v>51</v>
      </c>
      <c r="B58" s="245" t="s">
        <v>750</v>
      </c>
      <c r="C58" s="245" t="str">
        <f>VLOOKUP(B58,DICH!B:C,2,FALSE)</f>
        <v>Stone 1x2</v>
      </c>
      <c r="D58" s="240" t="s">
        <v>545</v>
      </c>
      <c r="E58" s="1002">
        <v>202000</v>
      </c>
      <c r="F58" s="166"/>
      <c r="G58" s="166"/>
      <c r="H58" s="1002">
        <f>$H$59</f>
        <v>162185.41224953817</v>
      </c>
      <c r="I58" s="166">
        <f t="shared" si="4"/>
        <v>364185.41224953817</v>
      </c>
    </row>
    <row r="59" spans="1:10" ht="15" customHeight="1">
      <c r="A59" s="806">
        <v>52</v>
      </c>
      <c r="B59" s="245" t="s">
        <v>85</v>
      </c>
      <c r="C59" s="245" t="str">
        <f>VLOOKUP(B59,DICH!B:C,2,FALSE)</f>
        <v>Stone 1x2 asphalt concrete</v>
      </c>
      <c r="D59" s="240" t="s">
        <v>545</v>
      </c>
      <c r="E59" s="1002">
        <v>202000</v>
      </c>
      <c r="F59" s="166"/>
      <c r="G59" s="166"/>
      <c r="H59" s="1002">
        <f>$H$57</f>
        <v>162185.41224953817</v>
      </c>
      <c r="I59" s="166">
        <f t="shared" si="4"/>
        <v>364185.41224953817</v>
      </c>
    </row>
    <row r="60" spans="1:10" ht="15" customHeight="1">
      <c r="A60" s="806">
        <v>53</v>
      </c>
      <c r="B60" s="245" t="s">
        <v>4</v>
      </c>
      <c r="C60" s="245" t="str">
        <f>VLOOKUP(B60,DICH!B:C,2,FALSE)</f>
        <v>Stone 4x6</v>
      </c>
      <c r="D60" s="240" t="s">
        <v>545</v>
      </c>
      <c r="E60" s="1002">
        <v>184000</v>
      </c>
      <c r="F60" s="166"/>
      <c r="G60" s="166"/>
      <c r="H60" s="1002">
        <f>'13.vanchuyen'!$AI$26</f>
        <v>146147.95224953818</v>
      </c>
      <c r="I60" s="166">
        <f>SUM(E60:H60)</f>
        <v>330147.95224953815</v>
      </c>
    </row>
    <row r="61" spans="1:10" ht="15" customHeight="1">
      <c r="A61" s="806">
        <v>54</v>
      </c>
      <c r="B61" s="245" t="s">
        <v>572</v>
      </c>
      <c r="C61" s="245" t="str">
        <f>VLOOKUP(B61,DICH!B:C,2,FALSE)</f>
        <v>Split stone</v>
      </c>
      <c r="D61" s="240" t="s">
        <v>573</v>
      </c>
      <c r="E61" s="166"/>
      <c r="F61" s="166"/>
      <c r="G61" s="166">
        <v>35000</v>
      </c>
      <c r="H61" s="166"/>
      <c r="I61" s="1979">
        <f t="shared" si="4"/>
        <v>35000</v>
      </c>
    </row>
    <row r="62" spans="1:10" ht="15" customHeight="1">
      <c r="A62" s="806">
        <v>55</v>
      </c>
      <c r="B62" s="245" t="s">
        <v>599</v>
      </c>
      <c r="C62" s="245" t="str">
        <f>VLOOKUP(B62,DICH!B:C,2,FALSE)</f>
        <v>Masory</v>
      </c>
      <c r="D62" s="240" t="s">
        <v>545</v>
      </c>
      <c r="E62" s="166">
        <v>175000</v>
      </c>
      <c r="F62" s="166"/>
      <c r="G62" s="166"/>
      <c r="H62" s="166">
        <f>ssgda!$N$11</f>
        <v>151292.57724953818</v>
      </c>
      <c r="I62" s="166">
        <f>SUM(E62:H62)</f>
        <v>326292.57724953815</v>
      </c>
    </row>
    <row r="63" spans="1:10" ht="15" customHeight="1">
      <c r="A63" s="806">
        <v>56</v>
      </c>
      <c r="B63" s="245" t="s">
        <v>406</v>
      </c>
      <c r="C63" s="245" t="str">
        <f>VLOOKUP(B63,DICH!B:C,2,FALSE)</f>
        <v xml:space="preserve">Grinding stone </v>
      </c>
      <c r="D63" s="240" t="s">
        <v>573</v>
      </c>
      <c r="E63" s="166"/>
      <c r="F63" s="166"/>
      <c r="G63" s="166">
        <v>25000</v>
      </c>
      <c r="H63" s="166"/>
      <c r="I63" s="166">
        <f t="shared" si="4"/>
        <v>25000</v>
      </c>
    </row>
    <row r="64" spans="1:10" ht="15" customHeight="1">
      <c r="A64" s="806">
        <v>57</v>
      </c>
      <c r="B64" s="245" t="s">
        <v>334</v>
      </c>
      <c r="C64" s="245" t="str">
        <f>VLOOKUP(B64,DICH!B:C,2,FALSE)</f>
        <v>Scew nut D36</v>
      </c>
      <c r="D64" s="240" t="s">
        <v>307</v>
      </c>
      <c r="E64" s="166"/>
      <c r="F64" s="166">
        <f>'12.ssg'!$K$24</f>
        <v>581000</v>
      </c>
      <c r="G64" s="166"/>
      <c r="H64" s="166"/>
      <c r="I64" s="166">
        <f>SUM(E64:H64)</f>
        <v>581000</v>
      </c>
    </row>
    <row r="65" spans="1:9" ht="15" customHeight="1">
      <c r="A65" s="806">
        <v>58</v>
      </c>
      <c r="B65" s="245" t="s">
        <v>335</v>
      </c>
      <c r="C65" s="245" t="str">
        <f>VLOOKUP(B65,DICH!B:C,2,FALSE)</f>
        <v>Check nut D36</v>
      </c>
      <c r="D65" s="240" t="s">
        <v>307</v>
      </c>
      <c r="E65" s="166"/>
      <c r="F65" s="166">
        <f>F64</f>
        <v>581000</v>
      </c>
      <c r="G65" s="166"/>
      <c r="H65" s="166"/>
      <c r="I65" s="166">
        <f>SUM(E65:H65)</f>
        <v>581000</v>
      </c>
    </row>
    <row r="66" spans="1:9" ht="15" customHeight="1">
      <c r="A66" s="806">
        <v>59</v>
      </c>
      <c r="B66" s="662" t="s">
        <v>317</v>
      </c>
      <c r="C66" s="245" t="str">
        <f>VLOOKUP(B66,DICH!B:C,2,FALSE)</f>
        <v>Scew nut M10</v>
      </c>
      <c r="D66" s="702" t="s">
        <v>307</v>
      </c>
      <c r="E66" s="166"/>
      <c r="F66" s="166">
        <v>3000</v>
      </c>
      <c r="G66" s="166"/>
      <c r="H66" s="166"/>
      <c r="I66" s="166">
        <f>SUM(E66:H66)</f>
        <v>3000</v>
      </c>
    </row>
    <row r="67" spans="1:9" ht="15" customHeight="1">
      <c r="A67" s="806">
        <v>60</v>
      </c>
      <c r="B67" s="662" t="s">
        <v>5753</v>
      </c>
      <c r="C67" s="245" t="e">
        <f>VLOOKUP(B67,DICH!B:C,2,FALSE)</f>
        <v>#N/A</v>
      </c>
      <c r="D67" s="702" t="s">
        <v>740</v>
      </c>
      <c r="E67" s="166"/>
      <c r="F67" s="166">
        <f>295000000</f>
        <v>295000000</v>
      </c>
      <c r="G67" s="166"/>
      <c r="H67" s="166">
        <v>40000000</v>
      </c>
      <c r="I67" s="166">
        <v>400000000</v>
      </c>
    </row>
    <row r="68" spans="1:9" ht="15" customHeight="1">
      <c r="A68" s="806">
        <v>61</v>
      </c>
      <c r="B68" s="245" t="s">
        <v>566</v>
      </c>
      <c r="C68" s="245" t="str">
        <f>VLOOKUP(B68,DICH!B:C,2,FALSE)</f>
        <v>Calcium carbide</v>
      </c>
      <c r="D68" s="240" t="s">
        <v>558</v>
      </c>
      <c r="E68" s="166">
        <v>15000</v>
      </c>
      <c r="F68" s="166"/>
      <c r="G68" s="166"/>
      <c r="H68" s="166"/>
      <c r="I68" s="1979">
        <v>13600</v>
      </c>
    </row>
    <row r="69" spans="1:9" ht="15" customHeight="1">
      <c r="A69" s="806">
        <v>62</v>
      </c>
      <c r="B69" s="245" t="s">
        <v>383</v>
      </c>
      <c r="C69" s="245" t="str">
        <f>VLOOKUP(B69,DICH!B:C,2,FALSE)</f>
        <v>Clay</v>
      </c>
      <c r="D69" s="240" t="s">
        <v>545</v>
      </c>
      <c r="E69" s="166"/>
      <c r="F69" s="166"/>
      <c r="G69" s="664"/>
      <c r="H69" s="166">
        <f>'14.boc xep'!$M$15</f>
        <v>65283.353063803646</v>
      </c>
      <c r="I69" s="1979">
        <v>61000</v>
      </c>
    </row>
    <row r="70" spans="1:9" ht="15" customHeight="1">
      <c r="A70" s="806">
        <v>63</v>
      </c>
      <c r="B70" s="245" t="s">
        <v>408</v>
      </c>
      <c r="C70" s="245" t="str">
        <f>VLOOKUP(B70,DICH!B:C,2,FALSE)</f>
        <v xml:space="preserve">Safe oil </v>
      </c>
      <c r="D70" s="240" t="s">
        <v>558</v>
      </c>
      <c r="E70" s="327"/>
      <c r="F70" s="166"/>
      <c r="G70" s="327">
        <v>35000</v>
      </c>
      <c r="H70" s="166"/>
      <c r="I70" s="166">
        <v>34000</v>
      </c>
    </row>
    <row r="71" spans="1:9" ht="15" customHeight="1">
      <c r="A71" s="806">
        <v>64</v>
      </c>
      <c r="B71" s="662" t="s">
        <v>224</v>
      </c>
      <c r="C71" s="245" t="str">
        <f>VLOOKUP(B71,DICH!B:C,2,FALSE)</f>
        <v>Lubricant grease</v>
      </c>
      <c r="D71" s="702" t="s">
        <v>558</v>
      </c>
      <c r="E71" s="166"/>
      <c r="F71" s="166">
        <v>15000</v>
      </c>
      <c r="G71" s="166"/>
      <c r="H71" s="166"/>
      <c r="I71" s="166">
        <f t="shared" ref="I71" si="5">SUM(E71:H71)</f>
        <v>15000</v>
      </c>
    </row>
    <row r="72" spans="1:9" ht="15" customHeight="1">
      <c r="A72" s="806">
        <v>65</v>
      </c>
      <c r="B72" s="245" t="s">
        <v>615</v>
      </c>
      <c r="C72" s="245" t="str">
        <f>VLOOKUP(B72,DICH!B:C,2,FALSE)</f>
        <v>Oil CS46</v>
      </c>
      <c r="D72" s="240" t="s">
        <v>558</v>
      </c>
      <c r="E72" s="327"/>
      <c r="F72" s="166"/>
      <c r="G72" s="327">
        <f>G70</f>
        <v>35000</v>
      </c>
      <c r="H72" s="166"/>
      <c r="I72" s="166">
        <v>34000</v>
      </c>
    </row>
    <row r="73" spans="1:9" ht="15" customHeight="1">
      <c r="A73" s="806">
        <v>66</v>
      </c>
      <c r="B73" s="245" t="s">
        <v>653</v>
      </c>
      <c r="C73" s="245" t="str">
        <f>VLOOKUP(B73,DICH!B:C,2,FALSE)</f>
        <v>Diesel</v>
      </c>
      <c r="D73" s="240" t="s">
        <v>558</v>
      </c>
      <c r="E73" s="327"/>
      <c r="F73" s="327">
        <f>22750/1.1/0.87</f>
        <v>23772.204806687565</v>
      </c>
      <c r="G73" s="166"/>
      <c r="H73" s="166"/>
      <c r="I73" s="1979">
        <v>22500</v>
      </c>
    </row>
    <row r="74" spans="1:9" ht="15" customHeight="1">
      <c r="A74" s="806">
        <v>67</v>
      </c>
      <c r="B74" s="245" t="s">
        <v>661</v>
      </c>
      <c r="C74" s="245" t="str">
        <f>VLOOKUP(B74,DICH!B:C,2,FALSE)</f>
        <v>Petroleum</v>
      </c>
      <c r="D74" s="240" t="s">
        <v>558</v>
      </c>
      <c r="E74" s="327"/>
      <c r="F74" s="327">
        <f>22460/1.1/0.87</f>
        <v>23469.174503657261</v>
      </c>
      <c r="G74" s="166"/>
      <c r="H74" s="166"/>
      <c r="I74" s="1979">
        <f>SUM(E74:H74)</f>
        <v>23469.174503657261</v>
      </c>
    </row>
    <row r="75" spans="1:9" ht="15" customHeight="1">
      <c r="A75" s="806">
        <v>68</v>
      </c>
      <c r="B75" s="1309" t="s">
        <v>5491</v>
      </c>
      <c r="C75" s="1345" t="s">
        <v>5496</v>
      </c>
      <c r="D75" s="702" t="s">
        <v>558</v>
      </c>
      <c r="E75" s="1002"/>
      <c r="F75" s="1002"/>
      <c r="G75" s="1002">
        <v>18500</v>
      </c>
      <c r="H75" s="1002"/>
      <c r="I75" s="1979">
        <f t="shared" ref="I75:I82" si="6">SUM(E75:H75)</f>
        <v>18500</v>
      </c>
    </row>
    <row r="76" spans="1:9" ht="15" customHeight="1">
      <c r="A76" s="806">
        <v>69</v>
      </c>
      <c r="B76" s="245" t="s">
        <v>474</v>
      </c>
      <c r="C76" s="245" t="str">
        <f>VLOOKUP(B76,DICH!B:C,2,FALSE)</f>
        <v>Mazut</v>
      </c>
      <c r="D76" s="240" t="s">
        <v>558</v>
      </c>
      <c r="E76" s="327"/>
      <c r="F76" s="327">
        <f>19180/1.1</f>
        <v>17436.363636363636</v>
      </c>
      <c r="G76" s="166"/>
      <c r="H76" s="166"/>
      <c r="I76" s="1979">
        <f t="shared" si="6"/>
        <v>17436.363636363636</v>
      </c>
    </row>
    <row r="77" spans="1:9" ht="15" customHeight="1">
      <c r="A77" s="806">
        <v>71</v>
      </c>
      <c r="B77" s="661" t="s">
        <v>3455</v>
      </c>
      <c r="C77" s="245" t="str">
        <f>VLOOKUP(B77,DICH!B:C,2,FALSE)</f>
        <v>End of corrugated sheet iron 0.7m</v>
      </c>
      <c r="D77" s="704" t="s">
        <v>567</v>
      </c>
      <c r="E77" s="166"/>
      <c r="F77" s="166">
        <v>222000</v>
      </c>
      <c r="G77" s="166"/>
      <c r="H77" s="166"/>
      <c r="I77" s="1979">
        <f t="shared" si="6"/>
        <v>222000</v>
      </c>
    </row>
    <row r="78" spans="1:9" ht="15" customHeight="1">
      <c r="A78" s="806">
        <v>72</v>
      </c>
      <c r="B78" s="245" t="s">
        <v>730</v>
      </c>
      <c r="C78" s="245" t="str">
        <f>VLOOKUP(B78,DICH!B:C,2,FALSE)</f>
        <v>Signal light</v>
      </c>
      <c r="D78" s="240" t="s">
        <v>307</v>
      </c>
      <c r="E78" s="166"/>
      <c r="F78" s="166">
        <f>5600000</f>
        <v>5600000</v>
      </c>
      <c r="G78" s="166"/>
      <c r="H78" s="166"/>
      <c r="I78" s="1979">
        <f t="shared" si="6"/>
        <v>5600000</v>
      </c>
    </row>
    <row r="79" spans="1:9" ht="15" customHeight="1">
      <c r="A79" s="806">
        <v>73</v>
      </c>
      <c r="B79" s="245" t="s">
        <v>5806</v>
      </c>
      <c r="C79" s="245" t="e">
        <f>VLOOKUP(B79,DICH!B:C,2,FALSE)</f>
        <v>#N/A</v>
      </c>
      <c r="D79" s="240" t="s">
        <v>14</v>
      </c>
      <c r="E79" s="166"/>
      <c r="F79" s="166">
        <v>6800000</v>
      </c>
      <c r="G79" s="166"/>
      <c r="H79" s="166"/>
      <c r="I79" s="1979">
        <f t="shared" si="6"/>
        <v>6800000</v>
      </c>
    </row>
    <row r="80" spans="1:9" ht="15" customHeight="1">
      <c r="A80" s="806">
        <v>74</v>
      </c>
      <c r="B80" s="245" t="s">
        <v>5811</v>
      </c>
      <c r="C80" s="245" t="e">
        <f>VLOOKUP(B80,DICH!B:C,2,FALSE)</f>
        <v>#N/A</v>
      </c>
      <c r="D80" s="240" t="s">
        <v>14</v>
      </c>
      <c r="E80" s="166"/>
      <c r="F80" s="166">
        <v>6360000</v>
      </c>
      <c r="G80" s="166"/>
      <c r="H80" s="166"/>
      <c r="I80" s="1979">
        <f t="shared" si="6"/>
        <v>6360000</v>
      </c>
    </row>
    <row r="81" spans="1:9" ht="15" customHeight="1">
      <c r="A81" s="806">
        <v>75</v>
      </c>
      <c r="B81" s="245" t="s">
        <v>5812</v>
      </c>
      <c r="C81" s="245" t="e">
        <f>VLOOKUP(B81,DICH!B:C,2,FALSE)</f>
        <v>#N/A</v>
      </c>
      <c r="D81" s="240" t="s">
        <v>14</v>
      </c>
      <c r="E81" s="166"/>
      <c r="F81" s="166">
        <v>6720000</v>
      </c>
      <c r="G81" s="166"/>
      <c r="H81" s="166"/>
      <c r="I81" s="1979">
        <f t="shared" si="6"/>
        <v>6720000</v>
      </c>
    </row>
    <row r="82" spans="1:9" ht="15" customHeight="1">
      <c r="A82" s="806">
        <v>76</v>
      </c>
      <c r="B82" s="245" t="s">
        <v>5815</v>
      </c>
      <c r="C82" s="245" t="e">
        <f>VLOOKUP(B82,DICH!B:C,2,FALSE)</f>
        <v>#N/A</v>
      </c>
      <c r="D82" s="240" t="s">
        <v>307</v>
      </c>
      <c r="E82" s="166"/>
      <c r="F82" s="166">
        <v>25000000</v>
      </c>
      <c r="G82" s="166"/>
      <c r="H82" s="166"/>
      <c r="I82" s="1979">
        <f t="shared" si="6"/>
        <v>25000000</v>
      </c>
    </row>
    <row r="83" spans="1:9" ht="15" customHeight="1">
      <c r="A83" s="806">
        <v>77</v>
      </c>
      <c r="B83" s="245" t="s">
        <v>5821</v>
      </c>
      <c r="C83" s="245" t="e">
        <f>VLOOKUP(B83,DICH!B:C,2,FALSE)</f>
        <v>#N/A</v>
      </c>
      <c r="D83" s="240" t="s">
        <v>14</v>
      </c>
      <c r="E83" s="166"/>
      <c r="F83" s="166">
        <v>4561000</v>
      </c>
      <c r="G83" s="166"/>
      <c r="H83" s="166"/>
      <c r="I83" s="1979">
        <f t="shared" ref="I83:I146" si="7">SUM(E83:H83)</f>
        <v>4561000</v>
      </c>
    </row>
    <row r="84" spans="1:9" ht="15" customHeight="1">
      <c r="A84" s="806">
        <v>78</v>
      </c>
      <c r="B84" s="245" t="s">
        <v>5822</v>
      </c>
      <c r="C84" s="245" t="e">
        <f>VLOOKUP(B84,DICH!B:C,2,FALSE)</f>
        <v>#N/A</v>
      </c>
      <c r="D84" s="240" t="s">
        <v>307</v>
      </c>
      <c r="E84" s="166"/>
      <c r="F84" s="166">
        <v>705000</v>
      </c>
      <c r="G84" s="166"/>
      <c r="H84" s="166"/>
      <c r="I84" s="1979">
        <f t="shared" si="7"/>
        <v>705000</v>
      </c>
    </row>
    <row r="85" spans="1:9" ht="15" customHeight="1">
      <c r="A85" s="806">
        <v>79</v>
      </c>
      <c r="B85" s="245" t="s">
        <v>5828</v>
      </c>
      <c r="C85" s="245" t="e">
        <f>VLOOKUP(B85,DICH!B:C,2,FALSE)</f>
        <v>#N/A</v>
      </c>
      <c r="D85" s="240" t="s">
        <v>14</v>
      </c>
      <c r="E85" s="166"/>
      <c r="F85" s="166">
        <v>454000</v>
      </c>
      <c r="G85" s="166"/>
      <c r="H85" s="166"/>
      <c r="I85" s="1979">
        <f t="shared" si="7"/>
        <v>454000</v>
      </c>
    </row>
    <row r="86" spans="1:9" ht="15" customHeight="1">
      <c r="A86" s="806">
        <v>80</v>
      </c>
      <c r="B86" s="245" t="s">
        <v>460</v>
      </c>
      <c r="C86" s="245" t="str">
        <f>VLOOKUP(B86,DICH!B:C,2,FALSE)</f>
        <v>Nail</v>
      </c>
      <c r="D86" s="240" t="s">
        <v>558</v>
      </c>
      <c r="E86" s="166">
        <v>18180</v>
      </c>
      <c r="F86" s="166"/>
      <c r="G86" s="166"/>
      <c r="H86" s="166"/>
      <c r="I86" s="1979">
        <f t="shared" si="7"/>
        <v>18180</v>
      </c>
    </row>
    <row r="87" spans="1:9" ht="15" customHeight="1">
      <c r="A87" s="806">
        <v>81</v>
      </c>
      <c r="B87" s="245" t="s">
        <v>465</v>
      </c>
      <c r="C87" s="245" t="str">
        <f>VLOOKUP(B87,DICH!B:C,2,FALSE)</f>
        <v>Casing nail</v>
      </c>
      <c r="D87" s="240" t="s">
        <v>567</v>
      </c>
      <c r="E87" s="166"/>
      <c r="F87" s="166"/>
      <c r="G87" s="166">
        <v>1000</v>
      </c>
      <c r="H87" s="166"/>
      <c r="I87" s="1979">
        <f t="shared" si="7"/>
        <v>1000</v>
      </c>
    </row>
    <row r="88" spans="1:9" ht="15" customHeight="1">
      <c r="A88" s="806">
        <v>82</v>
      </c>
      <c r="B88" s="245" t="s">
        <v>652</v>
      </c>
      <c r="C88" s="245" t="str">
        <f>VLOOKUP(B88,DICH!B:C,2,FALSE)</f>
        <v>Thumbtack</v>
      </c>
      <c r="D88" s="240" t="s">
        <v>567</v>
      </c>
      <c r="E88" s="166"/>
      <c r="F88" s="166"/>
      <c r="G88" s="166">
        <v>1000</v>
      </c>
      <c r="H88" s="166"/>
      <c r="I88" s="1979">
        <f t="shared" si="7"/>
        <v>1000</v>
      </c>
    </row>
    <row r="89" spans="1:9" ht="15" customHeight="1">
      <c r="A89" s="806">
        <v>83</v>
      </c>
      <c r="B89" s="245" t="s">
        <v>459</v>
      </c>
      <c r="C89" s="245" t="str">
        <f>VLOOKUP(B89,DICH!B:C,2,FALSE)</f>
        <v>Steel ware</v>
      </c>
      <c r="D89" s="240" t="s">
        <v>558</v>
      </c>
      <c r="E89" s="166">
        <v>18180</v>
      </c>
      <c r="F89" s="166"/>
      <c r="G89" s="166"/>
      <c r="H89" s="166"/>
      <c r="I89" s="1979">
        <f t="shared" si="7"/>
        <v>18180</v>
      </c>
    </row>
    <row r="90" spans="1:9" ht="15" customHeight="1">
      <c r="A90" s="806">
        <v>84</v>
      </c>
      <c r="B90" s="245" t="s">
        <v>151</v>
      </c>
      <c r="C90" s="245" t="str">
        <f>VLOOKUP(B90,DICH!B:C,2,FALSE)</f>
        <v>Brick 40x80x190</v>
      </c>
      <c r="D90" s="702" t="s">
        <v>573</v>
      </c>
      <c r="E90" s="166">
        <v>800</v>
      </c>
      <c r="F90" s="166"/>
      <c r="G90" s="166"/>
      <c r="H90" s="166"/>
      <c r="I90" s="1979">
        <f t="shared" si="7"/>
        <v>800</v>
      </c>
    </row>
    <row r="91" spans="1:9" ht="15" customHeight="1">
      <c r="A91" s="806">
        <v>85</v>
      </c>
      <c r="B91" s="245" t="s">
        <v>419</v>
      </c>
      <c r="C91" s="245" t="str">
        <f>VLOOKUP(B91,DICH!B:C,2,FALSE)</f>
        <v>Gas</v>
      </c>
      <c r="D91" s="240" t="s">
        <v>558</v>
      </c>
      <c r="E91" s="166"/>
      <c r="F91" s="166">
        <f>364000/12/1.1</f>
        <v>27575.757575757572</v>
      </c>
      <c r="G91" s="166"/>
      <c r="H91" s="166"/>
      <c r="I91" s="1979">
        <f t="shared" si="7"/>
        <v>27575.757575757572</v>
      </c>
    </row>
    <row r="92" spans="1:9" ht="15" customHeight="1">
      <c r="A92" s="806">
        <v>86</v>
      </c>
      <c r="B92" s="245" t="s">
        <v>433</v>
      </c>
      <c r="C92" s="245" t="str">
        <f>VLOOKUP(B92,DICH!B:C,2,FALSE)</f>
        <v xml:space="preserve">Bucket of drill </v>
      </c>
      <c r="D92" s="240" t="s">
        <v>567</v>
      </c>
      <c r="E92" s="166"/>
      <c r="F92" s="166"/>
      <c r="G92" s="166">
        <v>4500000</v>
      </c>
      <c r="H92" s="166"/>
      <c r="I92" s="1979">
        <f t="shared" si="7"/>
        <v>4500000</v>
      </c>
    </row>
    <row r="93" spans="1:9" ht="15" customHeight="1">
      <c r="A93" s="806">
        <v>87</v>
      </c>
      <c r="B93" s="245" t="s">
        <v>586</v>
      </c>
      <c r="C93" s="245" t="str">
        <f>VLOOKUP(B93,DICH!B:C,2,FALSE)</f>
        <v>Zinc steel</v>
      </c>
      <c r="D93" s="240" t="s">
        <v>558</v>
      </c>
      <c r="E93" s="166"/>
      <c r="F93" s="166">
        <v>8000</v>
      </c>
      <c r="G93" s="166"/>
      <c r="H93" s="166"/>
      <c r="I93" s="1979">
        <f t="shared" si="7"/>
        <v>8000</v>
      </c>
    </row>
    <row r="94" spans="1:9" ht="15" customHeight="1">
      <c r="A94" s="806">
        <v>88</v>
      </c>
      <c r="B94" s="245" t="s">
        <v>591</v>
      </c>
      <c r="C94" s="245" t="str">
        <f>VLOOKUP(B94,DICH!B:C,2,FALSE)</f>
        <v>Oilpaper</v>
      </c>
      <c r="D94" s="240" t="s">
        <v>548</v>
      </c>
      <c r="E94" s="166"/>
      <c r="F94" s="166"/>
      <c r="G94" s="166">
        <v>4000</v>
      </c>
      <c r="H94" s="166"/>
      <c r="I94" s="1979">
        <f t="shared" si="7"/>
        <v>4000</v>
      </c>
    </row>
    <row r="95" spans="1:9" ht="15" customHeight="1">
      <c r="A95" s="806">
        <v>89</v>
      </c>
      <c r="B95" s="245" t="s">
        <v>5871</v>
      </c>
      <c r="C95" s="245" t="e">
        <f>VLOOKUP(B95,DICH!B:C,2,FALSE)</f>
        <v>#N/A</v>
      </c>
      <c r="D95" s="240" t="s">
        <v>567</v>
      </c>
      <c r="E95" s="166"/>
      <c r="F95" s="166">
        <v>20000</v>
      </c>
      <c r="G95" s="166"/>
      <c r="H95" s="166"/>
      <c r="I95" s="1979">
        <f t="shared" si="7"/>
        <v>20000</v>
      </c>
    </row>
    <row r="96" spans="1:9" ht="15" customHeight="1">
      <c r="A96" s="806">
        <v>90</v>
      </c>
      <c r="B96" s="245" t="s">
        <v>134</v>
      </c>
      <c r="C96" s="245" t="str">
        <f>VLOOKUP(B96,DICH!B:C,2,FALSE)</f>
        <v>Wooden</v>
      </c>
      <c r="D96" s="240" t="s">
        <v>545</v>
      </c>
      <c r="E96" s="166">
        <v>6000000</v>
      </c>
      <c r="F96" s="166"/>
      <c r="G96" s="166"/>
      <c r="H96" s="166"/>
      <c r="I96" s="1979">
        <f t="shared" si="7"/>
        <v>6000000</v>
      </c>
    </row>
    <row r="97" spans="1:9" ht="15" customHeight="1">
      <c r="A97" s="806">
        <v>91</v>
      </c>
      <c r="B97" s="245" t="s">
        <v>2083</v>
      </c>
      <c r="C97" s="245" t="str">
        <f>VLOOKUP(B97,DICH!B:C,2,FALSE)</f>
        <v>Bitumen soaking wood</v>
      </c>
      <c r="D97" s="702" t="s">
        <v>545</v>
      </c>
      <c r="E97" s="166">
        <f>$E$96</f>
        <v>6000000</v>
      </c>
      <c r="F97" s="166"/>
      <c r="G97" s="166"/>
      <c r="H97" s="166"/>
      <c r="I97" s="1979">
        <f t="shared" si="7"/>
        <v>6000000</v>
      </c>
    </row>
    <row r="98" spans="1:9" ht="15" customHeight="1">
      <c r="A98" s="806">
        <v>92</v>
      </c>
      <c r="B98" s="245" t="s">
        <v>3471</v>
      </c>
      <c r="C98" s="245" t="str">
        <f>VLOOKUP(B98,DICH!B:C,2,FALSE)</f>
        <v>Elastomeric bearing for girder 350x450x84mm</v>
      </c>
      <c r="D98" s="240" t="s">
        <v>307</v>
      </c>
      <c r="E98" s="166"/>
      <c r="F98" s="166">
        <v>7500000</v>
      </c>
      <c r="G98" s="166"/>
      <c r="H98" s="166"/>
      <c r="I98" s="1979">
        <f t="shared" si="7"/>
        <v>7500000</v>
      </c>
    </row>
    <row r="99" spans="1:9" ht="15" customHeight="1">
      <c r="A99" s="806">
        <v>93</v>
      </c>
      <c r="B99" s="687" t="s">
        <v>3510</v>
      </c>
      <c r="C99" s="245" t="str">
        <f>VLOOKUP(B99,DICH!B:C,2,FALSE)</f>
        <v>Fixed bearing 4000 ton</v>
      </c>
      <c r="D99" s="240" t="s">
        <v>307</v>
      </c>
      <c r="E99" s="166"/>
      <c r="F99" s="166">
        <v>628000000</v>
      </c>
      <c r="G99" s="166"/>
      <c r="H99" s="166"/>
      <c r="I99" s="1979">
        <f t="shared" si="7"/>
        <v>628000000</v>
      </c>
    </row>
    <row r="100" spans="1:9" ht="15" customHeight="1">
      <c r="A100" s="806">
        <v>94</v>
      </c>
      <c r="B100" s="687" t="s">
        <v>5216</v>
      </c>
      <c r="C100" s="245" t="str">
        <f>VLOOKUP(B100,DICH!B:C,2,FALSE)</f>
        <v>Movable bearing one direction 4000 ton (P3)</v>
      </c>
      <c r="D100" s="240" t="s">
        <v>307</v>
      </c>
      <c r="E100" s="166"/>
      <c r="F100" s="166">
        <v>850000000</v>
      </c>
      <c r="G100" s="166"/>
      <c r="H100" s="166"/>
      <c r="I100" s="1979">
        <f t="shared" si="7"/>
        <v>850000000</v>
      </c>
    </row>
    <row r="101" spans="1:9" s="224" customFormat="1" ht="15" customHeight="1">
      <c r="A101" s="806">
        <v>95</v>
      </c>
      <c r="B101" s="1464" t="s">
        <v>5218</v>
      </c>
      <c r="C101" s="1464" t="str">
        <f>VLOOKUP(B101,DICH!B:C,2,FALSE)</f>
        <v>Movable bearing one direction 4000 ton (P4)</v>
      </c>
      <c r="D101" s="1973" t="s">
        <v>307</v>
      </c>
      <c r="E101" s="1464"/>
      <c r="F101" s="166">
        <v>825000000</v>
      </c>
      <c r="G101" s="1464"/>
      <c r="H101" s="1464"/>
      <c r="I101" s="1979">
        <f t="shared" si="7"/>
        <v>825000000</v>
      </c>
    </row>
    <row r="102" spans="1:9" ht="15" customHeight="1">
      <c r="A102" s="806">
        <v>96</v>
      </c>
      <c r="B102" s="687" t="s">
        <v>5222</v>
      </c>
      <c r="C102" s="245" t="str">
        <f>VLOOKUP(B102,DICH!B:C,2,FALSE)</f>
        <v>Movable bearing one direction 900 ton (P2)</v>
      </c>
      <c r="D102" s="240" t="s">
        <v>307</v>
      </c>
      <c r="E102" s="166"/>
      <c r="F102" s="166">
        <v>205000000</v>
      </c>
      <c r="G102" s="166"/>
      <c r="H102" s="166"/>
      <c r="I102" s="1979">
        <f t="shared" si="7"/>
        <v>205000000</v>
      </c>
    </row>
    <row r="103" spans="1:9" s="224" customFormat="1" ht="15" customHeight="1">
      <c r="A103" s="806">
        <v>97</v>
      </c>
      <c r="B103" s="1464" t="s">
        <v>5224</v>
      </c>
      <c r="C103" s="1464" t="str">
        <f>VLOOKUP(B103,DICH!B:C,2,FALSE)</f>
        <v>Movable bearing one direction 900 ton (P5)</v>
      </c>
      <c r="D103" s="240" t="s">
        <v>307</v>
      </c>
      <c r="E103" s="1464"/>
      <c r="F103" s="166">
        <v>218000000</v>
      </c>
      <c r="G103" s="1464"/>
      <c r="H103" s="1464"/>
      <c r="I103" s="1979">
        <f t="shared" si="7"/>
        <v>218000000</v>
      </c>
    </row>
    <row r="104" spans="1:9" s="224" customFormat="1" ht="15" customHeight="1">
      <c r="A104" s="806">
        <v>98</v>
      </c>
      <c r="B104" s="1464" t="s">
        <v>5220</v>
      </c>
      <c r="C104" s="1464" t="str">
        <f>VLOOKUP(B104,DICH!B:C,2,FALSE)</f>
        <v>Movable bearing multi direction 4000 ton (P4)</v>
      </c>
      <c r="D104" s="240" t="s">
        <v>307</v>
      </c>
      <c r="E104" s="1464"/>
      <c r="F104" s="166">
        <v>830000000</v>
      </c>
      <c r="G104" s="1464"/>
      <c r="H104" s="1464"/>
      <c r="I104" s="1979">
        <f t="shared" si="7"/>
        <v>830000000</v>
      </c>
    </row>
    <row r="105" spans="1:9" ht="15" customHeight="1">
      <c r="A105" s="806">
        <v>99</v>
      </c>
      <c r="B105" s="687" t="s">
        <v>5226</v>
      </c>
      <c r="C105" s="245" t="str">
        <f>VLOOKUP(B105,DICH!B:C,2,FALSE)</f>
        <v>Movable bearing multi direction 900 ton (P2)</v>
      </c>
      <c r="D105" s="240" t="s">
        <v>307</v>
      </c>
      <c r="E105" s="166"/>
      <c r="F105" s="166">
        <v>180000000</v>
      </c>
      <c r="G105" s="166"/>
      <c r="H105" s="166"/>
      <c r="I105" s="1979">
        <f t="shared" si="7"/>
        <v>180000000</v>
      </c>
    </row>
    <row r="106" spans="1:9" s="224" customFormat="1" ht="15" customHeight="1">
      <c r="A106" s="806">
        <v>100</v>
      </c>
      <c r="B106" s="1464" t="s">
        <v>5229</v>
      </c>
      <c r="C106" s="1464" t="str">
        <f>VLOOKUP(B106,DICH!B:C,2,FALSE)</f>
        <v>Movable bearing multi direction 900 ton (P5)</v>
      </c>
      <c r="D106" s="240" t="s">
        <v>307</v>
      </c>
      <c r="E106" s="1464"/>
      <c r="F106" s="166">
        <v>205000000</v>
      </c>
      <c r="G106" s="1464"/>
      <c r="H106" s="1464"/>
      <c r="I106" s="1979">
        <f t="shared" si="7"/>
        <v>205000000</v>
      </c>
    </row>
    <row r="107" spans="1:9" ht="15" customHeight="1">
      <c r="A107" s="806">
        <v>101</v>
      </c>
      <c r="B107" s="245" t="s">
        <v>2110</v>
      </c>
      <c r="C107" s="245" t="str">
        <f>VLOOKUP(B107,DICH!B:C,2,FALSE)</f>
        <v>Rubber joint D1500</v>
      </c>
      <c r="D107" s="704" t="s">
        <v>14</v>
      </c>
      <c r="E107" s="166">
        <v>102000</v>
      </c>
      <c r="F107" s="166"/>
      <c r="G107" s="166"/>
      <c r="H107" s="166"/>
      <c r="I107" s="1979">
        <f t="shared" si="7"/>
        <v>102000</v>
      </c>
    </row>
    <row r="108" spans="1:9" ht="15" customHeight="1">
      <c r="A108" s="806">
        <v>102</v>
      </c>
      <c r="B108" s="245" t="s">
        <v>2142</v>
      </c>
      <c r="C108" s="245" t="str">
        <f>VLOOKUP(B108,DICH!B:C,2,FALSE)</f>
        <v>Pipe culvert D1500</v>
      </c>
      <c r="D108" s="704" t="s">
        <v>543</v>
      </c>
      <c r="E108" s="166">
        <v>4500000</v>
      </c>
      <c r="F108" s="166"/>
      <c r="G108" s="166"/>
      <c r="H108" s="166"/>
      <c r="I108" s="1979">
        <f t="shared" si="7"/>
        <v>4500000</v>
      </c>
    </row>
    <row r="109" spans="1:9" ht="15" customHeight="1">
      <c r="A109" s="806">
        <v>103</v>
      </c>
      <c r="B109" s="245" t="s">
        <v>107</v>
      </c>
      <c r="C109" s="245" t="str">
        <f>VLOOKUP(B109,DICH!B:C,2,FALSE)</f>
        <v>Glue epoxy cover</v>
      </c>
      <c r="D109" s="702" t="s">
        <v>558</v>
      </c>
      <c r="E109" s="166"/>
      <c r="F109" s="166">
        <v>352000</v>
      </c>
      <c r="G109" s="166"/>
      <c r="H109" s="166">
        <v>1080</v>
      </c>
      <c r="I109" s="1979">
        <f t="shared" si="7"/>
        <v>353080</v>
      </c>
    </row>
    <row r="110" spans="1:9" ht="15" customHeight="1">
      <c r="A110" s="806">
        <v>104</v>
      </c>
      <c r="B110" s="245" t="s">
        <v>594</v>
      </c>
      <c r="C110" s="245" t="str">
        <f>VLOOKUP(B110,DICH!B:C,2,FALSE)</f>
        <v>Expansion joint 10cm</v>
      </c>
      <c r="D110" s="240" t="s">
        <v>543</v>
      </c>
      <c r="E110" s="166"/>
      <c r="F110" s="166">
        <f>'12.ssg'!$K$21</f>
        <v>25890000</v>
      </c>
      <c r="G110" s="166"/>
      <c r="H110" s="166"/>
      <c r="I110" s="1979">
        <f t="shared" si="7"/>
        <v>25890000</v>
      </c>
    </row>
    <row r="111" spans="1:9" ht="15" customHeight="1">
      <c r="A111" s="806">
        <v>105</v>
      </c>
      <c r="B111" s="245" t="s">
        <v>2025</v>
      </c>
      <c r="C111" s="245" t="str">
        <f>VLOOKUP(B111,DICH!B:C,2,FALSE)</f>
        <v>Expansion joint 24cm</v>
      </c>
      <c r="D111" s="240" t="s">
        <v>543</v>
      </c>
      <c r="E111" s="166"/>
      <c r="F111" s="166">
        <f>'12.ssg'!$K$22</f>
        <v>70727272.727272719</v>
      </c>
      <c r="G111" s="166"/>
      <c r="H111" s="166"/>
      <c r="I111" s="1979">
        <f t="shared" si="7"/>
        <v>70727272.727272719</v>
      </c>
    </row>
    <row r="112" spans="1:9" ht="15" customHeight="1">
      <c r="A112" s="806">
        <v>106</v>
      </c>
      <c r="B112" s="245" t="s">
        <v>315</v>
      </c>
      <c r="C112" s="245" t="str">
        <f>VLOOKUP(B112,DICH!B:C,2,FALSE)</f>
        <v>Water-proof membrane layer</v>
      </c>
      <c r="D112" s="240" t="s">
        <v>548</v>
      </c>
      <c r="E112" s="166"/>
      <c r="F112" s="166">
        <f>110000/1.1</f>
        <v>99999.999999999985</v>
      </c>
      <c r="G112" s="166"/>
      <c r="H112" s="166"/>
      <c r="I112" s="1979">
        <f t="shared" si="7"/>
        <v>99999.999999999985</v>
      </c>
    </row>
    <row r="113" spans="1:9" ht="15" customHeight="1">
      <c r="A113" s="806">
        <v>107</v>
      </c>
      <c r="B113" s="662" t="s">
        <v>3835</v>
      </c>
      <c r="C113" s="245" t="str">
        <f>VLOOKUP(B113,DICH!B:C,2,FALSE)</f>
        <v>Concrete cutting blades</v>
      </c>
      <c r="D113" s="702" t="s">
        <v>567</v>
      </c>
      <c r="E113" s="166"/>
      <c r="F113" s="166"/>
      <c r="G113" s="166">
        <v>30000</v>
      </c>
      <c r="H113" s="166"/>
      <c r="I113" s="1979">
        <f t="shared" si="7"/>
        <v>30000</v>
      </c>
    </row>
    <row r="114" spans="1:9" ht="15" customHeight="1">
      <c r="A114" s="806">
        <v>108</v>
      </c>
      <c r="B114" s="245" t="s">
        <v>2198</v>
      </c>
      <c r="C114" s="245" t="str">
        <f>VLOOKUP(B114,DICH!B:C,2,FALSE)</f>
        <v>Concrete cutting blades D356mm</v>
      </c>
      <c r="D114" s="702" t="s">
        <v>567</v>
      </c>
      <c r="E114" s="166"/>
      <c r="F114" s="166"/>
      <c r="G114" s="166">
        <v>30000</v>
      </c>
      <c r="H114" s="166"/>
      <c r="I114" s="1979">
        <f t="shared" si="7"/>
        <v>30000</v>
      </c>
    </row>
    <row r="115" spans="1:9" ht="15" customHeight="1">
      <c r="A115" s="806">
        <v>109</v>
      </c>
      <c r="B115" s="245" t="s">
        <v>575</v>
      </c>
      <c r="C115" s="245" t="str">
        <f>VLOOKUP(B115,DICH!B:C,2,FALSE)</f>
        <v>Saw</v>
      </c>
      <c r="D115" s="240" t="s">
        <v>567</v>
      </c>
      <c r="E115" s="166"/>
      <c r="F115" s="166"/>
      <c r="G115" s="166">
        <v>4500</v>
      </c>
      <c r="H115" s="166"/>
      <c r="I115" s="1979">
        <f t="shared" si="7"/>
        <v>4500</v>
      </c>
    </row>
    <row r="116" spans="1:9" ht="15" customHeight="1">
      <c r="A116" s="806">
        <v>110</v>
      </c>
      <c r="B116" s="245" t="s">
        <v>658</v>
      </c>
      <c r="C116" s="245" t="str">
        <f>VLOOKUP(B116,DICH!B:C,2,FALSE)</f>
        <v>Temporary railling B40</v>
      </c>
      <c r="D116" s="240" t="s">
        <v>548</v>
      </c>
      <c r="E116" s="166">
        <f>'Cong bo gia'!$E$1585*2.3</f>
        <v>37676.299999999996</v>
      </c>
      <c r="F116" s="166"/>
      <c r="G116" s="166"/>
      <c r="H116" s="166"/>
      <c r="I116" s="1979">
        <f t="shared" si="7"/>
        <v>37676.299999999996</v>
      </c>
    </row>
    <row r="117" spans="1:9" ht="15" customHeight="1">
      <c r="A117" s="806">
        <v>111</v>
      </c>
      <c r="B117" s="662" t="s">
        <v>632</v>
      </c>
      <c r="C117" s="245" t="str">
        <f>VLOOKUP(B117,DICH!B:C,2,FALSE)</f>
        <v>Stell pipe nipple D114</v>
      </c>
      <c r="D117" s="702" t="s">
        <v>14</v>
      </c>
      <c r="E117" s="166"/>
      <c r="F117" s="166"/>
      <c r="G117" s="166">
        <v>16000</v>
      </c>
      <c r="H117" s="166"/>
      <c r="I117" s="1979">
        <f t="shared" si="7"/>
        <v>16000</v>
      </c>
    </row>
    <row r="118" spans="1:9" ht="15" customHeight="1">
      <c r="A118" s="806">
        <v>112</v>
      </c>
      <c r="B118" s="662" t="s">
        <v>631</v>
      </c>
      <c r="C118" s="245" t="str">
        <f>VLOOKUP(B118,DICH!B:C,2,FALSE)</f>
        <v>Stell pipe nipple D60</v>
      </c>
      <c r="D118" s="702" t="s">
        <v>14</v>
      </c>
      <c r="E118" s="166"/>
      <c r="F118" s="166"/>
      <c r="G118" s="166">
        <v>7000</v>
      </c>
      <c r="H118" s="166"/>
      <c r="I118" s="1979">
        <f t="shared" si="7"/>
        <v>7000</v>
      </c>
    </row>
    <row r="119" spans="1:9" ht="15" customHeight="1">
      <c r="A119" s="806">
        <v>113</v>
      </c>
      <c r="B119" s="245" t="s">
        <v>616</v>
      </c>
      <c r="C119" s="245" t="str">
        <f>VLOOKUP(B119,DICH!B:C,2,FALSE)</f>
        <v>Lubricant grease</v>
      </c>
      <c r="D119" s="240" t="s">
        <v>558</v>
      </c>
      <c r="E119" s="327"/>
      <c r="F119" s="166"/>
      <c r="G119" s="327">
        <v>14560</v>
      </c>
      <c r="H119" s="166"/>
      <c r="I119" s="1979">
        <f t="shared" si="7"/>
        <v>14560</v>
      </c>
    </row>
    <row r="120" spans="1:9" ht="15" customHeight="1">
      <c r="A120" s="806">
        <v>114</v>
      </c>
      <c r="B120" s="819" t="s">
        <v>3621</v>
      </c>
      <c r="C120" s="245" t="str">
        <f>VLOOKUP(B120,DICH!B:C,2,FALSE)</f>
        <v>Tip for drill</v>
      </c>
      <c r="D120" s="704" t="s">
        <v>567</v>
      </c>
      <c r="E120" s="166"/>
      <c r="F120" s="166"/>
      <c r="G120" s="166">
        <v>50000</v>
      </c>
      <c r="H120" s="166"/>
      <c r="I120" s="1979">
        <f t="shared" si="7"/>
        <v>50000</v>
      </c>
    </row>
    <row r="121" spans="1:9" ht="15" customHeight="1">
      <c r="A121" s="806">
        <v>115</v>
      </c>
      <c r="B121" s="245" t="s">
        <v>3469</v>
      </c>
      <c r="C121" s="245" t="str">
        <f>VLOOKUP(B121,DICH!B:C,2,FALSE)</f>
        <v>Tip for drill D20</v>
      </c>
      <c r="D121" s="702" t="s">
        <v>567</v>
      </c>
      <c r="E121" s="166"/>
      <c r="F121" s="166"/>
      <c r="G121" s="166">
        <v>50000</v>
      </c>
      <c r="H121" s="166"/>
      <c r="I121" s="1979">
        <f t="shared" si="7"/>
        <v>50000</v>
      </c>
    </row>
    <row r="122" spans="1:9" ht="15" customHeight="1">
      <c r="A122" s="806">
        <v>116</v>
      </c>
      <c r="B122" s="662" t="s">
        <v>181</v>
      </c>
      <c r="C122" s="245" t="str">
        <f>VLOOKUP(B122,DICH!B:C,2,FALSE)</f>
        <v>Plastic cover D80</v>
      </c>
      <c r="D122" s="702" t="s">
        <v>567</v>
      </c>
      <c r="E122" s="166"/>
      <c r="F122" s="166">
        <v>5000</v>
      </c>
      <c r="G122" s="166"/>
      <c r="H122" s="166"/>
      <c r="I122" s="1979">
        <f t="shared" si="7"/>
        <v>5000</v>
      </c>
    </row>
    <row r="123" spans="1:9" ht="15" customHeight="1">
      <c r="A123" s="806">
        <v>117</v>
      </c>
      <c r="B123" s="245" t="s">
        <v>665</v>
      </c>
      <c r="C123" s="245" t="str">
        <f>VLOOKUP(B123,DICH!B:C,2,FALSE)</f>
        <v xml:space="preserve"> Active cable anchorage 12s D15.2</v>
      </c>
      <c r="D123" s="240" t="s">
        <v>307</v>
      </c>
      <c r="E123" s="166"/>
      <c r="F123" s="166">
        <f>'12.ssg'!$K$17</f>
        <v>1790000</v>
      </c>
      <c r="G123" s="166"/>
      <c r="H123" s="166"/>
      <c r="I123" s="1979">
        <f t="shared" si="7"/>
        <v>1790000</v>
      </c>
    </row>
    <row r="124" spans="1:9" ht="15" customHeight="1">
      <c r="A124" s="806">
        <v>118</v>
      </c>
      <c r="B124" s="245" t="s">
        <v>2024</v>
      </c>
      <c r="C124" s="245" t="str">
        <f>VLOOKUP(B124,DICH!B:C,2,FALSE)</f>
        <v xml:space="preserve"> Active cable anchorage 27s D15.2</v>
      </c>
      <c r="D124" s="240" t="s">
        <v>307</v>
      </c>
      <c r="E124" s="166"/>
      <c r="F124" s="166">
        <f>'12.ssg'!$K$18</f>
        <v>3137989.9999999995</v>
      </c>
      <c r="G124" s="166"/>
      <c r="H124" s="166"/>
      <c r="I124" s="1979">
        <f t="shared" si="7"/>
        <v>3137989.9999999995</v>
      </c>
    </row>
    <row r="125" spans="1:9" ht="15" customHeight="1">
      <c r="A125" s="806">
        <v>119</v>
      </c>
      <c r="B125" s="245" t="s">
        <v>3457</v>
      </c>
      <c r="C125" s="245" t="str">
        <f>VLOOKUP(B125,DICH!B:C,2,FALSE)</f>
        <v xml:space="preserve"> Active cable anchorage 5s D15.2</v>
      </c>
      <c r="D125" s="240" t="s">
        <v>307</v>
      </c>
      <c r="E125" s="166"/>
      <c r="F125" s="166">
        <f>'12.ssg'!$K$19</f>
        <v>572727.27272727271</v>
      </c>
      <c r="G125" s="166"/>
      <c r="H125" s="166"/>
      <c r="I125" s="1979">
        <f t="shared" si="7"/>
        <v>572727.27272727271</v>
      </c>
    </row>
    <row r="126" spans="1:9" ht="15" customHeight="1">
      <c r="A126" s="806">
        <v>120</v>
      </c>
      <c r="B126" s="245" t="s">
        <v>660</v>
      </c>
      <c r="C126" s="245" t="str">
        <f>VLOOKUP(B126,DICH!B:C,2,FALSE)</f>
        <v>bitumen</v>
      </c>
      <c r="D126" s="240" t="s">
        <v>558</v>
      </c>
      <c r="E126" s="166"/>
      <c r="F126" s="166"/>
      <c r="G126" s="166">
        <v>50000</v>
      </c>
      <c r="H126" s="166"/>
      <c r="I126" s="1979">
        <f>SUM(E126:H126)</f>
        <v>50000</v>
      </c>
    </row>
    <row r="127" spans="1:9" ht="15" customHeight="1">
      <c r="A127" s="806">
        <v>121</v>
      </c>
      <c r="B127" s="245" t="s">
        <v>360</v>
      </c>
      <c r="C127" s="245" t="str">
        <f>VLOOKUP(B127,DICH!B:C,2,FALSE)</f>
        <v>glue</v>
      </c>
      <c r="D127" s="240" t="s">
        <v>558</v>
      </c>
      <c r="E127" s="166">
        <f>'Cong bo gia'!$F$984</f>
        <v>100900</v>
      </c>
      <c r="F127" s="166"/>
      <c r="G127" s="166"/>
      <c r="H127" s="166"/>
      <c r="I127" s="1979">
        <f t="shared" si="7"/>
        <v>100900</v>
      </c>
    </row>
    <row r="128" spans="1:9" ht="15" customHeight="1">
      <c r="A128" s="806">
        <v>122</v>
      </c>
      <c r="B128" s="245" t="s">
        <v>590</v>
      </c>
      <c r="C128" s="245" t="str">
        <f>VLOOKUP(B128,DICH!B:C,2,FALSE)</f>
        <v>bitumen</v>
      </c>
      <c r="D128" s="240" t="s">
        <v>558</v>
      </c>
      <c r="E128" s="166">
        <f>'Cong bo gia'!$E$61</f>
        <v>15750</v>
      </c>
      <c r="F128" s="166"/>
      <c r="G128" s="166"/>
      <c r="H128" s="166">
        <f>'13.vanchuyen'!$AI$46/1000</f>
        <v>73.463399999999993</v>
      </c>
      <c r="I128" s="1979">
        <f t="shared" si="7"/>
        <v>15823.463400000001</v>
      </c>
    </row>
    <row r="129" spans="1:9" ht="15" customHeight="1">
      <c r="A129" s="806">
        <v>123</v>
      </c>
      <c r="B129" s="245" t="s">
        <v>589</v>
      </c>
      <c r="C129" s="245" t="str">
        <f>VLOOKUP(B129,DICH!B:C,2,FALSE)</f>
        <v>water</v>
      </c>
      <c r="D129" s="240" t="s">
        <v>545</v>
      </c>
      <c r="E129" s="166"/>
      <c r="F129" s="166"/>
      <c r="G129" s="166">
        <v>4000</v>
      </c>
      <c r="H129" s="166"/>
      <c r="I129" s="1979">
        <f t="shared" si="7"/>
        <v>4000</v>
      </c>
    </row>
    <row r="130" spans="1:9" ht="15" customHeight="1">
      <c r="A130" s="806">
        <v>124</v>
      </c>
      <c r="B130" s="245" t="s">
        <v>564</v>
      </c>
      <c r="C130" s="245" t="str">
        <f>VLOOKUP(B130,DICH!B:C,2,FALSE)</f>
        <v>oxygen</v>
      </c>
      <c r="D130" s="240" t="s">
        <v>565</v>
      </c>
      <c r="E130" s="166"/>
      <c r="F130" s="166"/>
      <c r="G130" s="166">
        <v>48000</v>
      </c>
      <c r="H130" s="166"/>
      <c r="I130" s="1979">
        <f t="shared" si="7"/>
        <v>48000</v>
      </c>
    </row>
    <row r="131" spans="1:9" ht="15" customHeight="1">
      <c r="A131" s="806">
        <v>125</v>
      </c>
      <c r="B131" s="245" t="s">
        <v>669</v>
      </c>
      <c r="C131" s="245" t="str">
        <f>VLOOKUP(B131,DICH!B:C,2,FALSE)</f>
        <v>pouring pipe D300</v>
      </c>
      <c r="D131" s="240" t="s">
        <v>543</v>
      </c>
      <c r="E131" s="166"/>
      <c r="F131" s="166"/>
      <c r="G131" s="623">
        <v>140000</v>
      </c>
      <c r="H131" s="166"/>
      <c r="I131" s="1979">
        <f t="shared" si="7"/>
        <v>140000</v>
      </c>
    </row>
    <row r="132" spans="1:9" ht="15" customHeight="1">
      <c r="A132" s="806">
        <v>126</v>
      </c>
      <c r="B132" s="245" t="s">
        <v>2070</v>
      </c>
      <c r="C132" s="245" t="str">
        <f>VLOOKUP(B132,DICH!B:C,2,FALSE)</f>
        <v>Install cast  pipe D170/150</v>
      </c>
      <c r="D132" s="240" t="s">
        <v>543</v>
      </c>
      <c r="E132" s="166"/>
      <c r="F132" s="166">
        <v>520000</v>
      </c>
      <c r="G132" s="166"/>
      <c r="H132" s="166"/>
      <c r="I132" s="1979">
        <f t="shared" si="7"/>
        <v>520000</v>
      </c>
    </row>
    <row r="133" spans="1:9" ht="15" customHeight="1">
      <c r="A133" s="806">
        <v>127</v>
      </c>
      <c r="B133" s="245" t="s">
        <v>2067</v>
      </c>
      <c r="C133" s="245" t="str">
        <f>VLOOKUP(B133,DICH!B:C,2,FALSE)</f>
        <v>Duct 20x75</v>
      </c>
      <c r="D133" s="240" t="s">
        <v>543</v>
      </c>
      <c r="E133" s="166"/>
      <c r="F133" s="166">
        <f>'12.ssg'!$E$28</f>
        <v>26363.63636363636</v>
      </c>
      <c r="G133" s="166"/>
      <c r="H133" s="166"/>
      <c r="I133" s="1979">
        <f t="shared" si="7"/>
        <v>26363.63636363636</v>
      </c>
    </row>
    <row r="134" spans="1:9" ht="15" customHeight="1">
      <c r="A134" s="806">
        <v>128</v>
      </c>
      <c r="B134" s="245" t="s">
        <v>2061</v>
      </c>
      <c r="C134" s="245" t="str">
        <f>VLOOKUP(B134,DICH!B:C,2,FALSE)</f>
        <v>Pipe PVC D100</v>
      </c>
      <c r="D134" s="702" t="s">
        <v>543</v>
      </c>
      <c r="E134" s="166">
        <f>'Cong bo gia'!$E$936</f>
        <v>72100</v>
      </c>
      <c r="F134" s="166"/>
      <c r="G134" s="166"/>
      <c r="H134" s="166"/>
      <c r="I134" s="1979">
        <f t="shared" si="7"/>
        <v>72100</v>
      </c>
    </row>
    <row r="135" spans="1:9" ht="15" customHeight="1">
      <c r="A135" s="806">
        <v>129</v>
      </c>
      <c r="B135" s="245" t="s">
        <v>2021</v>
      </c>
      <c r="C135" s="245" t="str">
        <f>VLOOKUP(B135,DICH!B:C,2,FALSE)</f>
        <v>Pipe PVC D114</v>
      </c>
      <c r="D135" s="240" t="s">
        <v>543</v>
      </c>
      <c r="E135" s="166">
        <f>'Cong bo gia'!$E$927</f>
        <v>81000</v>
      </c>
      <c r="F135" s="166"/>
      <c r="G135" s="166"/>
      <c r="H135" s="166"/>
      <c r="I135" s="1979">
        <f t="shared" si="7"/>
        <v>81000</v>
      </c>
    </row>
    <row r="136" spans="1:9" ht="15" customHeight="1">
      <c r="A136" s="806">
        <v>130</v>
      </c>
      <c r="B136" s="245" t="s">
        <v>668</v>
      </c>
      <c r="C136" s="245" t="str">
        <f>VLOOKUP(B136,DICH!B:C,2,FALSE)</f>
        <v>Pipe PVC D60</v>
      </c>
      <c r="D136" s="240" t="s">
        <v>543</v>
      </c>
      <c r="E136" s="166">
        <f>'Cong bo gia'!$E$925</f>
        <v>22600</v>
      </c>
      <c r="F136" s="166"/>
      <c r="G136" s="166"/>
      <c r="H136" s="166"/>
      <c r="I136" s="1979">
        <f t="shared" si="7"/>
        <v>22600</v>
      </c>
    </row>
    <row r="137" spans="1:9" ht="15" customHeight="1">
      <c r="A137" s="806">
        <v>131</v>
      </c>
      <c r="B137" s="245" t="s">
        <v>2229</v>
      </c>
      <c r="C137" s="245" t="str">
        <f>VLOOKUP(B137,DICH!B:C,2,FALSE)</f>
        <v>Pipe PVC D75</v>
      </c>
      <c r="D137" s="240" t="s">
        <v>543</v>
      </c>
      <c r="E137" s="166">
        <f>'Cong bo gia'!$E$934</f>
        <v>34500</v>
      </c>
      <c r="F137" s="166"/>
      <c r="G137" s="166"/>
      <c r="H137" s="166"/>
      <c r="I137" s="1979">
        <f t="shared" si="7"/>
        <v>34500</v>
      </c>
    </row>
    <row r="138" spans="1:9" ht="15" customHeight="1">
      <c r="A138" s="806">
        <v>132</v>
      </c>
      <c r="B138" s="245" t="s">
        <v>2154</v>
      </c>
      <c r="C138" s="245" t="str">
        <f>VLOOKUP(B138,DICH!B:C,2,FALSE)</f>
        <v>joint duct 20x75</v>
      </c>
      <c r="D138" s="240" t="s">
        <v>543</v>
      </c>
      <c r="E138" s="166"/>
      <c r="F138" s="166"/>
      <c r="G138" s="166">
        <v>43000</v>
      </c>
      <c r="H138" s="166"/>
      <c r="I138" s="1979">
        <f t="shared" si="7"/>
        <v>43000</v>
      </c>
    </row>
    <row r="139" spans="1:9" ht="15" customHeight="1">
      <c r="A139" s="806">
        <v>133</v>
      </c>
      <c r="B139" s="245" t="s">
        <v>2152</v>
      </c>
      <c r="C139" s="245" t="str">
        <f>VLOOKUP(B139,DICH!B:C,2,FALSE)</f>
        <v>joint pipe PVC D110/117</v>
      </c>
      <c r="D139" s="240" t="s">
        <v>543</v>
      </c>
      <c r="E139" s="166"/>
      <c r="F139" s="166">
        <f>'12.ssg'!$K$29</f>
        <v>40909.090909090904</v>
      </c>
      <c r="G139" s="166"/>
      <c r="H139" s="166"/>
      <c r="I139" s="1979">
        <f t="shared" si="7"/>
        <v>40909.090909090904</v>
      </c>
    </row>
    <row r="140" spans="1:9" ht="15" customHeight="1">
      <c r="A140" s="806">
        <v>134</v>
      </c>
      <c r="B140" s="245" t="s">
        <v>2155</v>
      </c>
      <c r="C140" s="245" t="str">
        <f>VLOOKUP(B140,DICH!B:C,2,FALSE)</f>
        <v>joint pipe PVC D69/72</v>
      </c>
      <c r="D140" s="240" t="s">
        <v>543</v>
      </c>
      <c r="E140" s="166"/>
      <c r="F140" s="166">
        <v>18000</v>
      </c>
      <c r="G140" s="166"/>
      <c r="H140" s="166"/>
      <c r="I140" s="1979">
        <f t="shared" si="7"/>
        <v>18000</v>
      </c>
    </row>
    <row r="141" spans="1:9" ht="15" customHeight="1">
      <c r="A141" s="806">
        <v>135</v>
      </c>
      <c r="B141" s="245" t="s">
        <v>2157</v>
      </c>
      <c r="C141" s="245" t="str">
        <f>VLOOKUP(B141,DICH!B:C,2,FALSE)</f>
        <v>joint pipe PVC D75/80</v>
      </c>
      <c r="D141" s="240" t="s">
        <v>543</v>
      </c>
      <c r="E141" s="166"/>
      <c r="F141" s="166">
        <v>27000</v>
      </c>
      <c r="G141" s="166"/>
      <c r="H141" s="166"/>
      <c r="I141" s="1979">
        <f t="shared" si="7"/>
        <v>27000</v>
      </c>
    </row>
    <row r="142" spans="1:9" ht="15" customHeight="1">
      <c r="A142" s="806">
        <v>136</v>
      </c>
      <c r="B142" s="245" t="s">
        <v>2153</v>
      </c>
      <c r="C142" s="245" t="str">
        <f>VLOOKUP(B142,DICH!B:C,2,FALSE)</f>
        <v>joint pipe PVC D80/87</v>
      </c>
      <c r="D142" s="240" t="s">
        <v>543</v>
      </c>
      <c r="E142" s="166"/>
      <c r="F142" s="166">
        <f>'12.ssg'!$K$30</f>
        <v>29999.999999999996</v>
      </c>
      <c r="G142" s="166"/>
      <c r="H142" s="166"/>
      <c r="I142" s="1979">
        <f t="shared" si="7"/>
        <v>29999.999999999996</v>
      </c>
    </row>
    <row r="143" spans="1:9" ht="15" customHeight="1">
      <c r="A143" s="806">
        <v>137</v>
      </c>
      <c r="B143" s="245" t="s">
        <v>2156</v>
      </c>
      <c r="C143" s="245" t="str">
        <f>VLOOKUP(B143,DICH!B:C,2,FALSE)</f>
        <v>joint pipe PVC D84/89</v>
      </c>
      <c r="D143" s="240" t="s">
        <v>543</v>
      </c>
      <c r="E143" s="166"/>
      <c r="F143" s="166">
        <v>34000</v>
      </c>
      <c r="G143" s="166"/>
      <c r="H143" s="166"/>
      <c r="I143" s="1979">
        <f t="shared" si="7"/>
        <v>34000</v>
      </c>
    </row>
    <row r="144" spans="1:9" ht="15" customHeight="1">
      <c r="A144" s="806">
        <v>138</v>
      </c>
      <c r="B144" s="245" t="s">
        <v>676</v>
      </c>
      <c r="C144" s="245" t="str">
        <f>VLOOKUP(B144,DICH!B:C,2,FALSE)</f>
        <v>Steel pipe D114</v>
      </c>
      <c r="D144" s="240" t="s">
        <v>543</v>
      </c>
      <c r="E144" s="166"/>
      <c r="F144" s="166">
        <f>2462000/6</f>
        <v>410333.33333333331</v>
      </c>
      <c r="G144" s="166"/>
      <c r="H144" s="166"/>
      <c r="I144" s="1979">
        <f t="shared" si="7"/>
        <v>410333.33333333331</v>
      </c>
    </row>
    <row r="145" spans="1:9" ht="15" customHeight="1">
      <c r="A145" s="806">
        <v>139</v>
      </c>
      <c r="B145" s="245" t="s">
        <v>675</v>
      </c>
      <c r="C145" s="245" t="str">
        <f>VLOOKUP(B145,DICH!B:C,2,FALSE)</f>
        <v>Steel pipe D60</v>
      </c>
      <c r="D145" s="240" t="s">
        <v>543</v>
      </c>
      <c r="E145" s="166"/>
      <c r="F145" s="166">
        <f>412000/6</f>
        <v>68666.666666666672</v>
      </c>
      <c r="G145" s="166"/>
      <c r="H145" s="166"/>
      <c r="I145" s="1979">
        <f t="shared" si="7"/>
        <v>68666.666666666672</v>
      </c>
    </row>
    <row r="146" spans="1:9" ht="15" customHeight="1">
      <c r="A146" s="806">
        <v>140</v>
      </c>
      <c r="B146" s="245" t="s">
        <v>511</v>
      </c>
      <c r="C146" s="245" t="str">
        <f>VLOOKUP(B146,DICH!B:C,2,FALSE)</f>
        <v>Steel pipe D69/72</v>
      </c>
      <c r="D146" s="240" t="s">
        <v>543</v>
      </c>
      <c r="E146" s="166"/>
      <c r="F146" s="166">
        <f>400000/6</f>
        <v>66666.666666666672</v>
      </c>
      <c r="G146" s="664"/>
      <c r="H146" s="664"/>
      <c r="I146" s="1979">
        <f t="shared" si="7"/>
        <v>66666.666666666672</v>
      </c>
    </row>
    <row r="147" spans="1:9" ht="15" customHeight="1">
      <c r="A147" s="806">
        <v>141</v>
      </c>
      <c r="B147" s="245" t="s">
        <v>512</v>
      </c>
      <c r="C147" s="245" t="str">
        <f>VLOOKUP(B147,DICH!B:C,2,FALSE)</f>
        <v>Steel pipe D75/80</v>
      </c>
      <c r="D147" s="240" t="s">
        <v>543</v>
      </c>
      <c r="E147" s="166"/>
      <c r="F147" s="166">
        <f>492000/6</f>
        <v>82000</v>
      </c>
      <c r="G147" s="166"/>
      <c r="H147" s="166"/>
      <c r="I147" s="1979">
        <f t="shared" ref="I147:I188" si="8">SUM(E147:H147)</f>
        <v>82000</v>
      </c>
    </row>
    <row r="148" spans="1:9" ht="15" customHeight="1">
      <c r="A148" s="806">
        <v>142</v>
      </c>
      <c r="B148" s="245" t="s">
        <v>510</v>
      </c>
      <c r="C148" s="245" t="str">
        <f>VLOOKUP(B148,DICH!B:C,2,FALSE)</f>
        <v>Steel pipe D84/89</v>
      </c>
      <c r="D148" s="240" t="s">
        <v>543</v>
      </c>
      <c r="E148" s="166"/>
      <c r="F148" s="166">
        <f>540000/6</f>
        <v>90000</v>
      </c>
      <c r="G148" s="166"/>
      <c r="H148" s="166"/>
      <c r="I148" s="1979">
        <f t="shared" si="8"/>
        <v>90000</v>
      </c>
    </row>
    <row r="149" spans="1:9" ht="15" customHeight="1">
      <c r="A149" s="806">
        <v>143</v>
      </c>
      <c r="B149" s="245" t="s">
        <v>2066</v>
      </c>
      <c r="C149" s="245" t="str">
        <f>VLOOKUP(B149,DICH!B:C,2,FALSE)</f>
        <v>Cable steel pipe D110/117</v>
      </c>
      <c r="D149" s="240" t="s">
        <v>543</v>
      </c>
      <c r="E149" s="166"/>
      <c r="F149" s="166">
        <f>'12.ssg'!$K$26</f>
        <v>42727.272727272721</v>
      </c>
      <c r="G149" s="166"/>
      <c r="H149" s="166"/>
      <c r="I149" s="1979">
        <f t="shared" si="8"/>
        <v>42727.272727272721</v>
      </c>
    </row>
    <row r="150" spans="1:9" ht="15" customHeight="1">
      <c r="A150" s="806">
        <v>144</v>
      </c>
      <c r="B150" s="245" t="s">
        <v>509</v>
      </c>
      <c r="C150" s="245" t="str">
        <f>VLOOKUP(B150,DICH!B:C,2,FALSE)</f>
        <v>Cable steel pipe D80/87</v>
      </c>
      <c r="D150" s="240" t="s">
        <v>543</v>
      </c>
      <c r="E150" s="166"/>
      <c r="F150" s="166">
        <f>'12.ssg'!$K$27</f>
        <v>38181.818181818177</v>
      </c>
      <c r="G150" s="166"/>
      <c r="H150" s="166"/>
      <c r="I150" s="1979">
        <f t="shared" si="8"/>
        <v>38181.818181818177</v>
      </c>
    </row>
    <row r="151" spans="1:9" ht="15" customHeight="1">
      <c r="A151" s="806">
        <v>145</v>
      </c>
      <c r="B151" s="245" t="s">
        <v>605</v>
      </c>
      <c r="C151" s="245" t="str">
        <f>VLOOKUP(B151,DICH!B:C,2,FALSE)</f>
        <v>admixture CMC</v>
      </c>
      <c r="D151" s="240" t="s">
        <v>558</v>
      </c>
      <c r="E151" s="166"/>
      <c r="F151" s="166">
        <f>55000000/1.1/1000</f>
        <v>49999.999999999993</v>
      </c>
      <c r="G151" s="166"/>
      <c r="H151" s="166"/>
      <c r="I151" s="1979">
        <f t="shared" si="8"/>
        <v>49999.999999999993</v>
      </c>
    </row>
    <row r="152" spans="1:9" ht="15" customHeight="1">
      <c r="A152" s="806">
        <v>146</v>
      </c>
      <c r="B152" s="245" t="s">
        <v>3407</v>
      </c>
      <c r="C152" s="245"/>
      <c r="D152" s="701" t="s">
        <v>558</v>
      </c>
      <c r="E152" s="166"/>
      <c r="F152" s="166">
        <f>F158</f>
        <v>17800</v>
      </c>
      <c r="G152" s="166"/>
      <c r="H152" s="166"/>
      <c r="I152" s="1979">
        <f t="shared" si="8"/>
        <v>17800</v>
      </c>
    </row>
    <row r="153" spans="1:9" ht="15" customHeight="1">
      <c r="A153" s="806">
        <v>147</v>
      </c>
      <c r="B153" s="245" t="s">
        <v>559</v>
      </c>
      <c r="C153" s="245" t="str">
        <f>VLOOKUP(B153,DICH!B:C,2,FALSE)</f>
        <v>welding electrode</v>
      </c>
      <c r="D153" s="240" t="s">
        <v>558</v>
      </c>
      <c r="E153" s="166">
        <f>'Cong bo gia'!$E$1590</f>
        <v>19090.909090909088</v>
      </c>
      <c r="F153" s="166"/>
      <c r="G153" s="166"/>
      <c r="H153" s="166"/>
      <c r="I153" s="1979">
        <f t="shared" si="8"/>
        <v>19090.909090909088</v>
      </c>
    </row>
    <row r="154" spans="1:9" ht="15" customHeight="1">
      <c r="A154" s="806">
        <v>148</v>
      </c>
      <c r="B154" s="245" t="s">
        <v>434</v>
      </c>
      <c r="C154" s="245" t="str">
        <f>VLOOKUP(B154,DICH!B:C,2,FALSE)</f>
        <v xml:space="preserve">alloy bucket teeth </v>
      </c>
      <c r="D154" s="240" t="s">
        <v>567</v>
      </c>
      <c r="E154" s="166"/>
      <c r="F154" s="166"/>
      <c r="G154" s="166">
        <v>85000</v>
      </c>
      <c r="H154" s="166"/>
      <c r="I154" s="1979">
        <f t="shared" si="8"/>
        <v>85000</v>
      </c>
    </row>
    <row r="155" spans="1:9" ht="15" customHeight="1">
      <c r="A155" s="806">
        <v>149</v>
      </c>
      <c r="B155" s="662" t="s">
        <v>182</v>
      </c>
      <c r="C155" s="245" t="str">
        <f>VLOOKUP(B155,DICH!B:C,2,FALSE)</f>
        <v>Steel pipe D80</v>
      </c>
      <c r="D155" s="702" t="s">
        <v>543</v>
      </c>
      <c r="E155" s="166"/>
      <c r="F155" s="166">
        <f>515000/6</f>
        <v>85833.333333333328</v>
      </c>
      <c r="G155" s="166"/>
      <c r="H155" s="166"/>
      <c r="I155" s="1979">
        <f t="shared" si="8"/>
        <v>85833.333333333328</v>
      </c>
    </row>
    <row r="156" spans="1:9" ht="15" customHeight="1">
      <c r="A156" s="806">
        <v>150</v>
      </c>
      <c r="B156" s="245" t="s">
        <v>91</v>
      </c>
      <c r="C156" s="245" t="str">
        <f>VLOOKUP(B156,DICH!B:C,2,FALSE)</f>
        <v>Sika IntraplastZ</v>
      </c>
      <c r="D156" s="240" t="s">
        <v>558</v>
      </c>
      <c r="E156" s="166"/>
      <c r="F156" s="166">
        <v>82000</v>
      </c>
      <c r="G156" s="166"/>
      <c r="H156" s="166">
        <v>1080</v>
      </c>
      <c r="I156" s="1979">
        <f t="shared" si="8"/>
        <v>83080</v>
      </c>
    </row>
    <row r="157" spans="1:9" ht="15" customHeight="1">
      <c r="A157" s="806">
        <v>151</v>
      </c>
      <c r="B157" s="245" t="s">
        <v>633</v>
      </c>
      <c r="C157" s="245" t="s">
        <v>633</v>
      </c>
      <c r="D157" s="240" t="s">
        <v>464</v>
      </c>
      <c r="E157" s="166"/>
      <c r="F157" s="166">
        <v>16200</v>
      </c>
      <c r="G157" s="166"/>
      <c r="H157" s="166">
        <v>1080</v>
      </c>
      <c r="I157" s="1979">
        <f t="shared" si="8"/>
        <v>17280</v>
      </c>
    </row>
    <row r="158" spans="1:9" ht="15" customHeight="1">
      <c r="A158" s="806">
        <v>152</v>
      </c>
      <c r="B158" s="245" t="s">
        <v>90</v>
      </c>
      <c r="C158" s="245" t="str">
        <f>VLOOKUP(B158,DICH!B:C,2,FALSE)</f>
        <v>Sikament R4</v>
      </c>
      <c r="D158" s="701" t="s">
        <v>558</v>
      </c>
      <c r="E158" s="166"/>
      <c r="F158" s="166">
        <v>17800</v>
      </c>
      <c r="G158" s="166"/>
      <c r="H158" s="166">
        <v>1080</v>
      </c>
      <c r="I158" s="1979">
        <f t="shared" si="8"/>
        <v>18880</v>
      </c>
    </row>
    <row r="159" spans="1:9" ht="15" customHeight="1">
      <c r="A159" s="806">
        <v>153</v>
      </c>
      <c r="B159" s="245" t="s">
        <v>126</v>
      </c>
      <c r="C159" s="245" t="str">
        <f>VLOOKUP(B159,DICH!B:C,2,FALSE)</f>
        <v>Paint</v>
      </c>
      <c r="D159" s="240" t="s">
        <v>558</v>
      </c>
      <c r="E159" s="166">
        <f>'Cong bo gia'!$E$750</f>
        <v>86666.666666666672</v>
      </c>
      <c r="F159" s="166"/>
      <c r="G159" s="166"/>
      <c r="H159" s="166"/>
      <c r="I159" s="1979">
        <f t="shared" si="8"/>
        <v>86666.666666666672</v>
      </c>
    </row>
    <row r="160" spans="1:9" ht="15" customHeight="1">
      <c r="A160" s="806">
        <v>154</v>
      </c>
      <c r="B160" s="245" t="s">
        <v>596</v>
      </c>
      <c r="C160" s="245" t="str">
        <f>VLOOKUP(B160,DICH!B:C,2,FALSE)</f>
        <v>Antirust paint</v>
      </c>
      <c r="D160" s="240" t="s">
        <v>558</v>
      </c>
      <c r="E160" s="166">
        <f>'Cong bo gia'!$E$765</f>
        <v>41169.090909090904</v>
      </c>
      <c r="F160" s="166"/>
      <c r="G160" s="166"/>
      <c r="H160" s="166"/>
      <c r="I160" s="1979">
        <f t="shared" si="8"/>
        <v>41169.090909090904</v>
      </c>
    </row>
    <row r="161" spans="1:9" ht="15" customHeight="1">
      <c r="A161" s="806">
        <v>155</v>
      </c>
      <c r="B161" s="245" t="s">
        <v>106</v>
      </c>
      <c r="C161" s="245" t="str">
        <f>VLOOKUP(B161,DICH!B:C,2,FALSE)</f>
        <v xml:space="preserve">Heat viscid paint </v>
      </c>
      <c r="D161" s="239" t="s">
        <v>558</v>
      </c>
      <c r="E161" s="166"/>
      <c r="F161" s="166">
        <v>20100</v>
      </c>
      <c r="G161" s="166"/>
      <c r="H161" s="166"/>
      <c r="I161" s="1979">
        <f t="shared" si="8"/>
        <v>20100</v>
      </c>
    </row>
    <row r="162" spans="1:9" ht="15" customHeight="1">
      <c r="A162" s="806">
        <v>156</v>
      </c>
      <c r="B162" s="245" t="s">
        <v>13</v>
      </c>
      <c r="C162" s="245" t="str">
        <f>VLOOKUP(B162,DICH!B:C,2,FALSE)</f>
        <v>Priming paint</v>
      </c>
      <c r="D162" s="239" t="s">
        <v>558</v>
      </c>
      <c r="E162" s="166"/>
      <c r="F162" s="166">
        <v>62500</v>
      </c>
      <c r="G162" s="166"/>
      <c r="H162" s="166"/>
      <c r="I162" s="1979">
        <f t="shared" si="8"/>
        <v>62500</v>
      </c>
    </row>
    <row r="163" spans="1:9" ht="15" customHeight="1">
      <c r="A163" s="806">
        <v>157</v>
      </c>
      <c r="B163" s="665" t="s">
        <v>2248</v>
      </c>
      <c r="C163" s="245" t="str">
        <f>VLOOKUP(B163,DICH!B:C,2,FALSE)</f>
        <v>wooden tie 14x22x180</v>
      </c>
      <c r="D163" s="1406" t="s">
        <v>2249</v>
      </c>
      <c r="E163" s="166"/>
      <c r="F163" s="166"/>
      <c r="G163" s="623">
        <v>412474</v>
      </c>
      <c r="H163" s="166"/>
      <c r="I163" s="1979">
        <f t="shared" si="8"/>
        <v>412474</v>
      </c>
    </row>
    <row r="164" spans="1:9" ht="15" customHeight="1">
      <c r="A164" s="806">
        <v>158</v>
      </c>
      <c r="B164" s="662" t="s">
        <v>722</v>
      </c>
      <c r="C164" s="245" t="str">
        <f>VLOOKUP(B164,DICH!B:C,2,FALSE)</f>
        <v>rubber plate, thickness 20mm</v>
      </c>
      <c r="D164" s="240" t="s">
        <v>548</v>
      </c>
      <c r="E164" s="166"/>
      <c r="F164" s="166">
        <v>1680000</v>
      </c>
      <c r="G164" s="664"/>
      <c r="H164" s="166"/>
      <c r="I164" s="1979">
        <f t="shared" si="8"/>
        <v>1680000</v>
      </c>
    </row>
    <row r="165" spans="1:9" ht="15" customHeight="1">
      <c r="A165" s="806">
        <v>159</v>
      </c>
      <c r="B165" s="245" t="s">
        <v>48</v>
      </c>
      <c r="C165" s="245" t="str">
        <f>VLOOKUP(B165,DICH!B:C,2,FALSE)</f>
        <v>Plastic plate preventing water</v>
      </c>
      <c r="D165" s="240" t="s">
        <v>543</v>
      </c>
      <c r="E165" s="166"/>
      <c r="F165" s="166">
        <v>172000</v>
      </c>
      <c r="G165" s="166"/>
      <c r="H165" s="166"/>
      <c r="I165" s="1979">
        <f t="shared" si="8"/>
        <v>172000</v>
      </c>
    </row>
    <row r="166" spans="1:9" ht="15" customHeight="1">
      <c r="A166" s="806">
        <v>160</v>
      </c>
      <c r="B166" s="245" t="s">
        <v>432</v>
      </c>
      <c r="C166" s="245" t="str">
        <f>VLOOKUP(B166,DICH!B:C,2,FALSE)</f>
        <v>Plastic plate, thickness 2mm</v>
      </c>
      <c r="D166" s="240" t="s">
        <v>548</v>
      </c>
      <c r="E166" s="166"/>
      <c r="F166" s="166">
        <v>185000</v>
      </c>
      <c r="G166" s="166"/>
      <c r="H166" s="166"/>
      <c r="I166" s="1979">
        <f t="shared" si="8"/>
        <v>185000</v>
      </c>
    </row>
    <row r="167" spans="1:9" ht="15" customHeight="1">
      <c r="A167" s="806">
        <v>161</v>
      </c>
      <c r="B167" s="245" t="s">
        <v>617</v>
      </c>
      <c r="C167" s="245" t="str">
        <f>VLOOKUP(B167,DICH!B:C,2,FALSE)</f>
        <v>turn buckle D38mm</v>
      </c>
      <c r="D167" s="240" t="s">
        <v>14</v>
      </c>
      <c r="E167" s="166"/>
      <c r="F167" s="166"/>
      <c r="G167" s="166">
        <v>68000</v>
      </c>
      <c r="H167" s="166"/>
      <c r="I167" s="1979">
        <f t="shared" si="8"/>
        <v>68000</v>
      </c>
    </row>
    <row r="168" spans="1:9" ht="15" customHeight="1">
      <c r="A168" s="806">
        <v>162</v>
      </c>
      <c r="B168" s="245" t="s">
        <v>84</v>
      </c>
      <c r="C168" s="245" t="str">
        <f>VLOOKUP(B168,DICH!B:C,2,FALSE)</f>
        <v>High strengthen bar D36 (kg)</v>
      </c>
      <c r="D168" s="240" t="s">
        <v>558</v>
      </c>
      <c r="E168" s="166"/>
      <c r="F168" s="166">
        <f>'12.ssg'!$K$23</f>
        <v>86980.172563393309</v>
      </c>
      <c r="G168" s="166"/>
      <c r="H168" s="166"/>
      <c r="I168" s="1979">
        <f t="shared" si="8"/>
        <v>86980.172563393309</v>
      </c>
    </row>
    <row r="169" spans="1:9" ht="15" customHeight="1">
      <c r="A169" s="806">
        <v>163</v>
      </c>
      <c r="B169" s="245" t="s">
        <v>571</v>
      </c>
      <c r="C169" s="245" t="str">
        <f>VLOOKUP(B169,DICH!B:C,2,FALSE)</f>
        <v>high strength cable</v>
      </c>
      <c r="D169" s="240" t="s">
        <v>558</v>
      </c>
      <c r="E169" s="166"/>
      <c r="F169" s="166">
        <f>'12.ssg'!$K$6</f>
        <v>25454.545454545452</v>
      </c>
      <c r="G169" s="166"/>
      <c r="H169" s="166"/>
      <c r="I169" s="1979">
        <f t="shared" si="8"/>
        <v>25454.545454545452</v>
      </c>
    </row>
    <row r="170" spans="1:9" ht="15" customHeight="1">
      <c r="A170" s="806">
        <v>164</v>
      </c>
      <c r="B170" s="245" t="s">
        <v>563</v>
      </c>
      <c r="C170" s="245" t="str">
        <f>VLOOKUP(B170,DICH!B:C,2,FALSE)</f>
        <v>Shaped steel</v>
      </c>
      <c r="D170" s="240" t="s">
        <v>558</v>
      </c>
      <c r="E170" s="166">
        <f>'Cong bo gia'!$E$273</f>
        <v>16559.172809172807</v>
      </c>
      <c r="F170" s="166"/>
      <c r="G170" s="166"/>
      <c r="H170" s="166">
        <f>'13.vanchuyen'!$AI$49/1000</f>
        <v>144.07556</v>
      </c>
      <c r="I170" s="1979">
        <f t="shared" si="8"/>
        <v>16703.248369172808</v>
      </c>
    </row>
    <row r="171" spans="1:9" ht="15" customHeight="1">
      <c r="A171" s="806">
        <v>165</v>
      </c>
      <c r="B171" s="245" t="s">
        <v>3978</v>
      </c>
      <c r="C171" s="245" t="str">
        <f>VLOOKUP(B171,DICH!B:C,2,FALSE)</f>
        <v>Shaped steel of supporting frame system</v>
      </c>
      <c r="D171" s="240" t="s">
        <v>558</v>
      </c>
      <c r="E171" s="166">
        <f>$E$170</f>
        <v>16559.172809172807</v>
      </c>
      <c r="F171" s="166"/>
      <c r="G171" s="166"/>
      <c r="H171" s="166">
        <f>'13.vanchuyen'!$AI$49/1000</f>
        <v>144.07556</v>
      </c>
      <c r="I171" s="1979">
        <f t="shared" si="8"/>
        <v>16703.248369172808</v>
      </c>
    </row>
    <row r="172" spans="1:9" ht="15" customHeight="1">
      <c r="A172" s="806">
        <v>166</v>
      </c>
      <c r="B172" s="245" t="s">
        <v>3979</v>
      </c>
      <c r="C172" s="245" t="str">
        <f>VLOOKUP(B172,DICH!B:C,2,FALSE)</f>
        <v>Shaped steel of formwork system</v>
      </c>
      <c r="D172" s="240" t="s">
        <v>558</v>
      </c>
      <c r="E172" s="166">
        <f>$E$171</f>
        <v>16559.172809172807</v>
      </c>
      <c r="F172" s="166"/>
      <c r="G172" s="166"/>
      <c r="H172" s="166">
        <f>'13.vanchuyen'!$AI$49/1000</f>
        <v>144.07556</v>
      </c>
      <c r="I172" s="1979">
        <f t="shared" si="8"/>
        <v>16703.248369172808</v>
      </c>
    </row>
    <row r="173" spans="1:9" ht="15" customHeight="1">
      <c r="A173" s="806">
        <v>167</v>
      </c>
      <c r="B173" s="245" t="s">
        <v>221</v>
      </c>
      <c r="C173" s="245" t="str">
        <f>VLOOKUP(B173,DICH!B:C,2,FALSE)</f>
        <v>Zinc steel</v>
      </c>
      <c r="D173" s="240" t="s">
        <v>558</v>
      </c>
      <c r="E173" s="166"/>
      <c r="F173" s="166">
        <v>32000</v>
      </c>
      <c r="G173" s="166"/>
      <c r="H173" s="166"/>
      <c r="I173" s="1979">
        <f t="shared" si="8"/>
        <v>32000</v>
      </c>
    </row>
    <row r="174" spans="1:9" ht="15" customHeight="1">
      <c r="A174" s="806">
        <v>168</v>
      </c>
      <c r="B174" s="245" t="s">
        <v>431</v>
      </c>
      <c r="C174" s="245" t="str">
        <f>VLOOKUP(B174,DICH!B:C,2,FALSE)</f>
        <v>pipe steel</v>
      </c>
      <c r="D174" s="240" t="s">
        <v>558</v>
      </c>
      <c r="E174" s="166"/>
      <c r="F174" s="166"/>
      <c r="G174" s="166"/>
      <c r="H174" s="166"/>
      <c r="I174" s="1979">
        <f t="shared" si="8"/>
        <v>0</v>
      </c>
    </row>
    <row r="175" spans="1:9" ht="15" customHeight="1">
      <c r="A175" s="806">
        <v>169</v>
      </c>
      <c r="B175" s="245" t="s">
        <v>562</v>
      </c>
      <c r="C175" s="245" t="str">
        <f>VLOOKUP(B175,DICH!B:C,2,FALSE)</f>
        <v>Plate steel</v>
      </c>
      <c r="D175" s="240" t="s">
        <v>558</v>
      </c>
      <c r="E175" s="166">
        <f>'Cong bo gia'!$E$263</f>
        <v>12727.272727272726</v>
      </c>
      <c r="F175" s="166"/>
      <c r="G175" s="166"/>
      <c r="H175" s="166">
        <f>'13.vanchuyen'!$AI$49/1000</f>
        <v>144.07556</v>
      </c>
      <c r="I175" s="1979">
        <f t="shared" si="8"/>
        <v>12871.348287272725</v>
      </c>
    </row>
    <row r="176" spans="1:9" ht="15" customHeight="1">
      <c r="A176" s="806">
        <v>170</v>
      </c>
      <c r="B176" s="245" t="s">
        <v>3980</v>
      </c>
      <c r="C176" s="245" t="str">
        <f>VLOOKUP(B176,DICH!B:C,2,FALSE)</f>
        <v>plate steel of supporting frame system</v>
      </c>
      <c r="D176" s="240" t="s">
        <v>558</v>
      </c>
      <c r="E176" s="166">
        <f>$E$175</f>
        <v>12727.272727272726</v>
      </c>
      <c r="F176" s="166"/>
      <c r="G176" s="166"/>
      <c r="H176" s="166">
        <f>'13.vanchuyen'!$AI$49/1000</f>
        <v>144.07556</v>
      </c>
      <c r="I176" s="1979">
        <f t="shared" si="8"/>
        <v>12871.348287272725</v>
      </c>
    </row>
    <row r="177" spans="1:9" ht="15" customHeight="1">
      <c r="A177" s="806">
        <v>171</v>
      </c>
      <c r="B177" s="245" t="s">
        <v>3981</v>
      </c>
      <c r="C177" s="245" t="str">
        <f>VLOOKUP(B177,DICH!B:C,2,FALSE)</f>
        <v>plate steel of formwork system</v>
      </c>
      <c r="D177" s="240" t="s">
        <v>558</v>
      </c>
      <c r="E177" s="166">
        <f>$E$176</f>
        <v>12727.272727272726</v>
      </c>
      <c r="F177" s="166"/>
      <c r="G177" s="166"/>
      <c r="H177" s="166">
        <f>'13.vanchuyen'!$AI$49/1000</f>
        <v>144.07556</v>
      </c>
      <c r="I177" s="1979">
        <f t="shared" si="8"/>
        <v>12871.348287272725</v>
      </c>
    </row>
    <row r="178" spans="1:9" ht="15" customHeight="1">
      <c r="A178" s="806">
        <v>172</v>
      </c>
      <c r="B178" s="245" t="s">
        <v>2173</v>
      </c>
      <c r="C178" s="245" t="str">
        <f>VLOOKUP(B178,DICH!B:C,2,FALSE)</f>
        <v>reflected light plate steel 40x180x5</v>
      </c>
      <c r="D178" s="704" t="s">
        <v>583</v>
      </c>
      <c r="E178" s="166"/>
      <c r="F178" s="166">
        <v>42000</v>
      </c>
      <c r="G178" s="166"/>
      <c r="H178" s="166"/>
      <c r="I178" s="1979">
        <f t="shared" si="8"/>
        <v>42000</v>
      </c>
    </row>
    <row r="179" spans="1:9" ht="15" customHeight="1">
      <c r="A179" s="806">
        <v>173</v>
      </c>
      <c r="B179" s="245" t="s">
        <v>371</v>
      </c>
      <c r="C179" s="245" t="str">
        <f>VLOOKUP(B179,DICH!B:C,2,FALSE)</f>
        <v>steel bar D&lt;=10</v>
      </c>
      <c r="D179" s="240" t="s">
        <v>558</v>
      </c>
      <c r="E179" s="166">
        <f>'Cong bo gia'!$E$228</f>
        <v>16610</v>
      </c>
      <c r="F179" s="166"/>
      <c r="G179" s="166"/>
      <c r="H179" s="166">
        <f>'13.vanchuyen'!$AI$49/1000</f>
        <v>144.07556</v>
      </c>
      <c r="I179" s="1979">
        <f t="shared" si="8"/>
        <v>16754.075560000001</v>
      </c>
    </row>
    <row r="180" spans="1:9" ht="15" customHeight="1">
      <c r="A180" s="806">
        <v>174</v>
      </c>
      <c r="B180" s="245" t="s">
        <v>671</v>
      </c>
      <c r="C180" s="245" t="str">
        <f>VLOOKUP(B180,DICH!B:C,2,FALSE)</f>
        <v>steel bar D&lt;=18</v>
      </c>
      <c r="D180" s="240" t="s">
        <v>558</v>
      </c>
      <c r="E180" s="166">
        <f>'Cong bo gia'!$E$229</f>
        <v>16460</v>
      </c>
      <c r="F180" s="166"/>
      <c r="G180" s="166"/>
      <c r="H180" s="166">
        <f>'13.vanchuyen'!$AI$49/1000</f>
        <v>144.07556</v>
      </c>
      <c r="I180" s="1979">
        <f t="shared" si="8"/>
        <v>16604.075560000001</v>
      </c>
    </row>
    <row r="181" spans="1:9" ht="15" customHeight="1">
      <c r="A181" s="806">
        <v>175</v>
      </c>
      <c r="B181" s="245" t="s">
        <v>664</v>
      </c>
      <c r="C181" s="245" t="str">
        <f>VLOOKUP(B181,DICH!B:C,2,FALSE)</f>
        <v>steel bar D&gt;18</v>
      </c>
      <c r="D181" s="240" t="s">
        <v>558</v>
      </c>
      <c r="E181" s="166">
        <f>$E$180</f>
        <v>16460</v>
      </c>
      <c r="F181" s="166"/>
      <c r="G181" s="166"/>
      <c r="H181" s="166">
        <f>'13.vanchuyen'!$AI$49/1000</f>
        <v>144.07556</v>
      </c>
      <c r="I181" s="1979">
        <f t="shared" si="8"/>
        <v>16604.075560000001</v>
      </c>
    </row>
    <row r="182" spans="1:9" ht="15" customHeight="1">
      <c r="A182" s="806">
        <v>176</v>
      </c>
      <c r="B182" s="245" t="s">
        <v>83</v>
      </c>
      <c r="C182" s="245" t="str">
        <f>VLOOKUP(B182,DICH!B:C,2,FALSE)</f>
        <v>Tole thicknees 2mm</v>
      </c>
      <c r="D182" s="240" t="s">
        <v>558</v>
      </c>
      <c r="E182" s="166"/>
      <c r="F182" s="166">
        <v>25000</v>
      </c>
      <c r="G182" s="166"/>
      <c r="H182" s="166"/>
      <c r="I182" s="1979">
        <f t="shared" si="8"/>
        <v>25000</v>
      </c>
    </row>
    <row r="183" spans="1:9" ht="15" customHeight="1">
      <c r="A183" s="806">
        <v>177</v>
      </c>
      <c r="B183" s="245" t="s">
        <v>9</v>
      </c>
      <c r="C183" s="245" t="str">
        <f>VLOOKUP(B183,DICH!B:C,2,FALSE)</f>
        <v>Corrugated sheet iron</v>
      </c>
      <c r="D183" s="704" t="s">
        <v>543</v>
      </c>
      <c r="E183" s="166"/>
      <c r="F183" s="166">
        <f>820000/2.32</f>
        <v>353448.27586206899</v>
      </c>
      <c r="G183" s="166"/>
      <c r="H183" s="166"/>
      <c r="I183" s="1979">
        <f t="shared" si="8"/>
        <v>353448.27586206899</v>
      </c>
    </row>
    <row r="184" spans="1:9" ht="15" customHeight="1">
      <c r="A184" s="806">
        <v>178</v>
      </c>
      <c r="B184" s="245" t="s">
        <v>3927</v>
      </c>
      <c r="C184" s="245" t="str">
        <f>VLOOKUP(B184,DICH!B:C,2,FALSE)</f>
        <v>Signal column D168</v>
      </c>
      <c r="D184" s="702" t="s">
        <v>543</v>
      </c>
      <c r="E184" s="166"/>
      <c r="F184" s="166">
        <f>3250000/6</f>
        <v>541666.66666666663</v>
      </c>
      <c r="G184" s="166"/>
      <c r="H184" s="166"/>
      <c r="I184" s="1979">
        <f t="shared" si="8"/>
        <v>541666.66666666663</v>
      </c>
    </row>
    <row r="185" spans="1:9" ht="15" customHeight="1">
      <c r="A185" s="806">
        <v>179</v>
      </c>
      <c r="B185" s="245" t="s">
        <v>3959</v>
      </c>
      <c r="C185" s="245" t="str">
        <f>VLOOKUP(B185,DICH!B:C,2,FALSE)</f>
        <v>Column of corrugated sheet iron, L=1.3m</v>
      </c>
      <c r="D185" s="704" t="s">
        <v>14</v>
      </c>
      <c r="E185" s="166"/>
      <c r="F185" s="166">
        <f>820000/1.25*1.3</f>
        <v>852800</v>
      </c>
      <c r="G185" s="166"/>
      <c r="H185" s="166"/>
      <c r="I185" s="1979">
        <f t="shared" si="8"/>
        <v>852800</v>
      </c>
    </row>
    <row r="186" spans="1:9" ht="15" customHeight="1">
      <c r="A186" s="806">
        <v>180</v>
      </c>
      <c r="B186" s="245" t="s">
        <v>5835</v>
      </c>
      <c r="C186" s="245" t="e">
        <f>VLOOKUP(B186,DICH!B:C,2,FALSE)</f>
        <v>#N/A</v>
      </c>
      <c r="D186" s="704" t="s">
        <v>307</v>
      </c>
      <c r="E186" s="166"/>
      <c r="F186" s="166">
        <v>13520000</v>
      </c>
      <c r="G186" s="166"/>
      <c r="H186" s="166"/>
      <c r="I186" s="1979">
        <f t="shared" si="8"/>
        <v>13520000</v>
      </c>
    </row>
    <row r="187" spans="1:9" ht="15" customHeight="1">
      <c r="A187" s="806">
        <v>181</v>
      </c>
      <c r="B187" s="666" t="s">
        <v>98</v>
      </c>
      <c r="C187" s="245" t="str">
        <f>VLOOKUP(B187,DICH!B:C,2,FALSE)</f>
        <v>geotextile 200KN/m</v>
      </c>
      <c r="D187" s="240" t="s">
        <v>548</v>
      </c>
      <c r="E187" s="166"/>
      <c r="F187" s="166">
        <f>44000/1.1</f>
        <v>40000</v>
      </c>
      <c r="G187" s="166"/>
      <c r="H187" s="166"/>
      <c r="I187" s="1979">
        <f t="shared" si="8"/>
        <v>40000</v>
      </c>
    </row>
    <row r="188" spans="1:9" ht="15" customHeight="1">
      <c r="A188" s="806">
        <v>182</v>
      </c>
      <c r="B188" s="245" t="s">
        <v>97</v>
      </c>
      <c r="C188" s="245" t="str">
        <f>VLOOKUP(B188,DICH!B:C,2,FALSE)</f>
        <v>geotextile 12KN/m</v>
      </c>
      <c r="D188" s="240" t="s">
        <v>548</v>
      </c>
      <c r="E188" s="166"/>
      <c r="F188" s="166">
        <f>16000/1.1</f>
        <v>14545.454545454544</v>
      </c>
      <c r="G188" s="166"/>
      <c r="H188" s="166"/>
      <c r="I188" s="1979">
        <f t="shared" si="8"/>
        <v>14545.454545454544</v>
      </c>
    </row>
    <row r="189" spans="1:9" ht="15" customHeight="1">
      <c r="A189" s="806">
        <v>183</v>
      </c>
      <c r="B189" s="662" t="s">
        <v>318</v>
      </c>
      <c r="C189" s="245" t="str">
        <f>VLOOKUP(B189,DICH!B:C,2,FALSE)</f>
        <v>Steel tacke M12</v>
      </c>
      <c r="D189" s="702" t="s">
        <v>307</v>
      </c>
      <c r="E189" s="166"/>
      <c r="F189" s="166">
        <v>3200</v>
      </c>
      <c r="G189" s="166"/>
      <c r="H189" s="166"/>
      <c r="I189" s="1979">
        <f>SUM(E189:H189)</f>
        <v>3200</v>
      </c>
    </row>
    <row r="190" spans="1:9" ht="15" customHeight="1">
      <c r="A190" s="806">
        <v>184</v>
      </c>
      <c r="B190" s="662" t="str">
        <f>'10.PLV'!D7</f>
        <v>Vữa Bê tông C10 đá 1x2 SN 2-4</v>
      </c>
      <c r="C190" s="245" t="str">
        <f>VLOOKUP(B190,DICH!B:C,2,FALSE)</f>
        <v>Concrete motar C10 stone 1x2 slump 2-4</v>
      </c>
      <c r="D190" s="702" t="s">
        <v>545</v>
      </c>
      <c r="E190" s="166"/>
      <c r="F190" s="166"/>
      <c r="G190" s="166"/>
      <c r="H190" s="166"/>
      <c r="I190" s="1979">
        <f>'10.PLV'!$I$7</f>
        <v>752583.79606678337</v>
      </c>
    </row>
    <row r="191" spans="1:9" ht="15" customHeight="1">
      <c r="A191" s="806">
        <v>185</v>
      </c>
      <c r="B191" s="662" t="str">
        <f>'10.PLV'!D32</f>
        <v>Vữa Bê tông C10 đá 1x2 SN 6-8</v>
      </c>
      <c r="C191" s="245" t="str">
        <f>VLOOKUP(B191,DICH!B:C,2,FALSE)</f>
        <v>Concrete motar C10 stone 1x2 slump 6-8</v>
      </c>
      <c r="D191" s="702" t="s">
        <v>545</v>
      </c>
      <c r="E191" s="166"/>
      <c r="F191" s="166"/>
      <c r="G191" s="166"/>
      <c r="H191" s="166"/>
      <c r="I191" s="1979">
        <f>'10.PLV'!$I$32</f>
        <v>766287.11909609917</v>
      </c>
    </row>
    <row r="192" spans="1:9" ht="15" customHeight="1">
      <c r="A192" s="806">
        <v>186</v>
      </c>
      <c r="B192" s="662" t="str">
        <f>'10.PLV'!$D$106</f>
        <v>Vữa Bê tông C20 đá 4x6 (độ sụt 14-17cm)</v>
      </c>
      <c r="C192" s="245" t="str">
        <f>VLOOKUP(B192,DICH!B:C,2,FALSE)</f>
        <v>Concrete motar C20 stone 4x6 slump 14-17</v>
      </c>
      <c r="D192" s="702" t="s">
        <v>545</v>
      </c>
      <c r="E192" s="166"/>
      <c r="F192" s="166"/>
      <c r="G192" s="166"/>
      <c r="H192" s="166"/>
      <c r="I192" s="1979">
        <f>'10.PLV'!$I$106</f>
        <v>901907.22891883098</v>
      </c>
    </row>
    <row r="193" spans="1:9" ht="15" customHeight="1">
      <c r="A193" s="806">
        <v>187</v>
      </c>
      <c r="B193" s="662" t="str">
        <f>'10.PLV'!D12</f>
        <v>Vữa bê tông đá 1x2 C15 SN 2-4</v>
      </c>
      <c r="C193" s="245" t="str">
        <f>VLOOKUP(B193,DICH!B:C,2,FALSE)</f>
        <v>Concrete motar C15 stone 1x2 slump 2-4</v>
      </c>
      <c r="D193" s="702" t="s">
        <v>545</v>
      </c>
      <c r="E193" s="166"/>
      <c r="F193" s="166"/>
      <c r="G193" s="166"/>
      <c r="H193" s="166"/>
      <c r="I193" s="1979">
        <f>'10.PLV'!$I$12</f>
        <v>819715.92549294059</v>
      </c>
    </row>
    <row r="194" spans="1:9" ht="15" customHeight="1">
      <c r="A194" s="806">
        <v>189</v>
      </c>
      <c r="B194" s="662" t="str">
        <f>'10.PLV'!D17</f>
        <v>Vữa bê tông đá 1x2 C20 SN 2-4</v>
      </c>
      <c r="C194" s="245" t="str">
        <f>VLOOKUP(B194,DICH!B:C,2,FALSE)</f>
        <v>Concrete motar C20 stone 1x2 slump 2-4</v>
      </c>
      <c r="D194" s="702" t="s">
        <v>545</v>
      </c>
      <c r="E194" s="166"/>
      <c r="F194" s="166"/>
      <c r="G194" s="166"/>
      <c r="H194" s="166"/>
      <c r="I194" s="1979">
        <f>'10.PLV'!$I$17</f>
        <v>884378.32894201751</v>
      </c>
    </row>
    <row r="195" spans="1:9" ht="15" customHeight="1">
      <c r="A195" s="806">
        <v>190</v>
      </c>
      <c r="B195" s="662" t="str">
        <f>'10.PLV'!$D$94</f>
        <v>Vữa bê tông đá 1x2 C25 (độ sụt 14-17cm)</v>
      </c>
      <c r="C195" s="245" t="str">
        <f>VLOOKUP(B195,DICH!B:C,2,FALSE)</f>
        <v>Concrete motar C25 stone 1x2 slump 14-17</v>
      </c>
      <c r="D195" s="702" t="s">
        <v>545</v>
      </c>
      <c r="E195" s="166"/>
      <c r="F195" s="166"/>
      <c r="G195" s="166"/>
      <c r="H195" s="166"/>
      <c r="I195" s="166">
        <f>'10.PLV'!$I$94</f>
        <v>1037405.4707489562</v>
      </c>
    </row>
    <row r="196" spans="1:9" ht="15" customHeight="1">
      <c r="A196" s="806">
        <v>191</v>
      </c>
      <c r="B196" s="662" t="str">
        <f>'10.PLV'!D22</f>
        <v>Vữa bê tông đá 1x2 C25 SN 2-4</v>
      </c>
      <c r="C196" s="245" t="str">
        <f>VLOOKUP(B196,DICH!B:C,2,FALSE)</f>
        <v>Concrete motar C25 stone 1x2 slump 2-4</v>
      </c>
      <c r="D196" s="702" t="s">
        <v>545</v>
      </c>
      <c r="E196" s="166"/>
      <c r="F196" s="166"/>
      <c r="G196" s="166"/>
      <c r="H196" s="166"/>
      <c r="I196" s="1979">
        <f>'10.PLV'!$I$22</f>
        <v>950939.91780334397</v>
      </c>
    </row>
    <row r="197" spans="1:9" ht="15" customHeight="1">
      <c r="A197" s="806">
        <v>192</v>
      </c>
      <c r="B197" s="662" t="str">
        <f>'10.PLV'!D53</f>
        <v>Vữa bê tông đá 1x2 C30 SN 14-17</v>
      </c>
      <c r="C197" s="245" t="str">
        <f>VLOOKUP(B197,DICH!B:C,2,FALSE)</f>
        <v>Concrete motar C30 stone 1x2 slump 14-17</v>
      </c>
      <c r="D197" s="702" t="s">
        <v>545</v>
      </c>
      <c r="E197" s="166"/>
      <c r="F197" s="166"/>
      <c r="G197" s="166"/>
      <c r="H197" s="166"/>
      <c r="I197" s="166">
        <f>'10.PLV'!$I$53</f>
        <v>1130771.6239684112</v>
      </c>
    </row>
    <row r="198" spans="1:9" ht="15" customHeight="1">
      <c r="A198" s="806">
        <v>193</v>
      </c>
      <c r="B198" s="662" t="str">
        <f>'10.PLV'!D27</f>
        <v>Vữa bê tông đá 1x2 C30 SN 2-4</v>
      </c>
      <c r="C198" s="245" t="str">
        <f>VLOOKUP(B198,DICH!B:C,2,FALSE)</f>
        <v>Concrete motar C30 stone 1x2 slump 2-4</v>
      </c>
      <c r="D198" s="702" t="s">
        <v>545</v>
      </c>
      <c r="E198" s="166"/>
      <c r="F198" s="166"/>
      <c r="G198" s="166"/>
      <c r="H198" s="166"/>
      <c r="I198" s="1979">
        <f>'10.PLV'!$I$27</f>
        <v>1021660.2728168666</v>
      </c>
    </row>
    <row r="199" spans="1:9" ht="15" customHeight="1">
      <c r="A199" s="806">
        <v>194</v>
      </c>
      <c r="B199" s="662" t="str">
        <f>'10.PLV'!$D$100</f>
        <v>Vữa bê tông đá 1x2 C35 (độ sụt 14-17cm)</v>
      </c>
      <c r="C199" s="245" t="str">
        <f>VLOOKUP(B199,DICH!B:C,2,FALSE)</f>
        <v>Concrete motar C35 stone 1x2 slump 14-17</v>
      </c>
      <c r="D199" s="702" t="s">
        <v>545</v>
      </c>
      <c r="E199" s="166"/>
      <c r="F199" s="166"/>
      <c r="G199" s="166"/>
      <c r="H199" s="166"/>
      <c r="I199" s="1979">
        <f>'10.PLV'!$I$100</f>
        <v>1167220.6239684112</v>
      </c>
    </row>
    <row r="200" spans="1:9" ht="15" customHeight="1">
      <c r="A200" s="806">
        <v>195</v>
      </c>
      <c r="B200" s="662" t="str">
        <f>'10.PLV'!D60</f>
        <v>Vữa bê tông đá 1x2 C40 (M450, độ sụt 12-16cm)</v>
      </c>
      <c r="C200" s="245" t="str">
        <f>VLOOKUP(B200,DICH!B:C,2,FALSE)</f>
        <v>Concrete motar C40 stone 1x2 slump 12-16</v>
      </c>
      <c r="D200" s="702" t="s">
        <v>545</v>
      </c>
      <c r="E200" s="166"/>
      <c r="F200" s="166"/>
      <c r="G200" s="166"/>
      <c r="H200" s="166"/>
      <c r="I200" s="1979">
        <f>'10.PLV'!$I$60</f>
        <v>1233112.4080999186</v>
      </c>
    </row>
    <row r="201" spans="1:9" ht="15" customHeight="1">
      <c r="A201" s="806">
        <v>196</v>
      </c>
      <c r="B201" s="662" t="str">
        <f>'10.PLV'!D66</f>
        <v>Vữa bê tông đá 1x2 C42 (độ sụt 8-12cm)</v>
      </c>
      <c r="C201" s="245" t="str">
        <f>VLOOKUP(B201,DICH!B:C,2,FALSE)</f>
        <v>Concrete motar C42 stone 1x2 slump 8-12</v>
      </c>
      <c r="D201" s="702" t="s">
        <v>545</v>
      </c>
      <c r="E201" s="166"/>
      <c r="F201" s="166"/>
      <c r="G201" s="166"/>
      <c r="H201" s="166"/>
      <c r="I201" s="166">
        <f>'10.PLV'!$I$66</f>
        <v>1221620.8499686779</v>
      </c>
    </row>
    <row r="202" spans="1:9" ht="15" customHeight="1">
      <c r="A202" s="806">
        <v>197</v>
      </c>
      <c r="B202" s="662" t="str">
        <f>'10.PLV'!D78</f>
        <v>Vữa bê tông đá 4x6 C10 SN 2-4</v>
      </c>
      <c r="C202" s="245" t="str">
        <f>VLOOKUP(B202,DICH!B:C,2,FALSE)</f>
        <v>Concrete motar C10 stone 4x6 slump 2-4</v>
      </c>
      <c r="D202" s="702" t="s">
        <v>545</v>
      </c>
      <c r="E202" s="166"/>
      <c r="F202" s="166"/>
      <c r="G202" s="166"/>
      <c r="H202" s="166"/>
      <c r="I202" s="1979">
        <f>'10.PLV'!$I$78</f>
        <v>622342.43820975651</v>
      </c>
    </row>
    <row r="203" spans="1:9" ht="15" customHeight="1">
      <c r="A203" s="806">
        <v>198</v>
      </c>
      <c r="B203" s="662" t="str">
        <f>'10.PLV'!D112</f>
        <v>Vữa không co ngót</v>
      </c>
      <c r="C203" s="245" t="str">
        <f>VLOOKUP(B203,DICH!B:C,2,FALSE)</f>
        <v>Non-shringkage mortar</v>
      </c>
      <c r="D203" s="702" t="s">
        <v>545</v>
      </c>
      <c r="E203" s="166"/>
      <c r="F203" s="166"/>
      <c r="G203" s="166"/>
      <c r="H203" s="166"/>
      <c r="I203" s="166">
        <f>'10.PLV'!$I$112</f>
        <v>21243140</v>
      </c>
    </row>
    <row r="204" spans="1:9" ht="15" customHeight="1">
      <c r="A204" s="806">
        <v>199</v>
      </c>
      <c r="B204" s="662" t="s">
        <v>2151</v>
      </c>
      <c r="C204" s="245" t="str">
        <f>VLOOKUP(B204,DICH!B:C,2,FALSE)</f>
        <v>Non-shringkage mortar (kg)</v>
      </c>
      <c r="D204" s="702" t="s">
        <v>558</v>
      </c>
      <c r="E204" s="166"/>
      <c r="F204" s="166"/>
      <c r="G204" s="166"/>
      <c r="H204" s="166"/>
      <c r="I204" s="166">
        <f>'10.PLV'!$I$112/2350</f>
        <v>9039.6340425531907</v>
      </c>
    </row>
    <row r="205" spans="1:9" ht="15" customHeight="1">
      <c r="A205" s="806">
        <v>200</v>
      </c>
      <c r="B205" s="662" t="str">
        <f>'10.PLV'!D115</f>
        <v>Vữa xi măng C10</v>
      </c>
      <c r="C205" s="245" t="str">
        <f>VLOOKUP(B205,DICH!B:C,2,FALSE)</f>
        <v>Cement motar C10</v>
      </c>
      <c r="D205" s="702" t="s">
        <v>545</v>
      </c>
      <c r="E205" s="166"/>
      <c r="F205" s="166"/>
      <c r="G205" s="166"/>
      <c r="H205" s="166"/>
      <c r="I205" s="166">
        <f>'10.PLV'!$I$115</f>
        <v>599153.14975303912</v>
      </c>
    </row>
    <row r="206" spans="1:9" ht="15" customHeight="1">
      <c r="A206" s="806">
        <v>201</v>
      </c>
      <c r="B206" s="245" t="s">
        <v>127</v>
      </c>
      <c r="C206" s="245" t="str">
        <f>VLOOKUP(B206,DICH!B:C,2,FALSE)</f>
        <v xml:space="preserve">Petrol -oil </v>
      </c>
      <c r="D206" s="240" t="s">
        <v>558</v>
      </c>
      <c r="E206" s="327"/>
      <c r="F206" s="327">
        <f>25200/1.1/0.74</f>
        <v>30958.230958230957</v>
      </c>
      <c r="G206" s="166"/>
      <c r="H206" s="166"/>
      <c r="I206" s="166">
        <f>SUM(E206:H206)</f>
        <v>30958.230958230957</v>
      </c>
    </row>
    <row r="207" spans="1:9" ht="15" customHeight="1">
      <c r="A207" s="806">
        <v>202</v>
      </c>
      <c r="B207" s="245" t="s">
        <v>587</v>
      </c>
      <c r="C207" s="245" t="str">
        <f>VLOOKUP(B207,DICH!B:C,2,FALSE)</f>
        <v>cement PC30</v>
      </c>
      <c r="D207" s="240" t="s">
        <v>558</v>
      </c>
      <c r="E207" s="1002">
        <f>'Cong bo gia'!$D$203/50</f>
        <v>1290.9090909090908</v>
      </c>
      <c r="F207" s="166"/>
      <c r="G207" s="166"/>
      <c r="H207" s="166">
        <f>'13.vanchuyen'!$AI$43/1000</f>
        <v>161.93176</v>
      </c>
      <c r="I207" s="166">
        <v>1450</v>
      </c>
    </row>
    <row r="208" spans="1:9" ht="15" customHeight="1">
      <c r="A208" s="806">
        <v>203</v>
      </c>
      <c r="B208" s="1058" t="s">
        <v>458</v>
      </c>
      <c r="C208" s="1058" t="str">
        <f>VLOOKUP(B208,DICH!B:C,2,FALSE)</f>
        <v>cement PC40</v>
      </c>
      <c r="D208" s="249" t="s">
        <v>558</v>
      </c>
      <c r="E208" s="1732">
        <f>'Cong bo gia'!$D$204/50</f>
        <v>1345.4545454545453</v>
      </c>
      <c r="F208" s="328"/>
      <c r="G208" s="328"/>
      <c r="H208" s="1732">
        <f>'13.vanchuyen'!$AI$43/1000</f>
        <v>161.93176</v>
      </c>
      <c r="I208" s="328">
        <v>1535</v>
      </c>
    </row>
  </sheetData>
  <autoFilter ref="A7:I7"/>
  <printOptions horizontalCentered="1"/>
  <pageMargins left="1.17" right="0.5" top="0.33" bottom="0.64" header="0" footer="0.39"/>
  <pageSetup paperSize="9" scale="95" orientation="portrait" blackAndWhite="1" useFirstPageNumber="1" r:id="rId1"/>
  <headerFooter>
    <oddFooter>&amp;CPage &amp;P of GVL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tabColor rgb="FFFF0000"/>
  </sheetPr>
  <dimension ref="A1:IV127"/>
  <sheetViews>
    <sheetView view="pageBreakPreview" zoomScaleNormal="100" zoomScaleSheetLayoutView="100" workbookViewId="0">
      <selection activeCell="I23" sqref="I23"/>
    </sheetView>
  </sheetViews>
  <sheetFormatPr defaultRowHeight="15.75"/>
  <cols>
    <col min="1" max="1" width="13.7109375" style="1611" customWidth="1"/>
    <col min="2" max="2" width="7.7109375" style="1611" customWidth="1"/>
    <col min="3" max="5" width="8.28515625" style="1611" customWidth="1"/>
    <col min="6" max="8" width="9.7109375" style="1611" customWidth="1"/>
    <col min="9" max="11" width="11.5703125" style="1611" bestFit="1" customWidth="1"/>
    <col min="12" max="12" width="12.7109375" style="1619" customWidth="1"/>
    <col min="13" max="14" width="12.7109375" style="1611" customWidth="1"/>
    <col min="15" max="15" width="9.28515625" style="1249" bestFit="1" customWidth="1"/>
    <col min="16" max="17" width="9.140625" style="1611"/>
    <col min="18" max="18" width="9.28515625" style="1611" bestFit="1" customWidth="1"/>
    <col min="19" max="16384" width="9.140625" style="1611"/>
  </cols>
  <sheetData>
    <row r="1" spans="1:256" ht="16.5">
      <c r="A1" s="2158" t="s">
        <v>5414</v>
      </c>
      <c r="B1" s="2158"/>
      <c r="C1" s="2158"/>
      <c r="D1" s="2158"/>
      <c r="E1" s="2158"/>
      <c r="F1" s="2158"/>
      <c r="G1" s="2158"/>
      <c r="H1" s="2158"/>
      <c r="I1" s="2158"/>
      <c r="J1" s="2158"/>
      <c r="K1" s="2158"/>
      <c r="L1" s="2158"/>
      <c r="M1" s="2158"/>
      <c r="N1" s="2158"/>
      <c r="O1" s="1227"/>
    </row>
    <row r="2" spans="1:256" hidden="1">
      <c r="A2" s="2159" t="s">
        <v>5415</v>
      </c>
      <c r="B2" s="2159"/>
      <c r="C2" s="2159"/>
      <c r="D2" s="2159"/>
      <c r="E2" s="2159"/>
      <c r="F2" s="2159"/>
      <c r="G2" s="2159"/>
      <c r="H2" s="2159"/>
      <c r="I2" s="2159"/>
      <c r="J2" s="2159"/>
      <c r="K2" s="2159"/>
      <c r="L2" s="2159"/>
      <c r="M2" s="2159"/>
      <c r="N2" s="2159"/>
      <c r="O2" s="1227"/>
    </row>
    <row r="3" spans="1:256" ht="15">
      <c r="A3" s="1612" t="s">
        <v>5416</v>
      </c>
      <c r="B3" s="1613"/>
      <c r="C3" s="1613"/>
      <c r="D3" s="1613"/>
      <c r="E3" s="1613"/>
      <c r="F3" s="1613"/>
      <c r="G3" s="1613"/>
      <c r="H3" s="1613"/>
      <c r="I3" s="1613"/>
      <c r="J3" s="1613"/>
      <c r="K3" s="1613"/>
      <c r="L3" s="1614"/>
      <c r="M3" s="1613"/>
      <c r="N3" s="1613"/>
      <c r="O3" s="1613"/>
    </row>
    <row r="4" spans="1:256" ht="12.75">
      <c r="A4" s="1612" t="s">
        <v>5417</v>
      </c>
      <c r="B4" s="1612"/>
      <c r="C4" s="1612"/>
      <c r="D4" s="1612"/>
      <c r="E4" s="1612"/>
      <c r="F4" s="1612"/>
      <c r="G4" s="1612"/>
      <c r="H4" s="1612"/>
      <c r="I4" s="1612"/>
      <c r="J4" s="1612"/>
      <c r="K4" s="1612"/>
      <c r="L4" s="1615"/>
      <c r="M4" s="1612"/>
      <c r="N4" s="1612"/>
      <c r="O4" s="1612"/>
      <c r="P4" s="1612"/>
      <c r="Q4" s="1612"/>
      <c r="R4" s="1612"/>
      <c r="S4" s="1612"/>
      <c r="T4" s="1612"/>
      <c r="U4" s="1612"/>
      <c r="V4" s="1612"/>
      <c r="W4" s="1612"/>
      <c r="X4" s="1612"/>
      <c r="Y4" s="1612"/>
      <c r="Z4" s="1612"/>
      <c r="AA4" s="1612"/>
      <c r="AB4" s="1612"/>
      <c r="AC4" s="1612"/>
      <c r="AD4" s="1612"/>
      <c r="AE4" s="1612"/>
      <c r="AF4" s="1612"/>
      <c r="AG4" s="1612"/>
      <c r="AH4" s="1612"/>
      <c r="AI4" s="1612"/>
      <c r="AJ4" s="1612"/>
      <c r="AK4" s="1612"/>
      <c r="AL4" s="1612"/>
      <c r="AM4" s="1612"/>
      <c r="AN4" s="1612"/>
      <c r="AO4" s="1612"/>
      <c r="AP4" s="1612"/>
      <c r="AQ4" s="1612"/>
      <c r="AR4" s="1612"/>
      <c r="AS4" s="1612"/>
      <c r="AT4" s="1612"/>
      <c r="AU4" s="1612"/>
      <c r="AV4" s="1612"/>
      <c r="AW4" s="1612"/>
      <c r="AX4" s="1612"/>
      <c r="AY4" s="1612"/>
      <c r="AZ4" s="1612"/>
      <c r="BA4" s="1612"/>
      <c r="BB4" s="1612"/>
      <c r="BC4" s="1612"/>
      <c r="BD4" s="1612"/>
      <c r="BE4" s="1612"/>
      <c r="BF4" s="1612"/>
      <c r="BG4" s="1612"/>
      <c r="BH4" s="1612"/>
      <c r="BI4" s="1612"/>
      <c r="BJ4" s="1612"/>
      <c r="BK4" s="1612"/>
      <c r="BL4" s="1612"/>
      <c r="BM4" s="1612"/>
      <c r="BN4" s="1612"/>
      <c r="BO4" s="1612"/>
      <c r="BP4" s="1612"/>
      <c r="BQ4" s="1612"/>
      <c r="BR4" s="1612"/>
      <c r="BS4" s="1612"/>
      <c r="BT4" s="1612"/>
      <c r="BU4" s="1612"/>
      <c r="BV4" s="1612"/>
      <c r="BW4" s="1612"/>
      <c r="BX4" s="1612"/>
      <c r="BY4" s="1612"/>
      <c r="BZ4" s="1612"/>
      <c r="CA4" s="1612"/>
      <c r="CB4" s="1612"/>
      <c r="CC4" s="1612"/>
      <c r="CD4" s="1612"/>
      <c r="CE4" s="1612"/>
      <c r="CF4" s="1612"/>
      <c r="CG4" s="1612"/>
      <c r="CH4" s="1612"/>
      <c r="CI4" s="1612"/>
      <c r="CJ4" s="1612"/>
      <c r="CK4" s="1612"/>
      <c r="CL4" s="1612"/>
      <c r="CM4" s="1612"/>
      <c r="CN4" s="1612"/>
      <c r="CO4" s="1612"/>
      <c r="CP4" s="1612"/>
      <c r="CQ4" s="1612"/>
      <c r="CR4" s="1612"/>
      <c r="CS4" s="1612"/>
      <c r="CT4" s="1612"/>
      <c r="CU4" s="1612"/>
      <c r="CV4" s="1612"/>
      <c r="CW4" s="1612"/>
      <c r="CX4" s="1612"/>
      <c r="CY4" s="1612"/>
      <c r="CZ4" s="1612"/>
      <c r="DA4" s="1612"/>
      <c r="DB4" s="1612"/>
      <c r="DC4" s="1612"/>
      <c r="DD4" s="1612"/>
      <c r="DE4" s="1612"/>
      <c r="DF4" s="1612"/>
      <c r="DG4" s="1612"/>
      <c r="DH4" s="1612"/>
      <c r="DI4" s="1612"/>
      <c r="DJ4" s="1612"/>
      <c r="DK4" s="1612"/>
      <c r="DL4" s="1612"/>
      <c r="DM4" s="1612"/>
      <c r="DN4" s="1612"/>
      <c r="DO4" s="1612"/>
      <c r="DP4" s="1612"/>
      <c r="DQ4" s="1612"/>
      <c r="DR4" s="1612"/>
      <c r="DS4" s="1612"/>
      <c r="DT4" s="1612"/>
      <c r="DU4" s="1612"/>
      <c r="DV4" s="1612"/>
      <c r="DW4" s="1612"/>
      <c r="DX4" s="1612"/>
      <c r="DY4" s="1612"/>
      <c r="DZ4" s="1612"/>
      <c r="EA4" s="1612"/>
      <c r="EB4" s="1612"/>
      <c r="EC4" s="1612"/>
      <c r="ED4" s="1612"/>
      <c r="EE4" s="1612"/>
      <c r="EF4" s="1612"/>
      <c r="EG4" s="1612"/>
      <c r="EH4" s="1612"/>
      <c r="EI4" s="1612"/>
      <c r="EJ4" s="1612"/>
      <c r="EK4" s="1612"/>
      <c r="EL4" s="1612"/>
      <c r="EM4" s="1612"/>
      <c r="EN4" s="1612"/>
      <c r="EO4" s="1612"/>
      <c r="EP4" s="1612"/>
      <c r="EQ4" s="1612"/>
      <c r="ER4" s="1612"/>
      <c r="ES4" s="1612"/>
      <c r="ET4" s="1612"/>
      <c r="EU4" s="1612"/>
      <c r="EV4" s="1612"/>
      <c r="EW4" s="1612"/>
      <c r="EX4" s="1612"/>
      <c r="EY4" s="1612"/>
      <c r="EZ4" s="1612"/>
      <c r="FA4" s="1612"/>
      <c r="FB4" s="1612"/>
      <c r="FC4" s="1612"/>
      <c r="FD4" s="1612"/>
      <c r="FE4" s="1612"/>
      <c r="FF4" s="1612"/>
      <c r="FG4" s="1612"/>
      <c r="FH4" s="1612"/>
      <c r="FI4" s="1612"/>
      <c r="FJ4" s="1612"/>
      <c r="FK4" s="1612"/>
      <c r="FL4" s="1612"/>
      <c r="FM4" s="1612"/>
      <c r="FN4" s="1612"/>
      <c r="FO4" s="1612"/>
      <c r="FP4" s="1612"/>
      <c r="FQ4" s="1612"/>
      <c r="FR4" s="1612"/>
      <c r="FS4" s="1612"/>
      <c r="FT4" s="1612"/>
      <c r="FU4" s="1612"/>
      <c r="FV4" s="1612"/>
      <c r="FW4" s="1612"/>
      <c r="FX4" s="1612"/>
      <c r="FY4" s="1612"/>
      <c r="FZ4" s="1612"/>
      <c r="GA4" s="1612"/>
      <c r="GB4" s="1612"/>
      <c r="GC4" s="1612"/>
      <c r="GD4" s="1612"/>
      <c r="GE4" s="1612"/>
      <c r="GF4" s="1612"/>
      <c r="GG4" s="1612"/>
      <c r="GH4" s="1612"/>
      <c r="GI4" s="1612"/>
      <c r="GJ4" s="1612"/>
      <c r="GK4" s="1612"/>
      <c r="GL4" s="1612"/>
      <c r="GM4" s="1612"/>
      <c r="GN4" s="1612"/>
      <c r="GO4" s="1612"/>
      <c r="GP4" s="1612"/>
      <c r="GQ4" s="1612"/>
      <c r="GR4" s="1612"/>
      <c r="GS4" s="1612"/>
      <c r="GT4" s="1612"/>
      <c r="GU4" s="1612"/>
      <c r="GV4" s="1612"/>
      <c r="GW4" s="1612"/>
      <c r="GX4" s="1612"/>
      <c r="GY4" s="1612"/>
      <c r="GZ4" s="1612"/>
      <c r="HA4" s="1612"/>
      <c r="HB4" s="1612"/>
      <c r="HC4" s="1612"/>
      <c r="HD4" s="1612"/>
      <c r="HE4" s="1612"/>
      <c r="HF4" s="1612"/>
      <c r="HG4" s="1612"/>
      <c r="HH4" s="1612"/>
      <c r="HI4" s="1612"/>
      <c r="HJ4" s="1612"/>
      <c r="HK4" s="1612"/>
      <c r="HL4" s="1612"/>
      <c r="HM4" s="1612"/>
      <c r="HN4" s="1612"/>
      <c r="HO4" s="1612"/>
      <c r="HP4" s="1612"/>
      <c r="HQ4" s="1612"/>
      <c r="HR4" s="1612"/>
      <c r="HS4" s="1612"/>
      <c r="HT4" s="1612"/>
      <c r="HU4" s="1612"/>
      <c r="HV4" s="1612"/>
      <c r="HW4" s="1612"/>
      <c r="HX4" s="1612"/>
      <c r="HY4" s="1612"/>
      <c r="HZ4" s="1612"/>
      <c r="IA4" s="1612"/>
      <c r="IB4" s="1612"/>
      <c r="IC4" s="1612"/>
      <c r="ID4" s="1612"/>
      <c r="IE4" s="1612"/>
      <c r="IF4" s="1612"/>
      <c r="IG4" s="1612"/>
      <c r="IH4" s="1612"/>
      <c r="II4" s="1612"/>
      <c r="IJ4" s="1612"/>
      <c r="IK4" s="1612"/>
      <c r="IL4" s="1612"/>
      <c r="IM4" s="1612"/>
      <c r="IN4" s="1612"/>
      <c r="IO4" s="1612"/>
      <c r="IP4" s="1612"/>
      <c r="IQ4" s="1612"/>
      <c r="IR4" s="1612"/>
      <c r="IS4" s="1612"/>
      <c r="IT4" s="1612"/>
      <c r="IU4" s="1612"/>
      <c r="IV4" s="1612"/>
    </row>
    <row r="5" spans="1:256" ht="12.75">
      <c r="A5" s="1612" t="s">
        <v>5418</v>
      </c>
      <c r="B5" s="1612"/>
      <c r="C5" s="1612"/>
      <c r="D5" s="1612"/>
      <c r="E5" s="1612"/>
      <c r="F5" s="1612"/>
      <c r="G5" s="1612"/>
      <c r="H5" s="1612"/>
      <c r="I5" s="1612"/>
      <c r="J5" s="1612"/>
      <c r="K5" s="1612"/>
      <c r="L5" s="1615"/>
      <c r="M5" s="1612"/>
      <c r="N5" s="1612"/>
      <c r="O5" s="1612"/>
      <c r="P5" s="1612"/>
      <c r="Q5" s="1612"/>
      <c r="R5" s="1612"/>
      <c r="S5" s="1612"/>
      <c r="T5" s="1612"/>
      <c r="U5" s="1612"/>
      <c r="V5" s="1612"/>
      <c r="W5" s="1612"/>
      <c r="X5" s="1612"/>
      <c r="Y5" s="1612"/>
      <c r="Z5" s="1612"/>
      <c r="AA5" s="1612"/>
      <c r="AB5" s="1612"/>
      <c r="AC5" s="1612"/>
      <c r="AD5" s="1612"/>
      <c r="AE5" s="1612"/>
      <c r="AF5" s="1612"/>
      <c r="AG5" s="1612"/>
      <c r="AH5" s="1612"/>
      <c r="AI5" s="1612"/>
      <c r="AJ5" s="1612"/>
      <c r="AK5" s="1612"/>
      <c r="AL5" s="1612"/>
      <c r="AM5" s="1612"/>
      <c r="AN5" s="1612"/>
      <c r="AO5" s="1612"/>
      <c r="AP5" s="1612"/>
      <c r="AQ5" s="1612"/>
      <c r="AR5" s="1612"/>
      <c r="AS5" s="1612"/>
      <c r="AT5" s="1612"/>
      <c r="AU5" s="1612"/>
      <c r="AV5" s="1612"/>
      <c r="AW5" s="1612"/>
      <c r="AX5" s="1612"/>
      <c r="AY5" s="1612"/>
      <c r="AZ5" s="1612"/>
      <c r="BA5" s="1612"/>
      <c r="BB5" s="1612"/>
      <c r="BC5" s="1612"/>
      <c r="BD5" s="1612"/>
      <c r="BE5" s="1612"/>
      <c r="BF5" s="1612"/>
      <c r="BG5" s="1612"/>
      <c r="BH5" s="1612"/>
      <c r="BI5" s="1612"/>
      <c r="BJ5" s="1612"/>
      <c r="BK5" s="1612"/>
      <c r="BL5" s="1612"/>
      <c r="BM5" s="1612"/>
      <c r="BN5" s="1612"/>
      <c r="BO5" s="1612"/>
      <c r="BP5" s="1612"/>
      <c r="BQ5" s="1612"/>
      <c r="BR5" s="1612"/>
      <c r="BS5" s="1612"/>
      <c r="BT5" s="1612"/>
      <c r="BU5" s="1612"/>
      <c r="BV5" s="1612"/>
      <c r="BW5" s="1612"/>
      <c r="BX5" s="1612"/>
      <c r="BY5" s="1612"/>
      <c r="BZ5" s="1612"/>
      <c r="CA5" s="1612"/>
      <c r="CB5" s="1612"/>
      <c r="CC5" s="1612"/>
      <c r="CD5" s="1612"/>
      <c r="CE5" s="1612"/>
      <c r="CF5" s="1612"/>
      <c r="CG5" s="1612"/>
      <c r="CH5" s="1612"/>
      <c r="CI5" s="1612"/>
      <c r="CJ5" s="1612"/>
      <c r="CK5" s="1612"/>
      <c r="CL5" s="1612"/>
      <c r="CM5" s="1612"/>
      <c r="CN5" s="1612"/>
      <c r="CO5" s="1612"/>
      <c r="CP5" s="1612"/>
      <c r="CQ5" s="1612"/>
      <c r="CR5" s="1612"/>
      <c r="CS5" s="1612"/>
      <c r="CT5" s="1612"/>
      <c r="CU5" s="1612"/>
      <c r="CV5" s="1612"/>
      <c r="CW5" s="1612"/>
      <c r="CX5" s="1612"/>
      <c r="CY5" s="1612"/>
      <c r="CZ5" s="1612"/>
      <c r="DA5" s="1612"/>
      <c r="DB5" s="1612"/>
      <c r="DC5" s="1612"/>
      <c r="DD5" s="1612"/>
      <c r="DE5" s="1612"/>
      <c r="DF5" s="1612"/>
      <c r="DG5" s="1612"/>
      <c r="DH5" s="1612"/>
      <c r="DI5" s="1612"/>
      <c r="DJ5" s="1612"/>
      <c r="DK5" s="1612"/>
      <c r="DL5" s="1612"/>
      <c r="DM5" s="1612"/>
      <c r="DN5" s="1612"/>
      <c r="DO5" s="1612"/>
      <c r="DP5" s="1612"/>
      <c r="DQ5" s="1612"/>
      <c r="DR5" s="1612"/>
      <c r="DS5" s="1612"/>
      <c r="DT5" s="1612"/>
      <c r="DU5" s="1612"/>
      <c r="DV5" s="1612"/>
      <c r="DW5" s="1612"/>
      <c r="DX5" s="1612"/>
      <c r="DY5" s="1612"/>
      <c r="DZ5" s="1612"/>
      <c r="EA5" s="1612"/>
      <c r="EB5" s="1612"/>
      <c r="EC5" s="1612"/>
      <c r="ED5" s="1612"/>
      <c r="EE5" s="1612"/>
      <c r="EF5" s="1612"/>
      <c r="EG5" s="1612"/>
      <c r="EH5" s="1612"/>
      <c r="EI5" s="1612"/>
      <c r="EJ5" s="1612"/>
      <c r="EK5" s="1612"/>
      <c r="EL5" s="1612"/>
      <c r="EM5" s="1612"/>
      <c r="EN5" s="1612"/>
      <c r="EO5" s="1612"/>
      <c r="EP5" s="1612"/>
      <c r="EQ5" s="1612"/>
      <c r="ER5" s="1612"/>
      <c r="ES5" s="1612"/>
      <c r="ET5" s="1612"/>
      <c r="EU5" s="1612"/>
      <c r="EV5" s="1612"/>
      <c r="EW5" s="1612"/>
      <c r="EX5" s="1612"/>
      <c r="EY5" s="1612"/>
      <c r="EZ5" s="1612"/>
      <c r="FA5" s="1612"/>
      <c r="FB5" s="1612"/>
      <c r="FC5" s="1612"/>
      <c r="FD5" s="1612"/>
      <c r="FE5" s="1612"/>
      <c r="FF5" s="1612"/>
      <c r="FG5" s="1612"/>
      <c r="FH5" s="1612"/>
      <c r="FI5" s="1612"/>
      <c r="FJ5" s="1612"/>
      <c r="FK5" s="1612"/>
      <c r="FL5" s="1612"/>
      <c r="FM5" s="1612"/>
      <c r="FN5" s="1612"/>
      <c r="FO5" s="1612"/>
      <c r="FP5" s="1612"/>
      <c r="FQ5" s="1612"/>
      <c r="FR5" s="1612"/>
      <c r="FS5" s="1612"/>
      <c r="FT5" s="1612"/>
      <c r="FU5" s="1612"/>
      <c r="FV5" s="1612"/>
      <c r="FW5" s="1612"/>
      <c r="FX5" s="1612"/>
      <c r="FY5" s="1612"/>
      <c r="FZ5" s="1612"/>
      <c r="GA5" s="1612"/>
      <c r="GB5" s="1612"/>
      <c r="GC5" s="1612"/>
      <c r="GD5" s="1612"/>
      <c r="GE5" s="1612"/>
      <c r="GF5" s="1612"/>
      <c r="GG5" s="1612"/>
      <c r="GH5" s="1612"/>
      <c r="GI5" s="1612"/>
      <c r="GJ5" s="1612"/>
      <c r="GK5" s="1612"/>
      <c r="GL5" s="1612"/>
      <c r="GM5" s="1612"/>
      <c r="GN5" s="1612"/>
      <c r="GO5" s="1612"/>
      <c r="GP5" s="1612"/>
      <c r="GQ5" s="1612"/>
      <c r="GR5" s="1612"/>
      <c r="GS5" s="1612"/>
      <c r="GT5" s="1612"/>
      <c r="GU5" s="1612"/>
      <c r="GV5" s="1612"/>
      <c r="GW5" s="1612"/>
      <c r="GX5" s="1612"/>
      <c r="GY5" s="1612"/>
      <c r="GZ5" s="1612"/>
      <c r="HA5" s="1612"/>
      <c r="HB5" s="1612"/>
      <c r="HC5" s="1612"/>
      <c r="HD5" s="1612"/>
      <c r="HE5" s="1612"/>
      <c r="HF5" s="1612"/>
      <c r="HG5" s="1612"/>
      <c r="HH5" s="1612"/>
      <c r="HI5" s="1612"/>
      <c r="HJ5" s="1612"/>
      <c r="HK5" s="1612"/>
      <c r="HL5" s="1612"/>
      <c r="HM5" s="1612"/>
      <c r="HN5" s="1612"/>
      <c r="HO5" s="1612"/>
      <c r="HP5" s="1612"/>
      <c r="HQ5" s="1612"/>
      <c r="HR5" s="1612"/>
      <c r="HS5" s="1612"/>
      <c r="HT5" s="1612"/>
      <c r="HU5" s="1612"/>
      <c r="HV5" s="1612"/>
      <c r="HW5" s="1612"/>
      <c r="HX5" s="1612"/>
      <c r="HY5" s="1612"/>
      <c r="HZ5" s="1612"/>
      <c r="IA5" s="1612"/>
      <c r="IB5" s="1612"/>
      <c r="IC5" s="1612"/>
      <c r="ID5" s="1612"/>
      <c r="IE5" s="1612"/>
      <c r="IF5" s="1612"/>
      <c r="IG5" s="1612"/>
      <c r="IH5" s="1612"/>
      <c r="II5" s="1612"/>
      <c r="IJ5" s="1612"/>
      <c r="IK5" s="1612"/>
      <c r="IL5" s="1612"/>
      <c r="IM5" s="1612"/>
      <c r="IN5" s="1612"/>
      <c r="IO5" s="1612"/>
      <c r="IP5" s="1612"/>
      <c r="IQ5" s="1612"/>
      <c r="IR5" s="1612"/>
      <c r="IS5" s="1612"/>
      <c r="IT5" s="1612"/>
      <c r="IU5" s="1612"/>
      <c r="IV5" s="1612"/>
    </row>
    <row r="6" spans="1:256" s="1616" customFormat="1" ht="15">
      <c r="A6" s="1612" t="s">
        <v>5419</v>
      </c>
      <c r="B6" s="1613"/>
      <c r="C6" s="1613"/>
      <c r="D6" s="1613"/>
      <c r="E6" s="1613"/>
      <c r="F6" s="1613"/>
      <c r="G6" s="1613"/>
      <c r="H6" s="1613"/>
      <c r="I6" s="1613"/>
      <c r="J6" s="1613"/>
      <c r="K6" s="1613"/>
      <c r="L6" s="1614"/>
      <c r="M6" s="1613"/>
      <c r="N6" s="1613"/>
      <c r="O6" s="1613"/>
    </row>
    <row r="7" spans="1:256" ht="12.75">
      <c r="A7" s="1228" t="s">
        <v>5420</v>
      </c>
      <c r="B7" s="1228"/>
      <c r="C7" s="1228"/>
      <c r="D7" s="1229"/>
      <c r="E7" s="1229"/>
      <c r="F7" s="1230">
        <v>1700000</v>
      </c>
      <c r="G7" s="1231"/>
      <c r="H7" s="1231"/>
      <c r="I7" s="1231"/>
      <c r="J7" s="1231"/>
      <c r="K7" s="1231"/>
      <c r="L7" s="1313"/>
      <c r="M7" s="1232"/>
      <c r="N7" s="1232"/>
      <c r="O7" s="1231"/>
    </row>
    <row r="8" spans="1:256" ht="12.75">
      <c r="A8" s="1228" t="s">
        <v>5421</v>
      </c>
      <c r="B8" s="1228"/>
      <c r="C8" s="1228"/>
      <c r="D8" s="1229"/>
      <c r="E8" s="1229"/>
      <c r="F8" s="1230">
        <v>1150000</v>
      </c>
      <c r="G8" s="1231" t="s">
        <v>5422</v>
      </c>
      <c r="H8" s="1231"/>
      <c r="I8" s="1231"/>
      <c r="J8" s="1231"/>
      <c r="K8" s="1231"/>
      <c r="L8" s="1313"/>
      <c r="M8" s="1232"/>
      <c r="N8" s="1232"/>
      <c r="O8" s="1231"/>
    </row>
    <row r="9" spans="1:256" ht="12.75">
      <c r="A9" s="1228" t="s">
        <v>5423</v>
      </c>
      <c r="B9" s="1228"/>
      <c r="C9" s="1228"/>
      <c r="D9" s="1229"/>
      <c r="E9" s="1229"/>
      <c r="F9" s="1231"/>
      <c r="G9" s="1231"/>
      <c r="H9" s="1231"/>
      <c r="I9" s="1231"/>
      <c r="J9" s="1231"/>
      <c r="K9" s="1231"/>
      <c r="L9" s="1313"/>
      <c r="M9" s="1232"/>
      <c r="N9" s="1232"/>
      <c r="O9" s="1231"/>
    </row>
    <row r="10" spans="1:256" ht="12.75">
      <c r="A10" s="1617" t="s">
        <v>5424</v>
      </c>
      <c r="B10" s="1233"/>
      <c r="C10" s="1233"/>
      <c r="D10" s="1231"/>
      <c r="E10" s="1231"/>
      <c r="F10" s="1234">
        <f>SUM(F11:F12)</f>
        <v>0.2</v>
      </c>
      <c r="G10" s="1231" t="s">
        <v>5425</v>
      </c>
      <c r="H10" s="1234"/>
      <c r="I10" s="1231"/>
      <c r="J10" s="1231"/>
      <c r="K10" s="1231"/>
      <c r="L10" s="1314"/>
      <c r="M10" s="1232"/>
      <c r="N10" s="1232"/>
      <c r="O10" s="1231"/>
    </row>
    <row r="11" spans="1:256" ht="12.75">
      <c r="A11" s="1617" t="s">
        <v>5426</v>
      </c>
      <c r="B11" s="1233"/>
      <c r="C11" s="1233"/>
      <c r="D11" s="1231"/>
      <c r="E11" s="1231"/>
      <c r="F11" s="1234"/>
      <c r="G11" s="1231"/>
      <c r="H11" s="1234"/>
      <c r="I11" s="1231"/>
      <c r="J11" s="1231"/>
      <c r="K11" s="1231"/>
      <c r="L11" s="1314"/>
      <c r="M11" s="1232"/>
      <c r="N11" s="1232"/>
      <c r="O11" s="1231"/>
    </row>
    <row r="12" spans="1:256" ht="12.75">
      <c r="A12" s="1617" t="s">
        <v>5427</v>
      </c>
      <c r="B12" s="1233"/>
      <c r="C12" s="1233"/>
      <c r="D12" s="1231"/>
      <c r="E12" s="1231"/>
      <c r="F12" s="1234">
        <v>0.2</v>
      </c>
      <c r="G12" s="1231" t="s">
        <v>5428</v>
      </c>
      <c r="H12" s="1234"/>
      <c r="I12" s="1231"/>
      <c r="J12" s="1231"/>
      <c r="K12" s="1231"/>
      <c r="L12" s="1314"/>
      <c r="M12" s="1232"/>
      <c r="N12" s="1232"/>
      <c r="O12" s="1231"/>
      <c r="P12" s="1612" t="s">
        <v>5429</v>
      </c>
    </row>
    <row r="13" spans="1:256" ht="12.75">
      <c r="A13" s="1617" t="s">
        <v>5430</v>
      </c>
      <c r="B13" s="1233"/>
      <c r="C13" s="1233"/>
      <c r="D13" s="1231"/>
      <c r="E13" s="1231"/>
      <c r="F13" s="1234">
        <f>SUM(F14:F17)</f>
        <v>0.26</v>
      </c>
      <c r="G13" s="1231" t="s">
        <v>5431</v>
      </c>
      <c r="H13" s="1234"/>
      <c r="I13" s="1231"/>
      <c r="J13" s="1231"/>
      <c r="K13" s="1231"/>
      <c r="L13" s="1314"/>
      <c r="M13" s="1232"/>
      <c r="N13" s="1232"/>
      <c r="O13" s="1231"/>
    </row>
    <row r="14" spans="1:256" ht="12.75">
      <c r="A14" s="1617" t="s">
        <v>5432</v>
      </c>
      <c r="B14" s="1233"/>
      <c r="C14" s="1233"/>
      <c r="D14" s="1231"/>
      <c r="E14" s="1231"/>
      <c r="F14" s="1235">
        <v>0.1</v>
      </c>
      <c r="G14" s="1231" t="s">
        <v>5433</v>
      </c>
      <c r="H14" s="1234"/>
      <c r="I14" s="1231"/>
      <c r="J14" s="1231"/>
      <c r="K14" s="1236"/>
      <c r="L14" s="1314"/>
      <c r="M14" s="1232"/>
      <c r="N14" s="1232"/>
      <c r="O14" s="1231"/>
    </row>
    <row r="15" spans="1:256" ht="12.75">
      <c r="A15" s="1617" t="s">
        <v>5434</v>
      </c>
      <c r="B15" s="1233"/>
      <c r="C15" s="1233"/>
      <c r="D15" s="1231"/>
      <c r="E15" s="1231"/>
      <c r="F15" s="1234"/>
      <c r="G15" s="1231"/>
      <c r="H15" s="1234"/>
      <c r="I15" s="1231"/>
      <c r="J15" s="1231"/>
      <c r="K15" s="1236"/>
      <c r="L15" s="1314"/>
      <c r="M15" s="1232"/>
      <c r="N15" s="1232"/>
      <c r="O15" s="1231"/>
    </row>
    <row r="16" spans="1:256" ht="12.75">
      <c r="A16" s="1617" t="s">
        <v>5435</v>
      </c>
      <c r="B16" s="1233"/>
      <c r="C16" s="1233"/>
      <c r="D16" s="1231"/>
      <c r="E16" s="1231"/>
      <c r="F16" s="1234">
        <v>0.12</v>
      </c>
      <c r="G16" s="1231" t="s">
        <v>5433</v>
      </c>
      <c r="H16" s="1234"/>
      <c r="I16" s="1231"/>
      <c r="J16" s="1231"/>
      <c r="K16" s="1236"/>
      <c r="L16" s="1315"/>
      <c r="M16" s="1232"/>
      <c r="N16" s="1232"/>
      <c r="O16" s="1231"/>
    </row>
    <row r="17" spans="1:20" ht="12.75">
      <c r="A17" s="1617" t="s">
        <v>5436</v>
      </c>
      <c r="B17" s="1233"/>
      <c r="C17" s="1233"/>
      <c r="D17" s="1231"/>
      <c r="E17" s="1231"/>
      <c r="F17" s="1234">
        <v>0.04</v>
      </c>
      <c r="G17" s="1231" t="s">
        <v>5433</v>
      </c>
      <c r="H17" s="1234"/>
      <c r="I17" s="1231"/>
      <c r="J17" s="1231"/>
      <c r="K17" s="1236"/>
      <c r="L17" s="1314"/>
      <c r="M17" s="1232"/>
      <c r="N17" s="1232"/>
      <c r="O17" s="1231"/>
    </row>
    <row r="18" spans="1:20" ht="12.75">
      <c r="A18" s="1228" t="s">
        <v>5437</v>
      </c>
      <c r="B18" s="1233"/>
      <c r="C18" s="1233"/>
      <c r="D18" s="1231"/>
      <c r="E18" s="1231"/>
      <c r="F18" s="1229">
        <v>26</v>
      </c>
      <c r="G18" s="1231"/>
      <c r="H18" s="1234"/>
      <c r="I18" s="1231"/>
      <c r="J18" s="1231"/>
      <c r="K18" s="1231"/>
      <c r="L18" s="1314"/>
      <c r="M18" s="1232"/>
      <c r="N18" s="1232"/>
      <c r="O18" s="1231"/>
    </row>
    <row r="19" spans="1:20" customFormat="1" ht="12.75" hidden="1">
      <c r="A19" s="1228" t="s">
        <v>5438</v>
      </c>
      <c r="B19" s="1237"/>
      <c r="C19" s="1238"/>
      <c r="D19" s="1237"/>
      <c r="E19" s="1237"/>
      <c r="F19" s="1239"/>
      <c r="G19" s="1239"/>
      <c r="H19" s="1239"/>
      <c r="I19" s="1239"/>
      <c r="J19" s="1239"/>
      <c r="K19" s="1240"/>
      <c r="L19" s="1316"/>
      <c r="M19" s="1239"/>
      <c r="N19" s="1239"/>
      <c r="O19" s="1237"/>
    </row>
    <row r="20" spans="1:20" customFormat="1" ht="12.75" hidden="1">
      <c r="A20" s="1241" t="s">
        <v>5439</v>
      </c>
      <c r="B20" s="1237"/>
      <c r="C20" s="1238"/>
      <c r="D20" s="1237"/>
      <c r="E20" s="1237"/>
      <c r="F20" s="1239"/>
      <c r="G20" s="1239"/>
      <c r="H20" s="1239"/>
      <c r="I20" s="1239"/>
      <c r="J20" s="1239"/>
      <c r="K20" s="1239"/>
      <c r="L20" s="1316"/>
      <c r="M20" s="1239"/>
      <c r="N20" s="1239"/>
      <c r="O20" s="1237"/>
    </row>
    <row r="21" spans="1:20" customFormat="1" ht="12.75" hidden="1">
      <c r="A21" s="1241" t="s">
        <v>5440</v>
      </c>
      <c r="B21" s="1237"/>
      <c r="C21" s="1242"/>
      <c r="D21" s="1243"/>
      <c r="E21" s="1237"/>
      <c r="F21" s="1237"/>
      <c r="G21" s="1237"/>
      <c r="H21" s="1237"/>
      <c r="I21" s="1237"/>
      <c r="J21" s="1237"/>
      <c r="K21" s="1237"/>
      <c r="L21" s="1484"/>
      <c r="M21" s="1417"/>
      <c r="N21" s="1417"/>
      <c r="O21" s="1237"/>
    </row>
    <row r="22" spans="1:20" customFormat="1" ht="12.75" hidden="1">
      <c r="A22" s="1241" t="s">
        <v>5441</v>
      </c>
      <c r="B22" s="1237"/>
      <c r="C22" s="1242"/>
      <c r="D22" s="1243"/>
      <c r="E22" s="1237"/>
      <c r="F22" s="1237"/>
      <c r="G22" s="1237"/>
      <c r="H22" s="1237"/>
      <c r="I22" s="1237"/>
      <c r="J22" s="1237"/>
      <c r="K22" s="1237"/>
      <c r="L22" s="1316"/>
      <c r="M22" s="1239"/>
      <c r="N22" s="1239"/>
      <c r="O22" s="1237"/>
    </row>
    <row r="23" spans="1:20">
      <c r="A23" s="1244" t="s">
        <v>5442</v>
      </c>
      <c r="B23" s="1245"/>
      <c r="C23" s="1246"/>
      <c r="D23" s="1227"/>
      <c r="E23" s="1247"/>
      <c r="F23" s="1227"/>
      <c r="G23" s="1227"/>
      <c r="H23" s="1227"/>
      <c r="I23" s="1227"/>
      <c r="J23" s="1227"/>
      <c r="K23" s="1227"/>
      <c r="L23" s="1317"/>
      <c r="M23" s="1248"/>
      <c r="N23" s="1248"/>
    </row>
    <row r="24" spans="1:20" ht="12.75">
      <c r="A24" s="2161" t="s">
        <v>5443</v>
      </c>
      <c r="B24" s="2162"/>
      <c r="C24" s="1250" t="s">
        <v>5444</v>
      </c>
      <c r="D24" s="1250"/>
      <c r="E24" s="1251"/>
      <c r="F24" s="1250" t="s">
        <v>5445</v>
      </c>
      <c r="G24" s="1251"/>
      <c r="H24" s="1251"/>
      <c r="I24" s="1250" t="s">
        <v>5446</v>
      </c>
      <c r="J24" s="1251"/>
      <c r="K24" s="1251"/>
      <c r="L24" s="1318" t="s">
        <v>5447</v>
      </c>
      <c r="M24" s="1251"/>
      <c r="N24" s="1251"/>
      <c r="O24" s="1231"/>
    </row>
    <row r="25" spans="1:20" ht="33.950000000000003" customHeight="1">
      <c r="A25" s="2163"/>
      <c r="B25" s="2164"/>
      <c r="C25" s="1252" t="s">
        <v>5448</v>
      </c>
      <c r="D25" s="1253" t="s">
        <v>5449</v>
      </c>
      <c r="E25" s="1253" t="s">
        <v>5450</v>
      </c>
      <c r="F25" s="1252" t="s">
        <v>5448</v>
      </c>
      <c r="G25" s="1253" t="s">
        <v>5449</v>
      </c>
      <c r="H25" s="1253" t="s">
        <v>5450</v>
      </c>
      <c r="I25" s="1252" t="s">
        <v>5448</v>
      </c>
      <c r="J25" s="1253" t="s">
        <v>5449</v>
      </c>
      <c r="K25" s="1253" t="s">
        <v>5450</v>
      </c>
      <c r="L25" s="1620" t="s">
        <v>5798</v>
      </c>
      <c r="M25" s="1621" t="s">
        <v>5799</v>
      </c>
      <c r="N25" s="1621" t="s">
        <v>5800</v>
      </c>
      <c r="O25" s="1231"/>
    </row>
    <row r="26" spans="1:20" ht="12.75">
      <c r="A26" s="1254"/>
      <c r="B26" s="1255"/>
      <c r="C26" s="1256" t="s">
        <v>5451</v>
      </c>
      <c r="D26" s="1256" t="s">
        <v>5452</v>
      </c>
      <c r="E26" s="1256" t="s">
        <v>5453</v>
      </c>
      <c r="F26" s="1257" t="s">
        <v>5454</v>
      </c>
      <c r="G26" s="1257" t="s">
        <v>5455</v>
      </c>
      <c r="H26" s="1257" t="s">
        <v>5456</v>
      </c>
      <c r="I26" s="1258" t="s">
        <v>5457</v>
      </c>
      <c r="J26" s="1258" t="s">
        <v>5458</v>
      </c>
      <c r="K26" s="1258" t="s">
        <v>5459</v>
      </c>
      <c r="L26" s="1319" t="s">
        <v>5460</v>
      </c>
      <c r="M26" s="1257" t="s">
        <v>5461</v>
      </c>
      <c r="N26" s="1257" t="s">
        <v>5462</v>
      </c>
      <c r="O26" s="1231"/>
      <c r="R26" s="1611">
        <v>1</v>
      </c>
    </row>
    <row r="27" spans="1:20" customFormat="1" ht="12.75" hidden="1">
      <c r="A27" s="1259" t="s">
        <v>5463</v>
      </c>
      <c r="B27" s="1260">
        <v>1</v>
      </c>
      <c r="C27" s="1261">
        <v>1.55</v>
      </c>
      <c r="D27" s="1261">
        <v>1.67</v>
      </c>
      <c r="E27" s="1261">
        <v>1.85</v>
      </c>
      <c r="F27" s="1262">
        <f t="shared" ref="F27:H32" si="0">($F$10+$F$13*C27)*$F$7</f>
        <v>1025100</v>
      </c>
      <c r="G27" s="1262">
        <f t="shared" si="0"/>
        <v>1078140</v>
      </c>
      <c r="H27" s="1262">
        <f t="shared" si="0"/>
        <v>1157700</v>
      </c>
      <c r="I27" s="1262">
        <f t="shared" ref="I27:K58" si="1">C27*$F$7+F27</f>
        <v>3660100</v>
      </c>
      <c r="J27" s="1262">
        <f t="shared" si="1"/>
        <v>3917140</v>
      </c>
      <c r="K27" s="1262">
        <f t="shared" si="1"/>
        <v>4302700</v>
      </c>
      <c r="L27" s="1320">
        <f>ROUND(I27/26,0)</f>
        <v>140773</v>
      </c>
      <c r="M27" s="1262">
        <f>ROUND(J27/26,0)</f>
        <v>150659</v>
      </c>
      <c r="N27" s="1262">
        <f t="shared" ref="M27:N32" si="2">K27/26</f>
        <v>165488.46153846153</v>
      </c>
      <c r="O27" s="1231"/>
      <c r="R27">
        <v>1</v>
      </c>
      <c r="T27">
        <f>+M27/L27</f>
        <v>1.0702265349179174</v>
      </c>
    </row>
    <row r="28" spans="1:20" customFormat="1" ht="12.75" hidden="1">
      <c r="A28" s="1263" t="str">
        <f t="shared" ref="A28:A78" si="3">A27</f>
        <v xml:space="preserve"> - Nhân công</v>
      </c>
      <c r="B28" s="1264">
        <v>2</v>
      </c>
      <c r="C28" s="1265">
        <v>1.83</v>
      </c>
      <c r="D28" s="1265">
        <v>1.96</v>
      </c>
      <c r="E28" s="1265">
        <v>2.1800000000000002</v>
      </c>
      <c r="F28" s="1266">
        <f t="shared" si="0"/>
        <v>1148860</v>
      </c>
      <c r="G28" s="1266">
        <f t="shared" si="0"/>
        <v>1206320</v>
      </c>
      <c r="H28" s="1266">
        <f t="shared" si="0"/>
        <v>1303560.0000000002</v>
      </c>
      <c r="I28" s="1266">
        <f t="shared" si="1"/>
        <v>4259860</v>
      </c>
      <c r="J28" s="1266">
        <f t="shared" si="1"/>
        <v>4538320</v>
      </c>
      <c r="K28" s="1266">
        <f t="shared" si="1"/>
        <v>5009560.0000000009</v>
      </c>
      <c r="L28" s="1321">
        <f t="shared" ref="L28:L91" si="4">ROUND(I28/26,0)</f>
        <v>163841</v>
      </c>
      <c r="M28" s="1266">
        <f t="shared" si="2"/>
        <v>174550.76923076922</v>
      </c>
      <c r="N28" s="1266">
        <f t="shared" si="2"/>
        <v>192675.38461538465</v>
      </c>
      <c r="O28" s="1231"/>
      <c r="T28">
        <f t="shared" ref="T28:T78" si="5">+M28/L28</f>
        <v>1.065366844872585</v>
      </c>
    </row>
    <row r="29" spans="1:20" customFormat="1" ht="12.75" hidden="1">
      <c r="A29" s="1263" t="str">
        <f t="shared" si="3"/>
        <v xml:space="preserve"> - Nhân công</v>
      </c>
      <c r="B29" s="1264">
        <v>2.1</v>
      </c>
      <c r="C29" s="1265">
        <f>($C$38-$C$28)/10+C28</f>
        <v>1.863</v>
      </c>
      <c r="D29" s="1265">
        <f>($C$38-$C$28)/10+D28</f>
        <v>1.9929999999999999</v>
      </c>
      <c r="E29" s="1265">
        <f>($C$38-$C$28)/10+E28</f>
        <v>2.2130000000000001</v>
      </c>
      <c r="F29" s="1266">
        <f t="shared" si="0"/>
        <v>1163446</v>
      </c>
      <c r="G29" s="1266">
        <f t="shared" si="0"/>
        <v>1220906</v>
      </c>
      <c r="H29" s="1266">
        <f t="shared" si="0"/>
        <v>1318146</v>
      </c>
      <c r="I29" s="1266">
        <f t="shared" si="1"/>
        <v>4330546</v>
      </c>
      <c r="J29" s="1266">
        <f t="shared" si="1"/>
        <v>4609006</v>
      </c>
      <c r="K29" s="1266">
        <f t="shared" si="1"/>
        <v>5080246</v>
      </c>
      <c r="L29" s="1321">
        <f t="shared" si="4"/>
        <v>166559</v>
      </c>
      <c r="M29" s="1266">
        <f t="shared" si="2"/>
        <v>177269.46153846153</v>
      </c>
      <c r="N29" s="1266">
        <f t="shared" si="2"/>
        <v>195394.07692307694</v>
      </c>
      <c r="O29" s="1231"/>
      <c r="T29">
        <f t="shared" si="5"/>
        <v>1.0643043098149096</v>
      </c>
    </row>
    <row r="30" spans="1:20" customFormat="1" ht="12.75" hidden="1">
      <c r="A30" s="1263" t="str">
        <f t="shared" si="3"/>
        <v xml:space="preserve"> - Nhân công</v>
      </c>
      <c r="B30" s="1264">
        <v>2.2000000000000002</v>
      </c>
      <c r="C30" s="1265">
        <f t="shared" ref="C30:E37" si="6">($C$38-$C$28)/10+C29</f>
        <v>1.8959999999999999</v>
      </c>
      <c r="D30" s="1265">
        <f t="shared" si="6"/>
        <v>2.0259999999999998</v>
      </c>
      <c r="E30" s="1265">
        <f t="shared" si="6"/>
        <v>2.246</v>
      </c>
      <c r="F30" s="1266">
        <f t="shared" si="0"/>
        <v>1178032</v>
      </c>
      <c r="G30" s="1266">
        <f t="shared" si="0"/>
        <v>1235492.0000000002</v>
      </c>
      <c r="H30" s="1266">
        <f t="shared" si="0"/>
        <v>1332732</v>
      </c>
      <c r="I30" s="1266">
        <f t="shared" si="1"/>
        <v>4401232</v>
      </c>
      <c r="J30" s="1266">
        <f t="shared" si="1"/>
        <v>4679692</v>
      </c>
      <c r="K30" s="1266">
        <f t="shared" si="1"/>
        <v>5150932</v>
      </c>
      <c r="L30" s="1321">
        <f t="shared" si="4"/>
        <v>169278</v>
      </c>
      <c r="M30" s="1266">
        <f t="shared" si="2"/>
        <v>179988.15384615384</v>
      </c>
      <c r="N30" s="1266">
        <f t="shared" si="2"/>
        <v>198112.76923076922</v>
      </c>
      <c r="O30" s="1231"/>
      <c r="T30">
        <f t="shared" si="5"/>
        <v>1.0632696147529734</v>
      </c>
    </row>
    <row r="31" spans="1:20" customFormat="1" ht="12.75" hidden="1">
      <c r="A31" s="1263" t="str">
        <f t="shared" si="3"/>
        <v xml:space="preserve"> - Nhân công</v>
      </c>
      <c r="B31" s="1264">
        <v>2.2999999999999998</v>
      </c>
      <c r="C31" s="1265">
        <f t="shared" si="6"/>
        <v>1.9289999999999998</v>
      </c>
      <c r="D31" s="1265">
        <f t="shared" si="6"/>
        <v>2.0589999999999997</v>
      </c>
      <c r="E31" s="1265">
        <f t="shared" si="6"/>
        <v>2.2789999999999999</v>
      </c>
      <c r="F31" s="1266">
        <f t="shared" si="0"/>
        <v>1192618</v>
      </c>
      <c r="G31" s="1266">
        <f t="shared" si="0"/>
        <v>1250077.9999999998</v>
      </c>
      <c r="H31" s="1266">
        <f t="shared" si="0"/>
        <v>1347318</v>
      </c>
      <c r="I31" s="1266">
        <f t="shared" si="1"/>
        <v>4471918</v>
      </c>
      <c r="J31" s="1266">
        <f t="shared" si="1"/>
        <v>4750377.9999999991</v>
      </c>
      <c r="K31" s="1266">
        <f t="shared" si="1"/>
        <v>5221618</v>
      </c>
      <c r="L31" s="1321">
        <f t="shared" si="4"/>
        <v>171997</v>
      </c>
      <c r="M31" s="1266">
        <f t="shared" si="2"/>
        <v>182706.84615384613</v>
      </c>
      <c r="N31" s="1266">
        <f t="shared" si="2"/>
        <v>200831.46153846153</v>
      </c>
      <c r="O31" s="1231"/>
      <c r="T31">
        <f t="shared" si="5"/>
        <v>1.0622676334694565</v>
      </c>
    </row>
    <row r="32" spans="1:20" customFormat="1" ht="12.75" hidden="1">
      <c r="A32" s="1263" t="str">
        <f t="shared" si="3"/>
        <v xml:space="preserve"> - Nhân công</v>
      </c>
      <c r="B32" s="1264">
        <v>2.4</v>
      </c>
      <c r="C32" s="1265">
        <f t="shared" si="6"/>
        <v>1.9619999999999997</v>
      </c>
      <c r="D32" s="1265">
        <f t="shared" si="6"/>
        <v>2.0919999999999996</v>
      </c>
      <c r="E32" s="1265">
        <f t="shared" si="6"/>
        <v>2.3119999999999998</v>
      </c>
      <c r="F32" s="1266">
        <f t="shared" si="0"/>
        <v>1207203.9999999998</v>
      </c>
      <c r="G32" s="1266">
        <f t="shared" si="0"/>
        <v>1264663.9999999998</v>
      </c>
      <c r="H32" s="1266">
        <f t="shared" si="0"/>
        <v>1361904</v>
      </c>
      <c r="I32" s="1266">
        <f t="shared" si="1"/>
        <v>4542603.9999999991</v>
      </c>
      <c r="J32" s="1266">
        <f t="shared" si="1"/>
        <v>4821063.9999999991</v>
      </c>
      <c r="K32" s="1266">
        <f t="shared" si="1"/>
        <v>5292304</v>
      </c>
      <c r="L32" s="1321">
        <f t="shared" si="4"/>
        <v>174716</v>
      </c>
      <c r="M32" s="1266">
        <f t="shared" si="2"/>
        <v>185425.53846153844</v>
      </c>
      <c r="N32" s="1266">
        <f t="shared" si="2"/>
        <v>203550.15384615384</v>
      </c>
      <c r="O32" s="1231"/>
      <c r="T32">
        <f t="shared" si="5"/>
        <v>1.0612968386497998</v>
      </c>
    </row>
    <row r="33" spans="1:20" ht="12.75">
      <c r="A33" s="1263" t="str">
        <f t="shared" si="3"/>
        <v xml:space="preserve"> - Nhân công</v>
      </c>
      <c r="B33" s="1264">
        <v>2.5</v>
      </c>
      <c r="C33" s="1265">
        <f t="shared" si="6"/>
        <v>1.9949999999999997</v>
      </c>
      <c r="D33" s="1265">
        <f t="shared" si="6"/>
        <v>2.1249999999999996</v>
      </c>
      <c r="E33" s="1265">
        <f t="shared" si="6"/>
        <v>2.3449999999999998</v>
      </c>
      <c r="F33" s="1266">
        <f>$F$10*$F$8+$F$13*$F$7*C33</f>
        <v>1111790</v>
      </c>
      <c r="G33" s="1266">
        <f t="shared" ref="G33:H48" si="7">$F$10*$F$8+$F$13*$F$7*D33</f>
        <v>1169249.9999999998</v>
      </c>
      <c r="H33" s="1266">
        <f t="shared" si="7"/>
        <v>1266490</v>
      </c>
      <c r="I33" s="1266">
        <f t="shared" si="1"/>
        <v>4503290</v>
      </c>
      <c r="J33" s="1266">
        <f t="shared" si="1"/>
        <v>4781749.9999999991</v>
      </c>
      <c r="K33" s="1266">
        <f t="shared" si="1"/>
        <v>5252990</v>
      </c>
      <c r="L33" s="1321">
        <f t="shared" si="4"/>
        <v>173203</v>
      </c>
      <c r="M33" s="1266">
        <f t="shared" ref="M33:N68" si="8">ROUND(J33/26,0)</f>
        <v>183913</v>
      </c>
      <c r="N33" s="1266">
        <f t="shared" si="8"/>
        <v>202038</v>
      </c>
      <c r="O33" s="1231">
        <v>1</v>
      </c>
      <c r="T33" s="1611">
        <f t="shared" si="5"/>
        <v>1.0618349566693417</v>
      </c>
    </row>
    <row r="34" spans="1:20" customFormat="1" ht="12.75" hidden="1">
      <c r="A34" s="1263" t="str">
        <f t="shared" si="3"/>
        <v xml:space="preserve"> - Nhân công</v>
      </c>
      <c r="B34" s="1264">
        <v>2.6</v>
      </c>
      <c r="C34" s="1265">
        <f t="shared" si="6"/>
        <v>2.0279999999999996</v>
      </c>
      <c r="D34" s="1265">
        <f t="shared" si="6"/>
        <v>2.1579999999999995</v>
      </c>
      <c r="E34" s="1265">
        <f t="shared" si="6"/>
        <v>2.3779999999999997</v>
      </c>
      <c r="F34" s="1266">
        <f t="shared" ref="F34:H58" si="9">$F$10*$F$8+$F$13*$F$7*C34</f>
        <v>1126375.9999999998</v>
      </c>
      <c r="G34" s="1266">
        <f t="shared" si="7"/>
        <v>1183835.9999999998</v>
      </c>
      <c r="H34" s="1266">
        <f t="shared" si="7"/>
        <v>1281075.9999999998</v>
      </c>
      <c r="I34" s="1266">
        <f t="shared" si="1"/>
        <v>4573975.9999999991</v>
      </c>
      <c r="J34" s="1266">
        <f t="shared" si="1"/>
        <v>4852435.9999999991</v>
      </c>
      <c r="K34" s="1266">
        <f t="shared" si="1"/>
        <v>5323675.9999999991</v>
      </c>
      <c r="L34" s="1321">
        <f t="shared" si="4"/>
        <v>175922</v>
      </c>
      <c r="M34" s="1266">
        <f t="shared" si="8"/>
        <v>186632</v>
      </c>
      <c r="N34" s="1266">
        <f t="shared" si="8"/>
        <v>204757</v>
      </c>
      <c r="O34" s="1231"/>
      <c r="T34">
        <f t="shared" si="5"/>
        <v>1.0608792533054421</v>
      </c>
    </row>
    <row r="35" spans="1:20" ht="12.75">
      <c r="A35" s="1263" t="str">
        <f t="shared" si="3"/>
        <v xml:space="preserve"> - Nhân công</v>
      </c>
      <c r="B35" s="1264">
        <v>2.7</v>
      </c>
      <c r="C35" s="1265">
        <f t="shared" si="6"/>
        <v>2.0609999999999995</v>
      </c>
      <c r="D35" s="1265">
        <f t="shared" si="6"/>
        <v>2.1909999999999994</v>
      </c>
      <c r="E35" s="1265">
        <f t="shared" si="6"/>
        <v>2.4109999999999996</v>
      </c>
      <c r="F35" s="1266">
        <f t="shared" si="9"/>
        <v>1140961.9999999998</v>
      </c>
      <c r="G35" s="1266">
        <f t="shared" si="7"/>
        <v>1198421.9999999998</v>
      </c>
      <c r="H35" s="1266">
        <f t="shared" si="7"/>
        <v>1295661.9999999998</v>
      </c>
      <c r="I35" s="1266">
        <f t="shared" si="1"/>
        <v>4644661.9999999991</v>
      </c>
      <c r="J35" s="1266">
        <f t="shared" si="1"/>
        <v>4923121.9999999991</v>
      </c>
      <c r="K35" s="1266">
        <f t="shared" si="1"/>
        <v>5394361.9999999991</v>
      </c>
      <c r="L35" s="1321">
        <f t="shared" si="4"/>
        <v>178641</v>
      </c>
      <c r="M35" s="1266">
        <f t="shared" si="8"/>
        <v>189351</v>
      </c>
      <c r="N35" s="1266">
        <f t="shared" si="8"/>
        <v>207475</v>
      </c>
      <c r="O35" s="1231">
        <v>1</v>
      </c>
      <c r="T35" s="1611">
        <f t="shared" si="5"/>
        <v>1.0599526424505012</v>
      </c>
    </row>
    <row r="36" spans="1:20" customFormat="1" ht="12.75" hidden="1">
      <c r="A36" s="1263" t="str">
        <f t="shared" si="3"/>
        <v xml:space="preserve"> - Nhân công</v>
      </c>
      <c r="B36" s="1264">
        <v>2.8</v>
      </c>
      <c r="C36" s="1265">
        <f t="shared" si="6"/>
        <v>2.0939999999999994</v>
      </c>
      <c r="D36" s="1265">
        <f t="shared" si="6"/>
        <v>2.2239999999999993</v>
      </c>
      <c r="E36" s="1265">
        <f t="shared" si="6"/>
        <v>2.4439999999999995</v>
      </c>
      <c r="F36" s="1266">
        <f t="shared" si="9"/>
        <v>1155547.9999999998</v>
      </c>
      <c r="G36" s="1266">
        <f t="shared" si="7"/>
        <v>1213007.9999999995</v>
      </c>
      <c r="H36" s="1266">
        <f t="shared" si="7"/>
        <v>1310247.9999999998</v>
      </c>
      <c r="I36" s="1266">
        <f t="shared" si="1"/>
        <v>4715347.9999999991</v>
      </c>
      <c r="J36" s="1266">
        <f t="shared" si="1"/>
        <v>4993807.9999999981</v>
      </c>
      <c r="K36" s="1266">
        <f t="shared" si="1"/>
        <v>5465047.9999999991</v>
      </c>
      <c r="L36" s="1321">
        <f t="shared" si="4"/>
        <v>181360</v>
      </c>
      <c r="M36" s="1266">
        <f t="shared" si="8"/>
        <v>192070</v>
      </c>
      <c r="N36" s="1266">
        <f t="shared" si="8"/>
        <v>210194</v>
      </c>
      <c r="O36" s="1231"/>
      <c r="T36">
        <f t="shared" si="5"/>
        <v>1.0590538156153506</v>
      </c>
    </row>
    <row r="37" spans="1:20" customFormat="1" ht="12.75" hidden="1">
      <c r="A37" s="1263" t="str">
        <f t="shared" si="3"/>
        <v xml:space="preserve"> - Nhân công</v>
      </c>
      <c r="B37" s="1264">
        <v>2.9</v>
      </c>
      <c r="C37" s="1265">
        <f t="shared" si="6"/>
        <v>2.1269999999999993</v>
      </c>
      <c r="D37" s="1265">
        <f t="shared" si="6"/>
        <v>2.2569999999999992</v>
      </c>
      <c r="E37" s="1265">
        <f t="shared" si="6"/>
        <v>2.4769999999999994</v>
      </c>
      <c r="F37" s="1266">
        <f t="shared" si="9"/>
        <v>1170133.9999999995</v>
      </c>
      <c r="G37" s="1266">
        <f t="shared" si="7"/>
        <v>1227593.9999999995</v>
      </c>
      <c r="H37" s="1266">
        <f t="shared" si="7"/>
        <v>1324833.9999999998</v>
      </c>
      <c r="I37" s="1266">
        <f t="shared" si="1"/>
        <v>4786033.9999999981</v>
      </c>
      <c r="J37" s="1266">
        <f t="shared" si="1"/>
        <v>5064493.9999999981</v>
      </c>
      <c r="K37" s="1266">
        <f t="shared" si="1"/>
        <v>5535733.9999999991</v>
      </c>
      <c r="L37" s="1321">
        <f t="shared" si="4"/>
        <v>184078</v>
      </c>
      <c r="M37" s="1266">
        <f t="shared" si="8"/>
        <v>194788</v>
      </c>
      <c r="N37" s="1266">
        <f t="shared" si="8"/>
        <v>212913</v>
      </c>
      <c r="O37" s="1231"/>
      <c r="T37">
        <f t="shared" si="5"/>
        <v>1.0581818576907616</v>
      </c>
    </row>
    <row r="38" spans="1:20" ht="12.75">
      <c r="A38" s="1263" t="str">
        <f t="shared" si="3"/>
        <v xml:space="preserve"> - Nhân công</v>
      </c>
      <c r="B38" s="1264">
        <v>3</v>
      </c>
      <c r="C38" s="1265">
        <v>2.16</v>
      </c>
      <c r="D38" s="1267">
        <v>2.31</v>
      </c>
      <c r="E38" s="1267">
        <v>2.56</v>
      </c>
      <c r="F38" s="1266">
        <f t="shared" si="9"/>
        <v>1184720</v>
      </c>
      <c r="G38" s="1266">
        <f t="shared" si="7"/>
        <v>1251020</v>
      </c>
      <c r="H38" s="1266">
        <f t="shared" si="7"/>
        <v>1361520</v>
      </c>
      <c r="I38" s="1266">
        <f t="shared" si="1"/>
        <v>4856720</v>
      </c>
      <c r="J38" s="1266">
        <f t="shared" si="1"/>
        <v>5178020</v>
      </c>
      <c r="K38" s="1266">
        <f t="shared" si="1"/>
        <v>5713520</v>
      </c>
      <c r="L38" s="1321">
        <f t="shared" si="4"/>
        <v>186797</v>
      </c>
      <c r="M38" s="1266">
        <f t="shared" si="8"/>
        <v>199155</v>
      </c>
      <c r="N38" s="1266">
        <f t="shared" si="8"/>
        <v>219751</v>
      </c>
      <c r="O38" s="1231">
        <v>1</v>
      </c>
      <c r="T38" s="1611">
        <f t="shared" si="5"/>
        <v>1.0661573794011681</v>
      </c>
    </row>
    <row r="39" spans="1:20" customFormat="1" ht="12.75" hidden="1">
      <c r="A39" s="1263" t="str">
        <f t="shared" si="3"/>
        <v xml:space="preserve"> - Nhân công</v>
      </c>
      <c r="B39" s="1264">
        <v>3.1</v>
      </c>
      <c r="C39" s="1265">
        <f>($C$48-$C$38)/10+C38</f>
        <v>2.1990000000000003</v>
      </c>
      <c r="D39" s="1265">
        <f>($C$48-$C$38)/10+D38</f>
        <v>2.3490000000000002</v>
      </c>
      <c r="E39" s="1265">
        <f>($C$48-$C$38)/10+E38</f>
        <v>2.5990000000000002</v>
      </c>
      <c r="F39" s="1266">
        <f t="shared" si="9"/>
        <v>1201958</v>
      </c>
      <c r="G39" s="1266">
        <f t="shared" si="7"/>
        <v>1268258</v>
      </c>
      <c r="H39" s="1266">
        <f t="shared" si="7"/>
        <v>1378758</v>
      </c>
      <c r="I39" s="1266">
        <f t="shared" si="1"/>
        <v>4940258</v>
      </c>
      <c r="J39" s="1266">
        <f t="shared" si="1"/>
        <v>5261558</v>
      </c>
      <c r="K39" s="1266">
        <f t="shared" si="1"/>
        <v>5797058</v>
      </c>
      <c r="L39" s="1321">
        <f t="shared" si="4"/>
        <v>190010</v>
      </c>
      <c r="M39" s="1266">
        <f t="shared" si="8"/>
        <v>202368</v>
      </c>
      <c r="N39" s="1266">
        <f t="shared" si="8"/>
        <v>222964</v>
      </c>
      <c r="O39" s="1231"/>
      <c r="T39">
        <f t="shared" si="5"/>
        <v>1.0650386821746225</v>
      </c>
    </row>
    <row r="40" spans="1:20" ht="12.75">
      <c r="A40" s="1263" t="str">
        <f t="shared" si="3"/>
        <v xml:space="preserve"> - Nhân công</v>
      </c>
      <c r="B40" s="1264">
        <v>3.2</v>
      </c>
      <c r="C40" s="1268">
        <f t="shared" ref="C40:E47" si="10">($C$48-$C$38)/10+C39</f>
        <v>2.2380000000000004</v>
      </c>
      <c r="D40" s="1265">
        <f t="shared" si="10"/>
        <v>2.3880000000000003</v>
      </c>
      <c r="E40" s="1265">
        <f t="shared" si="10"/>
        <v>2.6380000000000003</v>
      </c>
      <c r="F40" s="1266">
        <f t="shared" si="9"/>
        <v>1219196.0000000002</v>
      </c>
      <c r="G40" s="1266">
        <f t="shared" si="7"/>
        <v>1285496.0000000002</v>
      </c>
      <c r="H40" s="1266">
        <f t="shared" si="7"/>
        <v>1395996.0000000002</v>
      </c>
      <c r="I40" s="1266">
        <f t="shared" si="1"/>
        <v>5023796.0000000009</v>
      </c>
      <c r="J40" s="1266">
        <f t="shared" si="1"/>
        <v>5345096.0000000009</v>
      </c>
      <c r="K40" s="1266">
        <f t="shared" si="1"/>
        <v>5880596.0000000009</v>
      </c>
      <c r="L40" s="1321">
        <f t="shared" si="4"/>
        <v>193223</v>
      </c>
      <c r="M40" s="1266">
        <f t="shared" si="8"/>
        <v>205581</v>
      </c>
      <c r="N40" s="1266">
        <f t="shared" si="8"/>
        <v>226177</v>
      </c>
      <c r="O40" s="1231">
        <v>1</v>
      </c>
      <c r="T40" s="1611">
        <f t="shared" si="5"/>
        <v>1.063957189361515</v>
      </c>
    </row>
    <row r="41" spans="1:20" ht="12.75">
      <c r="A41" s="1263" t="str">
        <f t="shared" si="3"/>
        <v xml:space="preserve"> - Nhân công</v>
      </c>
      <c r="B41" s="1264">
        <v>3.3</v>
      </c>
      <c r="C41" s="1268">
        <f t="shared" si="10"/>
        <v>2.2770000000000006</v>
      </c>
      <c r="D41" s="1265">
        <f t="shared" si="10"/>
        <v>2.4270000000000005</v>
      </c>
      <c r="E41" s="1265">
        <f t="shared" si="10"/>
        <v>2.6770000000000005</v>
      </c>
      <c r="F41" s="1266">
        <f t="shared" si="9"/>
        <v>1236434.0000000002</v>
      </c>
      <c r="G41" s="1266">
        <f t="shared" si="7"/>
        <v>1302734.0000000002</v>
      </c>
      <c r="H41" s="1266">
        <f t="shared" si="7"/>
        <v>1413234.0000000002</v>
      </c>
      <c r="I41" s="1266">
        <f t="shared" si="1"/>
        <v>5107334.0000000009</v>
      </c>
      <c r="J41" s="1266">
        <f t="shared" si="1"/>
        <v>5428634.0000000009</v>
      </c>
      <c r="K41" s="1266">
        <f t="shared" si="1"/>
        <v>5964134.0000000009</v>
      </c>
      <c r="L41" s="1321">
        <f t="shared" si="4"/>
        <v>196436</v>
      </c>
      <c r="M41" s="1266">
        <f t="shared" si="8"/>
        <v>208794</v>
      </c>
      <c r="N41" s="1266">
        <f t="shared" si="8"/>
        <v>229390</v>
      </c>
      <c r="O41" s="1231">
        <v>1</v>
      </c>
      <c r="P41" s="1618">
        <f>$C$38+($C$48-$C$38)/10*3</f>
        <v>2.2770000000000001</v>
      </c>
      <c r="T41" s="1611">
        <f t="shared" si="5"/>
        <v>1.062911075362968</v>
      </c>
    </row>
    <row r="42" spans="1:20" customFormat="1" ht="12.75" hidden="1">
      <c r="A42" s="1263" t="str">
        <f t="shared" si="3"/>
        <v xml:space="preserve"> - Nhân công</v>
      </c>
      <c r="B42" s="1264">
        <v>3.4</v>
      </c>
      <c r="C42" s="1268">
        <f t="shared" si="10"/>
        <v>2.3160000000000007</v>
      </c>
      <c r="D42" s="1265">
        <f t="shared" si="10"/>
        <v>2.4660000000000006</v>
      </c>
      <c r="E42" s="1265">
        <f t="shared" si="10"/>
        <v>2.7160000000000006</v>
      </c>
      <c r="F42" s="1266">
        <f t="shared" si="9"/>
        <v>1253672.0000000005</v>
      </c>
      <c r="G42" s="1266">
        <f t="shared" si="7"/>
        <v>1319972.0000000002</v>
      </c>
      <c r="H42" s="1266">
        <f t="shared" si="7"/>
        <v>1430472.0000000002</v>
      </c>
      <c r="I42" s="1266">
        <f t="shared" si="1"/>
        <v>5190872.0000000019</v>
      </c>
      <c r="J42" s="1266">
        <f t="shared" si="1"/>
        <v>5512172.0000000009</v>
      </c>
      <c r="K42" s="1266">
        <f t="shared" si="1"/>
        <v>6047672.0000000009</v>
      </c>
      <c r="L42" s="1321">
        <f t="shared" si="4"/>
        <v>199649</v>
      </c>
      <c r="M42" s="1266">
        <f t="shared" si="8"/>
        <v>212007</v>
      </c>
      <c r="N42" s="1266">
        <f t="shared" si="8"/>
        <v>232603</v>
      </c>
      <c r="O42" s="1231"/>
      <c r="P42" s="1269">
        <f>$C$38+($C$48-$C$38)/10*4</f>
        <v>2.3159999999999998</v>
      </c>
      <c r="T42">
        <f t="shared" si="5"/>
        <v>1.0618986320993344</v>
      </c>
    </row>
    <row r="43" spans="1:20" ht="12.75">
      <c r="A43" s="1263" t="str">
        <f t="shared" si="3"/>
        <v xml:space="preserve"> - Nhân công</v>
      </c>
      <c r="B43" s="1264">
        <v>3.5</v>
      </c>
      <c r="C43" s="1268">
        <f t="shared" si="10"/>
        <v>2.3550000000000009</v>
      </c>
      <c r="D43" s="1265">
        <f t="shared" si="10"/>
        <v>2.5050000000000008</v>
      </c>
      <c r="E43" s="1265">
        <f t="shared" si="10"/>
        <v>2.7550000000000008</v>
      </c>
      <c r="F43" s="1266">
        <f t="shared" si="9"/>
        <v>1270910.0000000005</v>
      </c>
      <c r="G43" s="1266">
        <f t="shared" si="7"/>
        <v>1337210.0000000002</v>
      </c>
      <c r="H43" s="1266">
        <f t="shared" si="7"/>
        <v>1447710.0000000002</v>
      </c>
      <c r="I43" s="1266">
        <f t="shared" si="1"/>
        <v>5274410.0000000019</v>
      </c>
      <c r="J43" s="1266">
        <f t="shared" si="1"/>
        <v>5595710.0000000009</v>
      </c>
      <c r="K43" s="1266">
        <f t="shared" si="1"/>
        <v>6131210.0000000009</v>
      </c>
      <c r="L43" s="1321">
        <f t="shared" si="4"/>
        <v>202862</v>
      </c>
      <c r="M43" s="1266">
        <f t="shared" si="8"/>
        <v>215220</v>
      </c>
      <c r="N43" s="1266">
        <f t="shared" si="8"/>
        <v>235816</v>
      </c>
      <c r="O43" s="1231">
        <v>1</v>
      </c>
      <c r="P43" s="1618">
        <f>$C$38+($C$48-$C$38)/10*5</f>
        <v>2.355</v>
      </c>
      <c r="T43" s="1611">
        <f t="shared" si="5"/>
        <v>1.0609182597036408</v>
      </c>
    </row>
    <row r="44" spans="1:20" customFormat="1" ht="12.75" hidden="1">
      <c r="A44" s="1263" t="str">
        <f t="shared" si="3"/>
        <v xml:space="preserve"> - Nhân công</v>
      </c>
      <c r="B44" s="1264">
        <v>3.6</v>
      </c>
      <c r="C44" s="1268">
        <f t="shared" si="10"/>
        <v>2.394000000000001</v>
      </c>
      <c r="D44" s="1265">
        <f t="shared" si="10"/>
        <v>2.5440000000000009</v>
      </c>
      <c r="E44" s="1265">
        <f t="shared" si="10"/>
        <v>2.7940000000000009</v>
      </c>
      <c r="F44" s="1266">
        <f t="shared" si="9"/>
        <v>1288148.0000000005</v>
      </c>
      <c r="G44" s="1266">
        <f t="shared" si="7"/>
        <v>1354448.0000000005</v>
      </c>
      <c r="H44" s="1266">
        <f t="shared" si="7"/>
        <v>1464948.0000000005</v>
      </c>
      <c r="I44" s="1266">
        <f t="shared" si="1"/>
        <v>5357948.0000000019</v>
      </c>
      <c r="J44" s="1266">
        <f t="shared" si="1"/>
        <v>5679248.0000000019</v>
      </c>
      <c r="K44" s="1266">
        <f t="shared" si="1"/>
        <v>6214748.0000000019</v>
      </c>
      <c r="L44" s="1321">
        <f t="shared" si="4"/>
        <v>206075</v>
      </c>
      <c r="M44" s="1266">
        <f t="shared" si="8"/>
        <v>218433</v>
      </c>
      <c r="N44" s="1266">
        <f t="shared" si="8"/>
        <v>239029</v>
      </c>
      <c r="O44" s="1231"/>
      <c r="P44" s="1269">
        <f>$C$38+($C$48-$C$38)/10*6</f>
        <v>2.3940000000000001</v>
      </c>
      <c r="T44">
        <f t="shared" si="5"/>
        <v>1.0599684580856483</v>
      </c>
    </row>
    <row r="45" spans="1:20" ht="12.75">
      <c r="A45" s="1263" t="str">
        <f t="shared" si="3"/>
        <v xml:space="preserve"> - Nhân công</v>
      </c>
      <c r="B45" s="1264">
        <v>3.7</v>
      </c>
      <c r="C45" s="1268">
        <f t="shared" si="10"/>
        <v>2.4330000000000012</v>
      </c>
      <c r="D45" s="1265">
        <f t="shared" si="10"/>
        <v>2.5830000000000011</v>
      </c>
      <c r="E45" s="1265">
        <f t="shared" si="10"/>
        <v>2.8330000000000011</v>
      </c>
      <c r="F45" s="1266">
        <f t="shared" si="9"/>
        <v>1305386.0000000005</v>
      </c>
      <c r="G45" s="1266">
        <f t="shared" si="7"/>
        <v>1371686.0000000005</v>
      </c>
      <c r="H45" s="1266">
        <f t="shared" si="7"/>
        <v>1482186.0000000005</v>
      </c>
      <c r="I45" s="1266">
        <f t="shared" si="1"/>
        <v>5441486.0000000019</v>
      </c>
      <c r="J45" s="1266">
        <f t="shared" si="1"/>
        <v>5762786.0000000019</v>
      </c>
      <c r="K45" s="1266">
        <f t="shared" si="1"/>
        <v>6298286.0000000019</v>
      </c>
      <c r="L45" s="1321">
        <f t="shared" si="4"/>
        <v>209288</v>
      </c>
      <c r="M45" s="1266">
        <f t="shared" si="8"/>
        <v>221646</v>
      </c>
      <c r="N45" s="1266">
        <f t="shared" si="8"/>
        <v>242242</v>
      </c>
      <c r="O45" s="1231">
        <v>1</v>
      </c>
      <c r="P45" s="1618">
        <f>$C$38+($C$48-$C$38)/10*7</f>
        <v>2.4329999999999998</v>
      </c>
      <c r="T45" s="1611">
        <f t="shared" si="5"/>
        <v>1.0590478192729635</v>
      </c>
    </row>
    <row r="46" spans="1:20" customFormat="1" ht="12.75" hidden="1">
      <c r="A46" s="1263" t="str">
        <f t="shared" si="3"/>
        <v xml:space="preserve"> - Nhân công</v>
      </c>
      <c r="B46" s="1264">
        <v>3.8</v>
      </c>
      <c r="C46" s="1268">
        <f t="shared" si="10"/>
        <v>2.4720000000000013</v>
      </c>
      <c r="D46" s="1265">
        <f t="shared" si="10"/>
        <v>2.6220000000000012</v>
      </c>
      <c r="E46" s="1265">
        <f t="shared" si="10"/>
        <v>2.8720000000000012</v>
      </c>
      <c r="F46" s="1266">
        <f t="shared" si="9"/>
        <v>1322624.0000000005</v>
      </c>
      <c r="G46" s="1266">
        <f t="shared" si="7"/>
        <v>1388924.0000000005</v>
      </c>
      <c r="H46" s="1266">
        <f t="shared" si="7"/>
        <v>1499424.0000000005</v>
      </c>
      <c r="I46" s="1266">
        <f t="shared" si="1"/>
        <v>5525024.0000000019</v>
      </c>
      <c r="J46" s="1266">
        <f t="shared" si="1"/>
        <v>5846324.0000000019</v>
      </c>
      <c r="K46" s="1266">
        <f t="shared" si="1"/>
        <v>6381824.0000000019</v>
      </c>
      <c r="L46" s="1321">
        <f t="shared" si="4"/>
        <v>212501</v>
      </c>
      <c r="M46" s="1266">
        <f t="shared" si="8"/>
        <v>224859</v>
      </c>
      <c r="N46" s="1266">
        <f t="shared" si="8"/>
        <v>245455</v>
      </c>
      <c r="O46" s="1231"/>
      <c r="P46" s="1269">
        <f>$C$38+($C$48-$C$38)/10*8</f>
        <v>2.472</v>
      </c>
      <c r="T46">
        <f t="shared" si="5"/>
        <v>1.0581550204469625</v>
      </c>
    </row>
    <row r="47" spans="1:20" customFormat="1" ht="12.75" hidden="1">
      <c r="A47" s="1263" t="str">
        <f t="shared" si="3"/>
        <v xml:space="preserve"> - Nhân công</v>
      </c>
      <c r="B47" s="1264">
        <v>3.9</v>
      </c>
      <c r="C47" s="1265">
        <f t="shared" si="10"/>
        <v>2.5110000000000015</v>
      </c>
      <c r="D47" s="1265">
        <f t="shared" si="10"/>
        <v>2.6610000000000014</v>
      </c>
      <c r="E47" s="1265">
        <f t="shared" si="10"/>
        <v>2.9110000000000014</v>
      </c>
      <c r="F47" s="1266">
        <f t="shared" si="9"/>
        <v>1339862.0000000007</v>
      </c>
      <c r="G47" s="1266">
        <f t="shared" si="7"/>
        <v>1406162.0000000007</v>
      </c>
      <c r="H47" s="1266">
        <f t="shared" si="7"/>
        <v>1516662.0000000007</v>
      </c>
      <c r="I47" s="1266">
        <f t="shared" si="1"/>
        <v>5608562.0000000037</v>
      </c>
      <c r="J47" s="1266">
        <f t="shared" si="1"/>
        <v>5929862.0000000028</v>
      </c>
      <c r="K47" s="1266">
        <f t="shared" si="1"/>
        <v>6465362.0000000028</v>
      </c>
      <c r="L47" s="1321">
        <f t="shared" si="4"/>
        <v>215714</v>
      </c>
      <c r="M47" s="1266">
        <f t="shared" si="8"/>
        <v>228072</v>
      </c>
      <c r="N47" s="1266">
        <f t="shared" si="8"/>
        <v>248668</v>
      </c>
      <c r="O47" s="1231"/>
      <c r="T47">
        <f t="shared" si="5"/>
        <v>1.0572888176010828</v>
      </c>
    </row>
    <row r="48" spans="1:20" ht="12.75">
      <c r="A48" s="1263" t="str">
        <f t="shared" si="3"/>
        <v xml:space="preserve"> - Nhân công</v>
      </c>
      <c r="B48" s="1264">
        <v>4</v>
      </c>
      <c r="C48" s="1265">
        <v>2.5499999999999998</v>
      </c>
      <c r="D48" s="1267">
        <v>2.71</v>
      </c>
      <c r="E48" s="1267">
        <v>3.01</v>
      </c>
      <c r="F48" s="1266">
        <f t="shared" si="9"/>
        <v>1357100</v>
      </c>
      <c r="G48" s="1266">
        <f t="shared" si="7"/>
        <v>1427820</v>
      </c>
      <c r="H48" s="1266">
        <f t="shared" si="7"/>
        <v>1560420</v>
      </c>
      <c r="I48" s="1266">
        <f t="shared" si="1"/>
        <v>5692100</v>
      </c>
      <c r="J48" s="1266">
        <f t="shared" si="1"/>
        <v>6034820</v>
      </c>
      <c r="K48" s="1266">
        <f t="shared" si="1"/>
        <v>6677420</v>
      </c>
      <c r="L48" s="1321">
        <f t="shared" si="4"/>
        <v>218927</v>
      </c>
      <c r="M48" s="1266">
        <f t="shared" si="8"/>
        <v>232108</v>
      </c>
      <c r="N48" s="1266">
        <f t="shared" si="8"/>
        <v>256824</v>
      </c>
      <c r="O48" s="1231">
        <v>1</v>
      </c>
      <c r="P48" s="1611">
        <f>$C$48+($C$58-$C$48)/10*1</f>
        <v>2.5959999999999996</v>
      </c>
      <c r="T48" s="1611">
        <f t="shared" si="5"/>
        <v>1.0602072837064409</v>
      </c>
    </row>
    <row r="49" spans="1:20" customFormat="1" ht="12.75" hidden="1">
      <c r="A49" s="1263" t="str">
        <f t="shared" si="3"/>
        <v xml:space="preserve"> - Nhân công</v>
      </c>
      <c r="B49" s="1264">
        <v>4.0999999999999996</v>
      </c>
      <c r="C49" s="1265">
        <f>($C$58-$C$48)/10+C48</f>
        <v>2.5959999999999996</v>
      </c>
      <c r="D49" s="1265">
        <f>($C$58-$C$48)/10+D48</f>
        <v>2.7559999999999998</v>
      </c>
      <c r="E49" s="1265">
        <f>($C$58-$C$48)/10+E48</f>
        <v>3.0559999999999996</v>
      </c>
      <c r="F49" s="1266">
        <f t="shared" si="9"/>
        <v>1377431.9999999998</v>
      </c>
      <c r="G49" s="1266">
        <f t="shared" si="9"/>
        <v>1448152</v>
      </c>
      <c r="H49" s="1266">
        <f t="shared" si="9"/>
        <v>1580751.9999999998</v>
      </c>
      <c r="I49" s="1266">
        <f t="shared" si="1"/>
        <v>5790631.9999999991</v>
      </c>
      <c r="J49" s="1266">
        <f t="shared" si="1"/>
        <v>6133352</v>
      </c>
      <c r="K49" s="1266">
        <f t="shared" si="1"/>
        <v>6775951.9999999991</v>
      </c>
      <c r="L49" s="1321">
        <f t="shared" si="4"/>
        <v>222717</v>
      </c>
      <c r="M49" s="1266">
        <f t="shared" si="8"/>
        <v>235898</v>
      </c>
      <c r="N49" s="1266">
        <f t="shared" si="8"/>
        <v>260614</v>
      </c>
      <c r="O49" s="1231"/>
      <c r="P49">
        <f>$C$48+($C$58-$C$48)/10*3</f>
        <v>2.6879999999999997</v>
      </c>
      <c r="T49">
        <f t="shared" si="5"/>
        <v>1.0591827296524288</v>
      </c>
    </row>
    <row r="50" spans="1:20" customFormat="1" ht="12.75" hidden="1">
      <c r="A50" s="1263" t="str">
        <f t="shared" si="3"/>
        <v xml:space="preserve"> - Nhân công</v>
      </c>
      <c r="B50" s="1264">
        <v>4.2</v>
      </c>
      <c r="C50" s="1265">
        <f t="shared" ref="C50:E57" si="11">($C$58-$C$48)/10+C49</f>
        <v>2.6419999999999995</v>
      </c>
      <c r="D50" s="1265">
        <f t="shared" si="11"/>
        <v>2.8019999999999996</v>
      </c>
      <c r="E50" s="1265">
        <f t="shared" si="11"/>
        <v>3.1019999999999994</v>
      </c>
      <c r="F50" s="1266">
        <f t="shared" si="9"/>
        <v>1397763.9999999998</v>
      </c>
      <c r="G50" s="1266">
        <f t="shared" si="9"/>
        <v>1468483.9999999998</v>
      </c>
      <c r="H50" s="1266">
        <f t="shared" si="9"/>
        <v>1601083.9999999998</v>
      </c>
      <c r="I50" s="1266">
        <f t="shared" si="1"/>
        <v>5889163.9999999991</v>
      </c>
      <c r="J50" s="1266">
        <f t="shared" si="1"/>
        <v>6231883.9999999991</v>
      </c>
      <c r="K50" s="1266">
        <f t="shared" si="1"/>
        <v>6874483.9999999991</v>
      </c>
      <c r="L50" s="1321">
        <f t="shared" si="4"/>
        <v>226506</v>
      </c>
      <c r="M50" s="1266">
        <f t="shared" si="8"/>
        <v>239688</v>
      </c>
      <c r="N50" s="1266">
        <f t="shared" si="8"/>
        <v>264403</v>
      </c>
      <c r="O50" s="1231"/>
      <c r="P50">
        <f>$C$48+($C$58-$C$48)/10*2</f>
        <v>2.6419999999999999</v>
      </c>
      <c r="T50">
        <f t="shared" si="5"/>
        <v>1.058197133850759</v>
      </c>
    </row>
    <row r="51" spans="1:20" ht="12.75">
      <c r="A51" s="1263" t="str">
        <f t="shared" si="3"/>
        <v xml:space="preserve"> - Nhân công</v>
      </c>
      <c r="B51" s="1264">
        <v>4.3</v>
      </c>
      <c r="C51" s="1265">
        <f t="shared" si="11"/>
        <v>2.6879999999999993</v>
      </c>
      <c r="D51" s="1265">
        <f t="shared" si="11"/>
        <v>2.8479999999999994</v>
      </c>
      <c r="E51" s="1265">
        <f t="shared" si="11"/>
        <v>3.1479999999999992</v>
      </c>
      <c r="F51" s="1266">
        <f t="shared" si="9"/>
        <v>1418095.9999999998</v>
      </c>
      <c r="G51" s="1266">
        <f t="shared" si="9"/>
        <v>1488815.9999999998</v>
      </c>
      <c r="H51" s="1266">
        <f t="shared" si="9"/>
        <v>1621415.9999999998</v>
      </c>
      <c r="I51" s="1266">
        <f t="shared" si="1"/>
        <v>5987695.9999999991</v>
      </c>
      <c r="J51" s="1266">
        <f t="shared" si="1"/>
        <v>6330415.9999999991</v>
      </c>
      <c r="K51" s="1266">
        <f t="shared" si="1"/>
        <v>6973015.9999999991</v>
      </c>
      <c r="L51" s="1321">
        <f t="shared" si="4"/>
        <v>230296</v>
      </c>
      <c r="M51" s="1266">
        <f t="shared" si="8"/>
        <v>243478</v>
      </c>
      <c r="N51" s="1266">
        <f t="shared" si="8"/>
        <v>268193</v>
      </c>
      <c r="O51" s="1231">
        <v>1</v>
      </c>
      <c r="P51" s="1611">
        <f>$C$48+($C$58-$C$48)/10*4</f>
        <v>2.734</v>
      </c>
      <c r="T51" s="1611">
        <f t="shared" si="5"/>
        <v>1.0572393788863028</v>
      </c>
    </row>
    <row r="52" spans="1:20" customFormat="1" ht="12.75" hidden="1">
      <c r="A52" s="1263" t="str">
        <f t="shared" si="3"/>
        <v xml:space="preserve"> - Nhân công</v>
      </c>
      <c r="B52" s="1264">
        <v>4.4000000000000004</v>
      </c>
      <c r="C52" s="1265">
        <f t="shared" si="11"/>
        <v>2.7339999999999991</v>
      </c>
      <c r="D52" s="1265">
        <f t="shared" si="11"/>
        <v>2.8939999999999992</v>
      </c>
      <c r="E52" s="1265">
        <f t="shared" si="11"/>
        <v>3.1939999999999991</v>
      </c>
      <c r="F52" s="1266">
        <f t="shared" si="9"/>
        <v>1438427.9999999995</v>
      </c>
      <c r="G52" s="1266">
        <f t="shared" si="9"/>
        <v>1509147.9999999998</v>
      </c>
      <c r="H52" s="1266">
        <f t="shared" si="9"/>
        <v>1641747.9999999995</v>
      </c>
      <c r="I52" s="1266">
        <f t="shared" si="1"/>
        <v>6086227.9999999981</v>
      </c>
      <c r="J52" s="1266">
        <f t="shared" si="1"/>
        <v>6428947.9999999991</v>
      </c>
      <c r="K52" s="1266">
        <f t="shared" si="1"/>
        <v>7071547.9999999981</v>
      </c>
      <c r="L52" s="1321">
        <f t="shared" si="4"/>
        <v>234086</v>
      </c>
      <c r="M52" s="1266">
        <f t="shared" si="8"/>
        <v>247267</v>
      </c>
      <c r="N52" s="1266">
        <f t="shared" si="8"/>
        <v>271983</v>
      </c>
      <c r="O52" s="1231"/>
      <c r="P52">
        <f>$C$48+($C$58-$C$48)/10*5</f>
        <v>2.78</v>
      </c>
      <c r="T52">
        <f t="shared" si="5"/>
        <v>1.0563083653016412</v>
      </c>
    </row>
    <row r="53" spans="1:20" ht="12.75">
      <c r="A53" s="1263" t="str">
        <f t="shared" si="3"/>
        <v xml:space="preserve"> - Nhân công</v>
      </c>
      <c r="B53" s="1264">
        <v>4.5</v>
      </c>
      <c r="C53" s="1265">
        <f t="shared" si="11"/>
        <v>2.7799999999999989</v>
      </c>
      <c r="D53" s="1265">
        <f t="shared" si="11"/>
        <v>2.9399999999999991</v>
      </c>
      <c r="E53" s="1265">
        <f t="shared" si="11"/>
        <v>3.2399999999999989</v>
      </c>
      <c r="F53" s="1266">
        <f t="shared" si="9"/>
        <v>1458759.9999999995</v>
      </c>
      <c r="G53" s="1266">
        <f t="shared" si="9"/>
        <v>1529479.9999999995</v>
      </c>
      <c r="H53" s="1266">
        <f t="shared" si="9"/>
        <v>1662079.9999999995</v>
      </c>
      <c r="I53" s="1266">
        <f t="shared" si="1"/>
        <v>6184759.9999999981</v>
      </c>
      <c r="J53" s="1266">
        <f t="shared" si="1"/>
        <v>6527479.9999999981</v>
      </c>
      <c r="K53" s="1266">
        <f t="shared" si="1"/>
        <v>7170079.9999999981</v>
      </c>
      <c r="L53" s="1321">
        <f t="shared" si="4"/>
        <v>237875</v>
      </c>
      <c r="M53" s="1266">
        <f t="shared" si="8"/>
        <v>251057</v>
      </c>
      <c r="N53" s="1266">
        <f t="shared" si="8"/>
        <v>275772</v>
      </c>
      <c r="O53" s="1231">
        <v>1</v>
      </c>
      <c r="T53" s="1611">
        <f t="shared" si="5"/>
        <v>1.0554156594850237</v>
      </c>
    </row>
    <row r="54" spans="1:20" customFormat="1" ht="12.75" hidden="1">
      <c r="A54" s="1263" t="str">
        <f t="shared" si="3"/>
        <v xml:space="preserve"> - Nhân công</v>
      </c>
      <c r="B54" s="1264">
        <v>4.5999999999999996</v>
      </c>
      <c r="C54" s="1265">
        <f t="shared" si="11"/>
        <v>2.8259999999999987</v>
      </c>
      <c r="D54" s="1265">
        <f t="shared" si="11"/>
        <v>2.9859999999999989</v>
      </c>
      <c r="E54" s="1265">
        <f t="shared" si="11"/>
        <v>3.2859999999999987</v>
      </c>
      <c r="F54" s="1266">
        <f t="shared" si="9"/>
        <v>1479091.9999999995</v>
      </c>
      <c r="G54" s="1266">
        <f t="shared" si="9"/>
        <v>1549811.9999999995</v>
      </c>
      <c r="H54" s="1266">
        <f t="shared" si="9"/>
        <v>1682411.9999999995</v>
      </c>
      <c r="I54" s="1266">
        <f t="shared" si="1"/>
        <v>6283291.9999999981</v>
      </c>
      <c r="J54" s="1266">
        <f t="shared" si="1"/>
        <v>6626011.9999999981</v>
      </c>
      <c r="K54" s="1266">
        <f t="shared" si="1"/>
        <v>7268611.9999999981</v>
      </c>
      <c r="L54" s="1321">
        <f t="shared" si="4"/>
        <v>241665</v>
      </c>
      <c r="M54" s="1266">
        <f t="shared" si="8"/>
        <v>254847</v>
      </c>
      <c r="N54" s="1266">
        <f t="shared" si="8"/>
        <v>279562</v>
      </c>
      <c r="O54" s="1231"/>
      <c r="T54">
        <f t="shared" si="5"/>
        <v>1.0545465830798832</v>
      </c>
    </row>
    <row r="55" spans="1:20" customFormat="1" ht="12.75" hidden="1">
      <c r="A55" s="1263" t="str">
        <f t="shared" si="3"/>
        <v xml:space="preserve"> - Nhân công</v>
      </c>
      <c r="B55" s="1264">
        <v>4.7</v>
      </c>
      <c r="C55" s="1265">
        <f t="shared" si="11"/>
        <v>2.8719999999999986</v>
      </c>
      <c r="D55" s="1265">
        <f t="shared" si="11"/>
        <v>3.0319999999999987</v>
      </c>
      <c r="E55" s="1265">
        <f t="shared" si="11"/>
        <v>3.3319999999999985</v>
      </c>
      <c r="F55" s="1266">
        <f t="shared" si="9"/>
        <v>1499423.9999999993</v>
      </c>
      <c r="G55" s="1266">
        <f t="shared" si="9"/>
        <v>1570143.9999999995</v>
      </c>
      <c r="H55" s="1266">
        <f t="shared" si="9"/>
        <v>1702743.9999999993</v>
      </c>
      <c r="I55" s="1266">
        <f t="shared" si="1"/>
        <v>6381823.9999999963</v>
      </c>
      <c r="J55" s="1266">
        <f t="shared" si="1"/>
        <v>6724543.9999999981</v>
      </c>
      <c r="K55" s="1266">
        <f t="shared" si="1"/>
        <v>7367143.9999999963</v>
      </c>
      <c r="L55" s="1321">
        <f t="shared" si="4"/>
        <v>245455</v>
      </c>
      <c r="M55" s="1266">
        <f t="shared" si="8"/>
        <v>258636</v>
      </c>
      <c r="N55" s="1266">
        <f t="shared" si="8"/>
        <v>283352</v>
      </c>
      <c r="O55" s="1231"/>
      <c r="T55">
        <f t="shared" si="5"/>
        <v>1.0537002709254242</v>
      </c>
    </row>
    <row r="56" spans="1:20" customFormat="1" ht="12.75" hidden="1">
      <c r="A56" s="1263" t="str">
        <f t="shared" si="3"/>
        <v xml:space="preserve"> - Nhân công</v>
      </c>
      <c r="B56" s="1264">
        <v>4.8</v>
      </c>
      <c r="C56" s="1265">
        <f t="shared" si="11"/>
        <v>2.9179999999999984</v>
      </c>
      <c r="D56" s="1265">
        <f t="shared" si="11"/>
        <v>3.0779999999999985</v>
      </c>
      <c r="E56" s="1265">
        <f t="shared" si="11"/>
        <v>3.3779999999999983</v>
      </c>
      <c r="F56" s="1266">
        <f t="shared" si="9"/>
        <v>1519755.9999999993</v>
      </c>
      <c r="G56" s="1266">
        <f t="shared" si="9"/>
        <v>1590475.9999999993</v>
      </c>
      <c r="H56" s="1266">
        <f t="shared" si="9"/>
        <v>1723075.9999999993</v>
      </c>
      <c r="I56" s="1266">
        <f t="shared" si="1"/>
        <v>6480355.9999999963</v>
      </c>
      <c r="J56" s="1266">
        <f t="shared" si="1"/>
        <v>6823075.9999999963</v>
      </c>
      <c r="K56" s="1266">
        <f t="shared" si="1"/>
        <v>7465675.9999999963</v>
      </c>
      <c r="L56" s="1321">
        <f t="shared" si="4"/>
        <v>249244</v>
      </c>
      <c r="M56" s="1266">
        <f t="shared" si="8"/>
        <v>262426</v>
      </c>
      <c r="N56" s="1266">
        <f t="shared" si="8"/>
        <v>287141</v>
      </c>
      <c r="O56" s="1231"/>
      <c r="T56">
        <f t="shared" si="5"/>
        <v>1.0528879331097238</v>
      </c>
    </row>
    <row r="57" spans="1:20" customFormat="1" ht="12.75" hidden="1">
      <c r="A57" s="1263" t="str">
        <f t="shared" si="3"/>
        <v xml:space="preserve"> - Nhân công</v>
      </c>
      <c r="B57" s="1264">
        <v>4.9000000000000004</v>
      </c>
      <c r="C57" s="1265">
        <f t="shared" si="11"/>
        <v>2.9639999999999982</v>
      </c>
      <c r="D57" s="1265">
        <f t="shared" si="11"/>
        <v>3.1239999999999983</v>
      </c>
      <c r="E57" s="1265">
        <f t="shared" si="11"/>
        <v>3.4239999999999982</v>
      </c>
      <c r="F57" s="1266">
        <f t="shared" si="9"/>
        <v>1540087.9999999993</v>
      </c>
      <c r="G57" s="1266">
        <f t="shared" si="9"/>
        <v>1610807.9999999993</v>
      </c>
      <c r="H57" s="1266">
        <f t="shared" si="9"/>
        <v>1743407.9999999991</v>
      </c>
      <c r="I57" s="1266">
        <f t="shared" si="1"/>
        <v>6578887.9999999963</v>
      </c>
      <c r="J57" s="1266">
        <f t="shared" si="1"/>
        <v>6921607.9999999963</v>
      </c>
      <c r="K57" s="1266">
        <f t="shared" si="1"/>
        <v>7564207.9999999963</v>
      </c>
      <c r="L57" s="1321">
        <f t="shared" si="4"/>
        <v>253034</v>
      </c>
      <c r="M57" s="1266">
        <f t="shared" si="8"/>
        <v>266216</v>
      </c>
      <c r="N57" s="1266">
        <f t="shared" si="8"/>
        <v>290931</v>
      </c>
      <c r="O57" s="1231"/>
      <c r="T57">
        <f t="shared" si="5"/>
        <v>1.0520957657864161</v>
      </c>
    </row>
    <row r="58" spans="1:20" ht="12.75">
      <c r="A58" s="1263" t="str">
        <f t="shared" si="3"/>
        <v xml:space="preserve"> - Nhân công</v>
      </c>
      <c r="B58" s="1264">
        <v>5</v>
      </c>
      <c r="C58" s="1265">
        <v>3.01</v>
      </c>
      <c r="D58" s="1267">
        <v>3.19</v>
      </c>
      <c r="E58" s="1267">
        <v>3.54</v>
      </c>
      <c r="F58" s="1266">
        <f t="shared" si="9"/>
        <v>1560420</v>
      </c>
      <c r="G58" s="1266">
        <f t="shared" si="9"/>
        <v>1639980</v>
      </c>
      <c r="H58" s="1266">
        <f t="shared" si="9"/>
        <v>1794680</v>
      </c>
      <c r="I58" s="1266">
        <f t="shared" si="1"/>
        <v>6677420</v>
      </c>
      <c r="J58" s="1266">
        <f t="shared" si="1"/>
        <v>7062980</v>
      </c>
      <c r="K58" s="1266">
        <f t="shared" si="1"/>
        <v>7812680</v>
      </c>
      <c r="L58" s="1321">
        <f t="shared" si="4"/>
        <v>256824</v>
      </c>
      <c r="M58" s="1266">
        <f t="shared" si="8"/>
        <v>271653</v>
      </c>
      <c r="N58" s="1266">
        <f t="shared" si="8"/>
        <v>300488</v>
      </c>
      <c r="O58" s="1231">
        <v>1</v>
      </c>
      <c r="T58" s="1611">
        <f t="shared" si="5"/>
        <v>1.0577399308475843</v>
      </c>
    </row>
    <row r="59" spans="1:20" customFormat="1" ht="12.75" hidden="1">
      <c r="A59" s="1270" t="str">
        <f t="shared" si="3"/>
        <v xml:space="preserve"> - Nhân công</v>
      </c>
      <c r="B59" s="1271">
        <v>5.0999999999999996</v>
      </c>
      <c r="C59" s="1272">
        <f>($C$68-$C$58)/10+C58</f>
        <v>3.0649999999999999</v>
      </c>
      <c r="D59" s="1272">
        <f>($C$68-$C$58)/10+D58</f>
        <v>3.2450000000000001</v>
      </c>
      <c r="E59" s="1272">
        <f>($C$68-$C$58)/10+E58</f>
        <v>3.5950000000000002</v>
      </c>
      <c r="F59" s="1273">
        <f t="shared" ref="F59:H78" si="12">($F$10+$F$13*C59)*$F$7</f>
        <v>1694730.0000000002</v>
      </c>
      <c r="G59" s="1273">
        <f t="shared" si="12"/>
        <v>1774290.0000000002</v>
      </c>
      <c r="H59" s="1273">
        <f t="shared" si="12"/>
        <v>1928990</v>
      </c>
      <c r="I59" s="1273">
        <f t="shared" ref="I59:K78" si="13">C59*$F$7+F59</f>
        <v>6905230</v>
      </c>
      <c r="J59" s="1273">
        <f t="shared" si="13"/>
        <v>7290790</v>
      </c>
      <c r="K59" s="1273">
        <f t="shared" si="13"/>
        <v>8040490</v>
      </c>
      <c r="L59" s="1322">
        <f t="shared" si="4"/>
        <v>265586</v>
      </c>
      <c r="M59" s="1273">
        <f t="shared" si="8"/>
        <v>280415</v>
      </c>
      <c r="N59" s="1273">
        <f t="shared" si="8"/>
        <v>309250</v>
      </c>
      <c r="O59" s="1231"/>
      <c r="T59">
        <f t="shared" si="5"/>
        <v>1.0558350214243222</v>
      </c>
    </row>
    <row r="60" spans="1:20" customFormat="1" ht="12.75" hidden="1">
      <c r="A60" s="1267" t="str">
        <f t="shared" si="3"/>
        <v xml:space="preserve"> - Nhân công</v>
      </c>
      <c r="B60" s="1274">
        <v>5.2</v>
      </c>
      <c r="C60" s="1272">
        <f t="shared" ref="C60:E67" si="14">($C$68-$C$58)/10+C59</f>
        <v>3.12</v>
      </c>
      <c r="D60" s="1272">
        <f t="shared" si="14"/>
        <v>3.3000000000000003</v>
      </c>
      <c r="E60" s="1272">
        <f t="shared" si="14"/>
        <v>3.6500000000000004</v>
      </c>
      <c r="F60" s="1266">
        <f t="shared" si="12"/>
        <v>1719040.0000000002</v>
      </c>
      <c r="G60" s="1266">
        <f t="shared" si="12"/>
        <v>1798600</v>
      </c>
      <c r="H60" s="1266">
        <f t="shared" si="12"/>
        <v>1953300.0000000005</v>
      </c>
      <c r="I60" s="1266">
        <f t="shared" si="13"/>
        <v>7023040</v>
      </c>
      <c r="J60" s="1266">
        <f t="shared" si="13"/>
        <v>7408600</v>
      </c>
      <c r="K60" s="1266">
        <f t="shared" si="13"/>
        <v>8158300.0000000019</v>
      </c>
      <c r="L60" s="1321">
        <f t="shared" si="4"/>
        <v>270117</v>
      </c>
      <c r="M60" s="1266">
        <f t="shared" si="8"/>
        <v>284946</v>
      </c>
      <c r="N60" s="1266">
        <f t="shared" si="8"/>
        <v>313781</v>
      </c>
      <c r="O60" s="1231"/>
      <c r="T60">
        <f t="shared" si="5"/>
        <v>1.0548984329012983</v>
      </c>
    </row>
    <row r="61" spans="1:20" customFormat="1" ht="12.75" hidden="1">
      <c r="A61" s="1267" t="str">
        <f t="shared" si="3"/>
        <v xml:space="preserve"> - Nhân công</v>
      </c>
      <c r="B61" s="1274">
        <v>5.3</v>
      </c>
      <c r="C61" s="1272">
        <f t="shared" si="14"/>
        <v>3.1750000000000003</v>
      </c>
      <c r="D61" s="1272">
        <f t="shared" si="14"/>
        <v>3.3550000000000004</v>
      </c>
      <c r="E61" s="1272">
        <f t="shared" si="14"/>
        <v>3.7050000000000005</v>
      </c>
      <c r="F61" s="1266">
        <f t="shared" si="12"/>
        <v>1743350.0000000002</v>
      </c>
      <c r="G61" s="1266">
        <f t="shared" si="12"/>
        <v>1822910.0000000005</v>
      </c>
      <c r="H61" s="1266">
        <f t="shared" si="12"/>
        <v>1977610.0000000005</v>
      </c>
      <c r="I61" s="1266">
        <f t="shared" si="13"/>
        <v>7140850</v>
      </c>
      <c r="J61" s="1266">
        <f t="shared" si="13"/>
        <v>7526410.0000000019</v>
      </c>
      <c r="K61" s="1266">
        <f t="shared" si="13"/>
        <v>8276110.0000000019</v>
      </c>
      <c r="L61" s="1321">
        <f t="shared" si="4"/>
        <v>274648</v>
      </c>
      <c r="M61" s="1266">
        <f t="shared" si="8"/>
        <v>289477</v>
      </c>
      <c r="N61" s="1266">
        <f t="shared" si="8"/>
        <v>318312</v>
      </c>
      <c r="O61" s="1231"/>
      <c r="T61">
        <f t="shared" si="5"/>
        <v>1.0539927470798987</v>
      </c>
    </row>
    <row r="62" spans="1:20" customFormat="1" ht="12.75" hidden="1">
      <c r="A62" s="1267" t="str">
        <f t="shared" si="3"/>
        <v xml:space="preserve"> - Nhân công</v>
      </c>
      <c r="B62" s="1274">
        <v>5.4</v>
      </c>
      <c r="C62" s="1272">
        <f t="shared" si="14"/>
        <v>3.2300000000000004</v>
      </c>
      <c r="D62" s="1272">
        <f t="shared" si="14"/>
        <v>3.4100000000000006</v>
      </c>
      <c r="E62" s="1272">
        <f t="shared" si="14"/>
        <v>3.7600000000000007</v>
      </c>
      <c r="F62" s="1266">
        <f t="shared" si="12"/>
        <v>1767660</v>
      </c>
      <c r="G62" s="1266">
        <f t="shared" si="12"/>
        <v>1847220.0000000005</v>
      </c>
      <c r="H62" s="1266">
        <f t="shared" si="12"/>
        <v>2001920.0000000002</v>
      </c>
      <c r="I62" s="1266">
        <f t="shared" si="13"/>
        <v>7258660.0000000009</v>
      </c>
      <c r="J62" s="1266">
        <f t="shared" si="13"/>
        <v>7644220.0000000019</v>
      </c>
      <c r="K62" s="1266">
        <f t="shared" si="13"/>
        <v>8393920.0000000019</v>
      </c>
      <c r="L62" s="1321">
        <f t="shared" si="4"/>
        <v>279179</v>
      </c>
      <c r="M62" s="1266">
        <f t="shared" si="8"/>
        <v>294008</v>
      </c>
      <c r="N62" s="1266">
        <f t="shared" si="8"/>
        <v>322843</v>
      </c>
      <c r="O62" s="1231"/>
      <c r="T62">
        <f t="shared" si="5"/>
        <v>1.0531164593325428</v>
      </c>
    </row>
    <row r="63" spans="1:20" customFormat="1" ht="12.75" hidden="1">
      <c r="A63" s="1267" t="str">
        <f t="shared" si="3"/>
        <v xml:space="preserve"> - Nhân công</v>
      </c>
      <c r="B63" s="1274">
        <v>5.5</v>
      </c>
      <c r="C63" s="1272">
        <f t="shared" si="14"/>
        <v>3.2850000000000006</v>
      </c>
      <c r="D63" s="1272">
        <f t="shared" si="14"/>
        <v>3.4650000000000007</v>
      </c>
      <c r="E63" s="1272">
        <f t="shared" si="14"/>
        <v>3.8150000000000008</v>
      </c>
      <c r="F63" s="1266">
        <f t="shared" si="12"/>
        <v>1791970.0000000005</v>
      </c>
      <c r="G63" s="1266">
        <f t="shared" si="12"/>
        <v>1871530.0000000005</v>
      </c>
      <c r="H63" s="1266">
        <f t="shared" si="12"/>
        <v>2026230.0000000002</v>
      </c>
      <c r="I63" s="1266">
        <f t="shared" si="13"/>
        <v>7376470.0000000019</v>
      </c>
      <c r="J63" s="1266">
        <f t="shared" si="13"/>
        <v>7762030.0000000019</v>
      </c>
      <c r="K63" s="1266">
        <f t="shared" si="13"/>
        <v>8511730.0000000019</v>
      </c>
      <c r="L63" s="1321">
        <f t="shared" si="4"/>
        <v>283710</v>
      </c>
      <c r="M63" s="1266">
        <f t="shared" si="8"/>
        <v>298540</v>
      </c>
      <c r="N63" s="1266">
        <f t="shared" si="8"/>
        <v>327374</v>
      </c>
      <c r="O63" s="1231"/>
      <c r="T63">
        <f t="shared" si="5"/>
        <v>1.0522716858764232</v>
      </c>
    </row>
    <row r="64" spans="1:20" customFormat="1" ht="12.75" hidden="1">
      <c r="A64" s="1267" t="str">
        <f t="shared" si="3"/>
        <v xml:space="preserve"> - Nhân công</v>
      </c>
      <c r="B64" s="1274">
        <v>5.6</v>
      </c>
      <c r="C64" s="1272">
        <f t="shared" si="14"/>
        <v>3.3400000000000007</v>
      </c>
      <c r="D64" s="1272">
        <f t="shared" si="14"/>
        <v>3.5200000000000009</v>
      </c>
      <c r="E64" s="1272">
        <f t="shared" si="14"/>
        <v>3.870000000000001</v>
      </c>
      <c r="F64" s="1266">
        <f t="shared" si="12"/>
        <v>1816280.0000000005</v>
      </c>
      <c r="G64" s="1266">
        <f t="shared" si="12"/>
        <v>1895840.0000000002</v>
      </c>
      <c r="H64" s="1266">
        <f t="shared" si="12"/>
        <v>2050540.0000000002</v>
      </c>
      <c r="I64" s="1266">
        <f t="shared" si="13"/>
        <v>7494280.0000000019</v>
      </c>
      <c r="J64" s="1266">
        <f t="shared" si="13"/>
        <v>7879840.0000000019</v>
      </c>
      <c r="K64" s="1266">
        <f t="shared" si="13"/>
        <v>8629540.0000000019</v>
      </c>
      <c r="L64" s="1321">
        <f t="shared" si="4"/>
        <v>288242</v>
      </c>
      <c r="M64" s="1266">
        <f t="shared" si="8"/>
        <v>303071</v>
      </c>
      <c r="N64" s="1266">
        <f t="shared" si="8"/>
        <v>331905</v>
      </c>
      <c r="O64" s="1231"/>
      <c r="T64">
        <f t="shared" si="5"/>
        <v>1.051446354105231</v>
      </c>
    </row>
    <row r="65" spans="1:20" customFormat="1" ht="12.75" hidden="1">
      <c r="A65" s="1267" t="str">
        <f t="shared" si="3"/>
        <v xml:space="preserve"> - Nhân công</v>
      </c>
      <c r="B65" s="1274">
        <v>5.7</v>
      </c>
      <c r="C65" s="1272">
        <f t="shared" si="14"/>
        <v>3.3950000000000009</v>
      </c>
      <c r="D65" s="1272">
        <f t="shared" si="14"/>
        <v>3.5750000000000011</v>
      </c>
      <c r="E65" s="1272">
        <f t="shared" si="14"/>
        <v>3.9250000000000012</v>
      </c>
      <c r="F65" s="1266">
        <f t="shared" si="12"/>
        <v>1840590.0000000005</v>
      </c>
      <c r="G65" s="1266">
        <f t="shared" si="12"/>
        <v>1920150.0000000007</v>
      </c>
      <c r="H65" s="1266">
        <f t="shared" si="12"/>
        <v>2074850.0000000007</v>
      </c>
      <c r="I65" s="1266">
        <f t="shared" si="13"/>
        <v>7612090.0000000019</v>
      </c>
      <c r="J65" s="1266">
        <f t="shared" si="13"/>
        <v>7997650.0000000028</v>
      </c>
      <c r="K65" s="1266">
        <f t="shared" si="13"/>
        <v>8747350.0000000019</v>
      </c>
      <c r="L65" s="1321">
        <f t="shared" si="4"/>
        <v>292773</v>
      </c>
      <c r="M65" s="1266">
        <f t="shared" si="8"/>
        <v>307602</v>
      </c>
      <c r="N65" s="1266">
        <f t="shared" si="8"/>
        <v>336437</v>
      </c>
      <c r="O65" s="1231"/>
      <c r="T65">
        <f t="shared" si="5"/>
        <v>1.0506501624125175</v>
      </c>
    </row>
    <row r="66" spans="1:20" customFormat="1" ht="12.75" hidden="1">
      <c r="A66" s="1267" t="str">
        <f t="shared" si="3"/>
        <v xml:space="preserve"> - Nhân công</v>
      </c>
      <c r="B66" s="1274">
        <v>5.8</v>
      </c>
      <c r="C66" s="1272">
        <f t="shared" si="14"/>
        <v>3.4500000000000011</v>
      </c>
      <c r="D66" s="1272">
        <f t="shared" si="14"/>
        <v>3.6300000000000012</v>
      </c>
      <c r="E66" s="1272">
        <f t="shared" si="14"/>
        <v>3.9800000000000013</v>
      </c>
      <c r="F66" s="1266">
        <f t="shared" si="12"/>
        <v>1864900.0000000007</v>
      </c>
      <c r="G66" s="1266">
        <f t="shared" si="12"/>
        <v>1944460.0000000007</v>
      </c>
      <c r="H66" s="1266">
        <f t="shared" si="12"/>
        <v>2099160.0000000005</v>
      </c>
      <c r="I66" s="1266">
        <f t="shared" si="13"/>
        <v>7729900.0000000028</v>
      </c>
      <c r="J66" s="1266">
        <f t="shared" si="13"/>
        <v>8115460.0000000028</v>
      </c>
      <c r="K66" s="1266">
        <f t="shared" si="13"/>
        <v>8865160.0000000019</v>
      </c>
      <c r="L66" s="1321">
        <f t="shared" si="4"/>
        <v>297304</v>
      </c>
      <c r="M66" s="1266">
        <f t="shared" si="8"/>
        <v>312133</v>
      </c>
      <c r="N66" s="1266">
        <f t="shared" si="8"/>
        <v>340968</v>
      </c>
      <c r="O66" s="1231"/>
      <c r="T66">
        <f t="shared" si="5"/>
        <v>1.0498782391087911</v>
      </c>
    </row>
    <row r="67" spans="1:20" customFormat="1" ht="12.75" hidden="1">
      <c r="A67" s="1267" t="str">
        <f t="shared" si="3"/>
        <v xml:space="preserve"> - Nhân công</v>
      </c>
      <c r="B67" s="1274">
        <v>5.9</v>
      </c>
      <c r="C67" s="1272">
        <f t="shared" si="14"/>
        <v>3.5050000000000012</v>
      </c>
      <c r="D67" s="1272">
        <f t="shared" si="14"/>
        <v>3.6850000000000014</v>
      </c>
      <c r="E67" s="1272">
        <f t="shared" si="14"/>
        <v>4.035000000000001</v>
      </c>
      <c r="F67" s="1266">
        <f t="shared" si="12"/>
        <v>1889210.0000000007</v>
      </c>
      <c r="G67" s="1266">
        <f t="shared" si="12"/>
        <v>1968770.0000000007</v>
      </c>
      <c r="H67" s="1266">
        <f t="shared" si="12"/>
        <v>2123470.0000000005</v>
      </c>
      <c r="I67" s="1266">
        <f t="shared" si="13"/>
        <v>7847710.0000000028</v>
      </c>
      <c r="J67" s="1266">
        <f t="shared" si="13"/>
        <v>8233270.0000000037</v>
      </c>
      <c r="K67" s="1266">
        <f t="shared" si="13"/>
        <v>8982970.0000000019</v>
      </c>
      <c r="L67" s="1321">
        <f t="shared" si="4"/>
        <v>301835</v>
      </c>
      <c r="M67" s="1266">
        <f t="shared" si="8"/>
        <v>316664</v>
      </c>
      <c r="N67" s="1266">
        <f t="shared" si="8"/>
        <v>345499</v>
      </c>
      <c r="O67" s="1231"/>
      <c r="T67">
        <f t="shared" si="5"/>
        <v>1.0491294912783475</v>
      </c>
    </row>
    <row r="68" spans="1:20" customFormat="1" ht="12.75" hidden="1">
      <c r="A68" s="1267" t="str">
        <f t="shared" si="3"/>
        <v xml:space="preserve"> - Nhân công</v>
      </c>
      <c r="B68" s="1274">
        <v>6</v>
      </c>
      <c r="C68" s="1265">
        <v>3.56</v>
      </c>
      <c r="D68" s="1267">
        <v>3.74</v>
      </c>
      <c r="E68" s="1267">
        <v>4.17</v>
      </c>
      <c r="F68" s="1266">
        <f t="shared" si="12"/>
        <v>1913520.0000000002</v>
      </c>
      <c r="G68" s="1266">
        <f t="shared" si="12"/>
        <v>1993080.0000000002</v>
      </c>
      <c r="H68" s="1266">
        <f t="shared" si="12"/>
        <v>2183140</v>
      </c>
      <c r="I68" s="1266">
        <f t="shared" si="13"/>
        <v>7965520</v>
      </c>
      <c r="J68" s="1266">
        <f t="shared" si="13"/>
        <v>8351080</v>
      </c>
      <c r="K68" s="1266">
        <f t="shared" si="13"/>
        <v>9272140</v>
      </c>
      <c r="L68" s="1321">
        <f t="shared" si="4"/>
        <v>306366</v>
      </c>
      <c r="M68" s="1266">
        <f t="shared" si="8"/>
        <v>321195</v>
      </c>
      <c r="N68" s="1266">
        <f t="shared" si="8"/>
        <v>356621</v>
      </c>
      <c r="O68" s="1231"/>
      <c r="T68">
        <f t="shared" si="5"/>
        <v>1.0484028906601908</v>
      </c>
    </row>
    <row r="69" spans="1:20" customFormat="1" ht="12.75" hidden="1">
      <c r="A69" s="1267" t="str">
        <f t="shared" si="3"/>
        <v xml:space="preserve"> - Nhân công</v>
      </c>
      <c r="B69" s="1274">
        <v>6.1</v>
      </c>
      <c r="C69" s="1265">
        <f>($C$78-$C$68)/10+C68</f>
        <v>3.6240000000000001</v>
      </c>
      <c r="D69" s="1265">
        <f>($C$78-$C$68)/10+D68</f>
        <v>3.8040000000000003</v>
      </c>
      <c r="E69" s="1265">
        <f>($C$78-$C$68)/10+E68</f>
        <v>4.234</v>
      </c>
      <c r="F69" s="1266">
        <f t="shared" si="12"/>
        <v>1941808.0000000002</v>
      </c>
      <c r="G69" s="1266">
        <f t="shared" si="12"/>
        <v>2021368.0000000002</v>
      </c>
      <c r="H69" s="1266">
        <f t="shared" si="12"/>
        <v>2211428</v>
      </c>
      <c r="I69" s="1266">
        <f t="shared" si="13"/>
        <v>8102608</v>
      </c>
      <c r="J69" s="1266">
        <f t="shared" si="13"/>
        <v>8488168</v>
      </c>
      <c r="K69" s="1266">
        <f t="shared" si="13"/>
        <v>9409228</v>
      </c>
      <c r="L69" s="1321">
        <f t="shared" si="4"/>
        <v>311639</v>
      </c>
      <c r="M69" s="1266">
        <f t="shared" ref="M69:N97" si="15">J69/26</f>
        <v>326468</v>
      </c>
      <c r="N69" s="1266">
        <f t="shared" si="15"/>
        <v>361893.38461538462</v>
      </c>
      <c r="O69" s="1231"/>
      <c r="T69">
        <f t="shared" si="5"/>
        <v>1.047583903170014</v>
      </c>
    </row>
    <row r="70" spans="1:20" customFormat="1" ht="12.75" hidden="1">
      <c r="A70" s="1267" t="str">
        <f t="shared" si="3"/>
        <v xml:space="preserve"> - Nhân công</v>
      </c>
      <c r="B70" s="1274">
        <v>6.2</v>
      </c>
      <c r="C70" s="1265">
        <f t="shared" ref="C70:E77" si="16">($C$78-$C$68)/10+C69</f>
        <v>3.6880000000000002</v>
      </c>
      <c r="D70" s="1265">
        <f t="shared" si="16"/>
        <v>3.8680000000000003</v>
      </c>
      <c r="E70" s="1265">
        <f t="shared" si="16"/>
        <v>4.298</v>
      </c>
      <c r="F70" s="1266">
        <f t="shared" si="12"/>
        <v>1970096.0000000002</v>
      </c>
      <c r="G70" s="1266">
        <f t="shared" si="12"/>
        <v>2049656.0000000002</v>
      </c>
      <c r="H70" s="1266">
        <f t="shared" si="12"/>
        <v>2239716</v>
      </c>
      <c r="I70" s="1266">
        <f t="shared" si="13"/>
        <v>8239696</v>
      </c>
      <c r="J70" s="1266">
        <f t="shared" si="13"/>
        <v>8625256.0000000019</v>
      </c>
      <c r="K70" s="1266">
        <f t="shared" si="13"/>
        <v>9546316</v>
      </c>
      <c r="L70" s="1321">
        <f t="shared" si="4"/>
        <v>316911</v>
      </c>
      <c r="M70" s="1266">
        <f t="shared" si="15"/>
        <v>331740.61538461543</v>
      </c>
      <c r="N70" s="1266">
        <f t="shared" si="15"/>
        <v>367166</v>
      </c>
      <c r="O70" s="1231"/>
      <c r="T70">
        <f t="shared" si="5"/>
        <v>1.046794258907439</v>
      </c>
    </row>
    <row r="71" spans="1:20" customFormat="1" ht="12.75" hidden="1">
      <c r="A71" s="1267" t="str">
        <f t="shared" si="3"/>
        <v xml:space="preserve"> - Nhân công</v>
      </c>
      <c r="B71" s="1274">
        <v>6.3</v>
      </c>
      <c r="C71" s="1265">
        <f t="shared" si="16"/>
        <v>3.7520000000000002</v>
      </c>
      <c r="D71" s="1265">
        <f t="shared" si="16"/>
        <v>3.9320000000000004</v>
      </c>
      <c r="E71" s="1265">
        <f t="shared" si="16"/>
        <v>4.3620000000000001</v>
      </c>
      <c r="F71" s="1266">
        <f t="shared" si="12"/>
        <v>1998384.0000000002</v>
      </c>
      <c r="G71" s="1266">
        <f t="shared" si="12"/>
        <v>2077944.0000000002</v>
      </c>
      <c r="H71" s="1266">
        <f t="shared" si="12"/>
        <v>2268004</v>
      </c>
      <c r="I71" s="1266">
        <f t="shared" si="13"/>
        <v>8376784</v>
      </c>
      <c r="J71" s="1266">
        <f t="shared" si="13"/>
        <v>8762344.0000000019</v>
      </c>
      <c r="K71" s="1266">
        <f t="shared" si="13"/>
        <v>9683404</v>
      </c>
      <c r="L71" s="1321">
        <f t="shared" si="4"/>
        <v>322184</v>
      </c>
      <c r="M71" s="1266">
        <f t="shared" si="15"/>
        <v>337013.23076923087</v>
      </c>
      <c r="N71" s="1266">
        <f t="shared" si="15"/>
        <v>372438.61538461538</v>
      </c>
      <c r="O71" s="1231"/>
      <c r="T71">
        <f t="shared" si="5"/>
        <v>1.0460272104425758</v>
      </c>
    </row>
    <row r="72" spans="1:20" customFormat="1" ht="12.75" hidden="1">
      <c r="A72" s="1267" t="str">
        <f t="shared" si="3"/>
        <v xml:space="preserve"> - Nhân công</v>
      </c>
      <c r="B72" s="1274">
        <v>6.4</v>
      </c>
      <c r="C72" s="1265">
        <f t="shared" si="16"/>
        <v>3.8160000000000003</v>
      </c>
      <c r="D72" s="1265">
        <f t="shared" si="16"/>
        <v>3.9960000000000004</v>
      </c>
      <c r="E72" s="1265">
        <f t="shared" si="16"/>
        <v>4.4260000000000002</v>
      </c>
      <c r="F72" s="1266">
        <f t="shared" si="12"/>
        <v>2026672.0000000002</v>
      </c>
      <c r="G72" s="1266">
        <f t="shared" si="12"/>
        <v>2106232</v>
      </c>
      <c r="H72" s="1266">
        <f t="shared" si="12"/>
        <v>2296292</v>
      </c>
      <c r="I72" s="1266">
        <f t="shared" si="13"/>
        <v>8513872.0000000019</v>
      </c>
      <c r="J72" s="1266">
        <f t="shared" si="13"/>
        <v>8899432</v>
      </c>
      <c r="K72" s="1266">
        <f t="shared" si="13"/>
        <v>9820492</v>
      </c>
      <c r="L72" s="1321">
        <f t="shared" si="4"/>
        <v>327457</v>
      </c>
      <c r="M72" s="1266">
        <f t="shared" si="15"/>
        <v>342285.84615384613</v>
      </c>
      <c r="N72" s="1266">
        <f t="shared" si="15"/>
        <v>377711.23076923075</v>
      </c>
      <c r="O72" s="1231"/>
      <c r="T72">
        <f t="shared" si="5"/>
        <v>1.0452848653528437</v>
      </c>
    </row>
    <row r="73" spans="1:20" customFormat="1" ht="12.75" hidden="1">
      <c r="A73" s="1267" t="str">
        <f t="shared" si="3"/>
        <v xml:space="preserve"> - Nhân công</v>
      </c>
      <c r="B73" s="1274">
        <v>6.5</v>
      </c>
      <c r="C73" s="1265">
        <f t="shared" si="16"/>
        <v>3.8800000000000003</v>
      </c>
      <c r="D73" s="1265">
        <f t="shared" si="16"/>
        <v>4.0600000000000005</v>
      </c>
      <c r="E73" s="1265">
        <f t="shared" si="16"/>
        <v>4.49</v>
      </c>
      <c r="F73" s="1266">
        <f t="shared" si="12"/>
        <v>2054960.0000000002</v>
      </c>
      <c r="G73" s="1266">
        <f t="shared" si="12"/>
        <v>2134520</v>
      </c>
      <c r="H73" s="1266">
        <f t="shared" si="12"/>
        <v>2324580</v>
      </c>
      <c r="I73" s="1266">
        <f t="shared" si="13"/>
        <v>8650960.0000000019</v>
      </c>
      <c r="J73" s="1266">
        <f t="shared" si="13"/>
        <v>9036520</v>
      </c>
      <c r="K73" s="1266">
        <f t="shared" si="13"/>
        <v>9957580</v>
      </c>
      <c r="L73" s="1321">
        <f t="shared" si="4"/>
        <v>332729</v>
      </c>
      <c r="M73" s="1266">
        <f t="shared" si="15"/>
        <v>347558.46153846156</v>
      </c>
      <c r="N73" s="1266">
        <f t="shared" si="15"/>
        <v>382983.84615384613</v>
      </c>
      <c r="O73" s="1231"/>
      <c r="T73">
        <f t="shared" si="5"/>
        <v>1.0445691885542334</v>
      </c>
    </row>
    <row r="74" spans="1:20" customFormat="1" ht="12.75" hidden="1">
      <c r="A74" s="1267" t="str">
        <f t="shared" si="3"/>
        <v xml:space="preserve"> - Nhân công</v>
      </c>
      <c r="B74" s="1274">
        <v>6.6</v>
      </c>
      <c r="C74" s="1265">
        <f t="shared" si="16"/>
        <v>3.9440000000000004</v>
      </c>
      <c r="D74" s="1265">
        <f t="shared" si="16"/>
        <v>4.1240000000000006</v>
      </c>
      <c r="E74" s="1265">
        <f t="shared" si="16"/>
        <v>4.5540000000000003</v>
      </c>
      <c r="F74" s="1266">
        <f t="shared" si="12"/>
        <v>2083248.0000000002</v>
      </c>
      <c r="G74" s="1266">
        <f t="shared" si="12"/>
        <v>2162808</v>
      </c>
      <c r="H74" s="1266">
        <f t="shared" si="12"/>
        <v>2352868.0000000005</v>
      </c>
      <c r="I74" s="1266">
        <f t="shared" si="13"/>
        <v>8788048.0000000019</v>
      </c>
      <c r="J74" s="1266">
        <f t="shared" si="13"/>
        <v>9173608</v>
      </c>
      <c r="K74" s="1266">
        <f t="shared" si="13"/>
        <v>10094668</v>
      </c>
      <c r="L74" s="1321">
        <f t="shared" si="4"/>
        <v>338002</v>
      </c>
      <c r="M74" s="1266">
        <f t="shared" si="15"/>
        <v>352831.07692307694</v>
      </c>
      <c r="N74" s="1266">
        <f t="shared" si="15"/>
        <v>388256.46153846156</v>
      </c>
      <c r="O74" s="1231"/>
      <c r="T74">
        <f t="shared" si="5"/>
        <v>1.0438727490460913</v>
      </c>
    </row>
    <row r="75" spans="1:20" customFormat="1" ht="12.75" hidden="1">
      <c r="A75" s="1267" t="str">
        <f t="shared" si="3"/>
        <v xml:space="preserve"> - Nhân công</v>
      </c>
      <c r="B75" s="1274">
        <v>6.7</v>
      </c>
      <c r="C75" s="1265">
        <f t="shared" si="16"/>
        <v>4.008</v>
      </c>
      <c r="D75" s="1265">
        <f t="shared" si="16"/>
        <v>4.1880000000000006</v>
      </c>
      <c r="E75" s="1265">
        <f t="shared" si="16"/>
        <v>4.6180000000000003</v>
      </c>
      <c r="F75" s="1266">
        <f t="shared" si="12"/>
        <v>2111536</v>
      </c>
      <c r="G75" s="1266">
        <f t="shared" si="12"/>
        <v>2191096.0000000005</v>
      </c>
      <c r="H75" s="1266">
        <f t="shared" si="12"/>
        <v>2381156.0000000005</v>
      </c>
      <c r="I75" s="1266">
        <f t="shared" si="13"/>
        <v>8925136</v>
      </c>
      <c r="J75" s="1266">
        <f t="shared" si="13"/>
        <v>9310696.0000000019</v>
      </c>
      <c r="K75" s="1266">
        <f t="shared" si="13"/>
        <v>10231756.000000002</v>
      </c>
      <c r="L75" s="1321">
        <f t="shared" si="4"/>
        <v>343274</v>
      </c>
      <c r="M75" s="1266">
        <f t="shared" si="15"/>
        <v>358103.69230769237</v>
      </c>
      <c r="N75" s="1266">
        <f t="shared" si="15"/>
        <v>393529.07692307699</v>
      </c>
      <c r="O75" s="1231"/>
      <c r="T75">
        <f t="shared" si="5"/>
        <v>1.0432007443257933</v>
      </c>
    </row>
    <row r="76" spans="1:20" customFormat="1" ht="12.75" hidden="1">
      <c r="A76" s="1267" t="str">
        <f t="shared" si="3"/>
        <v xml:space="preserve"> - Nhân công</v>
      </c>
      <c r="B76" s="1274">
        <v>6.8</v>
      </c>
      <c r="C76" s="1265">
        <f t="shared" si="16"/>
        <v>4.0720000000000001</v>
      </c>
      <c r="D76" s="1265">
        <f t="shared" si="16"/>
        <v>4.2520000000000007</v>
      </c>
      <c r="E76" s="1265">
        <f t="shared" si="16"/>
        <v>4.6820000000000004</v>
      </c>
      <c r="F76" s="1266">
        <f t="shared" si="12"/>
        <v>2139824</v>
      </c>
      <c r="G76" s="1266">
        <f t="shared" si="12"/>
        <v>2219384.0000000005</v>
      </c>
      <c r="H76" s="1266">
        <f t="shared" si="12"/>
        <v>2409444</v>
      </c>
      <c r="I76" s="1266">
        <f t="shared" si="13"/>
        <v>9062224</v>
      </c>
      <c r="J76" s="1266">
        <f t="shared" si="13"/>
        <v>9447784.0000000019</v>
      </c>
      <c r="K76" s="1266">
        <f t="shared" si="13"/>
        <v>10368844</v>
      </c>
      <c r="L76" s="1321">
        <f t="shared" si="4"/>
        <v>348547</v>
      </c>
      <c r="M76" s="1266">
        <f t="shared" si="15"/>
        <v>363376.30769230775</v>
      </c>
      <c r="N76" s="1266">
        <f t="shared" si="15"/>
        <v>398801.69230769231</v>
      </c>
      <c r="O76" s="1231"/>
      <c r="T76">
        <f t="shared" si="5"/>
        <v>1.0425460775513997</v>
      </c>
    </row>
    <row r="77" spans="1:20" customFormat="1" ht="12.75" hidden="1">
      <c r="A77" s="1267" t="str">
        <f t="shared" si="3"/>
        <v xml:space="preserve"> - Nhân công</v>
      </c>
      <c r="B77" s="1274">
        <v>6.9</v>
      </c>
      <c r="C77" s="1265">
        <f t="shared" si="16"/>
        <v>4.1360000000000001</v>
      </c>
      <c r="D77" s="1265">
        <f t="shared" si="16"/>
        <v>4.3160000000000007</v>
      </c>
      <c r="E77" s="1265">
        <f t="shared" si="16"/>
        <v>4.7460000000000004</v>
      </c>
      <c r="F77" s="1266">
        <f t="shared" si="12"/>
        <v>2168112</v>
      </c>
      <c r="G77" s="1266">
        <f t="shared" si="12"/>
        <v>2247672.0000000005</v>
      </c>
      <c r="H77" s="1266">
        <f t="shared" si="12"/>
        <v>2437732</v>
      </c>
      <c r="I77" s="1266">
        <f t="shared" si="13"/>
        <v>9199312</v>
      </c>
      <c r="J77" s="1266">
        <f t="shared" si="13"/>
        <v>9584872.0000000019</v>
      </c>
      <c r="K77" s="1266">
        <f t="shared" si="13"/>
        <v>10505932</v>
      </c>
      <c r="L77" s="1321">
        <f t="shared" si="4"/>
        <v>353820</v>
      </c>
      <c r="M77" s="1266">
        <f t="shared" si="15"/>
        <v>368648.92307692312</v>
      </c>
      <c r="N77" s="1266">
        <f t="shared" si="15"/>
        <v>404074.30769230769</v>
      </c>
      <c r="O77" s="1231"/>
      <c r="T77">
        <f t="shared" si="5"/>
        <v>1.0419109238508935</v>
      </c>
    </row>
    <row r="78" spans="1:20" customFormat="1" ht="12.75" hidden="1">
      <c r="A78" s="1275" t="str">
        <f t="shared" si="3"/>
        <v xml:space="preserve"> - Nhân công</v>
      </c>
      <c r="B78" s="1276">
        <v>7</v>
      </c>
      <c r="C78" s="1277">
        <v>4.2</v>
      </c>
      <c r="D78" s="1275">
        <v>4.4000000000000004</v>
      </c>
      <c r="E78" s="1275">
        <v>4.9000000000000004</v>
      </c>
      <c r="F78" s="1278">
        <f t="shared" si="12"/>
        <v>2196400</v>
      </c>
      <c r="G78" s="1278">
        <f t="shared" si="12"/>
        <v>2284800</v>
      </c>
      <c r="H78" s="1278">
        <f t="shared" si="12"/>
        <v>2505800.0000000005</v>
      </c>
      <c r="I78" s="1278">
        <f t="shared" si="13"/>
        <v>9336400</v>
      </c>
      <c r="J78" s="1278">
        <f t="shared" si="13"/>
        <v>9764800</v>
      </c>
      <c r="K78" s="1278">
        <f t="shared" si="13"/>
        <v>10835800.000000002</v>
      </c>
      <c r="L78" s="1323">
        <f t="shared" si="4"/>
        <v>359092</v>
      </c>
      <c r="M78" s="1278">
        <f>ROUND(J78/26,0)</f>
        <v>375569</v>
      </c>
      <c r="N78" s="1278">
        <f>ROUND(K78/26,0)</f>
        <v>416762</v>
      </c>
      <c r="O78" s="1231"/>
      <c r="T78">
        <f t="shared" si="5"/>
        <v>1.04588517705769</v>
      </c>
    </row>
    <row r="79" spans="1:20" customFormat="1" hidden="1">
      <c r="A79" s="1244" t="s">
        <v>5464</v>
      </c>
      <c r="B79" s="1245"/>
      <c r="C79" s="1246"/>
      <c r="D79" s="1227"/>
      <c r="E79" s="1247"/>
      <c r="F79" s="1227"/>
      <c r="G79" s="1227"/>
      <c r="H79" s="1227"/>
      <c r="I79" s="1227"/>
      <c r="J79" s="1227"/>
      <c r="K79" s="1227"/>
      <c r="L79" s="1324">
        <f t="shared" si="4"/>
        <v>0</v>
      </c>
      <c r="M79" s="1248"/>
      <c r="N79" s="1248"/>
      <c r="O79" s="1249"/>
    </row>
    <row r="80" spans="1:20" customFormat="1" ht="12.75" hidden="1">
      <c r="A80" s="1279"/>
      <c r="B80" s="2160" t="s">
        <v>5443</v>
      </c>
      <c r="C80" s="1250" t="s">
        <v>5444</v>
      </c>
      <c r="D80" s="1250"/>
      <c r="E80" s="1251"/>
      <c r="F80" s="1250" t="s">
        <v>5445</v>
      </c>
      <c r="G80" s="1251"/>
      <c r="H80" s="1251"/>
      <c r="I80" s="1250" t="s">
        <v>5446</v>
      </c>
      <c r="J80" s="1251"/>
      <c r="K80" s="1251"/>
      <c r="L80" s="1325" t="e">
        <f t="shared" si="4"/>
        <v>#VALUE!</v>
      </c>
      <c r="M80" s="1251"/>
      <c r="N80" s="1251"/>
      <c r="O80" s="1231"/>
    </row>
    <row r="81" spans="1:15" customFormat="1" ht="12.75" hidden="1">
      <c r="A81" s="1280"/>
      <c r="B81" s="2160"/>
      <c r="C81" s="1252" t="s">
        <v>5448</v>
      </c>
      <c r="D81" s="1253" t="s">
        <v>5449</v>
      </c>
      <c r="E81" s="1253" t="s">
        <v>5450</v>
      </c>
      <c r="F81" s="1252" t="s">
        <v>5448</v>
      </c>
      <c r="G81" s="1253" t="s">
        <v>5449</v>
      </c>
      <c r="H81" s="1253" t="s">
        <v>5450</v>
      </c>
      <c r="I81" s="1252" t="s">
        <v>5448</v>
      </c>
      <c r="J81" s="1253" t="s">
        <v>5449</v>
      </c>
      <c r="K81" s="1253" t="s">
        <v>5450</v>
      </c>
      <c r="L81" s="1326" t="e">
        <f t="shared" si="4"/>
        <v>#VALUE!</v>
      </c>
      <c r="M81" s="1253" t="s">
        <v>5449</v>
      </c>
      <c r="N81" s="1253" t="s">
        <v>5450</v>
      </c>
      <c r="O81" s="1231"/>
    </row>
    <row r="82" spans="1:15" customFormat="1" ht="12.75" hidden="1">
      <c r="A82" s="1281"/>
      <c r="B82" s="1281"/>
      <c r="C82" s="1256" t="s">
        <v>5451</v>
      </c>
      <c r="D82" s="1256" t="s">
        <v>5452</v>
      </c>
      <c r="E82" s="1256" t="s">
        <v>5453</v>
      </c>
      <c r="F82" s="1257" t="s">
        <v>5454</v>
      </c>
      <c r="G82" s="1257" t="s">
        <v>5455</v>
      </c>
      <c r="H82" s="1257" t="s">
        <v>5456</v>
      </c>
      <c r="I82" s="1258" t="s">
        <v>5457</v>
      </c>
      <c r="J82" s="1258" t="s">
        <v>5458</v>
      </c>
      <c r="K82" s="1258" t="s">
        <v>5459</v>
      </c>
      <c r="L82" s="1327" t="e">
        <f t="shared" si="4"/>
        <v>#VALUE!</v>
      </c>
      <c r="M82" s="1258" t="s">
        <v>5461</v>
      </c>
      <c r="N82" s="1258" t="s">
        <v>5462</v>
      </c>
      <c r="O82" s="1231"/>
    </row>
    <row r="83" spans="1:15" customFormat="1" ht="12.75" hidden="1">
      <c r="A83" s="1282" t="s">
        <v>5463</v>
      </c>
      <c r="B83" s="1283">
        <v>1</v>
      </c>
      <c r="C83" s="1261">
        <v>2.34</v>
      </c>
      <c r="D83" s="1261"/>
      <c r="E83" s="1261"/>
      <c r="F83" s="1262">
        <f t="shared" ref="F83:F113" si="17">($F$10+$F$13*C83)*$F$7</f>
        <v>1374280</v>
      </c>
      <c r="G83" s="1262"/>
      <c r="H83" s="1262"/>
      <c r="I83" s="1262">
        <f t="shared" ref="I83:K114" si="18">C83*$F$7+F83</f>
        <v>5352280</v>
      </c>
      <c r="J83" s="1284">
        <f t="shared" si="18"/>
        <v>0</v>
      </c>
      <c r="K83" s="1284">
        <f t="shared" si="18"/>
        <v>0</v>
      </c>
      <c r="L83" s="1328">
        <f t="shared" si="4"/>
        <v>205857</v>
      </c>
      <c r="M83" s="1284">
        <f t="shared" si="15"/>
        <v>0</v>
      </c>
      <c r="N83" s="1284">
        <f t="shared" si="15"/>
        <v>0</v>
      </c>
      <c r="O83" s="1231"/>
    </row>
    <row r="84" spans="1:15" customFormat="1" ht="12.75" hidden="1">
      <c r="A84" s="1267" t="str">
        <f t="shared" ref="A84:A113" si="19">A83</f>
        <v xml:space="preserve"> - Nhân công</v>
      </c>
      <c r="B84" s="1274">
        <v>2</v>
      </c>
      <c r="C84" s="1265">
        <v>2.65</v>
      </c>
      <c r="D84" s="1265"/>
      <c r="E84" s="1265"/>
      <c r="F84" s="1266">
        <f t="shared" si="17"/>
        <v>1511300</v>
      </c>
      <c r="G84" s="1266"/>
      <c r="H84" s="1266"/>
      <c r="I84" s="1266">
        <f t="shared" si="18"/>
        <v>6016300</v>
      </c>
      <c r="J84" s="1285">
        <f t="shared" si="18"/>
        <v>0</v>
      </c>
      <c r="K84" s="1285">
        <f t="shared" si="18"/>
        <v>0</v>
      </c>
      <c r="L84" s="1329">
        <f t="shared" si="4"/>
        <v>231396</v>
      </c>
      <c r="M84" s="1285">
        <f t="shared" si="15"/>
        <v>0</v>
      </c>
      <c r="N84" s="1285">
        <f t="shared" si="15"/>
        <v>0</v>
      </c>
      <c r="O84" s="1231"/>
    </row>
    <row r="85" spans="1:15" customFormat="1" ht="12.75" hidden="1">
      <c r="A85" s="1267" t="str">
        <f t="shared" si="19"/>
        <v xml:space="preserve"> - Nhân công</v>
      </c>
      <c r="B85" s="1274">
        <v>2.1</v>
      </c>
      <c r="C85" s="1265">
        <f>(C94-C84)/10*R26+$C$84</f>
        <v>2.681</v>
      </c>
      <c r="D85" s="1265"/>
      <c r="E85" s="1265"/>
      <c r="F85" s="1266">
        <f t="shared" si="17"/>
        <v>1525002</v>
      </c>
      <c r="G85" s="1266"/>
      <c r="H85" s="1266"/>
      <c r="I85" s="1266">
        <f t="shared" si="18"/>
        <v>6082702</v>
      </c>
      <c r="J85" s="1285">
        <f t="shared" si="18"/>
        <v>0</v>
      </c>
      <c r="K85" s="1285">
        <f t="shared" si="18"/>
        <v>0</v>
      </c>
      <c r="L85" s="1329">
        <f t="shared" si="4"/>
        <v>233950</v>
      </c>
      <c r="M85" s="1285">
        <f t="shared" si="15"/>
        <v>0</v>
      </c>
      <c r="N85" s="1285">
        <f t="shared" si="15"/>
        <v>0</v>
      </c>
      <c r="O85" s="1231"/>
    </row>
    <row r="86" spans="1:15" customFormat="1" ht="12.75" hidden="1">
      <c r="A86" s="1267" t="str">
        <f t="shared" si="19"/>
        <v xml:space="preserve"> - Nhân công</v>
      </c>
      <c r="B86" s="1274">
        <v>2.2000000000000002</v>
      </c>
      <c r="C86" s="1265">
        <f t="shared" ref="C86:C93" si="20">(C95-C85)/10*R27+$C$84</f>
        <v>2.681</v>
      </c>
      <c r="D86" s="1265"/>
      <c r="E86" s="1265"/>
      <c r="F86" s="1266">
        <f t="shared" si="17"/>
        <v>1525002</v>
      </c>
      <c r="G86" s="1266"/>
      <c r="H86" s="1266"/>
      <c r="I86" s="1266">
        <f t="shared" si="18"/>
        <v>6082702</v>
      </c>
      <c r="J86" s="1285">
        <f t="shared" si="18"/>
        <v>0</v>
      </c>
      <c r="K86" s="1285">
        <f t="shared" si="18"/>
        <v>0</v>
      </c>
      <c r="L86" s="1329">
        <f t="shared" si="4"/>
        <v>233950</v>
      </c>
      <c r="M86" s="1285">
        <f t="shared" si="15"/>
        <v>0</v>
      </c>
      <c r="N86" s="1285">
        <f t="shared" si="15"/>
        <v>0</v>
      </c>
      <c r="O86" s="1231"/>
    </row>
    <row r="87" spans="1:15" customFormat="1" ht="12.75" hidden="1">
      <c r="A87" s="1267" t="str">
        <f t="shared" si="19"/>
        <v xml:space="preserve"> - Nhân công</v>
      </c>
      <c r="B87" s="1274">
        <v>2.2999999999999998</v>
      </c>
      <c r="C87" s="1265">
        <f t="shared" si="20"/>
        <v>2.65</v>
      </c>
      <c r="D87" s="1265"/>
      <c r="E87" s="1265"/>
      <c r="F87" s="1266">
        <f t="shared" si="17"/>
        <v>1511300</v>
      </c>
      <c r="G87" s="1266"/>
      <c r="H87" s="1266"/>
      <c r="I87" s="1266">
        <f t="shared" si="18"/>
        <v>6016300</v>
      </c>
      <c r="J87" s="1285">
        <f t="shared" si="18"/>
        <v>0</v>
      </c>
      <c r="K87" s="1285">
        <f t="shared" si="18"/>
        <v>0</v>
      </c>
      <c r="L87" s="1329">
        <f t="shared" si="4"/>
        <v>231396</v>
      </c>
      <c r="M87" s="1285">
        <f t="shared" si="15"/>
        <v>0</v>
      </c>
      <c r="N87" s="1285">
        <f t="shared" si="15"/>
        <v>0</v>
      </c>
      <c r="O87" s="1231"/>
    </row>
    <row r="88" spans="1:15" customFormat="1" ht="12.75" hidden="1">
      <c r="A88" s="1267" t="str">
        <f t="shared" si="19"/>
        <v xml:space="preserve"> - Nhân công</v>
      </c>
      <c r="B88" s="1274">
        <v>2.4</v>
      </c>
      <c r="C88" s="1265">
        <f t="shared" si="20"/>
        <v>2.65</v>
      </c>
      <c r="D88" s="1265"/>
      <c r="E88" s="1265"/>
      <c r="F88" s="1266">
        <f t="shared" si="17"/>
        <v>1511300</v>
      </c>
      <c r="G88" s="1266"/>
      <c r="H88" s="1266"/>
      <c r="I88" s="1266">
        <f t="shared" si="18"/>
        <v>6016300</v>
      </c>
      <c r="J88" s="1285">
        <f t="shared" si="18"/>
        <v>0</v>
      </c>
      <c r="K88" s="1285">
        <f t="shared" si="18"/>
        <v>0</v>
      </c>
      <c r="L88" s="1329">
        <f t="shared" si="4"/>
        <v>231396</v>
      </c>
      <c r="M88" s="1285">
        <f t="shared" si="15"/>
        <v>0</v>
      </c>
      <c r="N88" s="1285">
        <f t="shared" si="15"/>
        <v>0</v>
      </c>
      <c r="O88" s="1231"/>
    </row>
    <row r="89" spans="1:15" customFormat="1" ht="12.75" hidden="1">
      <c r="A89" s="1267" t="str">
        <f t="shared" si="19"/>
        <v xml:space="preserve"> - Nhân công</v>
      </c>
      <c r="B89" s="1274">
        <v>2.5</v>
      </c>
      <c r="C89" s="1265">
        <f t="shared" si="20"/>
        <v>2.65</v>
      </c>
      <c r="D89" s="1265"/>
      <c r="E89" s="1265"/>
      <c r="F89" s="1266">
        <f t="shared" si="17"/>
        <v>1511300</v>
      </c>
      <c r="G89" s="1266"/>
      <c r="H89" s="1266"/>
      <c r="I89" s="1266">
        <f t="shared" si="18"/>
        <v>6016300</v>
      </c>
      <c r="J89" s="1285">
        <f t="shared" si="18"/>
        <v>0</v>
      </c>
      <c r="K89" s="1285">
        <f t="shared" si="18"/>
        <v>0</v>
      </c>
      <c r="L89" s="1329">
        <f t="shared" si="4"/>
        <v>231396</v>
      </c>
      <c r="M89" s="1285">
        <f t="shared" si="15"/>
        <v>0</v>
      </c>
      <c r="N89" s="1285">
        <f t="shared" si="15"/>
        <v>0</v>
      </c>
      <c r="O89" s="1231"/>
    </row>
    <row r="90" spans="1:15" customFormat="1" ht="12.75" hidden="1">
      <c r="A90" s="1267" t="str">
        <f t="shared" si="19"/>
        <v xml:space="preserve"> - Nhân công</v>
      </c>
      <c r="B90" s="1274">
        <v>2.6</v>
      </c>
      <c r="C90" s="1265">
        <f t="shared" si="20"/>
        <v>2.65</v>
      </c>
      <c r="D90" s="1265"/>
      <c r="E90" s="1265"/>
      <c r="F90" s="1266">
        <f t="shared" si="17"/>
        <v>1511300</v>
      </c>
      <c r="G90" s="1266"/>
      <c r="H90" s="1266"/>
      <c r="I90" s="1266">
        <f t="shared" si="18"/>
        <v>6016300</v>
      </c>
      <c r="J90" s="1285">
        <f t="shared" si="18"/>
        <v>0</v>
      </c>
      <c r="K90" s="1285">
        <f t="shared" si="18"/>
        <v>0</v>
      </c>
      <c r="L90" s="1329">
        <f t="shared" si="4"/>
        <v>231396</v>
      </c>
      <c r="M90" s="1285">
        <f t="shared" si="15"/>
        <v>0</v>
      </c>
      <c r="N90" s="1285">
        <f t="shared" si="15"/>
        <v>0</v>
      </c>
      <c r="O90" s="1231"/>
    </row>
    <row r="91" spans="1:15" customFormat="1" ht="12.75" hidden="1">
      <c r="A91" s="1267" t="str">
        <f t="shared" si="19"/>
        <v xml:space="preserve"> - Nhân công</v>
      </c>
      <c r="B91" s="1274">
        <v>2.7</v>
      </c>
      <c r="C91" s="1265">
        <f t="shared" si="20"/>
        <v>2.65</v>
      </c>
      <c r="D91" s="1265"/>
      <c r="E91" s="1265"/>
      <c r="F91" s="1266">
        <f t="shared" si="17"/>
        <v>1511300</v>
      </c>
      <c r="G91" s="1266"/>
      <c r="H91" s="1266"/>
      <c r="I91" s="1266">
        <f t="shared" si="18"/>
        <v>6016300</v>
      </c>
      <c r="J91" s="1285">
        <f t="shared" si="18"/>
        <v>0</v>
      </c>
      <c r="K91" s="1285">
        <f t="shared" si="18"/>
        <v>0</v>
      </c>
      <c r="L91" s="1329">
        <f t="shared" si="4"/>
        <v>231396</v>
      </c>
      <c r="M91" s="1285">
        <f t="shared" si="15"/>
        <v>0</v>
      </c>
      <c r="N91" s="1285">
        <f t="shared" si="15"/>
        <v>0</v>
      </c>
      <c r="O91" s="1231"/>
    </row>
    <row r="92" spans="1:15" customFormat="1" ht="12.75" hidden="1">
      <c r="A92" s="1267" t="str">
        <f t="shared" si="19"/>
        <v xml:space="preserve"> - Nhân công</v>
      </c>
      <c r="B92" s="1274">
        <v>2.8</v>
      </c>
      <c r="C92" s="1265">
        <f t="shared" si="20"/>
        <v>2.65</v>
      </c>
      <c r="D92" s="1265"/>
      <c r="E92" s="1265"/>
      <c r="F92" s="1266">
        <f t="shared" si="17"/>
        <v>1511300</v>
      </c>
      <c r="G92" s="1266"/>
      <c r="H92" s="1266"/>
      <c r="I92" s="1266">
        <f t="shared" si="18"/>
        <v>6016300</v>
      </c>
      <c r="J92" s="1285">
        <f t="shared" si="18"/>
        <v>0</v>
      </c>
      <c r="K92" s="1285">
        <f t="shared" si="18"/>
        <v>0</v>
      </c>
      <c r="L92" s="1329">
        <f t="shared" ref="L92:L114" si="21">ROUND(I92/26,0)</f>
        <v>231396</v>
      </c>
      <c r="M92" s="1285">
        <f t="shared" si="15"/>
        <v>0</v>
      </c>
      <c r="N92" s="1285">
        <f t="shared" si="15"/>
        <v>0</v>
      </c>
      <c r="O92" s="1231"/>
    </row>
    <row r="93" spans="1:15" customFormat="1" ht="12.75" hidden="1">
      <c r="A93" s="1267" t="str">
        <f t="shared" si="19"/>
        <v xml:space="preserve"> - Nhân công</v>
      </c>
      <c r="B93" s="1274">
        <v>2.9</v>
      </c>
      <c r="C93" s="1265">
        <f t="shared" si="20"/>
        <v>2.65</v>
      </c>
      <c r="D93" s="1265"/>
      <c r="E93" s="1265"/>
      <c r="F93" s="1266">
        <f t="shared" si="17"/>
        <v>1511300</v>
      </c>
      <c r="G93" s="1266"/>
      <c r="H93" s="1266"/>
      <c r="I93" s="1266">
        <f t="shared" si="18"/>
        <v>6016300</v>
      </c>
      <c r="J93" s="1285">
        <f t="shared" si="18"/>
        <v>0</v>
      </c>
      <c r="K93" s="1285">
        <f t="shared" si="18"/>
        <v>0</v>
      </c>
      <c r="L93" s="1329">
        <f t="shared" si="21"/>
        <v>231396</v>
      </c>
      <c r="M93" s="1285">
        <f t="shared" si="15"/>
        <v>0</v>
      </c>
      <c r="N93" s="1285">
        <f t="shared" si="15"/>
        <v>0</v>
      </c>
      <c r="O93" s="1231"/>
    </row>
    <row r="94" spans="1:15" customFormat="1" ht="12.75" hidden="1">
      <c r="A94" s="1267" t="str">
        <f t="shared" si="19"/>
        <v xml:space="preserve"> - Nhân công</v>
      </c>
      <c r="B94" s="1274">
        <v>3</v>
      </c>
      <c r="C94" s="1265">
        <v>2.96</v>
      </c>
      <c r="D94" s="1267"/>
      <c r="E94" s="1267"/>
      <c r="F94" s="1266">
        <f t="shared" si="17"/>
        <v>1648320</v>
      </c>
      <c r="G94" s="1266"/>
      <c r="H94" s="1266"/>
      <c r="I94" s="1266">
        <f t="shared" si="18"/>
        <v>6680320</v>
      </c>
      <c r="J94" s="1285">
        <f t="shared" si="18"/>
        <v>0</v>
      </c>
      <c r="K94" s="1285">
        <f t="shared" si="18"/>
        <v>0</v>
      </c>
      <c r="L94" s="1329">
        <f t="shared" si="21"/>
        <v>256935</v>
      </c>
      <c r="M94" s="1285">
        <f t="shared" si="15"/>
        <v>0</v>
      </c>
      <c r="N94" s="1285">
        <f t="shared" si="15"/>
        <v>0</v>
      </c>
      <c r="O94" s="1231"/>
    </row>
    <row r="95" spans="1:15" customFormat="1" ht="12.75" hidden="1">
      <c r="A95" s="1267" t="str">
        <f t="shared" si="19"/>
        <v xml:space="preserve"> - Nhân công</v>
      </c>
      <c r="B95" s="1274">
        <v>3.1</v>
      </c>
      <c r="C95" s="1265">
        <f>($C$104-$C$94)/10*R26+$C$94</f>
        <v>2.9910000000000001</v>
      </c>
      <c r="D95" s="1265"/>
      <c r="E95" s="1265"/>
      <c r="F95" s="1266">
        <f t="shared" si="17"/>
        <v>1662022</v>
      </c>
      <c r="G95" s="1266"/>
      <c r="H95" s="1266"/>
      <c r="I95" s="1266">
        <f t="shared" si="18"/>
        <v>6746722</v>
      </c>
      <c r="J95" s="1285">
        <f t="shared" si="18"/>
        <v>0</v>
      </c>
      <c r="K95" s="1285">
        <f t="shared" si="18"/>
        <v>0</v>
      </c>
      <c r="L95" s="1329">
        <f t="shared" si="21"/>
        <v>259489</v>
      </c>
      <c r="M95" s="1285">
        <f t="shared" si="15"/>
        <v>0</v>
      </c>
      <c r="N95" s="1285">
        <f t="shared" si="15"/>
        <v>0</v>
      </c>
      <c r="O95" s="1231"/>
    </row>
    <row r="96" spans="1:15" customFormat="1" ht="12.75" hidden="1">
      <c r="A96" s="1267" t="str">
        <f t="shared" si="19"/>
        <v xml:space="preserve"> - Nhân công</v>
      </c>
      <c r="B96" s="1274">
        <v>3.2</v>
      </c>
      <c r="C96" s="1265">
        <f t="shared" ref="C96:C103" si="22">($C$104-$C$94)/10*R27+$C$94</f>
        <v>2.9910000000000001</v>
      </c>
      <c r="D96" s="1265"/>
      <c r="E96" s="1265"/>
      <c r="F96" s="1266">
        <f t="shared" si="17"/>
        <v>1662022</v>
      </c>
      <c r="G96" s="1266"/>
      <c r="H96" s="1266"/>
      <c r="I96" s="1266">
        <f t="shared" si="18"/>
        <v>6746722</v>
      </c>
      <c r="J96" s="1285">
        <f t="shared" si="18"/>
        <v>0</v>
      </c>
      <c r="K96" s="1285">
        <f t="shared" si="18"/>
        <v>0</v>
      </c>
      <c r="L96" s="1329">
        <f t="shared" si="21"/>
        <v>259489</v>
      </c>
      <c r="M96" s="1285">
        <f t="shared" si="15"/>
        <v>0</v>
      </c>
      <c r="N96" s="1285">
        <f t="shared" si="15"/>
        <v>0</v>
      </c>
      <c r="O96" s="1231"/>
    </row>
    <row r="97" spans="1:15" customFormat="1" ht="12.75" hidden="1">
      <c r="A97" s="1267" t="str">
        <f t="shared" si="19"/>
        <v xml:space="preserve"> - Nhân công</v>
      </c>
      <c r="B97" s="1274">
        <v>3.3</v>
      </c>
      <c r="C97" s="1265">
        <f t="shared" si="22"/>
        <v>2.96</v>
      </c>
      <c r="D97" s="1265"/>
      <c r="E97" s="1265"/>
      <c r="F97" s="1266">
        <f t="shared" si="17"/>
        <v>1648320</v>
      </c>
      <c r="G97" s="1266"/>
      <c r="H97" s="1266"/>
      <c r="I97" s="1266">
        <f t="shared" si="18"/>
        <v>6680320</v>
      </c>
      <c r="J97" s="1285">
        <f t="shared" si="18"/>
        <v>0</v>
      </c>
      <c r="K97" s="1285">
        <f t="shared" si="18"/>
        <v>0</v>
      </c>
      <c r="L97" s="1329">
        <f t="shared" si="21"/>
        <v>256935</v>
      </c>
      <c r="M97" s="1285">
        <f t="shared" si="15"/>
        <v>0</v>
      </c>
      <c r="N97" s="1285">
        <f t="shared" si="15"/>
        <v>0</v>
      </c>
      <c r="O97" s="1231"/>
    </row>
    <row r="98" spans="1:15" customFormat="1" ht="12.75" hidden="1">
      <c r="A98" s="1267" t="str">
        <f t="shared" si="19"/>
        <v xml:space="preserve"> - Nhân công</v>
      </c>
      <c r="B98" s="1274">
        <v>3.4</v>
      </c>
      <c r="C98" s="1265">
        <f t="shared" si="22"/>
        <v>2.96</v>
      </c>
      <c r="D98" s="1265"/>
      <c r="E98" s="1265"/>
      <c r="F98" s="1266">
        <f t="shared" si="17"/>
        <v>1648320</v>
      </c>
      <c r="G98" s="1266"/>
      <c r="H98" s="1266"/>
      <c r="I98" s="1266">
        <f t="shared" si="18"/>
        <v>6680320</v>
      </c>
      <c r="J98" s="1285">
        <f t="shared" si="18"/>
        <v>0</v>
      </c>
      <c r="K98" s="1285">
        <f t="shared" si="18"/>
        <v>0</v>
      </c>
      <c r="L98" s="1329">
        <f t="shared" si="21"/>
        <v>256935</v>
      </c>
      <c r="M98" s="1285">
        <f t="shared" ref="M98:N113" si="23">J98/26</f>
        <v>0</v>
      </c>
      <c r="N98" s="1285">
        <f t="shared" si="23"/>
        <v>0</v>
      </c>
      <c r="O98" s="1231"/>
    </row>
    <row r="99" spans="1:15" customFormat="1" ht="12.75" hidden="1">
      <c r="A99" s="1267" t="str">
        <f t="shared" si="19"/>
        <v xml:space="preserve"> - Nhân công</v>
      </c>
      <c r="B99" s="1274">
        <v>3.5</v>
      </c>
      <c r="C99" s="1265">
        <f t="shared" si="22"/>
        <v>2.96</v>
      </c>
      <c r="D99" s="1265"/>
      <c r="E99" s="1265"/>
      <c r="F99" s="1266">
        <f t="shared" si="17"/>
        <v>1648320</v>
      </c>
      <c r="G99" s="1266"/>
      <c r="H99" s="1266"/>
      <c r="I99" s="1266">
        <f t="shared" si="18"/>
        <v>6680320</v>
      </c>
      <c r="J99" s="1285">
        <f t="shared" si="18"/>
        <v>0</v>
      </c>
      <c r="K99" s="1285">
        <f t="shared" si="18"/>
        <v>0</v>
      </c>
      <c r="L99" s="1329">
        <f t="shared" si="21"/>
        <v>256935</v>
      </c>
      <c r="M99" s="1285">
        <f t="shared" si="23"/>
        <v>0</v>
      </c>
      <c r="N99" s="1285">
        <f t="shared" si="23"/>
        <v>0</v>
      </c>
      <c r="O99" s="1231"/>
    </row>
    <row r="100" spans="1:15" customFormat="1" ht="12.75" hidden="1">
      <c r="A100" s="1267" t="str">
        <f t="shared" si="19"/>
        <v xml:space="preserve"> - Nhân công</v>
      </c>
      <c r="B100" s="1274">
        <v>3.6</v>
      </c>
      <c r="C100" s="1265">
        <f t="shared" si="22"/>
        <v>2.96</v>
      </c>
      <c r="D100" s="1265"/>
      <c r="E100" s="1265"/>
      <c r="F100" s="1266">
        <f t="shared" si="17"/>
        <v>1648320</v>
      </c>
      <c r="G100" s="1266"/>
      <c r="H100" s="1266"/>
      <c r="I100" s="1266">
        <f t="shared" si="18"/>
        <v>6680320</v>
      </c>
      <c r="J100" s="1285">
        <f t="shared" si="18"/>
        <v>0</v>
      </c>
      <c r="K100" s="1285">
        <f t="shared" si="18"/>
        <v>0</v>
      </c>
      <c r="L100" s="1329">
        <f t="shared" si="21"/>
        <v>256935</v>
      </c>
      <c r="M100" s="1285">
        <f t="shared" si="23"/>
        <v>0</v>
      </c>
      <c r="N100" s="1285">
        <f t="shared" si="23"/>
        <v>0</v>
      </c>
      <c r="O100" s="1231"/>
    </row>
    <row r="101" spans="1:15" customFormat="1" ht="12.75" hidden="1">
      <c r="A101" s="1267" t="str">
        <f t="shared" si="19"/>
        <v xml:space="preserve"> - Nhân công</v>
      </c>
      <c r="B101" s="1274">
        <v>3.7</v>
      </c>
      <c r="C101" s="1265">
        <f t="shared" si="22"/>
        <v>2.96</v>
      </c>
      <c r="D101" s="1265"/>
      <c r="E101" s="1265"/>
      <c r="F101" s="1266">
        <f t="shared" si="17"/>
        <v>1648320</v>
      </c>
      <c r="G101" s="1266"/>
      <c r="H101" s="1266"/>
      <c r="I101" s="1266">
        <f t="shared" si="18"/>
        <v>6680320</v>
      </c>
      <c r="J101" s="1285">
        <f t="shared" si="18"/>
        <v>0</v>
      </c>
      <c r="K101" s="1285">
        <f t="shared" si="18"/>
        <v>0</v>
      </c>
      <c r="L101" s="1329">
        <f t="shared" si="21"/>
        <v>256935</v>
      </c>
      <c r="M101" s="1285">
        <f t="shared" si="23"/>
        <v>0</v>
      </c>
      <c r="N101" s="1285">
        <f t="shared" si="23"/>
        <v>0</v>
      </c>
      <c r="O101" s="1231"/>
    </row>
    <row r="102" spans="1:15" customFormat="1" ht="12.75" hidden="1">
      <c r="A102" s="1267" t="str">
        <f t="shared" si="19"/>
        <v xml:space="preserve"> - Nhân công</v>
      </c>
      <c r="B102" s="1274">
        <v>3.8</v>
      </c>
      <c r="C102" s="1265">
        <f t="shared" si="22"/>
        <v>2.96</v>
      </c>
      <c r="D102" s="1265"/>
      <c r="E102" s="1265"/>
      <c r="F102" s="1266">
        <f t="shared" si="17"/>
        <v>1648320</v>
      </c>
      <c r="G102" s="1266"/>
      <c r="H102" s="1266"/>
      <c r="I102" s="1266">
        <f t="shared" si="18"/>
        <v>6680320</v>
      </c>
      <c r="J102" s="1285">
        <f t="shared" si="18"/>
        <v>0</v>
      </c>
      <c r="K102" s="1285">
        <f t="shared" si="18"/>
        <v>0</v>
      </c>
      <c r="L102" s="1329">
        <f t="shared" si="21"/>
        <v>256935</v>
      </c>
      <c r="M102" s="1285">
        <f t="shared" si="23"/>
        <v>0</v>
      </c>
      <c r="N102" s="1285">
        <f t="shared" si="23"/>
        <v>0</v>
      </c>
      <c r="O102" s="1231"/>
    </row>
    <row r="103" spans="1:15" customFormat="1" ht="12.75" hidden="1">
      <c r="A103" s="1267" t="str">
        <f t="shared" si="19"/>
        <v xml:space="preserve"> - Nhân công</v>
      </c>
      <c r="B103" s="1274">
        <v>3.9</v>
      </c>
      <c r="C103" s="1265">
        <f t="shared" si="22"/>
        <v>2.96</v>
      </c>
      <c r="D103" s="1265"/>
      <c r="E103" s="1265"/>
      <c r="F103" s="1266">
        <f t="shared" si="17"/>
        <v>1648320</v>
      </c>
      <c r="G103" s="1266"/>
      <c r="H103" s="1266"/>
      <c r="I103" s="1266">
        <f t="shared" si="18"/>
        <v>6680320</v>
      </c>
      <c r="J103" s="1285">
        <f t="shared" si="18"/>
        <v>0</v>
      </c>
      <c r="K103" s="1285">
        <f t="shared" si="18"/>
        <v>0</v>
      </c>
      <c r="L103" s="1329">
        <f t="shared" si="21"/>
        <v>256935</v>
      </c>
      <c r="M103" s="1285">
        <f t="shared" si="23"/>
        <v>0</v>
      </c>
      <c r="N103" s="1285">
        <f t="shared" si="23"/>
        <v>0</v>
      </c>
      <c r="O103" s="1231"/>
    </row>
    <row r="104" spans="1:15" customFormat="1" ht="12.75" hidden="1">
      <c r="A104" s="1267" t="str">
        <f t="shared" si="19"/>
        <v xml:space="preserve"> - Nhân công</v>
      </c>
      <c r="B104" s="1274">
        <v>4</v>
      </c>
      <c r="C104" s="1265">
        <v>3.27</v>
      </c>
      <c r="D104" s="1267"/>
      <c r="E104" s="1267"/>
      <c r="F104" s="1266">
        <f t="shared" si="17"/>
        <v>1785340</v>
      </c>
      <c r="G104" s="1266"/>
      <c r="H104" s="1266"/>
      <c r="I104" s="1266">
        <f t="shared" si="18"/>
        <v>7344340</v>
      </c>
      <c r="J104" s="1285">
        <f t="shared" si="18"/>
        <v>0</v>
      </c>
      <c r="K104" s="1285">
        <f t="shared" si="18"/>
        <v>0</v>
      </c>
      <c r="L104" s="1329">
        <f t="shared" si="21"/>
        <v>282475</v>
      </c>
      <c r="M104" s="1285">
        <f t="shared" si="23"/>
        <v>0</v>
      </c>
      <c r="N104" s="1285">
        <f t="shared" si="23"/>
        <v>0</v>
      </c>
      <c r="O104" s="1231"/>
    </row>
    <row r="105" spans="1:15" customFormat="1" ht="12.75" hidden="1">
      <c r="A105" s="1267" t="str">
        <f t="shared" si="19"/>
        <v xml:space="preserve"> - Nhân công</v>
      </c>
      <c r="B105" s="1274">
        <v>4.0999999999999996</v>
      </c>
      <c r="C105" s="1265">
        <f>($C$114-$C$104)/10*R26+$C$104</f>
        <v>3.3010000000000002</v>
      </c>
      <c r="D105" s="1265"/>
      <c r="E105" s="1265"/>
      <c r="F105" s="1266">
        <f t="shared" si="17"/>
        <v>1799042</v>
      </c>
      <c r="G105" s="1266"/>
      <c r="H105" s="1266"/>
      <c r="I105" s="1266">
        <f t="shared" si="18"/>
        <v>7410742</v>
      </c>
      <c r="J105" s="1285">
        <f t="shared" si="18"/>
        <v>0</v>
      </c>
      <c r="K105" s="1285">
        <f t="shared" si="18"/>
        <v>0</v>
      </c>
      <c r="L105" s="1329">
        <f t="shared" si="21"/>
        <v>285029</v>
      </c>
      <c r="M105" s="1285">
        <f t="shared" si="23"/>
        <v>0</v>
      </c>
      <c r="N105" s="1285">
        <f t="shared" si="23"/>
        <v>0</v>
      </c>
      <c r="O105" s="1231"/>
    </row>
    <row r="106" spans="1:15" customFormat="1" ht="12.75" hidden="1">
      <c r="A106" s="1267" t="str">
        <f t="shared" si="19"/>
        <v xml:space="preserve"> - Nhân công</v>
      </c>
      <c r="B106" s="1274">
        <v>4.2</v>
      </c>
      <c r="C106" s="1265">
        <f t="shared" ref="C106:C113" si="24">($C$114-$C$104)/10*R27+$C$104</f>
        <v>3.3010000000000002</v>
      </c>
      <c r="D106" s="1265"/>
      <c r="E106" s="1265"/>
      <c r="F106" s="1266">
        <f t="shared" si="17"/>
        <v>1799042</v>
      </c>
      <c r="G106" s="1266"/>
      <c r="H106" s="1266"/>
      <c r="I106" s="1266">
        <f t="shared" si="18"/>
        <v>7410742</v>
      </c>
      <c r="J106" s="1285">
        <f t="shared" si="18"/>
        <v>0</v>
      </c>
      <c r="K106" s="1285">
        <f t="shared" si="18"/>
        <v>0</v>
      </c>
      <c r="L106" s="1329">
        <f t="shared" si="21"/>
        <v>285029</v>
      </c>
      <c r="M106" s="1285">
        <f t="shared" si="23"/>
        <v>0</v>
      </c>
      <c r="N106" s="1285">
        <f t="shared" si="23"/>
        <v>0</v>
      </c>
      <c r="O106" s="1231"/>
    </row>
    <row r="107" spans="1:15" customFormat="1" ht="12.75" hidden="1">
      <c r="A107" s="1267" t="str">
        <f t="shared" si="19"/>
        <v xml:space="preserve"> - Nhân công</v>
      </c>
      <c r="B107" s="1274">
        <v>4.3</v>
      </c>
      <c r="C107" s="1265">
        <f t="shared" si="24"/>
        <v>3.27</v>
      </c>
      <c r="D107" s="1265"/>
      <c r="E107" s="1265"/>
      <c r="F107" s="1266">
        <f t="shared" si="17"/>
        <v>1785340</v>
      </c>
      <c r="G107" s="1266"/>
      <c r="H107" s="1266"/>
      <c r="I107" s="1266">
        <f t="shared" si="18"/>
        <v>7344340</v>
      </c>
      <c r="J107" s="1285">
        <f t="shared" si="18"/>
        <v>0</v>
      </c>
      <c r="K107" s="1285">
        <f t="shared" si="18"/>
        <v>0</v>
      </c>
      <c r="L107" s="1329">
        <f t="shared" si="21"/>
        <v>282475</v>
      </c>
      <c r="M107" s="1285">
        <f t="shared" si="23"/>
        <v>0</v>
      </c>
      <c r="N107" s="1285">
        <f t="shared" si="23"/>
        <v>0</v>
      </c>
      <c r="O107" s="1231"/>
    </row>
    <row r="108" spans="1:15" customFormat="1" ht="12.75" hidden="1">
      <c r="A108" s="1267" t="str">
        <f t="shared" si="19"/>
        <v xml:space="preserve"> - Nhân công</v>
      </c>
      <c r="B108" s="1274">
        <v>4.4000000000000004</v>
      </c>
      <c r="C108" s="1265">
        <f t="shared" si="24"/>
        <v>3.27</v>
      </c>
      <c r="D108" s="1265"/>
      <c r="E108" s="1265"/>
      <c r="F108" s="1266">
        <f t="shared" si="17"/>
        <v>1785340</v>
      </c>
      <c r="G108" s="1266"/>
      <c r="H108" s="1266"/>
      <c r="I108" s="1266">
        <f t="shared" si="18"/>
        <v>7344340</v>
      </c>
      <c r="J108" s="1285">
        <f t="shared" si="18"/>
        <v>0</v>
      </c>
      <c r="K108" s="1285">
        <f t="shared" si="18"/>
        <v>0</v>
      </c>
      <c r="L108" s="1329">
        <f t="shared" si="21"/>
        <v>282475</v>
      </c>
      <c r="M108" s="1285">
        <f t="shared" si="23"/>
        <v>0</v>
      </c>
      <c r="N108" s="1285">
        <f t="shared" si="23"/>
        <v>0</v>
      </c>
      <c r="O108" s="1231"/>
    </row>
    <row r="109" spans="1:15" customFormat="1" ht="12.75" hidden="1">
      <c r="A109" s="1267" t="str">
        <f t="shared" si="19"/>
        <v xml:space="preserve"> - Nhân công</v>
      </c>
      <c r="B109" s="1274">
        <v>4.5</v>
      </c>
      <c r="C109" s="1265">
        <f t="shared" si="24"/>
        <v>3.27</v>
      </c>
      <c r="D109" s="1265"/>
      <c r="E109" s="1265"/>
      <c r="F109" s="1266">
        <f t="shared" si="17"/>
        <v>1785340</v>
      </c>
      <c r="G109" s="1266"/>
      <c r="H109" s="1266"/>
      <c r="I109" s="1266">
        <f t="shared" si="18"/>
        <v>7344340</v>
      </c>
      <c r="J109" s="1285">
        <f t="shared" si="18"/>
        <v>0</v>
      </c>
      <c r="K109" s="1285">
        <f t="shared" si="18"/>
        <v>0</v>
      </c>
      <c r="L109" s="1329">
        <f t="shared" si="21"/>
        <v>282475</v>
      </c>
      <c r="M109" s="1285">
        <f t="shared" si="23"/>
        <v>0</v>
      </c>
      <c r="N109" s="1285">
        <f t="shared" si="23"/>
        <v>0</v>
      </c>
      <c r="O109" s="1231"/>
    </row>
    <row r="110" spans="1:15" customFormat="1" ht="12.75" hidden="1">
      <c r="A110" s="1267" t="str">
        <f t="shared" si="19"/>
        <v xml:space="preserve"> - Nhân công</v>
      </c>
      <c r="B110" s="1274">
        <v>4.5999999999999996</v>
      </c>
      <c r="C110" s="1265">
        <f t="shared" si="24"/>
        <v>3.27</v>
      </c>
      <c r="D110" s="1265"/>
      <c r="E110" s="1265"/>
      <c r="F110" s="1266">
        <f t="shared" si="17"/>
        <v>1785340</v>
      </c>
      <c r="G110" s="1266"/>
      <c r="H110" s="1266"/>
      <c r="I110" s="1266">
        <f t="shared" si="18"/>
        <v>7344340</v>
      </c>
      <c r="J110" s="1285">
        <f t="shared" si="18"/>
        <v>0</v>
      </c>
      <c r="K110" s="1285">
        <f t="shared" si="18"/>
        <v>0</v>
      </c>
      <c r="L110" s="1329">
        <f t="shared" si="21"/>
        <v>282475</v>
      </c>
      <c r="M110" s="1285">
        <f t="shared" si="23"/>
        <v>0</v>
      </c>
      <c r="N110" s="1285">
        <f t="shared" si="23"/>
        <v>0</v>
      </c>
      <c r="O110" s="1231"/>
    </row>
    <row r="111" spans="1:15" customFormat="1" ht="12.75" hidden="1">
      <c r="A111" s="1267" t="str">
        <f t="shared" si="19"/>
        <v xml:space="preserve"> - Nhân công</v>
      </c>
      <c r="B111" s="1274">
        <v>4.7</v>
      </c>
      <c r="C111" s="1265">
        <f t="shared" si="24"/>
        <v>3.27</v>
      </c>
      <c r="D111" s="1265"/>
      <c r="E111" s="1265"/>
      <c r="F111" s="1266">
        <f t="shared" si="17"/>
        <v>1785340</v>
      </c>
      <c r="G111" s="1266"/>
      <c r="H111" s="1266"/>
      <c r="I111" s="1266">
        <f t="shared" si="18"/>
        <v>7344340</v>
      </c>
      <c r="J111" s="1285">
        <f t="shared" si="18"/>
        <v>0</v>
      </c>
      <c r="K111" s="1285">
        <f t="shared" si="18"/>
        <v>0</v>
      </c>
      <c r="L111" s="1329">
        <f t="shared" si="21"/>
        <v>282475</v>
      </c>
      <c r="M111" s="1285">
        <f t="shared" si="23"/>
        <v>0</v>
      </c>
      <c r="N111" s="1285">
        <f t="shared" si="23"/>
        <v>0</v>
      </c>
      <c r="O111" s="1231"/>
    </row>
    <row r="112" spans="1:15" customFormat="1" ht="12.75" hidden="1">
      <c r="A112" s="1267" t="str">
        <f t="shared" si="19"/>
        <v xml:space="preserve"> - Nhân công</v>
      </c>
      <c r="B112" s="1274">
        <v>4.8</v>
      </c>
      <c r="C112" s="1265">
        <f t="shared" si="24"/>
        <v>3.27</v>
      </c>
      <c r="D112" s="1265"/>
      <c r="E112" s="1265"/>
      <c r="F112" s="1266">
        <f t="shared" si="17"/>
        <v>1785340</v>
      </c>
      <c r="G112" s="1266"/>
      <c r="H112" s="1266"/>
      <c r="I112" s="1266">
        <f t="shared" si="18"/>
        <v>7344340</v>
      </c>
      <c r="J112" s="1285">
        <f t="shared" si="18"/>
        <v>0</v>
      </c>
      <c r="K112" s="1285">
        <f t="shared" si="18"/>
        <v>0</v>
      </c>
      <c r="L112" s="1329">
        <f t="shared" si="21"/>
        <v>282475</v>
      </c>
      <c r="M112" s="1285">
        <f t="shared" si="23"/>
        <v>0</v>
      </c>
      <c r="N112" s="1285">
        <f t="shared" si="23"/>
        <v>0</v>
      </c>
      <c r="O112" s="1231"/>
    </row>
    <row r="113" spans="1:15" customFormat="1" ht="12.75" hidden="1">
      <c r="A113" s="1267" t="str">
        <f t="shared" si="19"/>
        <v xml:space="preserve"> - Nhân công</v>
      </c>
      <c r="B113" s="1274">
        <v>4.9000000000000004</v>
      </c>
      <c r="C113" s="1265">
        <f t="shared" si="24"/>
        <v>3.27</v>
      </c>
      <c r="D113" s="1265"/>
      <c r="E113" s="1265"/>
      <c r="F113" s="1266">
        <f t="shared" si="17"/>
        <v>1785340</v>
      </c>
      <c r="G113" s="1266"/>
      <c r="H113" s="1266"/>
      <c r="I113" s="1266">
        <f t="shared" si="18"/>
        <v>7344340</v>
      </c>
      <c r="J113" s="1285">
        <f t="shared" si="18"/>
        <v>0</v>
      </c>
      <c r="K113" s="1285">
        <f t="shared" si="18"/>
        <v>0</v>
      </c>
      <c r="L113" s="1329">
        <f t="shared" si="21"/>
        <v>282475</v>
      </c>
      <c r="M113" s="1285">
        <f t="shared" si="23"/>
        <v>0</v>
      </c>
      <c r="N113" s="1285">
        <f t="shared" si="23"/>
        <v>0</v>
      </c>
      <c r="O113" s="1231"/>
    </row>
    <row r="114" spans="1:15" ht="12.75">
      <c r="A114" s="1286" t="s">
        <v>5465</v>
      </c>
      <c r="B114" s="1287">
        <v>5</v>
      </c>
      <c r="C114" s="1277">
        <v>3.58</v>
      </c>
      <c r="D114" s="1275">
        <v>3.19</v>
      </c>
      <c r="E114" s="1275">
        <v>3.54</v>
      </c>
      <c r="F114" s="1278">
        <f>$F$10*$F$8+$F$13*$F$7*C114</f>
        <v>1812360</v>
      </c>
      <c r="G114" s="1278">
        <f>$F$10*$F$8+$F$13*$F$7*D114</f>
        <v>1639980</v>
      </c>
      <c r="H114" s="1278">
        <f>$F$10*$F$8+$F$13*$F$7*E114</f>
        <v>1794680</v>
      </c>
      <c r="I114" s="1278">
        <f t="shared" si="18"/>
        <v>7898360</v>
      </c>
      <c r="J114" s="1278">
        <f t="shared" si="18"/>
        <v>7062980</v>
      </c>
      <c r="K114" s="1278">
        <f t="shared" si="18"/>
        <v>7812680</v>
      </c>
      <c r="L114" s="1323">
        <f t="shared" si="21"/>
        <v>303783</v>
      </c>
      <c r="M114" s="1278">
        <f>ROUND(J114/26,0)</f>
        <v>271653</v>
      </c>
      <c r="N114" s="1278">
        <f>ROUND(K114/26,0)</f>
        <v>300488</v>
      </c>
      <c r="O114" s="1231">
        <v>1</v>
      </c>
    </row>
    <row r="115" spans="1:15" customFormat="1" hidden="1">
      <c r="A115" s="1244" t="s">
        <v>5466</v>
      </c>
      <c r="B115" s="1245"/>
      <c r="C115" s="1246"/>
      <c r="D115" s="1227"/>
      <c r="E115" s="1247"/>
      <c r="F115" s="1227"/>
      <c r="G115" s="1227"/>
      <c r="H115" s="1227"/>
      <c r="I115" s="1227"/>
      <c r="J115" s="1227"/>
      <c r="K115" s="1227"/>
      <c r="L115" s="1317"/>
      <c r="M115" s="1248"/>
      <c r="N115" s="1248"/>
      <c r="O115" s="1227"/>
    </row>
    <row r="116" spans="1:15" customFormat="1" ht="25.5" hidden="1">
      <c r="L116" s="1330"/>
      <c r="O116" s="1288" t="s">
        <v>5447</v>
      </c>
    </row>
    <row r="117" spans="1:15" customFormat="1" ht="12.75" hidden="1">
      <c r="L117" s="1330"/>
      <c r="O117" s="1289" t="s">
        <v>5467</v>
      </c>
    </row>
    <row r="118" spans="1:15" customFormat="1" ht="12.75" hidden="1">
      <c r="L118" s="1330"/>
      <c r="O118" s="1290" t="s">
        <v>5468</v>
      </c>
    </row>
    <row r="119" spans="1:15" customFormat="1" ht="12.75" hidden="1">
      <c r="L119" s="1330"/>
      <c r="O119" s="1273">
        <f t="shared" ref="O119:O124" si="25">ROUND(K119/26,0)</f>
        <v>0</v>
      </c>
    </row>
    <row r="120" spans="1:15" customFormat="1" ht="12.75" hidden="1">
      <c r="L120" s="1330"/>
      <c r="O120" s="1273">
        <f t="shared" si="25"/>
        <v>0</v>
      </c>
    </row>
    <row r="121" spans="1:15" customFormat="1" ht="12.75" hidden="1">
      <c r="L121" s="1330"/>
      <c r="O121" s="1273">
        <f t="shared" si="25"/>
        <v>0</v>
      </c>
    </row>
    <row r="122" spans="1:15" customFormat="1" ht="12.75" hidden="1">
      <c r="L122" s="1330"/>
      <c r="O122" s="1273">
        <f t="shared" si="25"/>
        <v>0</v>
      </c>
    </row>
    <row r="123" spans="1:15" customFormat="1" ht="12.75" hidden="1">
      <c r="L123" s="1330"/>
      <c r="O123" s="1273">
        <f t="shared" si="25"/>
        <v>0</v>
      </c>
    </row>
    <row r="124" spans="1:15" customFormat="1" ht="12.75" hidden="1">
      <c r="L124" s="1330"/>
      <c r="O124" s="1273">
        <f t="shared" si="25"/>
        <v>0</v>
      </c>
    </row>
    <row r="125" spans="1:15" ht="12.75">
      <c r="O125" s="1275"/>
    </row>
    <row r="126" spans="1:15" ht="12.75">
      <c r="O126" s="1237"/>
    </row>
    <row r="127" spans="1:15">
      <c r="O127" s="1227"/>
    </row>
  </sheetData>
  <autoFilter ref="A26:IV124">
    <filterColumn colId="14">
      <filters>
        <filter val="1"/>
      </filters>
    </filterColumn>
  </autoFilter>
  <mergeCells count="4">
    <mergeCell ref="A1:N1"/>
    <mergeCell ref="A2:N2"/>
    <mergeCell ref="B80:B81"/>
    <mergeCell ref="A24:B25"/>
  </mergeCells>
  <printOptions horizontalCentered="1"/>
  <pageMargins left="0.3" right="0.27" top="1.06" bottom="0.75" header="0.3" footer="0.3"/>
  <pageSetup paperSize="9" scale="9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filterMode="1">
    <tabColor rgb="FF00B0F0"/>
  </sheetPr>
  <dimension ref="A1:AE1045"/>
  <sheetViews>
    <sheetView showGridLines="0" showZeros="0" view="pageBreakPreview" topLeftCell="A5" zoomScaleNormal="100" zoomScaleSheetLayoutView="100" workbookViewId="0">
      <selection activeCell="J11" sqref="J11"/>
    </sheetView>
  </sheetViews>
  <sheetFormatPr defaultRowHeight="15.75" outlineLevelCol="1"/>
  <cols>
    <col min="1" max="1" width="1.85546875" style="293" bestFit="1" customWidth="1"/>
    <col min="2" max="2" width="5.7109375" style="2061" customWidth="1"/>
    <col min="3" max="3" width="76.140625" style="292" hidden="1" customWidth="1"/>
    <col min="4" max="4" width="81.7109375" style="292" hidden="1" customWidth="1"/>
    <col min="5" max="5" width="27.140625" style="292" customWidth="1"/>
    <col min="6" max="6" width="47.140625" style="393" hidden="1" customWidth="1" outlineLevel="1"/>
    <col min="7" max="7" width="8.7109375" style="293" bestFit="1" customWidth="1" collapsed="1"/>
    <col min="8" max="8" width="8.7109375" style="293" customWidth="1" outlineLevel="1"/>
    <col min="9" max="9" width="8.140625" style="293" customWidth="1" outlineLevel="1"/>
    <col min="10" max="10" width="8.85546875" style="293" customWidth="1" outlineLevel="1"/>
    <col min="11" max="12" width="14.7109375" style="303" hidden="1" customWidth="1" outlineLevel="1"/>
    <col min="13" max="13" width="10.140625" style="303" customWidth="1" outlineLevel="1"/>
    <col min="14" max="14" width="12.5703125" style="303" customWidth="1" outlineLevel="1"/>
    <col min="15" max="15" width="14.7109375" style="721" hidden="1" customWidth="1" outlineLevel="1"/>
    <col min="16" max="16" width="11.7109375" style="2062" customWidth="1" collapsed="1"/>
    <col min="17" max="17" width="11.5703125" style="293" hidden="1" customWidth="1"/>
    <col min="18" max="18" width="13.85546875" style="293" hidden="1" customWidth="1"/>
    <col min="19" max="19" width="12.42578125" style="293" bestFit="1" customWidth="1"/>
    <col min="20" max="20" width="12.7109375" style="302" customWidth="1"/>
    <col min="21" max="21" width="10.28515625" style="304" bestFit="1" customWidth="1"/>
    <col min="22" max="22" width="9.28515625" style="304" bestFit="1" customWidth="1"/>
    <col min="23" max="23" width="10.28515625" style="304" bestFit="1" customWidth="1"/>
    <col min="24" max="24" width="9.140625" style="293"/>
    <col min="25" max="25" width="12.42578125" style="293" bestFit="1" customWidth="1"/>
    <col min="26" max="28" width="9.140625" style="293"/>
    <col min="29" max="29" width="21.7109375" style="293" bestFit="1" customWidth="1"/>
    <col min="30" max="30" width="9.140625" style="293"/>
    <col min="31" max="31" width="20.140625" style="293" bestFit="1" customWidth="1"/>
    <col min="32" max="16384" width="9.140625" style="293"/>
  </cols>
  <sheetData>
    <row r="1" spans="2:23" s="391" customFormat="1" ht="20.25" hidden="1">
      <c r="B1" s="318" t="e">
        <f>+'8.Dgia'!B1</f>
        <v>#REF!</v>
      </c>
      <c r="C1" s="281"/>
      <c r="D1" s="281"/>
      <c r="E1" s="385"/>
      <c r="F1" s="385"/>
      <c r="G1" s="386"/>
      <c r="H1" s="386"/>
      <c r="I1" s="386"/>
      <c r="J1" s="386"/>
      <c r="K1" s="283"/>
      <c r="L1" s="283"/>
      <c r="M1" s="389"/>
      <c r="N1" s="389"/>
      <c r="O1" s="389"/>
      <c r="P1" s="389"/>
      <c r="Q1" s="678"/>
      <c r="R1" s="678"/>
      <c r="S1" s="282"/>
      <c r="T1" s="284"/>
      <c r="U1" s="285"/>
      <c r="V1" s="285"/>
      <c r="W1" s="285"/>
    </row>
    <row r="2" spans="2:23" s="391" customFormat="1" ht="20.25" hidden="1">
      <c r="B2" s="318" t="e">
        <f>+'8.Dgia'!B2</f>
        <v>#REF!</v>
      </c>
      <c r="C2" s="281"/>
      <c r="D2" s="281"/>
      <c r="E2" s="385"/>
      <c r="F2" s="385"/>
      <c r="G2" s="386"/>
      <c r="H2" s="386"/>
      <c r="I2" s="386"/>
      <c r="J2" s="386"/>
      <c r="K2" s="283"/>
      <c r="L2" s="283"/>
      <c r="M2" s="389"/>
      <c r="N2" s="389"/>
      <c r="O2" s="389"/>
      <c r="P2" s="389"/>
      <c r="Q2" s="678"/>
      <c r="R2" s="678"/>
      <c r="S2" s="282"/>
      <c r="T2" s="284"/>
      <c r="U2" s="285"/>
      <c r="V2" s="285"/>
      <c r="W2" s="285"/>
    </row>
    <row r="3" spans="2:23" s="392" customFormat="1" ht="18.75" hidden="1">
      <c r="B3" s="319" t="e">
        <f>+'8.Dgia'!B3</f>
        <v>#REF!</v>
      </c>
      <c r="C3" s="286"/>
      <c r="D3" s="286"/>
      <c r="E3" s="387"/>
      <c r="F3" s="387"/>
      <c r="G3" s="388"/>
      <c r="H3" s="388"/>
      <c r="I3" s="388"/>
      <c r="J3" s="388"/>
      <c r="K3" s="288"/>
      <c r="L3" s="288"/>
      <c r="M3" s="390"/>
      <c r="N3" s="390"/>
      <c r="O3" s="390"/>
      <c r="P3" s="390"/>
      <c r="Q3" s="679"/>
      <c r="R3" s="679"/>
      <c r="S3" s="287"/>
      <c r="T3" s="289"/>
      <c r="U3" s="290"/>
      <c r="V3" s="290"/>
      <c r="W3" s="290"/>
    </row>
    <row r="4" spans="2:23" s="392" customFormat="1" ht="18.75" hidden="1">
      <c r="B4" s="319" t="e">
        <f>+'8.Dgia'!B4</f>
        <v>#REF!</v>
      </c>
      <c r="C4" s="286"/>
      <c r="D4" s="286"/>
      <c r="E4" s="387"/>
      <c r="F4" s="387"/>
      <c r="G4" s="388"/>
      <c r="H4" s="388"/>
      <c r="I4" s="388"/>
      <c r="J4" s="388"/>
      <c r="K4" s="288"/>
      <c r="L4" s="288"/>
      <c r="M4" s="390"/>
      <c r="N4" s="390"/>
      <c r="O4" s="390"/>
      <c r="P4" s="390"/>
      <c r="Q4" s="679"/>
      <c r="R4" s="679"/>
      <c r="S4" s="287"/>
      <c r="T4" s="289"/>
      <c r="U4" s="290"/>
      <c r="V4" s="290"/>
      <c r="W4" s="290"/>
    </row>
    <row r="5" spans="2:23" s="2041" customFormat="1" ht="18.75">
      <c r="B5" s="829" t="s">
        <v>751</v>
      </c>
      <c r="C5" s="286"/>
      <c r="D5" s="286"/>
      <c r="E5" s="286"/>
      <c r="F5" s="387"/>
      <c r="G5" s="287"/>
      <c r="H5" s="287"/>
      <c r="I5" s="287"/>
      <c r="J5" s="287"/>
      <c r="K5" s="288"/>
      <c r="L5" s="288"/>
      <c r="M5" s="288"/>
      <c r="N5" s="288"/>
      <c r="O5" s="390"/>
      <c r="P5" s="288"/>
      <c r="Q5" s="679"/>
      <c r="R5" s="679"/>
      <c r="S5" s="287"/>
      <c r="T5" s="289"/>
      <c r="U5" s="290"/>
      <c r="V5" s="290"/>
      <c r="W5" s="290"/>
    </row>
    <row r="6" spans="2:23" s="2041" customFormat="1" ht="6" customHeight="1">
      <c r="B6" s="829"/>
      <c r="C6" s="286"/>
      <c r="D6" s="286"/>
      <c r="E6" s="286"/>
      <c r="F6" s="387"/>
      <c r="G6" s="287"/>
      <c r="H6" s="287"/>
      <c r="I6" s="287"/>
      <c r="J6" s="287"/>
      <c r="K6" s="288"/>
      <c r="L6" s="288"/>
      <c r="M6" s="288"/>
      <c r="N6" s="288"/>
      <c r="O6" s="390"/>
      <c r="P6" s="288"/>
      <c r="Q6" s="679"/>
      <c r="R6" s="679"/>
      <c r="S6" s="287"/>
      <c r="T6" s="289"/>
      <c r="U6" s="290"/>
      <c r="V6" s="290"/>
      <c r="W6" s="290"/>
    </row>
    <row r="7" spans="2:23" s="410" customFormat="1" ht="6.75" customHeight="1">
      <c r="B7" s="397"/>
      <c r="C7" s="397"/>
      <c r="D7" s="397"/>
      <c r="E7" s="397"/>
      <c r="F7" s="396"/>
      <c r="G7" s="399"/>
      <c r="H7" s="399"/>
      <c r="I7" s="399"/>
      <c r="J7" s="399"/>
      <c r="K7" s="398"/>
      <c r="L7" s="398"/>
      <c r="M7" s="398"/>
      <c r="N7" s="433"/>
      <c r="O7" s="715"/>
      <c r="P7" s="720"/>
      <c r="Q7" s="399"/>
      <c r="R7" s="399"/>
      <c r="S7" s="399"/>
      <c r="T7" s="400"/>
      <c r="U7" s="401"/>
      <c r="V7" s="401"/>
      <c r="W7" s="401"/>
    </row>
    <row r="8" spans="2:23" s="410" customFormat="1" ht="38.25">
      <c r="B8" s="408"/>
      <c r="C8" s="291"/>
      <c r="D8" s="402"/>
      <c r="E8" s="402"/>
      <c r="F8" s="403"/>
      <c r="G8" s="2042" t="s">
        <v>752</v>
      </c>
      <c r="H8" s="2042" t="s">
        <v>4896</v>
      </c>
      <c r="I8" s="2043" t="s">
        <v>4897</v>
      </c>
      <c r="J8" s="2042" t="s">
        <v>219</v>
      </c>
      <c r="K8" s="398"/>
      <c r="L8" s="398"/>
      <c r="M8" s="398"/>
      <c r="N8" s="409"/>
      <c r="O8" s="716"/>
      <c r="P8" s="717"/>
      <c r="Q8" s="404"/>
      <c r="R8" s="404"/>
      <c r="S8" s="404"/>
      <c r="T8" s="405"/>
      <c r="U8" s="406"/>
      <c r="V8" s="406"/>
      <c r="W8" s="406"/>
    </row>
    <row r="9" spans="2:23" s="410" customFormat="1" ht="12.75">
      <c r="B9" s="408"/>
      <c r="C9" s="294" t="s">
        <v>753</v>
      </c>
      <c r="D9" s="402"/>
      <c r="E9" s="294" t="s">
        <v>753</v>
      </c>
      <c r="F9" s="1047" t="s">
        <v>4653</v>
      </c>
      <c r="G9" s="2044">
        <v>1.05</v>
      </c>
      <c r="H9" s="2044">
        <v>1.07</v>
      </c>
      <c r="I9" s="2044">
        <v>1.03</v>
      </c>
      <c r="J9" s="2044">
        <v>1</v>
      </c>
      <c r="K9" s="398"/>
      <c r="L9" s="398"/>
      <c r="M9" s="398"/>
      <c r="N9" s="409"/>
      <c r="O9" s="716"/>
      <c r="P9" s="717"/>
      <c r="Q9" s="404"/>
      <c r="R9" s="404"/>
      <c r="S9" s="404"/>
      <c r="T9" s="405"/>
      <c r="U9" s="406"/>
      <c r="V9" s="406"/>
      <c r="W9" s="406"/>
    </row>
    <row r="10" spans="2:23" s="410" customFormat="1" ht="12.75">
      <c r="B10" s="408"/>
      <c r="C10" s="295" t="s">
        <v>754</v>
      </c>
      <c r="D10" s="402"/>
      <c r="E10" s="295" t="s">
        <v>754</v>
      </c>
      <c r="F10" s="1048" t="s">
        <v>5666</v>
      </c>
      <c r="G10" s="2045">
        <v>6818</v>
      </c>
      <c r="H10" s="2045">
        <v>895</v>
      </c>
      <c r="I10" s="2045">
        <v>8455</v>
      </c>
      <c r="J10" s="2045">
        <v>5744</v>
      </c>
      <c r="K10" s="398"/>
      <c r="L10" s="398"/>
      <c r="M10" s="398"/>
      <c r="N10" s="409"/>
      <c r="O10" s="716"/>
      <c r="P10" s="717"/>
      <c r="Q10" s="404"/>
      <c r="R10" s="404"/>
      <c r="S10" s="404"/>
      <c r="T10" s="481"/>
      <c r="U10" s="406"/>
      <c r="V10" s="406"/>
      <c r="W10" s="406"/>
    </row>
    <row r="11" spans="2:23" s="410" customFormat="1" ht="12.75">
      <c r="B11" s="408"/>
      <c r="C11" s="295" t="s">
        <v>755</v>
      </c>
      <c r="D11" s="402"/>
      <c r="E11" s="295" t="s">
        <v>755</v>
      </c>
      <c r="F11" s="1048" t="s">
        <v>4654</v>
      </c>
      <c r="G11" s="2046">
        <f>+'11.gia '!I144*0.87</f>
        <v>22290.909090909088</v>
      </c>
      <c r="H11" s="2047">
        <v>1490</v>
      </c>
      <c r="I11" s="2046">
        <f>'11.gia '!I143*0.74</f>
        <v>22954.545454545452</v>
      </c>
      <c r="J11" s="2046">
        <f>'11.gia '!I145*0.87</f>
        <v>15960.545454545454</v>
      </c>
      <c r="K11" s="398"/>
      <c r="L11" s="398"/>
      <c r="M11" s="398"/>
      <c r="N11" s="409"/>
      <c r="O11" s="716"/>
      <c r="P11" s="717"/>
      <c r="Q11" s="404"/>
      <c r="R11" s="404"/>
      <c r="S11" s="404"/>
      <c r="T11" s="405"/>
      <c r="U11" s="406"/>
      <c r="V11" s="406"/>
      <c r="W11" s="406"/>
    </row>
    <row r="12" spans="2:23" s="410" customFormat="1" ht="12.75">
      <c r="B12" s="408"/>
      <c r="C12" s="295" t="s">
        <v>756</v>
      </c>
      <c r="D12" s="402"/>
      <c r="E12" s="295" t="s">
        <v>756</v>
      </c>
      <c r="F12" s="1048" t="s">
        <v>4655</v>
      </c>
      <c r="G12" s="2048">
        <f>G11-G10</f>
        <v>15472.909090909088</v>
      </c>
      <c r="H12" s="2048">
        <f>H11-H10</f>
        <v>595</v>
      </c>
      <c r="I12" s="2048">
        <f>I11-I10</f>
        <v>14499.545454545452</v>
      </c>
      <c r="J12" s="2048">
        <f>J11-J10</f>
        <v>10216.545454545454</v>
      </c>
      <c r="K12" s="398"/>
      <c r="L12" s="398"/>
      <c r="M12" s="398"/>
      <c r="N12" s="409"/>
      <c r="O12" s="716"/>
      <c r="P12" s="717"/>
      <c r="Q12" s="404"/>
      <c r="R12" s="404"/>
      <c r="S12" s="404"/>
      <c r="T12" s="405"/>
      <c r="U12" s="406"/>
      <c r="V12" s="406"/>
      <c r="W12" s="406"/>
    </row>
    <row r="13" spans="2:23" s="410" customFormat="1" ht="25.5">
      <c r="B13" s="408"/>
      <c r="C13" s="295" t="s">
        <v>5674</v>
      </c>
      <c r="D13" s="402"/>
      <c r="E13" s="481" t="s">
        <v>2256</v>
      </c>
      <c r="F13" s="1048" t="s">
        <v>5665</v>
      </c>
      <c r="G13" s="1465">
        <v>1.29</v>
      </c>
      <c r="H13" s="1466" t="s">
        <v>5673</v>
      </c>
      <c r="I13" s="297"/>
      <c r="J13" s="297"/>
      <c r="K13" s="409"/>
      <c r="L13" s="409"/>
      <c r="M13" s="409"/>
      <c r="N13" s="409"/>
      <c r="O13" s="717"/>
      <c r="P13" s="717"/>
      <c r="Q13" s="404"/>
      <c r="R13" s="404"/>
      <c r="S13" s="404"/>
      <c r="T13" s="295" t="s">
        <v>2256</v>
      </c>
      <c r="U13" s="406"/>
      <c r="V13" s="406"/>
      <c r="W13" s="406"/>
    </row>
    <row r="14" spans="2:23" s="410" customFormat="1" ht="13.5" hidden="1" customHeight="1">
      <c r="B14" s="408"/>
      <c r="C14" s="295"/>
      <c r="D14" s="402"/>
      <c r="E14" s="481"/>
      <c r="F14" s="1048"/>
      <c r="G14" s="482"/>
      <c r="H14" s="296"/>
      <c r="I14" s="297"/>
      <c r="J14" s="297"/>
      <c r="K14" s="409"/>
      <c r="L14" s="409"/>
      <c r="M14" s="409"/>
      <c r="N14" s="409"/>
      <c r="O14" s="717"/>
      <c r="P14" s="722" t="s">
        <v>234</v>
      </c>
      <c r="Q14" s="404"/>
      <c r="R14" s="404"/>
      <c r="S14" s="404"/>
      <c r="T14" s="481"/>
      <c r="U14" s="406"/>
      <c r="V14" s="406"/>
      <c r="W14" s="406"/>
    </row>
    <row r="15" spans="2:23" s="410" customFormat="1" ht="12.75">
      <c r="B15" s="408"/>
      <c r="C15" s="295"/>
      <c r="D15" s="295"/>
      <c r="E15" s="295"/>
      <c r="F15" s="407"/>
      <c r="G15" s="297"/>
      <c r="H15" s="404"/>
      <c r="I15" s="404"/>
      <c r="J15" s="404"/>
      <c r="K15" s="409"/>
      <c r="L15" s="409"/>
      <c r="M15" s="409"/>
      <c r="N15" s="409"/>
      <c r="O15" s="716"/>
      <c r="P15" s="763" t="s">
        <v>5084</v>
      </c>
      <c r="Q15" s="404"/>
      <c r="R15" s="404"/>
      <c r="S15" s="404"/>
      <c r="T15" s="405"/>
      <c r="U15" s="406" t="s">
        <v>195</v>
      </c>
      <c r="V15" s="406"/>
      <c r="W15" s="406"/>
    </row>
    <row r="16" spans="2:23" s="410" customFormat="1" ht="36.75" customHeight="1">
      <c r="B16" s="2165" t="s">
        <v>529</v>
      </c>
      <c r="C16" s="411" t="s">
        <v>757</v>
      </c>
      <c r="D16" s="411"/>
      <c r="E16" s="2165" t="s">
        <v>757</v>
      </c>
      <c r="F16" s="411" t="s">
        <v>4656</v>
      </c>
      <c r="G16" s="1646" t="s">
        <v>5903</v>
      </c>
      <c r="H16" s="1646"/>
      <c r="I16" s="1646"/>
      <c r="J16" s="1646"/>
      <c r="K16" s="1647" t="s">
        <v>378</v>
      </c>
      <c r="L16" s="1648" t="s">
        <v>5083</v>
      </c>
      <c r="M16" s="2171" t="s">
        <v>5900</v>
      </c>
      <c r="N16" s="2169" t="s">
        <v>5901</v>
      </c>
      <c r="O16" s="2169" t="s">
        <v>4895</v>
      </c>
      <c r="P16" s="2169" t="s">
        <v>5902</v>
      </c>
      <c r="Q16" s="2167" t="s">
        <v>323</v>
      </c>
      <c r="R16" s="2167" t="s">
        <v>2016</v>
      </c>
      <c r="S16" s="2167" t="s">
        <v>2014</v>
      </c>
      <c r="T16" s="2167" t="s">
        <v>2013</v>
      </c>
      <c r="U16" s="412" t="s">
        <v>378</v>
      </c>
      <c r="V16" s="413"/>
      <c r="W16" s="414" t="s">
        <v>758</v>
      </c>
    </row>
    <row r="17" spans="1:29" s="410" customFormat="1" ht="45.75" customHeight="1">
      <c r="B17" s="2166"/>
      <c r="C17" s="415"/>
      <c r="D17" s="415"/>
      <c r="E17" s="2166"/>
      <c r="F17" s="415"/>
      <c r="G17" s="1649" t="s">
        <v>752</v>
      </c>
      <c r="H17" s="1649" t="s">
        <v>4893</v>
      </c>
      <c r="I17" s="1650" t="s">
        <v>4894</v>
      </c>
      <c r="J17" s="1649" t="s">
        <v>219</v>
      </c>
      <c r="K17" s="1651" t="s">
        <v>5801</v>
      </c>
      <c r="L17" s="1651" t="s">
        <v>5802</v>
      </c>
      <c r="M17" s="2172"/>
      <c r="N17" s="2170"/>
      <c r="O17" s="2170"/>
      <c r="P17" s="2170"/>
      <c r="Q17" s="2168"/>
      <c r="R17" s="2168" t="s">
        <v>2015</v>
      </c>
      <c r="S17" s="2168"/>
      <c r="T17" s="2168"/>
      <c r="U17" s="414" t="s">
        <v>2222</v>
      </c>
      <c r="V17" s="414" t="s">
        <v>2223</v>
      </c>
      <c r="W17" s="416" t="s">
        <v>2224</v>
      </c>
    </row>
    <row r="18" spans="1:29" s="410" customFormat="1" ht="16.5" customHeight="1">
      <c r="B18" s="2049">
        <v>1</v>
      </c>
      <c r="C18" s="298">
        <v>2</v>
      </c>
      <c r="D18" s="298"/>
      <c r="E18" s="2049">
        <f>B18+1</f>
        <v>2</v>
      </c>
      <c r="F18" s="298">
        <v>4</v>
      </c>
      <c r="G18" s="2049">
        <f>E18+1</f>
        <v>3</v>
      </c>
      <c r="H18" s="2049">
        <f>G18+1</f>
        <v>4</v>
      </c>
      <c r="I18" s="2049">
        <f>H18+1</f>
        <v>5</v>
      </c>
      <c r="J18" s="2049">
        <f>I18+1</f>
        <v>6</v>
      </c>
      <c r="K18" s="299">
        <f>J18+1</f>
        <v>7</v>
      </c>
      <c r="L18" s="299">
        <f>J18+1</f>
        <v>7</v>
      </c>
      <c r="M18" s="2050">
        <f>L18+1</f>
        <v>8</v>
      </c>
      <c r="N18" s="2051" t="s">
        <v>3804</v>
      </c>
      <c r="O18" s="718" t="s">
        <v>3805</v>
      </c>
      <c r="P18" s="2052" t="s">
        <v>5667</v>
      </c>
      <c r="Q18" s="298">
        <v>13</v>
      </c>
      <c r="R18" s="298"/>
      <c r="S18" s="2049"/>
      <c r="T18" s="2049"/>
      <c r="U18" s="300">
        <v>7</v>
      </c>
      <c r="V18" s="300">
        <v>8</v>
      </c>
      <c r="W18" s="300">
        <v>9</v>
      </c>
    </row>
    <row r="19" spans="1:29" s="427" customFormat="1" ht="17.25" hidden="1" customHeight="1">
      <c r="B19" s="417" t="str">
        <f>IF(A19&lt;&gt;0,COUNTA(A$19:$A19),"")</f>
        <v/>
      </c>
      <c r="C19" s="418" t="s">
        <v>759</v>
      </c>
      <c r="D19" s="418"/>
      <c r="E19" s="418"/>
      <c r="F19" s="418"/>
      <c r="G19" s="419"/>
      <c r="H19" s="419"/>
      <c r="I19" s="419"/>
      <c r="J19" s="419"/>
      <c r="K19" s="420"/>
      <c r="L19" s="420"/>
      <c r="M19" s="421"/>
      <c r="N19" s="445"/>
      <c r="O19" s="421"/>
      <c r="P19" s="421"/>
      <c r="Q19" s="423"/>
      <c r="R19" s="423"/>
      <c r="S19" s="423"/>
      <c r="T19" s="423"/>
      <c r="U19" s="424"/>
      <c r="V19" s="425"/>
      <c r="W19" s="426"/>
    </row>
    <row r="20" spans="1:29" s="410" customFormat="1" ht="17.25" hidden="1" customHeight="1">
      <c r="B20" s="417" t="str">
        <f>IF(A20&lt;&gt;0,COUNTA(A$19:$A20),"")</f>
        <v/>
      </c>
      <c r="C20" s="428" t="s">
        <v>760</v>
      </c>
      <c r="D20" s="428"/>
      <c r="E20" s="428"/>
      <c r="F20" s="428"/>
      <c r="G20" s="419">
        <v>32.4</v>
      </c>
      <c r="H20" s="419"/>
      <c r="I20" s="419"/>
      <c r="J20" s="419"/>
      <c r="K20" s="420">
        <v>1</v>
      </c>
      <c r="L20" s="420">
        <f t="shared" ref="L20:L83" si="0">+V20</f>
        <v>48658</v>
      </c>
      <c r="M20" s="420">
        <f t="shared" ref="M20:M83" si="1">+W20</f>
        <v>419927</v>
      </c>
      <c r="N20" s="445">
        <f t="shared" ref="N20:N38" si="2">SUMPRODUCT(G20:J20,$G$12:$J$12,$G$9:$J$9)</f>
        <v>526388.36727272719</v>
      </c>
      <c r="O20" s="719"/>
      <c r="P20" s="719">
        <f>+N20+M20*$G$13</f>
        <v>1068094.1972727273</v>
      </c>
      <c r="Q20" s="423">
        <f>SUMIF('8.Dgia'!E:E,'9.may'!E20,'8.Dgia'!P:P)</f>
        <v>0</v>
      </c>
      <c r="R20" s="429">
        <f t="shared" ref="R20:R83" si="3">N20*Q20</f>
        <v>0</v>
      </c>
      <c r="S20" s="301">
        <f t="shared" ref="S20:S83" si="4">L20*($G$13-1)</f>
        <v>14110.820000000002</v>
      </c>
      <c r="T20" s="430">
        <f t="shared" ref="T20:T83" si="5">S20+N20+M20</f>
        <v>960426.18727272714</v>
      </c>
      <c r="U20" s="431">
        <v>231948</v>
      </c>
      <c r="V20" s="431">
        <v>48658</v>
      </c>
      <c r="W20" s="432">
        <v>419927</v>
      </c>
      <c r="Y20" s="433">
        <f t="shared" ref="Y20:Y83" si="6">W20-T20</f>
        <v>-540499.18727272714</v>
      </c>
      <c r="Z20" s="433">
        <f t="shared" ref="Z20:Z83" si="7">W20-M20</f>
        <v>0</v>
      </c>
      <c r="AC20" s="410">
        <f t="shared" ref="AC20:AC83" si="8">+P20*Q20</f>
        <v>0</v>
      </c>
    </row>
    <row r="21" spans="1:29" s="410" customFormat="1" ht="17.25" hidden="1" customHeight="1">
      <c r="B21" s="417" t="str">
        <f>IF(A21&lt;&gt;0,COUNTA(A$19:$A21),"")</f>
        <v/>
      </c>
      <c r="C21" s="428" t="s">
        <v>761</v>
      </c>
      <c r="D21" s="428"/>
      <c r="E21" s="428"/>
      <c r="F21" s="428"/>
      <c r="G21" s="419">
        <v>35.1</v>
      </c>
      <c r="H21" s="419"/>
      <c r="I21" s="419"/>
      <c r="J21" s="419"/>
      <c r="K21" s="420">
        <v>1</v>
      </c>
      <c r="L21" s="420">
        <f t="shared" si="0"/>
        <v>48658</v>
      </c>
      <c r="M21" s="420">
        <f t="shared" si="1"/>
        <v>477568</v>
      </c>
      <c r="N21" s="445">
        <f t="shared" si="2"/>
        <v>570254.06454545446</v>
      </c>
      <c r="O21" s="719"/>
      <c r="P21" s="719">
        <f t="shared" ref="P21:P84" si="9">+N21+M21*$G$13</f>
        <v>1186316.7845454544</v>
      </c>
      <c r="Q21" s="423">
        <f>SUMIF('8.Dgia'!E:E,'9.may'!E21,'8.Dgia'!P:P)</f>
        <v>0</v>
      </c>
      <c r="R21" s="429">
        <f t="shared" si="3"/>
        <v>0</v>
      </c>
      <c r="S21" s="301">
        <f t="shared" si="4"/>
        <v>14110.820000000002</v>
      </c>
      <c r="T21" s="430">
        <f t="shared" si="5"/>
        <v>1061932.8845454543</v>
      </c>
      <c r="U21" s="431">
        <v>251277</v>
      </c>
      <c r="V21" s="431">
        <v>48658</v>
      </c>
      <c r="W21" s="432">
        <v>477568</v>
      </c>
      <c r="Y21" s="433">
        <f t="shared" si="6"/>
        <v>-584364.88454545429</v>
      </c>
      <c r="Z21" s="433">
        <f t="shared" si="7"/>
        <v>0</v>
      </c>
      <c r="AC21" s="410">
        <f t="shared" si="8"/>
        <v>0</v>
      </c>
    </row>
    <row r="22" spans="1:29" s="410" customFormat="1" ht="17.25" customHeight="1">
      <c r="A22" s="410">
        <v>1</v>
      </c>
      <c r="B22" s="417">
        <f>IF(A22&lt;&gt;0,COUNTA(A$19:$A22),"")</f>
        <v>1</v>
      </c>
      <c r="C22" s="428" t="s">
        <v>762</v>
      </c>
      <c r="D22" s="428" t="s">
        <v>763</v>
      </c>
      <c r="E22" s="435" t="s">
        <v>764</v>
      </c>
      <c r="F22" s="428" t="s">
        <v>4657</v>
      </c>
      <c r="G22" s="419">
        <v>42.66</v>
      </c>
      <c r="H22" s="419"/>
      <c r="I22" s="419"/>
      <c r="J22" s="419"/>
      <c r="K22" s="420">
        <v>1</v>
      </c>
      <c r="L22" s="420">
        <f>+V22</f>
        <v>48658</v>
      </c>
      <c r="M22" s="420">
        <f t="shared" si="1"/>
        <v>550969</v>
      </c>
      <c r="N22" s="445">
        <f>SUMPRODUCT(G22:J22,$G$12:$J$12,$G$9:$J$9)</f>
        <v>693078.0169090908</v>
      </c>
      <c r="O22" s="719"/>
      <c r="P22" s="719">
        <f>+N22+M22*$G$13</f>
        <v>1403828.0269090908</v>
      </c>
      <c r="Q22" s="423">
        <f>SUMIF('8.Dgia'!E:E,'9.may'!E22,'8.Dgia'!P:P)</f>
        <v>0</v>
      </c>
      <c r="R22" s="429">
        <f t="shared" si="3"/>
        <v>0</v>
      </c>
      <c r="S22" s="301">
        <f t="shared" si="4"/>
        <v>14110.820000000002</v>
      </c>
      <c r="T22" s="430">
        <f t="shared" si="5"/>
        <v>1258157.8369090906</v>
      </c>
      <c r="U22" s="2053">
        <v>305399</v>
      </c>
      <c r="V22" s="2053">
        <v>48658</v>
      </c>
      <c r="W22" s="2054">
        <v>550969</v>
      </c>
      <c r="Y22" s="433">
        <f t="shared" si="6"/>
        <v>-707188.83690909063</v>
      </c>
      <c r="Z22" s="433">
        <f t="shared" si="7"/>
        <v>0</v>
      </c>
      <c r="AC22" s="410">
        <f t="shared" si="8"/>
        <v>0</v>
      </c>
    </row>
    <row r="23" spans="1:29" s="410" customFormat="1" ht="17.25" customHeight="1">
      <c r="A23" s="410">
        <v>1</v>
      </c>
      <c r="B23" s="417">
        <f>IF(A23&lt;&gt;0,COUNTA(A$19:$A23),"")</f>
        <v>2</v>
      </c>
      <c r="C23" s="428" t="s">
        <v>765</v>
      </c>
      <c r="D23" s="428" t="s">
        <v>766</v>
      </c>
      <c r="E23" s="435" t="s">
        <v>767</v>
      </c>
      <c r="F23" s="428" t="s">
        <v>4658</v>
      </c>
      <c r="G23" s="419">
        <v>51.3</v>
      </c>
      <c r="H23" s="419"/>
      <c r="I23" s="419"/>
      <c r="J23" s="419"/>
      <c r="K23" s="420">
        <v>1</v>
      </c>
      <c r="L23" s="420">
        <f t="shared" si="0"/>
        <v>48658</v>
      </c>
      <c r="M23" s="420">
        <f t="shared" si="1"/>
        <v>788852</v>
      </c>
      <c r="N23" s="445">
        <f t="shared" si="2"/>
        <v>833448.24818181805</v>
      </c>
      <c r="O23" s="719"/>
      <c r="P23" s="719">
        <f t="shared" si="9"/>
        <v>1851067.3281818181</v>
      </c>
      <c r="Q23" s="423">
        <f>SUMIF('8.Dgia'!E:E,'9.may'!E23,'8.Dgia'!P:P)</f>
        <v>0</v>
      </c>
      <c r="R23" s="429">
        <f t="shared" si="3"/>
        <v>0</v>
      </c>
      <c r="S23" s="301">
        <f t="shared" si="4"/>
        <v>14110.820000000002</v>
      </c>
      <c r="T23" s="430">
        <f t="shared" si="5"/>
        <v>1636411.0681818179</v>
      </c>
      <c r="U23" s="2053">
        <v>367252</v>
      </c>
      <c r="V23" s="2053">
        <v>48658</v>
      </c>
      <c r="W23" s="2054">
        <v>788852</v>
      </c>
      <c r="Y23" s="433">
        <f t="shared" si="6"/>
        <v>-847559.06818181789</v>
      </c>
      <c r="Z23" s="433">
        <f t="shared" si="7"/>
        <v>0</v>
      </c>
      <c r="AC23" s="410">
        <f t="shared" si="8"/>
        <v>0</v>
      </c>
    </row>
    <row r="24" spans="1:29" s="410" customFormat="1" ht="17.25" customHeight="1">
      <c r="A24" s="410">
        <v>1</v>
      </c>
      <c r="B24" s="417">
        <f>IF(A24&lt;&gt;0,COUNTA(A$19:$A24),"")</f>
        <v>3</v>
      </c>
      <c r="C24" s="428" t="s">
        <v>768</v>
      </c>
      <c r="D24" s="428" t="s">
        <v>769</v>
      </c>
      <c r="E24" s="435" t="s">
        <v>770</v>
      </c>
      <c r="F24" s="428" t="s">
        <v>4659</v>
      </c>
      <c r="G24" s="419">
        <v>59.4</v>
      </c>
      <c r="H24" s="419"/>
      <c r="I24" s="419"/>
      <c r="J24" s="419"/>
      <c r="K24" s="420">
        <v>1</v>
      </c>
      <c r="L24" s="420">
        <f t="shared" si="0"/>
        <v>98673</v>
      </c>
      <c r="M24" s="420">
        <f t="shared" si="1"/>
        <v>988189</v>
      </c>
      <c r="N24" s="445">
        <f t="shared" si="2"/>
        <v>965045.33999999985</v>
      </c>
      <c r="O24" s="719"/>
      <c r="P24" s="719">
        <f t="shared" si="9"/>
        <v>2239809.15</v>
      </c>
      <c r="Q24" s="423">
        <f>SUMIF('8.Dgia'!E:E,'9.may'!E24,'8.Dgia'!P:P)</f>
        <v>0</v>
      </c>
      <c r="R24" s="429">
        <f t="shared" si="3"/>
        <v>0</v>
      </c>
      <c r="S24" s="301">
        <f t="shared" si="4"/>
        <v>28615.170000000002</v>
      </c>
      <c r="T24" s="430">
        <f t="shared" si="5"/>
        <v>1981849.5099999998</v>
      </c>
      <c r="U24" s="2053">
        <v>425239</v>
      </c>
      <c r="V24" s="2053">
        <v>98673</v>
      </c>
      <c r="W24" s="2054">
        <v>988189</v>
      </c>
      <c r="Y24" s="433">
        <f t="shared" si="6"/>
        <v>-993660.50999999978</v>
      </c>
      <c r="Z24" s="433">
        <f t="shared" si="7"/>
        <v>0</v>
      </c>
      <c r="AC24" s="410">
        <f t="shared" si="8"/>
        <v>0</v>
      </c>
    </row>
    <row r="25" spans="1:29" s="410" customFormat="1" ht="17.25" customHeight="1">
      <c r="A25" s="410">
        <v>1</v>
      </c>
      <c r="B25" s="417">
        <f>IF(A25&lt;&gt;0,COUNTA(A$19:$A25),"")</f>
        <v>4</v>
      </c>
      <c r="C25" s="428" t="s">
        <v>771</v>
      </c>
      <c r="D25" s="428" t="s">
        <v>772</v>
      </c>
      <c r="E25" s="435" t="s">
        <v>773</v>
      </c>
      <c r="F25" s="434" t="s">
        <v>4660</v>
      </c>
      <c r="G25" s="419">
        <v>64.8</v>
      </c>
      <c r="H25" s="419"/>
      <c r="I25" s="419"/>
      <c r="J25" s="419"/>
      <c r="K25" s="420">
        <v>1</v>
      </c>
      <c r="L25" s="420">
        <f t="shared" si="0"/>
        <v>98673</v>
      </c>
      <c r="M25" s="420">
        <f t="shared" si="1"/>
        <v>1172540</v>
      </c>
      <c r="N25" s="445">
        <f t="shared" si="2"/>
        <v>1052776.7345454544</v>
      </c>
      <c r="O25" s="719"/>
      <c r="P25" s="719">
        <f t="shared" si="9"/>
        <v>2565353.3345454545</v>
      </c>
      <c r="Q25" s="423" t="e">
        <f>SUMIF('8.Dgia'!E:E,'9.may'!E25,'8.Dgia'!P:P)</f>
        <v>#REF!</v>
      </c>
      <c r="R25" s="429" t="e">
        <f t="shared" si="3"/>
        <v>#REF!</v>
      </c>
      <c r="S25" s="301">
        <f t="shared" si="4"/>
        <v>28615.170000000002</v>
      </c>
      <c r="T25" s="430">
        <f t="shared" si="5"/>
        <v>2253931.9045454543</v>
      </c>
      <c r="U25" s="2053">
        <v>463897</v>
      </c>
      <c r="V25" s="2053">
        <v>98673</v>
      </c>
      <c r="W25" s="2054">
        <v>1172540</v>
      </c>
      <c r="Y25" s="433">
        <f t="shared" si="6"/>
        <v>-1081391.9045454543</v>
      </c>
      <c r="Z25" s="433">
        <f t="shared" si="7"/>
        <v>0</v>
      </c>
      <c r="AC25" s="410" t="e">
        <f t="shared" si="8"/>
        <v>#REF!</v>
      </c>
    </row>
    <row r="26" spans="1:29" s="410" customFormat="1" ht="17.25" hidden="1" customHeight="1">
      <c r="B26" s="417" t="str">
        <f>IF(A26&lt;&gt;0,COUNTA(A$19:$A26),"")</f>
        <v/>
      </c>
      <c r="C26" s="428" t="s">
        <v>774</v>
      </c>
      <c r="D26" s="428"/>
      <c r="E26" s="428"/>
      <c r="F26" s="428"/>
      <c r="G26" s="419">
        <v>74.52</v>
      </c>
      <c r="H26" s="419"/>
      <c r="I26" s="419"/>
      <c r="J26" s="419"/>
      <c r="K26" s="420">
        <v>1</v>
      </c>
      <c r="L26" s="420">
        <f t="shared" si="0"/>
        <v>114786</v>
      </c>
      <c r="M26" s="420">
        <f t="shared" si="1"/>
        <v>1416535</v>
      </c>
      <c r="N26" s="445">
        <f t="shared" si="2"/>
        <v>1210693.2447272725</v>
      </c>
      <c r="O26" s="719"/>
      <c r="P26" s="719">
        <f t="shared" si="9"/>
        <v>3038023.3947272729</v>
      </c>
      <c r="Q26" s="423">
        <f>SUMIF('8.Dgia'!E:E,'9.may'!E26,'8.Dgia'!P:P)</f>
        <v>0</v>
      </c>
      <c r="R26" s="429">
        <f t="shared" si="3"/>
        <v>0</v>
      </c>
      <c r="S26" s="301">
        <f t="shared" si="4"/>
        <v>33287.94</v>
      </c>
      <c r="T26" s="430">
        <f t="shared" si="5"/>
        <v>2660516.1847272725</v>
      </c>
      <c r="U26" s="431">
        <v>533481</v>
      </c>
      <c r="V26" s="431">
        <v>114786</v>
      </c>
      <c r="W26" s="432">
        <v>1416535</v>
      </c>
      <c r="Y26" s="433">
        <f t="shared" si="6"/>
        <v>-1243981.1847272725</v>
      </c>
      <c r="Z26" s="433">
        <f t="shared" si="7"/>
        <v>0</v>
      </c>
      <c r="AC26" s="410">
        <f t="shared" si="8"/>
        <v>0</v>
      </c>
    </row>
    <row r="27" spans="1:29" s="410" customFormat="1" ht="17.25" hidden="1" customHeight="1">
      <c r="B27" s="417" t="str">
        <f>IF(A27&lt;&gt;0,COUNTA(A$19:$A27),"")</f>
        <v/>
      </c>
      <c r="C27" s="428" t="s">
        <v>775</v>
      </c>
      <c r="D27" s="428"/>
      <c r="E27" s="428"/>
      <c r="F27" s="428"/>
      <c r="G27" s="419">
        <v>78.3</v>
      </c>
      <c r="H27" s="419"/>
      <c r="I27" s="419"/>
      <c r="J27" s="419"/>
      <c r="K27" s="420">
        <v>1</v>
      </c>
      <c r="L27" s="420">
        <f t="shared" si="0"/>
        <v>114786</v>
      </c>
      <c r="M27" s="420">
        <f t="shared" si="1"/>
        <v>1694841</v>
      </c>
      <c r="N27" s="445">
        <f t="shared" si="2"/>
        <v>1272105.2209090907</v>
      </c>
      <c r="O27" s="719"/>
      <c r="P27" s="719">
        <f t="shared" si="9"/>
        <v>3458450.1109090908</v>
      </c>
      <c r="Q27" s="423">
        <f>SUMIF('8.Dgia'!E:E,'9.may'!E27,'8.Dgia'!P:P)</f>
        <v>0</v>
      </c>
      <c r="R27" s="429">
        <f t="shared" si="3"/>
        <v>0</v>
      </c>
      <c r="S27" s="301">
        <f t="shared" si="4"/>
        <v>33287.94</v>
      </c>
      <c r="T27" s="430">
        <f t="shared" si="5"/>
        <v>3000234.1609090907</v>
      </c>
      <c r="U27" s="431">
        <v>560542</v>
      </c>
      <c r="V27" s="431">
        <v>114786</v>
      </c>
      <c r="W27" s="432">
        <v>1694841</v>
      </c>
      <c r="Y27" s="433">
        <f t="shared" si="6"/>
        <v>-1305393.1609090907</v>
      </c>
      <c r="Z27" s="433">
        <f t="shared" si="7"/>
        <v>0</v>
      </c>
      <c r="AC27" s="410">
        <f t="shared" si="8"/>
        <v>0</v>
      </c>
    </row>
    <row r="28" spans="1:29" s="410" customFormat="1" ht="17.25" customHeight="1">
      <c r="A28" s="410">
        <v>1</v>
      </c>
      <c r="B28" s="417">
        <f>IF(A28&lt;&gt;0,COUNTA(A$19:$A28),"")</f>
        <v>5</v>
      </c>
      <c r="C28" s="428" t="s">
        <v>776</v>
      </c>
      <c r="D28" s="428" t="s">
        <v>777</v>
      </c>
      <c r="E28" s="435" t="s">
        <v>294</v>
      </c>
      <c r="F28" s="435" t="s">
        <v>4661</v>
      </c>
      <c r="G28" s="419">
        <v>82.62</v>
      </c>
      <c r="H28" s="419"/>
      <c r="I28" s="419"/>
      <c r="J28" s="419"/>
      <c r="K28" s="420">
        <v>1</v>
      </c>
      <c r="L28" s="420">
        <f t="shared" si="0"/>
        <v>114786</v>
      </c>
      <c r="M28" s="420">
        <f t="shared" si="1"/>
        <v>1734502</v>
      </c>
      <c r="N28" s="445">
        <f t="shared" si="2"/>
        <v>1342290.3365454546</v>
      </c>
      <c r="O28" s="719"/>
      <c r="P28" s="719">
        <f t="shared" si="9"/>
        <v>3579797.9165454544</v>
      </c>
      <c r="Q28" s="423" t="e">
        <f>SUMIF('8.Dgia'!E:E,'9.may'!E28,'8.Dgia'!P:P)</f>
        <v>#REF!</v>
      </c>
      <c r="R28" s="429" t="e">
        <f t="shared" si="3"/>
        <v>#REF!</v>
      </c>
      <c r="S28" s="301">
        <f t="shared" si="4"/>
        <v>33287.94</v>
      </c>
      <c r="T28" s="430">
        <f t="shared" si="5"/>
        <v>3110080.2765454547</v>
      </c>
      <c r="U28" s="2053">
        <v>591468</v>
      </c>
      <c r="V28" s="2053">
        <v>114786</v>
      </c>
      <c r="W28" s="2054">
        <v>1734502</v>
      </c>
      <c r="Y28" s="433">
        <f t="shared" si="6"/>
        <v>-1375578.2765454547</v>
      </c>
      <c r="Z28" s="433">
        <f t="shared" si="7"/>
        <v>0</v>
      </c>
      <c r="AC28" s="410" t="e">
        <f t="shared" si="8"/>
        <v>#REF!</v>
      </c>
    </row>
    <row r="29" spans="1:29" s="427" customFormat="1" ht="17.25" customHeight="1">
      <c r="A29" s="410">
        <v>1</v>
      </c>
      <c r="B29" s="417">
        <f>IF(A29&lt;&gt;0,COUNTA(A$19:$A29),"")</f>
        <v>6</v>
      </c>
      <c r="C29" s="428" t="s">
        <v>778</v>
      </c>
      <c r="D29" s="428" t="s">
        <v>779</v>
      </c>
      <c r="E29" s="435" t="s">
        <v>780</v>
      </c>
      <c r="F29" s="435" t="s">
        <v>4662</v>
      </c>
      <c r="G29" s="419">
        <v>113.22</v>
      </c>
      <c r="H29" s="419"/>
      <c r="I29" s="419"/>
      <c r="J29" s="419"/>
      <c r="K29" s="420">
        <v>1</v>
      </c>
      <c r="L29" s="420">
        <f t="shared" si="0"/>
        <v>114786</v>
      </c>
      <c r="M29" s="420">
        <f t="shared" si="1"/>
        <v>1929626</v>
      </c>
      <c r="N29" s="445">
        <f t="shared" si="2"/>
        <v>1839434.9056363632</v>
      </c>
      <c r="O29" s="719"/>
      <c r="P29" s="719">
        <f t="shared" si="9"/>
        <v>4328652.4456363637</v>
      </c>
      <c r="Q29" s="423" t="e">
        <f>SUMIF('8.Dgia'!E:E,'9.may'!E29,'8.Dgia'!P:P)</f>
        <v>#REF!</v>
      </c>
      <c r="R29" s="429" t="e">
        <f t="shared" si="3"/>
        <v>#REF!</v>
      </c>
      <c r="S29" s="301">
        <f t="shared" si="4"/>
        <v>33287.94</v>
      </c>
      <c r="T29" s="430">
        <f t="shared" si="5"/>
        <v>3802348.8456363631</v>
      </c>
      <c r="U29" s="2053">
        <v>810531</v>
      </c>
      <c r="V29" s="2053">
        <v>114786</v>
      </c>
      <c r="W29" s="2054">
        <v>1929626</v>
      </c>
      <c r="Y29" s="433">
        <f t="shared" si="6"/>
        <v>-1872722.8456363631</v>
      </c>
      <c r="Z29" s="433">
        <f t="shared" si="7"/>
        <v>0</v>
      </c>
      <c r="AC29" s="410" t="e">
        <f t="shared" si="8"/>
        <v>#REF!</v>
      </c>
    </row>
    <row r="30" spans="1:29" s="427" customFormat="1" ht="17.25" hidden="1" customHeight="1">
      <c r="B30" s="417" t="str">
        <f>IF(A30&lt;&gt;0,COUNTA(A$19:$A30),"")</f>
        <v/>
      </c>
      <c r="C30" s="428" t="s">
        <v>781</v>
      </c>
      <c r="D30" s="428"/>
      <c r="E30" s="428"/>
      <c r="F30" s="428"/>
      <c r="G30" s="419">
        <v>127.5</v>
      </c>
      <c r="H30" s="419"/>
      <c r="I30" s="419"/>
      <c r="J30" s="419"/>
      <c r="K30" s="420">
        <v>1</v>
      </c>
      <c r="L30" s="420">
        <f t="shared" si="0"/>
        <v>125981</v>
      </c>
      <c r="M30" s="420">
        <f t="shared" si="1"/>
        <v>2309418</v>
      </c>
      <c r="N30" s="445">
        <f t="shared" si="2"/>
        <v>2071435.7045454541</v>
      </c>
      <c r="O30" s="719"/>
      <c r="P30" s="719">
        <f t="shared" si="9"/>
        <v>5050584.9245454539</v>
      </c>
      <c r="Q30" s="423">
        <f>SUMIF('8.Dgia'!E:E,'9.may'!E30,'8.Dgia'!P:P)</f>
        <v>0</v>
      </c>
      <c r="R30" s="429">
        <f t="shared" si="3"/>
        <v>0</v>
      </c>
      <c r="S30" s="301">
        <f t="shared" si="4"/>
        <v>36534.490000000005</v>
      </c>
      <c r="T30" s="430">
        <f t="shared" si="5"/>
        <v>4417388.1945454543</v>
      </c>
      <c r="U30" s="431">
        <v>912760</v>
      </c>
      <c r="V30" s="431">
        <v>125981</v>
      </c>
      <c r="W30" s="432">
        <v>2309418</v>
      </c>
      <c r="Y30" s="433">
        <f t="shared" si="6"/>
        <v>-2107970.1945454543</v>
      </c>
      <c r="Z30" s="433">
        <f t="shared" si="7"/>
        <v>0</v>
      </c>
      <c r="AC30" s="410">
        <f t="shared" si="8"/>
        <v>0</v>
      </c>
    </row>
    <row r="31" spans="1:29" s="427" customFormat="1" ht="17.25" customHeight="1">
      <c r="A31" s="410">
        <v>1</v>
      </c>
      <c r="B31" s="417">
        <f>IF(A31&lt;&gt;0,COUNTA(A$19:$A31),"")</f>
        <v>7</v>
      </c>
      <c r="C31" s="428" t="s">
        <v>782</v>
      </c>
      <c r="D31" s="428" t="s">
        <v>783</v>
      </c>
      <c r="E31" s="435" t="s">
        <v>784</v>
      </c>
      <c r="F31" s="435" t="s">
        <v>4663</v>
      </c>
      <c r="G31" s="419">
        <v>137.69999999999999</v>
      </c>
      <c r="H31" s="419"/>
      <c r="I31" s="419"/>
      <c r="J31" s="419"/>
      <c r="K31" s="420">
        <v>1</v>
      </c>
      <c r="L31" s="420">
        <f t="shared" si="0"/>
        <v>125981</v>
      </c>
      <c r="M31" s="420">
        <f t="shared" si="1"/>
        <v>2629427</v>
      </c>
      <c r="N31" s="445">
        <f t="shared" si="2"/>
        <v>2237150.5609090901</v>
      </c>
      <c r="O31" s="719"/>
      <c r="P31" s="719">
        <f t="shared" si="9"/>
        <v>5629111.3909090906</v>
      </c>
      <c r="Q31" s="423" t="e">
        <f>SUMIF('8.Dgia'!E:E,'9.may'!E31,'8.Dgia'!P:P)</f>
        <v>#REF!</v>
      </c>
      <c r="R31" s="429" t="e">
        <f t="shared" si="3"/>
        <v>#REF!</v>
      </c>
      <c r="S31" s="301">
        <f t="shared" si="4"/>
        <v>36534.490000000005</v>
      </c>
      <c r="T31" s="430">
        <f t="shared" si="5"/>
        <v>4903112.0509090908</v>
      </c>
      <c r="U31" s="2053">
        <v>985781</v>
      </c>
      <c r="V31" s="2053">
        <v>125981</v>
      </c>
      <c r="W31" s="2054">
        <v>2629427</v>
      </c>
      <c r="Y31" s="433">
        <f t="shared" si="6"/>
        <v>-2273685.0509090908</v>
      </c>
      <c r="Z31" s="433">
        <f t="shared" si="7"/>
        <v>0</v>
      </c>
      <c r="AC31" s="410" t="e">
        <f t="shared" si="8"/>
        <v>#REF!</v>
      </c>
    </row>
    <row r="32" spans="1:29" s="427" customFormat="1" ht="17.25" hidden="1" customHeight="1">
      <c r="B32" s="417" t="str">
        <f>IF(A32&lt;&gt;0,COUNTA(A$19:$A32),"")</f>
        <v/>
      </c>
      <c r="C32" s="428" t="s">
        <v>785</v>
      </c>
      <c r="D32" s="428"/>
      <c r="E32" s="435"/>
      <c r="F32" s="435"/>
      <c r="G32" s="419">
        <v>163.71</v>
      </c>
      <c r="H32" s="419"/>
      <c r="I32" s="419"/>
      <c r="J32" s="419"/>
      <c r="K32" s="420">
        <v>1</v>
      </c>
      <c r="L32" s="420">
        <f t="shared" si="0"/>
        <v>125981</v>
      </c>
      <c r="M32" s="420">
        <f t="shared" si="1"/>
        <v>2842767</v>
      </c>
      <c r="N32" s="445">
        <f t="shared" si="2"/>
        <v>2659723.4446363631</v>
      </c>
      <c r="O32" s="719"/>
      <c r="P32" s="719">
        <f t="shared" si="9"/>
        <v>6326892.8746363632</v>
      </c>
      <c r="Q32" s="423">
        <f>SUMIF('8.Dgia'!E:E,'9.may'!E32,'8.Dgia'!P:P)</f>
        <v>0</v>
      </c>
      <c r="R32" s="429">
        <f t="shared" si="3"/>
        <v>0</v>
      </c>
      <c r="S32" s="301">
        <f t="shared" si="4"/>
        <v>36534.490000000005</v>
      </c>
      <c r="T32" s="430">
        <f t="shared" si="5"/>
        <v>5539024.9346363638</v>
      </c>
      <c r="U32" s="431">
        <v>1171984</v>
      </c>
      <c r="V32" s="431">
        <v>125981</v>
      </c>
      <c r="W32" s="432">
        <v>2842767</v>
      </c>
      <c r="Y32" s="433">
        <f t="shared" si="6"/>
        <v>-2696257.9346363638</v>
      </c>
      <c r="Z32" s="433">
        <f t="shared" si="7"/>
        <v>0</v>
      </c>
      <c r="AC32" s="410">
        <f t="shared" si="8"/>
        <v>0</v>
      </c>
    </row>
    <row r="33" spans="1:29" s="427" customFormat="1" ht="17.25" hidden="1" customHeight="1">
      <c r="B33" s="417" t="str">
        <f>IF(A33&lt;&gt;0,COUNTA(A$19:$A33),"")</f>
        <v/>
      </c>
      <c r="C33" s="428" t="s">
        <v>786</v>
      </c>
      <c r="D33" s="428"/>
      <c r="E33" s="435"/>
      <c r="F33" s="435"/>
      <c r="G33" s="419">
        <v>196.35</v>
      </c>
      <c r="H33" s="419"/>
      <c r="I33" s="419"/>
      <c r="J33" s="419"/>
      <c r="K33" s="420">
        <v>1</v>
      </c>
      <c r="L33" s="420">
        <f t="shared" si="0"/>
        <v>125981</v>
      </c>
      <c r="M33" s="420">
        <f t="shared" si="1"/>
        <v>3814342</v>
      </c>
      <c r="N33" s="445">
        <f t="shared" si="2"/>
        <v>3190010.9849999994</v>
      </c>
      <c r="O33" s="719"/>
      <c r="P33" s="719">
        <f t="shared" si="9"/>
        <v>8110512.1649999991</v>
      </c>
      <c r="Q33" s="423">
        <f>SUMIF('8.Dgia'!E:E,'9.may'!E33,'8.Dgia'!P:P)</f>
        <v>0</v>
      </c>
      <c r="R33" s="429">
        <f t="shared" si="3"/>
        <v>0</v>
      </c>
      <c r="S33" s="301">
        <f t="shared" si="4"/>
        <v>36534.490000000005</v>
      </c>
      <c r="T33" s="430">
        <f t="shared" si="5"/>
        <v>7040887.4749999996</v>
      </c>
      <c r="U33" s="431">
        <v>1405650</v>
      </c>
      <c r="V33" s="431">
        <v>125981</v>
      </c>
      <c r="W33" s="432">
        <v>3814342</v>
      </c>
      <c r="Y33" s="433">
        <f t="shared" si="6"/>
        <v>-3226545.4749999996</v>
      </c>
      <c r="Z33" s="433">
        <f t="shared" si="7"/>
        <v>0</v>
      </c>
      <c r="AC33" s="410">
        <f t="shared" si="8"/>
        <v>0</v>
      </c>
    </row>
    <row r="34" spans="1:29" s="427" customFormat="1" ht="17.25" customHeight="1">
      <c r="A34" s="410">
        <v>1</v>
      </c>
      <c r="B34" s="417">
        <f>IF(A34&lt;&gt;0,COUNTA(A$19:$A34),"")</f>
        <v>8</v>
      </c>
      <c r="C34" s="428" t="s">
        <v>787</v>
      </c>
      <c r="D34" s="428" t="s">
        <v>788</v>
      </c>
      <c r="E34" s="435" t="s">
        <v>789</v>
      </c>
      <c r="F34" s="435" t="s">
        <v>4664</v>
      </c>
      <c r="G34" s="419">
        <v>198.9</v>
      </c>
      <c r="H34" s="419"/>
      <c r="I34" s="419"/>
      <c r="J34" s="419"/>
      <c r="K34" s="420">
        <v>1</v>
      </c>
      <c r="L34" s="420">
        <f t="shared" si="0"/>
        <v>125981</v>
      </c>
      <c r="M34" s="420">
        <f t="shared" si="1"/>
        <v>3961412</v>
      </c>
      <c r="N34" s="445">
        <f t="shared" si="2"/>
        <v>3231439.6990909087</v>
      </c>
      <c r="O34" s="719"/>
      <c r="P34" s="719">
        <f t="shared" si="9"/>
        <v>8341661.1790909097</v>
      </c>
      <c r="Q34" s="423">
        <f>SUMIF('8.Dgia'!E:E,'9.may'!E34,'8.Dgia'!P:P)</f>
        <v>0</v>
      </c>
      <c r="R34" s="429">
        <f t="shared" si="3"/>
        <v>0</v>
      </c>
      <c r="S34" s="301">
        <f t="shared" si="4"/>
        <v>36534.490000000005</v>
      </c>
      <c r="T34" s="430">
        <f t="shared" si="5"/>
        <v>7229386.1890909094</v>
      </c>
      <c r="U34" s="2053">
        <v>1423905</v>
      </c>
      <c r="V34" s="2053">
        <v>125981</v>
      </c>
      <c r="W34" s="2054">
        <v>3961412</v>
      </c>
      <c r="Y34" s="433">
        <f t="shared" si="6"/>
        <v>-3267974.1890909094</v>
      </c>
      <c r="Z34" s="433">
        <f t="shared" si="7"/>
        <v>0</v>
      </c>
      <c r="AC34" s="410">
        <f t="shared" si="8"/>
        <v>0</v>
      </c>
    </row>
    <row r="35" spans="1:29" s="427" customFormat="1" ht="17.25" hidden="1" customHeight="1">
      <c r="B35" s="417" t="str">
        <f>IF(A35&lt;&gt;0,COUNTA(A$19:$A35),"")</f>
        <v/>
      </c>
      <c r="C35" s="428" t="s">
        <v>790</v>
      </c>
      <c r="D35" s="428"/>
      <c r="E35" s="435"/>
      <c r="F35" s="435"/>
      <c r="G35" s="419">
        <v>218.28</v>
      </c>
      <c r="H35" s="419"/>
      <c r="I35" s="419"/>
      <c r="J35" s="419"/>
      <c r="K35" s="420">
        <v>1</v>
      </c>
      <c r="L35" s="420">
        <f t="shared" si="0"/>
        <v>125981</v>
      </c>
      <c r="M35" s="420">
        <f t="shared" si="1"/>
        <v>4588826</v>
      </c>
      <c r="N35" s="445">
        <f t="shared" si="2"/>
        <v>3546297.9261818179</v>
      </c>
      <c r="O35" s="719"/>
      <c r="P35" s="719">
        <f t="shared" si="9"/>
        <v>9465883.4661818184</v>
      </c>
      <c r="Q35" s="423">
        <f>SUMIF('8.Dgia'!E:E,'9.may'!E35,'8.Dgia'!P:P)</f>
        <v>0</v>
      </c>
      <c r="R35" s="429">
        <f t="shared" si="3"/>
        <v>0</v>
      </c>
      <c r="S35" s="301">
        <f t="shared" si="4"/>
        <v>36534.490000000005</v>
      </c>
      <c r="T35" s="430">
        <f t="shared" si="5"/>
        <v>8171658.4161818177</v>
      </c>
      <c r="U35" s="431">
        <v>1562645</v>
      </c>
      <c r="V35" s="431">
        <v>125981</v>
      </c>
      <c r="W35" s="432">
        <v>4588826</v>
      </c>
      <c r="Y35" s="433">
        <f t="shared" si="6"/>
        <v>-3582832.4161818177</v>
      </c>
      <c r="Z35" s="433">
        <f t="shared" si="7"/>
        <v>0</v>
      </c>
      <c r="AC35" s="410">
        <f t="shared" si="8"/>
        <v>0</v>
      </c>
    </row>
    <row r="36" spans="1:29" s="427" customFormat="1" ht="17.25" hidden="1" customHeight="1">
      <c r="B36" s="417" t="str">
        <f>IF(A36&lt;&gt;0,COUNTA(A$19:$A36),"")</f>
        <v/>
      </c>
      <c r="C36" s="428" t="s">
        <v>791</v>
      </c>
      <c r="D36" s="428"/>
      <c r="E36" s="435"/>
      <c r="F36" s="435"/>
      <c r="G36" s="419">
        <v>332.01</v>
      </c>
      <c r="H36" s="419"/>
      <c r="I36" s="419"/>
      <c r="J36" s="419"/>
      <c r="K36" s="420">
        <v>1</v>
      </c>
      <c r="L36" s="420">
        <f t="shared" si="0"/>
        <v>125981</v>
      </c>
      <c r="M36" s="420">
        <f t="shared" si="1"/>
        <v>6337827</v>
      </c>
      <c r="N36" s="445">
        <f t="shared" si="2"/>
        <v>5394018.5746363625</v>
      </c>
      <c r="O36" s="719"/>
      <c r="P36" s="719">
        <f t="shared" si="9"/>
        <v>13569815.404636363</v>
      </c>
      <c r="Q36" s="423">
        <f>SUMIF('8.Dgia'!E:E,'9.may'!E36,'8.Dgia'!P:P)</f>
        <v>0</v>
      </c>
      <c r="R36" s="429">
        <f t="shared" si="3"/>
        <v>0</v>
      </c>
      <c r="S36" s="301">
        <f t="shared" si="4"/>
        <v>36534.490000000005</v>
      </c>
      <c r="T36" s="430">
        <f t="shared" si="5"/>
        <v>11768380.064636363</v>
      </c>
      <c r="U36" s="431">
        <v>2376826</v>
      </c>
      <c r="V36" s="431">
        <v>125981</v>
      </c>
      <c r="W36" s="432">
        <v>6337827</v>
      </c>
      <c r="Y36" s="433">
        <f t="shared" si="6"/>
        <v>-5430553.0646363627</v>
      </c>
      <c r="Z36" s="433">
        <f t="shared" si="7"/>
        <v>0</v>
      </c>
      <c r="AC36" s="410">
        <f t="shared" si="8"/>
        <v>0</v>
      </c>
    </row>
    <row r="37" spans="1:29" s="427" customFormat="1" ht="17.25" hidden="1" customHeight="1">
      <c r="B37" s="417" t="str">
        <f>IF(A37&lt;&gt;0,COUNTA(A$19:$A37),"")</f>
        <v/>
      </c>
      <c r="C37" s="428" t="s">
        <v>792</v>
      </c>
      <c r="D37" s="428"/>
      <c r="E37" s="435"/>
      <c r="F37" s="435"/>
      <c r="G37" s="419">
        <v>397.8</v>
      </c>
      <c r="H37" s="419"/>
      <c r="I37" s="419"/>
      <c r="J37" s="419"/>
      <c r="K37" s="420">
        <v>1</v>
      </c>
      <c r="L37" s="420">
        <f t="shared" si="0"/>
        <v>125981</v>
      </c>
      <c r="M37" s="420">
        <f t="shared" si="1"/>
        <v>8770459</v>
      </c>
      <c r="N37" s="445">
        <f t="shared" si="2"/>
        <v>6462879.3981818175</v>
      </c>
      <c r="O37" s="719"/>
      <c r="P37" s="719">
        <f t="shared" si="9"/>
        <v>17776771.508181818</v>
      </c>
      <c r="Q37" s="423">
        <f>SUMIF('8.Dgia'!E:E,'9.may'!E37,'8.Dgia'!P:P)</f>
        <v>0</v>
      </c>
      <c r="R37" s="429">
        <f t="shared" si="3"/>
        <v>0</v>
      </c>
      <c r="S37" s="301">
        <f t="shared" si="4"/>
        <v>36534.490000000005</v>
      </c>
      <c r="T37" s="430">
        <f t="shared" si="5"/>
        <v>15269872.888181817</v>
      </c>
      <c r="U37" s="431">
        <v>2847810</v>
      </c>
      <c r="V37" s="431">
        <v>125981</v>
      </c>
      <c r="W37" s="432">
        <v>8770459</v>
      </c>
      <c r="Y37" s="433">
        <f t="shared" si="6"/>
        <v>-6499413.8881818168</v>
      </c>
      <c r="Z37" s="433">
        <f t="shared" si="7"/>
        <v>0</v>
      </c>
      <c r="AC37" s="410">
        <f t="shared" si="8"/>
        <v>0</v>
      </c>
    </row>
    <row r="38" spans="1:29" s="427" customFormat="1" ht="17.25" hidden="1" customHeight="1">
      <c r="B38" s="417" t="str">
        <f>IF(A38&lt;&gt;0,COUNTA(A$19:$A38),"")</f>
        <v/>
      </c>
      <c r="C38" s="428" t="s">
        <v>793</v>
      </c>
      <c r="D38" s="428"/>
      <c r="E38" s="435"/>
      <c r="F38" s="435"/>
      <c r="G38" s="419">
        <v>408</v>
      </c>
      <c r="H38" s="419"/>
      <c r="I38" s="419"/>
      <c r="J38" s="419"/>
      <c r="K38" s="420">
        <v>1</v>
      </c>
      <c r="L38" s="420">
        <f t="shared" si="0"/>
        <v>125981</v>
      </c>
      <c r="M38" s="420">
        <f t="shared" si="1"/>
        <v>9552950</v>
      </c>
      <c r="N38" s="445">
        <f t="shared" si="2"/>
        <v>6628594.2545454539</v>
      </c>
      <c r="O38" s="719"/>
      <c r="P38" s="719">
        <f t="shared" si="9"/>
        <v>18951899.754545454</v>
      </c>
      <c r="Q38" s="423">
        <f>SUMIF('8.Dgia'!E:E,'9.may'!E38,'8.Dgia'!P:P)</f>
        <v>0</v>
      </c>
      <c r="R38" s="429">
        <f t="shared" si="3"/>
        <v>0</v>
      </c>
      <c r="S38" s="301">
        <f t="shared" si="4"/>
        <v>36534.490000000005</v>
      </c>
      <c r="T38" s="430">
        <f t="shared" si="5"/>
        <v>16218078.744545454</v>
      </c>
      <c r="U38" s="431">
        <v>2920831</v>
      </c>
      <c r="V38" s="431">
        <v>125981</v>
      </c>
      <c r="W38" s="432">
        <v>9552950</v>
      </c>
      <c r="Y38" s="433">
        <f t="shared" si="6"/>
        <v>-6665128.7445454542</v>
      </c>
      <c r="Z38" s="433">
        <f t="shared" si="7"/>
        <v>0</v>
      </c>
      <c r="AC38" s="410">
        <f t="shared" si="8"/>
        <v>0</v>
      </c>
    </row>
    <row r="39" spans="1:29" s="427" customFormat="1" ht="17.25" hidden="1" customHeight="1">
      <c r="B39" s="417" t="str">
        <f>IF(A39&lt;&gt;0,COUNTA(A$19:$A39),"")</f>
        <v/>
      </c>
      <c r="C39" s="418" t="s">
        <v>794</v>
      </c>
      <c r="D39" s="418"/>
      <c r="E39" s="435"/>
      <c r="F39" s="435"/>
      <c r="G39" s="419"/>
      <c r="H39" s="419"/>
      <c r="I39" s="419"/>
      <c r="J39" s="419"/>
      <c r="K39" s="420"/>
      <c r="L39" s="420">
        <f t="shared" si="0"/>
        <v>0</v>
      </c>
      <c r="M39" s="420">
        <f t="shared" si="1"/>
        <v>0</v>
      </c>
      <c r="N39" s="445"/>
      <c r="O39" s="719"/>
      <c r="P39" s="719">
        <f t="shared" si="9"/>
        <v>0</v>
      </c>
      <c r="Q39" s="423">
        <f>SUMIF('8.Dgia'!E:E,'9.may'!E39,'8.Dgia'!P:P)</f>
        <v>0</v>
      </c>
      <c r="R39" s="429">
        <f t="shared" si="3"/>
        <v>0</v>
      </c>
      <c r="S39" s="301">
        <f t="shared" si="4"/>
        <v>0</v>
      </c>
      <c r="T39" s="430">
        <f t="shared" si="5"/>
        <v>0</v>
      </c>
      <c r="U39" s="436"/>
      <c r="V39" s="436"/>
      <c r="W39" s="432"/>
      <c r="Y39" s="433">
        <f t="shared" si="6"/>
        <v>0</v>
      </c>
      <c r="Z39" s="433">
        <f t="shared" si="7"/>
        <v>0</v>
      </c>
      <c r="AC39" s="410">
        <f t="shared" si="8"/>
        <v>0</v>
      </c>
    </row>
    <row r="40" spans="1:29" s="427" customFormat="1" ht="17.25" hidden="1" customHeight="1">
      <c r="B40" s="417" t="str">
        <f>IF(A40&lt;&gt;0,COUNTA(A$19:$A40),"")</f>
        <v/>
      </c>
      <c r="C40" s="428" t="s">
        <v>785</v>
      </c>
      <c r="D40" s="428"/>
      <c r="E40" s="435"/>
      <c r="F40" s="435"/>
      <c r="G40" s="419"/>
      <c r="H40" s="419">
        <v>672</v>
      </c>
      <c r="I40" s="419"/>
      <c r="J40" s="419"/>
      <c r="K40" s="420">
        <v>1</v>
      </c>
      <c r="L40" s="420">
        <f t="shared" si="0"/>
        <v>125981</v>
      </c>
      <c r="M40" s="420">
        <f t="shared" si="1"/>
        <v>2180218</v>
      </c>
      <c r="N40" s="445">
        <f>SUMPRODUCT(G40:J40,$G$12:$J$12,$G$9:$J$9)</f>
        <v>427828.80000000005</v>
      </c>
      <c r="O40" s="719"/>
      <c r="P40" s="719">
        <f t="shared" si="9"/>
        <v>3240310.0200000005</v>
      </c>
      <c r="Q40" s="423">
        <f>SUMIF('8.Dgia'!E:E,'9.may'!E40,'8.Dgia'!P:P)</f>
        <v>0</v>
      </c>
      <c r="R40" s="429">
        <f t="shared" si="3"/>
        <v>0</v>
      </c>
      <c r="S40" s="301">
        <f t="shared" si="4"/>
        <v>36534.490000000005</v>
      </c>
      <c r="T40" s="430">
        <f t="shared" si="5"/>
        <v>2644581.29</v>
      </c>
      <c r="U40" s="431">
        <v>643541</v>
      </c>
      <c r="V40" s="431">
        <v>125981</v>
      </c>
      <c r="W40" s="432">
        <v>2180218</v>
      </c>
      <c r="Y40" s="433">
        <f t="shared" si="6"/>
        <v>-464363.29000000004</v>
      </c>
      <c r="Z40" s="433">
        <f t="shared" si="7"/>
        <v>0</v>
      </c>
      <c r="AC40" s="410">
        <f t="shared" si="8"/>
        <v>0</v>
      </c>
    </row>
    <row r="41" spans="1:29" s="427" customFormat="1" ht="17.25" hidden="1" customHeight="1">
      <c r="B41" s="417" t="str">
        <f>IF(A41&lt;&gt;0,COUNTA(A$19:$A41),"")</f>
        <v/>
      </c>
      <c r="C41" s="428" t="s">
        <v>795</v>
      </c>
      <c r="D41" s="428"/>
      <c r="E41" s="435"/>
      <c r="F41" s="435"/>
      <c r="G41" s="419"/>
      <c r="H41" s="419">
        <v>924</v>
      </c>
      <c r="I41" s="419"/>
      <c r="J41" s="419"/>
      <c r="K41" s="420">
        <v>1</v>
      </c>
      <c r="L41" s="420">
        <f t="shared" si="0"/>
        <v>125981</v>
      </c>
      <c r="M41" s="420">
        <f t="shared" si="1"/>
        <v>2941696</v>
      </c>
      <c r="N41" s="445">
        <f>SUMPRODUCT(G41:J41,$G$12:$J$12,$G$9:$J$9)</f>
        <v>588264.6</v>
      </c>
      <c r="O41" s="719"/>
      <c r="P41" s="719">
        <f t="shared" si="9"/>
        <v>4383052.4400000004</v>
      </c>
      <c r="Q41" s="423">
        <f>SUMIF('8.Dgia'!E:E,'9.may'!E41,'8.Dgia'!P:P)</f>
        <v>0</v>
      </c>
      <c r="R41" s="429">
        <f t="shared" si="3"/>
        <v>0</v>
      </c>
      <c r="S41" s="301">
        <f t="shared" si="4"/>
        <v>36534.490000000005</v>
      </c>
      <c r="T41" s="430">
        <f t="shared" si="5"/>
        <v>3566495.09</v>
      </c>
      <c r="U41" s="431">
        <v>884869</v>
      </c>
      <c r="V41" s="431">
        <v>125981</v>
      </c>
      <c r="W41" s="432">
        <v>2941696</v>
      </c>
      <c r="Y41" s="433">
        <f t="shared" si="6"/>
        <v>-624799.08999999985</v>
      </c>
      <c r="Z41" s="433">
        <f t="shared" si="7"/>
        <v>0</v>
      </c>
      <c r="AC41" s="410">
        <f t="shared" si="8"/>
        <v>0</v>
      </c>
    </row>
    <row r="42" spans="1:29" s="427" customFormat="1" ht="17.25" hidden="1" customHeight="1">
      <c r="B42" s="417" t="str">
        <f>IF(A42&lt;&gt;0,COUNTA(A$19:$A42),"")</f>
        <v/>
      </c>
      <c r="C42" s="428" t="s">
        <v>796</v>
      </c>
      <c r="D42" s="428"/>
      <c r="E42" s="435"/>
      <c r="F42" s="435"/>
      <c r="G42" s="419"/>
      <c r="H42" s="419">
        <v>1050</v>
      </c>
      <c r="I42" s="419"/>
      <c r="J42" s="419"/>
      <c r="K42" s="420">
        <v>1</v>
      </c>
      <c r="L42" s="420">
        <f t="shared" si="0"/>
        <v>125981</v>
      </c>
      <c r="M42" s="420">
        <f t="shared" si="1"/>
        <v>3827050</v>
      </c>
      <c r="N42" s="445">
        <f>SUMPRODUCT(G42:J42,$G$12:$J$12,$G$9:$J$9)</f>
        <v>668482.5</v>
      </c>
      <c r="O42" s="719"/>
      <c r="P42" s="719">
        <f t="shared" si="9"/>
        <v>5605377</v>
      </c>
      <c r="Q42" s="423">
        <f>SUMIF('8.Dgia'!E:E,'9.may'!E42,'8.Dgia'!P:P)</f>
        <v>0</v>
      </c>
      <c r="R42" s="429">
        <f t="shared" si="3"/>
        <v>0</v>
      </c>
      <c r="S42" s="301">
        <f t="shared" si="4"/>
        <v>36534.490000000005</v>
      </c>
      <c r="T42" s="430">
        <f t="shared" si="5"/>
        <v>4532066.99</v>
      </c>
      <c r="U42" s="431">
        <v>1005533</v>
      </c>
      <c r="V42" s="431">
        <v>125981</v>
      </c>
      <c r="W42" s="432">
        <v>3827050</v>
      </c>
      <c r="Y42" s="433">
        <f t="shared" si="6"/>
        <v>-705016.99000000022</v>
      </c>
      <c r="Z42" s="433">
        <f t="shared" si="7"/>
        <v>0</v>
      </c>
      <c r="AC42" s="410">
        <f t="shared" si="8"/>
        <v>0</v>
      </c>
    </row>
    <row r="43" spans="1:29" s="427" customFormat="1" ht="17.25" hidden="1" customHeight="1">
      <c r="B43" s="417" t="str">
        <f>IF(A43&lt;&gt;0,COUNTA(A$19:$A43),"")</f>
        <v/>
      </c>
      <c r="C43" s="428" t="s">
        <v>797</v>
      </c>
      <c r="D43" s="428"/>
      <c r="E43" s="435"/>
      <c r="F43" s="435"/>
      <c r="G43" s="419"/>
      <c r="H43" s="419">
        <v>1134</v>
      </c>
      <c r="I43" s="419"/>
      <c r="J43" s="419"/>
      <c r="K43" s="420">
        <v>1</v>
      </c>
      <c r="L43" s="420">
        <f t="shared" si="0"/>
        <v>125981</v>
      </c>
      <c r="M43" s="420">
        <f t="shared" si="1"/>
        <v>3954666</v>
      </c>
      <c r="N43" s="445">
        <f>SUMPRODUCT(G43:J43,$G$12:$J$12,$G$9:$J$9)</f>
        <v>721961.10000000009</v>
      </c>
      <c r="O43" s="719"/>
      <c r="P43" s="719">
        <f t="shared" si="9"/>
        <v>5823480.2400000002</v>
      </c>
      <c r="Q43" s="423">
        <f>SUMIF('8.Dgia'!E:E,'9.may'!E43,'8.Dgia'!P:P)</f>
        <v>0</v>
      </c>
      <c r="R43" s="429">
        <f t="shared" si="3"/>
        <v>0</v>
      </c>
      <c r="S43" s="301">
        <f t="shared" si="4"/>
        <v>36534.490000000005</v>
      </c>
      <c r="T43" s="430">
        <f t="shared" si="5"/>
        <v>4713161.59</v>
      </c>
      <c r="U43" s="431">
        <v>1085975</v>
      </c>
      <c r="V43" s="431">
        <v>125981</v>
      </c>
      <c r="W43" s="432">
        <v>3954666</v>
      </c>
      <c r="Y43" s="433">
        <f t="shared" si="6"/>
        <v>-758495.58999999985</v>
      </c>
      <c r="Z43" s="433">
        <f t="shared" si="7"/>
        <v>0</v>
      </c>
      <c r="AC43" s="410">
        <f t="shared" si="8"/>
        <v>0</v>
      </c>
    </row>
    <row r="44" spans="1:29" s="427" customFormat="1" ht="17.25" hidden="1" customHeight="1">
      <c r="B44" s="417" t="str">
        <f>IF(A44&lt;&gt;0,COUNTA(A$19:$A44),"")</f>
        <v/>
      </c>
      <c r="C44" s="428" t="s">
        <v>798</v>
      </c>
      <c r="D44" s="428"/>
      <c r="E44" s="435"/>
      <c r="F44" s="435"/>
      <c r="G44" s="419"/>
      <c r="H44" s="419">
        <v>2079</v>
      </c>
      <c r="I44" s="419"/>
      <c r="J44" s="419"/>
      <c r="K44" s="420">
        <v>1</v>
      </c>
      <c r="L44" s="420">
        <f t="shared" si="0"/>
        <v>125981</v>
      </c>
      <c r="M44" s="420">
        <f t="shared" si="1"/>
        <v>6899557</v>
      </c>
      <c r="N44" s="445">
        <f>SUMPRODUCT(G44:J44,$G$12:$J$12,$G$9:$J$9)</f>
        <v>1323595.3500000001</v>
      </c>
      <c r="O44" s="719"/>
      <c r="P44" s="719">
        <f t="shared" si="9"/>
        <v>10224023.879999999</v>
      </c>
      <c r="Q44" s="423">
        <f>SUMIF('8.Dgia'!E:E,'9.may'!E44,'8.Dgia'!P:P)</f>
        <v>0</v>
      </c>
      <c r="R44" s="429">
        <f t="shared" si="3"/>
        <v>0</v>
      </c>
      <c r="S44" s="301">
        <f t="shared" si="4"/>
        <v>36534.490000000005</v>
      </c>
      <c r="T44" s="430">
        <f t="shared" si="5"/>
        <v>8259686.8399999999</v>
      </c>
      <c r="U44" s="431">
        <v>1990954</v>
      </c>
      <c r="V44" s="431">
        <v>125981</v>
      </c>
      <c r="W44" s="432">
        <v>6899557</v>
      </c>
      <c r="Y44" s="433">
        <f t="shared" si="6"/>
        <v>-1360129.8399999999</v>
      </c>
      <c r="Z44" s="433">
        <f t="shared" si="7"/>
        <v>0</v>
      </c>
      <c r="AC44" s="410">
        <f t="shared" si="8"/>
        <v>0</v>
      </c>
    </row>
    <row r="45" spans="1:29" s="427" customFormat="1" ht="17.25" hidden="1" customHeight="1">
      <c r="B45" s="417" t="str">
        <f>IF(A45&lt;&gt;0,COUNTA(A$19:$A45),"")</f>
        <v/>
      </c>
      <c r="C45" s="418" t="s">
        <v>799</v>
      </c>
      <c r="D45" s="418"/>
      <c r="E45" s="435"/>
      <c r="F45" s="435"/>
      <c r="G45" s="419"/>
      <c r="H45" s="419"/>
      <c r="I45" s="419"/>
      <c r="J45" s="419"/>
      <c r="K45" s="437"/>
      <c r="L45" s="420">
        <f t="shared" si="0"/>
        <v>0</v>
      </c>
      <c r="M45" s="420">
        <f t="shared" si="1"/>
        <v>0</v>
      </c>
      <c r="N45" s="445"/>
      <c r="O45" s="719"/>
      <c r="P45" s="719">
        <f t="shared" si="9"/>
        <v>0</v>
      </c>
      <c r="Q45" s="423">
        <f>SUMIF('8.Dgia'!E:E,'9.may'!E45,'8.Dgia'!P:P)</f>
        <v>0</v>
      </c>
      <c r="R45" s="429">
        <f t="shared" si="3"/>
        <v>0</v>
      </c>
      <c r="S45" s="301">
        <f t="shared" si="4"/>
        <v>0</v>
      </c>
      <c r="T45" s="430">
        <f t="shared" si="5"/>
        <v>0</v>
      </c>
      <c r="U45" s="436"/>
      <c r="V45" s="436"/>
      <c r="W45" s="432"/>
      <c r="Y45" s="433">
        <f t="shared" si="6"/>
        <v>0</v>
      </c>
      <c r="Z45" s="433">
        <f t="shared" si="7"/>
        <v>0</v>
      </c>
      <c r="AC45" s="410">
        <f t="shared" si="8"/>
        <v>0</v>
      </c>
    </row>
    <row r="46" spans="1:29" s="427" customFormat="1" ht="17.25" hidden="1" customHeight="1">
      <c r="B46" s="417" t="str">
        <f>IF(A46&lt;&gt;0,COUNTA(A$19:$A46),"")</f>
        <v/>
      </c>
      <c r="C46" s="428" t="s">
        <v>800</v>
      </c>
      <c r="D46" s="428"/>
      <c r="E46" s="435"/>
      <c r="F46" s="435"/>
      <c r="G46" s="419">
        <v>29.7</v>
      </c>
      <c r="H46" s="419"/>
      <c r="I46" s="419"/>
      <c r="J46" s="419"/>
      <c r="K46" s="420">
        <v>1</v>
      </c>
      <c r="L46" s="420">
        <f t="shared" si="0"/>
        <v>48658</v>
      </c>
      <c r="M46" s="420">
        <f t="shared" si="1"/>
        <v>357815</v>
      </c>
      <c r="N46" s="445">
        <f>SUMPRODUCT(G46:J46,$G$12:$J$12,$G$9:$J$9)</f>
        <v>482522.66999999993</v>
      </c>
      <c r="O46" s="719"/>
      <c r="P46" s="719">
        <f t="shared" si="9"/>
        <v>944104.02</v>
      </c>
      <c r="Q46" s="423">
        <f>SUMIF('8.Dgia'!E:E,'9.may'!E46,'8.Dgia'!P:P)</f>
        <v>0</v>
      </c>
      <c r="R46" s="429">
        <f t="shared" si="3"/>
        <v>0</v>
      </c>
      <c r="S46" s="301">
        <f t="shared" si="4"/>
        <v>14110.820000000002</v>
      </c>
      <c r="T46" s="430">
        <f t="shared" si="5"/>
        <v>854448.49</v>
      </c>
      <c r="U46" s="431">
        <v>212619</v>
      </c>
      <c r="V46" s="431">
        <v>48658</v>
      </c>
      <c r="W46" s="432">
        <v>357815</v>
      </c>
      <c r="Y46" s="433">
        <f t="shared" si="6"/>
        <v>-496633.49</v>
      </c>
      <c r="Z46" s="433">
        <f t="shared" si="7"/>
        <v>0</v>
      </c>
      <c r="AC46" s="410">
        <f t="shared" si="8"/>
        <v>0</v>
      </c>
    </row>
    <row r="47" spans="1:29" s="427" customFormat="1" ht="17.25" hidden="1" customHeight="1">
      <c r="B47" s="417" t="str">
        <f>IF(A47&lt;&gt;0,COUNTA(A$19:$A47),"")</f>
        <v/>
      </c>
      <c r="C47" s="428" t="s">
        <v>761</v>
      </c>
      <c r="D47" s="428"/>
      <c r="E47" s="435"/>
      <c r="F47" s="435"/>
      <c r="G47" s="419">
        <v>33.479999999999997</v>
      </c>
      <c r="H47" s="419"/>
      <c r="I47" s="419"/>
      <c r="J47" s="419"/>
      <c r="K47" s="420">
        <v>1</v>
      </c>
      <c r="L47" s="420">
        <f t="shared" si="0"/>
        <v>48658</v>
      </c>
      <c r="M47" s="420">
        <f t="shared" si="1"/>
        <v>472816</v>
      </c>
      <c r="N47" s="445">
        <f>SUMPRODUCT(G47:J47,$G$12:$J$12,$G$9:$J$9)</f>
        <v>543934.6461818181</v>
      </c>
      <c r="O47" s="719"/>
      <c r="P47" s="719">
        <f t="shared" si="9"/>
        <v>1153867.2861818182</v>
      </c>
      <c r="Q47" s="423">
        <f>SUMIF('8.Dgia'!E:E,'9.may'!E47,'8.Dgia'!P:P)</f>
        <v>0</v>
      </c>
      <c r="R47" s="429">
        <f t="shared" si="3"/>
        <v>0</v>
      </c>
      <c r="S47" s="301">
        <f t="shared" si="4"/>
        <v>14110.820000000002</v>
      </c>
      <c r="T47" s="430">
        <f t="shared" si="5"/>
        <v>1030861.466181818</v>
      </c>
      <c r="U47" s="431">
        <v>239680</v>
      </c>
      <c r="V47" s="431">
        <v>48658</v>
      </c>
      <c r="W47" s="432">
        <v>472816</v>
      </c>
      <c r="Y47" s="433">
        <f t="shared" si="6"/>
        <v>-558045.46618181805</v>
      </c>
      <c r="Z47" s="433">
        <f t="shared" si="7"/>
        <v>0</v>
      </c>
      <c r="AC47" s="410">
        <f t="shared" si="8"/>
        <v>0</v>
      </c>
    </row>
    <row r="48" spans="1:29" s="427" customFormat="1" ht="17.25" hidden="1" customHeight="1">
      <c r="B48" s="417" t="str">
        <f>IF(A48&lt;&gt;0,COUNTA(A$19:$A48),"")</f>
        <v/>
      </c>
      <c r="C48" s="428" t="s">
        <v>801</v>
      </c>
      <c r="D48" s="428"/>
      <c r="E48" s="435"/>
      <c r="F48" s="435"/>
      <c r="G48" s="419">
        <v>56.7</v>
      </c>
      <c r="H48" s="419"/>
      <c r="I48" s="419"/>
      <c r="J48" s="419"/>
      <c r="K48" s="420">
        <v>1</v>
      </c>
      <c r="L48" s="420">
        <f t="shared" si="0"/>
        <v>98673</v>
      </c>
      <c r="M48" s="420">
        <f t="shared" si="1"/>
        <v>956154</v>
      </c>
      <c r="N48" s="445">
        <f>SUMPRODUCT(G48:J48,$G$12:$J$12,$G$9:$J$9)</f>
        <v>921179.64272727259</v>
      </c>
      <c r="O48" s="719"/>
      <c r="P48" s="719">
        <f t="shared" si="9"/>
        <v>2154618.3027272727</v>
      </c>
      <c r="Q48" s="423">
        <f>SUMIF('8.Dgia'!E:E,'9.may'!E48,'8.Dgia'!P:P)</f>
        <v>0</v>
      </c>
      <c r="R48" s="429">
        <f t="shared" si="3"/>
        <v>0</v>
      </c>
      <c r="S48" s="301">
        <f t="shared" si="4"/>
        <v>28615.170000000002</v>
      </c>
      <c r="T48" s="430">
        <f t="shared" si="5"/>
        <v>1905948.8127272725</v>
      </c>
      <c r="U48" s="431">
        <v>405910</v>
      </c>
      <c r="V48" s="431">
        <v>98673</v>
      </c>
      <c r="W48" s="432">
        <v>956154</v>
      </c>
      <c r="Y48" s="433">
        <f t="shared" si="6"/>
        <v>-949794.81272727251</v>
      </c>
      <c r="Z48" s="433">
        <f t="shared" si="7"/>
        <v>0</v>
      </c>
      <c r="AC48" s="410">
        <f t="shared" si="8"/>
        <v>0</v>
      </c>
    </row>
    <row r="49" spans="1:29" s="427" customFormat="1" ht="17.25" hidden="1" customHeight="1">
      <c r="B49" s="417" t="str">
        <f>IF(A49&lt;&gt;0,COUNTA(A$19:$A49),"")</f>
        <v/>
      </c>
      <c r="C49" s="428" t="s">
        <v>776</v>
      </c>
      <c r="D49" s="428"/>
      <c r="E49" s="435"/>
      <c r="F49" s="435"/>
      <c r="G49" s="419">
        <v>73.44</v>
      </c>
      <c r="H49" s="419"/>
      <c r="I49" s="419"/>
      <c r="J49" s="419"/>
      <c r="K49" s="420">
        <v>1</v>
      </c>
      <c r="L49" s="420">
        <f t="shared" si="0"/>
        <v>114786</v>
      </c>
      <c r="M49" s="420">
        <f t="shared" si="1"/>
        <v>1709098</v>
      </c>
      <c r="N49" s="445">
        <f>SUMPRODUCT(G49:J49,$G$12:$J$12,$G$9:$J$9)</f>
        <v>1193146.9658181816</v>
      </c>
      <c r="O49" s="719"/>
      <c r="P49" s="719">
        <f t="shared" si="9"/>
        <v>3397883.3858181816</v>
      </c>
      <c r="Q49" s="423">
        <f>SUMIF('8.Dgia'!E:E,'9.may'!E49,'8.Dgia'!P:P)</f>
        <v>0</v>
      </c>
      <c r="R49" s="429">
        <f t="shared" si="3"/>
        <v>0</v>
      </c>
      <c r="S49" s="301">
        <f t="shared" si="4"/>
        <v>33287.94</v>
      </c>
      <c r="T49" s="430">
        <f t="shared" si="5"/>
        <v>2935532.9058181816</v>
      </c>
      <c r="U49" s="431">
        <v>525750</v>
      </c>
      <c r="V49" s="431">
        <v>114786</v>
      </c>
      <c r="W49" s="432">
        <v>1709098</v>
      </c>
      <c r="Y49" s="433">
        <f t="shared" si="6"/>
        <v>-1226434.9058181816</v>
      </c>
      <c r="Z49" s="433">
        <f t="shared" si="7"/>
        <v>0</v>
      </c>
      <c r="AC49" s="410">
        <f t="shared" si="8"/>
        <v>0</v>
      </c>
    </row>
    <row r="50" spans="1:29" s="427" customFormat="1" ht="17.25" hidden="1" customHeight="1">
      <c r="B50" s="417" t="str">
        <f>IF(A50&lt;&gt;0,COUNTA(A$19:$A50),"")</f>
        <v/>
      </c>
      <c r="C50" s="418" t="s">
        <v>802</v>
      </c>
      <c r="D50" s="418"/>
      <c r="E50" s="435"/>
      <c r="F50" s="435" t="s">
        <v>4665</v>
      </c>
      <c r="G50" s="419"/>
      <c r="H50" s="419"/>
      <c r="I50" s="419"/>
      <c r="J50" s="419"/>
      <c r="K50" s="437"/>
      <c r="L50" s="420">
        <f t="shared" si="0"/>
        <v>0</v>
      </c>
      <c r="M50" s="420">
        <f t="shared" si="1"/>
        <v>0</v>
      </c>
      <c r="N50" s="445"/>
      <c r="O50" s="719"/>
      <c r="P50" s="719">
        <f t="shared" si="9"/>
        <v>0</v>
      </c>
      <c r="Q50" s="423">
        <f>SUMIF('8.Dgia'!E:E,'9.may'!E50,'8.Dgia'!P:P)</f>
        <v>0</v>
      </c>
      <c r="R50" s="429">
        <f t="shared" si="3"/>
        <v>0</v>
      </c>
      <c r="S50" s="301">
        <f t="shared" si="4"/>
        <v>0</v>
      </c>
      <c r="T50" s="430">
        <f t="shared" si="5"/>
        <v>0</v>
      </c>
      <c r="U50" s="436"/>
      <c r="V50" s="436"/>
      <c r="W50" s="432"/>
      <c r="Y50" s="433">
        <f t="shared" si="6"/>
        <v>0</v>
      </c>
      <c r="Z50" s="433">
        <f t="shared" si="7"/>
        <v>0</v>
      </c>
      <c r="AC50" s="410">
        <f t="shared" si="8"/>
        <v>0</v>
      </c>
    </row>
    <row r="51" spans="1:29" s="427" customFormat="1" ht="17.25" hidden="1" customHeight="1">
      <c r="B51" s="417" t="str">
        <f>IF(A51&lt;&gt;0,COUNTA(A$19:$A51),"")</f>
        <v/>
      </c>
      <c r="C51" s="428" t="s">
        <v>774</v>
      </c>
      <c r="D51" s="428"/>
      <c r="E51" s="435"/>
      <c r="F51" s="435" t="s">
        <v>4666</v>
      </c>
      <c r="G51" s="419">
        <v>38.76</v>
      </c>
      <c r="H51" s="419"/>
      <c r="I51" s="419"/>
      <c r="J51" s="419"/>
      <c r="K51" s="420">
        <v>1</v>
      </c>
      <c r="L51" s="420">
        <f t="shared" si="0"/>
        <v>48658</v>
      </c>
      <c r="M51" s="420">
        <f t="shared" si="1"/>
        <v>657941</v>
      </c>
      <c r="N51" s="445">
        <f t="shared" ref="N51:N56" si="10">SUMPRODUCT(G51:J51,$G$12:$J$12,$G$9:$J$9)</f>
        <v>629716.45418181806</v>
      </c>
      <c r="O51" s="719"/>
      <c r="P51" s="719">
        <f t="shared" si="9"/>
        <v>1478460.344181818</v>
      </c>
      <c r="Q51" s="423">
        <f>SUMIF('8.Dgia'!E:E,'9.may'!E51,'8.Dgia'!P:P)</f>
        <v>0</v>
      </c>
      <c r="R51" s="429">
        <f t="shared" si="3"/>
        <v>0</v>
      </c>
      <c r="S51" s="301">
        <f t="shared" si="4"/>
        <v>14110.820000000002</v>
      </c>
      <c r="T51" s="430">
        <f t="shared" si="5"/>
        <v>1301768.2741818181</v>
      </c>
      <c r="U51" s="431">
        <v>277479</v>
      </c>
      <c r="V51" s="431">
        <v>48658</v>
      </c>
      <c r="W51" s="432">
        <v>657941</v>
      </c>
      <c r="Y51" s="433">
        <f t="shared" si="6"/>
        <v>-643827.27418181812</v>
      </c>
      <c r="Z51" s="433">
        <f t="shared" si="7"/>
        <v>0</v>
      </c>
      <c r="AC51" s="410">
        <f t="shared" si="8"/>
        <v>0</v>
      </c>
    </row>
    <row r="52" spans="1:29" s="427" customFormat="1" ht="17.25" customHeight="1">
      <c r="A52" s="410">
        <v>1</v>
      </c>
      <c r="B52" s="417">
        <f>IF(A52&lt;&gt;0,COUNTA(A$19:$A52),"")</f>
        <v>9</v>
      </c>
      <c r="C52" s="428" t="s">
        <v>803</v>
      </c>
      <c r="D52" s="428" t="s">
        <v>804</v>
      </c>
      <c r="E52" s="435" t="s">
        <v>805</v>
      </c>
      <c r="F52" s="435" t="s">
        <v>4662</v>
      </c>
      <c r="G52" s="419">
        <v>75.239999999999995</v>
      </c>
      <c r="H52" s="419"/>
      <c r="I52" s="419"/>
      <c r="J52" s="419"/>
      <c r="K52" s="420">
        <v>1</v>
      </c>
      <c r="L52" s="420">
        <f t="shared" si="0"/>
        <v>98673</v>
      </c>
      <c r="M52" s="420">
        <f t="shared" si="1"/>
        <v>998561</v>
      </c>
      <c r="N52" s="445">
        <f t="shared" si="10"/>
        <v>1222390.7639999997</v>
      </c>
      <c r="O52" s="719"/>
      <c r="P52" s="719">
        <f t="shared" si="9"/>
        <v>2510534.4539999999</v>
      </c>
      <c r="Q52" s="423">
        <f>SUMIF('8.Dgia'!E:E,'9.may'!E52,'8.Dgia'!P:P)</f>
        <v>0</v>
      </c>
      <c r="R52" s="429">
        <f t="shared" si="3"/>
        <v>0</v>
      </c>
      <c r="S52" s="301">
        <f t="shared" si="4"/>
        <v>28615.170000000002</v>
      </c>
      <c r="T52" s="430">
        <f t="shared" si="5"/>
        <v>2249566.9339999994</v>
      </c>
      <c r="U52" s="2053">
        <v>538636</v>
      </c>
      <c r="V52" s="2053">
        <v>98673</v>
      </c>
      <c r="W52" s="2054">
        <v>998561</v>
      </c>
      <c r="Y52" s="433">
        <f t="shared" si="6"/>
        <v>-1251005.9339999994</v>
      </c>
      <c r="Z52" s="433">
        <f t="shared" si="7"/>
        <v>0</v>
      </c>
      <c r="AC52" s="410">
        <f t="shared" si="8"/>
        <v>0</v>
      </c>
    </row>
    <row r="53" spans="1:29" s="427" customFormat="1" ht="17.25" hidden="1" customHeight="1">
      <c r="B53" s="417" t="str">
        <f>IF(A53&lt;&gt;0,COUNTA(A$19:$A53),"")</f>
        <v/>
      </c>
      <c r="C53" s="428" t="s">
        <v>781</v>
      </c>
      <c r="D53" s="428"/>
      <c r="E53" s="435"/>
      <c r="F53" s="435"/>
      <c r="G53" s="419">
        <v>86.64</v>
      </c>
      <c r="H53" s="419"/>
      <c r="I53" s="419"/>
      <c r="J53" s="419"/>
      <c r="K53" s="420">
        <v>1</v>
      </c>
      <c r="L53" s="420">
        <f t="shared" si="0"/>
        <v>98673</v>
      </c>
      <c r="M53" s="420">
        <f t="shared" si="1"/>
        <v>1065250</v>
      </c>
      <c r="N53" s="445">
        <f t="shared" si="10"/>
        <v>1407601.4858181817</v>
      </c>
      <c r="O53" s="719"/>
      <c r="P53" s="719">
        <f t="shared" si="9"/>
        <v>2781773.9858181817</v>
      </c>
      <c r="Q53" s="423">
        <f>SUMIF('8.Dgia'!E:E,'9.may'!E53,'8.Dgia'!P:P)</f>
        <v>0</v>
      </c>
      <c r="R53" s="429">
        <f t="shared" si="3"/>
        <v>0</v>
      </c>
      <c r="S53" s="301">
        <f t="shared" si="4"/>
        <v>28615.170000000002</v>
      </c>
      <c r="T53" s="430">
        <f t="shared" si="5"/>
        <v>2501466.6558181816</v>
      </c>
      <c r="U53" s="431">
        <v>620247</v>
      </c>
      <c r="V53" s="431">
        <v>98673</v>
      </c>
      <c r="W53" s="432">
        <v>1065250</v>
      </c>
      <c r="Y53" s="433">
        <f t="shared" si="6"/>
        <v>-1436216.6558181816</v>
      </c>
      <c r="Z53" s="433">
        <f t="shared" si="7"/>
        <v>0</v>
      </c>
      <c r="AC53" s="410">
        <f t="shared" si="8"/>
        <v>0</v>
      </c>
    </row>
    <row r="54" spans="1:29" s="427" customFormat="1" ht="17.25" hidden="1" customHeight="1">
      <c r="B54" s="417" t="str">
        <f>IF(A54&lt;&gt;0,COUNTA(A$19:$A54),"")</f>
        <v/>
      </c>
      <c r="C54" s="428" t="s">
        <v>806</v>
      </c>
      <c r="D54" s="428"/>
      <c r="E54" s="435"/>
      <c r="F54" s="435"/>
      <c r="G54" s="419">
        <v>100.8</v>
      </c>
      <c r="H54" s="419"/>
      <c r="I54" s="419"/>
      <c r="J54" s="419"/>
      <c r="K54" s="420">
        <v>1</v>
      </c>
      <c r="L54" s="420">
        <f t="shared" si="0"/>
        <v>114786</v>
      </c>
      <c r="M54" s="420">
        <f t="shared" si="1"/>
        <v>1468362</v>
      </c>
      <c r="N54" s="445">
        <f t="shared" si="10"/>
        <v>1637652.698181818</v>
      </c>
      <c r="O54" s="719"/>
      <c r="P54" s="719">
        <f t="shared" si="9"/>
        <v>3531839.6781818178</v>
      </c>
      <c r="Q54" s="423">
        <f>SUMIF('8.Dgia'!E:E,'9.may'!E54,'8.Dgia'!P:P)</f>
        <v>0</v>
      </c>
      <c r="R54" s="429">
        <f t="shared" si="3"/>
        <v>0</v>
      </c>
      <c r="S54" s="301">
        <f t="shared" si="4"/>
        <v>33287.94</v>
      </c>
      <c r="T54" s="430">
        <f t="shared" si="5"/>
        <v>3139302.6381818177</v>
      </c>
      <c r="U54" s="431">
        <v>721617</v>
      </c>
      <c r="V54" s="431">
        <v>114786</v>
      </c>
      <c r="W54" s="432">
        <v>1468362</v>
      </c>
      <c r="Y54" s="433">
        <f t="shared" si="6"/>
        <v>-1670940.6381818177</v>
      </c>
      <c r="Z54" s="433">
        <f t="shared" si="7"/>
        <v>0</v>
      </c>
      <c r="AC54" s="410">
        <f t="shared" si="8"/>
        <v>0</v>
      </c>
    </row>
    <row r="55" spans="1:29" s="427" customFormat="1" ht="17.25" hidden="1" customHeight="1">
      <c r="B55" s="417" t="str">
        <f>IF(A55&lt;&gt;0,COUNTA(A$19:$A55),"")</f>
        <v/>
      </c>
      <c r="C55" s="428" t="s">
        <v>807</v>
      </c>
      <c r="D55" s="428"/>
      <c r="E55" s="435"/>
      <c r="F55" s="435"/>
      <c r="G55" s="419">
        <v>134.4</v>
      </c>
      <c r="H55" s="419"/>
      <c r="I55" s="419"/>
      <c r="J55" s="419"/>
      <c r="K55" s="420">
        <v>1</v>
      </c>
      <c r="L55" s="420">
        <f t="shared" si="0"/>
        <v>114786</v>
      </c>
      <c r="M55" s="420">
        <f t="shared" si="1"/>
        <v>1986245</v>
      </c>
      <c r="N55" s="445">
        <f t="shared" si="10"/>
        <v>2183536.9309090907</v>
      </c>
      <c r="O55" s="719"/>
      <c r="P55" s="719">
        <f t="shared" si="9"/>
        <v>4745792.9809090905</v>
      </c>
      <c r="Q55" s="423">
        <f>SUMIF('8.Dgia'!E:E,'9.may'!E55,'8.Dgia'!P:P)</f>
        <v>0</v>
      </c>
      <c r="R55" s="429">
        <f t="shared" si="3"/>
        <v>0</v>
      </c>
      <c r="S55" s="301">
        <f t="shared" si="4"/>
        <v>33287.94</v>
      </c>
      <c r="T55" s="430">
        <f t="shared" si="5"/>
        <v>4203069.8709090911</v>
      </c>
      <c r="U55" s="431">
        <v>962156</v>
      </c>
      <c r="V55" s="431">
        <v>114786</v>
      </c>
      <c r="W55" s="432">
        <v>1986245</v>
      </c>
      <c r="Y55" s="433">
        <f t="shared" si="6"/>
        <v>-2216824.8709090911</v>
      </c>
      <c r="Z55" s="433">
        <f t="shared" si="7"/>
        <v>0</v>
      </c>
      <c r="AC55" s="410">
        <f t="shared" si="8"/>
        <v>0</v>
      </c>
    </row>
    <row r="56" spans="1:29" s="427" customFormat="1" ht="17.25" hidden="1" customHeight="1">
      <c r="B56" s="417" t="str">
        <f>IF(A56&lt;&gt;0,COUNTA(A$19:$A56),"")</f>
        <v/>
      </c>
      <c r="C56" s="428" t="s">
        <v>808</v>
      </c>
      <c r="D56" s="428"/>
      <c r="E56" s="435"/>
      <c r="F56" s="435"/>
      <c r="G56" s="419">
        <v>159.6</v>
      </c>
      <c r="H56" s="419"/>
      <c r="I56" s="419"/>
      <c r="J56" s="419"/>
      <c r="K56" s="420">
        <v>1</v>
      </c>
      <c r="L56" s="420">
        <f t="shared" si="0"/>
        <v>114786</v>
      </c>
      <c r="M56" s="420">
        <f t="shared" si="1"/>
        <v>2462213</v>
      </c>
      <c r="N56" s="445">
        <f t="shared" si="10"/>
        <v>2592950.105454545</v>
      </c>
      <c r="O56" s="719"/>
      <c r="P56" s="719">
        <f t="shared" si="9"/>
        <v>5769204.875454545</v>
      </c>
      <c r="Q56" s="423">
        <f>SUMIF('8.Dgia'!E:E,'9.may'!E56,'8.Dgia'!P:P)</f>
        <v>0</v>
      </c>
      <c r="R56" s="429">
        <f t="shared" si="3"/>
        <v>0</v>
      </c>
      <c r="S56" s="301">
        <f t="shared" si="4"/>
        <v>33287.94</v>
      </c>
      <c r="T56" s="430">
        <f t="shared" si="5"/>
        <v>5088451.0454545449</v>
      </c>
      <c r="U56" s="431">
        <v>1142560</v>
      </c>
      <c r="V56" s="431">
        <v>114786</v>
      </c>
      <c r="W56" s="432">
        <v>2462213</v>
      </c>
      <c r="Y56" s="433">
        <f t="shared" si="6"/>
        <v>-2626238.0454545449</v>
      </c>
      <c r="Z56" s="433">
        <f t="shared" si="7"/>
        <v>0</v>
      </c>
      <c r="AC56" s="410">
        <f t="shared" si="8"/>
        <v>0</v>
      </c>
    </row>
    <row r="57" spans="1:29" s="427" customFormat="1" ht="17.25" hidden="1" customHeight="1">
      <c r="B57" s="417" t="str">
        <f>IF(A57&lt;&gt;0,COUNTA(A$19:$A57),"")</f>
        <v/>
      </c>
      <c r="C57" s="418" t="s">
        <v>809</v>
      </c>
      <c r="D57" s="418"/>
      <c r="E57" s="435"/>
      <c r="F57" s="435"/>
      <c r="G57" s="419"/>
      <c r="H57" s="419"/>
      <c r="I57" s="419"/>
      <c r="J57" s="419"/>
      <c r="K57" s="437"/>
      <c r="L57" s="420">
        <f t="shared" si="0"/>
        <v>0</v>
      </c>
      <c r="M57" s="420">
        <f t="shared" si="1"/>
        <v>0</v>
      </c>
      <c r="N57" s="445"/>
      <c r="O57" s="719"/>
      <c r="P57" s="719">
        <f t="shared" si="9"/>
        <v>0</v>
      </c>
      <c r="Q57" s="423">
        <f>SUMIF('8.Dgia'!E:E,'9.may'!E57,'8.Dgia'!P:P)</f>
        <v>0</v>
      </c>
      <c r="R57" s="429">
        <f t="shared" si="3"/>
        <v>0</v>
      </c>
      <c r="S57" s="301">
        <f t="shared" si="4"/>
        <v>0</v>
      </c>
      <c r="T57" s="430">
        <f t="shared" si="5"/>
        <v>0</v>
      </c>
      <c r="U57" s="436"/>
      <c r="V57" s="436"/>
      <c r="W57" s="432"/>
      <c r="Y57" s="433">
        <f t="shared" si="6"/>
        <v>0</v>
      </c>
      <c r="Z57" s="433">
        <f t="shared" si="7"/>
        <v>0</v>
      </c>
      <c r="AC57" s="410">
        <f t="shared" si="8"/>
        <v>0</v>
      </c>
    </row>
    <row r="58" spans="1:29" s="427" customFormat="1" ht="17.25" hidden="1" customHeight="1">
      <c r="B58" s="417" t="str">
        <f>IF(A58&lt;&gt;0,COUNTA(A$19:$A58),"")</f>
        <v/>
      </c>
      <c r="C58" s="428" t="s">
        <v>810</v>
      </c>
      <c r="D58" s="428"/>
      <c r="E58" s="435"/>
      <c r="F58" s="435"/>
      <c r="G58" s="419">
        <v>51.84</v>
      </c>
      <c r="H58" s="419"/>
      <c r="I58" s="419"/>
      <c r="J58" s="419"/>
      <c r="K58" s="420">
        <v>1</v>
      </c>
      <c r="L58" s="420">
        <f t="shared" si="0"/>
        <v>98673</v>
      </c>
      <c r="M58" s="420">
        <f t="shared" si="1"/>
        <v>1400462</v>
      </c>
      <c r="N58" s="445">
        <f>SUMPRODUCT(G58:J58,$G$12:$J$12,$G$9:$J$9)</f>
        <v>842221.38763636362</v>
      </c>
      <c r="O58" s="719"/>
      <c r="P58" s="719">
        <f t="shared" si="9"/>
        <v>2648817.3676363635</v>
      </c>
      <c r="Q58" s="423">
        <f>SUMIF('8.Dgia'!E:E,'9.may'!E58,'8.Dgia'!P:P)</f>
        <v>0</v>
      </c>
      <c r="R58" s="429">
        <f t="shared" si="3"/>
        <v>0</v>
      </c>
      <c r="S58" s="301">
        <f t="shared" si="4"/>
        <v>28615.170000000002</v>
      </c>
      <c r="T58" s="430">
        <f t="shared" si="5"/>
        <v>2271298.5576363634</v>
      </c>
      <c r="U58" s="431">
        <v>371117</v>
      </c>
      <c r="V58" s="431">
        <v>98673</v>
      </c>
      <c r="W58" s="432">
        <v>1400462</v>
      </c>
      <c r="Y58" s="433">
        <f t="shared" si="6"/>
        <v>-870836.55763636343</v>
      </c>
      <c r="Z58" s="433">
        <f t="shared" si="7"/>
        <v>0</v>
      </c>
      <c r="AC58" s="410">
        <f t="shared" si="8"/>
        <v>0</v>
      </c>
    </row>
    <row r="59" spans="1:29" s="427" customFormat="1" ht="17.25" hidden="1" customHeight="1">
      <c r="B59" s="417" t="str">
        <f>IF(A59&lt;&gt;0,COUNTA(A$19:$A59),"")</f>
        <v/>
      </c>
      <c r="C59" s="428" t="s">
        <v>803</v>
      </c>
      <c r="D59" s="428"/>
      <c r="E59" s="435"/>
      <c r="F59" s="435"/>
      <c r="G59" s="419">
        <v>65.25</v>
      </c>
      <c r="H59" s="419"/>
      <c r="I59" s="419"/>
      <c r="J59" s="419"/>
      <c r="K59" s="420">
        <v>1</v>
      </c>
      <c r="L59" s="420">
        <f t="shared" si="0"/>
        <v>98673</v>
      </c>
      <c r="M59" s="420">
        <f t="shared" si="1"/>
        <v>1613793</v>
      </c>
      <c r="N59" s="445">
        <f>SUMPRODUCT(G59:J59,$G$12:$J$12,$G$9:$J$9)</f>
        <v>1060087.6840909088</v>
      </c>
      <c r="O59" s="719"/>
      <c r="P59" s="719">
        <f t="shared" si="9"/>
        <v>3141880.6540909088</v>
      </c>
      <c r="Q59" s="423">
        <f>SUMIF('8.Dgia'!E:E,'9.may'!E59,'8.Dgia'!P:P)</f>
        <v>0</v>
      </c>
      <c r="R59" s="429">
        <f t="shared" si="3"/>
        <v>0</v>
      </c>
      <c r="S59" s="301">
        <f t="shared" si="4"/>
        <v>28615.170000000002</v>
      </c>
      <c r="T59" s="430">
        <f t="shared" si="5"/>
        <v>2702495.8540909085</v>
      </c>
      <c r="U59" s="431">
        <v>467118</v>
      </c>
      <c r="V59" s="431">
        <v>98673</v>
      </c>
      <c r="W59" s="432">
        <v>1613793</v>
      </c>
      <c r="Y59" s="433">
        <f t="shared" si="6"/>
        <v>-1088702.8540909085</v>
      </c>
      <c r="Z59" s="433">
        <f t="shared" si="7"/>
        <v>0</v>
      </c>
      <c r="AC59" s="410">
        <f t="shared" si="8"/>
        <v>0</v>
      </c>
    </row>
    <row r="60" spans="1:29" s="427" customFormat="1" ht="17.25" hidden="1" customHeight="1">
      <c r="B60" s="417" t="str">
        <f>IF(A60&lt;&gt;0,COUNTA(A$19:$A60),"")</f>
        <v/>
      </c>
      <c r="C60" s="428" t="s">
        <v>808</v>
      </c>
      <c r="D60" s="428"/>
      <c r="E60" s="435"/>
      <c r="F60" s="435"/>
      <c r="G60" s="419">
        <v>89.04</v>
      </c>
      <c r="H60" s="419"/>
      <c r="I60" s="419"/>
      <c r="J60" s="419"/>
      <c r="K60" s="420">
        <v>1</v>
      </c>
      <c r="L60" s="420">
        <f t="shared" si="0"/>
        <v>114786</v>
      </c>
      <c r="M60" s="420">
        <f t="shared" si="1"/>
        <v>2802148</v>
      </c>
      <c r="N60" s="445">
        <f>SUMPRODUCT(G60:J60,$G$12:$J$12,$G$9:$J$9)</f>
        <v>1446593.2167272726</v>
      </c>
      <c r="O60" s="719"/>
      <c r="P60" s="719">
        <f t="shared" si="9"/>
        <v>5061364.1367272725</v>
      </c>
      <c r="Q60" s="423">
        <f>SUMIF('8.Dgia'!E:E,'9.may'!E60,'8.Dgia'!P:P)</f>
        <v>0</v>
      </c>
      <c r="R60" s="429">
        <f t="shared" si="3"/>
        <v>0</v>
      </c>
      <c r="S60" s="301">
        <f t="shared" si="4"/>
        <v>33287.94</v>
      </c>
      <c r="T60" s="430">
        <f t="shared" si="5"/>
        <v>4282029.156727273</v>
      </c>
      <c r="U60" s="431">
        <v>637428</v>
      </c>
      <c r="V60" s="431">
        <v>114786</v>
      </c>
      <c r="W60" s="432">
        <v>2802148</v>
      </c>
      <c r="Y60" s="433">
        <f t="shared" si="6"/>
        <v>-1479881.156727273</v>
      </c>
      <c r="Z60" s="433">
        <f t="shared" si="7"/>
        <v>0</v>
      </c>
      <c r="AC60" s="410">
        <f t="shared" si="8"/>
        <v>0</v>
      </c>
    </row>
    <row r="61" spans="1:29" s="427" customFormat="1" ht="17.25" hidden="1" customHeight="1">
      <c r="B61" s="417" t="str">
        <f>IF(A61&lt;&gt;0,COUNTA(A$19:$A61),"")</f>
        <v/>
      </c>
      <c r="C61" s="418" t="s">
        <v>811</v>
      </c>
      <c r="D61" s="418"/>
      <c r="E61" s="435"/>
      <c r="F61" s="435"/>
      <c r="G61" s="419"/>
      <c r="H61" s="419"/>
      <c r="I61" s="419"/>
      <c r="J61" s="419"/>
      <c r="K61" s="437"/>
      <c r="L61" s="420">
        <f t="shared" si="0"/>
        <v>0</v>
      </c>
      <c r="M61" s="420">
        <f t="shared" si="1"/>
        <v>0</v>
      </c>
      <c r="N61" s="445"/>
      <c r="O61" s="719"/>
      <c r="P61" s="719">
        <f t="shared" si="9"/>
        <v>0</v>
      </c>
      <c r="Q61" s="423">
        <f>SUMIF('8.Dgia'!E:E,'9.may'!E61,'8.Dgia'!P:P)</f>
        <v>0</v>
      </c>
      <c r="R61" s="429">
        <f t="shared" si="3"/>
        <v>0</v>
      </c>
      <c r="S61" s="301">
        <f t="shared" si="4"/>
        <v>0</v>
      </c>
      <c r="T61" s="430">
        <f t="shared" si="5"/>
        <v>0</v>
      </c>
      <c r="U61" s="436"/>
      <c r="V61" s="436"/>
      <c r="W61" s="432"/>
      <c r="Y61" s="433">
        <f t="shared" si="6"/>
        <v>0</v>
      </c>
      <c r="Z61" s="433">
        <f t="shared" si="7"/>
        <v>0</v>
      </c>
      <c r="AC61" s="410">
        <f t="shared" si="8"/>
        <v>0</v>
      </c>
    </row>
    <row r="62" spans="1:29" s="427" customFormat="1" ht="17.25" hidden="1" customHeight="1">
      <c r="B62" s="417" t="str">
        <f>IF(A62&lt;&gt;0,COUNTA(A$19:$A62),"")</f>
        <v/>
      </c>
      <c r="C62" s="428" t="s">
        <v>812</v>
      </c>
      <c r="D62" s="428" t="s">
        <v>813</v>
      </c>
      <c r="E62" s="435"/>
      <c r="F62" s="435"/>
      <c r="G62" s="419"/>
      <c r="H62" s="419">
        <v>132</v>
      </c>
      <c r="I62" s="419"/>
      <c r="J62" s="419"/>
      <c r="K62" s="420">
        <v>1</v>
      </c>
      <c r="L62" s="420">
        <f t="shared" si="0"/>
        <v>105458</v>
      </c>
      <c r="M62" s="420">
        <f t="shared" si="1"/>
        <v>400594</v>
      </c>
      <c r="N62" s="445">
        <f>SUMPRODUCT(G62:J62,$G$12:$J$12,$G$9:$J$9)</f>
        <v>84037.8</v>
      </c>
      <c r="O62" s="719"/>
      <c r="P62" s="719">
        <f t="shared" si="9"/>
        <v>600804.06000000006</v>
      </c>
      <c r="Q62" s="423">
        <f>SUMIF('8.Dgia'!E:E,'9.may'!E62,'8.Dgia'!P:P)</f>
        <v>0</v>
      </c>
      <c r="R62" s="429">
        <f t="shared" si="3"/>
        <v>0</v>
      </c>
      <c r="S62" s="301">
        <f t="shared" si="4"/>
        <v>30582.820000000003</v>
      </c>
      <c r="T62" s="430">
        <f t="shared" si="5"/>
        <v>515214.62</v>
      </c>
      <c r="U62" s="431">
        <v>126410</v>
      </c>
      <c r="V62" s="431">
        <v>105458</v>
      </c>
      <c r="W62" s="432">
        <v>400594</v>
      </c>
      <c r="Y62" s="433">
        <f t="shared" si="6"/>
        <v>-114620.62</v>
      </c>
      <c r="Z62" s="433">
        <f t="shared" si="7"/>
        <v>0</v>
      </c>
      <c r="AC62" s="410">
        <f t="shared" si="8"/>
        <v>0</v>
      </c>
    </row>
    <row r="63" spans="1:29" s="427" customFormat="1" ht="17.25" hidden="1" customHeight="1">
      <c r="B63" s="417" t="str">
        <f>IF(A63&lt;&gt;0,COUNTA(A$19:$A63),"")</f>
        <v/>
      </c>
      <c r="C63" s="428" t="s">
        <v>814</v>
      </c>
      <c r="D63" s="428"/>
      <c r="E63" s="435"/>
      <c r="F63" s="435"/>
      <c r="G63" s="419"/>
      <c r="H63" s="419">
        <v>247.5</v>
      </c>
      <c r="I63" s="419"/>
      <c r="J63" s="419"/>
      <c r="K63" s="420">
        <v>1</v>
      </c>
      <c r="L63" s="420">
        <f t="shared" si="0"/>
        <v>105458</v>
      </c>
      <c r="M63" s="420">
        <f t="shared" si="1"/>
        <v>639602</v>
      </c>
      <c r="N63" s="445">
        <f>SUMPRODUCT(G63:J63,$G$12:$J$12,$G$9:$J$9)</f>
        <v>157570.875</v>
      </c>
      <c r="O63" s="719"/>
      <c r="P63" s="719">
        <f t="shared" si="9"/>
        <v>982657.45500000007</v>
      </c>
      <c r="Q63" s="423">
        <f>SUMIF('8.Dgia'!E:E,'9.may'!E63,'8.Dgia'!P:P)</f>
        <v>0</v>
      </c>
      <c r="R63" s="429">
        <f t="shared" si="3"/>
        <v>0</v>
      </c>
      <c r="S63" s="301">
        <f t="shared" si="4"/>
        <v>30582.820000000003</v>
      </c>
      <c r="T63" s="430">
        <f t="shared" si="5"/>
        <v>827755.69500000007</v>
      </c>
      <c r="U63" s="431">
        <v>237018</v>
      </c>
      <c r="V63" s="431">
        <v>105458</v>
      </c>
      <c r="W63" s="432">
        <v>639602</v>
      </c>
      <c r="Y63" s="433">
        <f t="shared" si="6"/>
        <v>-188153.69500000007</v>
      </c>
      <c r="Z63" s="433">
        <f t="shared" si="7"/>
        <v>0</v>
      </c>
      <c r="AC63" s="410">
        <f t="shared" si="8"/>
        <v>0</v>
      </c>
    </row>
    <row r="64" spans="1:29" s="427" customFormat="1" ht="17.25" hidden="1" customHeight="1">
      <c r="B64" s="417" t="str">
        <f>IF(A64&lt;&gt;0,COUNTA(A$19:$A64),"")</f>
        <v/>
      </c>
      <c r="C64" s="428" t="s">
        <v>815</v>
      </c>
      <c r="D64" s="428"/>
      <c r="E64" s="435"/>
      <c r="F64" s="435"/>
      <c r="G64" s="419"/>
      <c r="H64" s="419">
        <v>673.2</v>
      </c>
      <c r="I64" s="419"/>
      <c r="J64" s="419"/>
      <c r="K64" s="420">
        <v>1</v>
      </c>
      <c r="L64" s="420">
        <f t="shared" si="0"/>
        <v>114786</v>
      </c>
      <c r="M64" s="420">
        <f t="shared" si="1"/>
        <v>1398593</v>
      </c>
      <c r="N64" s="445">
        <f>SUMPRODUCT(G64:J64,$G$12:$J$12,$G$9:$J$9)</f>
        <v>428592.78</v>
      </c>
      <c r="O64" s="719"/>
      <c r="P64" s="719">
        <f t="shared" si="9"/>
        <v>2232777.75</v>
      </c>
      <c r="Q64" s="423">
        <f>SUMIF('8.Dgia'!E:E,'9.may'!E64,'8.Dgia'!P:P)</f>
        <v>0</v>
      </c>
      <c r="R64" s="429">
        <f t="shared" si="3"/>
        <v>0</v>
      </c>
      <c r="S64" s="301">
        <f t="shared" si="4"/>
        <v>33287.94</v>
      </c>
      <c r="T64" s="430">
        <f t="shared" si="5"/>
        <v>1860473.72</v>
      </c>
      <c r="U64" s="431">
        <v>644690</v>
      </c>
      <c r="V64" s="431">
        <v>114786</v>
      </c>
      <c r="W64" s="432">
        <v>1398593</v>
      </c>
      <c r="Y64" s="433">
        <f t="shared" si="6"/>
        <v>-461880.72</v>
      </c>
      <c r="Z64" s="433">
        <f t="shared" si="7"/>
        <v>0</v>
      </c>
      <c r="AC64" s="410">
        <f t="shared" si="8"/>
        <v>0</v>
      </c>
    </row>
    <row r="65" spans="1:29" s="427" customFormat="1" ht="17.25" hidden="1" customHeight="1">
      <c r="B65" s="417" t="str">
        <f>IF(A65&lt;&gt;0,COUNTA(A$19:$A65),"")</f>
        <v/>
      </c>
      <c r="C65" s="418" t="s">
        <v>816</v>
      </c>
      <c r="D65" s="418"/>
      <c r="E65" s="435"/>
      <c r="F65" s="435"/>
      <c r="G65" s="419"/>
      <c r="H65" s="419"/>
      <c r="I65" s="419"/>
      <c r="J65" s="419"/>
      <c r="K65" s="437"/>
      <c r="L65" s="420">
        <f t="shared" si="0"/>
        <v>0</v>
      </c>
      <c r="M65" s="420">
        <f t="shared" si="1"/>
        <v>0</v>
      </c>
      <c r="N65" s="445"/>
      <c r="O65" s="719"/>
      <c r="P65" s="719">
        <f t="shared" si="9"/>
        <v>0</v>
      </c>
      <c r="Q65" s="423">
        <f>SUMIF('8.Dgia'!E:E,'9.may'!E65,'8.Dgia'!P:P)</f>
        <v>0</v>
      </c>
      <c r="R65" s="429">
        <f t="shared" si="3"/>
        <v>0</v>
      </c>
      <c r="S65" s="301">
        <f t="shared" si="4"/>
        <v>0</v>
      </c>
      <c r="T65" s="430">
        <f t="shared" si="5"/>
        <v>0</v>
      </c>
      <c r="U65" s="436"/>
      <c r="V65" s="436"/>
      <c r="W65" s="432"/>
      <c r="Y65" s="433">
        <f t="shared" si="6"/>
        <v>0</v>
      </c>
      <c r="Z65" s="433">
        <f t="shared" si="7"/>
        <v>0</v>
      </c>
      <c r="AC65" s="410">
        <f t="shared" si="8"/>
        <v>0</v>
      </c>
    </row>
    <row r="66" spans="1:29" s="427" customFormat="1" ht="17.25" hidden="1" customHeight="1">
      <c r="B66" s="417" t="str">
        <f>IF(A66&lt;&gt;0,COUNTA(A$19:$A66),"")</f>
        <v/>
      </c>
      <c r="C66" s="428" t="s">
        <v>817</v>
      </c>
      <c r="D66" s="428"/>
      <c r="E66" s="435"/>
      <c r="F66" s="435"/>
      <c r="G66" s="419">
        <v>22.95</v>
      </c>
      <c r="H66" s="419"/>
      <c r="I66" s="419"/>
      <c r="J66" s="419"/>
      <c r="K66" s="420">
        <v>1</v>
      </c>
      <c r="L66" s="420">
        <f t="shared" si="0"/>
        <v>48658</v>
      </c>
      <c r="M66" s="420">
        <f t="shared" si="1"/>
        <v>454483</v>
      </c>
      <c r="N66" s="445">
        <f t="shared" ref="N66:N77" si="11">SUMPRODUCT(G66:J66,$G$12:$J$12,$G$9:$J$9)</f>
        <v>372858.42681818176</v>
      </c>
      <c r="O66" s="719"/>
      <c r="P66" s="719">
        <f t="shared" si="9"/>
        <v>959141.49681818183</v>
      </c>
      <c r="Q66" s="423">
        <f>SUMIF('8.Dgia'!E:E,'9.may'!E66,'8.Dgia'!P:P)</f>
        <v>0</v>
      </c>
      <c r="R66" s="429">
        <f t="shared" si="3"/>
        <v>0</v>
      </c>
      <c r="S66" s="301">
        <f t="shared" si="4"/>
        <v>14110.820000000002</v>
      </c>
      <c r="T66" s="430">
        <f t="shared" si="5"/>
        <v>841452.24681818183</v>
      </c>
      <c r="U66" s="431">
        <v>164297</v>
      </c>
      <c r="V66" s="431">
        <v>48658</v>
      </c>
      <c r="W66" s="432">
        <v>454483</v>
      </c>
      <c r="Y66" s="433">
        <f t="shared" si="6"/>
        <v>-386969.24681818183</v>
      </c>
      <c r="Z66" s="433">
        <f t="shared" si="7"/>
        <v>0</v>
      </c>
      <c r="AC66" s="410">
        <f t="shared" si="8"/>
        <v>0</v>
      </c>
    </row>
    <row r="67" spans="1:29" s="427" customFormat="1" ht="17.25" hidden="1" customHeight="1">
      <c r="B67" s="417" t="str">
        <f>IF(A67&lt;&gt;0,COUNTA(A$19:$A67),"")</f>
        <v/>
      </c>
      <c r="C67" s="428" t="s">
        <v>818</v>
      </c>
      <c r="D67" s="428"/>
      <c r="E67" s="435"/>
      <c r="F67" s="435"/>
      <c r="G67" s="419">
        <v>27.54</v>
      </c>
      <c r="H67" s="419"/>
      <c r="I67" s="419"/>
      <c r="J67" s="419"/>
      <c r="K67" s="420">
        <v>1</v>
      </c>
      <c r="L67" s="420">
        <f t="shared" si="0"/>
        <v>48658</v>
      </c>
      <c r="M67" s="420">
        <f t="shared" si="1"/>
        <v>497190</v>
      </c>
      <c r="N67" s="445">
        <f t="shared" si="11"/>
        <v>447430.11218181811</v>
      </c>
      <c r="O67" s="719"/>
      <c r="P67" s="719">
        <f t="shared" si="9"/>
        <v>1088805.2121818182</v>
      </c>
      <c r="Q67" s="423">
        <f>SUMIF('8.Dgia'!E:E,'9.may'!E67,'8.Dgia'!P:P)</f>
        <v>0</v>
      </c>
      <c r="R67" s="429">
        <f t="shared" si="3"/>
        <v>0</v>
      </c>
      <c r="S67" s="301">
        <f t="shared" si="4"/>
        <v>14110.820000000002</v>
      </c>
      <c r="T67" s="430">
        <f t="shared" si="5"/>
        <v>958730.93218181818</v>
      </c>
      <c r="U67" s="431">
        <v>197156</v>
      </c>
      <c r="V67" s="431">
        <v>48658</v>
      </c>
      <c r="W67" s="432">
        <v>497190</v>
      </c>
      <c r="Y67" s="433">
        <f t="shared" si="6"/>
        <v>-461540.93218181818</v>
      </c>
      <c r="Z67" s="433">
        <f t="shared" si="7"/>
        <v>0</v>
      </c>
      <c r="AC67" s="410">
        <f t="shared" si="8"/>
        <v>0</v>
      </c>
    </row>
    <row r="68" spans="1:29" s="427" customFormat="1" ht="17.25" customHeight="1">
      <c r="A68" s="410">
        <v>1</v>
      </c>
      <c r="B68" s="417">
        <f>IF(A68&lt;&gt;0,COUNTA(A$19:$A68),"")</f>
        <v>10</v>
      </c>
      <c r="C68" s="428" t="s">
        <v>819</v>
      </c>
      <c r="D68" s="428" t="s">
        <v>820</v>
      </c>
      <c r="E68" s="435" t="s">
        <v>821</v>
      </c>
      <c r="F68" s="435" t="s">
        <v>4667</v>
      </c>
      <c r="G68" s="419">
        <v>38.25</v>
      </c>
      <c r="H68" s="419"/>
      <c r="I68" s="419"/>
      <c r="J68" s="419"/>
      <c r="K68" s="420">
        <v>1</v>
      </c>
      <c r="L68" s="420">
        <f t="shared" si="0"/>
        <v>48658</v>
      </c>
      <c r="M68" s="420">
        <f t="shared" si="1"/>
        <v>674846</v>
      </c>
      <c r="N68" s="445">
        <f t="shared" si="11"/>
        <v>621430.71136363619</v>
      </c>
      <c r="O68" s="719"/>
      <c r="P68" s="719">
        <f t="shared" si="9"/>
        <v>1491982.0513636363</v>
      </c>
      <c r="Q68" s="423">
        <f>SUMIF('8.Dgia'!E:E,'9.may'!E68,'8.Dgia'!P:P)</f>
        <v>0</v>
      </c>
      <c r="R68" s="429">
        <f t="shared" si="3"/>
        <v>0</v>
      </c>
      <c r="S68" s="301">
        <f t="shared" si="4"/>
        <v>14110.820000000002</v>
      </c>
      <c r="T68" s="430">
        <f t="shared" si="5"/>
        <v>1310387.5313636363</v>
      </c>
      <c r="U68" s="2053">
        <v>273828</v>
      </c>
      <c r="V68" s="2053">
        <v>48658</v>
      </c>
      <c r="W68" s="2054">
        <v>674846</v>
      </c>
      <c r="Y68" s="433">
        <f t="shared" si="6"/>
        <v>-635541.53136363626</v>
      </c>
      <c r="Z68" s="433">
        <f t="shared" si="7"/>
        <v>0</v>
      </c>
      <c r="AC68" s="410">
        <f t="shared" si="8"/>
        <v>0</v>
      </c>
    </row>
    <row r="69" spans="1:29" s="427" customFormat="1" ht="17.25" hidden="1" customHeight="1">
      <c r="B69" s="417" t="str">
        <f>IF(A69&lt;&gt;0,COUNTA(A$19:$A69),"")</f>
        <v/>
      </c>
      <c r="C69" s="428" t="s">
        <v>822</v>
      </c>
      <c r="D69" s="428" t="s">
        <v>823</v>
      </c>
      <c r="E69" s="435"/>
      <c r="F69" s="435"/>
      <c r="G69" s="419">
        <v>44.1</v>
      </c>
      <c r="H69" s="419"/>
      <c r="I69" s="419"/>
      <c r="J69" s="419"/>
      <c r="K69" s="420">
        <v>1</v>
      </c>
      <c r="L69" s="420">
        <f t="shared" si="0"/>
        <v>98673</v>
      </c>
      <c r="M69" s="420">
        <f t="shared" si="1"/>
        <v>928137</v>
      </c>
      <c r="N69" s="445">
        <f t="shared" si="11"/>
        <v>716473.05545454531</v>
      </c>
      <c r="O69" s="719"/>
      <c r="P69" s="719">
        <f t="shared" si="9"/>
        <v>1913769.7854545452</v>
      </c>
      <c r="Q69" s="423">
        <f>SUMIF('8.Dgia'!E:E,'9.may'!E69,'8.Dgia'!P:P)</f>
        <v>0</v>
      </c>
      <c r="R69" s="429">
        <f t="shared" si="3"/>
        <v>0</v>
      </c>
      <c r="S69" s="301">
        <f t="shared" si="4"/>
        <v>28615.170000000002</v>
      </c>
      <c r="T69" s="430">
        <f t="shared" si="5"/>
        <v>1673225.2254545453</v>
      </c>
      <c r="U69" s="431">
        <v>315707</v>
      </c>
      <c r="V69" s="431">
        <v>98673</v>
      </c>
      <c r="W69" s="432">
        <v>928137</v>
      </c>
      <c r="Y69" s="433">
        <f t="shared" si="6"/>
        <v>-745088.22545454535</v>
      </c>
      <c r="Z69" s="433">
        <f t="shared" si="7"/>
        <v>0</v>
      </c>
      <c r="AC69" s="410">
        <f t="shared" si="8"/>
        <v>0</v>
      </c>
    </row>
    <row r="70" spans="1:29" s="427" customFormat="1" ht="17.25" customHeight="1">
      <c r="A70" s="410">
        <v>1</v>
      </c>
      <c r="B70" s="417">
        <f>IF(A70&lt;&gt;0,COUNTA(A$19:$A70),"")</f>
        <v>11</v>
      </c>
      <c r="C70" s="428" t="s">
        <v>824</v>
      </c>
      <c r="D70" s="428" t="s">
        <v>825</v>
      </c>
      <c r="E70" s="435" t="s">
        <v>624</v>
      </c>
      <c r="F70" s="435" t="s">
        <v>4668</v>
      </c>
      <c r="G70" s="419">
        <v>46.2</v>
      </c>
      <c r="H70" s="419"/>
      <c r="I70" s="419"/>
      <c r="J70" s="419"/>
      <c r="K70" s="420">
        <v>1</v>
      </c>
      <c r="L70" s="420">
        <f t="shared" si="0"/>
        <v>98673</v>
      </c>
      <c r="M70" s="420">
        <f t="shared" si="1"/>
        <v>937087</v>
      </c>
      <c r="N70" s="445">
        <f t="shared" si="11"/>
        <v>750590.82</v>
      </c>
      <c r="O70" s="719"/>
      <c r="P70" s="719">
        <f t="shared" si="9"/>
        <v>1959433.0499999998</v>
      </c>
      <c r="Q70" s="423" t="e">
        <f>SUMIF('8.Dgia'!E:E,'9.may'!E70,'8.Dgia'!P:P)</f>
        <v>#REF!</v>
      </c>
      <c r="R70" s="429" t="e">
        <f t="shared" si="3"/>
        <v>#REF!</v>
      </c>
      <c r="S70" s="301">
        <f t="shared" si="4"/>
        <v>28615.170000000002</v>
      </c>
      <c r="T70" s="430">
        <f t="shared" si="5"/>
        <v>1716292.99</v>
      </c>
      <c r="U70" s="2053">
        <v>330741</v>
      </c>
      <c r="V70" s="2053">
        <v>98673</v>
      </c>
      <c r="W70" s="2054">
        <v>937087</v>
      </c>
      <c r="Y70" s="433">
        <f t="shared" si="6"/>
        <v>-779205.99</v>
      </c>
      <c r="Z70" s="433">
        <f t="shared" si="7"/>
        <v>0</v>
      </c>
      <c r="AC70" s="410" t="e">
        <f t="shared" si="8"/>
        <v>#REF!</v>
      </c>
    </row>
    <row r="71" spans="1:29" s="427" customFormat="1" ht="17.25" hidden="1" customHeight="1">
      <c r="B71" s="417" t="str">
        <f>IF(A71&lt;&gt;0,COUNTA(A$19:$A71),"")</f>
        <v/>
      </c>
      <c r="C71" s="428" t="s">
        <v>826</v>
      </c>
      <c r="D71" s="428"/>
      <c r="E71" s="435"/>
      <c r="F71" s="435"/>
      <c r="G71" s="419">
        <v>54.6</v>
      </c>
      <c r="H71" s="419"/>
      <c r="I71" s="419"/>
      <c r="J71" s="419"/>
      <c r="K71" s="420">
        <v>1</v>
      </c>
      <c r="L71" s="420">
        <f t="shared" si="0"/>
        <v>98673</v>
      </c>
      <c r="M71" s="420">
        <f t="shared" si="1"/>
        <v>1129856</v>
      </c>
      <c r="N71" s="445">
        <f t="shared" si="11"/>
        <v>887061.87818181806</v>
      </c>
      <c r="O71" s="719"/>
      <c r="P71" s="719">
        <f t="shared" si="9"/>
        <v>2344576.1181818182</v>
      </c>
      <c r="Q71" s="423">
        <f>SUMIF('8.Dgia'!E:E,'9.may'!E71,'8.Dgia'!P:P)</f>
        <v>0</v>
      </c>
      <c r="R71" s="429">
        <f t="shared" si="3"/>
        <v>0</v>
      </c>
      <c r="S71" s="301">
        <f t="shared" si="4"/>
        <v>28615.170000000002</v>
      </c>
      <c r="T71" s="430">
        <f t="shared" si="5"/>
        <v>2045533.0481818181</v>
      </c>
      <c r="U71" s="431">
        <v>390876</v>
      </c>
      <c r="V71" s="431">
        <v>98673</v>
      </c>
      <c r="W71" s="432">
        <v>1129856</v>
      </c>
      <c r="Y71" s="433">
        <f t="shared" si="6"/>
        <v>-915677.0481818181</v>
      </c>
      <c r="Z71" s="433">
        <f t="shared" si="7"/>
        <v>0</v>
      </c>
      <c r="AC71" s="410">
        <f t="shared" si="8"/>
        <v>0</v>
      </c>
    </row>
    <row r="72" spans="1:29" s="427" customFormat="1" ht="17.25" customHeight="1">
      <c r="A72" s="410">
        <v>1</v>
      </c>
      <c r="B72" s="417">
        <f>IF(A72&lt;&gt;0,COUNTA(A$19:$A72),"")</f>
        <v>12</v>
      </c>
      <c r="C72" s="428" t="s">
        <v>827</v>
      </c>
      <c r="D72" s="428" t="s">
        <v>828</v>
      </c>
      <c r="E72" s="435" t="s">
        <v>368</v>
      </c>
      <c r="F72" s="435" t="s">
        <v>4669</v>
      </c>
      <c r="G72" s="419">
        <v>58.8</v>
      </c>
      <c r="H72" s="419"/>
      <c r="I72" s="419"/>
      <c r="J72" s="419"/>
      <c r="K72" s="420">
        <v>1</v>
      </c>
      <c r="L72" s="420">
        <f t="shared" si="0"/>
        <v>98673</v>
      </c>
      <c r="M72" s="420">
        <f t="shared" si="1"/>
        <v>1212215</v>
      </c>
      <c r="N72" s="445">
        <f t="shared" si="11"/>
        <v>955297.40727272711</v>
      </c>
      <c r="O72" s="719"/>
      <c r="P72" s="719">
        <f t="shared" si="9"/>
        <v>2519054.7572727273</v>
      </c>
      <c r="Q72" s="423" t="e">
        <f>SUMIF('8.Dgia'!E:E,'9.may'!E72,'8.Dgia'!P:P)</f>
        <v>#REF!</v>
      </c>
      <c r="R72" s="429" t="e">
        <f t="shared" si="3"/>
        <v>#REF!</v>
      </c>
      <c r="S72" s="301">
        <f t="shared" si="4"/>
        <v>28615.170000000002</v>
      </c>
      <c r="T72" s="430">
        <f t="shared" si="5"/>
        <v>2196127.5772727272</v>
      </c>
      <c r="U72" s="2053">
        <v>420943</v>
      </c>
      <c r="V72" s="2053">
        <v>98673</v>
      </c>
      <c r="W72" s="2054">
        <v>1212215</v>
      </c>
      <c r="Y72" s="433">
        <f t="shared" si="6"/>
        <v>-983912.57727272715</v>
      </c>
      <c r="Z72" s="433">
        <f t="shared" si="7"/>
        <v>0</v>
      </c>
      <c r="AC72" s="410" t="e">
        <f t="shared" si="8"/>
        <v>#REF!</v>
      </c>
    </row>
    <row r="73" spans="1:29" s="427" customFormat="1" ht="17.25" hidden="1" customHeight="1">
      <c r="B73" s="417" t="str">
        <f>IF(A73&lt;&gt;0,COUNTA(A$19:$A73),"")</f>
        <v/>
      </c>
      <c r="C73" s="428" t="s">
        <v>829</v>
      </c>
      <c r="D73" s="428"/>
      <c r="E73" s="435"/>
      <c r="F73" s="435"/>
      <c r="G73" s="419">
        <v>67.2</v>
      </c>
      <c r="H73" s="419"/>
      <c r="I73" s="419"/>
      <c r="J73" s="419"/>
      <c r="K73" s="420">
        <v>1</v>
      </c>
      <c r="L73" s="420">
        <f t="shared" si="0"/>
        <v>98673</v>
      </c>
      <c r="M73" s="420">
        <f t="shared" si="1"/>
        <v>1327005</v>
      </c>
      <c r="N73" s="445">
        <f t="shared" si="11"/>
        <v>1091768.4654545453</v>
      </c>
      <c r="O73" s="719"/>
      <c r="P73" s="719">
        <f t="shared" si="9"/>
        <v>2803604.9154545451</v>
      </c>
      <c r="Q73" s="423">
        <f>SUMIF('8.Dgia'!E:E,'9.may'!E73,'8.Dgia'!P:P)</f>
        <v>0</v>
      </c>
      <c r="R73" s="429">
        <f t="shared" si="3"/>
        <v>0</v>
      </c>
      <c r="S73" s="301">
        <f t="shared" si="4"/>
        <v>28615.170000000002</v>
      </c>
      <c r="T73" s="430">
        <f t="shared" si="5"/>
        <v>2447388.6354545453</v>
      </c>
      <c r="U73" s="431">
        <v>481078</v>
      </c>
      <c r="V73" s="431">
        <v>98673</v>
      </c>
      <c r="W73" s="432">
        <v>1327005</v>
      </c>
      <c r="Y73" s="433">
        <f t="shared" si="6"/>
        <v>-1120383.6354545453</v>
      </c>
      <c r="Z73" s="433">
        <f t="shared" si="7"/>
        <v>0</v>
      </c>
      <c r="AC73" s="410">
        <f t="shared" si="8"/>
        <v>0</v>
      </c>
    </row>
    <row r="74" spans="1:29" s="427" customFormat="1" ht="17.25" customHeight="1">
      <c r="A74" s="410">
        <v>1</v>
      </c>
      <c r="B74" s="417">
        <f>IF(A74&lt;&gt;0,COUNTA(A$19:$A74),"")</f>
        <v>13</v>
      </c>
      <c r="C74" s="428" t="s">
        <v>830</v>
      </c>
      <c r="D74" s="428" t="s">
        <v>831</v>
      </c>
      <c r="E74" s="435" t="s">
        <v>832</v>
      </c>
      <c r="F74" s="435" t="s">
        <v>4670</v>
      </c>
      <c r="G74" s="419">
        <v>75.599999999999994</v>
      </c>
      <c r="H74" s="419"/>
      <c r="I74" s="419"/>
      <c r="J74" s="419"/>
      <c r="K74" s="420">
        <v>1</v>
      </c>
      <c r="L74" s="420">
        <f t="shared" si="0"/>
        <v>98673</v>
      </c>
      <c r="M74" s="420">
        <f t="shared" si="1"/>
        <v>1366077</v>
      </c>
      <c r="N74" s="445">
        <f t="shared" si="11"/>
        <v>1228239.5236363634</v>
      </c>
      <c r="O74" s="719"/>
      <c r="P74" s="719">
        <f t="shared" si="9"/>
        <v>2990478.8536363635</v>
      </c>
      <c r="Q74" s="423">
        <f>SUMIF('8.Dgia'!E:E,'9.may'!E74,'8.Dgia'!P:P)</f>
        <v>0</v>
      </c>
      <c r="R74" s="429">
        <f t="shared" si="3"/>
        <v>0</v>
      </c>
      <c r="S74" s="301">
        <f t="shared" si="4"/>
        <v>28615.170000000002</v>
      </c>
      <c r="T74" s="430">
        <f t="shared" si="5"/>
        <v>2622931.6936363634</v>
      </c>
      <c r="U74" s="2053">
        <v>541213</v>
      </c>
      <c r="V74" s="2053">
        <v>98673</v>
      </c>
      <c r="W74" s="2054">
        <v>1366077</v>
      </c>
      <c r="Y74" s="433">
        <f t="shared" si="6"/>
        <v>-1256854.6936363634</v>
      </c>
      <c r="Z74" s="433">
        <f t="shared" si="7"/>
        <v>0</v>
      </c>
      <c r="AC74" s="410">
        <f t="shared" si="8"/>
        <v>0</v>
      </c>
    </row>
    <row r="75" spans="1:29" s="427" customFormat="1" ht="17.25" customHeight="1">
      <c r="A75" s="410">
        <v>1</v>
      </c>
      <c r="B75" s="417">
        <f>IF(A75&lt;&gt;0,COUNTA(A$19:$A75),"")</f>
        <v>14</v>
      </c>
      <c r="C75" s="428" t="s">
        <v>833</v>
      </c>
      <c r="D75" s="428" t="s">
        <v>834</v>
      </c>
      <c r="E75" s="435" t="s">
        <v>835</v>
      </c>
      <c r="F75" s="435" t="s">
        <v>4671</v>
      </c>
      <c r="G75" s="419">
        <v>93.6</v>
      </c>
      <c r="H75" s="419"/>
      <c r="I75" s="419"/>
      <c r="J75" s="419"/>
      <c r="K75" s="420">
        <v>1</v>
      </c>
      <c r="L75" s="420">
        <f t="shared" si="0"/>
        <v>108001</v>
      </c>
      <c r="M75" s="420">
        <f t="shared" si="1"/>
        <v>1640400</v>
      </c>
      <c r="N75" s="445">
        <f t="shared" si="11"/>
        <v>1520677.5054545451</v>
      </c>
      <c r="O75" s="719"/>
      <c r="P75" s="719">
        <f t="shared" si="9"/>
        <v>3636793.5054545449</v>
      </c>
      <c r="Q75" s="423">
        <f>SUMIF('8.Dgia'!E:E,'9.may'!E75,'8.Dgia'!P:P)</f>
        <v>0</v>
      </c>
      <c r="R75" s="429">
        <f t="shared" si="3"/>
        <v>0</v>
      </c>
      <c r="S75" s="301">
        <f t="shared" si="4"/>
        <v>31320.290000000005</v>
      </c>
      <c r="T75" s="430">
        <f t="shared" si="5"/>
        <v>3192397.7954545449</v>
      </c>
      <c r="U75" s="2053">
        <v>670073</v>
      </c>
      <c r="V75" s="2053">
        <v>108001</v>
      </c>
      <c r="W75" s="2054">
        <v>1640400</v>
      </c>
      <c r="Y75" s="433">
        <f t="shared" si="6"/>
        <v>-1551997.7954545449</v>
      </c>
      <c r="Z75" s="433">
        <f t="shared" si="7"/>
        <v>0</v>
      </c>
      <c r="AC75" s="410">
        <f t="shared" si="8"/>
        <v>0</v>
      </c>
    </row>
    <row r="76" spans="1:29" s="427" customFormat="1" ht="17.25" hidden="1" customHeight="1">
      <c r="B76" s="417" t="str">
        <f>IF(A76&lt;&gt;0,COUNTA(A$19:$A76),"")</f>
        <v/>
      </c>
      <c r="C76" s="428" t="s">
        <v>836</v>
      </c>
      <c r="D76" s="428"/>
      <c r="E76" s="435"/>
      <c r="F76" s="435"/>
      <c r="G76" s="419">
        <v>105.69</v>
      </c>
      <c r="H76" s="419"/>
      <c r="I76" s="419"/>
      <c r="J76" s="419"/>
      <c r="K76" s="420">
        <v>1</v>
      </c>
      <c r="L76" s="420">
        <f t="shared" si="0"/>
        <v>108001</v>
      </c>
      <c r="M76" s="420">
        <f t="shared" si="1"/>
        <v>1752355</v>
      </c>
      <c r="N76" s="445">
        <f t="shared" si="11"/>
        <v>1717098.3499090907</v>
      </c>
      <c r="O76" s="719"/>
      <c r="P76" s="719">
        <f t="shared" si="9"/>
        <v>3977636.2999090906</v>
      </c>
      <c r="Q76" s="423">
        <f>SUMIF('8.Dgia'!E:E,'9.may'!E76,'8.Dgia'!P:P)</f>
        <v>0</v>
      </c>
      <c r="R76" s="429">
        <f t="shared" si="3"/>
        <v>0</v>
      </c>
      <c r="S76" s="301">
        <f t="shared" si="4"/>
        <v>31320.290000000005</v>
      </c>
      <c r="T76" s="430">
        <f t="shared" si="5"/>
        <v>3500773.6399090905</v>
      </c>
      <c r="U76" s="431">
        <v>756624</v>
      </c>
      <c r="V76" s="431">
        <v>108001</v>
      </c>
      <c r="W76" s="432">
        <v>1752355</v>
      </c>
      <c r="Y76" s="433">
        <f t="shared" si="6"/>
        <v>-1748418.6399090905</v>
      </c>
      <c r="Z76" s="433">
        <f t="shared" si="7"/>
        <v>0</v>
      </c>
      <c r="AC76" s="410">
        <f t="shared" si="8"/>
        <v>0</v>
      </c>
    </row>
    <row r="77" spans="1:29" s="427" customFormat="1" ht="17.25" customHeight="1">
      <c r="A77" s="410">
        <v>1</v>
      </c>
      <c r="B77" s="417">
        <f>IF(A77&lt;&gt;0,COUNTA(A$19:$A77),"")</f>
        <v>15</v>
      </c>
      <c r="C77" s="428" t="s">
        <v>837</v>
      </c>
      <c r="D77" s="428" t="s">
        <v>838</v>
      </c>
      <c r="E77" s="435" t="s">
        <v>839</v>
      </c>
      <c r="F77" s="435" t="s">
        <v>4672</v>
      </c>
      <c r="G77" s="419">
        <v>124.8</v>
      </c>
      <c r="H77" s="419"/>
      <c r="I77" s="419"/>
      <c r="J77" s="419"/>
      <c r="K77" s="420">
        <v>1</v>
      </c>
      <c r="L77" s="420">
        <f t="shared" si="0"/>
        <v>119196</v>
      </c>
      <c r="M77" s="420">
        <f t="shared" si="1"/>
        <v>2260096</v>
      </c>
      <c r="N77" s="445">
        <f t="shared" si="11"/>
        <v>2027570.0072727271</v>
      </c>
      <c r="O77" s="719"/>
      <c r="P77" s="719">
        <f t="shared" si="9"/>
        <v>4943093.8472727267</v>
      </c>
      <c r="Q77" s="423">
        <f>SUMIF('8.Dgia'!E:E,'9.may'!E77,'8.Dgia'!P:P)</f>
        <v>0</v>
      </c>
      <c r="R77" s="429">
        <f t="shared" si="3"/>
        <v>0</v>
      </c>
      <c r="S77" s="301">
        <f t="shared" si="4"/>
        <v>34566.840000000004</v>
      </c>
      <c r="T77" s="430">
        <f t="shared" si="5"/>
        <v>4322232.8472727276</v>
      </c>
      <c r="U77" s="2053">
        <v>893431</v>
      </c>
      <c r="V77" s="2053">
        <v>119196</v>
      </c>
      <c r="W77" s="2054">
        <v>2260096</v>
      </c>
      <c r="Y77" s="433">
        <f t="shared" si="6"/>
        <v>-2062136.8472727276</v>
      </c>
      <c r="Z77" s="433">
        <f t="shared" si="7"/>
        <v>0</v>
      </c>
      <c r="AC77" s="410">
        <f t="shared" si="8"/>
        <v>0</v>
      </c>
    </row>
    <row r="78" spans="1:29" s="427" customFormat="1" ht="17.25" hidden="1" customHeight="1">
      <c r="B78" s="417" t="str">
        <f>IF(A78&lt;&gt;0,COUNTA(A$19:$A78),"")</f>
        <v/>
      </c>
      <c r="C78" s="418" t="s">
        <v>840</v>
      </c>
      <c r="D78" s="418"/>
      <c r="E78" s="435"/>
      <c r="F78" s="435"/>
      <c r="G78" s="419"/>
      <c r="H78" s="419"/>
      <c r="I78" s="419"/>
      <c r="J78" s="419"/>
      <c r="K78" s="437"/>
      <c r="L78" s="420">
        <f t="shared" si="0"/>
        <v>0</v>
      </c>
      <c r="M78" s="420">
        <f t="shared" si="1"/>
        <v>0</v>
      </c>
      <c r="N78" s="445"/>
      <c r="O78" s="719"/>
      <c r="P78" s="719">
        <f t="shared" si="9"/>
        <v>0</v>
      </c>
      <c r="Q78" s="423">
        <f>SUMIF('8.Dgia'!E:E,'9.may'!E78,'8.Dgia'!P:P)</f>
        <v>0</v>
      </c>
      <c r="R78" s="429">
        <f t="shared" si="3"/>
        <v>0</v>
      </c>
      <c r="S78" s="301">
        <f t="shared" si="4"/>
        <v>0</v>
      </c>
      <c r="T78" s="430">
        <f t="shared" si="5"/>
        <v>0</v>
      </c>
      <c r="U78" s="436"/>
      <c r="V78" s="436"/>
      <c r="W78" s="432"/>
      <c r="Y78" s="433">
        <f t="shared" si="6"/>
        <v>0</v>
      </c>
      <c r="Z78" s="433">
        <f t="shared" si="7"/>
        <v>0</v>
      </c>
      <c r="AC78" s="410">
        <f t="shared" si="8"/>
        <v>0</v>
      </c>
    </row>
    <row r="79" spans="1:29" s="427" customFormat="1" ht="17.25" hidden="1" customHeight="1">
      <c r="B79" s="417" t="str">
        <f>IF(A79&lt;&gt;0,COUNTA(A$19:$A79),"")</f>
        <v/>
      </c>
      <c r="C79" s="428" t="s">
        <v>785</v>
      </c>
      <c r="D79" s="428"/>
      <c r="E79" s="435"/>
      <c r="F79" s="435"/>
      <c r="G79" s="419">
        <v>37.664999999999999</v>
      </c>
      <c r="H79" s="419"/>
      <c r="I79" s="419"/>
      <c r="J79" s="419"/>
      <c r="K79" s="420">
        <v>1</v>
      </c>
      <c r="L79" s="420">
        <f t="shared" si="0"/>
        <v>48658</v>
      </c>
      <c r="M79" s="420">
        <f t="shared" si="1"/>
        <v>601397</v>
      </c>
      <c r="N79" s="445">
        <f t="shared" ref="N79:N85" si="12">SUMPRODUCT(G79:J79,$G$12:$J$12,$G$9:$J$9)</f>
        <v>611926.47695454548</v>
      </c>
      <c r="O79" s="719"/>
      <c r="P79" s="719">
        <f t="shared" si="9"/>
        <v>1387728.6069545455</v>
      </c>
      <c r="Q79" s="423">
        <f>SUMIF('8.Dgia'!E:E,'9.may'!E79,'8.Dgia'!P:P)</f>
        <v>0</v>
      </c>
      <c r="R79" s="429">
        <f t="shared" si="3"/>
        <v>0</v>
      </c>
      <c r="S79" s="301">
        <f t="shared" si="4"/>
        <v>14110.820000000002</v>
      </c>
      <c r="T79" s="430">
        <f t="shared" si="5"/>
        <v>1227434.2969545454</v>
      </c>
      <c r="U79" s="431">
        <v>269676</v>
      </c>
      <c r="V79" s="431">
        <v>48658</v>
      </c>
      <c r="W79" s="432">
        <v>601397</v>
      </c>
      <c r="Y79" s="433">
        <f t="shared" si="6"/>
        <v>-626037.29695454543</v>
      </c>
      <c r="Z79" s="433">
        <f t="shared" si="7"/>
        <v>0</v>
      </c>
      <c r="AC79" s="410">
        <f t="shared" si="8"/>
        <v>0</v>
      </c>
    </row>
    <row r="80" spans="1:29" s="427" customFormat="1" ht="17.25" hidden="1" customHeight="1">
      <c r="B80" s="417" t="str">
        <f>IF(A80&lt;&gt;0,COUNTA(A$19:$A80),"")</f>
        <v/>
      </c>
      <c r="C80" s="428" t="s">
        <v>841</v>
      </c>
      <c r="D80" s="428"/>
      <c r="E80" s="435"/>
      <c r="F80" s="435"/>
      <c r="G80" s="419">
        <v>38.475000000000001</v>
      </c>
      <c r="H80" s="419"/>
      <c r="I80" s="419"/>
      <c r="J80" s="419"/>
      <c r="K80" s="420">
        <v>1</v>
      </c>
      <c r="L80" s="420">
        <f t="shared" si="0"/>
        <v>48658</v>
      </c>
      <c r="M80" s="420">
        <f t="shared" si="1"/>
        <v>641633</v>
      </c>
      <c r="N80" s="445">
        <f t="shared" si="12"/>
        <v>625086.18613636366</v>
      </c>
      <c r="O80" s="719"/>
      <c r="P80" s="719">
        <f t="shared" si="9"/>
        <v>1452792.7561363638</v>
      </c>
      <c r="Q80" s="423">
        <f>SUMIF('8.Dgia'!E:E,'9.may'!E80,'8.Dgia'!P:P)</f>
        <v>0</v>
      </c>
      <c r="R80" s="429">
        <f t="shared" si="3"/>
        <v>0</v>
      </c>
      <c r="S80" s="301">
        <f t="shared" si="4"/>
        <v>14110.820000000002</v>
      </c>
      <c r="T80" s="430">
        <f t="shared" si="5"/>
        <v>1280830.0061363636</v>
      </c>
      <c r="U80" s="431">
        <v>275474</v>
      </c>
      <c r="V80" s="431">
        <v>48658</v>
      </c>
      <c r="W80" s="432">
        <v>641633</v>
      </c>
      <c r="Y80" s="433">
        <f t="shared" si="6"/>
        <v>-639197.00613636361</v>
      </c>
      <c r="Z80" s="433">
        <f t="shared" si="7"/>
        <v>0</v>
      </c>
      <c r="AC80" s="410">
        <f t="shared" si="8"/>
        <v>0</v>
      </c>
    </row>
    <row r="81" spans="1:29" s="427" customFormat="1" ht="17.25" hidden="1" customHeight="1">
      <c r="B81" s="417" t="str">
        <f>IF(A81&lt;&gt;0,COUNTA(A$19:$A81),"")</f>
        <v/>
      </c>
      <c r="C81" s="428" t="s">
        <v>842</v>
      </c>
      <c r="D81" s="428"/>
      <c r="E81" s="435"/>
      <c r="F81" s="435"/>
      <c r="G81" s="419">
        <v>40.5</v>
      </c>
      <c r="H81" s="419"/>
      <c r="I81" s="419"/>
      <c r="J81" s="419"/>
      <c r="K81" s="420">
        <v>1</v>
      </c>
      <c r="L81" s="420">
        <f t="shared" si="0"/>
        <v>48658</v>
      </c>
      <c r="M81" s="420">
        <f t="shared" si="1"/>
        <v>682311</v>
      </c>
      <c r="N81" s="445">
        <f t="shared" si="12"/>
        <v>657985.45909090911</v>
      </c>
      <c r="O81" s="719"/>
      <c r="P81" s="719">
        <f t="shared" si="9"/>
        <v>1538166.6490909092</v>
      </c>
      <c r="Q81" s="423">
        <f>SUMIF('8.Dgia'!E:E,'9.may'!E81,'8.Dgia'!P:P)</f>
        <v>0</v>
      </c>
      <c r="R81" s="429">
        <f t="shared" si="3"/>
        <v>0</v>
      </c>
      <c r="S81" s="301">
        <f t="shared" si="4"/>
        <v>14110.820000000002</v>
      </c>
      <c r="T81" s="430">
        <f t="shared" si="5"/>
        <v>1354407.2790909091</v>
      </c>
      <c r="U81" s="431">
        <v>289935</v>
      </c>
      <c r="V81" s="431">
        <v>48658</v>
      </c>
      <c r="W81" s="432">
        <v>682311</v>
      </c>
      <c r="Y81" s="433">
        <f t="shared" si="6"/>
        <v>-672096.27909090905</v>
      </c>
      <c r="Z81" s="433">
        <f t="shared" si="7"/>
        <v>0</v>
      </c>
      <c r="AC81" s="410">
        <f t="shared" si="8"/>
        <v>0</v>
      </c>
    </row>
    <row r="82" spans="1:29" s="427" customFormat="1" ht="17.25" hidden="1" customHeight="1">
      <c r="B82" s="417" t="str">
        <f>IF(A82&lt;&gt;0,COUNTA(A$19:$A82),"")</f>
        <v/>
      </c>
      <c r="C82" s="428" t="s">
        <v>843</v>
      </c>
      <c r="D82" s="428"/>
      <c r="E82" s="435"/>
      <c r="F82" s="435"/>
      <c r="G82" s="419">
        <v>58.32</v>
      </c>
      <c r="H82" s="419"/>
      <c r="I82" s="419"/>
      <c r="J82" s="419"/>
      <c r="K82" s="420">
        <v>1</v>
      </c>
      <c r="L82" s="420">
        <f t="shared" si="0"/>
        <v>48658</v>
      </c>
      <c r="M82" s="420">
        <f t="shared" si="1"/>
        <v>822928</v>
      </c>
      <c r="N82" s="445">
        <f t="shared" si="12"/>
        <v>947499.06109090894</v>
      </c>
      <c r="O82" s="719"/>
      <c r="P82" s="719">
        <f t="shared" si="9"/>
        <v>2009076.1810909091</v>
      </c>
      <c r="Q82" s="423">
        <f>SUMIF('8.Dgia'!E:E,'9.may'!E82,'8.Dgia'!P:P)</f>
        <v>0</v>
      </c>
      <c r="R82" s="429">
        <f t="shared" si="3"/>
        <v>0</v>
      </c>
      <c r="S82" s="301">
        <f t="shared" si="4"/>
        <v>14110.820000000002</v>
      </c>
      <c r="T82" s="430">
        <f t="shared" si="5"/>
        <v>1784537.8810909088</v>
      </c>
      <c r="U82" s="431">
        <v>417507</v>
      </c>
      <c r="V82" s="431">
        <v>48658</v>
      </c>
      <c r="W82" s="432">
        <v>822928</v>
      </c>
      <c r="Y82" s="433">
        <f t="shared" si="6"/>
        <v>-961609.88109090878</v>
      </c>
      <c r="Z82" s="433">
        <f t="shared" si="7"/>
        <v>0</v>
      </c>
      <c r="AC82" s="410">
        <f t="shared" si="8"/>
        <v>0</v>
      </c>
    </row>
    <row r="83" spans="1:29" s="427" customFormat="1" ht="17.25" hidden="1" customHeight="1">
      <c r="B83" s="417" t="str">
        <f>IF(A83&lt;&gt;0,COUNTA(A$19:$A83),"")</f>
        <v/>
      </c>
      <c r="C83" s="428" t="s">
        <v>797</v>
      </c>
      <c r="D83" s="428"/>
      <c r="E83" s="435"/>
      <c r="F83" s="435"/>
      <c r="G83" s="419">
        <v>58.32</v>
      </c>
      <c r="H83" s="419"/>
      <c r="I83" s="419"/>
      <c r="J83" s="419"/>
      <c r="K83" s="420">
        <v>1</v>
      </c>
      <c r="L83" s="420">
        <f t="shared" si="0"/>
        <v>98673</v>
      </c>
      <c r="M83" s="420">
        <f t="shared" si="1"/>
        <v>916203</v>
      </c>
      <c r="N83" s="445">
        <f t="shared" si="12"/>
        <v>947499.06109090894</v>
      </c>
      <c r="O83" s="719"/>
      <c r="P83" s="719">
        <f t="shared" si="9"/>
        <v>2129400.9310909091</v>
      </c>
      <c r="Q83" s="423">
        <f>SUMIF('8.Dgia'!E:E,'9.may'!E83,'8.Dgia'!P:P)</f>
        <v>0</v>
      </c>
      <c r="R83" s="429">
        <f t="shared" si="3"/>
        <v>0</v>
      </c>
      <c r="S83" s="301">
        <f t="shared" si="4"/>
        <v>28615.170000000002</v>
      </c>
      <c r="T83" s="430">
        <f t="shared" si="5"/>
        <v>1892317.2310909089</v>
      </c>
      <c r="U83" s="431">
        <v>417507</v>
      </c>
      <c r="V83" s="431">
        <v>98673</v>
      </c>
      <c r="W83" s="432">
        <v>916203</v>
      </c>
      <c r="Y83" s="433">
        <f t="shared" si="6"/>
        <v>-976114.23109090887</v>
      </c>
      <c r="Z83" s="433">
        <f t="shared" si="7"/>
        <v>0</v>
      </c>
      <c r="AC83" s="410">
        <f t="shared" si="8"/>
        <v>0</v>
      </c>
    </row>
    <row r="84" spans="1:29" s="427" customFormat="1" ht="17.25" hidden="1" customHeight="1">
      <c r="B84" s="417" t="str">
        <f>IF(A84&lt;&gt;0,COUNTA(A$19:$A84),"")</f>
        <v/>
      </c>
      <c r="C84" s="428" t="s">
        <v>798</v>
      </c>
      <c r="D84" s="428"/>
      <c r="E84" s="435"/>
      <c r="F84" s="435"/>
      <c r="G84" s="419">
        <v>71.400000000000006</v>
      </c>
      <c r="H84" s="419"/>
      <c r="I84" s="419"/>
      <c r="J84" s="419"/>
      <c r="K84" s="420">
        <v>1</v>
      </c>
      <c r="L84" s="420">
        <f t="shared" ref="L84:L147" si="13">+V84</f>
        <v>98673</v>
      </c>
      <c r="M84" s="420">
        <f t="shared" ref="M84:M147" si="14">+W84</f>
        <v>1055169</v>
      </c>
      <c r="N84" s="445">
        <f t="shared" si="12"/>
        <v>1160003.9945454544</v>
      </c>
      <c r="O84" s="719"/>
      <c r="P84" s="719">
        <f t="shared" si="9"/>
        <v>2521172.0045454544</v>
      </c>
      <c r="Q84" s="423">
        <f>SUMIF('8.Dgia'!E:E,'9.may'!E84,'8.Dgia'!P:P)</f>
        <v>0</v>
      </c>
      <c r="R84" s="429">
        <f t="shared" ref="R84:R147" si="15">N84*Q84</f>
        <v>0</v>
      </c>
      <c r="S84" s="301">
        <f t="shared" ref="S84:S147" si="16">L84*($G$13-1)</f>
        <v>28615.170000000002</v>
      </c>
      <c r="T84" s="430">
        <f t="shared" ref="T84:T147" si="17">S84+N84+M84</f>
        <v>2243788.1645454541</v>
      </c>
      <c r="U84" s="431">
        <v>511145</v>
      </c>
      <c r="V84" s="431">
        <v>98673</v>
      </c>
      <c r="W84" s="432">
        <v>1055169</v>
      </c>
      <c r="Y84" s="433">
        <f t="shared" ref="Y84:Y147" si="18">W84-T84</f>
        <v>-1188619.1645454541</v>
      </c>
      <c r="Z84" s="433">
        <f t="shared" ref="Z84:Z147" si="19">W84-M84</f>
        <v>0</v>
      </c>
      <c r="AC84" s="410">
        <f t="shared" ref="AC84:AC147" si="20">+P84*Q84</f>
        <v>0</v>
      </c>
    </row>
    <row r="85" spans="1:29" s="427" customFormat="1" ht="17.25" hidden="1" customHeight="1">
      <c r="B85" s="417" t="str">
        <f>IF(A85&lt;&gt;0,COUNTA(A$19:$A85),"")</f>
        <v/>
      </c>
      <c r="C85" s="428" t="s">
        <v>844</v>
      </c>
      <c r="D85" s="428"/>
      <c r="E85" s="435"/>
      <c r="F85" s="435"/>
      <c r="G85" s="419">
        <v>76.5</v>
      </c>
      <c r="H85" s="419"/>
      <c r="I85" s="419"/>
      <c r="J85" s="419"/>
      <c r="K85" s="420">
        <v>1</v>
      </c>
      <c r="L85" s="420">
        <f t="shared" si="13"/>
        <v>108001</v>
      </c>
      <c r="M85" s="420">
        <f t="shared" si="14"/>
        <v>1151612</v>
      </c>
      <c r="N85" s="445">
        <f t="shared" si="12"/>
        <v>1242861.4227272724</v>
      </c>
      <c r="O85" s="719"/>
      <c r="P85" s="719">
        <f t="shared" ref="P85:P148" si="21">+N85+M85*$G$13</f>
        <v>2728440.9027272724</v>
      </c>
      <c r="Q85" s="423">
        <f>SUMIF('8.Dgia'!E:E,'9.may'!E85,'8.Dgia'!P:P)</f>
        <v>0</v>
      </c>
      <c r="R85" s="429">
        <f t="shared" si="15"/>
        <v>0</v>
      </c>
      <c r="S85" s="301">
        <f t="shared" si="16"/>
        <v>31320.290000000005</v>
      </c>
      <c r="T85" s="430">
        <f t="shared" si="17"/>
        <v>2425793.7127272724</v>
      </c>
      <c r="U85" s="431">
        <v>547656</v>
      </c>
      <c r="V85" s="431">
        <v>108001</v>
      </c>
      <c r="W85" s="432">
        <v>1151612</v>
      </c>
      <c r="Y85" s="433">
        <f t="shared" si="18"/>
        <v>-1274181.7127272724</v>
      </c>
      <c r="Z85" s="433">
        <f t="shared" si="19"/>
        <v>0</v>
      </c>
      <c r="AC85" s="410">
        <f t="shared" si="20"/>
        <v>0</v>
      </c>
    </row>
    <row r="86" spans="1:29" s="427" customFormat="1" ht="17.25" hidden="1" customHeight="1">
      <c r="B86" s="417" t="str">
        <f>IF(A86&lt;&gt;0,COUNTA(A$19:$A86),"")</f>
        <v/>
      </c>
      <c r="C86" s="418" t="s">
        <v>845</v>
      </c>
      <c r="D86" s="418"/>
      <c r="E86" s="435"/>
      <c r="F86" s="435"/>
      <c r="G86" s="419"/>
      <c r="H86" s="419"/>
      <c r="I86" s="419"/>
      <c r="J86" s="419"/>
      <c r="K86" s="420"/>
      <c r="L86" s="420">
        <f t="shared" si="13"/>
        <v>0</v>
      </c>
      <c r="M86" s="420">
        <f t="shared" si="14"/>
        <v>0</v>
      </c>
      <c r="N86" s="445"/>
      <c r="O86" s="719"/>
      <c r="P86" s="719">
        <f t="shared" si="21"/>
        <v>0</v>
      </c>
      <c r="Q86" s="423">
        <f>SUMIF('8.Dgia'!E:E,'9.may'!E86,'8.Dgia'!P:P)</f>
        <v>0</v>
      </c>
      <c r="R86" s="429">
        <f t="shared" si="15"/>
        <v>0</v>
      </c>
      <c r="S86" s="301">
        <f t="shared" si="16"/>
        <v>0</v>
      </c>
      <c r="T86" s="430">
        <f t="shared" si="17"/>
        <v>0</v>
      </c>
      <c r="U86" s="436"/>
      <c r="V86" s="436"/>
      <c r="W86" s="432"/>
      <c r="Y86" s="433">
        <f t="shared" si="18"/>
        <v>0</v>
      </c>
      <c r="Z86" s="433">
        <f t="shared" si="19"/>
        <v>0</v>
      </c>
      <c r="AC86" s="410">
        <f t="shared" si="20"/>
        <v>0</v>
      </c>
    </row>
    <row r="87" spans="1:29" s="427" customFormat="1" ht="17.25" customHeight="1">
      <c r="A87" s="410">
        <v>1</v>
      </c>
      <c r="B87" s="417">
        <f>IF(A87&lt;&gt;0,COUNTA(A$19:$A87),"")</f>
        <v>16</v>
      </c>
      <c r="C87" s="428" t="s">
        <v>846</v>
      </c>
      <c r="D87" s="428" t="s">
        <v>847</v>
      </c>
      <c r="E87" s="435" t="s">
        <v>848</v>
      </c>
      <c r="F87" s="435" t="s">
        <v>4673</v>
      </c>
      <c r="G87" s="419">
        <v>132</v>
      </c>
      <c r="H87" s="419"/>
      <c r="I87" s="419"/>
      <c r="J87" s="419"/>
      <c r="K87" s="420">
        <v>1</v>
      </c>
      <c r="L87" s="420">
        <f t="shared" si="13"/>
        <v>108001</v>
      </c>
      <c r="M87" s="420">
        <f t="shared" si="14"/>
        <v>1521663</v>
      </c>
      <c r="N87" s="445">
        <f>SUMPRODUCT(G87:J87,$G$12:$J$12,$G$9:$J$9)</f>
        <v>2144545.1999999997</v>
      </c>
      <c r="O87" s="719"/>
      <c r="P87" s="719">
        <f t="shared" si="21"/>
        <v>4107490.4699999997</v>
      </c>
      <c r="Q87" s="423">
        <f>SUMIF('8.Dgia'!E:E,'9.may'!E87,'8.Dgia'!P:P)</f>
        <v>0</v>
      </c>
      <c r="R87" s="429">
        <f t="shared" si="15"/>
        <v>0</v>
      </c>
      <c r="S87" s="301">
        <f t="shared" si="16"/>
        <v>31320.290000000005</v>
      </c>
      <c r="T87" s="430">
        <f t="shared" si="17"/>
        <v>3697528.4899999998</v>
      </c>
      <c r="U87" s="2053">
        <v>944975</v>
      </c>
      <c r="V87" s="2053">
        <v>108001</v>
      </c>
      <c r="W87" s="2054">
        <v>1521663</v>
      </c>
      <c r="Y87" s="433">
        <f t="shared" si="18"/>
        <v>-2175865.4899999998</v>
      </c>
      <c r="Z87" s="433">
        <f t="shared" si="19"/>
        <v>0</v>
      </c>
      <c r="AC87" s="410">
        <f t="shared" si="20"/>
        <v>0</v>
      </c>
    </row>
    <row r="88" spans="1:29" s="427" customFormat="1" ht="17.25" hidden="1" customHeight="1">
      <c r="B88" s="417" t="str">
        <f>IF(A88&lt;&gt;0,COUNTA(A$19:$A88),"")</f>
        <v/>
      </c>
      <c r="C88" s="428" t="s">
        <v>849</v>
      </c>
      <c r="D88" s="428"/>
      <c r="E88" s="435"/>
      <c r="F88" s="435"/>
      <c r="G88" s="419">
        <v>138</v>
      </c>
      <c r="H88" s="419"/>
      <c r="I88" s="419"/>
      <c r="J88" s="419"/>
      <c r="K88" s="420">
        <v>1</v>
      </c>
      <c r="L88" s="420">
        <f t="shared" si="13"/>
        <v>108001</v>
      </c>
      <c r="M88" s="420">
        <f t="shared" si="14"/>
        <v>1682281</v>
      </c>
      <c r="N88" s="445">
        <f>SUMPRODUCT(G88:J88,$G$12:$J$12,$G$9:$J$9)</f>
        <v>2242024.5272727269</v>
      </c>
      <c r="O88" s="719"/>
      <c r="P88" s="719">
        <f t="shared" si="21"/>
        <v>4412167.0172727276</v>
      </c>
      <c r="Q88" s="423">
        <f>SUMIF('8.Dgia'!E:E,'9.may'!E88,'8.Dgia'!P:P)</f>
        <v>0</v>
      </c>
      <c r="R88" s="429">
        <f t="shared" si="15"/>
        <v>0</v>
      </c>
      <c r="S88" s="301">
        <f t="shared" si="16"/>
        <v>31320.290000000005</v>
      </c>
      <c r="T88" s="430">
        <f t="shared" si="17"/>
        <v>3955625.8172727269</v>
      </c>
      <c r="U88" s="431">
        <v>987928</v>
      </c>
      <c r="V88" s="431">
        <v>108001</v>
      </c>
      <c r="W88" s="432">
        <v>1682281</v>
      </c>
      <c r="Y88" s="433">
        <f t="shared" si="18"/>
        <v>-2273344.8172727269</v>
      </c>
      <c r="Z88" s="433">
        <f t="shared" si="19"/>
        <v>0</v>
      </c>
      <c r="AC88" s="410">
        <f t="shared" si="20"/>
        <v>0</v>
      </c>
    </row>
    <row r="89" spans="1:29" s="427" customFormat="1" ht="17.25" customHeight="1">
      <c r="A89" s="410">
        <v>1</v>
      </c>
      <c r="B89" s="417">
        <f>IF(A89&lt;&gt;0,COUNTA(A$19:$A89),"")</f>
        <v>17</v>
      </c>
      <c r="C89" s="428" t="s">
        <v>850</v>
      </c>
      <c r="D89" s="428" t="s">
        <v>851</v>
      </c>
      <c r="E89" s="435" t="s">
        <v>852</v>
      </c>
      <c r="F89" s="435" t="s">
        <v>4674</v>
      </c>
      <c r="G89" s="419">
        <v>153.9</v>
      </c>
      <c r="H89" s="419"/>
      <c r="I89" s="419"/>
      <c r="J89" s="419"/>
      <c r="K89" s="420">
        <v>1</v>
      </c>
      <c r="L89" s="420">
        <f t="shared" si="13"/>
        <v>119196</v>
      </c>
      <c r="M89" s="420">
        <f t="shared" si="14"/>
        <v>2165815</v>
      </c>
      <c r="N89" s="445">
        <f>SUMPRODUCT(G89:J89,$G$12:$J$12,$G$9:$J$9)</f>
        <v>2500344.7445454546</v>
      </c>
      <c r="O89" s="719"/>
      <c r="P89" s="719">
        <f t="shared" si="21"/>
        <v>5294246.0945454547</v>
      </c>
      <c r="Q89" s="423">
        <f>SUMIF('8.Dgia'!E:E,'9.may'!E89,'8.Dgia'!P:P)</f>
        <v>0</v>
      </c>
      <c r="R89" s="429">
        <f t="shared" si="15"/>
        <v>0</v>
      </c>
      <c r="S89" s="301">
        <f t="shared" si="16"/>
        <v>34566.840000000004</v>
      </c>
      <c r="T89" s="430">
        <f t="shared" si="17"/>
        <v>4700726.584545454</v>
      </c>
      <c r="U89" s="2053">
        <v>1101755</v>
      </c>
      <c r="V89" s="2053">
        <v>119196</v>
      </c>
      <c r="W89" s="2054">
        <v>2165815</v>
      </c>
      <c r="Y89" s="433">
        <f t="shared" si="18"/>
        <v>-2534911.584545454</v>
      </c>
      <c r="Z89" s="433">
        <f t="shared" si="19"/>
        <v>0</v>
      </c>
      <c r="AC89" s="410">
        <f t="shared" si="20"/>
        <v>0</v>
      </c>
    </row>
    <row r="90" spans="1:29" s="427" customFormat="1" ht="17.25" hidden="1" customHeight="1">
      <c r="B90" s="417" t="str">
        <f>IF(A90&lt;&gt;0,COUNTA(A$19:$A90),"")</f>
        <v/>
      </c>
      <c r="C90" s="428" t="s">
        <v>853</v>
      </c>
      <c r="D90" s="428"/>
      <c r="E90" s="435"/>
      <c r="F90" s="435"/>
      <c r="G90" s="419">
        <v>182.4</v>
      </c>
      <c r="H90" s="419"/>
      <c r="I90" s="419"/>
      <c r="J90" s="419"/>
      <c r="K90" s="420">
        <v>1</v>
      </c>
      <c r="L90" s="420">
        <f t="shared" si="13"/>
        <v>119196</v>
      </c>
      <c r="M90" s="420">
        <f t="shared" si="14"/>
        <v>2791845</v>
      </c>
      <c r="N90" s="445">
        <f>SUMPRODUCT(G90:J90,$G$12:$J$12,$G$9:$J$9)</f>
        <v>2963371.5490909088</v>
      </c>
      <c r="O90" s="719"/>
      <c r="P90" s="719">
        <f t="shared" si="21"/>
        <v>6564851.5990909096</v>
      </c>
      <c r="Q90" s="423">
        <f>SUMIF('8.Dgia'!E:E,'9.may'!E90,'8.Dgia'!P:P)</f>
        <v>0</v>
      </c>
      <c r="R90" s="429">
        <f t="shared" si="15"/>
        <v>0</v>
      </c>
      <c r="S90" s="301">
        <f t="shared" si="16"/>
        <v>34566.840000000004</v>
      </c>
      <c r="T90" s="430">
        <f t="shared" si="17"/>
        <v>5789783.3890909087</v>
      </c>
      <c r="U90" s="431">
        <v>1305783</v>
      </c>
      <c r="V90" s="431">
        <v>119196</v>
      </c>
      <c r="W90" s="432">
        <v>2791845</v>
      </c>
      <c r="Y90" s="433">
        <f t="shared" si="18"/>
        <v>-2997938.3890909087</v>
      </c>
      <c r="Z90" s="433">
        <f t="shared" si="19"/>
        <v>0</v>
      </c>
      <c r="AC90" s="410">
        <f t="shared" si="20"/>
        <v>0</v>
      </c>
    </row>
    <row r="91" spans="1:29" s="427" customFormat="1" ht="17.25" hidden="1" customHeight="1">
      <c r="B91" s="417" t="str">
        <f>IF(A91&lt;&gt;0,COUNTA(A$19:$A91),"")</f>
        <v/>
      </c>
      <c r="C91" s="418" t="s">
        <v>854</v>
      </c>
      <c r="D91" s="418"/>
      <c r="E91" s="435"/>
      <c r="F91" s="435"/>
      <c r="G91" s="419"/>
      <c r="H91" s="419"/>
      <c r="I91" s="419"/>
      <c r="J91" s="419"/>
      <c r="K91" s="420"/>
      <c r="L91" s="420">
        <f t="shared" si="13"/>
        <v>0</v>
      </c>
      <c r="M91" s="420">
        <f t="shared" si="14"/>
        <v>0</v>
      </c>
      <c r="N91" s="445"/>
      <c r="O91" s="719"/>
      <c r="P91" s="719">
        <f t="shared" si="21"/>
        <v>0</v>
      </c>
      <c r="Q91" s="423">
        <f>SUMIF('8.Dgia'!E:E,'9.may'!E91,'8.Dgia'!P:P)</f>
        <v>0</v>
      </c>
      <c r="R91" s="429">
        <f t="shared" si="15"/>
        <v>0</v>
      </c>
      <c r="S91" s="301">
        <f t="shared" si="16"/>
        <v>0</v>
      </c>
      <c r="T91" s="430">
        <f t="shared" si="17"/>
        <v>0</v>
      </c>
      <c r="U91" s="436"/>
      <c r="V91" s="436"/>
      <c r="W91" s="432"/>
      <c r="Y91" s="433">
        <f t="shared" si="18"/>
        <v>0</v>
      </c>
      <c r="Z91" s="433">
        <f t="shared" si="19"/>
        <v>0</v>
      </c>
      <c r="AC91" s="410">
        <f t="shared" si="20"/>
        <v>0</v>
      </c>
    </row>
    <row r="92" spans="1:29" s="427" customFormat="1" ht="17.25" hidden="1" customHeight="1">
      <c r="B92" s="417" t="str">
        <f>IF(A92&lt;&gt;0,COUNTA(A$19:$A92),"")</f>
        <v/>
      </c>
      <c r="C92" s="428" t="s">
        <v>855</v>
      </c>
      <c r="D92" s="428"/>
      <c r="E92" s="435"/>
      <c r="F92" s="435"/>
      <c r="G92" s="419">
        <v>19.440000000000001</v>
      </c>
      <c r="H92" s="419"/>
      <c r="I92" s="419"/>
      <c r="J92" s="419"/>
      <c r="K92" s="420">
        <v>1</v>
      </c>
      <c r="L92" s="420">
        <f t="shared" si="13"/>
        <v>48658</v>
      </c>
      <c r="M92" s="420">
        <f t="shared" si="14"/>
        <v>558344</v>
      </c>
      <c r="N92" s="445">
        <f>SUMPRODUCT(G92:J92,$G$12:$J$12,$G$9:$J$9)</f>
        <v>315833.02036363637</v>
      </c>
      <c r="O92" s="719"/>
      <c r="P92" s="719">
        <f t="shared" si="21"/>
        <v>1036096.7803636363</v>
      </c>
      <c r="Q92" s="423">
        <f>SUMIF('8.Dgia'!E:E,'9.may'!E92,'8.Dgia'!P:P)</f>
        <v>0</v>
      </c>
      <c r="R92" s="429">
        <f t="shared" si="15"/>
        <v>0</v>
      </c>
      <c r="S92" s="301">
        <f t="shared" si="16"/>
        <v>14110.820000000002</v>
      </c>
      <c r="T92" s="430">
        <f t="shared" si="17"/>
        <v>888287.84036363638</v>
      </c>
      <c r="U92" s="431">
        <v>139169</v>
      </c>
      <c r="V92" s="431">
        <v>48658</v>
      </c>
      <c r="W92" s="432">
        <v>558344</v>
      </c>
      <c r="Y92" s="433">
        <f t="shared" si="18"/>
        <v>-329943.84036363638</v>
      </c>
      <c r="Z92" s="433">
        <f t="shared" si="19"/>
        <v>0</v>
      </c>
      <c r="AC92" s="410">
        <f t="shared" si="20"/>
        <v>0</v>
      </c>
    </row>
    <row r="93" spans="1:29" s="427" customFormat="1" ht="17.25" hidden="1" customHeight="1">
      <c r="B93" s="417" t="str">
        <f>IF(A93&lt;&gt;0,COUNTA(A$19:$A93),"")</f>
        <v/>
      </c>
      <c r="C93" s="428" t="s">
        <v>856</v>
      </c>
      <c r="D93" s="428"/>
      <c r="E93" s="435"/>
      <c r="F93" s="435"/>
      <c r="G93" s="419">
        <v>32.4</v>
      </c>
      <c r="H93" s="419"/>
      <c r="I93" s="419"/>
      <c r="J93" s="419"/>
      <c r="K93" s="420">
        <v>1</v>
      </c>
      <c r="L93" s="420">
        <f t="shared" si="13"/>
        <v>48658</v>
      </c>
      <c r="M93" s="420">
        <f t="shared" si="14"/>
        <v>701715</v>
      </c>
      <c r="N93" s="445">
        <f>SUMPRODUCT(G93:J93,$G$12:$J$12,$G$9:$J$9)</f>
        <v>526388.36727272719</v>
      </c>
      <c r="O93" s="719"/>
      <c r="P93" s="719">
        <f t="shared" si="21"/>
        <v>1431600.7172727273</v>
      </c>
      <c r="Q93" s="423">
        <f>SUMIF('8.Dgia'!E:E,'9.may'!E93,'8.Dgia'!P:P)</f>
        <v>0</v>
      </c>
      <c r="R93" s="429">
        <f t="shared" si="15"/>
        <v>0</v>
      </c>
      <c r="S93" s="301">
        <f t="shared" si="16"/>
        <v>14110.820000000002</v>
      </c>
      <c r="T93" s="430">
        <f t="shared" si="17"/>
        <v>1242214.187272727</v>
      </c>
      <c r="U93" s="431">
        <v>231948</v>
      </c>
      <c r="V93" s="431">
        <v>48658</v>
      </c>
      <c r="W93" s="432">
        <v>701715</v>
      </c>
      <c r="Y93" s="433">
        <f t="shared" si="18"/>
        <v>-540499.18727272702</v>
      </c>
      <c r="Z93" s="433">
        <f t="shared" si="19"/>
        <v>0</v>
      </c>
      <c r="AC93" s="410">
        <f t="shared" si="20"/>
        <v>0</v>
      </c>
    </row>
    <row r="94" spans="1:29" s="427" customFormat="1" ht="17.25" customHeight="1">
      <c r="A94" s="410">
        <v>1</v>
      </c>
      <c r="B94" s="417">
        <f>IF(A94&lt;&gt;0,COUNTA(A$19:$A94),"")</f>
        <v>18</v>
      </c>
      <c r="C94" s="428" t="s">
        <v>824</v>
      </c>
      <c r="D94" s="428" t="s">
        <v>857</v>
      </c>
      <c r="E94" s="435" t="s">
        <v>858</v>
      </c>
      <c r="F94" s="435" t="s">
        <v>4675</v>
      </c>
      <c r="G94" s="419">
        <v>38.880000000000003</v>
      </c>
      <c r="H94" s="419"/>
      <c r="I94" s="419"/>
      <c r="J94" s="419"/>
      <c r="K94" s="420">
        <v>1</v>
      </c>
      <c r="L94" s="420">
        <f t="shared" si="13"/>
        <v>98673</v>
      </c>
      <c r="M94" s="420">
        <f t="shared" si="14"/>
        <v>817979</v>
      </c>
      <c r="N94" s="445">
        <f>SUMPRODUCT(G94:J94,$G$12:$J$12,$G$9:$J$9)</f>
        <v>631666.04072727275</v>
      </c>
      <c r="O94" s="719"/>
      <c r="P94" s="719">
        <f t="shared" si="21"/>
        <v>1686858.9507272728</v>
      </c>
      <c r="Q94" s="423" t="e">
        <f>SUMIF('8.Dgia'!E:E,'9.may'!E94,'8.Dgia'!P:P)</f>
        <v>#REF!</v>
      </c>
      <c r="R94" s="429" t="e">
        <f t="shared" si="15"/>
        <v>#REF!</v>
      </c>
      <c r="S94" s="301">
        <f t="shared" si="16"/>
        <v>28615.170000000002</v>
      </c>
      <c r="T94" s="430">
        <f t="shared" si="17"/>
        <v>1478260.2107272728</v>
      </c>
      <c r="U94" s="2053">
        <v>278338</v>
      </c>
      <c r="V94" s="2053">
        <v>98673</v>
      </c>
      <c r="W94" s="2054">
        <v>817979</v>
      </c>
      <c r="Y94" s="433">
        <f t="shared" si="18"/>
        <v>-660281.21072727279</v>
      </c>
      <c r="Z94" s="433">
        <f t="shared" si="19"/>
        <v>0</v>
      </c>
      <c r="AC94" s="410" t="e">
        <f t="shared" si="20"/>
        <v>#REF!</v>
      </c>
    </row>
    <row r="95" spans="1:29" s="427" customFormat="1" ht="17.25" hidden="1" customHeight="1">
      <c r="B95" s="417" t="str">
        <f>IF(A95&lt;&gt;0,COUNTA(A$19:$A95),"")</f>
        <v/>
      </c>
      <c r="C95" s="428" t="s">
        <v>830</v>
      </c>
      <c r="D95" s="428"/>
      <c r="E95" s="435"/>
      <c r="F95" s="435"/>
      <c r="G95" s="419">
        <v>54</v>
      </c>
      <c r="H95" s="419"/>
      <c r="I95" s="419"/>
      <c r="J95" s="419"/>
      <c r="K95" s="420">
        <v>1</v>
      </c>
      <c r="L95" s="420">
        <f t="shared" si="13"/>
        <v>98673</v>
      </c>
      <c r="M95" s="420">
        <f t="shared" si="14"/>
        <v>1205625</v>
      </c>
      <c r="N95" s="445">
        <f>SUMPRODUCT(G95:J95,$G$12:$J$12,$G$9:$J$9)</f>
        <v>877313.94545454544</v>
      </c>
      <c r="O95" s="719"/>
      <c r="P95" s="719">
        <f t="shared" si="21"/>
        <v>2432570.1954545453</v>
      </c>
      <c r="Q95" s="423">
        <f>SUMIF('8.Dgia'!E:E,'9.may'!E95,'8.Dgia'!P:P)</f>
        <v>0</v>
      </c>
      <c r="R95" s="429">
        <f t="shared" si="15"/>
        <v>0</v>
      </c>
      <c r="S95" s="301">
        <f t="shared" si="16"/>
        <v>28615.170000000002</v>
      </c>
      <c r="T95" s="430">
        <f t="shared" si="17"/>
        <v>2111554.1154545452</v>
      </c>
      <c r="U95" s="431">
        <v>386581</v>
      </c>
      <c r="V95" s="431">
        <v>98673</v>
      </c>
      <c r="W95" s="432">
        <v>1205625</v>
      </c>
      <c r="Y95" s="433">
        <f t="shared" si="18"/>
        <v>-905929.11545454524</v>
      </c>
      <c r="Z95" s="433">
        <f t="shared" si="19"/>
        <v>0</v>
      </c>
      <c r="AC95" s="410">
        <f t="shared" si="20"/>
        <v>0</v>
      </c>
    </row>
    <row r="96" spans="1:29" s="427" customFormat="1" ht="17.25" hidden="1" customHeight="1">
      <c r="B96" s="417" t="str">
        <f>IF(A96&lt;&gt;0,COUNTA(A$19:$A96),"")</f>
        <v/>
      </c>
      <c r="C96" s="428" t="s">
        <v>833</v>
      </c>
      <c r="D96" s="428"/>
      <c r="E96" s="435"/>
      <c r="F96" s="435"/>
      <c r="G96" s="419">
        <v>75</v>
      </c>
      <c r="H96" s="419"/>
      <c r="I96" s="419"/>
      <c r="J96" s="419"/>
      <c r="K96" s="420">
        <v>1</v>
      </c>
      <c r="L96" s="420">
        <f t="shared" si="13"/>
        <v>108001</v>
      </c>
      <c r="M96" s="420">
        <f t="shared" si="14"/>
        <v>1419149</v>
      </c>
      <c r="N96" s="445">
        <f>SUMPRODUCT(G96:J96,$G$12:$J$12,$G$9:$J$9)</f>
        <v>1218491.5909090908</v>
      </c>
      <c r="O96" s="719"/>
      <c r="P96" s="719">
        <f t="shared" si="21"/>
        <v>3049193.8009090908</v>
      </c>
      <c r="Q96" s="423">
        <f>SUMIF('8.Dgia'!E:E,'9.may'!E96,'8.Dgia'!P:P)</f>
        <v>0</v>
      </c>
      <c r="R96" s="429">
        <f t="shared" si="15"/>
        <v>0</v>
      </c>
      <c r="S96" s="301">
        <f t="shared" si="16"/>
        <v>31320.290000000005</v>
      </c>
      <c r="T96" s="430">
        <f t="shared" si="17"/>
        <v>2668960.8809090909</v>
      </c>
      <c r="U96" s="431">
        <v>536918</v>
      </c>
      <c r="V96" s="431">
        <v>108001</v>
      </c>
      <c r="W96" s="432">
        <v>1419149</v>
      </c>
      <c r="Y96" s="433">
        <f t="shared" si="18"/>
        <v>-1249811.8809090909</v>
      </c>
      <c r="Z96" s="433">
        <f t="shared" si="19"/>
        <v>0</v>
      </c>
      <c r="AC96" s="410">
        <f t="shared" si="20"/>
        <v>0</v>
      </c>
    </row>
    <row r="97" spans="1:29" s="427" customFormat="1" ht="17.25" hidden="1" customHeight="1">
      <c r="B97" s="417" t="str">
        <f>IF(A97&lt;&gt;0,COUNTA(A$19:$A97),"")</f>
        <v/>
      </c>
      <c r="C97" s="418" t="s">
        <v>859</v>
      </c>
      <c r="D97" s="418"/>
      <c r="E97" s="435"/>
      <c r="F97" s="435"/>
      <c r="G97" s="419"/>
      <c r="H97" s="419"/>
      <c r="I97" s="419"/>
      <c r="J97" s="419"/>
      <c r="K97" s="420"/>
      <c r="L97" s="420">
        <f t="shared" si="13"/>
        <v>0</v>
      </c>
      <c r="M97" s="420">
        <f t="shared" si="14"/>
        <v>0</v>
      </c>
      <c r="N97" s="445"/>
      <c r="O97" s="719"/>
      <c r="P97" s="719">
        <f t="shared" si="21"/>
        <v>0</v>
      </c>
      <c r="Q97" s="423">
        <f>SUMIF('8.Dgia'!E:E,'9.may'!E97,'8.Dgia'!P:P)</f>
        <v>0</v>
      </c>
      <c r="R97" s="429">
        <f t="shared" si="15"/>
        <v>0</v>
      </c>
      <c r="S97" s="301">
        <f t="shared" si="16"/>
        <v>0</v>
      </c>
      <c r="T97" s="430">
        <f t="shared" si="17"/>
        <v>0</v>
      </c>
      <c r="U97" s="436"/>
      <c r="V97" s="436"/>
      <c r="W97" s="432"/>
      <c r="Y97" s="433">
        <f t="shared" si="18"/>
        <v>0</v>
      </c>
      <c r="Z97" s="433">
        <f t="shared" si="19"/>
        <v>0</v>
      </c>
      <c r="AC97" s="410">
        <f t="shared" si="20"/>
        <v>0</v>
      </c>
    </row>
    <row r="98" spans="1:29" s="427" customFormat="1" ht="17.25" customHeight="1">
      <c r="A98" s="410">
        <v>1</v>
      </c>
      <c r="B98" s="417">
        <f>IF(A98&lt;&gt;0,COUNTA(A$19:$A98),"")</f>
        <v>19</v>
      </c>
      <c r="C98" s="428" t="s">
        <v>860</v>
      </c>
      <c r="D98" s="428" t="s">
        <v>332</v>
      </c>
      <c r="E98" s="435" t="s">
        <v>332</v>
      </c>
      <c r="F98" s="435" t="s">
        <v>4676</v>
      </c>
      <c r="G98" s="419"/>
      <c r="H98" s="419"/>
      <c r="I98" s="419">
        <v>3.06</v>
      </c>
      <c r="J98" s="419"/>
      <c r="K98" s="420">
        <v>1</v>
      </c>
      <c r="L98" s="420">
        <f t="shared" si="13"/>
        <v>41873</v>
      </c>
      <c r="M98" s="420">
        <f t="shared" si="14"/>
        <v>50799</v>
      </c>
      <c r="N98" s="445">
        <f>SUMPRODUCT(G98:J98,$G$12:$J$12,$G$9:$J$9)</f>
        <v>45699.667363636356</v>
      </c>
      <c r="O98" s="719"/>
      <c r="P98" s="719">
        <f t="shared" si="21"/>
        <v>111230.37736363636</v>
      </c>
      <c r="Q98" s="423" t="e">
        <f>SUMIF('8.Dgia'!E:E,'9.may'!E98,'8.Dgia'!P:P)</f>
        <v>#REF!</v>
      </c>
      <c r="R98" s="429" t="e">
        <f t="shared" si="15"/>
        <v>#REF!</v>
      </c>
      <c r="S98" s="301">
        <f t="shared" si="16"/>
        <v>12143.170000000002</v>
      </c>
      <c r="T98" s="430">
        <f t="shared" si="17"/>
        <v>108641.83736363635</v>
      </c>
      <c r="U98" s="2053">
        <v>26648</v>
      </c>
      <c r="V98" s="2053">
        <v>41873</v>
      </c>
      <c r="W98" s="2055">
        <v>50799</v>
      </c>
      <c r="Y98" s="433">
        <f t="shared" si="18"/>
        <v>-57842.837363636354</v>
      </c>
      <c r="Z98" s="433">
        <f t="shared" si="19"/>
        <v>0</v>
      </c>
      <c r="AC98" s="410" t="e">
        <f t="shared" si="20"/>
        <v>#REF!</v>
      </c>
    </row>
    <row r="99" spans="1:29" s="427" customFormat="1" ht="17.25" hidden="1" customHeight="1">
      <c r="B99" s="417" t="str">
        <f>IF(A99&lt;&gt;0,COUNTA(A$19:$A99),"")</f>
        <v/>
      </c>
      <c r="C99" s="428" t="s">
        <v>861</v>
      </c>
      <c r="D99" s="428"/>
      <c r="E99" s="435"/>
      <c r="F99" s="435"/>
      <c r="G99" s="419"/>
      <c r="H99" s="419"/>
      <c r="I99" s="419">
        <v>3.57</v>
      </c>
      <c r="J99" s="419"/>
      <c r="K99" s="420">
        <v>1</v>
      </c>
      <c r="L99" s="420">
        <f t="shared" si="13"/>
        <v>41873</v>
      </c>
      <c r="M99" s="420">
        <f t="shared" si="14"/>
        <v>84732</v>
      </c>
      <c r="N99" s="445">
        <f>SUMPRODUCT(G99:J99,$G$12:$J$12,$G$9:$J$9)</f>
        <v>53316.278590909082</v>
      </c>
      <c r="O99" s="719"/>
      <c r="P99" s="719">
        <f t="shared" si="21"/>
        <v>162620.55859090909</v>
      </c>
      <c r="Q99" s="423">
        <f>SUMIF('8.Dgia'!E:E,'9.may'!E99,'8.Dgia'!P:P)</f>
        <v>0</v>
      </c>
      <c r="R99" s="429">
        <f t="shared" si="15"/>
        <v>0</v>
      </c>
      <c r="S99" s="301">
        <f t="shared" si="16"/>
        <v>12143.170000000002</v>
      </c>
      <c r="T99" s="430">
        <f t="shared" si="17"/>
        <v>150191.44859090907</v>
      </c>
      <c r="U99" s="431">
        <v>31090</v>
      </c>
      <c r="V99" s="431">
        <v>41873</v>
      </c>
      <c r="W99" s="432">
        <v>84732</v>
      </c>
      <c r="Y99" s="433">
        <f t="shared" si="18"/>
        <v>-65459.448590909073</v>
      </c>
      <c r="Z99" s="433">
        <f t="shared" si="19"/>
        <v>0</v>
      </c>
      <c r="AC99" s="410">
        <f t="shared" si="20"/>
        <v>0</v>
      </c>
    </row>
    <row r="100" spans="1:29" s="427" customFormat="1" ht="17.25" hidden="1" customHeight="1">
      <c r="B100" s="417" t="str">
        <f>IF(A100&lt;&gt;0,COUNTA(A$19:$A100),"")</f>
        <v/>
      </c>
      <c r="C100" s="428" t="s">
        <v>862</v>
      </c>
      <c r="D100" s="428"/>
      <c r="E100" s="435"/>
      <c r="F100" s="435"/>
      <c r="G100" s="419"/>
      <c r="H100" s="419"/>
      <c r="I100" s="419">
        <v>4.08</v>
      </c>
      <c r="J100" s="419"/>
      <c r="K100" s="420">
        <v>1</v>
      </c>
      <c r="L100" s="420">
        <f t="shared" si="13"/>
        <v>41873</v>
      </c>
      <c r="M100" s="420">
        <f t="shared" si="14"/>
        <v>90127</v>
      </c>
      <c r="N100" s="445">
        <f>SUMPRODUCT(G100:J100,$G$12:$J$12,$G$9:$J$9)</f>
        <v>60932.889818181815</v>
      </c>
      <c r="O100" s="719"/>
      <c r="P100" s="719">
        <f t="shared" si="21"/>
        <v>177196.71981818182</v>
      </c>
      <c r="Q100" s="423">
        <f>SUMIF('8.Dgia'!E:E,'9.may'!E100,'8.Dgia'!P:P)</f>
        <v>0</v>
      </c>
      <c r="R100" s="429">
        <f t="shared" si="15"/>
        <v>0</v>
      </c>
      <c r="S100" s="301">
        <f t="shared" si="16"/>
        <v>12143.170000000002</v>
      </c>
      <c r="T100" s="430">
        <f t="shared" si="17"/>
        <v>163203.05981818182</v>
      </c>
      <c r="U100" s="431">
        <v>35531</v>
      </c>
      <c r="V100" s="431">
        <v>41873</v>
      </c>
      <c r="W100" s="432">
        <v>90127</v>
      </c>
      <c r="Y100" s="433">
        <f t="shared" si="18"/>
        <v>-73076.05981818182</v>
      </c>
      <c r="Z100" s="433">
        <f t="shared" si="19"/>
        <v>0</v>
      </c>
      <c r="AC100" s="410">
        <f t="shared" si="20"/>
        <v>0</v>
      </c>
    </row>
    <row r="101" spans="1:29" s="427" customFormat="1" ht="17.25" hidden="1" customHeight="1">
      <c r="B101" s="417" t="str">
        <f>IF(A101&lt;&gt;0,COUNTA(A$19:$A101),"")</f>
        <v/>
      </c>
      <c r="C101" s="428" t="s">
        <v>863</v>
      </c>
      <c r="D101" s="428"/>
      <c r="E101" s="435"/>
      <c r="F101" s="435"/>
      <c r="G101" s="419"/>
      <c r="H101" s="419"/>
      <c r="I101" s="419">
        <v>4.59</v>
      </c>
      <c r="J101" s="419"/>
      <c r="K101" s="420">
        <v>1</v>
      </c>
      <c r="L101" s="420">
        <f t="shared" si="13"/>
        <v>41873</v>
      </c>
      <c r="M101" s="420">
        <f t="shared" si="14"/>
        <v>95205</v>
      </c>
      <c r="N101" s="445">
        <f>SUMPRODUCT(G101:J101,$G$12:$J$12,$G$9:$J$9)</f>
        <v>68549.501045454526</v>
      </c>
      <c r="O101" s="719"/>
      <c r="P101" s="719">
        <f t="shared" si="21"/>
        <v>191363.95104545454</v>
      </c>
      <c r="Q101" s="423">
        <f>SUMIF('8.Dgia'!E:E,'9.may'!E101,'8.Dgia'!P:P)</f>
        <v>0</v>
      </c>
      <c r="R101" s="429">
        <f t="shared" si="15"/>
        <v>0</v>
      </c>
      <c r="S101" s="301">
        <f t="shared" si="16"/>
        <v>12143.170000000002</v>
      </c>
      <c r="T101" s="430">
        <f t="shared" si="17"/>
        <v>175897.67104545451</v>
      </c>
      <c r="U101" s="431">
        <v>39973</v>
      </c>
      <c r="V101" s="431">
        <v>41873</v>
      </c>
      <c r="W101" s="432">
        <v>95205</v>
      </c>
      <c r="Y101" s="433">
        <f t="shared" si="18"/>
        <v>-80692.67104545451</v>
      </c>
      <c r="Z101" s="433">
        <f t="shared" si="19"/>
        <v>0</v>
      </c>
      <c r="AC101" s="410">
        <f t="shared" si="20"/>
        <v>0</v>
      </c>
    </row>
    <row r="102" spans="1:29" s="427" customFormat="1" ht="17.25" hidden="1" customHeight="1">
      <c r="B102" s="417" t="str">
        <f>IF(A102&lt;&gt;0,COUNTA(A$19:$A102),"")</f>
        <v/>
      </c>
      <c r="C102" s="418" t="s">
        <v>864</v>
      </c>
      <c r="D102" s="418"/>
      <c r="E102" s="435"/>
      <c r="F102" s="435"/>
      <c r="G102" s="419"/>
      <c r="H102" s="419"/>
      <c r="I102" s="419"/>
      <c r="J102" s="419"/>
      <c r="K102" s="420"/>
      <c r="L102" s="420">
        <f t="shared" si="13"/>
        <v>0</v>
      </c>
      <c r="M102" s="420">
        <f t="shared" si="14"/>
        <v>0</v>
      </c>
      <c r="N102" s="445"/>
      <c r="O102" s="719"/>
      <c r="P102" s="719">
        <f t="shared" si="21"/>
        <v>0</v>
      </c>
      <c r="Q102" s="423">
        <f>SUMIF('8.Dgia'!E:E,'9.may'!E102,'8.Dgia'!P:P)</f>
        <v>0</v>
      </c>
      <c r="R102" s="429">
        <f t="shared" si="15"/>
        <v>0</v>
      </c>
      <c r="S102" s="301">
        <f t="shared" si="16"/>
        <v>0</v>
      </c>
      <c r="T102" s="430">
        <f t="shared" si="17"/>
        <v>0</v>
      </c>
      <c r="U102" s="436"/>
      <c r="V102" s="431"/>
      <c r="W102" s="432"/>
      <c r="Y102" s="433">
        <f t="shared" si="18"/>
        <v>0</v>
      </c>
      <c r="Z102" s="433">
        <f t="shared" si="19"/>
        <v>0</v>
      </c>
      <c r="AC102" s="410">
        <f t="shared" si="20"/>
        <v>0</v>
      </c>
    </row>
    <row r="103" spans="1:29" s="427" customFormat="1" ht="17.25" hidden="1" customHeight="1">
      <c r="B103" s="417" t="str">
        <f>IF(A103&lt;&gt;0,COUNTA(A$19:$A103),"")</f>
        <v/>
      </c>
      <c r="C103" s="428" t="s">
        <v>865</v>
      </c>
      <c r="D103" s="428"/>
      <c r="E103" s="435"/>
      <c r="F103" s="435"/>
      <c r="G103" s="419">
        <v>36</v>
      </c>
      <c r="H103" s="419"/>
      <c r="I103" s="419"/>
      <c r="J103" s="419"/>
      <c r="K103" s="420">
        <v>1</v>
      </c>
      <c r="L103" s="420">
        <f t="shared" si="13"/>
        <v>48658</v>
      </c>
      <c r="M103" s="420">
        <f t="shared" si="14"/>
        <v>373390</v>
      </c>
      <c r="N103" s="445">
        <f>SUMPRODUCT(G103:J103,$G$12:$J$12,$G$9:$J$9)</f>
        <v>584875.96363636351</v>
      </c>
      <c r="O103" s="719"/>
      <c r="P103" s="719">
        <f t="shared" si="21"/>
        <v>1066549.0636363635</v>
      </c>
      <c r="Q103" s="423">
        <f>SUMIF('8.Dgia'!E:E,'9.may'!E103,'8.Dgia'!P:P)</f>
        <v>0</v>
      </c>
      <c r="R103" s="429">
        <f t="shared" si="15"/>
        <v>0</v>
      </c>
      <c r="S103" s="301">
        <f t="shared" si="16"/>
        <v>14110.820000000002</v>
      </c>
      <c r="T103" s="430">
        <f t="shared" si="17"/>
        <v>972376.78363636346</v>
      </c>
      <c r="U103" s="431">
        <v>257720</v>
      </c>
      <c r="V103" s="431">
        <v>48658</v>
      </c>
      <c r="W103" s="432">
        <v>373390</v>
      </c>
      <c r="Y103" s="433">
        <f t="shared" si="18"/>
        <v>-598986.78363636346</v>
      </c>
      <c r="Z103" s="433">
        <f t="shared" si="19"/>
        <v>0</v>
      </c>
      <c r="AC103" s="410">
        <f t="shared" si="20"/>
        <v>0</v>
      </c>
    </row>
    <row r="104" spans="1:29" s="427" customFormat="1" ht="17.25" hidden="1" customHeight="1">
      <c r="B104" s="417" t="str">
        <f>IF(A104&lt;&gt;0,COUNTA(A$19:$A104),"")</f>
        <v/>
      </c>
      <c r="C104" s="428" t="s">
        <v>866</v>
      </c>
      <c r="D104" s="428"/>
      <c r="E104" s="435"/>
      <c r="F104" s="435"/>
      <c r="G104" s="419">
        <v>38.4</v>
      </c>
      <c r="H104" s="419"/>
      <c r="I104" s="419"/>
      <c r="J104" s="419"/>
      <c r="K104" s="420">
        <v>1</v>
      </c>
      <c r="L104" s="420">
        <f t="shared" si="13"/>
        <v>48658</v>
      </c>
      <c r="M104" s="420">
        <f t="shared" si="14"/>
        <v>480992</v>
      </c>
      <c r="N104" s="445">
        <f>SUMPRODUCT(G104:J104,$G$12:$J$12,$G$9:$J$9)</f>
        <v>623867.69454545446</v>
      </c>
      <c r="O104" s="719"/>
      <c r="P104" s="719">
        <f t="shared" si="21"/>
        <v>1244347.3745454545</v>
      </c>
      <c r="Q104" s="423">
        <f>SUMIF('8.Dgia'!E:E,'9.may'!E104,'8.Dgia'!P:P)</f>
        <v>0</v>
      </c>
      <c r="R104" s="429">
        <f t="shared" si="15"/>
        <v>0</v>
      </c>
      <c r="S104" s="301">
        <f t="shared" si="16"/>
        <v>14110.820000000002</v>
      </c>
      <c r="T104" s="430">
        <f t="shared" si="17"/>
        <v>1118970.5145454544</v>
      </c>
      <c r="U104" s="431">
        <v>274902</v>
      </c>
      <c r="V104" s="431">
        <v>48658</v>
      </c>
      <c r="W104" s="432">
        <v>480992</v>
      </c>
      <c r="Y104" s="433">
        <f t="shared" si="18"/>
        <v>-637978.51454545441</v>
      </c>
      <c r="Z104" s="433">
        <f t="shared" si="19"/>
        <v>0</v>
      </c>
      <c r="AC104" s="410">
        <f t="shared" si="20"/>
        <v>0</v>
      </c>
    </row>
    <row r="105" spans="1:29" s="427" customFormat="1" ht="17.25" customHeight="1">
      <c r="A105" s="410">
        <v>1</v>
      </c>
      <c r="B105" s="417">
        <f>IF(A105&lt;&gt;0,COUNTA(A$19:$A105),"")</f>
        <v>20</v>
      </c>
      <c r="C105" s="428" t="s">
        <v>867</v>
      </c>
      <c r="D105" s="428" t="s">
        <v>868</v>
      </c>
      <c r="E105" s="435" t="s">
        <v>869</v>
      </c>
      <c r="F105" s="435" t="s">
        <v>4677</v>
      </c>
      <c r="G105" s="419">
        <v>46.2</v>
      </c>
      <c r="H105" s="419"/>
      <c r="I105" s="419"/>
      <c r="J105" s="419"/>
      <c r="K105" s="420">
        <v>1</v>
      </c>
      <c r="L105" s="420">
        <f t="shared" si="13"/>
        <v>48658</v>
      </c>
      <c r="M105" s="420">
        <f t="shared" si="14"/>
        <v>578736</v>
      </c>
      <c r="N105" s="445">
        <f>SUMPRODUCT(G105:J105,$G$12:$J$12,$G$9:$J$9)</f>
        <v>750590.82</v>
      </c>
      <c r="O105" s="719"/>
      <c r="P105" s="719">
        <f t="shared" si="21"/>
        <v>1497160.26</v>
      </c>
      <c r="Q105" s="423">
        <f>SUMIF('8.Dgia'!E:E,'9.may'!E105,'8.Dgia'!P:P)</f>
        <v>0</v>
      </c>
      <c r="R105" s="429">
        <f t="shared" si="15"/>
        <v>0</v>
      </c>
      <c r="S105" s="301">
        <f t="shared" si="16"/>
        <v>14110.820000000002</v>
      </c>
      <c r="T105" s="430">
        <f t="shared" si="17"/>
        <v>1343437.64</v>
      </c>
      <c r="U105" s="2053">
        <v>330741</v>
      </c>
      <c r="V105" s="2053">
        <v>48658</v>
      </c>
      <c r="W105" s="2054">
        <v>578736</v>
      </c>
      <c r="Y105" s="433">
        <f t="shared" si="18"/>
        <v>-764701.6399999999</v>
      </c>
      <c r="Z105" s="433">
        <f t="shared" si="19"/>
        <v>0</v>
      </c>
      <c r="AC105" s="410">
        <f t="shared" si="20"/>
        <v>0</v>
      </c>
    </row>
    <row r="106" spans="1:29" s="427" customFormat="1" ht="17.25" hidden="1" customHeight="1">
      <c r="B106" s="417" t="str">
        <f>IF(A106&lt;&gt;0,COUNTA(A$19:$A106),"")</f>
        <v/>
      </c>
      <c r="C106" s="428" t="s">
        <v>870</v>
      </c>
      <c r="D106" s="428"/>
      <c r="E106" s="435"/>
      <c r="F106" s="435"/>
      <c r="G106" s="419">
        <v>54.6</v>
      </c>
      <c r="H106" s="419"/>
      <c r="I106" s="419"/>
      <c r="J106" s="419"/>
      <c r="K106" s="420">
        <v>1</v>
      </c>
      <c r="L106" s="420">
        <f t="shared" si="13"/>
        <v>56800</v>
      </c>
      <c r="M106" s="420">
        <f t="shared" si="14"/>
        <v>655424</v>
      </c>
      <c r="N106" s="445">
        <f>SUMPRODUCT(G106:J106,$G$12:$J$12,$G$9:$J$9)</f>
        <v>887061.87818181806</v>
      </c>
      <c r="O106" s="719"/>
      <c r="P106" s="719">
        <f t="shared" si="21"/>
        <v>1732558.8381818181</v>
      </c>
      <c r="Q106" s="423">
        <f>SUMIF('8.Dgia'!E:E,'9.may'!E106,'8.Dgia'!P:P)</f>
        <v>0</v>
      </c>
      <c r="R106" s="429">
        <f t="shared" si="15"/>
        <v>0</v>
      </c>
      <c r="S106" s="301">
        <f t="shared" si="16"/>
        <v>16472.000000000004</v>
      </c>
      <c r="T106" s="430">
        <f t="shared" si="17"/>
        <v>1558957.8781818179</v>
      </c>
      <c r="U106" s="431">
        <v>390876</v>
      </c>
      <c r="V106" s="431">
        <v>56800</v>
      </c>
      <c r="W106" s="432">
        <v>655424</v>
      </c>
      <c r="Y106" s="433">
        <f t="shared" si="18"/>
        <v>-903533.87818181794</v>
      </c>
      <c r="Z106" s="433">
        <f t="shared" si="19"/>
        <v>0</v>
      </c>
      <c r="AC106" s="410">
        <f t="shared" si="20"/>
        <v>0</v>
      </c>
    </row>
    <row r="107" spans="1:29" s="427" customFormat="1" ht="17.25" hidden="1" customHeight="1">
      <c r="B107" s="417" t="str">
        <f>IF(A107&lt;&gt;0,COUNTA(A$19:$A107),"")</f>
        <v/>
      </c>
      <c r="C107" s="428" t="s">
        <v>871</v>
      </c>
      <c r="D107" s="428"/>
      <c r="E107" s="435"/>
      <c r="F107" s="435"/>
      <c r="G107" s="419">
        <v>63</v>
      </c>
      <c r="H107" s="419"/>
      <c r="I107" s="419"/>
      <c r="J107" s="419"/>
      <c r="K107" s="420">
        <v>1</v>
      </c>
      <c r="L107" s="420">
        <f t="shared" si="13"/>
        <v>56800</v>
      </c>
      <c r="M107" s="420">
        <f t="shared" si="14"/>
        <v>674958</v>
      </c>
      <c r="N107" s="445">
        <f>SUMPRODUCT(G107:J107,$G$12:$J$12,$G$9:$J$9)</f>
        <v>1023532.9363636363</v>
      </c>
      <c r="O107" s="719"/>
      <c r="P107" s="719">
        <f t="shared" si="21"/>
        <v>1894228.7563636363</v>
      </c>
      <c r="Q107" s="423">
        <f>SUMIF('8.Dgia'!E:E,'9.may'!E107,'8.Dgia'!P:P)</f>
        <v>0</v>
      </c>
      <c r="R107" s="429">
        <f t="shared" si="15"/>
        <v>0</v>
      </c>
      <c r="S107" s="301">
        <f t="shared" si="16"/>
        <v>16472.000000000004</v>
      </c>
      <c r="T107" s="430">
        <f t="shared" si="17"/>
        <v>1714962.9363636363</v>
      </c>
      <c r="U107" s="431">
        <v>451011</v>
      </c>
      <c r="V107" s="431">
        <v>56800</v>
      </c>
      <c r="W107" s="432">
        <v>674958</v>
      </c>
      <c r="Y107" s="433">
        <f t="shared" si="18"/>
        <v>-1040004.9363636363</v>
      </c>
      <c r="Z107" s="433">
        <f t="shared" si="19"/>
        <v>0</v>
      </c>
      <c r="AC107" s="410">
        <f t="shared" si="20"/>
        <v>0</v>
      </c>
    </row>
    <row r="108" spans="1:29" s="427" customFormat="1" ht="17.25" hidden="1" customHeight="1">
      <c r="B108" s="417" t="str">
        <f>IF(A108&lt;&gt;0,COUNTA(A$19:$A108),"")</f>
        <v/>
      </c>
      <c r="C108" s="418" t="s">
        <v>872</v>
      </c>
      <c r="D108" s="418"/>
      <c r="E108" s="435"/>
      <c r="F108" s="435"/>
      <c r="G108" s="419"/>
      <c r="H108" s="419"/>
      <c r="I108" s="419"/>
      <c r="J108" s="419"/>
      <c r="K108" s="420"/>
      <c r="L108" s="420">
        <f t="shared" si="13"/>
        <v>0</v>
      </c>
      <c r="M108" s="420">
        <f t="shared" si="14"/>
        <v>0</v>
      </c>
      <c r="N108" s="445"/>
      <c r="O108" s="719"/>
      <c r="P108" s="719">
        <f t="shared" si="21"/>
        <v>0</v>
      </c>
      <c r="Q108" s="423">
        <f>SUMIF('8.Dgia'!E:E,'9.may'!E108,'8.Dgia'!P:P)</f>
        <v>0</v>
      </c>
      <c r="R108" s="429">
        <f t="shared" si="15"/>
        <v>0</v>
      </c>
      <c r="S108" s="301">
        <f t="shared" si="16"/>
        <v>0</v>
      </c>
      <c r="T108" s="430">
        <f t="shared" si="17"/>
        <v>0</v>
      </c>
      <c r="U108" s="436"/>
      <c r="V108" s="431"/>
      <c r="W108" s="432"/>
      <c r="Y108" s="433">
        <f t="shared" si="18"/>
        <v>0</v>
      </c>
      <c r="Z108" s="433">
        <f t="shared" si="19"/>
        <v>0</v>
      </c>
      <c r="AC108" s="410">
        <f t="shared" si="20"/>
        <v>0</v>
      </c>
    </row>
    <row r="109" spans="1:29" s="427" customFormat="1" ht="17.25" customHeight="1">
      <c r="A109" s="410">
        <v>1</v>
      </c>
      <c r="B109" s="417">
        <f>IF(A109&lt;&gt;0,COUNTA(A$19:$A109),"")</f>
        <v>21</v>
      </c>
      <c r="C109" s="428" t="s">
        <v>873</v>
      </c>
      <c r="D109" s="428" t="s">
        <v>874</v>
      </c>
      <c r="E109" s="435" t="s">
        <v>875</v>
      </c>
      <c r="F109" s="435" t="s">
        <v>4678</v>
      </c>
      <c r="G109" s="419">
        <v>37.799999999999997</v>
      </c>
      <c r="H109" s="419"/>
      <c r="I109" s="419"/>
      <c r="J109" s="419"/>
      <c r="K109" s="420">
        <v>1</v>
      </c>
      <c r="L109" s="420">
        <f t="shared" si="13"/>
        <v>56800</v>
      </c>
      <c r="M109" s="420">
        <f t="shared" si="14"/>
        <v>604874</v>
      </c>
      <c r="N109" s="445">
        <f>SUMPRODUCT(G109:J109,$G$12:$J$12,$G$9:$J$9)</f>
        <v>614119.76181818172</v>
      </c>
      <c r="O109" s="719"/>
      <c r="P109" s="719">
        <f t="shared" si="21"/>
        <v>1394407.2218181817</v>
      </c>
      <c r="Q109" s="423" t="e">
        <f>SUMIF('8.Dgia'!E:E,'9.may'!E109,'8.Dgia'!P:P)</f>
        <v>#REF!</v>
      </c>
      <c r="R109" s="429" t="e">
        <f t="shared" si="15"/>
        <v>#REF!</v>
      </c>
      <c r="S109" s="301">
        <f t="shared" si="16"/>
        <v>16472.000000000004</v>
      </c>
      <c r="T109" s="430">
        <f t="shared" si="17"/>
        <v>1235465.7618181817</v>
      </c>
      <c r="U109" s="2053">
        <v>270606</v>
      </c>
      <c r="V109" s="2053">
        <v>56800</v>
      </c>
      <c r="W109" s="2054">
        <v>604874</v>
      </c>
      <c r="Y109" s="433">
        <f t="shared" si="18"/>
        <v>-630591.76181818172</v>
      </c>
      <c r="Z109" s="433">
        <f t="shared" si="19"/>
        <v>0</v>
      </c>
      <c r="AC109" s="410" t="e">
        <f t="shared" si="20"/>
        <v>#REF!</v>
      </c>
    </row>
    <row r="110" spans="1:29" s="427" customFormat="1" ht="17.25" hidden="1" customHeight="1">
      <c r="B110" s="417" t="str">
        <f>IF(A110&lt;&gt;0,COUNTA(A$19:$A110),"")</f>
        <v/>
      </c>
      <c r="C110" s="428" t="s">
        <v>876</v>
      </c>
      <c r="D110" s="428"/>
      <c r="E110" s="435"/>
      <c r="F110" s="435"/>
      <c r="G110" s="419">
        <v>42</v>
      </c>
      <c r="H110" s="419"/>
      <c r="I110" s="419"/>
      <c r="J110" s="419"/>
      <c r="K110" s="420">
        <v>1</v>
      </c>
      <c r="L110" s="420">
        <f t="shared" si="13"/>
        <v>56800</v>
      </c>
      <c r="M110" s="420">
        <f t="shared" si="14"/>
        <v>634238</v>
      </c>
      <c r="N110" s="445">
        <f>SUMPRODUCT(G110:J110,$G$12:$J$12,$G$9:$J$9)</f>
        <v>682355.29090909078</v>
      </c>
      <c r="O110" s="719"/>
      <c r="P110" s="719">
        <f t="shared" si="21"/>
        <v>1500522.3109090908</v>
      </c>
      <c r="Q110" s="423">
        <f>SUMIF('8.Dgia'!E:E,'9.may'!E110,'8.Dgia'!P:P)</f>
        <v>0</v>
      </c>
      <c r="R110" s="429">
        <f t="shared" si="15"/>
        <v>0</v>
      </c>
      <c r="S110" s="301">
        <f t="shared" si="16"/>
        <v>16472.000000000004</v>
      </c>
      <c r="T110" s="430">
        <f t="shared" si="17"/>
        <v>1333065.2909090908</v>
      </c>
      <c r="U110" s="431">
        <v>300674</v>
      </c>
      <c r="V110" s="431">
        <v>56800</v>
      </c>
      <c r="W110" s="432">
        <v>634238</v>
      </c>
      <c r="Y110" s="433">
        <f t="shared" si="18"/>
        <v>-698827.29090909078</v>
      </c>
      <c r="Z110" s="433">
        <f t="shared" si="19"/>
        <v>0</v>
      </c>
      <c r="AC110" s="410">
        <f t="shared" si="20"/>
        <v>0</v>
      </c>
    </row>
    <row r="111" spans="1:29" s="427" customFormat="1" ht="17.25" customHeight="1">
      <c r="A111" s="410">
        <v>1</v>
      </c>
      <c r="B111" s="417">
        <f>IF(A111&lt;&gt;0,COUNTA(A$19:$A111),"")</f>
        <v>22</v>
      </c>
      <c r="C111" s="428" t="s">
        <v>870</v>
      </c>
      <c r="D111" s="428" t="s">
        <v>877</v>
      </c>
      <c r="E111" s="435" t="s">
        <v>878</v>
      </c>
      <c r="F111" s="435" t="s">
        <v>4679</v>
      </c>
      <c r="G111" s="419">
        <v>54.6</v>
      </c>
      <c r="H111" s="419"/>
      <c r="I111" s="419"/>
      <c r="J111" s="419"/>
      <c r="K111" s="420">
        <v>1</v>
      </c>
      <c r="L111" s="420">
        <f t="shared" si="13"/>
        <v>56800</v>
      </c>
      <c r="M111" s="420">
        <f t="shared" si="14"/>
        <v>707911</v>
      </c>
      <c r="N111" s="445">
        <f>SUMPRODUCT(G111:J111,$G$12:$J$12,$G$9:$J$9)</f>
        <v>887061.87818181806</v>
      </c>
      <c r="O111" s="719"/>
      <c r="P111" s="719">
        <f t="shared" si="21"/>
        <v>1800267.0681818181</v>
      </c>
      <c r="Q111" s="423" t="e">
        <f>SUMIF('8.Dgia'!E:E,'9.may'!E111,'8.Dgia'!P:P)</f>
        <v>#REF!</v>
      </c>
      <c r="R111" s="429" t="e">
        <f t="shared" si="15"/>
        <v>#REF!</v>
      </c>
      <c r="S111" s="301">
        <f t="shared" si="16"/>
        <v>16472.000000000004</v>
      </c>
      <c r="T111" s="430">
        <f t="shared" si="17"/>
        <v>1611444.8781818179</v>
      </c>
      <c r="U111" s="2053">
        <v>390876</v>
      </c>
      <c r="V111" s="2053">
        <v>56800</v>
      </c>
      <c r="W111" s="2054">
        <v>707911</v>
      </c>
      <c r="Y111" s="433">
        <f t="shared" si="18"/>
        <v>-903533.87818181794</v>
      </c>
      <c r="Z111" s="433">
        <f t="shared" si="19"/>
        <v>0</v>
      </c>
      <c r="AC111" s="410" t="e">
        <f t="shared" si="20"/>
        <v>#REF!</v>
      </c>
    </row>
    <row r="112" spans="1:29" s="427" customFormat="1" ht="17.25" hidden="1" customHeight="1">
      <c r="B112" s="417" t="str">
        <f>IF(A112&lt;&gt;0,COUNTA(A$19:$A112),"")</f>
        <v/>
      </c>
      <c r="C112" s="418" t="s">
        <v>879</v>
      </c>
      <c r="D112" s="418"/>
      <c r="E112" s="435"/>
      <c r="F112" s="435"/>
      <c r="G112" s="419"/>
      <c r="H112" s="419"/>
      <c r="I112" s="419"/>
      <c r="J112" s="419"/>
      <c r="K112" s="420"/>
      <c r="L112" s="420">
        <f t="shared" si="13"/>
        <v>0</v>
      </c>
      <c r="M112" s="420">
        <f t="shared" si="14"/>
        <v>0</v>
      </c>
      <c r="N112" s="445"/>
      <c r="O112" s="719"/>
      <c r="P112" s="719">
        <f t="shared" si="21"/>
        <v>0</v>
      </c>
      <c r="Q112" s="423">
        <f>SUMIF('8.Dgia'!E:E,'9.may'!E112,'8.Dgia'!P:P)</f>
        <v>0</v>
      </c>
      <c r="R112" s="429">
        <f t="shared" si="15"/>
        <v>0</v>
      </c>
      <c r="S112" s="301">
        <f t="shared" si="16"/>
        <v>0</v>
      </c>
      <c r="T112" s="430">
        <f t="shared" si="17"/>
        <v>0</v>
      </c>
      <c r="U112" s="436"/>
      <c r="V112" s="431"/>
      <c r="W112" s="432"/>
      <c r="Y112" s="433">
        <f t="shared" si="18"/>
        <v>0</v>
      </c>
      <c r="Z112" s="433">
        <f t="shared" si="19"/>
        <v>0</v>
      </c>
      <c r="AC112" s="410">
        <f t="shared" si="20"/>
        <v>0</v>
      </c>
    </row>
    <row r="113" spans="1:29" s="427" customFormat="1" ht="17.25" hidden="1" customHeight="1">
      <c r="B113" s="417" t="str">
        <f>IF(A113&lt;&gt;0,COUNTA(A$19:$A113),"")</f>
        <v/>
      </c>
      <c r="C113" s="428" t="s">
        <v>880</v>
      </c>
      <c r="D113" s="428"/>
      <c r="E113" s="435"/>
      <c r="F113" s="435"/>
      <c r="G113" s="419">
        <v>19.2</v>
      </c>
      <c r="H113" s="419"/>
      <c r="I113" s="419"/>
      <c r="J113" s="419"/>
      <c r="K113" s="420">
        <v>1</v>
      </c>
      <c r="L113" s="420">
        <f t="shared" si="13"/>
        <v>48658</v>
      </c>
      <c r="M113" s="420">
        <f t="shared" si="14"/>
        <v>710466</v>
      </c>
      <c r="N113" s="445">
        <f>SUMPRODUCT(G113:J113,$G$12:$J$12,$G$9:$J$9)</f>
        <v>311933.84727272723</v>
      </c>
      <c r="O113" s="719"/>
      <c r="P113" s="719">
        <f t="shared" si="21"/>
        <v>1228434.9872727273</v>
      </c>
      <c r="Q113" s="423">
        <f>SUMIF('8.Dgia'!E:E,'9.may'!E113,'8.Dgia'!P:P)</f>
        <v>0</v>
      </c>
      <c r="R113" s="429">
        <f t="shared" si="15"/>
        <v>0</v>
      </c>
      <c r="S113" s="301">
        <f t="shared" si="16"/>
        <v>14110.820000000002</v>
      </c>
      <c r="T113" s="430">
        <f t="shared" si="17"/>
        <v>1036510.6672727272</v>
      </c>
      <c r="U113" s="431">
        <v>137451</v>
      </c>
      <c r="V113" s="431">
        <v>48658</v>
      </c>
      <c r="W113" s="432">
        <v>710466</v>
      </c>
      <c r="Y113" s="433">
        <f t="shared" si="18"/>
        <v>-326044.66727272724</v>
      </c>
      <c r="Z113" s="433">
        <f t="shared" si="19"/>
        <v>0</v>
      </c>
      <c r="AC113" s="410">
        <f t="shared" si="20"/>
        <v>0</v>
      </c>
    </row>
    <row r="114" spans="1:29" s="427" customFormat="1" ht="17.25" hidden="1" customHeight="1">
      <c r="B114" s="417" t="str">
        <f>IF(A114&lt;&gt;0,COUNTA(A$19:$A114),"")</f>
        <v/>
      </c>
      <c r="C114" s="428" t="s">
        <v>881</v>
      </c>
      <c r="D114" s="428"/>
      <c r="E114" s="435"/>
      <c r="F114" s="435"/>
      <c r="G114" s="419">
        <v>38.64</v>
      </c>
      <c r="H114" s="419"/>
      <c r="I114" s="419"/>
      <c r="J114" s="419"/>
      <c r="K114" s="420">
        <v>1</v>
      </c>
      <c r="L114" s="420">
        <f t="shared" si="13"/>
        <v>48658</v>
      </c>
      <c r="M114" s="420">
        <f t="shared" si="14"/>
        <v>1092533</v>
      </c>
      <c r="N114" s="445">
        <f>SUMPRODUCT(G114:J114,$G$12:$J$12,$G$9:$J$9)</f>
        <v>627766.86763636349</v>
      </c>
      <c r="O114" s="719"/>
      <c r="P114" s="719">
        <f t="shared" si="21"/>
        <v>2037134.4376363636</v>
      </c>
      <c r="Q114" s="423">
        <f>SUMIF('8.Dgia'!E:E,'9.may'!E114,'8.Dgia'!P:P)</f>
        <v>0</v>
      </c>
      <c r="R114" s="429">
        <f t="shared" si="15"/>
        <v>0</v>
      </c>
      <c r="S114" s="301">
        <f t="shared" si="16"/>
        <v>14110.820000000002</v>
      </c>
      <c r="T114" s="430">
        <f t="shared" si="17"/>
        <v>1734410.6876363633</v>
      </c>
      <c r="U114" s="431">
        <v>276620</v>
      </c>
      <c r="V114" s="431">
        <v>48658</v>
      </c>
      <c r="W114" s="432">
        <v>1092533</v>
      </c>
      <c r="Y114" s="433">
        <f t="shared" si="18"/>
        <v>-641877.68763636332</v>
      </c>
      <c r="Z114" s="433">
        <f t="shared" si="19"/>
        <v>0</v>
      </c>
      <c r="AC114" s="410">
        <f t="shared" si="20"/>
        <v>0</v>
      </c>
    </row>
    <row r="115" spans="1:29" s="427" customFormat="1" ht="17.25" hidden="1" customHeight="1">
      <c r="B115" s="417" t="str">
        <f>IF(A115&lt;&gt;0,COUNTA(A$19:$A115),"")</f>
        <v/>
      </c>
      <c r="C115" s="428" t="s">
        <v>882</v>
      </c>
      <c r="D115" s="428"/>
      <c r="E115" s="435"/>
      <c r="F115" s="435"/>
      <c r="G115" s="419">
        <v>52.8</v>
      </c>
      <c r="H115" s="419"/>
      <c r="I115" s="419"/>
      <c r="J115" s="419"/>
      <c r="K115" s="420">
        <v>1</v>
      </c>
      <c r="L115" s="420">
        <f t="shared" si="13"/>
        <v>48658</v>
      </c>
      <c r="M115" s="420">
        <f t="shared" si="14"/>
        <v>1300107</v>
      </c>
      <c r="N115" s="445">
        <f>SUMPRODUCT(G115:J115,$G$12:$J$12,$G$9:$J$9)</f>
        <v>857818.07999999984</v>
      </c>
      <c r="O115" s="719"/>
      <c r="P115" s="719">
        <f t="shared" si="21"/>
        <v>2534956.11</v>
      </c>
      <c r="Q115" s="423">
        <f>SUMIF('8.Dgia'!E:E,'9.may'!E115,'8.Dgia'!P:P)</f>
        <v>0</v>
      </c>
      <c r="R115" s="429">
        <f t="shared" si="15"/>
        <v>0</v>
      </c>
      <c r="S115" s="301">
        <f t="shared" si="16"/>
        <v>14110.820000000002</v>
      </c>
      <c r="T115" s="430">
        <f t="shared" si="17"/>
        <v>2172035.9</v>
      </c>
      <c r="U115" s="431">
        <v>377990</v>
      </c>
      <c r="V115" s="431">
        <v>48658</v>
      </c>
      <c r="W115" s="432">
        <v>1300107</v>
      </c>
      <c r="Y115" s="433">
        <f t="shared" si="18"/>
        <v>-871928.89999999991</v>
      </c>
      <c r="Z115" s="433">
        <f t="shared" si="19"/>
        <v>0</v>
      </c>
      <c r="AC115" s="410">
        <f t="shared" si="20"/>
        <v>0</v>
      </c>
    </row>
    <row r="116" spans="1:29" s="427" customFormat="1" ht="17.25" customHeight="1">
      <c r="A116" s="410">
        <v>1</v>
      </c>
      <c r="B116" s="417">
        <f>IF(A116&lt;&gt;0,COUNTA(A$19:$A116),"")</f>
        <v>23</v>
      </c>
      <c r="C116" s="428" t="s">
        <v>883</v>
      </c>
      <c r="D116" s="428" t="s">
        <v>884</v>
      </c>
      <c r="E116" s="435" t="s">
        <v>365</v>
      </c>
      <c r="F116" s="435" t="s">
        <v>4680</v>
      </c>
      <c r="G116" s="419">
        <v>67.2</v>
      </c>
      <c r="H116" s="419"/>
      <c r="I116" s="419"/>
      <c r="J116" s="419"/>
      <c r="K116" s="420">
        <v>1</v>
      </c>
      <c r="L116" s="420">
        <f t="shared" si="13"/>
        <v>48658</v>
      </c>
      <c r="M116" s="420">
        <f t="shared" si="14"/>
        <v>1488916</v>
      </c>
      <c r="N116" s="445">
        <f>SUMPRODUCT(G116:J116,$G$12:$J$12,$G$9:$J$9)</f>
        <v>1091768.4654545453</v>
      </c>
      <c r="O116" s="719"/>
      <c r="P116" s="719">
        <f t="shared" si="21"/>
        <v>3012470.1054545455</v>
      </c>
      <c r="Q116" s="423" t="e">
        <f>SUMIF('8.Dgia'!E:E,'9.may'!E116,'8.Dgia'!P:P)</f>
        <v>#REF!</v>
      </c>
      <c r="R116" s="429" t="e">
        <f t="shared" si="15"/>
        <v>#REF!</v>
      </c>
      <c r="S116" s="301">
        <f t="shared" si="16"/>
        <v>14110.820000000002</v>
      </c>
      <c r="T116" s="430">
        <f t="shared" si="17"/>
        <v>2594795.2854545452</v>
      </c>
      <c r="U116" s="2053">
        <v>481078</v>
      </c>
      <c r="V116" s="2053">
        <v>48658</v>
      </c>
      <c r="W116" s="2054">
        <v>1488916</v>
      </c>
      <c r="Y116" s="433">
        <f t="shared" si="18"/>
        <v>-1105879.2854545452</v>
      </c>
      <c r="Z116" s="433">
        <f t="shared" si="19"/>
        <v>0</v>
      </c>
      <c r="AC116" s="410" t="e">
        <f t="shared" si="20"/>
        <v>#REF!</v>
      </c>
    </row>
    <row r="117" spans="1:29" s="427" customFormat="1" ht="17.25" hidden="1" customHeight="1">
      <c r="B117" s="417" t="str">
        <f>IF(A117&lt;&gt;0,COUNTA(A$19:$A117),"")</f>
        <v/>
      </c>
      <c r="C117" s="418" t="s">
        <v>885</v>
      </c>
      <c r="D117" s="418"/>
      <c r="E117" s="435"/>
      <c r="F117" s="435"/>
      <c r="G117" s="419"/>
      <c r="H117" s="419"/>
      <c r="I117" s="419"/>
      <c r="J117" s="419"/>
      <c r="K117" s="420"/>
      <c r="L117" s="420">
        <f t="shared" si="13"/>
        <v>0</v>
      </c>
      <c r="M117" s="420">
        <f t="shared" si="14"/>
        <v>0</v>
      </c>
      <c r="N117" s="445"/>
      <c r="O117" s="719"/>
      <c r="P117" s="719">
        <f t="shared" si="21"/>
        <v>0</v>
      </c>
      <c r="Q117" s="423">
        <f>SUMIF('8.Dgia'!E:E,'9.may'!E117,'8.Dgia'!P:P)</f>
        <v>0</v>
      </c>
      <c r="R117" s="429">
        <f t="shared" si="15"/>
        <v>0</v>
      </c>
      <c r="S117" s="301">
        <f t="shared" si="16"/>
        <v>0</v>
      </c>
      <c r="T117" s="430">
        <f t="shared" si="17"/>
        <v>0</v>
      </c>
      <c r="U117" s="436"/>
      <c r="V117" s="431"/>
      <c r="W117" s="432"/>
      <c r="Y117" s="433">
        <f t="shared" si="18"/>
        <v>0</v>
      </c>
      <c r="Z117" s="433">
        <f t="shared" si="19"/>
        <v>0</v>
      </c>
      <c r="AC117" s="410">
        <f t="shared" si="20"/>
        <v>0</v>
      </c>
    </row>
    <row r="118" spans="1:29" s="427" customFormat="1" ht="17.25" hidden="1" customHeight="1">
      <c r="B118" s="417" t="str">
        <f>IF(A118&lt;&gt;0,COUNTA(A$19:$A118),"")</f>
        <v/>
      </c>
      <c r="C118" s="428" t="s">
        <v>886</v>
      </c>
      <c r="D118" s="428"/>
      <c r="E118" s="435"/>
      <c r="F118" s="435"/>
      <c r="G118" s="419">
        <v>25.92</v>
      </c>
      <c r="H118" s="419"/>
      <c r="I118" s="419"/>
      <c r="J118" s="419"/>
      <c r="K118" s="420">
        <v>1</v>
      </c>
      <c r="L118" s="420">
        <f t="shared" si="13"/>
        <v>48658</v>
      </c>
      <c r="M118" s="420">
        <f t="shared" si="14"/>
        <v>542507</v>
      </c>
      <c r="N118" s="445">
        <f>SUMPRODUCT(G118:J118,$G$12:$J$12,$G$9:$J$9)</f>
        <v>421110.69381818181</v>
      </c>
      <c r="O118" s="719"/>
      <c r="P118" s="719">
        <f t="shared" si="21"/>
        <v>1120944.7238181818</v>
      </c>
      <c r="Q118" s="423">
        <f>SUMIF('8.Dgia'!E:E,'9.may'!E118,'8.Dgia'!P:P)</f>
        <v>0</v>
      </c>
      <c r="R118" s="429">
        <f t="shared" si="15"/>
        <v>0</v>
      </c>
      <c r="S118" s="301">
        <f t="shared" si="16"/>
        <v>14110.820000000002</v>
      </c>
      <c r="T118" s="430">
        <f t="shared" si="17"/>
        <v>977728.51381818182</v>
      </c>
      <c r="U118" s="431">
        <v>185559</v>
      </c>
      <c r="V118" s="431">
        <v>48658</v>
      </c>
      <c r="W118" s="432">
        <v>542507</v>
      </c>
      <c r="Y118" s="433">
        <f t="shared" si="18"/>
        <v>-435221.51381818182</v>
      </c>
      <c r="Z118" s="433">
        <f t="shared" si="19"/>
        <v>0</v>
      </c>
      <c r="AC118" s="410">
        <f t="shared" si="20"/>
        <v>0</v>
      </c>
    </row>
    <row r="119" spans="1:29" s="427" customFormat="1" ht="17.25" hidden="1" customHeight="1">
      <c r="B119" s="417" t="str">
        <f>IF(A119&lt;&gt;0,COUNTA(A$19:$A119),"")</f>
        <v/>
      </c>
      <c r="C119" s="428" t="s">
        <v>865</v>
      </c>
      <c r="D119" s="428"/>
      <c r="E119" s="435"/>
      <c r="F119" s="435"/>
      <c r="G119" s="419">
        <v>36</v>
      </c>
      <c r="H119" s="419"/>
      <c r="I119" s="419"/>
      <c r="J119" s="419"/>
      <c r="K119" s="420">
        <v>1</v>
      </c>
      <c r="L119" s="420">
        <f t="shared" si="13"/>
        <v>48658</v>
      </c>
      <c r="M119" s="420">
        <f t="shared" si="14"/>
        <v>621382</v>
      </c>
      <c r="N119" s="445">
        <f>SUMPRODUCT(G119:J119,$G$12:$J$12,$G$9:$J$9)</f>
        <v>584875.96363636351</v>
      </c>
      <c r="O119" s="719"/>
      <c r="P119" s="719">
        <f t="shared" si="21"/>
        <v>1386458.7436363637</v>
      </c>
      <c r="Q119" s="423">
        <f>SUMIF('8.Dgia'!E:E,'9.may'!E119,'8.Dgia'!P:P)</f>
        <v>0</v>
      </c>
      <c r="R119" s="429">
        <f t="shared" si="15"/>
        <v>0</v>
      </c>
      <c r="S119" s="301">
        <f t="shared" si="16"/>
        <v>14110.820000000002</v>
      </c>
      <c r="T119" s="430">
        <f t="shared" si="17"/>
        <v>1220368.7836363635</v>
      </c>
      <c r="U119" s="431">
        <v>257720</v>
      </c>
      <c r="V119" s="431">
        <v>48658</v>
      </c>
      <c r="W119" s="432">
        <v>621382</v>
      </c>
      <c r="Y119" s="433">
        <f t="shared" si="18"/>
        <v>-598986.78363636346</v>
      </c>
      <c r="Z119" s="433">
        <f t="shared" si="19"/>
        <v>0</v>
      </c>
      <c r="AC119" s="410">
        <f t="shared" si="20"/>
        <v>0</v>
      </c>
    </row>
    <row r="120" spans="1:29" s="427" customFormat="1" ht="17.25" hidden="1" customHeight="1">
      <c r="B120" s="417" t="str">
        <f>IF(A120&lt;&gt;0,COUNTA(A$19:$A120),"")</f>
        <v/>
      </c>
      <c r="C120" s="418" t="s">
        <v>887</v>
      </c>
      <c r="D120" s="418"/>
      <c r="E120" s="435"/>
      <c r="F120" s="435"/>
      <c r="G120" s="419"/>
      <c r="H120" s="419"/>
      <c r="I120" s="419"/>
      <c r="J120" s="419"/>
      <c r="K120" s="420"/>
      <c r="L120" s="420">
        <f t="shared" si="13"/>
        <v>0</v>
      </c>
      <c r="M120" s="420">
        <f t="shared" si="14"/>
        <v>0</v>
      </c>
      <c r="N120" s="445"/>
      <c r="O120" s="719"/>
      <c r="P120" s="719">
        <f t="shared" si="21"/>
        <v>0</v>
      </c>
      <c r="Q120" s="423">
        <f>SUMIF('8.Dgia'!E:E,'9.may'!E120,'8.Dgia'!P:P)</f>
        <v>0</v>
      </c>
      <c r="R120" s="429">
        <f t="shared" si="15"/>
        <v>0</v>
      </c>
      <c r="S120" s="301">
        <f t="shared" si="16"/>
        <v>0</v>
      </c>
      <c r="T120" s="430">
        <f t="shared" si="17"/>
        <v>0</v>
      </c>
      <c r="U120" s="436"/>
      <c r="V120" s="431"/>
      <c r="W120" s="432"/>
      <c r="Y120" s="433">
        <f t="shared" si="18"/>
        <v>0</v>
      </c>
      <c r="Z120" s="433">
        <f t="shared" si="19"/>
        <v>0</v>
      </c>
      <c r="AC120" s="410">
        <f t="shared" si="20"/>
        <v>0</v>
      </c>
    </row>
    <row r="121" spans="1:29" s="427" customFormat="1" ht="17.25" customHeight="1">
      <c r="A121" s="410">
        <v>1</v>
      </c>
      <c r="B121" s="417">
        <f>IF(A121&lt;&gt;0,COUNTA(A$19:$A121),"")</f>
        <v>24</v>
      </c>
      <c r="C121" s="428" t="s">
        <v>888</v>
      </c>
      <c r="D121" s="428" t="s">
        <v>889</v>
      </c>
      <c r="E121" s="435" t="s">
        <v>890</v>
      </c>
      <c r="F121" s="435" t="s">
        <v>4681</v>
      </c>
      <c r="G121" s="419">
        <v>24</v>
      </c>
      <c r="H121" s="419"/>
      <c r="I121" s="419"/>
      <c r="J121" s="419"/>
      <c r="K121" s="420">
        <v>1</v>
      </c>
      <c r="L121" s="420">
        <f t="shared" si="13"/>
        <v>41873</v>
      </c>
      <c r="M121" s="420">
        <f t="shared" si="14"/>
        <v>353952</v>
      </c>
      <c r="N121" s="445">
        <f t="shared" ref="N121:N126" si="22">SUMPRODUCT(G121:J121,$G$12:$J$12,$G$9:$J$9)</f>
        <v>389917.30909090902</v>
      </c>
      <c r="O121" s="719"/>
      <c r="P121" s="719">
        <f t="shared" si="21"/>
        <v>846515.38909090904</v>
      </c>
      <c r="Q121" s="423" t="e">
        <f>SUMIF('8.Dgia'!E:E,'9.may'!E121,'8.Dgia'!P:P)</f>
        <v>#REF!</v>
      </c>
      <c r="R121" s="429" t="e">
        <f t="shared" si="15"/>
        <v>#REF!</v>
      </c>
      <c r="S121" s="301">
        <f t="shared" si="16"/>
        <v>12143.170000000002</v>
      </c>
      <c r="T121" s="430">
        <f t="shared" si="17"/>
        <v>756012.47909090901</v>
      </c>
      <c r="U121" s="2053">
        <v>171814</v>
      </c>
      <c r="V121" s="2053">
        <v>41873</v>
      </c>
      <c r="W121" s="2054">
        <v>353952</v>
      </c>
      <c r="Y121" s="433">
        <f t="shared" si="18"/>
        <v>-402060.47909090901</v>
      </c>
      <c r="Z121" s="433">
        <f t="shared" si="19"/>
        <v>0</v>
      </c>
      <c r="AC121" s="410" t="e">
        <f t="shared" si="20"/>
        <v>#REF!</v>
      </c>
    </row>
    <row r="122" spans="1:29" s="427" customFormat="1" ht="17.25" customHeight="1">
      <c r="A122" s="410">
        <v>1</v>
      </c>
      <c r="B122" s="417">
        <f>IF(A122&lt;&gt;0,COUNTA(A$19:$A122),"")</f>
        <v>25</v>
      </c>
      <c r="C122" s="428" t="s">
        <v>891</v>
      </c>
      <c r="D122" s="428" t="s">
        <v>892</v>
      </c>
      <c r="E122" s="435" t="s">
        <v>893</v>
      </c>
      <c r="F122" s="435" t="s">
        <v>4682</v>
      </c>
      <c r="G122" s="419">
        <v>26.4</v>
      </c>
      <c r="H122" s="419"/>
      <c r="I122" s="419"/>
      <c r="J122" s="419"/>
      <c r="K122" s="420">
        <v>1</v>
      </c>
      <c r="L122" s="420">
        <f t="shared" si="13"/>
        <v>48658</v>
      </c>
      <c r="M122" s="420">
        <f t="shared" si="14"/>
        <v>404491</v>
      </c>
      <c r="N122" s="445">
        <f t="shared" si="22"/>
        <v>428909.03999999992</v>
      </c>
      <c r="O122" s="719"/>
      <c r="P122" s="719">
        <f t="shared" si="21"/>
        <v>950702.42999999993</v>
      </c>
      <c r="Q122" s="423" t="e">
        <f>SUMIF('8.Dgia'!E:E,'9.may'!E122,'8.Dgia'!P:P)</f>
        <v>#REF!</v>
      </c>
      <c r="R122" s="429" t="e">
        <f t="shared" si="15"/>
        <v>#REF!</v>
      </c>
      <c r="S122" s="301">
        <f t="shared" si="16"/>
        <v>14110.820000000002</v>
      </c>
      <c r="T122" s="430">
        <f t="shared" si="17"/>
        <v>847510.85999999987</v>
      </c>
      <c r="U122" s="2053">
        <v>188995</v>
      </c>
      <c r="V122" s="2053">
        <v>48658</v>
      </c>
      <c r="W122" s="2054">
        <v>404491</v>
      </c>
      <c r="Y122" s="433">
        <f t="shared" si="18"/>
        <v>-443019.85999999987</v>
      </c>
      <c r="Z122" s="433">
        <f t="shared" si="19"/>
        <v>0</v>
      </c>
      <c r="AC122" s="410" t="e">
        <f t="shared" si="20"/>
        <v>#REF!</v>
      </c>
    </row>
    <row r="123" spans="1:29" s="427" customFormat="1" ht="17.25" hidden="1" customHeight="1">
      <c r="B123" s="417" t="str">
        <f>IF(A123&lt;&gt;0,COUNTA(A$19:$A123),"")</f>
        <v/>
      </c>
      <c r="C123" s="428" t="s">
        <v>894</v>
      </c>
      <c r="D123" s="428"/>
      <c r="E123" s="435"/>
      <c r="F123" s="435"/>
      <c r="G123" s="419">
        <v>32.159999999999997</v>
      </c>
      <c r="H123" s="419"/>
      <c r="I123" s="419"/>
      <c r="J123" s="419"/>
      <c r="K123" s="420">
        <v>1</v>
      </c>
      <c r="L123" s="420">
        <f t="shared" si="13"/>
        <v>48658</v>
      </c>
      <c r="M123" s="420">
        <f t="shared" si="14"/>
        <v>424039</v>
      </c>
      <c r="N123" s="445">
        <f t="shared" si="22"/>
        <v>522489.19418181805</v>
      </c>
      <c r="O123" s="719"/>
      <c r="P123" s="719">
        <f t="shared" si="21"/>
        <v>1069499.5041818181</v>
      </c>
      <c r="Q123" s="423">
        <f>SUMIF('8.Dgia'!E:E,'9.may'!E123,'8.Dgia'!P:P)</f>
        <v>0</v>
      </c>
      <c r="R123" s="429">
        <f t="shared" si="15"/>
        <v>0</v>
      </c>
      <c r="S123" s="301">
        <f t="shared" si="16"/>
        <v>14110.820000000002</v>
      </c>
      <c r="T123" s="430">
        <f t="shared" si="17"/>
        <v>960639.014181818</v>
      </c>
      <c r="U123" s="431">
        <v>230230</v>
      </c>
      <c r="V123" s="431">
        <v>48658</v>
      </c>
      <c r="W123" s="432">
        <v>424039</v>
      </c>
      <c r="Y123" s="433">
        <f t="shared" si="18"/>
        <v>-536600.014181818</v>
      </c>
      <c r="Z123" s="433">
        <f t="shared" si="19"/>
        <v>0</v>
      </c>
      <c r="AC123" s="410">
        <f t="shared" si="20"/>
        <v>0</v>
      </c>
    </row>
    <row r="124" spans="1:29" s="427" customFormat="1" ht="17.25" hidden="1" customHeight="1">
      <c r="B124" s="417" t="str">
        <f>IF(A124&lt;&gt;0,COUNTA(A$19:$A124),"")</f>
        <v/>
      </c>
      <c r="C124" s="428" t="s">
        <v>895</v>
      </c>
      <c r="D124" s="428"/>
      <c r="E124" s="435"/>
      <c r="F124" s="435"/>
      <c r="G124" s="419">
        <v>36</v>
      </c>
      <c r="H124" s="419"/>
      <c r="I124" s="419"/>
      <c r="J124" s="419"/>
      <c r="K124" s="420">
        <v>1</v>
      </c>
      <c r="L124" s="420">
        <f t="shared" si="13"/>
        <v>48658</v>
      </c>
      <c r="M124" s="420">
        <f t="shared" si="14"/>
        <v>457780</v>
      </c>
      <c r="N124" s="445">
        <f t="shared" si="22"/>
        <v>584875.96363636351</v>
      </c>
      <c r="O124" s="719"/>
      <c r="P124" s="719">
        <f t="shared" si="21"/>
        <v>1175412.1636363636</v>
      </c>
      <c r="Q124" s="423">
        <f>SUMIF('8.Dgia'!E:E,'9.may'!E124,'8.Dgia'!P:P)</f>
        <v>0</v>
      </c>
      <c r="R124" s="429">
        <f t="shared" si="15"/>
        <v>0</v>
      </c>
      <c r="S124" s="301">
        <f t="shared" si="16"/>
        <v>14110.820000000002</v>
      </c>
      <c r="T124" s="430">
        <f t="shared" si="17"/>
        <v>1056766.7836363635</v>
      </c>
      <c r="U124" s="431">
        <v>257720</v>
      </c>
      <c r="V124" s="431">
        <v>48658</v>
      </c>
      <c r="W124" s="432">
        <v>457780</v>
      </c>
      <c r="Y124" s="433">
        <f t="shared" si="18"/>
        <v>-598986.78363636346</v>
      </c>
      <c r="Z124" s="433">
        <f t="shared" si="19"/>
        <v>0</v>
      </c>
      <c r="AC124" s="410">
        <f t="shared" si="20"/>
        <v>0</v>
      </c>
    </row>
    <row r="125" spans="1:29" s="410" customFormat="1" ht="17.25" hidden="1" customHeight="1">
      <c r="B125" s="417" t="str">
        <f>IF(A125&lt;&gt;0,COUNTA(A$19:$A125),"")</f>
        <v/>
      </c>
      <c r="C125" s="428" t="s">
        <v>896</v>
      </c>
      <c r="D125" s="428"/>
      <c r="E125" s="435"/>
      <c r="F125" s="435"/>
      <c r="G125" s="419">
        <v>38.4</v>
      </c>
      <c r="H125" s="419"/>
      <c r="I125" s="419"/>
      <c r="J125" s="419"/>
      <c r="K125" s="420">
        <v>1</v>
      </c>
      <c r="L125" s="420">
        <f t="shared" si="13"/>
        <v>48658</v>
      </c>
      <c r="M125" s="420">
        <f t="shared" si="14"/>
        <v>502230</v>
      </c>
      <c r="N125" s="445">
        <f t="shared" si="22"/>
        <v>623867.69454545446</v>
      </c>
      <c r="O125" s="719"/>
      <c r="P125" s="719">
        <f t="shared" si="21"/>
        <v>1271744.3945454545</v>
      </c>
      <c r="Q125" s="423">
        <f>SUMIF('8.Dgia'!E:E,'9.may'!E125,'8.Dgia'!P:P)</f>
        <v>0</v>
      </c>
      <c r="R125" s="429">
        <f t="shared" si="15"/>
        <v>0</v>
      </c>
      <c r="S125" s="301">
        <f t="shared" si="16"/>
        <v>14110.820000000002</v>
      </c>
      <c r="T125" s="430">
        <f t="shared" si="17"/>
        <v>1140208.5145454544</v>
      </c>
      <c r="U125" s="431">
        <v>274902</v>
      </c>
      <c r="V125" s="431">
        <v>48658</v>
      </c>
      <c r="W125" s="432">
        <v>502230</v>
      </c>
      <c r="Y125" s="433">
        <f t="shared" si="18"/>
        <v>-637978.51454545441</v>
      </c>
      <c r="Z125" s="433">
        <f t="shared" si="19"/>
        <v>0</v>
      </c>
      <c r="AC125" s="410">
        <f t="shared" si="20"/>
        <v>0</v>
      </c>
    </row>
    <row r="126" spans="1:29" s="410" customFormat="1" ht="17.25" hidden="1" customHeight="1">
      <c r="B126" s="417" t="str">
        <f>IF(A126&lt;&gt;0,COUNTA(A$19:$A126),"")</f>
        <v/>
      </c>
      <c r="C126" s="428" t="s">
        <v>897</v>
      </c>
      <c r="D126" s="428"/>
      <c r="E126" s="435"/>
      <c r="F126" s="435"/>
      <c r="G126" s="419">
        <v>41.76</v>
      </c>
      <c r="H126" s="419"/>
      <c r="I126" s="419"/>
      <c r="J126" s="419"/>
      <c r="K126" s="420">
        <v>1</v>
      </c>
      <c r="L126" s="420">
        <f t="shared" si="13"/>
        <v>48658</v>
      </c>
      <c r="M126" s="420">
        <f t="shared" si="14"/>
        <v>580125</v>
      </c>
      <c r="N126" s="445">
        <f t="shared" si="22"/>
        <v>678456.11781818164</v>
      </c>
      <c r="O126" s="719"/>
      <c r="P126" s="719">
        <f t="shared" si="21"/>
        <v>1426817.3678181816</v>
      </c>
      <c r="Q126" s="423">
        <f>SUMIF('8.Dgia'!E:E,'9.may'!E126,'8.Dgia'!P:P)</f>
        <v>0</v>
      </c>
      <c r="R126" s="429">
        <f t="shared" si="15"/>
        <v>0</v>
      </c>
      <c r="S126" s="301">
        <f t="shared" si="16"/>
        <v>14110.820000000002</v>
      </c>
      <c r="T126" s="430">
        <f t="shared" si="17"/>
        <v>1272691.9378181817</v>
      </c>
      <c r="U126" s="431">
        <v>298956</v>
      </c>
      <c r="V126" s="431">
        <v>48658</v>
      </c>
      <c r="W126" s="432">
        <v>580125</v>
      </c>
      <c r="Y126" s="433">
        <f t="shared" si="18"/>
        <v>-692566.9378181817</v>
      </c>
      <c r="Z126" s="433">
        <f t="shared" si="19"/>
        <v>0</v>
      </c>
      <c r="AC126" s="410">
        <f t="shared" si="20"/>
        <v>0</v>
      </c>
    </row>
    <row r="127" spans="1:29" s="410" customFormat="1" ht="17.25" hidden="1" customHeight="1">
      <c r="B127" s="417" t="str">
        <f>IF(A127&lt;&gt;0,COUNTA(A$19:$A127),"")</f>
        <v/>
      </c>
      <c r="C127" s="418" t="s">
        <v>898</v>
      </c>
      <c r="D127" s="418"/>
      <c r="E127" s="435"/>
      <c r="F127" s="435"/>
      <c r="G127" s="419"/>
      <c r="H127" s="419"/>
      <c r="I127" s="419"/>
      <c r="J127" s="419"/>
      <c r="K127" s="437"/>
      <c r="L127" s="420">
        <f t="shared" si="13"/>
        <v>0</v>
      </c>
      <c r="M127" s="420">
        <f t="shared" si="14"/>
        <v>0</v>
      </c>
      <c r="N127" s="445"/>
      <c r="O127" s="719"/>
      <c r="P127" s="719">
        <f t="shared" si="21"/>
        <v>0</v>
      </c>
      <c r="Q127" s="423">
        <f>SUMIF('8.Dgia'!E:E,'9.may'!E127,'8.Dgia'!P:P)</f>
        <v>0</v>
      </c>
      <c r="R127" s="429">
        <f t="shared" si="15"/>
        <v>0</v>
      </c>
      <c r="S127" s="301">
        <f t="shared" si="16"/>
        <v>0</v>
      </c>
      <c r="T127" s="430">
        <f t="shared" si="17"/>
        <v>0</v>
      </c>
      <c r="U127" s="436"/>
      <c r="V127" s="436"/>
      <c r="W127" s="432"/>
      <c r="Y127" s="433">
        <f t="shared" si="18"/>
        <v>0</v>
      </c>
      <c r="Z127" s="433">
        <f t="shared" si="19"/>
        <v>0</v>
      </c>
      <c r="AC127" s="410">
        <f t="shared" si="20"/>
        <v>0</v>
      </c>
    </row>
    <row r="128" spans="1:29" s="410" customFormat="1" ht="17.25" hidden="1" customHeight="1">
      <c r="B128" s="417" t="str">
        <f>IF(A128&lt;&gt;0,COUNTA(A$19:$A128),"")</f>
        <v/>
      </c>
      <c r="C128" s="428" t="s">
        <v>899</v>
      </c>
      <c r="D128" s="428" t="s">
        <v>900</v>
      </c>
      <c r="E128" s="435"/>
      <c r="F128" s="435" t="s">
        <v>1076</v>
      </c>
      <c r="G128" s="419">
        <v>40.32</v>
      </c>
      <c r="H128" s="419"/>
      <c r="I128" s="419"/>
      <c r="J128" s="419"/>
      <c r="K128" s="420">
        <v>1</v>
      </c>
      <c r="L128" s="420">
        <f t="shared" si="13"/>
        <v>48658</v>
      </c>
      <c r="M128" s="420">
        <f t="shared" si="14"/>
        <v>547011</v>
      </c>
      <c r="N128" s="445">
        <f>SUMPRODUCT(G128:J128,$G$12:$J$12,$G$9:$J$9)</f>
        <v>655061.07927272725</v>
      </c>
      <c r="O128" s="719"/>
      <c r="P128" s="719">
        <f t="shared" si="21"/>
        <v>1360705.2692727274</v>
      </c>
      <c r="Q128" s="423">
        <f>SUMIF('8.Dgia'!E:E,'9.may'!E128,'8.Dgia'!P:P)</f>
        <v>0</v>
      </c>
      <c r="R128" s="429">
        <f t="shared" si="15"/>
        <v>0</v>
      </c>
      <c r="S128" s="301">
        <f t="shared" si="16"/>
        <v>14110.820000000002</v>
      </c>
      <c r="T128" s="430">
        <f t="shared" si="17"/>
        <v>1216182.8992727273</v>
      </c>
      <c r="U128" s="431">
        <v>288647</v>
      </c>
      <c r="V128" s="431">
        <v>48658</v>
      </c>
      <c r="W128" s="432">
        <v>547011</v>
      </c>
      <c r="Y128" s="433">
        <f t="shared" si="18"/>
        <v>-669171.89927272731</v>
      </c>
      <c r="Z128" s="433">
        <f t="shared" si="19"/>
        <v>0</v>
      </c>
      <c r="AC128" s="410">
        <f t="shared" si="20"/>
        <v>0</v>
      </c>
    </row>
    <row r="129" spans="1:29" s="410" customFormat="1" ht="17.25" hidden="1" customHeight="1">
      <c r="B129" s="417" t="str">
        <f>IF(A129&lt;&gt;0,COUNTA(A$19:$A129),"")</f>
        <v/>
      </c>
      <c r="C129" s="418" t="s">
        <v>901</v>
      </c>
      <c r="D129" s="418"/>
      <c r="E129" s="435"/>
      <c r="F129" s="435"/>
      <c r="G129" s="419"/>
      <c r="H129" s="419"/>
      <c r="I129" s="419"/>
      <c r="J129" s="419"/>
      <c r="K129" s="420"/>
      <c r="L129" s="420">
        <f t="shared" si="13"/>
        <v>0</v>
      </c>
      <c r="M129" s="420">
        <f t="shared" si="14"/>
        <v>0</v>
      </c>
      <c r="N129" s="445"/>
      <c r="O129" s="719"/>
      <c r="P129" s="719">
        <f t="shared" si="21"/>
        <v>0</v>
      </c>
      <c r="Q129" s="423">
        <f>SUMIF('8.Dgia'!E:E,'9.may'!E129,'8.Dgia'!P:P)</f>
        <v>0</v>
      </c>
      <c r="R129" s="429">
        <f t="shared" si="15"/>
        <v>0</v>
      </c>
      <c r="S129" s="301">
        <f t="shared" si="16"/>
        <v>0</v>
      </c>
      <c r="T129" s="430">
        <f t="shared" si="17"/>
        <v>0</v>
      </c>
      <c r="U129" s="436"/>
      <c r="V129" s="436"/>
      <c r="W129" s="432"/>
      <c r="Y129" s="433">
        <f t="shared" si="18"/>
        <v>0</v>
      </c>
      <c r="Z129" s="433">
        <f t="shared" si="19"/>
        <v>0</v>
      </c>
      <c r="AC129" s="410">
        <f t="shared" si="20"/>
        <v>0</v>
      </c>
    </row>
    <row r="130" spans="1:29" s="410" customFormat="1" ht="17.25" hidden="1" customHeight="1">
      <c r="B130" s="417" t="str">
        <f>IF(A130&lt;&gt;0,COUNTA(A$19:$A130),"")</f>
        <v/>
      </c>
      <c r="C130" s="439" t="s">
        <v>902</v>
      </c>
      <c r="D130" s="439"/>
      <c r="E130" s="435"/>
      <c r="F130" s="435"/>
      <c r="G130" s="419"/>
      <c r="H130" s="419"/>
      <c r="I130" s="419">
        <v>12</v>
      </c>
      <c r="J130" s="419"/>
      <c r="K130" s="420">
        <v>1</v>
      </c>
      <c r="L130" s="420">
        <f t="shared" si="13"/>
        <v>46283</v>
      </c>
      <c r="M130" s="420">
        <f t="shared" si="14"/>
        <v>227361</v>
      </c>
      <c r="N130" s="445">
        <f t="shared" ref="N130:N139" si="23">SUMPRODUCT(G130:J130,$G$12:$J$12,$G$9:$J$9)</f>
        <v>179214.38181818178</v>
      </c>
      <c r="O130" s="719"/>
      <c r="P130" s="719">
        <f t="shared" si="21"/>
        <v>472510.07181818178</v>
      </c>
      <c r="Q130" s="423">
        <f>SUMIF('8.Dgia'!E:E,'9.may'!E130,'8.Dgia'!P:P)</f>
        <v>0</v>
      </c>
      <c r="R130" s="429">
        <f t="shared" si="15"/>
        <v>0</v>
      </c>
      <c r="S130" s="301">
        <f t="shared" si="16"/>
        <v>13422.070000000002</v>
      </c>
      <c r="T130" s="430">
        <f t="shared" si="17"/>
        <v>419997.45181818178</v>
      </c>
      <c r="U130" s="431">
        <v>104504</v>
      </c>
      <c r="V130" s="431">
        <v>46283</v>
      </c>
      <c r="W130" s="432">
        <v>227361</v>
      </c>
      <c r="Y130" s="433">
        <f t="shared" si="18"/>
        <v>-192636.45181818178</v>
      </c>
      <c r="Z130" s="433">
        <f t="shared" si="19"/>
        <v>0</v>
      </c>
      <c r="AC130" s="410">
        <f t="shared" si="20"/>
        <v>0</v>
      </c>
    </row>
    <row r="131" spans="1:29" s="410" customFormat="1" ht="17.25" customHeight="1">
      <c r="A131" s="410">
        <v>1</v>
      </c>
      <c r="B131" s="417">
        <f>IF(A131&lt;&gt;0,COUNTA(A$19:$A131),"")</f>
        <v>26</v>
      </c>
      <c r="C131" s="428" t="s">
        <v>903</v>
      </c>
      <c r="D131" s="428"/>
      <c r="E131" s="435" t="s">
        <v>1981</v>
      </c>
      <c r="F131" s="435" t="s">
        <v>4683</v>
      </c>
      <c r="G131" s="419"/>
      <c r="H131" s="419"/>
      <c r="I131" s="419">
        <v>13</v>
      </c>
      <c r="J131" s="419"/>
      <c r="K131" s="420">
        <v>1</v>
      </c>
      <c r="L131" s="420">
        <f t="shared" si="13"/>
        <v>54425</v>
      </c>
      <c r="M131" s="420">
        <f t="shared" si="14"/>
        <v>253487</v>
      </c>
      <c r="N131" s="445">
        <f t="shared" si="23"/>
        <v>194148.91363636361</v>
      </c>
      <c r="O131" s="719"/>
      <c r="P131" s="719">
        <f t="shared" si="21"/>
        <v>521147.14363636356</v>
      </c>
      <c r="Q131" s="423" t="e">
        <f>SUMIF('8.Dgia'!E:E,'9.may'!E131,'8.Dgia'!P:P)</f>
        <v>#REF!</v>
      </c>
      <c r="R131" s="429" t="e">
        <f t="shared" si="15"/>
        <v>#REF!</v>
      </c>
      <c r="S131" s="301">
        <f t="shared" si="16"/>
        <v>15783.250000000002</v>
      </c>
      <c r="T131" s="430">
        <f t="shared" si="17"/>
        <v>463419.16363636358</v>
      </c>
      <c r="U131" s="2053">
        <v>113212</v>
      </c>
      <c r="V131" s="2053">
        <v>54425</v>
      </c>
      <c r="W131" s="2054">
        <v>253487</v>
      </c>
      <c r="Y131" s="433">
        <f t="shared" si="18"/>
        <v>-209932.16363636358</v>
      </c>
      <c r="Z131" s="433">
        <f t="shared" si="19"/>
        <v>0</v>
      </c>
      <c r="AC131" s="410" t="e">
        <f t="shared" si="20"/>
        <v>#REF!</v>
      </c>
    </row>
    <row r="132" spans="1:29" s="410" customFormat="1" ht="17.25" customHeight="1">
      <c r="A132" s="410">
        <v>1</v>
      </c>
      <c r="B132" s="417">
        <f>IF(A132&lt;&gt;0,COUNTA(A$19:$A132),"")</f>
        <v>27</v>
      </c>
      <c r="C132" s="428" t="s">
        <v>904</v>
      </c>
      <c r="D132" s="428"/>
      <c r="E132" s="435" t="s">
        <v>1990</v>
      </c>
      <c r="F132" s="435"/>
      <c r="G132" s="419"/>
      <c r="H132" s="419"/>
      <c r="I132" s="419">
        <v>20</v>
      </c>
      <c r="J132" s="419"/>
      <c r="K132" s="420">
        <v>1</v>
      </c>
      <c r="L132" s="420">
        <f t="shared" si="13"/>
        <v>49506</v>
      </c>
      <c r="M132" s="420">
        <f t="shared" si="14"/>
        <v>342195</v>
      </c>
      <c r="N132" s="445">
        <f t="shared" si="23"/>
        <v>298690.63636363635</v>
      </c>
      <c r="O132" s="719"/>
      <c r="P132" s="719">
        <f t="shared" si="21"/>
        <v>740122.18636363628</v>
      </c>
      <c r="Q132" s="423">
        <f>SUMIF('8.Dgia'!E:E,'9.may'!E132,'8.Dgia'!P:P)</f>
        <v>0</v>
      </c>
      <c r="R132" s="429">
        <f t="shared" si="15"/>
        <v>0</v>
      </c>
      <c r="S132" s="301">
        <f t="shared" si="16"/>
        <v>14356.740000000002</v>
      </c>
      <c r="T132" s="430">
        <f t="shared" si="17"/>
        <v>655242.37636363634</v>
      </c>
      <c r="U132" s="2053">
        <v>174173</v>
      </c>
      <c r="V132" s="2053">
        <v>49506</v>
      </c>
      <c r="W132" s="2054">
        <v>342195</v>
      </c>
      <c r="Y132" s="433">
        <f t="shared" si="18"/>
        <v>-313047.37636363634</v>
      </c>
      <c r="Z132" s="433">
        <f t="shared" si="19"/>
        <v>0</v>
      </c>
      <c r="AC132" s="410">
        <f t="shared" si="20"/>
        <v>0</v>
      </c>
    </row>
    <row r="133" spans="1:29" s="410" customFormat="1" ht="17.25" customHeight="1">
      <c r="A133" s="410">
        <v>1</v>
      </c>
      <c r="B133" s="417">
        <f>IF(A133&lt;&gt;0,COUNTA(A$19:$A133),"")</f>
        <v>28</v>
      </c>
      <c r="C133" s="428" t="s">
        <v>905</v>
      </c>
      <c r="D133" s="428" t="s">
        <v>906</v>
      </c>
      <c r="E133" s="435" t="s">
        <v>907</v>
      </c>
      <c r="F133" s="435" t="s">
        <v>4684</v>
      </c>
      <c r="G133" s="419">
        <v>25</v>
      </c>
      <c r="H133" s="419"/>
      <c r="I133" s="419"/>
      <c r="J133" s="419"/>
      <c r="K133" s="420">
        <v>1</v>
      </c>
      <c r="L133" s="420">
        <f t="shared" si="13"/>
        <v>49506</v>
      </c>
      <c r="M133" s="420">
        <f t="shared" si="14"/>
        <v>343081</v>
      </c>
      <c r="N133" s="445">
        <f t="shared" si="23"/>
        <v>406163.86363636353</v>
      </c>
      <c r="O133" s="719"/>
      <c r="P133" s="719">
        <f t="shared" si="21"/>
        <v>848738.35363636352</v>
      </c>
      <c r="Q133" s="423">
        <f>SUMIF('8.Dgia'!E:E,'9.may'!E133,'8.Dgia'!P:P)</f>
        <v>0</v>
      </c>
      <c r="R133" s="429">
        <f t="shared" si="15"/>
        <v>0</v>
      </c>
      <c r="S133" s="301">
        <f t="shared" si="16"/>
        <v>14356.740000000002</v>
      </c>
      <c r="T133" s="430">
        <f t="shared" si="17"/>
        <v>763601.60363636352</v>
      </c>
      <c r="U133" s="2053">
        <v>178973</v>
      </c>
      <c r="V133" s="2053">
        <v>49506</v>
      </c>
      <c r="W133" s="2054">
        <v>343081</v>
      </c>
      <c r="Y133" s="433">
        <f t="shared" si="18"/>
        <v>-420520.60363636352</v>
      </c>
      <c r="Z133" s="433">
        <f t="shared" si="19"/>
        <v>0</v>
      </c>
      <c r="AC133" s="410">
        <f t="shared" si="20"/>
        <v>0</v>
      </c>
    </row>
    <row r="134" spans="1:29" s="410" customFormat="1" ht="17.25" hidden="1" customHeight="1">
      <c r="B134" s="417" t="str">
        <f>IF(A134&lt;&gt;0,COUNTA(A$19:$A134),"")</f>
        <v/>
      </c>
      <c r="C134" s="428" t="s">
        <v>908</v>
      </c>
      <c r="D134" s="428"/>
      <c r="E134" s="435"/>
      <c r="F134" s="435"/>
      <c r="G134" s="419">
        <v>29</v>
      </c>
      <c r="H134" s="419"/>
      <c r="I134" s="419"/>
      <c r="J134" s="419"/>
      <c r="K134" s="420">
        <v>1</v>
      </c>
      <c r="L134" s="420">
        <f t="shared" si="13"/>
        <v>57817</v>
      </c>
      <c r="M134" s="420">
        <f t="shared" si="14"/>
        <v>404649</v>
      </c>
      <c r="N134" s="445">
        <f t="shared" si="23"/>
        <v>471150.08181818173</v>
      </c>
      <c r="O134" s="719"/>
      <c r="P134" s="719">
        <f t="shared" si="21"/>
        <v>993147.29181818175</v>
      </c>
      <c r="Q134" s="423">
        <f>SUMIF('8.Dgia'!E:E,'9.may'!E134,'8.Dgia'!P:P)</f>
        <v>0</v>
      </c>
      <c r="R134" s="429">
        <f t="shared" si="15"/>
        <v>0</v>
      </c>
      <c r="S134" s="301">
        <f t="shared" si="16"/>
        <v>16766.93</v>
      </c>
      <c r="T134" s="430">
        <f t="shared" si="17"/>
        <v>892566.01181818172</v>
      </c>
      <c r="U134" s="431">
        <v>207608</v>
      </c>
      <c r="V134" s="431">
        <v>57817</v>
      </c>
      <c r="W134" s="432">
        <v>404649</v>
      </c>
      <c r="Y134" s="433">
        <f t="shared" si="18"/>
        <v>-487917.01181818172</v>
      </c>
      <c r="Z134" s="433">
        <f t="shared" si="19"/>
        <v>0</v>
      </c>
      <c r="AC134" s="410">
        <f t="shared" si="20"/>
        <v>0</v>
      </c>
    </row>
    <row r="135" spans="1:29" s="410" customFormat="1" ht="17.25" customHeight="1">
      <c r="A135" s="410">
        <v>1</v>
      </c>
      <c r="B135" s="417">
        <f>IF(A135&lt;&gt;0,COUNTA(A$19:$A135),"")</f>
        <v>29</v>
      </c>
      <c r="C135" s="428" t="s">
        <v>909</v>
      </c>
      <c r="D135" s="428" t="s">
        <v>910</v>
      </c>
      <c r="E135" s="435" t="s">
        <v>911</v>
      </c>
      <c r="F135" s="435" t="s">
        <v>4685</v>
      </c>
      <c r="G135" s="419">
        <v>31</v>
      </c>
      <c r="H135" s="419"/>
      <c r="I135" s="419"/>
      <c r="J135" s="419"/>
      <c r="K135" s="420">
        <v>1</v>
      </c>
      <c r="L135" s="420">
        <f t="shared" si="13"/>
        <v>57817</v>
      </c>
      <c r="M135" s="420">
        <f t="shared" si="14"/>
        <v>491554</v>
      </c>
      <c r="N135" s="445">
        <f t="shared" si="23"/>
        <v>503643.19090909086</v>
      </c>
      <c r="O135" s="719"/>
      <c r="P135" s="719">
        <f t="shared" si="21"/>
        <v>1137747.8509090908</v>
      </c>
      <c r="Q135" s="423" t="e">
        <f>SUMIF('8.Dgia'!E:E,'9.may'!E135,'8.Dgia'!P:P)</f>
        <v>#REF!</v>
      </c>
      <c r="R135" s="429" t="e">
        <f t="shared" si="15"/>
        <v>#REF!</v>
      </c>
      <c r="S135" s="301">
        <f t="shared" si="16"/>
        <v>16766.93</v>
      </c>
      <c r="T135" s="430">
        <f t="shared" si="17"/>
        <v>1011964.1209090909</v>
      </c>
      <c r="U135" s="2053">
        <v>221926</v>
      </c>
      <c r="V135" s="2053">
        <v>57817</v>
      </c>
      <c r="W135" s="2054">
        <v>491554</v>
      </c>
      <c r="Y135" s="433">
        <f t="shared" si="18"/>
        <v>-520410.12090909085</v>
      </c>
      <c r="Z135" s="433">
        <f t="shared" si="19"/>
        <v>0</v>
      </c>
      <c r="AC135" s="410" t="e">
        <f t="shared" si="20"/>
        <v>#REF!</v>
      </c>
    </row>
    <row r="136" spans="1:29" s="410" customFormat="1" ht="17.25" customHeight="1">
      <c r="A136" s="410">
        <v>1</v>
      </c>
      <c r="B136" s="417">
        <f>IF(A136&lt;&gt;0,COUNTA(A$19:$A136),"")</f>
        <v>30</v>
      </c>
      <c r="C136" s="428" t="s">
        <v>891</v>
      </c>
      <c r="D136" s="428"/>
      <c r="E136" s="435" t="s">
        <v>5825</v>
      </c>
      <c r="F136" s="435" t="s">
        <v>4686</v>
      </c>
      <c r="G136" s="419">
        <v>38</v>
      </c>
      <c r="H136" s="419"/>
      <c r="I136" s="419"/>
      <c r="J136" s="419"/>
      <c r="K136" s="420">
        <v>1</v>
      </c>
      <c r="L136" s="420">
        <f t="shared" si="13"/>
        <v>52559</v>
      </c>
      <c r="M136" s="420">
        <f t="shared" si="14"/>
        <v>594637</v>
      </c>
      <c r="N136" s="445">
        <f t="shared" si="23"/>
        <v>617369.07272727275</v>
      </c>
      <c r="O136" s="719"/>
      <c r="P136" s="719">
        <f t="shared" si="21"/>
        <v>1384450.8027272727</v>
      </c>
      <c r="Q136" s="423">
        <f>SUMIF('8.Dgia'!E:E,'9.may'!E136,'8.Dgia'!P:P)</f>
        <v>0</v>
      </c>
      <c r="R136" s="429">
        <f t="shared" si="15"/>
        <v>0</v>
      </c>
      <c r="S136" s="301">
        <f t="shared" si="16"/>
        <v>15242.110000000002</v>
      </c>
      <c r="T136" s="430">
        <f t="shared" si="17"/>
        <v>1227248.1827272726</v>
      </c>
      <c r="U136" s="2053">
        <v>272038</v>
      </c>
      <c r="V136" s="2053">
        <v>52559</v>
      </c>
      <c r="W136" s="2054">
        <v>594637</v>
      </c>
      <c r="Y136" s="433">
        <f t="shared" si="18"/>
        <v>-632611.18272727262</v>
      </c>
      <c r="Z136" s="433">
        <f t="shared" si="19"/>
        <v>0</v>
      </c>
      <c r="AC136" s="410">
        <f t="shared" si="20"/>
        <v>0</v>
      </c>
    </row>
    <row r="137" spans="1:29" s="410" customFormat="1" ht="17.25" hidden="1" customHeight="1">
      <c r="B137" s="417" t="str">
        <f>IF(A137&lt;&gt;0,COUNTA(A$19:$A137),"")</f>
        <v/>
      </c>
      <c r="C137" s="428" t="s">
        <v>912</v>
      </c>
      <c r="D137" s="428"/>
      <c r="E137" s="435"/>
      <c r="F137" s="435"/>
      <c r="G137" s="419">
        <v>41</v>
      </c>
      <c r="H137" s="419"/>
      <c r="I137" s="419"/>
      <c r="J137" s="419"/>
      <c r="K137" s="420">
        <v>1</v>
      </c>
      <c r="L137" s="420">
        <f t="shared" si="13"/>
        <v>61040</v>
      </c>
      <c r="M137" s="420">
        <f t="shared" si="14"/>
        <v>660365</v>
      </c>
      <c r="N137" s="445">
        <f t="shared" si="23"/>
        <v>666108.73636363621</v>
      </c>
      <c r="O137" s="719"/>
      <c r="P137" s="719">
        <f t="shared" si="21"/>
        <v>1517979.5863636362</v>
      </c>
      <c r="Q137" s="423">
        <f>SUMIF('8.Dgia'!E:E,'9.may'!E137,'8.Dgia'!P:P)</f>
        <v>0</v>
      </c>
      <c r="R137" s="429">
        <f t="shared" si="15"/>
        <v>0</v>
      </c>
      <c r="S137" s="301">
        <f t="shared" si="16"/>
        <v>17701.600000000002</v>
      </c>
      <c r="T137" s="430">
        <f t="shared" si="17"/>
        <v>1344175.3363636362</v>
      </c>
      <c r="U137" s="431">
        <v>293515</v>
      </c>
      <c r="V137" s="431">
        <v>61040</v>
      </c>
      <c r="W137" s="432">
        <v>660365</v>
      </c>
      <c r="Y137" s="433">
        <f t="shared" si="18"/>
        <v>-683810.33636363619</v>
      </c>
      <c r="Z137" s="433">
        <f t="shared" si="19"/>
        <v>0</v>
      </c>
      <c r="AC137" s="410">
        <f t="shared" si="20"/>
        <v>0</v>
      </c>
    </row>
    <row r="138" spans="1:29" s="410" customFormat="1" ht="17.25" hidden="1" customHeight="1">
      <c r="B138" s="417" t="str">
        <f>IF(A138&lt;&gt;0,COUNTA(A$19:$A138),"")</f>
        <v/>
      </c>
      <c r="C138" s="428" t="s">
        <v>866</v>
      </c>
      <c r="D138" s="428"/>
      <c r="E138" s="435"/>
      <c r="F138" s="435"/>
      <c r="G138" s="419">
        <v>42</v>
      </c>
      <c r="H138" s="419"/>
      <c r="I138" s="419"/>
      <c r="J138" s="419"/>
      <c r="K138" s="420">
        <v>1</v>
      </c>
      <c r="L138" s="420">
        <f t="shared" si="13"/>
        <v>61040</v>
      </c>
      <c r="M138" s="420">
        <f t="shared" si="14"/>
        <v>699371</v>
      </c>
      <c r="N138" s="445">
        <f t="shared" si="23"/>
        <v>682355.29090909078</v>
      </c>
      <c r="O138" s="719"/>
      <c r="P138" s="719">
        <f t="shared" si="21"/>
        <v>1584543.8809090909</v>
      </c>
      <c r="Q138" s="423">
        <f>SUMIF('8.Dgia'!E:E,'9.may'!E138,'8.Dgia'!P:P)</f>
        <v>0</v>
      </c>
      <c r="R138" s="429">
        <f t="shared" si="15"/>
        <v>0</v>
      </c>
      <c r="S138" s="301">
        <f t="shared" si="16"/>
        <v>17701.600000000002</v>
      </c>
      <c r="T138" s="430">
        <f t="shared" si="17"/>
        <v>1399427.8909090906</v>
      </c>
      <c r="U138" s="431">
        <v>300674</v>
      </c>
      <c r="V138" s="431">
        <v>61040</v>
      </c>
      <c r="W138" s="432">
        <v>699371</v>
      </c>
      <c r="Y138" s="433">
        <f t="shared" si="18"/>
        <v>-700056.89090909064</v>
      </c>
      <c r="Z138" s="433">
        <f t="shared" si="19"/>
        <v>0</v>
      </c>
      <c r="AC138" s="410">
        <f t="shared" si="20"/>
        <v>0</v>
      </c>
    </row>
    <row r="139" spans="1:29" s="410" customFormat="1" ht="17.25" hidden="1" customHeight="1">
      <c r="B139" s="417" t="str">
        <f>IF(A139&lt;&gt;0,COUNTA(A$19:$A139),"")</f>
        <v/>
      </c>
      <c r="C139" s="428" t="s">
        <v>913</v>
      </c>
      <c r="D139" s="428"/>
      <c r="E139" s="435"/>
      <c r="F139" s="435"/>
      <c r="G139" s="419">
        <v>56</v>
      </c>
      <c r="H139" s="419"/>
      <c r="I139" s="419"/>
      <c r="J139" s="419"/>
      <c r="K139" s="420">
        <v>1</v>
      </c>
      <c r="L139" s="420">
        <f t="shared" si="13"/>
        <v>64432</v>
      </c>
      <c r="M139" s="420">
        <f t="shared" si="14"/>
        <v>800603</v>
      </c>
      <c r="N139" s="445">
        <f t="shared" si="23"/>
        <v>909807.05454545445</v>
      </c>
      <c r="O139" s="719"/>
      <c r="P139" s="719">
        <f t="shared" si="21"/>
        <v>1942584.9245454543</v>
      </c>
      <c r="Q139" s="423">
        <f>SUMIF('8.Dgia'!E:E,'9.may'!E139,'8.Dgia'!P:P)</f>
        <v>0</v>
      </c>
      <c r="R139" s="429">
        <f t="shared" si="15"/>
        <v>0</v>
      </c>
      <c r="S139" s="301">
        <f t="shared" si="16"/>
        <v>18685.280000000002</v>
      </c>
      <c r="T139" s="430">
        <f t="shared" si="17"/>
        <v>1729095.3345454545</v>
      </c>
      <c r="U139" s="431">
        <v>400898</v>
      </c>
      <c r="V139" s="431">
        <v>64432</v>
      </c>
      <c r="W139" s="432">
        <v>800603</v>
      </c>
      <c r="Y139" s="433">
        <f t="shared" si="18"/>
        <v>-928492.33454545448</v>
      </c>
      <c r="Z139" s="433">
        <f t="shared" si="19"/>
        <v>0</v>
      </c>
      <c r="AC139" s="410">
        <f t="shared" si="20"/>
        <v>0</v>
      </c>
    </row>
    <row r="140" spans="1:29" s="410" customFormat="1" ht="17.25" hidden="1" customHeight="1">
      <c r="B140" s="417" t="str">
        <f>IF(A140&lt;&gt;0,COUNTA(A$19:$A140),"")</f>
        <v/>
      </c>
      <c r="C140" s="418" t="s">
        <v>914</v>
      </c>
      <c r="D140" s="418"/>
      <c r="E140" s="435"/>
      <c r="F140" s="435"/>
      <c r="G140" s="419"/>
      <c r="H140" s="419"/>
      <c r="I140" s="419"/>
      <c r="J140" s="419"/>
      <c r="K140" s="437"/>
      <c r="L140" s="420">
        <f t="shared" si="13"/>
        <v>0</v>
      </c>
      <c r="M140" s="420">
        <f t="shared" si="14"/>
        <v>0</v>
      </c>
      <c r="N140" s="445"/>
      <c r="O140" s="719"/>
      <c r="P140" s="719">
        <f t="shared" si="21"/>
        <v>0</v>
      </c>
      <c r="Q140" s="423">
        <f>SUMIF('8.Dgia'!E:E,'9.may'!E140,'8.Dgia'!P:P)</f>
        <v>0</v>
      </c>
      <c r="R140" s="429">
        <f t="shared" si="15"/>
        <v>0</v>
      </c>
      <c r="S140" s="301">
        <f t="shared" si="16"/>
        <v>0</v>
      </c>
      <c r="T140" s="430">
        <f t="shared" si="17"/>
        <v>0</v>
      </c>
      <c r="U140" s="436"/>
      <c r="V140" s="436"/>
      <c r="W140" s="432"/>
      <c r="Y140" s="433">
        <f t="shared" si="18"/>
        <v>0</v>
      </c>
      <c r="Z140" s="433">
        <f t="shared" si="19"/>
        <v>0</v>
      </c>
      <c r="AC140" s="410">
        <f t="shared" si="20"/>
        <v>0</v>
      </c>
    </row>
    <row r="141" spans="1:29" s="427" customFormat="1" ht="17.25" customHeight="1">
      <c r="A141" s="410">
        <v>1</v>
      </c>
      <c r="B141" s="417">
        <f>IF(A141&lt;&gt;0,COUNTA(A$19:$A141),"")</f>
        <v>31</v>
      </c>
      <c r="C141" s="428" t="s">
        <v>903</v>
      </c>
      <c r="D141" s="428" t="s">
        <v>915</v>
      </c>
      <c r="E141" s="435" t="s">
        <v>916</v>
      </c>
      <c r="F141" s="435" t="s">
        <v>4683</v>
      </c>
      <c r="G141" s="419"/>
      <c r="H141" s="419"/>
      <c r="I141" s="419">
        <v>18.899999999999999</v>
      </c>
      <c r="J141" s="419"/>
      <c r="K141" s="420">
        <v>1</v>
      </c>
      <c r="L141" s="420">
        <f t="shared" si="13"/>
        <v>46283</v>
      </c>
      <c r="M141" s="420">
        <f t="shared" si="14"/>
        <v>261115</v>
      </c>
      <c r="N141" s="445">
        <f t="shared" ref="N141:N158" si="24">SUMPRODUCT(G141:J141,$G$12:$J$12,$G$9:$J$9)</f>
        <v>282262.65136363625</v>
      </c>
      <c r="O141" s="719"/>
      <c r="P141" s="719">
        <f t="shared" si="21"/>
        <v>619101.00136363623</v>
      </c>
      <c r="Q141" s="423" t="e">
        <f>SUMIF('8.Dgia'!E:E,'9.may'!E141,'8.Dgia'!P:P)</f>
        <v>#REF!</v>
      </c>
      <c r="R141" s="429" t="e">
        <f t="shared" si="15"/>
        <v>#REF!</v>
      </c>
      <c r="S141" s="301">
        <f t="shared" si="16"/>
        <v>13422.070000000002</v>
      </c>
      <c r="T141" s="430">
        <f t="shared" si="17"/>
        <v>556799.7213636362</v>
      </c>
      <c r="U141" s="2053">
        <v>164593</v>
      </c>
      <c r="V141" s="2053">
        <v>46283</v>
      </c>
      <c r="W141" s="2054">
        <v>261115</v>
      </c>
      <c r="Y141" s="433">
        <f t="shared" si="18"/>
        <v>-295684.7213636362</v>
      </c>
      <c r="Z141" s="433">
        <f t="shared" si="19"/>
        <v>0</v>
      </c>
      <c r="AC141" s="410" t="e">
        <f t="shared" si="20"/>
        <v>#REF!</v>
      </c>
    </row>
    <row r="142" spans="1:29" s="427" customFormat="1" ht="17.25" hidden="1" customHeight="1">
      <c r="B142" s="417" t="str">
        <f>IF(A142&lt;&gt;0,COUNTA(A$19:$A142),"")</f>
        <v/>
      </c>
      <c r="C142" s="428" t="s">
        <v>917</v>
      </c>
      <c r="D142" s="428"/>
      <c r="E142" s="435"/>
      <c r="F142" s="435"/>
      <c r="G142" s="419"/>
      <c r="H142" s="419"/>
      <c r="I142" s="419">
        <v>28.35</v>
      </c>
      <c r="J142" s="419"/>
      <c r="K142" s="420">
        <v>1</v>
      </c>
      <c r="L142" s="420">
        <f t="shared" si="13"/>
        <v>46283</v>
      </c>
      <c r="M142" s="420">
        <f t="shared" si="14"/>
        <v>350524</v>
      </c>
      <c r="N142" s="445">
        <f t="shared" si="24"/>
        <v>423393.97704545449</v>
      </c>
      <c r="O142" s="719"/>
      <c r="P142" s="719">
        <f t="shared" si="21"/>
        <v>875569.93704545451</v>
      </c>
      <c r="Q142" s="423">
        <f>SUMIF('8.Dgia'!E:E,'9.may'!E142,'8.Dgia'!P:P)</f>
        <v>0</v>
      </c>
      <c r="R142" s="429">
        <f t="shared" si="15"/>
        <v>0</v>
      </c>
      <c r="S142" s="301">
        <f t="shared" si="16"/>
        <v>13422.070000000002</v>
      </c>
      <c r="T142" s="430">
        <f t="shared" si="17"/>
        <v>787340.0470454545</v>
      </c>
      <c r="U142" s="431">
        <v>246890</v>
      </c>
      <c r="V142" s="431">
        <v>46283</v>
      </c>
      <c r="W142" s="432">
        <v>350524</v>
      </c>
      <c r="Y142" s="433">
        <f t="shared" si="18"/>
        <v>-436816.0470454545</v>
      </c>
      <c r="Z142" s="433">
        <f t="shared" si="19"/>
        <v>0</v>
      </c>
      <c r="AC142" s="410">
        <f t="shared" si="20"/>
        <v>0</v>
      </c>
    </row>
    <row r="143" spans="1:29" s="427" customFormat="1" ht="17.25" customHeight="1">
      <c r="A143" s="410">
        <v>1</v>
      </c>
      <c r="B143" s="417">
        <f>IF(A143&lt;&gt;0,COUNTA(A$19:$A143),"")</f>
        <v>32</v>
      </c>
      <c r="C143" s="428" t="s">
        <v>904</v>
      </c>
      <c r="D143" s="428"/>
      <c r="E143" s="435" t="s">
        <v>1991</v>
      </c>
      <c r="F143" s="435"/>
      <c r="G143" s="419"/>
      <c r="H143" s="419"/>
      <c r="I143" s="419">
        <v>32.4</v>
      </c>
      <c r="J143" s="419"/>
      <c r="K143" s="420">
        <v>1</v>
      </c>
      <c r="L143" s="420">
        <f t="shared" si="13"/>
        <v>49506</v>
      </c>
      <c r="M143" s="420">
        <f t="shared" si="14"/>
        <v>425223</v>
      </c>
      <c r="N143" s="445">
        <f t="shared" si="24"/>
        <v>483878.83090909082</v>
      </c>
      <c r="O143" s="719"/>
      <c r="P143" s="719">
        <f t="shared" si="21"/>
        <v>1032416.5009090909</v>
      </c>
      <c r="Q143" s="423">
        <f>SUMIF('8.Dgia'!E:E,'9.may'!E143,'8.Dgia'!P:P)</f>
        <v>0</v>
      </c>
      <c r="R143" s="429">
        <f t="shared" si="15"/>
        <v>0</v>
      </c>
      <c r="S143" s="301">
        <f t="shared" si="16"/>
        <v>14356.740000000002</v>
      </c>
      <c r="T143" s="430">
        <f t="shared" si="17"/>
        <v>923458.57090909081</v>
      </c>
      <c r="U143" s="2053">
        <v>282160</v>
      </c>
      <c r="V143" s="2053">
        <v>49506</v>
      </c>
      <c r="W143" s="2054">
        <v>425223</v>
      </c>
      <c r="Y143" s="433">
        <f t="shared" si="18"/>
        <v>-498235.57090909081</v>
      </c>
      <c r="Z143" s="433">
        <f t="shared" si="19"/>
        <v>0</v>
      </c>
      <c r="AC143" s="410">
        <f t="shared" si="20"/>
        <v>0</v>
      </c>
    </row>
    <row r="144" spans="1:29" s="427" customFormat="1" ht="17.25" customHeight="1">
      <c r="A144" s="410">
        <v>1</v>
      </c>
      <c r="B144" s="417">
        <f>IF(A144&lt;&gt;0,COUNTA(A$19:$A144),"")</f>
        <v>33</v>
      </c>
      <c r="C144" s="428" t="s">
        <v>905</v>
      </c>
      <c r="D144" s="428" t="s">
        <v>918</v>
      </c>
      <c r="E144" s="435" t="s">
        <v>919</v>
      </c>
      <c r="F144" s="435" t="s">
        <v>4687</v>
      </c>
      <c r="G144" s="419">
        <v>40.5</v>
      </c>
      <c r="H144" s="419"/>
      <c r="I144" s="419"/>
      <c r="J144" s="419"/>
      <c r="K144" s="420">
        <v>1</v>
      </c>
      <c r="L144" s="420">
        <f t="shared" si="13"/>
        <v>49506</v>
      </c>
      <c r="M144" s="420">
        <f t="shared" si="14"/>
        <v>433777</v>
      </c>
      <c r="N144" s="445">
        <f t="shared" si="24"/>
        <v>657985.45909090911</v>
      </c>
      <c r="O144" s="719"/>
      <c r="P144" s="719">
        <f t="shared" si="21"/>
        <v>1217557.7890909091</v>
      </c>
      <c r="Q144" s="423">
        <f>SUMIF('8.Dgia'!E:E,'9.may'!E144,'8.Dgia'!P:P)</f>
        <v>0</v>
      </c>
      <c r="R144" s="429">
        <f t="shared" si="15"/>
        <v>0</v>
      </c>
      <c r="S144" s="301">
        <f t="shared" si="16"/>
        <v>14356.740000000002</v>
      </c>
      <c r="T144" s="430">
        <f t="shared" si="17"/>
        <v>1106119.1990909092</v>
      </c>
      <c r="U144" s="2053">
        <v>289935</v>
      </c>
      <c r="V144" s="2053">
        <v>49506</v>
      </c>
      <c r="W144" s="2054">
        <v>433777</v>
      </c>
      <c r="Y144" s="433">
        <f t="shared" si="18"/>
        <v>-672342.19909090921</v>
      </c>
      <c r="Z144" s="433">
        <f t="shared" si="19"/>
        <v>0</v>
      </c>
      <c r="AC144" s="410">
        <f t="shared" si="20"/>
        <v>0</v>
      </c>
    </row>
    <row r="145" spans="1:29" s="427" customFormat="1" ht="17.25" hidden="1" customHeight="1">
      <c r="B145" s="417" t="str">
        <f>IF(A145&lt;&gt;0,COUNTA(A$19:$A145),"")</f>
        <v/>
      </c>
      <c r="C145" s="428" t="s">
        <v>908</v>
      </c>
      <c r="D145" s="428"/>
      <c r="E145" s="435"/>
      <c r="F145" s="435"/>
      <c r="G145" s="419">
        <v>43.2</v>
      </c>
      <c r="H145" s="419"/>
      <c r="I145" s="419"/>
      <c r="J145" s="419"/>
      <c r="K145" s="420">
        <v>1</v>
      </c>
      <c r="L145" s="420">
        <f t="shared" si="13"/>
        <v>57817</v>
      </c>
      <c r="M145" s="420">
        <f t="shared" si="14"/>
        <v>480033</v>
      </c>
      <c r="N145" s="445">
        <f t="shared" si="24"/>
        <v>701851.15636363626</v>
      </c>
      <c r="O145" s="719"/>
      <c r="P145" s="719">
        <f t="shared" si="21"/>
        <v>1321093.7263636363</v>
      </c>
      <c r="Q145" s="423">
        <f>SUMIF('8.Dgia'!E:E,'9.may'!E145,'8.Dgia'!P:P)</f>
        <v>0</v>
      </c>
      <c r="R145" s="429">
        <f t="shared" si="15"/>
        <v>0</v>
      </c>
      <c r="S145" s="301">
        <f t="shared" si="16"/>
        <v>16766.93</v>
      </c>
      <c r="T145" s="430">
        <f t="shared" si="17"/>
        <v>1198651.0863636364</v>
      </c>
      <c r="U145" s="431">
        <v>309264</v>
      </c>
      <c r="V145" s="431">
        <v>57817</v>
      </c>
      <c r="W145" s="432">
        <v>480033</v>
      </c>
      <c r="Y145" s="433">
        <f t="shared" si="18"/>
        <v>-718618.08636363642</v>
      </c>
      <c r="Z145" s="433">
        <f t="shared" si="19"/>
        <v>0</v>
      </c>
      <c r="AC145" s="410">
        <f t="shared" si="20"/>
        <v>0</v>
      </c>
    </row>
    <row r="146" spans="1:29" s="427" customFormat="1" ht="17.25" customHeight="1">
      <c r="A146" s="410">
        <v>1</v>
      </c>
      <c r="B146" s="417">
        <f>IF(A146&lt;&gt;0,COUNTA(A$19:$A146),"")</f>
        <v>34</v>
      </c>
      <c r="C146" s="428" t="s">
        <v>909</v>
      </c>
      <c r="D146" s="428" t="s">
        <v>920</v>
      </c>
      <c r="E146" s="435" t="s">
        <v>921</v>
      </c>
      <c r="F146" s="435" t="s">
        <v>4688</v>
      </c>
      <c r="G146" s="419">
        <v>45.9</v>
      </c>
      <c r="H146" s="419"/>
      <c r="I146" s="419"/>
      <c r="J146" s="419"/>
      <c r="K146" s="420">
        <v>1</v>
      </c>
      <c r="L146" s="420">
        <f t="shared" si="13"/>
        <v>57817</v>
      </c>
      <c r="M146" s="420">
        <f t="shared" si="14"/>
        <v>622371</v>
      </c>
      <c r="N146" s="445">
        <f t="shared" si="24"/>
        <v>745716.85363636352</v>
      </c>
      <c r="O146" s="719"/>
      <c r="P146" s="719">
        <f t="shared" si="21"/>
        <v>1548575.4436363634</v>
      </c>
      <c r="Q146" s="423" t="e">
        <f>SUMIF('8.Dgia'!E:E,'9.may'!E146,'8.Dgia'!P:P)</f>
        <v>#REF!</v>
      </c>
      <c r="R146" s="429" t="e">
        <f t="shared" si="15"/>
        <v>#REF!</v>
      </c>
      <c r="S146" s="301">
        <f t="shared" si="16"/>
        <v>16766.93</v>
      </c>
      <c r="T146" s="430">
        <f t="shared" si="17"/>
        <v>1384854.7836363637</v>
      </c>
      <c r="U146" s="2053">
        <v>328594</v>
      </c>
      <c r="V146" s="2053">
        <v>57817</v>
      </c>
      <c r="W146" s="2054">
        <v>622371</v>
      </c>
      <c r="Y146" s="433">
        <f t="shared" si="18"/>
        <v>-762483.78363636369</v>
      </c>
      <c r="Z146" s="433">
        <f t="shared" si="19"/>
        <v>0</v>
      </c>
      <c r="AC146" s="410" t="e">
        <f t="shared" si="20"/>
        <v>#REF!</v>
      </c>
    </row>
    <row r="147" spans="1:29" s="427" customFormat="1" ht="17.25" hidden="1" customHeight="1">
      <c r="B147" s="417" t="str">
        <f>IF(A147&lt;&gt;0,COUNTA(A$19:$A147),"")</f>
        <v/>
      </c>
      <c r="C147" s="428" t="s">
        <v>865</v>
      </c>
      <c r="D147" s="428"/>
      <c r="E147" s="435"/>
      <c r="F147" s="435"/>
      <c r="G147" s="419">
        <v>51.3</v>
      </c>
      <c r="H147" s="419"/>
      <c r="I147" s="419"/>
      <c r="J147" s="419"/>
      <c r="K147" s="420">
        <v>1</v>
      </c>
      <c r="L147" s="420">
        <f t="shared" si="13"/>
        <v>52559</v>
      </c>
      <c r="M147" s="420">
        <f t="shared" si="14"/>
        <v>695566</v>
      </c>
      <c r="N147" s="445">
        <f t="shared" si="24"/>
        <v>833448.24818181805</v>
      </c>
      <c r="O147" s="719"/>
      <c r="P147" s="719">
        <f t="shared" si="21"/>
        <v>1730728.3881818182</v>
      </c>
      <c r="Q147" s="423">
        <f>SUMIF('8.Dgia'!E:E,'9.may'!E147,'8.Dgia'!P:P)</f>
        <v>0</v>
      </c>
      <c r="R147" s="429">
        <f t="shared" si="15"/>
        <v>0</v>
      </c>
      <c r="S147" s="301">
        <f t="shared" si="16"/>
        <v>15242.110000000002</v>
      </c>
      <c r="T147" s="430">
        <f t="shared" si="17"/>
        <v>1544256.3581818179</v>
      </c>
      <c r="U147" s="431">
        <v>367252</v>
      </c>
      <c r="V147" s="431">
        <v>52559</v>
      </c>
      <c r="W147" s="432">
        <v>695566</v>
      </c>
      <c r="Y147" s="433">
        <f t="shared" si="18"/>
        <v>-848690.35818181792</v>
      </c>
      <c r="Z147" s="433">
        <f t="shared" si="19"/>
        <v>0</v>
      </c>
      <c r="AC147" s="410">
        <f t="shared" si="20"/>
        <v>0</v>
      </c>
    </row>
    <row r="148" spans="1:29" s="427" customFormat="1" ht="17.25" customHeight="1">
      <c r="A148" s="410">
        <v>1</v>
      </c>
      <c r="B148" s="417">
        <f>IF(A148&lt;&gt;0,COUNTA(A$19:$A148),"")</f>
        <v>35</v>
      </c>
      <c r="C148" s="428" t="s">
        <v>891</v>
      </c>
      <c r="D148" s="428" t="s">
        <v>922</v>
      </c>
      <c r="E148" s="435" t="s">
        <v>923</v>
      </c>
      <c r="F148" s="435" t="s">
        <v>4689</v>
      </c>
      <c r="G148" s="419">
        <v>56.7</v>
      </c>
      <c r="H148" s="419"/>
      <c r="I148" s="419"/>
      <c r="J148" s="419"/>
      <c r="K148" s="420">
        <v>1</v>
      </c>
      <c r="L148" s="420">
        <f t="shared" ref="L148:L211" si="25">+V148</f>
        <v>52559</v>
      </c>
      <c r="M148" s="420">
        <f t="shared" ref="M148:M211" si="26">+W148</f>
        <v>736036</v>
      </c>
      <c r="N148" s="445">
        <f t="shared" si="24"/>
        <v>921179.64272727259</v>
      </c>
      <c r="O148" s="719"/>
      <c r="P148" s="719">
        <f t="shared" si="21"/>
        <v>1870666.0827272725</v>
      </c>
      <c r="Q148" s="423" t="e">
        <f>SUMIF('8.Dgia'!E:E,'9.may'!E148,'8.Dgia'!P:P)</f>
        <v>#REF!</v>
      </c>
      <c r="R148" s="429" t="e">
        <f t="shared" ref="R148:R211" si="27">N148*Q148</f>
        <v>#REF!</v>
      </c>
      <c r="S148" s="301">
        <f t="shared" ref="S148:S211" si="28">L148*($G$13-1)</f>
        <v>15242.110000000002</v>
      </c>
      <c r="T148" s="430">
        <f t="shared" ref="T148:T211" si="29">S148+N148+M148</f>
        <v>1672457.7527272725</v>
      </c>
      <c r="U148" s="2053">
        <v>405910</v>
      </c>
      <c r="V148" s="2053">
        <v>52559</v>
      </c>
      <c r="W148" s="2054">
        <v>736036</v>
      </c>
      <c r="Y148" s="433">
        <f t="shared" ref="Y148:Y211" si="30">W148-T148</f>
        <v>-936421.75272727245</v>
      </c>
      <c r="Z148" s="433">
        <f t="shared" ref="Z148:Z211" si="31">W148-M148</f>
        <v>0</v>
      </c>
      <c r="AC148" s="410" t="e">
        <f t="shared" ref="AC148:AC211" si="32">+P148*Q148</f>
        <v>#REF!</v>
      </c>
    </row>
    <row r="149" spans="1:29" s="427" customFormat="1" ht="17.25" customHeight="1">
      <c r="A149" s="410">
        <v>1</v>
      </c>
      <c r="B149" s="417">
        <f>IF(A149&lt;&gt;0,COUNTA(A$19:$A149),"")</f>
        <v>36</v>
      </c>
      <c r="C149" s="428" t="s">
        <v>912</v>
      </c>
      <c r="D149" s="428" t="s">
        <v>924</v>
      </c>
      <c r="E149" s="435" t="s">
        <v>925</v>
      </c>
      <c r="F149" s="435" t="s">
        <v>4690</v>
      </c>
      <c r="G149" s="419">
        <v>64.8</v>
      </c>
      <c r="H149" s="419"/>
      <c r="I149" s="419"/>
      <c r="J149" s="419"/>
      <c r="K149" s="420">
        <v>1</v>
      </c>
      <c r="L149" s="420">
        <f t="shared" si="25"/>
        <v>61040</v>
      </c>
      <c r="M149" s="420">
        <f t="shared" si="26"/>
        <v>807643</v>
      </c>
      <c r="N149" s="445">
        <f t="shared" si="24"/>
        <v>1052776.7345454544</v>
      </c>
      <c r="O149" s="719"/>
      <c r="P149" s="719">
        <f t="shared" ref="P149:P212" si="33">+N149+M149*$G$13</f>
        <v>2094636.2045454544</v>
      </c>
      <c r="Q149" s="423">
        <f>SUMIF('8.Dgia'!E:E,'9.may'!E149,'8.Dgia'!P:P)</f>
        <v>0</v>
      </c>
      <c r="R149" s="429">
        <f t="shared" si="27"/>
        <v>0</v>
      </c>
      <c r="S149" s="301">
        <f t="shared" si="28"/>
        <v>17701.600000000002</v>
      </c>
      <c r="T149" s="430">
        <f t="shared" si="29"/>
        <v>1878121.3345454545</v>
      </c>
      <c r="U149" s="2053">
        <v>463897</v>
      </c>
      <c r="V149" s="2053">
        <v>61040</v>
      </c>
      <c r="W149" s="2054">
        <v>807643</v>
      </c>
      <c r="Y149" s="433">
        <f t="shared" si="30"/>
        <v>-1070478.3345454545</v>
      </c>
      <c r="Z149" s="433">
        <f t="shared" si="31"/>
        <v>0</v>
      </c>
      <c r="AC149" s="410">
        <f t="shared" si="32"/>
        <v>0</v>
      </c>
    </row>
    <row r="150" spans="1:29" s="427" customFormat="1" ht="17.25" customHeight="1">
      <c r="A150" s="410">
        <v>1</v>
      </c>
      <c r="B150" s="417">
        <f>IF(A150&lt;&gt;0,COUNTA(A$19:$A150),"")</f>
        <v>37</v>
      </c>
      <c r="C150" s="428" t="s">
        <v>926</v>
      </c>
      <c r="D150" s="428" t="s">
        <v>927</v>
      </c>
      <c r="E150" s="435" t="s">
        <v>928</v>
      </c>
      <c r="F150" s="435" t="s">
        <v>4691</v>
      </c>
      <c r="G150" s="419">
        <v>72.900000000000006</v>
      </c>
      <c r="H150" s="419"/>
      <c r="I150" s="419"/>
      <c r="J150" s="419"/>
      <c r="K150" s="420">
        <v>1</v>
      </c>
      <c r="L150" s="420">
        <f t="shared" si="25"/>
        <v>61040</v>
      </c>
      <c r="M150" s="420">
        <f t="shared" si="26"/>
        <v>857602</v>
      </c>
      <c r="N150" s="445">
        <f t="shared" si="24"/>
        <v>1184373.8263636362</v>
      </c>
      <c r="O150" s="719"/>
      <c r="P150" s="719">
        <f t="shared" si="33"/>
        <v>2290680.4063636363</v>
      </c>
      <c r="Q150" s="423">
        <f>SUMIF('8.Dgia'!E:E,'9.may'!E150,'8.Dgia'!P:P)</f>
        <v>0</v>
      </c>
      <c r="R150" s="429">
        <f t="shared" si="27"/>
        <v>0</v>
      </c>
      <c r="S150" s="301">
        <f t="shared" si="28"/>
        <v>17701.600000000002</v>
      </c>
      <c r="T150" s="430">
        <f t="shared" si="29"/>
        <v>2059677.4263636363</v>
      </c>
      <c r="U150" s="2053">
        <v>521884</v>
      </c>
      <c r="V150" s="2053">
        <v>61040</v>
      </c>
      <c r="W150" s="2054">
        <v>857602</v>
      </c>
      <c r="Y150" s="433">
        <f t="shared" si="30"/>
        <v>-1202075.4263636363</v>
      </c>
      <c r="Z150" s="433">
        <f t="shared" si="31"/>
        <v>0</v>
      </c>
      <c r="AC150" s="410">
        <f t="shared" si="32"/>
        <v>0</v>
      </c>
    </row>
    <row r="151" spans="1:29" s="427" customFormat="1" ht="17.25" hidden="1" customHeight="1">
      <c r="B151" s="417" t="str">
        <f>IF(A151&lt;&gt;0,COUNTA(A$19:$A151),"")</f>
        <v/>
      </c>
      <c r="C151" s="428" t="s">
        <v>913</v>
      </c>
      <c r="D151" s="428"/>
      <c r="E151" s="435"/>
      <c r="F151" s="435"/>
      <c r="G151" s="419">
        <v>75.599999999999994</v>
      </c>
      <c r="H151" s="419"/>
      <c r="I151" s="419"/>
      <c r="J151" s="419"/>
      <c r="K151" s="420">
        <v>1</v>
      </c>
      <c r="L151" s="420">
        <f t="shared" si="25"/>
        <v>64432</v>
      </c>
      <c r="M151" s="420">
        <f t="shared" si="26"/>
        <v>943253</v>
      </c>
      <c r="N151" s="445">
        <f t="shared" si="24"/>
        <v>1228239.5236363634</v>
      </c>
      <c r="O151" s="719"/>
      <c r="P151" s="719">
        <f t="shared" si="33"/>
        <v>2445035.8936363636</v>
      </c>
      <c r="Q151" s="423">
        <f>SUMIF('8.Dgia'!E:E,'9.may'!E151,'8.Dgia'!P:P)</f>
        <v>0</v>
      </c>
      <c r="R151" s="429">
        <f t="shared" si="27"/>
        <v>0</v>
      </c>
      <c r="S151" s="301">
        <f t="shared" si="28"/>
        <v>18685.280000000002</v>
      </c>
      <c r="T151" s="430">
        <f t="shared" si="29"/>
        <v>2190177.8036363637</v>
      </c>
      <c r="U151" s="431">
        <v>541213</v>
      </c>
      <c r="V151" s="431">
        <v>64432</v>
      </c>
      <c r="W151" s="432">
        <v>943253</v>
      </c>
      <c r="Y151" s="433">
        <f t="shared" si="30"/>
        <v>-1246924.8036363637</v>
      </c>
      <c r="Z151" s="433">
        <f t="shared" si="31"/>
        <v>0</v>
      </c>
      <c r="AC151" s="410">
        <f t="shared" si="32"/>
        <v>0</v>
      </c>
    </row>
    <row r="152" spans="1:29" s="427" customFormat="1" ht="17.25" customHeight="1">
      <c r="A152" s="410">
        <v>1</v>
      </c>
      <c r="B152" s="417">
        <f>IF(A152&lt;&gt;0,COUNTA(A$19:$A152),"")</f>
        <v>38</v>
      </c>
      <c r="C152" s="428" t="s">
        <v>929</v>
      </c>
      <c r="D152" s="428" t="s">
        <v>930</v>
      </c>
      <c r="E152" s="435" t="s">
        <v>931</v>
      </c>
      <c r="F152" s="435" t="s">
        <v>4692</v>
      </c>
      <c r="G152" s="419">
        <v>76.95</v>
      </c>
      <c r="H152" s="419"/>
      <c r="I152" s="419"/>
      <c r="J152" s="419"/>
      <c r="K152" s="420">
        <v>1</v>
      </c>
      <c r="L152" s="420">
        <f t="shared" si="25"/>
        <v>64432</v>
      </c>
      <c r="M152" s="420">
        <f t="shared" si="26"/>
        <v>983290</v>
      </c>
      <c r="N152" s="445">
        <f t="shared" si="24"/>
        <v>1250172.3722727273</v>
      </c>
      <c r="O152" s="719"/>
      <c r="P152" s="719">
        <f t="shared" si="33"/>
        <v>2518616.4722727276</v>
      </c>
      <c r="Q152" s="423">
        <f>SUMIF('8.Dgia'!E:E,'9.may'!E152,'8.Dgia'!P:P)</f>
        <v>0</v>
      </c>
      <c r="R152" s="429">
        <f t="shared" si="27"/>
        <v>0</v>
      </c>
      <c r="S152" s="301">
        <f t="shared" si="28"/>
        <v>18685.280000000002</v>
      </c>
      <c r="T152" s="430">
        <f t="shared" si="29"/>
        <v>2252147.6522727273</v>
      </c>
      <c r="U152" s="2053">
        <v>550877</v>
      </c>
      <c r="V152" s="2053">
        <v>64432</v>
      </c>
      <c r="W152" s="2054">
        <v>983290</v>
      </c>
      <c r="Y152" s="433">
        <f t="shared" si="30"/>
        <v>-1268857.6522727273</v>
      </c>
      <c r="Z152" s="433">
        <f t="shared" si="31"/>
        <v>0</v>
      </c>
      <c r="AC152" s="410">
        <f t="shared" si="32"/>
        <v>0</v>
      </c>
    </row>
    <row r="153" spans="1:29" s="427" customFormat="1" ht="17.25" hidden="1" customHeight="1">
      <c r="B153" s="417" t="str">
        <f>IF(A153&lt;&gt;0,COUNTA(A$19:$A153),"")</f>
        <v/>
      </c>
      <c r="C153" s="428" t="s">
        <v>870</v>
      </c>
      <c r="D153" s="428"/>
      <c r="E153" s="435"/>
      <c r="F153" s="435"/>
      <c r="G153" s="419">
        <v>81</v>
      </c>
      <c r="H153" s="419"/>
      <c r="I153" s="419"/>
      <c r="J153" s="419"/>
      <c r="K153" s="420">
        <v>1</v>
      </c>
      <c r="L153" s="420">
        <f t="shared" si="25"/>
        <v>72404</v>
      </c>
      <c r="M153" s="420">
        <f t="shared" si="26"/>
        <v>1043346</v>
      </c>
      <c r="N153" s="445">
        <f t="shared" si="24"/>
        <v>1315970.9181818182</v>
      </c>
      <c r="O153" s="719"/>
      <c r="P153" s="719">
        <f t="shared" si="33"/>
        <v>2661887.2581818183</v>
      </c>
      <c r="Q153" s="423">
        <f>SUMIF('8.Dgia'!E:E,'9.may'!E153,'8.Dgia'!P:P)</f>
        <v>0</v>
      </c>
      <c r="R153" s="429">
        <f t="shared" si="27"/>
        <v>0</v>
      </c>
      <c r="S153" s="301">
        <f t="shared" si="28"/>
        <v>20997.160000000003</v>
      </c>
      <c r="T153" s="430">
        <f t="shared" si="29"/>
        <v>2380314.0781818181</v>
      </c>
      <c r="U153" s="431">
        <v>579871</v>
      </c>
      <c r="V153" s="431">
        <v>72404</v>
      </c>
      <c r="W153" s="432">
        <v>1043346</v>
      </c>
      <c r="Y153" s="433">
        <f t="shared" si="30"/>
        <v>-1336968.0781818181</v>
      </c>
      <c r="Z153" s="433">
        <f t="shared" si="31"/>
        <v>0</v>
      </c>
      <c r="AC153" s="410">
        <f t="shared" si="32"/>
        <v>0</v>
      </c>
    </row>
    <row r="154" spans="1:29" s="427" customFormat="1" ht="17.25" customHeight="1">
      <c r="A154" s="410">
        <v>1</v>
      </c>
      <c r="B154" s="417">
        <f>IF(A154&lt;&gt;0,COUNTA(A$19:$A154),"")</f>
        <v>39</v>
      </c>
      <c r="C154" s="428" t="s">
        <v>932</v>
      </c>
      <c r="D154" s="428" t="s">
        <v>933</v>
      </c>
      <c r="E154" s="435" t="s">
        <v>934</v>
      </c>
      <c r="F154" s="435" t="s">
        <v>4693</v>
      </c>
      <c r="G154" s="419">
        <v>86.4</v>
      </c>
      <c r="H154" s="419"/>
      <c r="I154" s="419"/>
      <c r="J154" s="419"/>
      <c r="K154" s="420">
        <v>1</v>
      </c>
      <c r="L154" s="420">
        <f t="shared" si="25"/>
        <v>72404</v>
      </c>
      <c r="M154" s="420">
        <f t="shared" si="26"/>
        <v>1253942</v>
      </c>
      <c r="N154" s="445">
        <f t="shared" si="24"/>
        <v>1403702.3127272725</v>
      </c>
      <c r="O154" s="719"/>
      <c r="P154" s="719">
        <f t="shared" si="33"/>
        <v>3021287.4927272722</v>
      </c>
      <c r="Q154" s="423">
        <f>SUMIF('8.Dgia'!E:E,'9.may'!E154,'8.Dgia'!P:P)</f>
        <v>0</v>
      </c>
      <c r="R154" s="429">
        <f t="shared" si="27"/>
        <v>0</v>
      </c>
      <c r="S154" s="301">
        <f t="shared" si="28"/>
        <v>20997.160000000003</v>
      </c>
      <c r="T154" s="430">
        <f t="shared" si="29"/>
        <v>2678641.4727272727</v>
      </c>
      <c r="U154" s="2053">
        <v>618529</v>
      </c>
      <c r="V154" s="2053">
        <v>72404</v>
      </c>
      <c r="W154" s="2054">
        <v>1253942</v>
      </c>
      <c r="Y154" s="433">
        <f t="shared" si="30"/>
        <v>-1424699.4727272727</v>
      </c>
      <c r="Z154" s="433">
        <f t="shared" si="31"/>
        <v>0</v>
      </c>
      <c r="AC154" s="410">
        <f t="shared" si="32"/>
        <v>0</v>
      </c>
    </row>
    <row r="155" spans="1:29" s="427" customFormat="1" ht="17.25" hidden="1" customHeight="1">
      <c r="B155" s="417" t="str">
        <f>IF(A155&lt;&gt;0,COUNTA(A$19:$A155),"")</f>
        <v/>
      </c>
      <c r="C155" s="428" t="s">
        <v>935</v>
      </c>
      <c r="D155" s="428"/>
      <c r="E155" s="435"/>
      <c r="F155" s="435"/>
      <c r="G155" s="419">
        <v>91.68</v>
      </c>
      <c r="H155" s="419"/>
      <c r="I155" s="419"/>
      <c r="J155" s="419"/>
      <c r="K155" s="420">
        <v>1</v>
      </c>
      <c r="L155" s="420">
        <f t="shared" si="25"/>
        <v>72404</v>
      </c>
      <c r="M155" s="420">
        <f t="shared" si="26"/>
        <v>1388254</v>
      </c>
      <c r="N155" s="445">
        <f t="shared" si="24"/>
        <v>1489484.1207272727</v>
      </c>
      <c r="O155" s="719"/>
      <c r="P155" s="719">
        <f t="shared" si="33"/>
        <v>3280331.7807272729</v>
      </c>
      <c r="Q155" s="423">
        <f>SUMIF('8.Dgia'!E:E,'9.may'!E155,'8.Dgia'!P:P)</f>
        <v>0</v>
      </c>
      <c r="R155" s="429">
        <f t="shared" si="27"/>
        <v>0</v>
      </c>
      <c r="S155" s="301">
        <f t="shared" si="28"/>
        <v>20997.160000000003</v>
      </c>
      <c r="T155" s="430">
        <f t="shared" si="29"/>
        <v>2898735.2807272729</v>
      </c>
      <c r="U155" s="431">
        <v>656328</v>
      </c>
      <c r="V155" s="431">
        <v>72404</v>
      </c>
      <c r="W155" s="432">
        <v>1388254</v>
      </c>
      <c r="Y155" s="433">
        <f t="shared" si="30"/>
        <v>-1510481.2807272729</v>
      </c>
      <c r="Z155" s="433">
        <f t="shared" si="31"/>
        <v>0</v>
      </c>
      <c r="AC155" s="410">
        <f t="shared" si="32"/>
        <v>0</v>
      </c>
    </row>
    <row r="156" spans="1:29" s="427" customFormat="1" ht="17.25" hidden="1" customHeight="1">
      <c r="B156" s="417" t="str">
        <f>IF(A156&lt;&gt;0,COUNTA(A$19:$A156),"")</f>
        <v/>
      </c>
      <c r="C156" s="428" t="s">
        <v>936</v>
      </c>
      <c r="D156" s="428"/>
      <c r="E156" s="435"/>
      <c r="F156" s="435"/>
      <c r="G156" s="419">
        <v>116.4</v>
      </c>
      <c r="H156" s="419"/>
      <c r="I156" s="419"/>
      <c r="J156" s="419"/>
      <c r="K156" s="420">
        <v>1</v>
      </c>
      <c r="L156" s="420">
        <f t="shared" si="25"/>
        <v>72404</v>
      </c>
      <c r="M156" s="420">
        <f t="shared" si="26"/>
        <v>1729352</v>
      </c>
      <c r="N156" s="445">
        <f t="shared" si="24"/>
        <v>1891098.949090909</v>
      </c>
      <c r="O156" s="719"/>
      <c r="P156" s="719">
        <f t="shared" si="33"/>
        <v>4121963.0290909093</v>
      </c>
      <c r="Q156" s="423">
        <f>SUMIF('8.Dgia'!E:E,'9.may'!E156,'8.Dgia'!P:P)</f>
        <v>0</v>
      </c>
      <c r="R156" s="429">
        <f t="shared" si="27"/>
        <v>0</v>
      </c>
      <c r="S156" s="301">
        <f t="shared" si="28"/>
        <v>20997.160000000003</v>
      </c>
      <c r="T156" s="430">
        <f t="shared" si="29"/>
        <v>3641448.1090909089</v>
      </c>
      <c r="U156" s="431">
        <v>833296</v>
      </c>
      <c r="V156" s="431">
        <v>72404</v>
      </c>
      <c r="W156" s="432">
        <v>1729352</v>
      </c>
      <c r="Y156" s="433">
        <f t="shared" si="30"/>
        <v>-1912096.1090909089</v>
      </c>
      <c r="Z156" s="433">
        <f t="shared" si="31"/>
        <v>0</v>
      </c>
      <c r="AC156" s="410">
        <f t="shared" si="32"/>
        <v>0</v>
      </c>
    </row>
    <row r="157" spans="1:29" s="427" customFormat="1" ht="17.25" hidden="1" customHeight="1">
      <c r="B157" s="417" t="str">
        <f>IF(A157&lt;&gt;0,COUNTA(A$19:$A157),"")</f>
        <v/>
      </c>
      <c r="C157" s="428" t="s">
        <v>937</v>
      </c>
      <c r="D157" s="428"/>
      <c r="E157" s="435"/>
      <c r="F157" s="435"/>
      <c r="G157" s="419">
        <v>130.56</v>
      </c>
      <c r="H157" s="419"/>
      <c r="I157" s="419"/>
      <c r="J157" s="419"/>
      <c r="K157" s="420">
        <v>1</v>
      </c>
      <c r="L157" s="420">
        <f t="shared" si="25"/>
        <v>77153</v>
      </c>
      <c r="M157" s="420">
        <f t="shared" si="26"/>
        <v>2045226</v>
      </c>
      <c r="N157" s="445">
        <f t="shared" si="24"/>
        <v>2121150.1614545453</v>
      </c>
      <c r="O157" s="719"/>
      <c r="P157" s="719">
        <f t="shared" si="33"/>
        <v>4759491.7014545454</v>
      </c>
      <c r="Q157" s="423">
        <f>SUMIF('8.Dgia'!E:E,'9.may'!E157,'8.Dgia'!P:P)</f>
        <v>0</v>
      </c>
      <c r="R157" s="429">
        <f t="shared" si="27"/>
        <v>0</v>
      </c>
      <c r="S157" s="301">
        <f t="shared" si="28"/>
        <v>22374.370000000003</v>
      </c>
      <c r="T157" s="430">
        <f t="shared" si="29"/>
        <v>4188750.5314545454</v>
      </c>
      <c r="U157" s="431">
        <v>934666</v>
      </c>
      <c r="V157" s="431">
        <v>77153</v>
      </c>
      <c r="W157" s="432">
        <v>2045226</v>
      </c>
      <c r="Y157" s="433">
        <f t="shared" si="30"/>
        <v>-2143524.5314545454</v>
      </c>
      <c r="Z157" s="433">
        <f t="shared" si="31"/>
        <v>0</v>
      </c>
      <c r="AC157" s="410">
        <f t="shared" si="32"/>
        <v>0</v>
      </c>
    </row>
    <row r="158" spans="1:29" s="427" customFormat="1" ht="17.25" hidden="1" customHeight="1">
      <c r="B158" s="417" t="str">
        <f>IF(A158&lt;&gt;0,COUNTA(A$19:$A158),"")</f>
        <v/>
      </c>
      <c r="C158" s="428" t="s">
        <v>938</v>
      </c>
      <c r="D158" s="428"/>
      <c r="E158" s="435"/>
      <c r="F158" s="435"/>
      <c r="G158" s="419">
        <v>156</v>
      </c>
      <c r="H158" s="419"/>
      <c r="I158" s="419"/>
      <c r="J158" s="419"/>
      <c r="K158" s="420">
        <v>1</v>
      </c>
      <c r="L158" s="420">
        <f t="shared" si="25"/>
        <v>90044</v>
      </c>
      <c r="M158" s="420">
        <f t="shared" si="26"/>
        <v>2363959</v>
      </c>
      <c r="N158" s="445">
        <f t="shared" si="24"/>
        <v>2534462.5090909088</v>
      </c>
      <c r="O158" s="719"/>
      <c r="P158" s="719">
        <f t="shared" si="33"/>
        <v>5583969.6190909091</v>
      </c>
      <c r="Q158" s="423">
        <f>SUMIF('8.Dgia'!E:E,'9.may'!E158,'8.Dgia'!P:P)</f>
        <v>0</v>
      </c>
      <c r="R158" s="429">
        <f t="shared" si="27"/>
        <v>0</v>
      </c>
      <c r="S158" s="301">
        <f t="shared" si="28"/>
        <v>26112.760000000002</v>
      </c>
      <c r="T158" s="430">
        <f t="shared" si="29"/>
        <v>4924534.2690909086</v>
      </c>
      <c r="U158" s="431">
        <v>1116788</v>
      </c>
      <c r="V158" s="431">
        <v>90044</v>
      </c>
      <c r="W158" s="432">
        <v>2363959</v>
      </c>
      <c r="Y158" s="433">
        <f t="shared" si="30"/>
        <v>-2560575.2690909086</v>
      </c>
      <c r="Z158" s="433">
        <f t="shared" si="31"/>
        <v>0</v>
      </c>
      <c r="AC158" s="410">
        <f t="shared" si="32"/>
        <v>0</v>
      </c>
    </row>
    <row r="159" spans="1:29" s="427" customFormat="1" ht="17.25" hidden="1" customHeight="1">
      <c r="B159" s="417" t="str">
        <f>IF(A159&lt;&gt;0,COUNTA(A$19:$A159),"")</f>
        <v/>
      </c>
      <c r="C159" s="418" t="s">
        <v>939</v>
      </c>
      <c r="D159" s="418"/>
      <c r="E159" s="435"/>
      <c r="F159" s="435"/>
      <c r="G159" s="419"/>
      <c r="H159" s="419"/>
      <c r="I159" s="419"/>
      <c r="J159" s="419"/>
      <c r="K159" s="437"/>
      <c r="L159" s="420">
        <f t="shared" si="25"/>
        <v>0</v>
      </c>
      <c r="M159" s="420">
        <f t="shared" si="26"/>
        <v>0</v>
      </c>
      <c r="N159" s="445"/>
      <c r="O159" s="719"/>
      <c r="P159" s="719">
        <f t="shared" si="33"/>
        <v>0</v>
      </c>
      <c r="Q159" s="423">
        <f>SUMIF('8.Dgia'!E:E,'9.may'!E159,'8.Dgia'!P:P)</f>
        <v>0</v>
      </c>
      <c r="R159" s="429">
        <f t="shared" si="27"/>
        <v>0</v>
      </c>
      <c r="S159" s="301">
        <f t="shared" si="28"/>
        <v>0</v>
      </c>
      <c r="T159" s="430">
        <f t="shared" si="29"/>
        <v>0</v>
      </c>
      <c r="U159" s="436"/>
      <c r="V159" s="436"/>
      <c r="W159" s="432"/>
      <c r="Y159" s="433">
        <f t="shared" si="30"/>
        <v>0</v>
      </c>
      <c r="Z159" s="433">
        <f t="shared" si="31"/>
        <v>0</v>
      </c>
      <c r="AC159" s="410">
        <f t="shared" si="32"/>
        <v>0</v>
      </c>
    </row>
    <row r="160" spans="1:29" s="427" customFormat="1" ht="17.25" hidden="1" customHeight="1">
      <c r="B160" s="417" t="str">
        <f>IF(A160&lt;&gt;0,COUNTA(A$19:$A160),"")</f>
        <v/>
      </c>
      <c r="C160" s="428" t="s">
        <v>940</v>
      </c>
      <c r="D160" s="428"/>
      <c r="E160" s="435"/>
      <c r="F160" s="435"/>
      <c r="G160" s="419">
        <v>30</v>
      </c>
      <c r="H160" s="419"/>
      <c r="I160" s="419"/>
      <c r="J160" s="419"/>
      <c r="K160" s="420">
        <v>1</v>
      </c>
      <c r="L160" s="420">
        <f t="shared" si="25"/>
        <v>61040</v>
      </c>
      <c r="M160" s="420">
        <f t="shared" si="26"/>
        <v>497420</v>
      </c>
      <c r="N160" s="445">
        <f t="shared" ref="N160:N165" si="34">SUMPRODUCT(G160:J160,$G$12:$J$12,$G$9:$J$9)</f>
        <v>487396.63636363629</v>
      </c>
      <c r="O160" s="719"/>
      <c r="P160" s="719">
        <f t="shared" si="33"/>
        <v>1129068.4363636363</v>
      </c>
      <c r="Q160" s="423">
        <f>SUMIF('8.Dgia'!E:E,'9.may'!E160,'8.Dgia'!P:P)</f>
        <v>0</v>
      </c>
      <c r="R160" s="429">
        <f t="shared" si="27"/>
        <v>0</v>
      </c>
      <c r="S160" s="301">
        <f t="shared" si="28"/>
        <v>17701.600000000002</v>
      </c>
      <c r="T160" s="430">
        <f t="shared" si="29"/>
        <v>1002518.2363636363</v>
      </c>
      <c r="U160" s="431">
        <v>214767</v>
      </c>
      <c r="V160" s="431">
        <v>61040</v>
      </c>
      <c r="W160" s="432">
        <v>497420</v>
      </c>
      <c r="Y160" s="433">
        <f t="shared" si="30"/>
        <v>-505098.23636363633</v>
      </c>
      <c r="Z160" s="433">
        <f t="shared" si="31"/>
        <v>0</v>
      </c>
      <c r="AC160" s="410">
        <f t="shared" si="32"/>
        <v>0</v>
      </c>
    </row>
    <row r="161" spans="1:29" s="427" customFormat="1" ht="17.25" hidden="1" customHeight="1">
      <c r="B161" s="417" t="str">
        <f>IF(A161&lt;&gt;0,COUNTA(A$19:$A161),"")</f>
        <v/>
      </c>
      <c r="C161" s="428" t="s">
        <v>830</v>
      </c>
      <c r="D161" s="428"/>
      <c r="E161" s="435"/>
      <c r="F161" s="435"/>
      <c r="G161" s="419">
        <v>36</v>
      </c>
      <c r="H161" s="419"/>
      <c r="I161" s="419"/>
      <c r="J161" s="419"/>
      <c r="K161" s="420">
        <v>1</v>
      </c>
      <c r="L161" s="420">
        <f t="shared" si="25"/>
        <v>61040</v>
      </c>
      <c r="M161" s="420">
        <f t="shared" si="26"/>
        <v>672515</v>
      </c>
      <c r="N161" s="445">
        <f t="shared" si="34"/>
        <v>584875.96363636351</v>
      </c>
      <c r="O161" s="719"/>
      <c r="P161" s="719">
        <f t="shared" si="33"/>
        <v>1452420.3136363635</v>
      </c>
      <c r="Q161" s="423">
        <f>SUMIF('8.Dgia'!E:E,'9.may'!E161,'8.Dgia'!P:P)</f>
        <v>0</v>
      </c>
      <c r="R161" s="429">
        <f t="shared" si="27"/>
        <v>0</v>
      </c>
      <c r="S161" s="301">
        <f t="shared" si="28"/>
        <v>17701.600000000002</v>
      </c>
      <c r="T161" s="430">
        <f t="shared" si="29"/>
        <v>1275092.5636363635</v>
      </c>
      <c r="U161" s="431">
        <v>257720</v>
      </c>
      <c r="V161" s="431">
        <v>61040</v>
      </c>
      <c r="W161" s="432">
        <v>672515</v>
      </c>
      <c r="Y161" s="433">
        <f t="shared" si="30"/>
        <v>-602577.56363636348</v>
      </c>
      <c r="Z161" s="433">
        <f t="shared" si="31"/>
        <v>0</v>
      </c>
      <c r="AC161" s="410">
        <f t="shared" si="32"/>
        <v>0</v>
      </c>
    </row>
    <row r="162" spans="1:29" s="427" customFormat="1" ht="17.25" hidden="1" customHeight="1">
      <c r="B162" s="417" t="str">
        <f>IF(A162&lt;&gt;0,COUNTA(A$19:$A162),"")</f>
        <v/>
      </c>
      <c r="C162" s="428" t="s">
        <v>941</v>
      </c>
      <c r="D162" s="428"/>
      <c r="E162" s="435"/>
      <c r="F162" s="435"/>
      <c r="G162" s="419">
        <v>40</v>
      </c>
      <c r="H162" s="419"/>
      <c r="I162" s="419"/>
      <c r="J162" s="419"/>
      <c r="K162" s="420">
        <v>1</v>
      </c>
      <c r="L162" s="420">
        <f t="shared" si="25"/>
        <v>64432</v>
      </c>
      <c r="M162" s="420">
        <f t="shared" si="26"/>
        <v>724818</v>
      </c>
      <c r="N162" s="445">
        <f t="shared" si="34"/>
        <v>649862.18181818177</v>
      </c>
      <c r="O162" s="719"/>
      <c r="P162" s="719">
        <f t="shared" si="33"/>
        <v>1584877.4018181819</v>
      </c>
      <c r="Q162" s="423">
        <f>SUMIF('8.Dgia'!E:E,'9.may'!E162,'8.Dgia'!P:P)</f>
        <v>0</v>
      </c>
      <c r="R162" s="429">
        <f t="shared" si="27"/>
        <v>0</v>
      </c>
      <c r="S162" s="301">
        <f t="shared" si="28"/>
        <v>18685.280000000002</v>
      </c>
      <c r="T162" s="430">
        <f t="shared" si="29"/>
        <v>1393365.4618181819</v>
      </c>
      <c r="U162" s="431">
        <v>286356</v>
      </c>
      <c r="V162" s="431">
        <v>64432</v>
      </c>
      <c r="W162" s="432">
        <v>724818</v>
      </c>
      <c r="Y162" s="433">
        <f t="shared" si="30"/>
        <v>-668547.46181818191</v>
      </c>
      <c r="Z162" s="433">
        <f t="shared" si="31"/>
        <v>0</v>
      </c>
      <c r="AC162" s="410">
        <f t="shared" si="32"/>
        <v>0</v>
      </c>
    </row>
    <row r="163" spans="1:29" s="427" customFormat="1" ht="17.25" hidden="1" customHeight="1">
      <c r="B163" s="417" t="str">
        <f>IF(A163&lt;&gt;0,COUNTA(A$19:$A163),"")</f>
        <v/>
      </c>
      <c r="C163" s="428" t="s">
        <v>942</v>
      </c>
      <c r="D163" s="428"/>
      <c r="E163" s="435"/>
      <c r="F163" s="435"/>
      <c r="G163" s="419">
        <v>48</v>
      </c>
      <c r="H163" s="419"/>
      <c r="I163" s="419"/>
      <c r="J163" s="419"/>
      <c r="K163" s="420">
        <v>1</v>
      </c>
      <c r="L163" s="420">
        <f t="shared" si="25"/>
        <v>64432</v>
      </c>
      <c r="M163" s="420">
        <f t="shared" si="26"/>
        <v>776594</v>
      </c>
      <c r="N163" s="445">
        <f t="shared" si="34"/>
        <v>779834.61818181805</v>
      </c>
      <c r="O163" s="719"/>
      <c r="P163" s="719">
        <f t="shared" si="33"/>
        <v>1781640.8781818179</v>
      </c>
      <c r="Q163" s="423">
        <f>SUMIF('8.Dgia'!E:E,'9.may'!E163,'8.Dgia'!P:P)</f>
        <v>0</v>
      </c>
      <c r="R163" s="429">
        <f t="shared" si="27"/>
        <v>0</v>
      </c>
      <c r="S163" s="301">
        <f t="shared" si="28"/>
        <v>18685.280000000002</v>
      </c>
      <c r="T163" s="430">
        <f t="shared" si="29"/>
        <v>1575113.898181818</v>
      </c>
      <c r="U163" s="431">
        <v>343627</v>
      </c>
      <c r="V163" s="431">
        <v>64432</v>
      </c>
      <c r="W163" s="432">
        <v>776594</v>
      </c>
      <c r="Y163" s="433">
        <f t="shared" si="30"/>
        <v>-798519.89818181796</v>
      </c>
      <c r="Z163" s="433">
        <f t="shared" si="31"/>
        <v>0</v>
      </c>
      <c r="AC163" s="410">
        <f t="shared" si="32"/>
        <v>0</v>
      </c>
    </row>
    <row r="164" spans="1:29" s="427" customFormat="1" ht="17.25" hidden="1" customHeight="1">
      <c r="B164" s="417" t="str">
        <f>IF(A164&lt;&gt;0,COUNTA(A$19:$A164),"")</f>
        <v/>
      </c>
      <c r="C164" s="428" t="s">
        <v>943</v>
      </c>
      <c r="D164" s="428"/>
      <c r="E164" s="435"/>
      <c r="F164" s="435"/>
      <c r="G164" s="419">
        <v>51</v>
      </c>
      <c r="H164" s="419"/>
      <c r="I164" s="419"/>
      <c r="J164" s="419"/>
      <c r="K164" s="420">
        <v>1</v>
      </c>
      <c r="L164" s="420">
        <f t="shared" si="25"/>
        <v>72404</v>
      </c>
      <c r="M164" s="420">
        <f t="shared" si="26"/>
        <v>846987</v>
      </c>
      <c r="N164" s="445">
        <f t="shared" si="34"/>
        <v>828574.28181818174</v>
      </c>
      <c r="O164" s="719"/>
      <c r="P164" s="719">
        <f t="shared" si="33"/>
        <v>1921187.5118181817</v>
      </c>
      <c r="Q164" s="423">
        <f>SUMIF('8.Dgia'!E:E,'9.may'!E164,'8.Dgia'!P:P)</f>
        <v>0</v>
      </c>
      <c r="R164" s="429">
        <f t="shared" si="27"/>
        <v>0</v>
      </c>
      <c r="S164" s="301">
        <f t="shared" si="28"/>
        <v>20997.160000000003</v>
      </c>
      <c r="T164" s="430">
        <f t="shared" si="29"/>
        <v>1696558.4418181819</v>
      </c>
      <c r="U164" s="431">
        <v>365104</v>
      </c>
      <c r="V164" s="431">
        <v>72404</v>
      </c>
      <c r="W164" s="432">
        <v>846987</v>
      </c>
      <c r="Y164" s="433">
        <f t="shared" si="30"/>
        <v>-849571.44181818189</v>
      </c>
      <c r="Z164" s="433">
        <f t="shared" si="31"/>
        <v>0</v>
      </c>
      <c r="AC164" s="410">
        <f t="shared" si="32"/>
        <v>0</v>
      </c>
    </row>
    <row r="165" spans="1:29" s="427" customFormat="1" ht="17.25" customHeight="1">
      <c r="A165" s="410">
        <v>1</v>
      </c>
      <c r="B165" s="417">
        <f>IF(A165&lt;&gt;0,COUNTA(A$19:$A165),"")</f>
        <v>40</v>
      </c>
      <c r="C165" s="428" t="s">
        <v>944</v>
      </c>
      <c r="D165" s="428"/>
      <c r="E165" s="435" t="s">
        <v>5886</v>
      </c>
      <c r="F165" s="435"/>
      <c r="G165" s="419">
        <v>56</v>
      </c>
      <c r="H165" s="419"/>
      <c r="I165" s="419"/>
      <c r="J165" s="419"/>
      <c r="K165" s="420">
        <v>1</v>
      </c>
      <c r="L165" s="420">
        <f t="shared" si="25"/>
        <v>72404</v>
      </c>
      <c r="M165" s="420">
        <f t="shared" si="26"/>
        <v>1031937</v>
      </c>
      <c r="N165" s="445">
        <f t="shared" si="34"/>
        <v>909807.05454545445</v>
      </c>
      <c r="O165" s="719"/>
      <c r="P165" s="719">
        <f t="shared" si="33"/>
        <v>2241005.7845454542</v>
      </c>
      <c r="Q165" s="423">
        <f>SUMIF('8.Dgia'!E:E,'9.may'!E165,'8.Dgia'!P:P)</f>
        <v>0</v>
      </c>
      <c r="R165" s="429">
        <f t="shared" si="27"/>
        <v>0</v>
      </c>
      <c r="S165" s="301">
        <f t="shared" si="28"/>
        <v>20997.160000000003</v>
      </c>
      <c r="T165" s="430">
        <f t="shared" si="29"/>
        <v>1962741.2145454544</v>
      </c>
      <c r="U165" s="2053">
        <v>400898</v>
      </c>
      <c r="V165" s="2053">
        <v>72404</v>
      </c>
      <c r="W165" s="2054">
        <v>1031937</v>
      </c>
      <c r="Y165" s="433">
        <f t="shared" si="30"/>
        <v>-930804.21454545436</v>
      </c>
      <c r="Z165" s="433">
        <f t="shared" si="31"/>
        <v>0</v>
      </c>
      <c r="AC165" s="410">
        <f t="shared" si="32"/>
        <v>0</v>
      </c>
    </row>
    <row r="166" spans="1:29" s="427" customFormat="1" ht="17.25" hidden="1" customHeight="1">
      <c r="B166" s="417" t="str">
        <f>IF(A166&lt;&gt;0,COUNTA(A$19:$A166),"")</f>
        <v/>
      </c>
      <c r="C166" s="418" t="s">
        <v>945</v>
      </c>
      <c r="D166" s="418"/>
      <c r="E166" s="435"/>
      <c r="F166" s="435"/>
      <c r="G166" s="419"/>
      <c r="H166" s="419"/>
      <c r="I166" s="419"/>
      <c r="J166" s="419"/>
      <c r="K166" s="420"/>
      <c r="L166" s="420">
        <f t="shared" si="25"/>
        <v>0</v>
      </c>
      <c r="M166" s="420">
        <f t="shared" si="26"/>
        <v>0</v>
      </c>
      <c r="N166" s="445"/>
      <c r="O166" s="719"/>
      <c r="P166" s="719">
        <f t="shared" si="33"/>
        <v>0</v>
      </c>
      <c r="Q166" s="423">
        <f>SUMIF('8.Dgia'!E:E,'9.may'!E166,'8.Dgia'!P:P)</f>
        <v>0</v>
      </c>
      <c r="R166" s="429">
        <f t="shared" si="27"/>
        <v>0</v>
      </c>
      <c r="S166" s="301">
        <f t="shared" si="28"/>
        <v>0</v>
      </c>
      <c r="T166" s="430">
        <f t="shared" si="29"/>
        <v>0</v>
      </c>
      <c r="U166" s="436"/>
      <c r="V166" s="436"/>
      <c r="W166" s="432"/>
      <c r="Y166" s="433">
        <f t="shared" si="30"/>
        <v>0</v>
      </c>
      <c r="Z166" s="433">
        <f t="shared" si="31"/>
        <v>0</v>
      </c>
      <c r="AC166" s="410">
        <f t="shared" si="32"/>
        <v>0</v>
      </c>
    </row>
    <row r="167" spans="1:29" s="427" customFormat="1" ht="17.25" hidden="1" customHeight="1">
      <c r="B167" s="417" t="str">
        <f>IF(A167&lt;&gt;0,COUNTA(A$19:$A167),"")</f>
        <v/>
      </c>
      <c r="C167" s="428" t="s">
        <v>946</v>
      </c>
      <c r="D167" s="428"/>
      <c r="E167" s="435"/>
      <c r="F167" s="435"/>
      <c r="G167" s="419">
        <v>36</v>
      </c>
      <c r="H167" s="419"/>
      <c r="I167" s="419"/>
      <c r="J167" s="419"/>
      <c r="K167" s="420">
        <v>1</v>
      </c>
      <c r="L167" s="420">
        <f t="shared" si="25"/>
        <v>106306</v>
      </c>
      <c r="M167" s="420">
        <f t="shared" si="26"/>
        <v>717348</v>
      </c>
      <c r="N167" s="445">
        <f t="shared" ref="N167:N172" si="35">SUMPRODUCT(G167:J167,$G$12:$J$12,$G$9:$J$9)</f>
        <v>584875.96363636351</v>
      </c>
      <c r="O167" s="719"/>
      <c r="P167" s="719">
        <f t="shared" si="33"/>
        <v>1510254.8836363635</v>
      </c>
      <c r="Q167" s="423">
        <f>SUMIF('8.Dgia'!E:E,'9.may'!E167,'8.Dgia'!P:P)</f>
        <v>0</v>
      </c>
      <c r="R167" s="429">
        <f t="shared" si="27"/>
        <v>0</v>
      </c>
      <c r="S167" s="301">
        <f t="shared" si="28"/>
        <v>30828.740000000005</v>
      </c>
      <c r="T167" s="430">
        <f t="shared" si="29"/>
        <v>1333052.7036363636</v>
      </c>
      <c r="U167" s="431">
        <v>257720</v>
      </c>
      <c r="V167" s="431">
        <v>106306</v>
      </c>
      <c r="W167" s="432">
        <v>717348</v>
      </c>
      <c r="Y167" s="433">
        <f t="shared" si="30"/>
        <v>-615704.70363636361</v>
      </c>
      <c r="Z167" s="433">
        <f t="shared" si="31"/>
        <v>0</v>
      </c>
      <c r="AC167" s="410">
        <f t="shared" si="32"/>
        <v>0</v>
      </c>
    </row>
    <row r="168" spans="1:29" s="427" customFormat="1" ht="17.25" customHeight="1">
      <c r="A168" s="410">
        <v>1</v>
      </c>
      <c r="B168" s="417">
        <f>IF(A168&lt;&gt;0,COUNTA(A$19:$A168),"")</f>
        <v>41</v>
      </c>
      <c r="C168" s="428" t="s">
        <v>947</v>
      </c>
      <c r="D168" s="428" t="s">
        <v>948</v>
      </c>
      <c r="E168" s="435" t="s">
        <v>949</v>
      </c>
      <c r="F168" s="435" t="s">
        <v>4694</v>
      </c>
      <c r="G168" s="419">
        <v>43</v>
      </c>
      <c r="H168" s="419"/>
      <c r="I168" s="419"/>
      <c r="J168" s="419"/>
      <c r="K168" s="420">
        <v>1</v>
      </c>
      <c r="L168" s="420">
        <f t="shared" si="25"/>
        <v>106306</v>
      </c>
      <c r="M168" s="420">
        <f t="shared" si="26"/>
        <v>959111</v>
      </c>
      <c r="N168" s="445">
        <f t="shared" si="35"/>
        <v>698601.84545454534</v>
      </c>
      <c r="O168" s="719"/>
      <c r="P168" s="719">
        <f t="shared" si="33"/>
        <v>1935855.0354545452</v>
      </c>
      <c r="Q168" s="423" t="e">
        <f>SUMIF('8.Dgia'!E:E,'9.may'!E168,'8.Dgia'!P:P)</f>
        <v>#REF!</v>
      </c>
      <c r="R168" s="429" t="e">
        <f t="shared" si="27"/>
        <v>#REF!</v>
      </c>
      <c r="S168" s="301">
        <f t="shared" si="28"/>
        <v>30828.740000000005</v>
      </c>
      <c r="T168" s="430">
        <f t="shared" si="29"/>
        <v>1688541.5854545454</v>
      </c>
      <c r="U168" s="2053">
        <v>307833</v>
      </c>
      <c r="V168" s="2053">
        <v>106306</v>
      </c>
      <c r="W168" s="2054">
        <v>959111</v>
      </c>
      <c r="Y168" s="433">
        <f t="shared" si="30"/>
        <v>-729430.58545454545</v>
      </c>
      <c r="Z168" s="433">
        <f t="shared" si="31"/>
        <v>0</v>
      </c>
      <c r="AC168" s="410" t="e">
        <f t="shared" si="32"/>
        <v>#REF!</v>
      </c>
    </row>
    <row r="169" spans="1:29" s="427" customFormat="1" ht="17.25" hidden="1" customHeight="1">
      <c r="B169" s="417" t="str">
        <f>IF(A169&lt;&gt;0,COUNTA(A$19:$A169),"")</f>
        <v/>
      </c>
      <c r="C169" s="428" t="s">
        <v>950</v>
      </c>
      <c r="D169" s="428"/>
      <c r="E169" s="435"/>
      <c r="F169" s="435"/>
      <c r="G169" s="419">
        <v>50</v>
      </c>
      <c r="H169" s="419"/>
      <c r="I169" s="419"/>
      <c r="J169" s="419"/>
      <c r="K169" s="420">
        <v>1</v>
      </c>
      <c r="L169" s="420">
        <f t="shared" si="25"/>
        <v>112242</v>
      </c>
      <c r="M169" s="420">
        <f t="shared" si="26"/>
        <v>1240625</v>
      </c>
      <c r="N169" s="445">
        <f t="shared" si="35"/>
        <v>812327.72727272706</v>
      </c>
      <c r="O169" s="719"/>
      <c r="P169" s="719">
        <f t="shared" si="33"/>
        <v>2412733.9772727271</v>
      </c>
      <c r="Q169" s="423">
        <f>SUMIF('8.Dgia'!E:E,'9.may'!E169,'8.Dgia'!P:P)</f>
        <v>0</v>
      </c>
      <c r="R169" s="429">
        <f t="shared" si="27"/>
        <v>0</v>
      </c>
      <c r="S169" s="301">
        <f t="shared" si="28"/>
        <v>32550.180000000004</v>
      </c>
      <c r="T169" s="430">
        <f t="shared" si="29"/>
        <v>2085502.9072727272</v>
      </c>
      <c r="U169" s="431">
        <v>357945</v>
      </c>
      <c r="V169" s="431">
        <v>112242</v>
      </c>
      <c r="W169" s="432">
        <v>1240625</v>
      </c>
      <c r="Y169" s="433">
        <f t="shared" si="30"/>
        <v>-844877.90727272723</v>
      </c>
      <c r="Z169" s="433">
        <f t="shared" si="31"/>
        <v>0</v>
      </c>
      <c r="AC169" s="410">
        <f t="shared" si="32"/>
        <v>0</v>
      </c>
    </row>
    <row r="170" spans="1:29" s="427" customFormat="1" ht="17.25" hidden="1" customHeight="1">
      <c r="B170" s="417" t="str">
        <f>IF(A170&lt;&gt;0,COUNTA(A$19:$A170),"")</f>
        <v/>
      </c>
      <c r="C170" s="428" t="s">
        <v>951</v>
      </c>
      <c r="D170" s="428"/>
      <c r="E170" s="435"/>
      <c r="F170" s="435"/>
      <c r="G170" s="419">
        <v>52</v>
      </c>
      <c r="H170" s="419"/>
      <c r="I170" s="419"/>
      <c r="J170" s="419"/>
      <c r="K170" s="420">
        <v>1</v>
      </c>
      <c r="L170" s="420">
        <f t="shared" si="25"/>
        <v>112242</v>
      </c>
      <c r="M170" s="420">
        <f t="shared" si="26"/>
        <v>1241937</v>
      </c>
      <c r="N170" s="445">
        <f t="shared" si="35"/>
        <v>844820.83636363631</v>
      </c>
      <c r="O170" s="719"/>
      <c r="P170" s="719">
        <f t="shared" si="33"/>
        <v>2446919.5663636364</v>
      </c>
      <c r="Q170" s="423">
        <f>SUMIF('8.Dgia'!E:E,'9.may'!E170,'8.Dgia'!P:P)</f>
        <v>0</v>
      </c>
      <c r="R170" s="429">
        <f t="shared" si="27"/>
        <v>0</v>
      </c>
      <c r="S170" s="301">
        <f t="shared" si="28"/>
        <v>32550.180000000004</v>
      </c>
      <c r="T170" s="430">
        <f t="shared" si="29"/>
        <v>2119308.0163636366</v>
      </c>
      <c r="U170" s="431">
        <v>372263</v>
      </c>
      <c r="V170" s="431">
        <v>112242</v>
      </c>
      <c r="W170" s="432">
        <v>1241937</v>
      </c>
      <c r="Y170" s="433">
        <f t="shared" si="30"/>
        <v>-877371.01636363659</v>
      </c>
      <c r="Z170" s="433">
        <f t="shared" si="31"/>
        <v>0</v>
      </c>
      <c r="AC170" s="410">
        <f t="shared" si="32"/>
        <v>0</v>
      </c>
    </row>
    <row r="171" spans="1:29" s="427" customFormat="1" ht="17.25" customHeight="1">
      <c r="A171" s="410">
        <v>1</v>
      </c>
      <c r="B171" s="417">
        <f>IF(A171&lt;&gt;0,COUNTA(A$19:$A171),"")</f>
        <v>42</v>
      </c>
      <c r="C171" s="428" t="s">
        <v>952</v>
      </c>
      <c r="D171" s="428" t="s">
        <v>953</v>
      </c>
      <c r="E171" s="435" t="s">
        <v>954</v>
      </c>
      <c r="F171" s="435" t="s">
        <v>4695</v>
      </c>
      <c r="G171" s="419">
        <v>64</v>
      </c>
      <c r="H171" s="419"/>
      <c r="I171" s="419"/>
      <c r="J171" s="419"/>
      <c r="K171" s="420">
        <v>1</v>
      </c>
      <c r="L171" s="420">
        <f t="shared" si="25"/>
        <v>112242</v>
      </c>
      <c r="M171" s="420">
        <f t="shared" si="26"/>
        <v>1526199</v>
      </c>
      <c r="N171" s="445">
        <f t="shared" si="35"/>
        <v>1039779.4909090907</v>
      </c>
      <c r="O171" s="719"/>
      <c r="P171" s="719">
        <f t="shared" si="33"/>
        <v>3008576.2009090907</v>
      </c>
      <c r="Q171" s="423" t="e">
        <f>SUMIF('8.Dgia'!E:E,'9.may'!E171,'8.Dgia'!P:P)</f>
        <v>#REF!</v>
      </c>
      <c r="R171" s="429" t="e">
        <f t="shared" si="27"/>
        <v>#REF!</v>
      </c>
      <c r="S171" s="301">
        <f t="shared" si="28"/>
        <v>32550.180000000004</v>
      </c>
      <c r="T171" s="430">
        <f t="shared" si="29"/>
        <v>2598528.6709090909</v>
      </c>
      <c r="U171" s="2053">
        <v>458170</v>
      </c>
      <c r="V171" s="2053">
        <v>112242</v>
      </c>
      <c r="W171" s="2054">
        <v>1526199</v>
      </c>
      <c r="Y171" s="433">
        <f t="shared" si="30"/>
        <v>-1072329.6709090909</v>
      </c>
      <c r="Z171" s="433">
        <f t="shared" si="31"/>
        <v>0</v>
      </c>
      <c r="AC171" s="410" t="e">
        <f t="shared" si="32"/>
        <v>#REF!</v>
      </c>
    </row>
    <row r="172" spans="1:29" s="427" customFormat="1" ht="17.25" customHeight="1">
      <c r="A172" s="410">
        <v>1</v>
      </c>
      <c r="B172" s="417">
        <f>IF(A172&lt;&gt;0,COUNTA(A$19:$A172),"")</f>
        <v>43</v>
      </c>
      <c r="C172" s="428" t="s">
        <v>955</v>
      </c>
      <c r="D172" s="428" t="s">
        <v>956</v>
      </c>
      <c r="E172" s="435" t="s">
        <v>957</v>
      </c>
      <c r="F172" s="435" t="s">
        <v>4696</v>
      </c>
      <c r="G172" s="419">
        <v>70</v>
      </c>
      <c r="H172" s="419"/>
      <c r="I172" s="419"/>
      <c r="J172" s="419"/>
      <c r="K172" s="420">
        <v>1</v>
      </c>
      <c r="L172" s="420">
        <f t="shared" si="25"/>
        <v>125811</v>
      </c>
      <c r="M172" s="420">
        <f t="shared" si="26"/>
        <v>2187830</v>
      </c>
      <c r="N172" s="445">
        <f t="shared" si="35"/>
        <v>1137258.8181818181</v>
      </c>
      <c r="O172" s="719"/>
      <c r="P172" s="719">
        <f t="shared" si="33"/>
        <v>3959559.5181818185</v>
      </c>
      <c r="Q172" s="423">
        <f>SUMIF('8.Dgia'!E:E,'9.may'!E172,'8.Dgia'!P:P)</f>
        <v>0</v>
      </c>
      <c r="R172" s="429">
        <f t="shared" si="27"/>
        <v>0</v>
      </c>
      <c r="S172" s="301">
        <f t="shared" si="28"/>
        <v>36485.19</v>
      </c>
      <c r="T172" s="430">
        <f t="shared" si="29"/>
        <v>3361574.0081818178</v>
      </c>
      <c r="U172" s="2053">
        <v>501123</v>
      </c>
      <c r="V172" s="2053">
        <v>125811</v>
      </c>
      <c r="W172" s="2054">
        <v>2187830</v>
      </c>
      <c r="Y172" s="433">
        <f t="shared" si="30"/>
        <v>-1173744.0081818178</v>
      </c>
      <c r="Z172" s="433">
        <f t="shared" si="31"/>
        <v>0</v>
      </c>
      <c r="AC172" s="410">
        <f t="shared" si="32"/>
        <v>0</v>
      </c>
    </row>
    <row r="173" spans="1:29" s="427" customFormat="1" ht="17.25" hidden="1" customHeight="1">
      <c r="B173" s="417" t="str">
        <f>IF(A173&lt;&gt;0,COUNTA(A$19:$A173),"")</f>
        <v/>
      </c>
      <c r="C173" s="418" t="s">
        <v>958</v>
      </c>
      <c r="D173" s="418"/>
      <c r="E173" s="435"/>
      <c r="F173" s="435"/>
      <c r="G173" s="419"/>
      <c r="H173" s="419"/>
      <c r="I173" s="419"/>
      <c r="J173" s="419"/>
      <c r="K173" s="420"/>
      <c r="L173" s="420">
        <f t="shared" si="25"/>
        <v>0</v>
      </c>
      <c r="M173" s="420">
        <f t="shared" si="26"/>
        <v>0</v>
      </c>
      <c r="N173" s="445"/>
      <c r="O173" s="719"/>
      <c r="P173" s="719">
        <f t="shared" si="33"/>
        <v>0</v>
      </c>
      <c r="Q173" s="423">
        <f>SUMIF('8.Dgia'!E:E,'9.may'!E173,'8.Dgia'!P:P)</f>
        <v>0</v>
      </c>
      <c r="R173" s="429">
        <f t="shared" si="27"/>
        <v>0</v>
      </c>
      <c r="S173" s="301">
        <f t="shared" si="28"/>
        <v>0</v>
      </c>
      <c r="T173" s="430">
        <f t="shared" si="29"/>
        <v>0</v>
      </c>
      <c r="U173" s="436"/>
      <c r="V173" s="436"/>
      <c r="W173" s="432"/>
      <c r="Y173" s="433">
        <f t="shared" si="30"/>
        <v>0</v>
      </c>
      <c r="Z173" s="433">
        <f t="shared" si="31"/>
        <v>0</v>
      </c>
      <c r="AC173" s="410">
        <f t="shared" si="32"/>
        <v>0</v>
      </c>
    </row>
    <row r="174" spans="1:29" s="427" customFormat="1" ht="17.25" hidden="1" customHeight="1">
      <c r="B174" s="417" t="str">
        <f>IF(A174&lt;&gt;0,COUNTA(A$19:$A174),"")</f>
        <v/>
      </c>
      <c r="C174" s="428" t="s">
        <v>959</v>
      </c>
      <c r="D174" s="428"/>
      <c r="E174" s="435"/>
      <c r="F174" s="435"/>
      <c r="G174" s="419">
        <v>20.25</v>
      </c>
      <c r="H174" s="419"/>
      <c r="I174" s="419"/>
      <c r="J174" s="419"/>
      <c r="K174" s="420">
        <v>1</v>
      </c>
      <c r="L174" s="420">
        <f t="shared" si="25"/>
        <v>49506</v>
      </c>
      <c r="M174" s="420">
        <f t="shared" si="26"/>
        <v>435852</v>
      </c>
      <c r="N174" s="445">
        <f>SUMPRODUCT(G174:J174,$G$12:$J$12,$G$9:$J$9)</f>
        <v>328992.72954545455</v>
      </c>
      <c r="O174" s="719"/>
      <c r="P174" s="719">
        <f t="shared" si="33"/>
        <v>891241.80954545457</v>
      </c>
      <c r="Q174" s="423">
        <f>SUMIF('8.Dgia'!E:E,'9.may'!E174,'8.Dgia'!P:P)</f>
        <v>0</v>
      </c>
      <c r="R174" s="429">
        <f t="shared" si="27"/>
        <v>0</v>
      </c>
      <c r="S174" s="301">
        <f t="shared" si="28"/>
        <v>14356.740000000002</v>
      </c>
      <c r="T174" s="430">
        <f t="shared" si="29"/>
        <v>779201.46954545449</v>
      </c>
      <c r="U174" s="431">
        <v>144968</v>
      </c>
      <c r="V174" s="431">
        <v>49506</v>
      </c>
      <c r="W174" s="432">
        <v>435852</v>
      </c>
      <c r="Y174" s="433">
        <f t="shared" si="30"/>
        <v>-343349.46954545449</v>
      </c>
      <c r="Z174" s="433">
        <f t="shared" si="31"/>
        <v>0</v>
      </c>
      <c r="AC174" s="410">
        <f t="shared" si="32"/>
        <v>0</v>
      </c>
    </row>
    <row r="175" spans="1:29" s="427" customFormat="1" ht="17.25" customHeight="1">
      <c r="A175" s="410">
        <v>1</v>
      </c>
      <c r="B175" s="417">
        <f>IF(A175&lt;&gt;0,COUNTA(A$19:$A175),"")</f>
        <v>44</v>
      </c>
      <c r="C175" s="428" t="s">
        <v>960</v>
      </c>
      <c r="D175" s="428" t="s">
        <v>961</v>
      </c>
      <c r="E175" s="435" t="s">
        <v>962</v>
      </c>
      <c r="F175" s="435" t="s">
        <v>4697</v>
      </c>
      <c r="G175" s="419">
        <v>22.5</v>
      </c>
      <c r="H175" s="419"/>
      <c r="I175" s="419"/>
      <c r="J175" s="419"/>
      <c r="K175" s="420">
        <v>1</v>
      </c>
      <c r="L175" s="420">
        <f t="shared" si="25"/>
        <v>57817</v>
      </c>
      <c r="M175" s="420">
        <f t="shared" si="26"/>
        <v>480273</v>
      </c>
      <c r="N175" s="445">
        <f>SUMPRODUCT(G175:J175,$G$12:$J$12,$G$9:$J$9)</f>
        <v>365547.47727272724</v>
      </c>
      <c r="O175" s="719"/>
      <c r="P175" s="719">
        <f t="shared" si="33"/>
        <v>985099.64727272722</v>
      </c>
      <c r="Q175" s="423" t="e">
        <f>SUMIF('8.Dgia'!E:E,'9.may'!E175,'8.Dgia'!P:P)</f>
        <v>#REF!</v>
      </c>
      <c r="R175" s="429" t="e">
        <f t="shared" si="27"/>
        <v>#REF!</v>
      </c>
      <c r="S175" s="301">
        <f t="shared" si="28"/>
        <v>16766.93</v>
      </c>
      <c r="T175" s="430">
        <f t="shared" si="29"/>
        <v>862587.40727272723</v>
      </c>
      <c r="U175" s="2053">
        <v>161075</v>
      </c>
      <c r="V175" s="2053">
        <v>57817</v>
      </c>
      <c r="W175" s="2054">
        <v>480273</v>
      </c>
      <c r="Y175" s="433">
        <f t="shared" si="30"/>
        <v>-382314.40727272723</v>
      </c>
      <c r="Z175" s="433">
        <f t="shared" si="31"/>
        <v>0</v>
      </c>
      <c r="AC175" s="410" t="e">
        <f t="shared" si="32"/>
        <v>#REF!</v>
      </c>
    </row>
    <row r="176" spans="1:29" s="427" customFormat="1" ht="17.25" hidden="1" customHeight="1">
      <c r="B176" s="417" t="str">
        <f>IF(A176&lt;&gt;0,COUNTA(A$19:$A176),"")</f>
        <v/>
      </c>
      <c r="C176" s="428" t="s">
        <v>963</v>
      </c>
      <c r="D176" s="428"/>
      <c r="E176" s="435"/>
      <c r="F176" s="435"/>
      <c r="G176" s="419">
        <v>24</v>
      </c>
      <c r="H176" s="419"/>
      <c r="I176" s="419"/>
      <c r="J176" s="419"/>
      <c r="K176" s="420">
        <v>1</v>
      </c>
      <c r="L176" s="420">
        <f t="shared" si="25"/>
        <v>57817</v>
      </c>
      <c r="M176" s="420">
        <f t="shared" si="26"/>
        <v>536148</v>
      </c>
      <c r="N176" s="445">
        <f>SUMPRODUCT(G176:J176,$G$12:$J$12,$G$9:$J$9)</f>
        <v>389917.30909090902</v>
      </c>
      <c r="O176" s="719"/>
      <c r="P176" s="719">
        <f t="shared" si="33"/>
        <v>1081548.229090909</v>
      </c>
      <c r="Q176" s="423">
        <f>SUMIF('8.Dgia'!E:E,'9.may'!E176,'8.Dgia'!P:P)</f>
        <v>0</v>
      </c>
      <c r="R176" s="429">
        <f t="shared" si="27"/>
        <v>0</v>
      </c>
      <c r="S176" s="301">
        <f t="shared" si="28"/>
        <v>16766.93</v>
      </c>
      <c r="T176" s="430">
        <f t="shared" si="29"/>
        <v>942832.23909090902</v>
      </c>
      <c r="U176" s="431">
        <v>171814</v>
      </c>
      <c r="V176" s="431">
        <v>57817</v>
      </c>
      <c r="W176" s="432">
        <v>536148</v>
      </c>
      <c r="Y176" s="433">
        <f t="shared" si="30"/>
        <v>-406684.23909090902</v>
      </c>
      <c r="Z176" s="433">
        <f t="shared" si="31"/>
        <v>0</v>
      </c>
      <c r="AC176" s="410">
        <f t="shared" si="32"/>
        <v>0</v>
      </c>
    </row>
    <row r="177" spans="1:29" s="427" customFormat="1" ht="17.25" hidden="1" customHeight="1">
      <c r="B177" s="417" t="str">
        <f>IF(A177&lt;&gt;0,COUNTA(A$19:$A177),"")</f>
        <v/>
      </c>
      <c r="C177" s="428" t="s">
        <v>964</v>
      </c>
      <c r="D177" s="428"/>
      <c r="E177" s="435"/>
      <c r="F177" s="435"/>
      <c r="G177" s="419">
        <v>25.5</v>
      </c>
      <c r="H177" s="419"/>
      <c r="I177" s="419"/>
      <c r="J177" s="419"/>
      <c r="K177" s="420">
        <v>1</v>
      </c>
      <c r="L177" s="420">
        <f t="shared" si="25"/>
        <v>61040</v>
      </c>
      <c r="M177" s="420">
        <f t="shared" si="26"/>
        <v>579474</v>
      </c>
      <c r="N177" s="445">
        <f>SUMPRODUCT(G177:J177,$G$12:$J$12,$G$9:$J$9)</f>
        <v>414287.14090909087</v>
      </c>
      <c r="O177" s="719"/>
      <c r="P177" s="719">
        <f t="shared" si="33"/>
        <v>1161808.6009090908</v>
      </c>
      <c r="Q177" s="423">
        <f>SUMIF('8.Dgia'!E:E,'9.may'!E177,'8.Dgia'!P:P)</f>
        <v>0</v>
      </c>
      <c r="R177" s="429">
        <f t="shared" si="27"/>
        <v>0</v>
      </c>
      <c r="S177" s="301">
        <f t="shared" si="28"/>
        <v>17701.600000000002</v>
      </c>
      <c r="T177" s="430">
        <f t="shared" si="29"/>
        <v>1011462.7409090908</v>
      </c>
      <c r="U177" s="431">
        <v>182552</v>
      </c>
      <c r="V177" s="431">
        <v>61040</v>
      </c>
      <c r="W177" s="432">
        <v>579474</v>
      </c>
      <c r="Y177" s="433">
        <f t="shared" si="30"/>
        <v>-431988.74090909085</v>
      </c>
      <c r="Z177" s="433">
        <f t="shared" si="31"/>
        <v>0</v>
      </c>
      <c r="AC177" s="410">
        <f t="shared" si="32"/>
        <v>0</v>
      </c>
    </row>
    <row r="178" spans="1:29" s="427" customFormat="1" ht="17.25" hidden="1" customHeight="1">
      <c r="B178" s="417" t="str">
        <f>IF(A178&lt;&gt;0,COUNTA(A$19:$A178),"")</f>
        <v/>
      </c>
      <c r="C178" s="428" t="s">
        <v>846</v>
      </c>
      <c r="D178" s="428" t="s">
        <v>965</v>
      </c>
      <c r="E178" s="435"/>
      <c r="F178" s="435" t="s">
        <v>4698</v>
      </c>
      <c r="G178" s="419">
        <v>27</v>
      </c>
      <c r="H178" s="419"/>
      <c r="I178" s="419"/>
      <c r="J178" s="419"/>
      <c r="K178" s="420">
        <v>1</v>
      </c>
      <c r="L178" s="420">
        <f t="shared" si="25"/>
        <v>61040</v>
      </c>
      <c r="M178" s="420">
        <f t="shared" si="26"/>
        <v>642031</v>
      </c>
      <c r="N178" s="445">
        <f>SUMPRODUCT(G178:J178,$G$12:$J$12,$G$9:$J$9)</f>
        <v>438656.97272727272</v>
      </c>
      <c r="O178" s="719"/>
      <c r="P178" s="719">
        <f t="shared" si="33"/>
        <v>1266876.9627272727</v>
      </c>
      <c r="Q178" s="423">
        <f>SUMIF('8.Dgia'!E:E,'9.may'!E178,'8.Dgia'!P:P)</f>
        <v>0</v>
      </c>
      <c r="R178" s="429">
        <f t="shared" si="27"/>
        <v>0</v>
      </c>
      <c r="S178" s="301">
        <f t="shared" si="28"/>
        <v>17701.600000000002</v>
      </c>
      <c r="T178" s="430">
        <f t="shared" si="29"/>
        <v>1098389.5727272728</v>
      </c>
      <c r="U178" s="431">
        <v>193290</v>
      </c>
      <c r="V178" s="431">
        <v>61040</v>
      </c>
      <c r="W178" s="432">
        <v>642031</v>
      </c>
      <c r="Y178" s="433">
        <f t="shared" si="30"/>
        <v>-456358.57272727275</v>
      </c>
      <c r="Z178" s="433">
        <f t="shared" si="31"/>
        <v>0</v>
      </c>
      <c r="AC178" s="410">
        <f t="shared" si="32"/>
        <v>0</v>
      </c>
    </row>
    <row r="179" spans="1:29" s="427" customFormat="1" ht="17.25" hidden="1" customHeight="1">
      <c r="B179" s="417" t="str">
        <f>IF(A179&lt;&gt;0,COUNTA(A$19:$A179),"")</f>
        <v/>
      </c>
      <c r="C179" s="418" t="s">
        <v>966</v>
      </c>
      <c r="D179" s="418"/>
      <c r="E179" s="435"/>
      <c r="F179" s="435"/>
      <c r="G179" s="419"/>
      <c r="H179" s="419"/>
      <c r="I179" s="419"/>
      <c r="J179" s="419"/>
      <c r="K179" s="420"/>
      <c r="L179" s="420">
        <f t="shared" si="25"/>
        <v>0</v>
      </c>
      <c r="M179" s="420">
        <f t="shared" si="26"/>
        <v>0</v>
      </c>
      <c r="N179" s="445"/>
      <c r="O179" s="719"/>
      <c r="P179" s="719">
        <f t="shared" si="33"/>
        <v>0</v>
      </c>
      <c r="Q179" s="423">
        <f>SUMIF('8.Dgia'!E:E,'9.may'!E179,'8.Dgia'!P:P)</f>
        <v>0</v>
      </c>
      <c r="R179" s="429">
        <f t="shared" si="27"/>
        <v>0</v>
      </c>
      <c r="S179" s="301">
        <f t="shared" si="28"/>
        <v>0</v>
      </c>
      <c r="T179" s="430">
        <f t="shared" si="29"/>
        <v>0</v>
      </c>
      <c r="U179" s="436"/>
      <c r="V179" s="436"/>
      <c r="W179" s="432"/>
      <c r="Y179" s="433">
        <f t="shared" si="30"/>
        <v>0</v>
      </c>
      <c r="Z179" s="433">
        <f t="shared" si="31"/>
        <v>0</v>
      </c>
      <c r="AC179" s="410">
        <f t="shared" si="32"/>
        <v>0</v>
      </c>
    </row>
    <row r="180" spans="1:29" s="427" customFormat="1" ht="17.25" hidden="1" customHeight="1">
      <c r="B180" s="417" t="str">
        <f>IF(A180&lt;&gt;0,COUNTA(A$19:$A180),"")</f>
        <v/>
      </c>
      <c r="C180" s="428" t="s">
        <v>967</v>
      </c>
      <c r="D180" s="428"/>
      <c r="E180" s="435"/>
      <c r="F180" s="435"/>
      <c r="G180" s="419">
        <v>27</v>
      </c>
      <c r="H180" s="419"/>
      <c r="I180" s="419"/>
      <c r="J180" s="419"/>
      <c r="K180" s="420">
        <v>1</v>
      </c>
      <c r="L180" s="420">
        <f t="shared" si="25"/>
        <v>100369</v>
      </c>
      <c r="M180" s="420">
        <f t="shared" si="26"/>
        <v>665278</v>
      </c>
      <c r="N180" s="445">
        <f>SUMPRODUCT(G180:J180,$G$12:$J$12,$G$9:$J$9)</f>
        <v>438656.97272727272</v>
      </c>
      <c r="O180" s="719"/>
      <c r="P180" s="719">
        <f t="shared" si="33"/>
        <v>1296865.5927272728</v>
      </c>
      <c r="Q180" s="423">
        <f>SUMIF('8.Dgia'!E:E,'9.may'!E180,'8.Dgia'!P:P)</f>
        <v>0</v>
      </c>
      <c r="R180" s="429">
        <f t="shared" si="27"/>
        <v>0</v>
      </c>
      <c r="S180" s="301">
        <f t="shared" si="28"/>
        <v>29107.010000000002</v>
      </c>
      <c r="T180" s="430">
        <f t="shared" si="29"/>
        <v>1133041.9827272727</v>
      </c>
      <c r="U180" s="431">
        <v>193290</v>
      </c>
      <c r="V180" s="431">
        <v>100369</v>
      </c>
      <c r="W180" s="432">
        <v>665278</v>
      </c>
      <c r="Y180" s="433">
        <f t="shared" si="30"/>
        <v>-467763.98272727267</v>
      </c>
      <c r="Z180" s="433">
        <f t="shared" si="31"/>
        <v>0</v>
      </c>
      <c r="AC180" s="410">
        <f t="shared" si="32"/>
        <v>0</v>
      </c>
    </row>
    <row r="181" spans="1:29" s="427" customFormat="1" ht="17.25" hidden="1" customHeight="1">
      <c r="B181" s="417" t="str">
        <f>IF(A181&lt;&gt;0,COUNTA(A$19:$A181),"")</f>
        <v/>
      </c>
      <c r="C181" s="428" t="s">
        <v>908</v>
      </c>
      <c r="D181" s="428"/>
      <c r="E181" s="435"/>
      <c r="F181" s="435"/>
      <c r="G181" s="419">
        <v>28.8</v>
      </c>
      <c r="H181" s="419"/>
      <c r="I181" s="419"/>
      <c r="J181" s="419"/>
      <c r="K181" s="420">
        <v>1</v>
      </c>
      <c r="L181" s="420">
        <f t="shared" si="25"/>
        <v>100369</v>
      </c>
      <c r="M181" s="420">
        <f t="shared" si="26"/>
        <v>748303</v>
      </c>
      <c r="N181" s="445">
        <f>SUMPRODUCT(G181:J181,$G$12:$J$12,$G$9:$J$9)</f>
        <v>467900.77090909088</v>
      </c>
      <c r="O181" s="719"/>
      <c r="P181" s="719">
        <f t="shared" si="33"/>
        <v>1433211.6409090909</v>
      </c>
      <c r="Q181" s="423">
        <f>SUMIF('8.Dgia'!E:E,'9.may'!E181,'8.Dgia'!P:P)</f>
        <v>0</v>
      </c>
      <c r="R181" s="429">
        <f t="shared" si="27"/>
        <v>0</v>
      </c>
      <c r="S181" s="301">
        <f t="shared" si="28"/>
        <v>29107.010000000002</v>
      </c>
      <c r="T181" s="430">
        <f t="shared" si="29"/>
        <v>1245310.7809090908</v>
      </c>
      <c r="U181" s="431">
        <v>206176</v>
      </c>
      <c r="V181" s="431">
        <v>100369</v>
      </c>
      <c r="W181" s="432">
        <v>748303</v>
      </c>
      <c r="Y181" s="433">
        <f t="shared" si="30"/>
        <v>-497007.78090909077</v>
      </c>
      <c r="Z181" s="433">
        <f t="shared" si="31"/>
        <v>0</v>
      </c>
      <c r="AC181" s="410">
        <f t="shared" si="32"/>
        <v>0</v>
      </c>
    </row>
    <row r="182" spans="1:29" s="427" customFormat="1" ht="17.25" hidden="1" customHeight="1">
      <c r="B182" s="417" t="str">
        <f>IF(A182&lt;&gt;0,COUNTA(A$19:$A182),"")</f>
        <v/>
      </c>
      <c r="C182" s="428" t="s">
        <v>909</v>
      </c>
      <c r="D182" s="428"/>
      <c r="E182" s="435"/>
      <c r="F182" s="435"/>
      <c r="G182" s="419">
        <v>30.6</v>
      </c>
      <c r="H182" s="419"/>
      <c r="I182" s="419"/>
      <c r="J182" s="419"/>
      <c r="K182" s="420">
        <v>1</v>
      </c>
      <c r="L182" s="420">
        <f t="shared" si="25"/>
        <v>100369</v>
      </c>
      <c r="M182" s="420">
        <f t="shared" si="26"/>
        <v>867432</v>
      </c>
      <c r="N182" s="445">
        <f>SUMPRODUCT(G182:J182,$G$12:$J$12,$G$9:$J$9)</f>
        <v>497144.56909090903</v>
      </c>
      <c r="O182" s="719"/>
      <c r="P182" s="719">
        <f t="shared" si="33"/>
        <v>1616131.8490909091</v>
      </c>
      <c r="Q182" s="423">
        <f>SUMIF('8.Dgia'!E:E,'9.may'!E182,'8.Dgia'!P:P)</f>
        <v>0</v>
      </c>
      <c r="R182" s="429">
        <f t="shared" si="27"/>
        <v>0</v>
      </c>
      <c r="S182" s="301">
        <f t="shared" si="28"/>
        <v>29107.010000000002</v>
      </c>
      <c r="T182" s="430">
        <f t="shared" si="29"/>
        <v>1393683.5790909091</v>
      </c>
      <c r="U182" s="431">
        <v>219062</v>
      </c>
      <c r="V182" s="431">
        <v>100369</v>
      </c>
      <c r="W182" s="432">
        <v>867432</v>
      </c>
      <c r="Y182" s="433">
        <f t="shared" si="30"/>
        <v>-526251.5790909091</v>
      </c>
      <c r="Z182" s="433">
        <f t="shared" si="31"/>
        <v>0</v>
      </c>
      <c r="AC182" s="410">
        <f t="shared" si="32"/>
        <v>0</v>
      </c>
    </row>
    <row r="183" spans="1:29" s="427" customFormat="1" ht="17.25" hidden="1" customHeight="1">
      <c r="B183" s="417" t="str">
        <f>IF(A183&lt;&gt;0,COUNTA(A$19:$A183),"")</f>
        <v/>
      </c>
      <c r="C183" s="428" t="s">
        <v>891</v>
      </c>
      <c r="D183" s="428"/>
      <c r="E183" s="435"/>
      <c r="F183" s="435"/>
      <c r="G183" s="419">
        <v>37.799999999999997</v>
      </c>
      <c r="H183" s="419"/>
      <c r="I183" s="419"/>
      <c r="J183" s="419"/>
      <c r="K183" s="420">
        <v>1</v>
      </c>
      <c r="L183" s="420">
        <f t="shared" si="25"/>
        <v>106306</v>
      </c>
      <c r="M183" s="420">
        <f t="shared" si="26"/>
        <v>1192058</v>
      </c>
      <c r="N183" s="445">
        <f>SUMPRODUCT(G183:J183,$G$12:$J$12,$G$9:$J$9)</f>
        <v>614119.76181818172</v>
      </c>
      <c r="O183" s="719"/>
      <c r="P183" s="719">
        <f t="shared" si="33"/>
        <v>2151874.581818182</v>
      </c>
      <c r="Q183" s="423">
        <f>SUMIF('8.Dgia'!E:E,'9.may'!E183,'8.Dgia'!P:P)</f>
        <v>0</v>
      </c>
      <c r="R183" s="429">
        <f t="shared" si="27"/>
        <v>0</v>
      </c>
      <c r="S183" s="301">
        <f t="shared" si="28"/>
        <v>30828.740000000005</v>
      </c>
      <c r="T183" s="430">
        <f t="shared" si="29"/>
        <v>1837006.5018181817</v>
      </c>
      <c r="U183" s="431">
        <v>270606</v>
      </c>
      <c r="V183" s="431">
        <v>106306</v>
      </c>
      <c r="W183" s="432">
        <v>1192058</v>
      </c>
      <c r="Y183" s="433">
        <f t="shared" si="30"/>
        <v>-644948.50181818171</v>
      </c>
      <c r="Z183" s="433">
        <f t="shared" si="31"/>
        <v>0</v>
      </c>
      <c r="AC183" s="410">
        <f t="shared" si="32"/>
        <v>0</v>
      </c>
    </row>
    <row r="184" spans="1:29" s="427" customFormat="1" ht="17.25" hidden="1" customHeight="1">
      <c r="B184" s="417" t="str">
        <f>IF(A184&lt;&gt;0,COUNTA(A$19:$A184),"")</f>
        <v/>
      </c>
      <c r="C184" s="418" t="s">
        <v>968</v>
      </c>
      <c r="D184" s="418"/>
      <c r="E184" s="435"/>
      <c r="F184" s="435"/>
      <c r="G184" s="419"/>
      <c r="H184" s="419"/>
      <c r="I184" s="419"/>
      <c r="J184" s="419"/>
      <c r="K184" s="420"/>
      <c r="L184" s="420">
        <f t="shared" si="25"/>
        <v>0</v>
      </c>
      <c r="M184" s="420">
        <f t="shared" si="26"/>
        <v>0</v>
      </c>
      <c r="N184" s="445"/>
      <c r="O184" s="719"/>
      <c r="P184" s="719">
        <f t="shared" si="33"/>
        <v>0</v>
      </c>
      <c r="Q184" s="423">
        <f>SUMIF('8.Dgia'!E:E,'9.may'!E184,'8.Dgia'!P:P)</f>
        <v>0</v>
      </c>
      <c r="R184" s="429">
        <f t="shared" si="27"/>
        <v>0</v>
      </c>
      <c r="S184" s="301">
        <f t="shared" si="28"/>
        <v>0</v>
      </c>
      <c r="T184" s="430">
        <f t="shared" si="29"/>
        <v>0</v>
      </c>
      <c r="U184" s="436"/>
      <c r="V184" s="436"/>
      <c r="W184" s="432"/>
      <c r="Y184" s="433">
        <f t="shared" si="30"/>
        <v>0</v>
      </c>
      <c r="Z184" s="433">
        <f t="shared" si="31"/>
        <v>0</v>
      </c>
      <c r="AC184" s="410">
        <f t="shared" si="32"/>
        <v>0</v>
      </c>
    </row>
    <row r="185" spans="1:29" s="427" customFormat="1" ht="17.25" hidden="1" customHeight="1">
      <c r="B185" s="417" t="str">
        <f>IF(A185&lt;&gt;0,COUNTA(A$19:$A185),"")</f>
        <v/>
      </c>
      <c r="C185" s="428" t="s">
        <v>902</v>
      </c>
      <c r="D185" s="428"/>
      <c r="E185" s="435"/>
      <c r="F185" s="435"/>
      <c r="G185" s="419"/>
      <c r="H185" s="419"/>
      <c r="I185" s="419"/>
      <c r="J185" s="419"/>
      <c r="K185" s="420">
        <v>1</v>
      </c>
      <c r="L185" s="420">
        <f t="shared" si="25"/>
        <v>39668</v>
      </c>
      <c r="M185" s="420">
        <f t="shared" si="26"/>
        <v>62124</v>
      </c>
      <c r="N185" s="445">
        <f t="shared" ref="N185:N193" si="36">SUMPRODUCT(G185:J185,$G$12:$J$12,$G$9:$J$9)</f>
        <v>0</v>
      </c>
      <c r="O185" s="719"/>
      <c r="P185" s="719">
        <f t="shared" si="33"/>
        <v>80139.960000000006</v>
      </c>
      <c r="Q185" s="423">
        <f>SUMIF('8.Dgia'!E:E,'9.may'!E185,'8.Dgia'!P:P)</f>
        <v>0</v>
      </c>
      <c r="R185" s="429">
        <f t="shared" si="27"/>
        <v>0</v>
      </c>
      <c r="S185" s="301">
        <f t="shared" si="28"/>
        <v>11503.720000000001</v>
      </c>
      <c r="T185" s="430">
        <f t="shared" si="29"/>
        <v>73627.72</v>
      </c>
      <c r="U185" s="431"/>
      <c r="V185" s="431">
        <v>39668</v>
      </c>
      <c r="W185" s="432">
        <v>62124</v>
      </c>
      <c r="Y185" s="433">
        <f t="shared" si="30"/>
        <v>-11503.720000000001</v>
      </c>
      <c r="Z185" s="433">
        <f t="shared" si="31"/>
        <v>0</v>
      </c>
      <c r="AC185" s="410">
        <f t="shared" si="32"/>
        <v>0</v>
      </c>
    </row>
    <row r="186" spans="1:29" s="427" customFormat="1" ht="17.25" hidden="1" customHeight="1">
      <c r="B186" s="417" t="str">
        <f>IF(A186&lt;&gt;0,COUNTA(A$19:$A186),"")</f>
        <v/>
      </c>
      <c r="C186" s="428" t="s">
        <v>904</v>
      </c>
      <c r="D186" s="428"/>
      <c r="E186" s="435"/>
      <c r="F186" s="435"/>
      <c r="G186" s="419"/>
      <c r="H186" s="419"/>
      <c r="I186" s="419"/>
      <c r="J186" s="419"/>
      <c r="K186" s="420">
        <v>1</v>
      </c>
      <c r="L186" s="420">
        <f t="shared" si="25"/>
        <v>42552</v>
      </c>
      <c r="M186" s="420">
        <f t="shared" si="26"/>
        <v>77382</v>
      </c>
      <c r="N186" s="445">
        <f t="shared" si="36"/>
        <v>0</v>
      </c>
      <c r="O186" s="719"/>
      <c r="P186" s="719">
        <f t="shared" si="33"/>
        <v>99822.78</v>
      </c>
      <c r="Q186" s="423">
        <f>SUMIF('8.Dgia'!E:E,'9.may'!E186,'8.Dgia'!P:P)</f>
        <v>0</v>
      </c>
      <c r="R186" s="429">
        <f t="shared" si="27"/>
        <v>0</v>
      </c>
      <c r="S186" s="301">
        <f t="shared" si="28"/>
        <v>12340.080000000002</v>
      </c>
      <c r="T186" s="430">
        <f t="shared" si="29"/>
        <v>89722.08</v>
      </c>
      <c r="U186" s="431"/>
      <c r="V186" s="431">
        <v>42552</v>
      </c>
      <c r="W186" s="432">
        <v>77382</v>
      </c>
      <c r="Y186" s="433">
        <f t="shared" si="30"/>
        <v>-12340.080000000002</v>
      </c>
      <c r="Z186" s="433">
        <f t="shared" si="31"/>
        <v>0</v>
      </c>
      <c r="AC186" s="410">
        <f t="shared" si="32"/>
        <v>0</v>
      </c>
    </row>
    <row r="187" spans="1:29" s="427" customFormat="1" ht="17.25" hidden="1" customHeight="1">
      <c r="B187" s="417" t="str">
        <f>IF(A187&lt;&gt;0,COUNTA(A$19:$A187),"")</f>
        <v/>
      </c>
      <c r="C187" s="428" t="s">
        <v>969</v>
      </c>
      <c r="D187" s="428"/>
      <c r="E187" s="435"/>
      <c r="F187" s="435"/>
      <c r="G187" s="419"/>
      <c r="H187" s="419"/>
      <c r="I187" s="419"/>
      <c r="J187" s="419"/>
      <c r="K187" s="420">
        <v>1</v>
      </c>
      <c r="L187" s="420">
        <f t="shared" si="25"/>
        <v>45266</v>
      </c>
      <c r="M187" s="420">
        <f t="shared" si="26"/>
        <v>90870</v>
      </c>
      <c r="N187" s="445">
        <f t="shared" si="36"/>
        <v>0</v>
      </c>
      <c r="O187" s="719"/>
      <c r="P187" s="719">
        <f t="shared" si="33"/>
        <v>117222.3</v>
      </c>
      <c r="Q187" s="423">
        <f>SUMIF('8.Dgia'!E:E,'9.may'!E187,'8.Dgia'!P:P)</f>
        <v>0</v>
      </c>
      <c r="R187" s="429">
        <f t="shared" si="27"/>
        <v>0</v>
      </c>
      <c r="S187" s="301">
        <f t="shared" si="28"/>
        <v>13127.140000000001</v>
      </c>
      <c r="T187" s="430">
        <f t="shared" si="29"/>
        <v>103997.14</v>
      </c>
      <c r="U187" s="431"/>
      <c r="V187" s="431">
        <v>45266</v>
      </c>
      <c r="W187" s="432">
        <v>90870</v>
      </c>
      <c r="Y187" s="433">
        <f t="shared" si="30"/>
        <v>-13127.14</v>
      </c>
      <c r="Z187" s="433">
        <f t="shared" si="31"/>
        <v>0</v>
      </c>
      <c r="AC187" s="410">
        <f t="shared" si="32"/>
        <v>0</v>
      </c>
    </row>
    <row r="188" spans="1:29" s="427" customFormat="1" ht="17.25" hidden="1" customHeight="1">
      <c r="B188" s="417" t="str">
        <f>IF(A188&lt;&gt;0,COUNTA(A$19:$A188),"")</f>
        <v/>
      </c>
      <c r="C188" s="428" t="s">
        <v>970</v>
      </c>
      <c r="D188" s="428"/>
      <c r="E188" s="435"/>
      <c r="F188" s="435"/>
      <c r="G188" s="419"/>
      <c r="H188" s="419"/>
      <c r="I188" s="419"/>
      <c r="J188" s="419"/>
      <c r="K188" s="420">
        <v>1</v>
      </c>
      <c r="L188" s="420">
        <f t="shared" si="25"/>
        <v>45266</v>
      </c>
      <c r="M188" s="420">
        <f t="shared" si="26"/>
        <v>118194</v>
      </c>
      <c r="N188" s="445">
        <f t="shared" si="36"/>
        <v>0</v>
      </c>
      <c r="O188" s="719"/>
      <c r="P188" s="719">
        <f t="shared" si="33"/>
        <v>152470.26</v>
      </c>
      <c r="Q188" s="423">
        <f>SUMIF('8.Dgia'!E:E,'9.may'!E188,'8.Dgia'!P:P)</f>
        <v>0</v>
      </c>
      <c r="R188" s="429">
        <f t="shared" si="27"/>
        <v>0</v>
      </c>
      <c r="S188" s="301">
        <f t="shared" si="28"/>
        <v>13127.140000000001</v>
      </c>
      <c r="T188" s="430">
        <f t="shared" si="29"/>
        <v>131321.14000000001</v>
      </c>
      <c r="U188" s="431"/>
      <c r="V188" s="431">
        <v>45266</v>
      </c>
      <c r="W188" s="432">
        <v>118194</v>
      </c>
      <c r="Y188" s="433">
        <f t="shared" si="30"/>
        <v>-13127.140000000014</v>
      </c>
      <c r="Z188" s="433">
        <f t="shared" si="31"/>
        <v>0</v>
      </c>
      <c r="AC188" s="410">
        <f t="shared" si="32"/>
        <v>0</v>
      </c>
    </row>
    <row r="189" spans="1:29" s="427" customFormat="1" ht="17.25" hidden="1" customHeight="1">
      <c r="B189" s="417" t="str">
        <f>IF(A189&lt;&gt;0,COUNTA(A$19:$A189),"")</f>
        <v/>
      </c>
      <c r="C189" s="428" t="s">
        <v>926</v>
      </c>
      <c r="D189" s="428"/>
      <c r="E189" s="435"/>
      <c r="F189" s="435"/>
      <c r="G189" s="419"/>
      <c r="H189" s="419"/>
      <c r="I189" s="419"/>
      <c r="J189" s="419"/>
      <c r="K189" s="420">
        <v>1</v>
      </c>
      <c r="L189" s="420">
        <f t="shared" si="25"/>
        <v>45266</v>
      </c>
      <c r="M189" s="420">
        <f t="shared" si="26"/>
        <v>125521</v>
      </c>
      <c r="N189" s="445">
        <f t="shared" si="36"/>
        <v>0</v>
      </c>
      <c r="O189" s="719"/>
      <c r="P189" s="719">
        <f t="shared" si="33"/>
        <v>161922.09</v>
      </c>
      <c r="Q189" s="423">
        <f>SUMIF('8.Dgia'!E:E,'9.may'!E189,'8.Dgia'!P:P)</f>
        <v>0</v>
      </c>
      <c r="R189" s="429">
        <f t="shared" si="27"/>
        <v>0</v>
      </c>
      <c r="S189" s="301">
        <f t="shared" si="28"/>
        <v>13127.140000000001</v>
      </c>
      <c r="T189" s="430">
        <f t="shared" si="29"/>
        <v>138648.14000000001</v>
      </c>
      <c r="U189" s="431"/>
      <c r="V189" s="431">
        <v>45266</v>
      </c>
      <c r="W189" s="432">
        <v>125521</v>
      </c>
      <c r="Y189" s="433">
        <f t="shared" si="30"/>
        <v>-13127.140000000014</v>
      </c>
      <c r="Z189" s="433">
        <f t="shared" si="31"/>
        <v>0</v>
      </c>
      <c r="AC189" s="410">
        <f t="shared" si="32"/>
        <v>0</v>
      </c>
    </row>
    <row r="190" spans="1:29" s="427" customFormat="1" ht="17.25" hidden="1" customHeight="1">
      <c r="B190" s="417" t="str">
        <f>IF(A190&lt;&gt;0,COUNTA(A$19:$A190),"")</f>
        <v/>
      </c>
      <c r="C190" s="428" t="s">
        <v>971</v>
      </c>
      <c r="D190" s="428"/>
      <c r="E190" s="435"/>
      <c r="F190" s="435"/>
      <c r="G190" s="419"/>
      <c r="H190" s="419"/>
      <c r="I190" s="419"/>
      <c r="J190" s="419"/>
      <c r="K190" s="420">
        <v>1</v>
      </c>
      <c r="L190" s="420">
        <f t="shared" si="25"/>
        <v>47810</v>
      </c>
      <c r="M190" s="420">
        <f t="shared" si="26"/>
        <v>147461</v>
      </c>
      <c r="N190" s="445">
        <f t="shared" si="36"/>
        <v>0</v>
      </c>
      <c r="O190" s="719"/>
      <c r="P190" s="719">
        <f t="shared" si="33"/>
        <v>190224.69</v>
      </c>
      <c r="Q190" s="423">
        <f>SUMIF('8.Dgia'!E:E,'9.may'!E190,'8.Dgia'!P:P)</f>
        <v>0</v>
      </c>
      <c r="R190" s="429">
        <f t="shared" si="27"/>
        <v>0</v>
      </c>
      <c r="S190" s="301">
        <f t="shared" si="28"/>
        <v>13864.900000000001</v>
      </c>
      <c r="T190" s="430">
        <f t="shared" si="29"/>
        <v>161325.9</v>
      </c>
      <c r="U190" s="431"/>
      <c r="V190" s="431">
        <v>47810</v>
      </c>
      <c r="W190" s="432">
        <v>147461</v>
      </c>
      <c r="Y190" s="433">
        <f t="shared" si="30"/>
        <v>-13864.899999999994</v>
      </c>
      <c r="Z190" s="433">
        <f t="shared" si="31"/>
        <v>0</v>
      </c>
      <c r="AC190" s="410">
        <f t="shared" si="32"/>
        <v>0</v>
      </c>
    </row>
    <row r="191" spans="1:29" s="427" customFormat="1" ht="17.25" customHeight="1">
      <c r="A191" s="410">
        <v>1</v>
      </c>
      <c r="B191" s="417">
        <f>IF(A191&lt;&gt;0,COUNTA(A$19:$A191),"")</f>
        <v>45</v>
      </c>
      <c r="C191" s="428" t="s">
        <v>972</v>
      </c>
      <c r="D191" s="428"/>
      <c r="E191" s="435" t="s">
        <v>5887</v>
      </c>
      <c r="F191" s="435"/>
      <c r="G191" s="419"/>
      <c r="H191" s="419"/>
      <c r="I191" s="419"/>
      <c r="J191" s="419"/>
      <c r="K191" s="420">
        <v>1</v>
      </c>
      <c r="L191" s="420">
        <f t="shared" si="25"/>
        <v>56969</v>
      </c>
      <c r="M191" s="420">
        <f t="shared" si="26"/>
        <v>238425</v>
      </c>
      <c r="N191" s="445">
        <f t="shared" si="36"/>
        <v>0</v>
      </c>
      <c r="O191" s="719"/>
      <c r="P191" s="719">
        <f t="shared" si="33"/>
        <v>307568.25</v>
      </c>
      <c r="Q191" s="423">
        <f>SUMIF('8.Dgia'!E:E,'9.may'!E191,'8.Dgia'!P:P)</f>
        <v>0</v>
      </c>
      <c r="R191" s="429">
        <f t="shared" si="27"/>
        <v>0</v>
      </c>
      <c r="S191" s="301">
        <f t="shared" si="28"/>
        <v>16521.010000000002</v>
      </c>
      <c r="T191" s="430">
        <f t="shared" si="29"/>
        <v>254946.01</v>
      </c>
      <c r="U191" s="2053"/>
      <c r="V191" s="2053">
        <v>56969</v>
      </c>
      <c r="W191" s="2054">
        <v>238425</v>
      </c>
      <c r="Y191" s="433">
        <f t="shared" si="30"/>
        <v>-16521.010000000009</v>
      </c>
      <c r="Z191" s="433">
        <f t="shared" si="31"/>
        <v>0</v>
      </c>
      <c r="AC191" s="410">
        <f t="shared" si="32"/>
        <v>0</v>
      </c>
    </row>
    <row r="192" spans="1:29" s="427" customFormat="1" ht="17.25" hidden="1" customHeight="1">
      <c r="B192" s="417" t="str">
        <f>IF(A192&lt;&gt;0,COUNTA(A$19:$A192),"")</f>
        <v/>
      </c>
      <c r="C192" s="428" t="s">
        <v>973</v>
      </c>
      <c r="D192" s="428"/>
      <c r="E192" s="435"/>
      <c r="F192" s="435"/>
      <c r="G192" s="419"/>
      <c r="H192" s="419"/>
      <c r="I192" s="419"/>
      <c r="J192" s="419"/>
      <c r="K192" s="420">
        <v>1</v>
      </c>
      <c r="L192" s="420">
        <f t="shared" si="25"/>
        <v>56969</v>
      </c>
      <c r="M192" s="420">
        <f t="shared" si="26"/>
        <v>385255</v>
      </c>
      <c r="N192" s="445">
        <f t="shared" si="36"/>
        <v>0</v>
      </c>
      <c r="O192" s="719"/>
      <c r="P192" s="719">
        <f t="shared" si="33"/>
        <v>496978.95</v>
      </c>
      <c r="Q192" s="423">
        <f>SUMIF('8.Dgia'!E:E,'9.may'!E192,'8.Dgia'!P:P)</f>
        <v>0</v>
      </c>
      <c r="R192" s="429">
        <f t="shared" si="27"/>
        <v>0</v>
      </c>
      <c r="S192" s="301">
        <f t="shared" si="28"/>
        <v>16521.010000000002</v>
      </c>
      <c r="T192" s="430">
        <f t="shared" si="29"/>
        <v>401776.01</v>
      </c>
      <c r="U192" s="431"/>
      <c r="V192" s="431">
        <v>56969</v>
      </c>
      <c r="W192" s="432">
        <v>385255</v>
      </c>
      <c r="Y192" s="433">
        <f t="shared" si="30"/>
        <v>-16521.010000000009</v>
      </c>
      <c r="Z192" s="433">
        <f t="shared" si="31"/>
        <v>0</v>
      </c>
      <c r="AC192" s="410">
        <f t="shared" si="32"/>
        <v>0</v>
      </c>
    </row>
    <row r="193" spans="2:29" s="427" customFormat="1" ht="17.25" hidden="1" customHeight="1">
      <c r="B193" s="417" t="str">
        <f>IF(A193&lt;&gt;0,COUNTA(A$19:$A193),"")</f>
        <v/>
      </c>
      <c r="C193" s="428" t="s">
        <v>974</v>
      </c>
      <c r="D193" s="428"/>
      <c r="E193" s="435"/>
      <c r="F193" s="435"/>
      <c r="G193" s="419"/>
      <c r="H193" s="419"/>
      <c r="I193" s="419"/>
      <c r="J193" s="419"/>
      <c r="K193" s="420">
        <v>1</v>
      </c>
      <c r="L193" s="420">
        <f t="shared" si="25"/>
        <v>56969</v>
      </c>
      <c r="M193" s="420">
        <f t="shared" si="26"/>
        <v>424626</v>
      </c>
      <c r="N193" s="445">
        <f t="shared" si="36"/>
        <v>0</v>
      </c>
      <c r="O193" s="719"/>
      <c r="P193" s="719">
        <f t="shared" si="33"/>
        <v>547767.54</v>
      </c>
      <c r="Q193" s="423">
        <f>SUMIF('8.Dgia'!E:E,'9.may'!E193,'8.Dgia'!P:P)</f>
        <v>0</v>
      </c>
      <c r="R193" s="429">
        <f t="shared" si="27"/>
        <v>0</v>
      </c>
      <c r="S193" s="301">
        <f t="shared" si="28"/>
        <v>16521.010000000002</v>
      </c>
      <c r="T193" s="430">
        <f t="shared" si="29"/>
        <v>441147.01</v>
      </c>
      <c r="U193" s="431"/>
      <c r="V193" s="431">
        <v>56969</v>
      </c>
      <c r="W193" s="432">
        <v>424626</v>
      </c>
      <c r="Y193" s="433">
        <f t="shared" si="30"/>
        <v>-16521.010000000009</v>
      </c>
      <c r="Z193" s="433">
        <f t="shared" si="31"/>
        <v>0</v>
      </c>
      <c r="AC193" s="410">
        <f t="shared" si="32"/>
        <v>0</v>
      </c>
    </row>
    <row r="194" spans="2:29" s="427" customFormat="1" ht="17.25" hidden="1" customHeight="1">
      <c r="B194" s="417" t="str">
        <f>IF(A194&lt;&gt;0,COUNTA(A$19:$A194),"")</f>
        <v/>
      </c>
      <c r="C194" s="418" t="s">
        <v>975</v>
      </c>
      <c r="D194" s="418"/>
      <c r="E194" s="435"/>
      <c r="F194" s="435"/>
      <c r="G194" s="419"/>
      <c r="H194" s="419"/>
      <c r="I194" s="419"/>
      <c r="J194" s="419"/>
      <c r="K194" s="420"/>
      <c r="L194" s="420">
        <f t="shared" si="25"/>
        <v>0</v>
      </c>
      <c r="M194" s="420">
        <f t="shared" si="26"/>
        <v>0</v>
      </c>
      <c r="N194" s="445"/>
      <c r="O194" s="719"/>
      <c r="P194" s="719">
        <f t="shared" si="33"/>
        <v>0</v>
      </c>
      <c r="Q194" s="423">
        <f>SUMIF('8.Dgia'!E:E,'9.may'!E194,'8.Dgia'!P:P)</f>
        <v>0</v>
      </c>
      <c r="R194" s="429">
        <f t="shared" si="27"/>
        <v>0</v>
      </c>
      <c r="S194" s="301">
        <f t="shared" si="28"/>
        <v>0</v>
      </c>
      <c r="T194" s="430">
        <f t="shared" si="29"/>
        <v>0</v>
      </c>
      <c r="U194" s="436"/>
      <c r="V194" s="436"/>
      <c r="W194" s="432"/>
      <c r="Y194" s="433">
        <f t="shared" si="30"/>
        <v>0</v>
      </c>
      <c r="Z194" s="433">
        <f t="shared" si="31"/>
        <v>0</v>
      </c>
      <c r="AC194" s="410">
        <f t="shared" si="32"/>
        <v>0</v>
      </c>
    </row>
    <row r="195" spans="2:29" s="427" customFormat="1" ht="17.25" hidden="1" customHeight="1">
      <c r="B195" s="417" t="str">
        <f>IF(A195&lt;&gt;0,COUNTA(A$19:$A195),"")</f>
        <v/>
      </c>
      <c r="C195" s="428" t="s">
        <v>817</v>
      </c>
      <c r="D195" s="428"/>
      <c r="E195" s="435"/>
      <c r="F195" s="435"/>
      <c r="G195" s="419">
        <v>21.6</v>
      </c>
      <c r="H195" s="419"/>
      <c r="I195" s="419"/>
      <c r="J195" s="419"/>
      <c r="K195" s="420">
        <v>1</v>
      </c>
      <c r="L195" s="420">
        <f t="shared" si="25"/>
        <v>48658</v>
      </c>
      <c r="M195" s="420">
        <f t="shared" si="26"/>
        <v>295334</v>
      </c>
      <c r="N195" s="445">
        <f>SUMPRODUCT(G195:J195,$G$12:$J$12,$G$9:$J$9)</f>
        <v>350925.57818181813</v>
      </c>
      <c r="O195" s="719"/>
      <c r="P195" s="719">
        <f t="shared" si="33"/>
        <v>731906.43818181811</v>
      </c>
      <c r="Q195" s="423">
        <f>SUMIF('8.Dgia'!E:E,'9.may'!E195,'8.Dgia'!P:P)</f>
        <v>0</v>
      </c>
      <c r="R195" s="429">
        <f t="shared" si="27"/>
        <v>0</v>
      </c>
      <c r="S195" s="301">
        <f t="shared" si="28"/>
        <v>14110.820000000002</v>
      </c>
      <c r="T195" s="430">
        <f t="shared" si="29"/>
        <v>660370.39818181819</v>
      </c>
      <c r="U195" s="431">
        <v>154632</v>
      </c>
      <c r="V195" s="431">
        <v>48658</v>
      </c>
      <c r="W195" s="432">
        <v>295334</v>
      </c>
      <c r="Y195" s="433">
        <f t="shared" si="30"/>
        <v>-365036.39818181819</v>
      </c>
      <c r="Z195" s="433">
        <f t="shared" si="31"/>
        <v>0</v>
      </c>
      <c r="AC195" s="410">
        <f t="shared" si="32"/>
        <v>0</v>
      </c>
    </row>
    <row r="196" spans="2:29" s="427" customFormat="1" ht="17.25" hidden="1" customHeight="1">
      <c r="B196" s="417" t="str">
        <f>IF(A196&lt;&gt;0,COUNTA(A$19:$A196),"")</f>
        <v/>
      </c>
      <c r="C196" s="428" t="s">
        <v>818</v>
      </c>
      <c r="D196" s="428"/>
      <c r="E196" s="435"/>
      <c r="F196" s="435"/>
      <c r="G196" s="419">
        <v>25.92</v>
      </c>
      <c r="H196" s="419"/>
      <c r="I196" s="419"/>
      <c r="J196" s="419"/>
      <c r="K196" s="420">
        <v>1</v>
      </c>
      <c r="L196" s="420">
        <f t="shared" si="25"/>
        <v>48658</v>
      </c>
      <c r="M196" s="420">
        <f t="shared" si="26"/>
        <v>344634</v>
      </c>
      <c r="N196" s="445">
        <f>SUMPRODUCT(G196:J196,$G$12:$J$12,$G$9:$J$9)</f>
        <v>421110.69381818181</v>
      </c>
      <c r="O196" s="719"/>
      <c r="P196" s="719">
        <f t="shared" si="33"/>
        <v>865688.55381818186</v>
      </c>
      <c r="Q196" s="423">
        <f>SUMIF('8.Dgia'!E:E,'9.may'!E196,'8.Dgia'!P:P)</f>
        <v>0</v>
      </c>
      <c r="R196" s="429">
        <f t="shared" si="27"/>
        <v>0</v>
      </c>
      <c r="S196" s="301">
        <f t="shared" si="28"/>
        <v>14110.820000000002</v>
      </c>
      <c r="T196" s="430">
        <f t="shared" si="29"/>
        <v>779855.51381818182</v>
      </c>
      <c r="U196" s="431">
        <v>185559</v>
      </c>
      <c r="V196" s="431">
        <v>48658</v>
      </c>
      <c r="W196" s="432">
        <v>344634</v>
      </c>
      <c r="Y196" s="433">
        <f t="shared" si="30"/>
        <v>-435221.51381818182</v>
      </c>
      <c r="Z196" s="433">
        <f t="shared" si="31"/>
        <v>0</v>
      </c>
      <c r="AC196" s="410">
        <f t="shared" si="32"/>
        <v>0</v>
      </c>
    </row>
    <row r="197" spans="2:29" s="427" customFormat="1" ht="17.25" hidden="1" customHeight="1">
      <c r="B197" s="417" t="str">
        <f>IF(A197&lt;&gt;0,COUNTA(A$19:$A197),"")</f>
        <v/>
      </c>
      <c r="C197" s="428" t="s">
        <v>819</v>
      </c>
      <c r="D197" s="428"/>
      <c r="E197" s="435"/>
      <c r="F197" s="435"/>
      <c r="G197" s="419">
        <v>32.4</v>
      </c>
      <c r="H197" s="419"/>
      <c r="I197" s="419"/>
      <c r="J197" s="419"/>
      <c r="K197" s="420">
        <v>1</v>
      </c>
      <c r="L197" s="420">
        <f t="shared" si="25"/>
        <v>48658</v>
      </c>
      <c r="M197" s="420">
        <f t="shared" si="26"/>
        <v>484939</v>
      </c>
      <c r="N197" s="445">
        <f>SUMPRODUCT(G197:J197,$G$12:$J$12,$G$9:$J$9)</f>
        <v>526388.36727272719</v>
      </c>
      <c r="O197" s="719"/>
      <c r="P197" s="719">
        <f t="shared" si="33"/>
        <v>1151959.6772727272</v>
      </c>
      <c r="Q197" s="423">
        <f>SUMIF('8.Dgia'!E:E,'9.may'!E197,'8.Dgia'!P:P)</f>
        <v>0</v>
      </c>
      <c r="R197" s="429">
        <f t="shared" si="27"/>
        <v>0</v>
      </c>
      <c r="S197" s="301">
        <f t="shared" si="28"/>
        <v>14110.820000000002</v>
      </c>
      <c r="T197" s="430">
        <f t="shared" si="29"/>
        <v>1025438.1872727271</v>
      </c>
      <c r="U197" s="431">
        <v>231948</v>
      </c>
      <c r="V197" s="431">
        <v>48658</v>
      </c>
      <c r="W197" s="432">
        <v>484939</v>
      </c>
      <c r="Y197" s="433">
        <f t="shared" si="30"/>
        <v>-540499.18727272714</v>
      </c>
      <c r="Z197" s="433">
        <f t="shared" si="31"/>
        <v>0</v>
      </c>
      <c r="AC197" s="410">
        <f t="shared" si="32"/>
        <v>0</v>
      </c>
    </row>
    <row r="198" spans="2:29" s="427" customFormat="1" ht="17.25" hidden="1" customHeight="1">
      <c r="B198" s="417" t="str">
        <f>IF(A198&lt;&gt;0,COUNTA(A$19:$A198),"")</f>
        <v/>
      </c>
      <c r="C198" s="428" t="s">
        <v>976</v>
      </c>
      <c r="D198" s="428"/>
      <c r="E198" s="435"/>
      <c r="F198" s="435"/>
      <c r="G198" s="419">
        <v>41.472000000000008</v>
      </c>
      <c r="H198" s="419"/>
      <c r="I198" s="419"/>
      <c r="J198" s="419"/>
      <c r="K198" s="420">
        <v>1</v>
      </c>
      <c r="L198" s="420">
        <f t="shared" si="25"/>
        <v>48658</v>
      </c>
      <c r="M198" s="420">
        <f t="shared" si="26"/>
        <v>566437</v>
      </c>
      <c r="N198" s="445">
        <f>SUMPRODUCT(G198:J198,$G$12:$J$12,$G$9:$J$9)</f>
        <v>673777.11010909104</v>
      </c>
      <c r="O198" s="719"/>
      <c r="P198" s="719">
        <f t="shared" si="33"/>
        <v>1404480.840109091</v>
      </c>
      <c r="Q198" s="423">
        <f>SUMIF('8.Dgia'!E:E,'9.may'!E198,'8.Dgia'!P:P)</f>
        <v>0</v>
      </c>
      <c r="R198" s="429">
        <f t="shared" si="27"/>
        <v>0</v>
      </c>
      <c r="S198" s="301">
        <f t="shared" si="28"/>
        <v>14110.820000000002</v>
      </c>
      <c r="T198" s="430">
        <f t="shared" si="29"/>
        <v>1254324.9301090911</v>
      </c>
      <c r="U198" s="431">
        <v>296880</v>
      </c>
      <c r="V198" s="431">
        <v>48658</v>
      </c>
      <c r="W198" s="432">
        <v>566437</v>
      </c>
      <c r="Y198" s="433">
        <f t="shared" si="30"/>
        <v>-687887.9301090911</v>
      </c>
      <c r="Z198" s="433">
        <f t="shared" si="31"/>
        <v>0</v>
      </c>
      <c r="AC198" s="410">
        <f t="shared" si="32"/>
        <v>0</v>
      </c>
    </row>
    <row r="199" spans="2:29" s="427" customFormat="1" ht="17.25" hidden="1" customHeight="1">
      <c r="B199" s="417" t="str">
        <f>IF(A199&lt;&gt;0,COUNTA(A$19:$A199),"")</f>
        <v/>
      </c>
      <c r="C199" s="428" t="s">
        <v>826</v>
      </c>
      <c r="D199" s="428"/>
      <c r="E199" s="435"/>
      <c r="F199" s="435"/>
      <c r="G199" s="419">
        <v>49.92</v>
      </c>
      <c r="H199" s="419"/>
      <c r="I199" s="419"/>
      <c r="J199" s="419"/>
      <c r="K199" s="420">
        <v>1</v>
      </c>
      <c r="L199" s="420">
        <f t="shared" si="25"/>
        <v>48658</v>
      </c>
      <c r="M199" s="420">
        <f t="shared" si="26"/>
        <v>642786</v>
      </c>
      <c r="N199" s="445">
        <f>SUMPRODUCT(G199:J199,$G$12:$J$12,$G$9:$J$9)</f>
        <v>811028.00290909084</v>
      </c>
      <c r="O199" s="719"/>
      <c r="P199" s="719">
        <f t="shared" si="33"/>
        <v>1640221.9429090908</v>
      </c>
      <c r="Q199" s="423">
        <f>SUMIF('8.Dgia'!E:E,'9.may'!E199,'8.Dgia'!P:P)</f>
        <v>0</v>
      </c>
      <c r="R199" s="429">
        <f t="shared" si="27"/>
        <v>0</v>
      </c>
      <c r="S199" s="301">
        <f t="shared" si="28"/>
        <v>14110.820000000002</v>
      </c>
      <c r="T199" s="430">
        <f t="shared" si="29"/>
        <v>1467924.8229090907</v>
      </c>
      <c r="U199" s="431">
        <v>357372</v>
      </c>
      <c r="V199" s="431">
        <v>48658</v>
      </c>
      <c r="W199" s="432">
        <v>642786</v>
      </c>
      <c r="Y199" s="433">
        <f t="shared" si="30"/>
        <v>-825138.82290909067</v>
      </c>
      <c r="Z199" s="433">
        <f t="shared" si="31"/>
        <v>0</v>
      </c>
      <c r="AC199" s="410">
        <f t="shared" si="32"/>
        <v>0</v>
      </c>
    </row>
    <row r="200" spans="2:29" s="427" customFormat="1" ht="17.25" hidden="1" customHeight="1">
      <c r="B200" s="417" t="str">
        <f>IF(A200&lt;&gt;0,COUNTA(A$19:$A200),"")</f>
        <v/>
      </c>
      <c r="C200" s="418" t="s">
        <v>977</v>
      </c>
      <c r="D200" s="418"/>
      <c r="E200" s="435"/>
      <c r="F200" s="435"/>
      <c r="G200" s="419"/>
      <c r="H200" s="419"/>
      <c r="I200" s="419"/>
      <c r="J200" s="419"/>
      <c r="K200" s="420"/>
      <c r="L200" s="420">
        <f t="shared" si="25"/>
        <v>0</v>
      </c>
      <c r="M200" s="420">
        <f t="shared" si="26"/>
        <v>0</v>
      </c>
      <c r="N200" s="445"/>
      <c r="O200" s="719"/>
      <c r="P200" s="719">
        <f t="shared" si="33"/>
        <v>0</v>
      </c>
      <c r="Q200" s="423">
        <f>SUMIF('8.Dgia'!E:E,'9.may'!E200,'8.Dgia'!P:P)</f>
        <v>0</v>
      </c>
      <c r="R200" s="429">
        <f t="shared" si="27"/>
        <v>0</v>
      </c>
      <c r="S200" s="301">
        <f t="shared" si="28"/>
        <v>0</v>
      </c>
      <c r="T200" s="430">
        <f t="shared" si="29"/>
        <v>0</v>
      </c>
      <c r="U200" s="436"/>
      <c r="V200" s="436"/>
      <c r="W200" s="432"/>
      <c r="Y200" s="433">
        <f t="shared" si="30"/>
        <v>0</v>
      </c>
      <c r="Z200" s="433">
        <f t="shared" si="31"/>
        <v>0</v>
      </c>
      <c r="AC200" s="410">
        <f t="shared" si="32"/>
        <v>0</v>
      </c>
    </row>
    <row r="201" spans="2:29" s="427" customFormat="1" ht="17.25" hidden="1" customHeight="1">
      <c r="B201" s="417" t="str">
        <f>IF(A201&lt;&gt;0,COUNTA(A$19:$A201),"")</f>
        <v/>
      </c>
      <c r="C201" s="428" t="s">
        <v>978</v>
      </c>
      <c r="D201" s="428"/>
      <c r="E201" s="435"/>
      <c r="F201" s="435"/>
      <c r="G201" s="419">
        <v>11.76</v>
      </c>
      <c r="H201" s="419"/>
      <c r="I201" s="419"/>
      <c r="J201" s="419"/>
      <c r="K201" s="420">
        <v>1</v>
      </c>
      <c r="L201" s="420">
        <f t="shared" si="25"/>
        <v>48658</v>
      </c>
      <c r="M201" s="420">
        <f t="shared" si="26"/>
        <v>250873</v>
      </c>
      <c r="N201" s="445">
        <f t="shared" ref="N201:N207" si="37">SUMPRODUCT(G201:J201,$G$12:$J$12,$G$9:$J$9)</f>
        <v>191059.4814545454</v>
      </c>
      <c r="O201" s="719"/>
      <c r="P201" s="719">
        <f t="shared" si="33"/>
        <v>514685.65145454538</v>
      </c>
      <c r="Q201" s="423">
        <f>SUMIF('8.Dgia'!E:E,'9.may'!E201,'8.Dgia'!P:P)</f>
        <v>0</v>
      </c>
      <c r="R201" s="429">
        <f t="shared" si="27"/>
        <v>0</v>
      </c>
      <c r="S201" s="301">
        <f t="shared" si="28"/>
        <v>14110.820000000002</v>
      </c>
      <c r="T201" s="430">
        <f t="shared" si="29"/>
        <v>456043.30145454541</v>
      </c>
      <c r="U201" s="431">
        <v>84189</v>
      </c>
      <c r="V201" s="431">
        <v>48658</v>
      </c>
      <c r="W201" s="432">
        <v>250873</v>
      </c>
      <c r="Y201" s="433">
        <f t="shared" si="30"/>
        <v>-205170.30145454541</v>
      </c>
      <c r="Z201" s="433">
        <f t="shared" si="31"/>
        <v>0</v>
      </c>
      <c r="AC201" s="410">
        <f t="shared" si="32"/>
        <v>0</v>
      </c>
    </row>
    <row r="202" spans="2:29" s="427" customFormat="1" ht="17.25" hidden="1" customHeight="1">
      <c r="B202" s="417" t="str">
        <f>IF(A202&lt;&gt;0,COUNTA(A$19:$A202),"")</f>
        <v/>
      </c>
      <c r="C202" s="428" t="s">
        <v>979</v>
      </c>
      <c r="D202" s="428"/>
      <c r="E202" s="435"/>
      <c r="F202" s="435"/>
      <c r="G202" s="419">
        <v>16.8</v>
      </c>
      <c r="H202" s="419"/>
      <c r="I202" s="419"/>
      <c r="J202" s="419"/>
      <c r="K202" s="420">
        <v>1</v>
      </c>
      <c r="L202" s="420">
        <f t="shared" si="25"/>
        <v>48658</v>
      </c>
      <c r="M202" s="420">
        <f t="shared" si="26"/>
        <v>297067</v>
      </c>
      <c r="N202" s="445">
        <f t="shared" si="37"/>
        <v>272942.11636363633</v>
      </c>
      <c r="O202" s="719"/>
      <c r="P202" s="719">
        <f t="shared" si="33"/>
        <v>656158.54636363639</v>
      </c>
      <c r="Q202" s="423">
        <f>SUMIF('8.Dgia'!E:E,'9.may'!E202,'8.Dgia'!P:P)</f>
        <v>0</v>
      </c>
      <c r="R202" s="429">
        <f t="shared" si="27"/>
        <v>0</v>
      </c>
      <c r="S202" s="301">
        <f t="shared" si="28"/>
        <v>14110.820000000002</v>
      </c>
      <c r="T202" s="430">
        <f t="shared" si="29"/>
        <v>584119.93636363628</v>
      </c>
      <c r="U202" s="431">
        <v>120270</v>
      </c>
      <c r="V202" s="431">
        <v>48658</v>
      </c>
      <c r="W202" s="432">
        <v>297067</v>
      </c>
      <c r="Y202" s="433">
        <f t="shared" si="30"/>
        <v>-287052.93636363628</v>
      </c>
      <c r="Z202" s="433">
        <f t="shared" si="31"/>
        <v>0</v>
      </c>
      <c r="AC202" s="410">
        <f t="shared" si="32"/>
        <v>0</v>
      </c>
    </row>
    <row r="203" spans="2:29" s="427" customFormat="1" ht="17.25" hidden="1" customHeight="1">
      <c r="B203" s="417" t="str">
        <f>IF(A203&lt;&gt;0,COUNTA(A$19:$A203),"")</f>
        <v/>
      </c>
      <c r="C203" s="428" t="s">
        <v>980</v>
      </c>
      <c r="D203" s="428"/>
      <c r="E203" s="435"/>
      <c r="F203" s="435"/>
      <c r="G203" s="419">
        <v>21</v>
      </c>
      <c r="H203" s="419"/>
      <c r="I203" s="419"/>
      <c r="J203" s="419"/>
      <c r="K203" s="420">
        <v>1</v>
      </c>
      <c r="L203" s="420">
        <f t="shared" si="25"/>
        <v>48658</v>
      </c>
      <c r="M203" s="420">
        <f t="shared" si="26"/>
        <v>338313</v>
      </c>
      <c r="N203" s="445">
        <f t="shared" si="37"/>
        <v>341177.64545454539</v>
      </c>
      <c r="O203" s="719"/>
      <c r="P203" s="719">
        <f t="shared" si="33"/>
        <v>777601.41545454541</v>
      </c>
      <c r="Q203" s="423">
        <f>SUMIF('8.Dgia'!E:E,'9.may'!E203,'8.Dgia'!P:P)</f>
        <v>0</v>
      </c>
      <c r="R203" s="429">
        <f t="shared" si="27"/>
        <v>0</v>
      </c>
      <c r="S203" s="301">
        <f t="shared" si="28"/>
        <v>14110.820000000002</v>
      </c>
      <c r="T203" s="430">
        <f t="shared" si="29"/>
        <v>693601.46545454534</v>
      </c>
      <c r="U203" s="431">
        <v>150337</v>
      </c>
      <c r="V203" s="431">
        <v>48658</v>
      </c>
      <c r="W203" s="432">
        <v>338313</v>
      </c>
      <c r="Y203" s="433">
        <f t="shared" si="30"/>
        <v>-355288.46545454534</v>
      </c>
      <c r="Z203" s="433">
        <f t="shared" si="31"/>
        <v>0</v>
      </c>
      <c r="AC203" s="410">
        <f t="shared" si="32"/>
        <v>0</v>
      </c>
    </row>
    <row r="204" spans="2:29" s="427" customFormat="1" ht="17.25" hidden="1" customHeight="1">
      <c r="B204" s="417" t="str">
        <f>IF(A204&lt;&gt;0,COUNTA(A$19:$A204),"")</f>
        <v/>
      </c>
      <c r="C204" s="428" t="s">
        <v>981</v>
      </c>
      <c r="D204" s="428"/>
      <c r="E204" s="435"/>
      <c r="F204" s="435"/>
      <c r="G204" s="419">
        <v>25.2</v>
      </c>
      <c r="H204" s="419"/>
      <c r="I204" s="419"/>
      <c r="J204" s="419"/>
      <c r="K204" s="420">
        <v>1</v>
      </c>
      <c r="L204" s="420">
        <f t="shared" si="25"/>
        <v>48658</v>
      </c>
      <c r="M204" s="420">
        <f t="shared" si="26"/>
        <v>393385</v>
      </c>
      <c r="N204" s="445">
        <f t="shared" si="37"/>
        <v>409413.1745454545</v>
      </c>
      <c r="O204" s="719"/>
      <c r="P204" s="719">
        <f t="shared" si="33"/>
        <v>916879.82454545447</v>
      </c>
      <c r="Q204" s="423">
        <f>SUMIF('8.Dgia'!E:E,'9.may'!E204,'8.Dgia'!P:P)</f>
        <v>0</v>
      </c>
      <c r="R204" s="429">
        <f t="shared" si="27"/>
        <v>0</v>
      </c>
      <c r="S204" s="301">
        <f t="shared" si="28"/>
        <v>14110.820000000002</v>
      </c>
      <c r="T204" s="430">
        <f t="shared" si="29"/>
        <v>816908.99454545451</v>
      </c>
      <c r="U204" s="431">
        <v>180404</v>
      </c>
      <c r="V204" s="431">
        <v>48658</v>
      </c>
      <c r="W204" s="432">
        <v>393385</v>
      </c>
      <c r="Y204" s="433">
        <f t="shared" si="30"/>
        <v>-423523.99454545451</v>
      </c>
      <c r="Z204" s="433">
        <f t="shared" si="31"/>
        <v>0</v>
      </c>
      <c r="AC204" s="410">
        <f t="shared" si="32"/>
        <v>0</v>
      </c>
    </row>
    <row r="205" spans="2:29" s="427" customFormat="1" ht="17.25" hidden="1" customHeight="1">
      <c r="B205" s="417" t="str">
        <f>IF(A205&lt;&gt;0,COUNTA(A$19:$A205),"")</f>
        <v/>
      </c>
      <c r="C205" s="428" t="s">
        <v>982</v>
      </c>
      <c r="D205" s="428"/>
      <c r="E205" s="435"/>
      <c r="F205" s="435"/>
      <c r="G205" s="419">
        <v>33.6</v>
      </c>
      <c r="H205" s="419"/>
      <c r="I205" s="419"/>
      <c r="J205" s="419"/>
      <c r="K205" s="420">
        <v>1</v>
      </c>
      <c r="L205" s="420">
        <f t="shared" si="25"/>
        <v>48658</v>
      </c>
      <c r="M205" s="420">
        <f t="shared" si="26"/>
        <v>466393</v>
      </c>
      <c r="N205" s="445">
        <f t="shared" si="37"/>
        <v>545884.23272727267</v>
      </c>
      <c r="O205" s="719"/>
      <c r="P205" s="719">
        <f t="shared" si="33"/>
        <v>1147531.2027272726</v>
      </c>
      <c r="Q205" s="423">
        <f>SUMIF('8.Dgia'!E:E,'9.may'!E205,'8.Dgia'!P:P)</f>
        <v>0</v>
      </c>
      <c r="R205" s="429">
        <f t="shared" si="27"/>
        <v>0</v>
      </c>
      <c r="S205" s="301">
        <f t="shared" si="28"/>
        <v>14110.820000000002</v>
      </c>
      <c r="T205" s="430">
        <f t="shared" si="29"/>
        <v>1026388.0527272726</v>
      </c>
      <c r="U205" s="431">
        <v>240539</v>
      </c>
      <c r="V205" s="431">
        <v>48658</v>
      </c>
      <c r="W205" s="432">
        <v>466393</v>
      </c>
      <c r="Y205" s="433">
        <f t="shared" si="30"/>
        <v>-559995.05272727262</v>
      </c>
      <c r="Z205" s="433">
        <f t="shared" si="31"/>
        <v>0</v>
      </c>
      <c r="AC205" s="410">
        <f t="shared" si="32"/>
        <v>0</v>
      </c>
    </row>
    <row r="206" spans="2:29" s="427" customFormat="1" ht="17.25" hidden="1" customHeight="1">
      <c r="B206" s="417" t="str">
        <f>IF(A206&lt;&gt;0,COUNTA(A$19:$A206),"")</f>
        <v/>
      </c>
      <c r="C206" s="428" t="s">
        <v>983</v>
      </c>
      <c r="D206" s="428"/>
      <c r="E206" s="435"/>
      <c r="F206" s="435"/>
      <c r="G206" s="419">
        <v>55.44</v>
      </c>
      <c r="H206" s="419"/>
      <c r="I206" s="419"/>
      <c r="J206" s="419"/>
      <c r="K206" s="420">
        <v>1</v>
      </c>
      <c r="L206" s="420">
        <f t="shared" si="25"/>
        <v>48658</v>
      </c>
      <c r="M206" s="420">
        <f t="shared" si="26"/>
        <v>715110</v>
      </c>
      <c r="N206" s="445">
        <f t="shared" si="37"/>
        <v>900708.98399999982</v>
      </c>
      <c r="O206" s="719"/>
      <c r="P206" s="719">
        <f t="shared" si="33"/>
        <v>1823200.8839999998</v>
      </c>
      <c r="Q206" s="423">
        <f>SUMIF('8.Dgia'!E:E,'9.may'!E206,'8.Dgia'!P:P)</f>
        <v>0</v>
      </c>
      <c r="R206" s="429">
        <f t="shared" si="27"/>
        <v>0</v>
      </c>
      <c r="S206" s="301">
        <f t="shared" si="28"/>
        <v>14110.820000000002</v>
      </c>
      <c r="T206" s="430">
        <f t="shared" si="29"/>
        <v>1629929.8039999998</v>
      </c>
      <c r="U206" s="431">
        <v>396889</v>
      </c>
      <c r="V206" s="431">
        <v>48658</v>
      </c>
      <c r="W206" s="432">
        <v>715110</v>
      </c>
      <c r="Y206" s="433">
        <f t="shared" si="30"/>
        <v>-914819.80399999977</v>
      </c>
      <c r="Z206" s="433">
        <f t="shared" si="31"/>
        <v>0</v>
      </c>
      <c r="AC206" s="410">
        <f t="shared" si="32"/>
        <v>0</v>
      </c>
    </row>
    <row r="207" spans="2:29" s="427" customFormat="1" ht="17.25" hidden="1" customHeight="1">
      <c r="B207" s="417" t="str">
        <f>IF(A207&lt;&gt;0,COUNTA(A$19:$A207),"")</f>
        <v/>
      </c>
      <c r="C207" s="428" t="s">
        <v>984</v>
      </c>
      <c r="D207" s="428"/>
      <c r="E207" s="435"/>
      <c r="F207" s="435"/>
      <c r="G207" s="419">
        <v>67.724999999999994</v>
      </c>
      <c r="H207" s="419"/>
      <c r="I207" s="419"/>
      <c r="J207" s="419"/>
      <c r="K207" s="420">
        <v>1</v>
      </c>
      <c r="L207" s="420">
        <f t="shared" si="25"/>
        <v>56800</v>
      </c>
      <c r="M207" s="420">
        <f t="shared" si="26"/>
        <v>851140</v>
      </c>
      <c r="N207" s="445">
        <f t="shared" si="37"/>
        <v>1100297.906590909</v>
      </c>
      <c r="O207" s="719"/>
      <c r="P207" s="719">
        <f t="shared" si="33"/>
        <v>2198268.5065909093</v>
      </c>
      <c r="Q207" s="423">
        <f>SUMIF('8.Dgia'!E:E,'9.may'!E207,'8.Dgia'!P:P)</f>
        <v>0</v>
      </c>
      <c r="R207" s="429">
        <f t="shared" si="27"/>
        <v>0</v>
      </c>
      <c r="S207" s="301">
        <f t="shared" si="28"/>
        <v>16472.000000000004</v>
      </c>
      <c r="T207" s="430">
        <f t="shared" si="29"/>
        <v>1967909.906590909</v>
      </c>
      <c r="U207" s="431">
        <v>484872</v>
      </c>
      <c r="V207" s="431">
        <v>56800</v>
      </c>
      <c r="W207" s="432">
        <v>851140</v>
      </c>
      <c r="Y207" s="433">
        <f t="shared" si="30"/>
        <v>-1116769.906590909</v>
      </c>
      <c r="Z207" s="433">
        <f t="shared" si="31"/>
        <v>0</v>
      </c>
      <c r="AC207" s="410">
        <f t="shared" si="32"/>
        <v>0</v>
      </c>
    </row>
    <row r="208" spans="2:29" s="427" customFormat="1" ht="17.25" hidden="1" customHeight="1">
      <c r="B208" s="417" t="str">
        <f>IF(A208&lt;&gt;0,COUNTA(A$19:$A208),"")</f>
        <v/>
      </c>
      <c r="C208" s="418" t="s">
        <v>985</v>
      </c>
      <c r="D208" s="418"/>
      <c r="E208" s="435"/>
      <c r="F208" s="435"/>
      <c r="G208" s="419"/>
      <c r="H208" s="419"/>
      <c r="I208" s="419"/>
      <c r="J208" s="419"/>
      <c r="K208" s="420"/>
      <c r="L208" s="420">
        <f t="shared" si="25"/>
        <v>0</v>
      </c>
      <c r="M208" s="420">
        <f t="shared" si="26"/>
        <v>0</v>
      </c>
      <c r="N208" s="445"/>
      <c r="O208" s="719"/>
      <c r="P208" s="719">
        <f t="shared" si="33"/>
        <v>0</v>
      </c>
      <c r="Q208" s="423">
        <f>SUMIF('8.Dgia'!E:E,'9.may'!E208,'8.Dgia'!P:P)</f>
        <v>0</v>
      </c>
      <c r="R208" s="429">
        <f t="shared" si="27"/>
        <v>0</v>
      </c>
      <c r="S208" s="301">
        <f t="shared" si="28"/>
        <v>0</v>
      </c>
      <c r="T208" s="430">
        <f t="shared" si="29"/>
        <v>0</v>
      </c>
      <c r="U208" s="436"/>
      <c r="V208" s="436"/>
      <c r="W208" s="432"/>
      <c r="Y208" s="433">
        <f t="shared" si="30"/>
        <v>0</v>
      </c>
      <c r="Z208" s="433">
        <f t="shared" si="31"/>
        <v>0</v>
      </c>
      <c r="AC208" s="410">
        <f t="shared" si="32"/>
        <v>0</v>
      </c>
    </row>
    <row r="209" spans="1:29" s="427" customFormat="1" ht="17.25" hidden="1" customHeight="1">
      <c r="B209" s="417" t="str">
        <f>IF(A209&lt;&gt;0,COUNTA(A$19:$A209),"")</f>
        <v/>
      </c>
      <c r="C209" s="428" t="s">
        <v>986</v>
      </c>
      <c r="D209" s="428" t="s">
        <v>987</v>
      </c>
      <c r="E209" s="435"/>
      <c r="F209" s="435" t="s">
        <v>4699</v>
      </c>
      <c r="G209" s="419"/>
      <c r="H209" s="419">
        <v>42.9</v>
      </c>
      <c r="I209" s="419"/>
      <c r="J209" s="419"/>
      <c r="K209" s="420">
        <v>1</v>
      </c>
      <c r="L209" s="420">
        <f t="shared" si="25"/>
        <v>105458</v>
      </c>
      <c r="M209" s="420">
        <f t="shared" si="26"/>
        <v>160553</v>
      </c>
      <c r="N209" s="445">
        <f>SUMPRODUCT(G209:J209,$G$12:$J$12,$G$9:$J$9)</f>
        <v>27312.285</v>
      </c>
      <c r="O209" s="719"/>
      <c r="P209" s="719">
        <f t="shared" si="33"/>
        <v>234425.655</v>
      </c>
      <c r="Q209" s="423">
        <f>SUMIF('8.Dgia'!E:E,'9.may'!E209,'8.Dgia'!P:P)</f>
        <v>0</v>
      </c>
      <c r="R209" s="429">
        <f t="shared" si="27"/>
        <v>0</v>
      </c>
      <c r="S209" s="301">
        <f t="shared" si="28"/>
        <v>30582.820000000003</v>
      </c>
      <c r="T209" s="430">
        <f t="shared" si="29"/>
        <v>218448.10500000001</v>
      </c>
      <c r="U209" s="431">
        <v>41083</v>
      </c>
      <c r="V209" s="431">
        <v>105458</v>
      </c>
      <c r="W209" s="432">
        <v>160553</v>
      </c>
      <c r="Y209" s="433">
        <f t="shared" si="30"/>
        <v>-57895.10500000001</v>
      </c>
      <c r="Z209" s="433">
        <f t="shared" si="31"/>
        <v>0</v>
      </c>
      <c r="AC209" s="410">
        <f t="shared" si="32"/>
        <v>0</v>
      </c>
    </row>
    <row r="210" spans="1:29" s="427" customFormat="1" ht="17.25" hidden="1" customHeight="1">
      <c r="B210" s="417" t="str">
        <f>IF(A210&lt;&gt;0,COUNTA(A$19:$A210),"")</f>
        <v/>
      </c>
      <c r="C210" s="428" t="s">
        <v>988</v>
      </c>
      <c r="D210" s="428" t="s">
        <v>989</v>
      </c>
      <c r="E210" s="435"/>
      <c r="F210" s="435"/>
      <c r="G210" s="419"/>
      <c r="H210" s="419"/>
      <c r="I210" s="419"/>
      <c r="J210" s="419"/>
      <c r="K210" s="420">
        <v>1</v>
      </c>
      <c r="L210" s="420">
        <f t="shared" si="25"/>
        <v>105458</v>
      </c>
      <c r="M210" s="420">
        <f t="shared" si="26"/>
        <v>115258</v>
      </c>
      <c r="N210" s="445">
        <f>SUMPRODUCT(G210:J210,$G$12:$J$12,$G$9:$J$9)</f>
        <v>0</v>
      </c>
      <c r="O210" s="719"/>
      <c r="P210" s="719">
        <f t="shared" si="33"/>
        <v>148682.82</v>
      </c>
      <c r="Q210" s="423">
        <f>SUMIF('8.Dgia'!E:E,'9.may'!E210,'8.Dgia'!P:P)</f>
        <v>0</v>
      </c>
      <c r="R210" s="429">
        <f t="shared" si="27"/>
        <v>0</v>
      </c>
      <c r="S210" s="301">
        <f t="shared" si="28"/>
        <v>30582.820000000003</v>
      </c>
      <c r="T210" s="430">
        <f t="shared" si="29"/>
        <v>145840.82</v>
      </c>
      <c r="U210" s="431"/>
      <c r="V210" s="431">
        <v>105458</v>
      </c>
      <c r="W210" s="432">
        <v>115258</v>
      </c>
      <c r="Y210" s="433">
        <f t="shared" si="30"/>
        <v>-30582.820000000007</v>
      </c>
      <c r="Z210" s="433">
        <f t="shared" si="31"/>
        <v>0</v>
      </c>
      <c r="AC210" s="410">
        <f t="shared" si="32"/>
        <v>0</v>
      </c>
    </row>
    <row r="211" spans="1:29" s="427" customFormat="1" ht="17.25" hidden="1" customHeight="1">
      <c r="B211" s="417" t="str">
        <f>IF(A211&lt;&gt;0,COUNTA(A$19:$A211),"")</f>
        <v/>
      </c>
      <c r="C211" s="428" t="s">
        <v>990</v>
      </c>
      <c r="D211" s="428" t="s">
        <v>991</v>
      </c>
      <c r="E211" s="435"/>
      <c r="F211" s="435"/>
      <c r="G211" s="419"/>
      <c r="H211" s="419"/>
      <c r="I211" s="419"/>
      <c r="J211" s="419"/>
      <c r="K211" s="420">
        <v>1</v>
      </c>
      <c r="L211" s="420">
        <f t="shared" si="25"/>
        <v>105458</v>
      </c>
      <c r="M211" s="420">
        <f t="shared" si="26"/>
        <v>505579</v>
      </c>
      <c r="N211" s="445">
        <f>SUMPRODUCT(G211:J211,$G$12:$J$12,$G$9:$J$9)</f>
        <v>0</v>
      </c>
      <c r="O211" s="719"/>
      <c r="P211" s="719">
        <f t="shared" si="33"/>
        <v>652196.91</v>
      </c>
      <c r="Q211" s="423">
        <f>SUMIF('8.Dgia'!E:E,'9.may'!E211,'8.Dgia'!P:P)</f>
        <v>0</v>
      </c>
      <c r="R211" s="429">
        <f t="shared" si="27"/>
        <v>0</v>
      </c>
      <c r="S211" s="301">
        <f t="shared" si="28"/>
        <v>30582.820000000003</v>
      </c>
      <c r="T211" s="430">
        <f t="shared" si="29"/>
        <v>536161.81999999995</v>
      </c>
      <c r="U211" s="431"/>
      <c r="V211" s="431">
        <v>105458</v>
      </c>
      <c r="W211" s="432">
        <v>505579</v>
      </c>
      <c r="Y211" s="433">
        <f t="shared" si="30"/>
        <v>-30582.819999999949</v>
      </c>
      <c r="Z211" s="433">
        <f t="shared" si="31"/>
        <v>0</v>
      </c>
      <c r="AC211" s="410">
        <f t="shared" si="32"/>
        <v>0</v>
      </c>
    </row>
    <row r="212" spans="1:29" s="427" customFormat="1" ht="17.25" customHeight="1">
      <c r="A212" s="410">
        <v>1</v>
      </c>
      <c r="B212" s="417">
        <f>IF(A212&lt;&gt;0,COUNTA(A$19:$A212),"")</f>
        <v>46</v>
      </c>
      <c r="C212" s="428" t="s">
        <v>992</v>
      </c>
      <c r="D212" s="428" t="s">
        <v>993</v>
      </c>
      <c r="E212" s="435" t="s">
        <v>993</v>
      </c>
      <c r="F212" s="435" t="s">
        <v>4700</v>
      </c>
      <c r="G212" s="419">
        <v>37.44</v>
      </c>
      <c r="H212" s="419"/>
      <c r="I212" s="419"/>
      <c r="J212" s="419"/>
      <c r="K212" s="420">
        <v>1</v>
      </c>
      <c r="L212" s="420">
        <f t="shared" ref="L212:L275" si="38">+V212</f>
        <v>105458</v>
      </c>
      <c r="M212" s="420">
        <f t="shared" ref="M212:M275" si="39">+W212</f>
        <v>1232248</v>
      </c>
      <c r="N212" s="445">
        <f>SUMPRODUCT(G212:J212,$G$12:$J$12,$G$9:$J$9)</f>
        <v>608271.00218181801</v>
      </c>
      <c r="O212" s="719"/>
      <c r="P212" s="719">
        <f t="shared" si="33"/>
        <v>2197870.9221818182</v>
      </c>
      <c r="Q212" s="423">
        <f>SUMIF('8.Dgia'!E:E,'9.may'!E212,'8.Dgia'!P:P)</f>
        <v>0</v>
      </c>
      <c r="R212" s="429">
        <f t="shared" ref="R212:R275" si="40">N212*Q212</f>
        <v>0</v>
      </c>
      <c r="S212" s="301">
        <f t="shared" ref="S212:S275" si="41">L212*($G$13-1)</f>
        <v>30582.820000000003</v>
      </c>
      <c r="T212" s="430">
        <f t="shared" ref="T212:T275" si="42">S212+N212+M212</f>
        <v>1871101.8221818181</v>
      </c>
      <c r="U212" s="2053">
        <v>268029</v>
      </c>
      <c r="V212" s="2053">
        <v>105458</v>
      </c>
      <c r="W212" s="2054">
        <v>1232248</v>
      </c>
      <c r="Y212" s="433">
        <f t="shared" ref="Y212:Y275" si="43">W212-T212</f>
        <v>-638853.82218181808</v>
      </c>
      <c r="Z212" s="433">
        <f t="shared" ref="Z212:Z275" si="44">W212-M212</f>
        <v>0</v>
      </c>
      <c r="AC212" s="410">
        <f t="shared" ref="AC212:AC275" si="45">+P212*Q212</f>
        <v>0</v>
      </c>
    </row>
    <row r="213" spans="1:29" s="427" customFormat="1" ht="17.25" hidden="1" customHeight="1">
      <c r="B213" s="417" t="str">
        <f>IF(A213&lt;&gt;0,COUNTA(A$19:$A213),"")</f>
        <v/>
      </c>
      <c r="C213" s="428" t="s">
        <v>994</v>
      </c>
      <c r="D213" s="428" t="s">
        <v>995</v>
      </c>
      <c r="E213" s="435"/>
      <c r="F213" s="435"/>
      <c r="G213" s="419"/>
      <c r="H213" s="419">
        <v>27</v>
      </c>
      <c r="I213" s="419"/>
      <c r="J213" s="419"/>
      <c r="K213" s="420">
        <v>1</v>
      </c>
      <c r="L213" s="420">
        <f t="shared" si="38"/>
        <v>105458</v>
      </c>
      <c r="M213" s="420">
        <f t="shared" si="39"/>
        <v>212835</v>
      </c>
      <c r="N213" s="445">
        <f>SUMPRODUCT(G213:J213,$G$12:$J$12,$G$9:$J$9)</f>
        <v>17189.55</v>
      </c>
      <c r="O213" s="719"/>
      <c r="P213" s="719">
        <f t="shared" ref="P213:P276" si="46">+N213+M213*$G$13</f>
        <v>291746.7</v>
      </c>
      <c r="Q213" s="423">
        <f>SUMIF('8.Dgia'!E:E,'9.may'!E213,'8.Dgia'!P:P)</f>
        <v>0</v>
      </c>
      <c r="R213" s="429">
        <f t="shared" si="40"/>
        <v>0</v>
      </c>
      <c r="S213" s="301">
        <f t="shared" si="41"/>
        <v>30582.820000000003</v>
      </c>
      <c r="T213" s="430">
        <f t="shared" si="42"/>
        <v>260607.37</v>
      </c>
      <c r="U213" s="431">
        <v>25857</v>
      </c>
      <c r="V213" s="431">
        <v>105458</v>
      </c>
      <c r="W213" s="432">
        <v>212835</v>
      </c>
      <c r="Y213" s="433">
        <f t="shared" si="43"/>
        <v>-47772.369999999995</v>
      </c>
      <c r="Z213" s="433">
        <f t="shared" si="44"/>
        <v>0</v>
      </c>
      <c r="AC213" s="410">
        <f t="shared" si="45"/>
        <v>0</v>
      </c>
    </row>
    <row r="214" spans="1:29" s="427" customFormat="1" ht="17.25" hidden="1" customHeight="1">
      <c r="B214" s="417" t="str">
        <f>IF(A214&lt;&gt;0,COUNTA(A$19:$A214),"")</f>
        <v/>
      </c>
      <c r="C214" s="418" t="s">
        <v>996</v>
      </c>
      <c r="D214" s="418"/>
      <c r="E214" s="435"/>
      <c r="F214" s="435"/>
      <c r="G214" s="419"/>
      <c r="H214" s="419"/>
      <c r="I214" s="419"/>
      <c r="J214" s="419"/>
      <c r="K214" s="420"/>
      <c r="L214" s="420">
        <f t="shared" si="38"/>
        <v>0</v>
      </c>
      <c r="M214" s="420">
        <f t="shared" si="39"/>
        <v>0</v>
      </c>
      <c r="N214" s="445"/>
      <c r="O214" s="719"/>
      <c r="P214" s="719">
        <f t="shared" si="46"/>
        <v>0</v>
      </c>
      <c r="Q214" s="423">
        <f>SUMIF('8.Dgia'!E:E,'9.may'!E214,'8.Dgia'!P:P)</f>
        <v>0</v>
      </c>
      <c r="R214" s="429">
        <f t="shared" si="40"/>
        <v>0</v>
      </c>
      <c r="S214" s="301">
        <f t="shared" si="41"/>
        <v>0</v>
      </c>
      <c r="T214" s="430">
        <f t="shared" si="42"/>
        <v>0</v>
      </c>
      <c r="U214" s="436"/>
      <c r="V214" s="436"/>
      <c r="W214" s="432"/>
      <c r="Y214" s="433">
        <f t="shared" si="43"/>
        <v>0</v>
      </c>
      <c r="Z214" s="433">
        <f t="shared" si="44"/>
        <v>0</v>
      </c>
      <c r="AC214" s="410">
        <f t="shared" si="45"/>
        <v>0</v>
      </c>
    </row>
    <row r="215" spans="1:29" s="427" customFormat="1" ht="17.25" hidden="1" customHeight="1">
      <c r="B215" s="417" t="str">
        <f>IF(A215&lt;&gt;0,COUNTA(A$19:$A215),"")</f>
        <v/>
      </c>
      <c r="C215" s="428" t="s">
        <v>997</v>
      </c>
      <c r="D215" s="428"/>
      <c r="E215" s="435"/>
      <c r="F215" s="435"/>
      <c r="G215" s="419">
        <v>18</v>
      </c>
      <c r="H215" s="419"/>
      <c r="I215" s="419"/>
      <c r="J215" s="419"/>
      <c r="K215" s="420">
        <v>1</v>
      </c>
      <c r="L215" s="420">
        <f t="shared" si="38"/>
        <v>56800</v>
      </c>
      <c r="M215" s="420">
        <f t="shared" si="39"/>
        <v>390901</v>
      </c>
      <c r="N215" s="445">
        <f>SUMPRODUCT(G215:J215,$G$12:$J$12,$G$9:$J$9)</f>
        <v>292437.98181818175</v>
      </c>
      <c r="O215" s="719"/>
      <c r="P215" s="719">
        <f t="shared" si="46"/>
        <v>796700.27181818173</v>
      </c>
      <c r="Q215" s="423">
        <f>SUMIF('8.Dgia'!E:E,'9.may'!E215,'8.Dgia'!P:P)</f>
        <v>0</v>
      </c>
      <c r="R215" s="429">
        <f t="shared" si="40"/>
        <v>0</v>
      </c>
      <c r="S215" s="301">
        <f t="shared" si="41"/>
        <v>16472.000000000004</v>
      </c>
      <c r="T215" s="430">
        <f t="shared" si="42"/>
        <v>699810.9818181817</v>
      </c>
      <c r="U215" s="431">
        <v>128860</v>
      </c>
      <c r="V215" s="431">
        <v>56800</v>
      </c>
      <c r="W215" s="432">
        <v>390901</v>
      </c>
      <c r="Y215" s="433">
        <f t="shared" si="43"/>
        <v>-308909.9818181817</v>
      </c>
      <c r="Z215" s="433">
        <f t="shared" si="44"/>
        <v>0</v>
      </c>
      <c r="AC215" s="410">
        <f t="shared" si="45"/>
        <v>0</v>
      </c>
    </row>
    <row r="216" spans="1:29" s="427" customFormat="1" ht="17.25" hidden="1" customHeight="1">
      <c r="B216" s="417" t="str">
        <f>IF(A216&lt;&gt;0,COUNTA(A$19:$A216),"")</f>
        <v/>
      </c>
      <c r="C216" s="428" t="s">
        <v>998</v>
      </c>
      <c r="D216" s="428"/>
      <c r="E216" s="435"/>
      <c r="F216" s="435"/>
      <c r="G216" s="419">
        <v>21</v>
      </c>
      <c r="H216" s="419"/>
      <c r="I216" s="419"/>
      <c r="J216" s="419"/>
      <c r="K216" s="420">
        <v>1</v>
      </c>
      <c r="L216" s="420">
        <f t="shared" si="38"/>
        <v>56800</v>
      </c>
      <c r="M216" s="420">
        <f t="shared" si="39"/>
        <v>441920</v>
      </c>
      <c r="N216" s="445">
        <f>SUMPRODUCT(G216:J216,$G$12:$J$12,$G$9:$J$9)</f>
        <v>341177.64545454539</v>
      </c>
      <c r="O216" s="719"/>
      <c r="P216" s="719">
        <f t="shared" si="46"/>
        <v>911254.44545454544</v>
      </c>
      <c r="Q216" s="423">
        <f>SUMIF('8.Dgia'!E:E,'9.may'!E216,'8.Dgia'!P:P)</f>
        <v>0</v>
      </c>
      <c r="R216" s="429">
        <f t="shared" si="40"/>
        <v>0</v>
      </c>
      <c r="S216" s="301">
        <f t="shared" si="41"/>
        <v>16472.000000000004</v>
      </c>
      <c r="T216" s="430">
        <f t="shared" si="42"/>
        <v>799569.64545454539</v>
      </c>
      <c r="U216" s="431">
        <v>150337</v>
      </c>
      <c r="V216" s="431">
        <v>56800</v>
      </c>
      <c r="W216" s="432">
        <v>441920</v>
      </c>
      <c r="Y216" s="433">
        <f t="shared" si="43"/>
        <v>-357649.64545454539</v>
      </c>
      <c r="Z216" s="433">
        <f t="shared" si="44"/>
        <v>0</v>
      </c>
      <c r="AC216" s="410">
        <f t="shared" si="45"/>
        <v>0</v>
      </c>
    </row>
    <row r="217" spans="1:29" s="427" customFormat="1" ht="17.25" hidden="1" customHeight="1">
      <c r="B217" s="417" t="str">
        <f>IF(A217&lt;&gt;0,COUNTA(A$19:$A217),"")</f>
        <v/>
      </c>
      <c r="C217" s="428" t="s">
        <v>999</v>
      </c>
      <c r="D217" s="428"/>
      <c r="E217" s="435"/>
      <c r="F217" s="435"/>
      <c r="G217" s="419">
        <v>24</v>
      </c>
      <c r="H217" s="419"/>
      <c r="I217" s="419"/>
      <c r="J217" s="419"/>
      <c r="K217" s="420">
        <v>1</v>
      </c>
      <c r="L217" s="420">
        <f t="shared" si="38"/>
        <v>56800</v>
      </c>
      <c r="M217" s="420">
        <f t="shared" si="39"/>
        <v>487964</v>
      </c>
      <c r="N217" s="445">
        <f>SUMPRODUCT(G217:J217,$G$12:$J$12,$G$9:$J$9)</f>
        <v>389917.30909090902</v>
      </c>
      <c r="O217" s="719"/>
      <c r="P217" s="719">
        <f t="shared" si="46"/>
        <v>1019390.8690909091</v>
      </c>
      <c r="Q217" s="423">
        <f>SUMIF('8.Dgia'!E:E,'9.may'!E217,'8.Dgia'!P:P)</f>
        <v>0</v>
      </c>
      <c r="R217" s="429">
        <f t="shared" si="40"/>
        <v>0</v>
      </c>
      <c r="S217" s="301">
        <f t="shared" si="41"/>
        <v>16472.000000000004</v>
      </c>
      <c r="T217" s="430">
        <f t="shared" si="42"/>
        <v>894353.30909090908</v>
      </c>
      <c r="U217" s="431">
        <v>171814</v>
      </c>
      <c r="V217" s="431">
        <v>56800</v>
      </c>
      <c r="W217" s="432">
        <v>487964</v>
      </c>
      <c r="Y217" s="433">
        <f t="shared" si="43"/>
        <v>-406389.30909090908</v>
      </c>
      <c r="Z217" s="433">
        <f t="shared" si="44"/>
        <v>0</v>
      </c>
      <c r="AC217" s="410">
        <f t="shared" si="45"/>
        <v>0</v>
      </c>
    </row>
    <row r="218" spans="1:29" s="427" customFormat="1" ht="17.25" hidden="1" customHeight="1">
      <c r="B218" s="417" t="str">
        <f>IF(A218&lt;&gt;0,COUNTA(A$19:$A218),"")</f>
        <v/>
      </c>
      <c r="C218" s="428" t="s">
        <v>1000</v>
      </c>
      <c r="D218" s="428"/>
      <c r="E218" s="435"/>
      <c r="F218" s="435"/>
      <c r="G218" s="419">
        <v>33</v>
      </c>
      <c r="H218" s="419"/>
      <c r="I218" s="419"/>
      <c r="J218" s="419"/>
      <c r="K218" s="420">
        <v>1</v>
      </c>
      <c r="L218" s="420">
        <f t="shared" si="38"/>
        <v>56800</v>
      </c>
      <c r="M218" s="420">
        <f t="shared" si="39"/>
        <v>570919</v>
      </c>
      <c r="N218" s="445">
        <f>SUMPRODUCT(G218:J218,$G$12:$J$12,$G$9:$J$9)</f>
        <v>536136.29999999993</v>
      </c>
      <c r="O218" s="719"/>
      <c r="P218" s="719">
        <f t="shared" si="46"/>
        <v>1272621.81</v>
      </c>
      <c r="Q218" s="423">
        <f>SUMIF('8.Dgia'!E:E,'9.may'!E218,'8.Dgia'!P:P)</f>
        <v>0</v>
      </c>
      <c r="R218" s="429">
        <f t="shared" si="40"/>
        <v>0</v>
      </c>
      <c r="S218" s="301">
        <f t="shared" si="41"/>
        <v>16472.000000000004</v>
      </c>
      <c r="T218" s="430">
        <f t="shared" si="42"/>
        <v>1123527.2999999998</v>
      </c>
      <c r="U218" s="431">
        <v>236244</v>
      </c>
      <c r="V218" s="431">
        <v>56800</v>
      </c>
      <c r="W218" s="432">
        <v>570919</v>
      </c>
      <c r="Y218" s="433">
        <f t="shared" si="43"/>
        <v>-552608.29999999981</v>
      </c>
      <c r="Z218" s="433">
        <f t="shared" si="44"/>
        <v>0</v>
      </c>
      <c r="AC218" s="410">
        <f t="shared" si="45"/>
        <v>0</v>
      </c>
    </row>
    <row r="219" spans="1:29" s="427" customFormat="1" ht="17.25" hidden="1" customHeight="1">
      <c r="B219" s="417" t="str">
        <f>IF(A219&lt;&gt;0,COUNTA(A$19:$A219),"")</f>
        <v/>
      </c>
      <c r="C219" s="418" t="s">
        <v>1001</v>
      </c>
      <c r="D219" s="418"/>
      <c r="E219" s="435"/>
      <c r="F219" s="435"/>
      <c r="G219" s="419"/>
      <c r="H219" s="419"/>
      <c r="I219" s="419"/>
      <c r="J219" s="419"/>
      <c r="K219" s="420"/>
      <c r="L219" s="420">
        <f t="shared" si="38"/>
        <v>0</v>
      </c>
      <c r="M219" s="420">
        <f t="shared" si="39"/>
        <v>0</v>
      </c>
      <c r="N219" s="445"/>
      <c r="O219" s="719"/>
      <c r="P219" s="719">
        <f t="shared" si="46"/>
        <v>0</v>
      </c>
      <c r="Q219" s="423">
        <f>SUMIF('8.Dgia'!E:E,'9.may'!E219,'8.Dgia'!P:P)</f>
        <v>0</v>
      </c>
      <c r="R219" s="429">
        <f t="shared" si="40"/>
        <v>0</v>
      </c>
      <c r="S219" s="301">
        <f t="shared" si="41"/>
        <v>0</v>
      </c>
      <c r="T219" s="430">
        <f t="shared" si="42"/>
        <v>0</v>
      </c>
      <c r="U219" s="436"/>
      <c r="V219" s="436"/>
      <c r="W219" s="432"/>
      <c r="Y219" s="433">
        <f t="shared" si="43"/>
        <v>0</v>
      </c>
      <c r="Z219" s="433">
        <f t="shared" si="44"/>
        <v>0</v>
      </c>
      <c r="AC219" s="410">
        <f t="shared" si="45"/>
        <v>0</v>
      </c>
    </row>
    <row r="220" spans="1:29" s="427" customFormat="1" ht="17.25" hidden="1" customHeight="1">
      <c r="B220" s="417" t="str">
        <f>IF(A220&lt;&gt;0,COUNTA(A$19:$A220),"")</f>
        <v/>
      </c>
      <c r="C220" s="428" t="s">
        <v>1002</v>
      </c>
      <c r="D220" s="428"/>
      <c r="E220" s="435"/>
      <c r="F220" s="435"/>
      <c r="G220" s="419">
        <v>21.375</v>
      </c>
      <c r="H220" s="419"/>
      <c r="I220" s="419"/>
      <c r="J220" s="419"/>
      <c r="K220" s="420">
        <v>1</v>
      </c>
      <c r="L220" s="420">
        <f t="shared" si="38"/>
        <v>94093</v>
      </c>
      <c r="M220" s="420">
        <f t="shared" si="39"/>
        <v>302692</v>
      </c>
      <c r="N220" s="445">
        <f t="shared" ref="N220:N233" si="47">SUMPRODUCT(G220:J220,$G$12:$J$12,$G$9:$J$9)</f>
        <v>347270.10340909089</v>
      </c>
      <c r="O220" s="719"/>
      <c r="P220" s="719">
        <f t="shared" si="46"/>
        <v>737742.78340909095</v>
      </c>
      <c r="Q220" s="423">
        <f>SUMIF('8.Dgia'!E:E,'9.may'!E220,'8.Dgia'!P:P)</f>
        <v>0</v>
      </c>
      <c r="R220" s="429">
        <f t="shared" si="40"/>
        <v>0</v>
      </c>
      <c r="S220" s="301">
        <f t="shared" si="41"/>
        <v>27286.970000000005</v>
      </c>
      <c r="T220" s="430">
        <f t="shared" si="42"/>
        <v>677249.07340909098</v>
      </c>
      <c r="U220" s="431">
        <v>153057</v>
      </c>
      <c r="V220" s="431">
        <v>94093</v>
      </c>
      <c r="W220" s="432">
        <v>302692</v>
      </c>
      <c r="Y220" s="433">
        <f t="shared" si="43"/>
        <v>-374557.07340909098</v>
      </c>
      <c r="Z220" s="433">
        <f t="shared" si="44"/>
        <v>0</v>
      </c>
      <c r="AC220" s="410">
        <f t="shared" si="45"/>
        <v>0</v>
      </c>
    </row>
    <row r="221" spans="1:29" s="427" customFormat="1" ht="17.25" hidden="1" customHeight="1">
      <c r="B221" s="417" t="str">
        <f>IF(A221&lt;&gt;0,COUNTA(A$19:$A221),"")</f>
        <v/>
      </c>
      <c r="C221" s="428" t="s">
        <v>1003</v>
      </c>
      <c r="D221" s="428"/>
      <c r="E221" s="435"/>
      <c r="F221" s="435"/>
      <c r="G221" s="419">
        <v>24.75</v>
      </c>
      <c r="H221" s="419"/>
      <c r="I221" s="419"/>
      <c r="J221" s="419"/>
      <c r="K221" s="420">
        <v>1</v>
      </c>
      <c r="L221" s="420">
        <f t="shared" si="38"/>
        <v>94093</v>
      </c>
      <c r="M221" s="420">
        <f t="shared" si="39"/>
        <v>329651</v>
      </c>
      <c r="N221" s="445">
        <f t="shared" si="47"/>
        <v>402102.22499999998</v>
      </c>
      <c r="O221" s="719"/>
      <c r="P221" s="719">
        <f t="shared" si="46"/>
        <v>827352.01500000001</v>
      </c>
      <c r="Q221" s="423">
        <f>SUMIF('8.Dgia'!E:E,'9.may'!E221,'8.Dgia'!P:P)</f>
        <v>0</v>
      </c>
      <c r="R221" s="429">
        <f t="shared" si="40"/>
        <v>0</v>
      </c>
      <c r="S221" s="301">
        <f t="shared" si="41"/>
        <v>27286.970000000005</v>
      </c>
      <c r="T221" s="430">
        <f t="shared" si="42"/>
        <v>759040.19500000007</v>
      </c>
      <c r="U221" s="431">
        <v>177183</v>
      </c>
      <c r="V221" s="431">
        <v>94093</v>
      </c>
      <c r="W221" s="432">
        <v>329651</v>
      </c>
      <c r="Y221" s="433">
        <f t="shared" si="43"/>
        <v>-429389.19500000007</v>
      </c>
      <c r="Z221" s="433">
        <f t="shared" si="44"/>
        <v>0</v>
      </c>
      <c r="AC221" s="410">
        <f t="shared" si="45"/>
        <v>0</v>
      </c>
    </row>
    <row r="222" spans="1:29" s="427" customFormat="1" ht="17.25" hidden="1" customHeight="1">
      <c r="B222" s="417" t="str">
        <f>IF(A222&lt;&gt;0,COUNTA(A$19:$A222),"")</f>
        <v/>
      </c>
      <c r="C222" s="428" t="s">
        <v>1004</v>
      </c>
      <c r="D222" s="428"/>
      <c r="E222" s="435"/>
      <c r="F222" s="435"/>
      <c r="G222" s="419">
        <v>25.875</v>
      </c>
      <c r="H222" s="419"/>
      <c r="I222" s="419"/>
      <c r="J222" s="419"/>
      <c r="K222" s="420">
        <v>1</v>
      </c>
      <c r="L222" s="420">
        <f t="shared" si="38"/>
        <v>100369</v>
      </c>
      <c r="M222" s="420">
        <f t="shared" si="39"/>
        <v>348296</v>
      </c>
      <c r="N222" s="445">
        <f t="shared" si="47"/>
        <v>420379.59886363632</v>
      </c>
      <c r="O222" s="719"/>
      <c r="P222" s="719">
        <f t="shared" si="46"/>
        <v>869681.43886363634</v>
      </c>
      <c r="Q222" s="423">
        <f>SUMIF('8.Dgia'!E:E,'9.may'!E222,'8.Dgia'!P:P)</f>
        <v>0</v>
      </c>
      <c r="R222" s="429">
        <f t="shared" si="40"/>
        <v>0</v>
      </c>
      <c r="S222" s="301">
        <f t="shared" si="41"/>
        <v>29107.010000000002</v>
      </c>
      <c r="T222" s="430">
        <f t="shared" si="42"/>
        <v>797782.60886363639</v>
      </c>
      <c r="U222" s="431">
        <v>185272</v>
      </c>
      <c r="V222" s="431">
        <v>100369</v>
      </c>
      <c r="W222" s="432">
        <v>348296</v>
      </c>
      <c r="Y222" s="433">
        <f t="shared" si="43"/>
        <v>-449486.60886363639</v>
      </c>
      <c r="Z222" s="433">
        <f t="shared" si="44"/>
        <v>0</v>
      </c>
      <c r="AC222" s="410">
        <f t="shared" si="45"/>
        <v>0</v>
      </c>
    </row>
    <row r="223" spans="1:29" s="427" customFormat="1" ht="17.25" hidden="1" customHeight="1">
      <c r="B223" s="417" t="str">
        <f>IF(A223&lt;&gt;0,COUNTA(A$19:$A223),"")</f>
        <v/>
      </c>
      <c r="C223" s="428" t="s">
        <v>997</v>
      </c>
      <c r="D223" s="428" t="s">
        <v>1005</v>
      </c>
      <c r="E223" s="435"/>
      <c r="F223" s="435"/>
      <c r="G223" s="419">
        <v>30.375</v>
      </c>
      <c r="H223" s="419"/>
      <c r="I223" s="419"/>
      <c r="J223" s="419"/>
      <c r="K223" s="420">
        <v>1</v>
      </c>
      <c r="L223" s="420">
        <f t="shared" si="38"/>
        <v>100369</v>
      </c>
      <c r="M223" s="420">
        <f t="shared" si="39"/>
        <v>408848</v>
      </c>
      <c r="N223" s="445">
        <f t="shared" si="47"/>
        <v>493489.09431818174</v>
      </c>
      <c r="O223" s="719"/>
      <c r="P223" s="719">
        <f t="shared" si="46"/>
        <v>1020903.0143181818</v>
      </c>
      <c r="Q223" s="423">
        <f>SUMIF('8.Dgia'!E:E,'9.may'!E223,'8.Dgia'!P:P)</f>
        <v>0</v>
      </c>
      <c r="R223" s="429">
        <f t="shared" si="40"/>
        <v>0</v>
      </c>
      <c r="S223" s="301">
        <f t="shared" si="41"/>
        <v>29107.010000000002</v>
      </c>
      <c r="T223" s="430">
        <f t="shared" si="42"/>
        <v>931444.10431818175</v>
      </c>
      <c r="U223" s="431">
        <v>217487</v>
      </c>
      <c r="V223" s="431">
        <v>100369</v>
      </c>
      <c r="W223" s="432">
        <v>408848</v>
      </c>
      <c r="Y223" s="433">
        <f t="shared" si="43"/>
        <v>-522596.10431818175</v>
      </c>
      <c r="Z223" s="433">
        <f t="shared" si="44"/>
        <v>0</v>
      </c>
      <c r="AC223" s="410">
        <f t="shared" si="45"/>
        <v>0</v>
      </c>
    </row>
    <row r="224" spans="1:29" s="427" customFormat="1" ht="17.25" customHeight="1">
      <c r="A224" s="410">
        <v>1</v>
      </c>
      <c r="B224" s="417">
        <f>IF(A224&lt;&gt;0,COUNTA(A$19:$A224),"")</f>
        <v>47</v>
      </c>
      <c r="C224" s="428" t="s">
        <v>1006</v>
      </c>
      <c r="D224" s="428" t="s">
        <v>1007</v>
      </c>
      <c r="E224" s="435" t="s">
        <v>1008</v>
      </c>
      <c r="F224" s="435" t="s">
        <v>4701</v>
      </c>
      <c r="G224" s="419">
        <v>32.625</v>
      </c>
      <c r="H224" s="419"/>
      <c r="I224" s="419"/>
      <c r="J224" s="419"/>
      <c r="K224" s="420">
        <v>1</v>
      </c>
      <c r="L224" s="420">
        <f t="shared" si="38"/>
        <v>100369</v>
      </c>
      <c r="M224" s="420">
        <f t="shared" si="39"/>
        <v>500044</v>
      </c>
      <c r="N224" s="445">
        <f t="shared" si="47"/>
        <v>530043.84204545442</v>
      </c>
      <c r="O224" s="719"/>
      <c r="P224" s="719">
        <f t="shared" si="46"/>
        <v>1175100.6020454546</v>
      </c>
      <c r="Q224" s="423">
        <f>SUMIF('8.Dgia'!E:E,'9.may'!E224,'8.Dgia'!P:P)</f>
        <v>0</v>
      </c>
      <c r="R224" s="429">
        <f t="shared" si="40"/>
        <v>0</v>
      </c>
      <c r="S224" s="301">
        <f t="shared" si="41"/>
        <v>29107.010000000002</v>
      </c>
      <c r="T224" s="430">
        <f t="shared" si="42"/>
        <v>1059194.8520454546</v>
      </c>
      <c r="U224" s="2053">
        <v>233595</v>
      </c>
      <c r="V224" s="2053">
        <v>100369</v>
      </c>
      <c r="W224" s="2054">
        <v>500044</v>
      </c>
      <c r="Y224" s="433">
        <f t="shared" si="43"/>
        <v>-559150.85204545455</v>
      </c>
      <c r="Z224" s="433">
        <f t="shared" si="44"/>
        <v>0</v>
      </c>
      <c r="AC224" s="410">
        <f t="shared" si="45"/>
        <v>0</v>
      </c>
    </row>
    <row r="225" spans="1:29" s="427" customFormat="1" ht="17.25" customHeight="1">
      <c r="A225" s="410">
        <v>1</v>
      </c>
      <c r="B225" s="417">
        <f>IF(A225&lt;&gt;0,COUNTA(A$19:$A225),"")</f>
        <v>48</v>
      </c>
      <c r="C225" s="428" t="s">
        <v>1009</v>
      </c>
      <c r="D225" s="428" t="s">
        <v>1010</v>
      </c>
      <c r="E225" s="435" t="s">
        <v>1011</v>
      </c>
      <c r="F225" s="435" t="s">
        <v>4702</v>
      </c>
      <c r="G225" s="419">
        <v>37</v>
      </c>
      <c r="H225" s="419"/>
      <c r="I225" s="419"/>
      <c r="J225" s="419"/>
      <c r="K225" s="420">
        <v>1</v>
      </c>
      <c r="L225" s="420">
        <f t="shared" si="38"/>
        <v>106306</v>
      </c>
      <c r="M225" s="420">
        <f t="shared" si="39"/>
        <v>861715</v>
      </c>
      <c r="N225" s="445">
        <f t="shared" si="47"/>
        <v>601122.51818181807</v>
      </c>
      <c r="O225" s="719"/>
      <c r="P225" s="719">
        <f t="shared" si="46"/>
        <v>1712734.8681818182</v>
      </c>
      <c r="Q225" s="423" t="e">
        <f>SUMIF('8.Dgia'!E:E,'9.may'!E225,'8.Dgia'!P:P)</f>
        <v>#REF!</v>
      </c>
      <c r="R225" s="429" t="e">
        <f t="shared" si="40"/>
        <v>#REF!</v>
      </c>
      <c r="S225" s="301">
        <f t="shared" si="41"/>
        <v>30828.740000000005</v>
      </c>
      <c r="T225" s="430">
        <f t="shared" si="42"/>
        <v>1493666.2581818181</v>
      </c>
      <c r="U225" s="2053">
        <v>264879</v>
      </c>
      <c r="V225" s="2053">
        <v>106306</v>
      </c>
      <c r="W225" s="2054">
        <v>861715</v>
      </c>
      <c r="Y225" s="433">
        <f t="shared" si="43"/>
        <v>-631951.25818181806</v>
      </c>
      <c r="Z225" s="433">
        <f t="shared" si="44"/>
        <v>0</v>
      </c>
      <c r="AC225" s="410" t="e">
        <f t="shared" si="45"/>
        <v>#REF!</v>
      </c>
    </row>
    <row r="226" spans="1:29" s="427" customFormat="1" ht="17.25" customHeight="1">
      <c r="A226" s="410">
        <v>1</v>
      </c>
      <c r="B226" s="417">
        <f>IF(A226&lt;&gt;0,COUNTA(A$19:$A226),"")</f>
        <v>49</v>
      </c>
      <c r="C226" s="428" t="s">
        <v>1012</v>
      </c>
      <c r="D226" s="428" t="s">
        <v>1013</v>
      </c>
      <c r="E226" s="435" t="s">
        <v>1014</v>
      </c>
      <c r="F226" s="435" t="s">
        <v>4703</v>
      </c>
      <c r="G226" s="419">
        <v>43</v>
      </c>
      <c r="H226" s="419"/>
      <c r="I226" s="419"/>
      <c r="J226" s="419"/>
      <c r="K226" s="420">
        <v>1</v>
      </c>
      <c r="L226" s="420">
        <f t="shared" si="38"/>
        <v>106306</v>
      </c>
      <c r="M226" s="420">
        <f t="shared" si="39"/>
        <v>1152795</v>
      </c>
      <c r="N226" s="445">
        <f t="shared" si="47"/>
        <v>698601.84545454534</v>
      </c>
      <c r="O226" s="719"/>
      <c r="P226" s="719">
        <f t="shared" si="46"/>
        <v>2185707.3954545455</v>
      </c>
      <c r="Q226" s="423">
        <f>SUMIF('8.Dgia'!E:E,'9.may'!E226,'8.Dgia'!P:P)</f>
        <v>0</v>
      </c>
      <c r="R226" s="429">
        <f t="shared" si="40"/>
        <v>0</v>
      </c>
      <c r="S226" s="301">
        <f t="shared" si="41"/>
        <v>30828.740000000005</v>
      </c>
      <c r="T226" s="430">
        <f t="shared" si="42"/>
        <v>1882225.5854545454</v>
      </c>
      <c r="U226" s="2053">
        <v>307833</v>
      </c>
      <c r="V226" s="2053">
        <v>106306</v>
      </c>
      <c r="W226" s="2054">
        <v>1152795</v>
      </c>
      <c r="Y226" s="433">
        <f t="shared" si="43"/>
        <v>-729430.58545454545</v>
      </c>
      <c r="Z226" s="433">
        <f t="shared" si="44"/>
        <v>0</v>
      </c>
      <c r="AC226" s="410">
        <f t="shared" si="45"/>
        <v>0</v>
      </c>
    </row>
    <row r="227" spans="1:29" s="427" customFormat="1" ht="17.25" hidden="1" customHeight="1">
      <c r="B227" s="417" t="str">
        <f>IF(A227&lt;&gt;0,COUNTA(A$19:$A227),"")</f>
        <v/>
      </c>
      <c r="C227" s="428" t="s">
        <v>1015</v>
      </c>
      <c r="D227" s="428"/>
      <c r="E227" s="435"/>
      <c r="F227" s="435" t="s">
        <v>4704</v>
      </c>
      <c r="G227" s="419">
        <v>44</v>
      </c>
      <c r="H227" s="419"/>
      <c r="I227" s="419"/>
      <c r="J227" s="419"/>
      <c r="K227" s="420">
        <v>1</v>
      </c>
      <c r="L227" s="420">
        <f t="shared" si="38"/>
        <v>112242</v>
      </c>
      <c r="M227" s="420">
        <f t="shared" si="39"/>
        <v>1347537</v>
      </c>
      <c r="N227" s="445">
        <f t="shared" si="47"/>
        <v>714848.39999999991</v>
      </c>
      <c r="O227" s="719"/>
      <c r="P227" s="719">
        <f t="shared" si="46"/>
        <v>2453171.13</v>
      </c>
      <c r="Q227" s="423">
        <f>SUMIF('8.Dgia'!E:E,'9.may'!E227,'8.Dgia'!P:P)</f>
        <v>0</v>
      </c>
      <c r="R227" s="429">
        <f t="shared" si="40"/>
        <v>0</v>
      </c>
      <c r="S227" s="301">
        <f t="shared" si="41"/>
        <v>32550.180000000004</v>
      </c>
      <c r="T227" s="430">
        <f t="shared" si="42"/>
        <v>2094935.58</v>
      </c>
      <c r="U227" s="431">
        <v>314992</v>
      </c>
      <c r="V227" s="431">
        <v>112242</v>
      </c>
      <c r="W227" s="432">
        <v>1347537</v>
      </c>
      <c r="Y227" s="433">
        <f t="shared" si="43"/>
        <v>-747398.58000000007</v>
      </c>
      <c r="Z227" s="433">
        <f t="shared" si="44"/>
        <v>0</v>
      </c>
      <c r="AC227" s="410">
        <f t="shared" si="45"/>
        <v>0</v>
      </c>
    </row>
    <row r="228" spans="1:29" s="427" customFormat="1" ht="17.25" customHeight="1">
      <c r="A228" s="410">
        <v>1</v>
      </c>
      <c r="B228" s="417">
        <f>IF(A228&lt;&gt;0,COUNTA(A$19:$A228),"")</f>
        <v>50</v>
      </c>
      <c r="C228" s="428" t="s">
        <v>1016</v>
      </c>
      <c r="D228" s="428" t="s">
        <v>1017</v>
      </c>
      <c r="E228" s="435" t="s">
        <v>1018</v>
      </c>
      <c r="F228" s="435" t="s">
        <v>4705</v>
      </c>
      <c r="G228" s="419">
        <v>50</v>
      </c>
      <c r="H228" s="419"/>
      <c r="I228" s="419"/>
      <c r="J228" s="419"/>
      <c r="K228" s="420">
        <v>1</v>
      </c>
      <c r="L228" s="420">
        <f t="shared" si="38"/>
        <v>112242</v>
      </c>
      <c r="M228" s="420">
        <f t="shared" si="39"/>
        <v>1607712</v>
      </c>
      <c r="N228" s="445">
        <f t="shared" si="47"/>
        <v>812327.72727272706</v>
      </c>
      <c r="O228" s="719"/>
      <c r="P228" s="719">
        <f t="shared" si="46"/>
        <v>2886276.207272727</v>
      </c>
      <c r="Q228" s="423" t="e">
        <f>SUMIF('8.Dgia'!E:E,'9.may'!E228,'8.Dgia'!P:P)</f>
        <v>#REF!</v>
      </c>
      <c r="R228" s="429" t="e">
        <f t="shared" si="40"/>
        <v>#REF!</v>
      </c>
      <c r="S228" s="301">
        <f t="shared" si="41"/>
        <v>32550.180000000004</v>
      </c>
      <c r="T228" s="430">
        <f t="shared" si="42"/>
        <v>2452589.9072727272</v>
      </c>
      <c r="U228" s="2053">
        <v>357945</v>
      </c>
      <c r="V228" s="2053">
        <v>112242</v>
      </c>
      <c r="W228" s="2054">
        <v>1607712</v>
      </c>
      <c r="Y228" s="433">
        <f t="shared" si="43"/>
        <v>-844877.90727272723</v>
      </c>
      <c r="Z228" s="433">
        <f t="shared" si="44"/>
        <v>0</v>
      </c>
      <c r="AC228" s="410" t="e">
        <f t="shared" si="45"/>
        <v>#REF!</v>
      </c>
    </row>
    <row r="229" spans="1:29" s="427" customFormat="1" ht="17.25" customHeight="1">
      <c r="A229" s="410">
        <v>1</v>
      </c>
      <c r="B229" s="417">
        <f>IF(A229&lt;&gt;0,COUNTA(A$19:$A229),"")</f>
        <v>51</v>
      </c>
      <c r="C229" s="428" t="s">
        <v>1019</v>
      </c>
      <c r="D229" s="428" t="s">
        <v>1020</v>
      </c>
      <c r="E229" s="435" t="s">
        <v>1021</v>
      </c>
      <c r="F229" s="435" t="s">
        <v>4706</v>
      </c>
      <c r="G229" s="419">
        <v>54</v>
      </c>
      <c r="H229" s="419"/>
      <c r="I229" s="419"/>
      <c r="J229" s="419"/>
      <c r="K229" s="420">
        <v>1</v>
      </c>
      <c r="L229" s="420">
        <f t="shared" si="38"/>
        <v>125811</v>
      </c>
      <c r="M229" s="420">
        <f t="shared" si="39"/>
        <v>1797235</v>
      </c>
      <c r="N229" s="445">
        <f t="shared" si="47"/>
        <v>877313.94545454544</v>
      </c>
      <c r="O229" s="719"/>
      <c r="P229" s="719">
        <f t="shared" si="46"/>
        <v>3195747.0954545452</v>
      </c>
      <c r="Q229" s="423">
        <f>SUMIF('8.Dgia'!E:E,'9.may'!E229,'8.Dgia'!P:P)</f>
        <v>0</v>
      </c>
      <c r="R229" s="429">
        <f t="shared" si="40"/>
        <v>0</v>
      </c>
      <c r="S229" s="301">
        <f t="shared" si="41"/>
        <v>36485.19</v>
      </c>
      <c r="T229" s="430">
        <f t="shared" si="42"/>
        <v>2711034.1354545457</v>
      </c>
      <c r="U229" s="2053">
        <v>386581</v>
      </c>
      <c r="V229" s="2053">
        <v>125811</v>
      </c>
      <c r="W229" s="2054">
        <v>1797235</v>
      </c>
      <c r="Y229" s="433">
        <f t="shared" si="43"/>
        <v>-913799.13545454573</v>
      </c>
      <c r="Z229" s="433">
        <f t="shared" si="44"/>
        <v>0</v>
      </c>
      <c r="AC229" s="410">
        <f t="shared" si="45"/>
        <v>0</v>
      </c>
    </row>
    <row r="230" spans="1:29" s="427" customFormat="1" ht="17.25" hidden="1" customHeight="1">
      <c r="B230" s="417" t="str">
        <f>IF(A230&lt;&gt;0,COUNTA(A$19:$A230),"")</f>
        <v/>
      </c>
      <c r="C230" s="428" t="s">
        <v>1022</v>
      </c>
      <c r="D230" s="428"/>
      <c r="E230" s="435"/>
      <c r="F230" s="435"/>
      <c r="G230" s="419">
        <v>60</v>
      </c>
      <c r="H230" s="419"/>
      <c r="I230" s="419"/>
      <c r="J230" s="419"/>
      <c r="K230" s="420">
        <v>1</v>
      </c>
      <c r="L230" s="420">
        <f t="shared" si="38"/>
        <v>125811</v>
      </c>
      <c r="M230" s="420">
        <f t="shared" si="39"/>
        <v>2037857</v>
      </c>
      <c r="N230" s="445">
        <f t="shared" si="47"/>
        <v>974793.27272727259</v>
      </c>
      <c r="O230" s="719"/>
      <c r="P230" s="719">
        <f t="shared" si="46"/>
        <v>3603628.8027272727</v>
      </c>
      <c r="Q230" s="423">
        <f>SUMIF('8.Dgia'!E:E,'9.may'!E230,'8.Dgia'!P:P)</f>
        <v>0</v>
      </c>
      <c r="R230" s="429">
        <f t="shared" si="40"/>
        <v>0</v>
      </c>
      <c r="S230" s="301">
        <f t="shared" si="41"/>
        <v>36485.19</v>
      </c>
      <c r="T230" s="430">
        <f t="shared" si="42"/>
        <v>3049135.4627272729</v>
      </c>
      <c r="U230" s="431">
        <v>429534</v>
      </c>
      <c r="V230" s="431">
        <v>125811</v>
      </c>
      <c r="W230" s="432">
        <v>2037857</v>
      </c>
      <c r="Y230" s="433">
        <f t="shared" si="43"/>
        <v>-1011278.4627272729</v>
      </c>
      <c r="Z230" s="433">
        <f t="shared" si="44"/>
        <v>0</v>
      </c>
      <c r="AC230" s="410">
        <f t="shared" si="45"/>
        <v>0</v>
      </c>
    </row>
    <row r="231" spans="1:29" s="427" customFormat="1" ht="17.25" hidden="1" customHeight="1">
      <c r="B231" s="417" t="str">
        <f>IF(A231&lt;&gt;0,COUNTA(A$19:$A231),"")</f>
        <v/>
      </c>
      <c r="C231" s="428" t="s">
        <v>1023</v>
      </c>
      <c r="D231" s="428"/>
      <c r="E231" s="435"/>
      <c r="F231" s="435"/>
      <c r="G231" s="419">
        <v>64</v>
      </c>
      <c r="H231" s="419"/>
      <c r="I231" s="419"/>
      <c r="J231" s="419"/>
      <c r="K231" s="420">
        <v>1</v>
      </c>
      <c r="L231" s="420">
        <f t="shared" si="38"/>
        <v>134122</v>
      </c>
      <c r="M231" s="420">
        <f t="shared" si="39"/>
        <v>2275634</v>
      </c>
      <c r="N231" s="445">
        <f t="shared" si="47"/>
        <v>1039779.4909090907</v>
      </c>
      <c r="O231" s="719"/>
      <c r="P231" s="719">
        <f t="shared" si="46"/>
        <v>3975347.3509090906</v>
      </c>
      <c r="Q231" s="423">
        <f>SUMIF('8.Dgia'!E:E,'9.may'!E231,'8.Dgia'!P:P)</f>
        <v>0</v>
      </c>
      <c r="R231" s="429">
        <f t="shared" si="40"/>
        <v>0</v>
      </c>
      <c r="S231" s="301">
        <f t="shared" si="41"/>
        <v>38895.380000000005</v>
      </c>
      <c r="T231" s="430">
        <f t="shared" si="42"/>
        <v>3354308.8709090906</v>
      </c>
      <c r="U231" s="431">
        <v>458170</v>
      </c>
      <c r="V231" s="431">
        <v>134122</v>
      </c>
      <c r="W231" s="432">
        <v>2275634</v>
      </c>
      <c r="Y231" s="433">
        <f t="shared" si="43"/>
        <v>-1078674.8709090906</v>
      </c>
      <c r="Z231" s="433">
        <f t="shared" si="44"/>
        <v>0</v>
      </c>
      <c r="AC231" s="410">
        <f t="shared" si="45"/>
        <v>0</v>
      </c>
    </row>
    <row r="232" spans="1:29" s="427" customFormat="1" ht="17.25" hidden="1" customHeight="1">
      <c r="B232" s="417" t="str">
        <f>IF(A232&lt;&gt;0,COUNTA(A$19:$A232),"")</f>
        <v/>
      </c>
      <c r="C232" s="428" t="s">
        <v>1024</v>
      </c>
      <c r="D232" s="428"/>
      <c r="E232" s="435"/>
      <c r="F232" s="435"/>
      <c r="G232" s="419">
        <v>66</v>
      </c>
      <c r="H232" s="419"/>
      <c r="I232" s="419"/>
      <c r="J232" s="419"/>
      <c r="K232" s="420">
        <v>1</v>
      </c>
      <c r="L232" s="420">
        <f t="shared" si="38"/>
        <v>134122</v>
      </c>
      <c r="M232" s="420">
        <f t="shared" si="39"/>
        <v>2563023</v>
      </c>
      <c r="N232" s="445">
        <f t="shared" si="47"/>
        <v>1072272.5999999999</v>
      </c>
      <c r="O232" s="719"/>
      <c r="P232" s="719">
        <f t="shared" si="46"/>
        <v>4378572.2699999996</v>
      </c>
      <c r="Q232" s="423">
        <f>SUMIF('8.Dgia'!E:E,'9.may'!E232,'8.Dgia'!P:P)</f>
        <v>0</v>
      </c>
      <c r="R232" s="429">
        <f t="shared" si="40"/>
        <v>0</v>
      </c>
      <c r="S232" s="301">
        <f t="shared" si="41"/>
        <v>38895.380000000005</v>
      </c>
      <c r="T232" s="430">
        <f t="shared" si="42"/>
        <v>3674190.98</v>
      </c>
      <c r="U232" s="431">
        <v>472487</v>
      </c>
      <c r="V232" s="431">
        <v>134122</v>
      </c>
      <c r="W232" s="432">
        <v>2563023</v>
      </c>
      <c r="Y232" s="433">
        <f t="shared" si="43"/>
        <v>-1111167.98</v>
      </c>
      <c r="Z232" s="433">
        <f t="shared" si="44"/>
        <v>0</v>
      </c>
      <c r="AC232" s="410">
        <f t="shared" si="45"/>
        <v>0</v>
      </c>
    </row>
    <row r="233" spans="1:29" s="427" customFormat="1" ht="17.25" customHeight="1">
      <c r="A233" s="410">
        <v>1</v>
      </c>
      <c r="B233" s="417">
        <f>IF(A233&lt;&gt;0,COUNTA(A$19:$A233),"")</f>
        <v>52</v>
      </c>
      <c r="C233" s="428" t="s">
        <v>1025</v>
      </c>
      <c r="D233" s="428" t="s">
        <v>1026</v>
      </c>
      <c r="E233" s="435" t="s">
        <v>1027</v>
      </c>
      <c r="F233" s="435" t="s">
        <v>4707</v>
      </c>
      <c r="G233" s="419">
        <v>70</v>
      </c>
      <c r="H233" s="419"/>
      <c r="I233" s="419"/>
      <c r="J233" s="419"/>
      <c r="K233" s="420">
        <v>1</v>
      </c>
      <c r="L233" s="420">
        <f t="shared" si="38"/>
        <v>134122</v>
      </c>
      <c r="M233" s="420">
        <f t="shared" si="39"/>
        <v>2995347</v>
      </c>
      <c r="N233" s="445">
        <f t="shared" si="47"/>
        <v>1137258.8181818181</v>
      </c>
      <c r="O233" s="719"/>
      <c r="P233" s="719">
        <f t="shared" si="46"/>
        <v>5001256.4481818182</v>
      </c>
      <c r="Q233" s="423">
        <f>SUMIF('8.Dgia'!E:E,'9.may'!E233,'8.Dgia'!P:P)</f>
        <v>0</v>
      </c>
      <c r="R233" s="429">
        <f t="shared" si="40"/>
        <v>0</v>
      </c>
      <c r="S233" s="301">
        <f t="shared" si="41"/>
        <v>38895.380000000005</v>
      </c>
      <c r="T233" s="430">
        <f t="shared" si="42"/>
        <v>4171501.1981818182</v>
      </c>
      <c r="U233" s="2053">
        <v>501123</v>
      </c>
      <c r="V233" s="2053">
        <v>134122</v>
      </c>
      <c r="W233" s="2054">
        <v>2995347</v>
      </c>
      <c r="Y233" s="433">
        <f t="shared" si="43"/>
        <v>-1176154.1981818182</v>
      </c>
      <c r="Z233" s="433">
        <f t="shared" si="44"/>
        <v>0</v>
      </c>
      <c r="AC233" s="410">
        <f t="shared" si="45"/>
        <v>0</v>
      </c>
    </row>
    <row r="234" spans="1:29" s="427" customFormat="1" ht="17.25" hidden="1" customHeight="1">
      <c r="B234" s="417" t="str">
        <f>IF(A234&lt;&gt;0,COUNTA(A$19:$A234),"")</f>
        <v/>
      </c>
      <c r="C234" s="418" t="s">
        <v>1028</v>
      </c>
      <c r="D234" s="418"/>
      <c r="E234" s="435"/>
      <c r="F234" s="435"/>
      <c r="G234" s="419"/>
      <c r="H234" s="419"/>
      <c r="I234" s="419"/>
      <c r="J234" s="419"/>
      <c r="K234" s="437"/>
      <c r="L234" s="420">
        <f t="shared" si="38"/>
        <v>0</v>
      </c>
      <c r="M234" s="420">
        <f t="shared" si="39"/>
        <v>0</v>
      </c>
      <c r="N234" s="445"/>
      <c r="O234" s="719"/>
      <c r="P234" s="719">
        <f t="shared" si="46"/>
        <v>0</v>
      </c>
      <c r="Q234" s="423">
        <f>SUMIF('8.Dgia'!E:E,'9.may'!E234,'8.Dgia'!P:P)</f>
        <v>0</v>
      </c>
      <c r="R234" s="429">
        <f t="shared" si="40"/>
        <v>0</v>
      </c>
      <c r="S234" s="301">
        <f t="shared" si="41"/>
        <v>0</v>
      </c>
      <c r="T234" s="430">
        <f t="shared" si="42"/>
        <v>0</v>
      </c>
      <c r="U234" s="436"/>
      <c r="V234" s="436"/>
      <c r="W234" s="432"/>
      <c r="Y234" s="433">
        <f t="shared" si="43"/>
        <v>0</v>
      </c>
      <c r="Z234" s="433">
        <f t="shared" si="44"/>
        <v>0</v>
      </c>
      <c r="AC234" s="410">
        <f t="shared" si="45"/>
        <v>0</v>
      </c>
    </row>
    <row r="235" spans="1:29" s="427" customFormat="1" ht="17.25" customHeight="1">
      <c r="A235" s="410">
        <v>1</v>
      </c>
      <c r="B235" s="417">
        <f>IF(A235&lt;&gt;0,COUNTA(A$19:$A235),"")</f>
        <v>53</v>
      </c>
      <c r="C235" s="428" t="s">
        <v>1012</v>
      </c>
      <c r="D235" s="428" t="s">
        <v>1029</v>
      </c>
      <c r="E235" s="435" t="s">
        <v>286</v>
      </c>
      <c r="F235" s="435" t="s">
        <v>4408</v>
      </c>
      <c r="G235" s="419">
        <v>33</v>
      </c>
      <c r="H235" s="419"/>
      <c r="I235" s="419"/>
      <c r="J235" s="419"/>
      <c r="K235" s="420">
        <v>1</v>
      </c>
      <c r="L235" s="420">
        <f t="shared" si="38"/>
        <v>98673</v>
      </c>
      <c r="M235" s="420">
        <f t="shared" si="39"/>
        <v>1152795</v>
      </c>
      <c r="N235" s="445">
        <f t="shared" ref="N235:N242" si="48">SUMPRODUCT(G235:J235,$G$12:$J$12,$G$9:$J$9)</f>
        <v>536136.29999999993</v>
      </c>
      <c r="O235" s="719"/>
      <c r="P235" s="719">
        <f t="shared" si="46"/>
        <v>2023241.85</v>
      </c>
      <c r="Q235" s="423" t="e">
        <f>SUMIF('8.Dgia'!E:E,'9.may'!E235,'8.Dgia'!P:P)</f>
        <v>#REF!</v>
      </c>
      <c r="R235" s="429" t="e">
        <f t="shared" si="40"/>
        <v>#REF!</v>
      </c>
      <c r="S235" s="301">
        <f t="shared" si="41"/>
        <v>28615.170000000002</v>
      </c>
      <c r="T235" s="430">
        <f t="shared" si="42"/>
        <v>1717546.47</v>
      </c>
      <c r="U235" s="2053">
        <v>236244</v>
      </c>
      <c r="V235" s="2053">
        <v>98673</v>
      </c>
      <c r="W235" s="2054">
        <v>1152795</v>
      </c>
      <c r="Y235" s="433">
        <f t="shared" si="43"/>
        <v>-564751.47</v>
      </c>
      <c r="Z235" s="433">
        <f t="shared" si="44"/>
        <v>0</v>
      </c>
      <c r="AC235" s="410" t="e">
        <f t="shared" si="45"/>
        <v>#REF!</v>
      </c>
    </row>
    <row r="236" spans="1:29" s="427" customFormat="1" ht="17.25" customHeight="1">
      <c r="A236" s="410">
        <v>1</v>
      </c>
      <c r="B236" s="417">
        <f>IF(A236&lt;&gt;0,COUNTA(A$19:$A236),"")</f>
        <v>54</v>
      </c>
      <c r="C236" s="428" t="s">
        <v>1016</v>
      </c>
      <c r="D236" s="428" t="s">
        <v>1030</v>
      </c>
      <c r="E236" s="435" t="s">
        <v>630</v>
      </c>
      <c r="F236" s="435" t="s">
        <v>4708</v>
      </c>
      <c r="G236" s="419">
        <v>36</v>
      </c>
      <c r="H236" s="419"/>
      <c r="I236" s="419"/>
      <c r="J236" s="419"/>
      <c r="K236" s="420">
        <v>1</v>
      </c>
      <c r="L236" s="420">
        <f t="shared" si="38"/>
        <v>114786</v>
      </c>
      <c r="M236" s="420">
        <f t="shared" si="39"/>
        <v>1607712</v>
      </c>
      <c r="N236" s="445">
        <f t="shared" si="48"/>
        <v>584875.96363636351</v>
      </c>
      <c r="O236" s="719"/>
      <c r="P236" s="719">
        <f t="shared" si="46"/>
        <v>2658824.4436363634</v>
      </c>
      <c r="Q236" s="423" t="e">
        <f>SUMIF('8.Dgia'!E:E,'9.may'!E236,'8.Dgia'!P:P)</f>
        <v>#REF!</v>
      </c>
      <c r="R236" s="429" t="e">
        <f t="shared" si="40"/>
        <v>#REF!</v>
      </c>
      <c r="S236" s="301">
        <f t="shared" si="41"/>
        <v>33287.94</v>
      </c>
      <c r="T236" s="430">
        <f t="shared" si="42"/>
        <v>2225875.9036363633</v>
      </c>
      <c r="U236" s="2053">
        <v>257720</v>
      </c>
      <c r="V236" s="2053">
        <v>114786</v>
      </c>
      <c r="W236" s="2054">
        <v>1607712</v>
      </c>
      <c r="Y236" s="433">
        <f t="shared" si="43"/>
        <v>-618163.90363636333</v>
      </c>
      <c r="Z236" s="433">
        <f t="shared" si="44"/>
        <v>0</v>
      </c>
      <c r="AC236" s="410" t="e">
        <f t="shared" si="45"/>
        <v>#REF!</v>
      </c>
    </row>
    <row r="237" spans="1:29" s="427" customFormat="1" ht="17.25" customHeight="1">
      <c r="A237" s="410">
        <v>1</v>
      </c>
      <c r="B237" s="417">
        <f>IF(A237&lt;&gt;0,COUNTA(A$19:$A237),"")</f>
        <v>55</v>
      </c>
      <c r="C237" s="428" t="s">
        <v>1023</v>
      </c>
      <c r="D237" s="428"/>
      <c r="E237" s="435" t="s">
        <v>5516</v>
      </c>
      <c r="F237" s="435" t="s">
        <v>5530</v>
      </c>
      <c r="G237" s="419">
        <v>49.5</v>
      </c>
      <c r="H237" s="419"/>
      <c r="I237" s="419"/>
      <c r="J237" s="419"/>
      <c r="K237" s="420">
        <v>1</v>
      </c>
      <c r="L237" s="420">
        <f t="shared" si="38"/>
        <v>114786</v>
      </c>
      <c r="M237" s="420">
        <f t="shared" si="39"/>
        <v>2275634</v>
      </c>
      <c r="N237" s="445">
        <f t="shared" si="48"/>
        <v>804204.45</v>
      </c>
      <c r="O237" s="719"/>
      <c r="P237" s="719">
        <f t="shared" si="46"/>
        <v>3739772.3099999996</v>
      </c>
      <c r="Q237" s="423">
        <f>SUMIF('8.Dgia'!E:E,'9.may'!E237,'8.Dgia'!P:P)</f>
        <v>0</v>
      </c>
      <c r="R237" s="429">
        <f t="shared" si="40"/>
        <v>0</v>
      </c>
      <c r="S237" s="301">
        <f t="shared" si="41"/>
        <v>33287.94</v>
      </c>
      <c r="T237" s="430">
        <f t="shared" si="42"/>
        <v>3113126.3899999997</v>
      </c>
      <c r="U237" s="2053">
        <v>354366</v>
      </c>
      <c r="V237" s="2053">
        <v>114786</v>
      </c>
      <c r="W237" s="2054">
        <v>2275634</v>
      </c>
      <c r="Y237" s="433">
        <f t="shared" si="43"/>
        <v>-837492.38999999966</v>
      </c>
      <c r="Z237" s="433">
        <f t="shared" si="44"/>
        <v>0</v>
      </c>
      <c r="AC237" s="410">
        <f t="shared" si="45"/>
        <v>0</v>
      </c>
    </row>
    <row r="238" spans="1:29" s="427" customFormat="1" ht="17.25" hidden="1" customHeight="1">
      <c r="B238" s="417" t="str">
        <f>IF(A238&lt;&gt;0,COUNTA(A$19:$A238),"")</f>
        <v/>
      </c>
      <c r="C238" s="428" t="s">
        <v>1031</v>
      </c>
      <c r="D238" s="428"/>
      <c r="E238" s="435"/>
      <c r="F238" s="435"/>
      <c r="G238" s="419">
        <v>60.5</v>
      </c>
      <c r="H238" s="419"/>
      <c r="I238" s="419"/>
      <c r="J238" s="419"/>
      <c r="K238" s="420">
        <v>1</v>
      </c>
      <c r="L238" s="420">
        <f t="shared" si="38"/>
        <v>114786</v>
      </c>
      <c r="M238" s="420">
        <f t="shared" si="39"/>
        <v>2908858</v>
      </c>
      <c r="N238" s="445">
        <f t="shared" si="48"/>
        <v>982916.54999999993</v>
      </c>
      <c r="O238" s="719"/>
      <c r="P238" s="719">
        <f t="shared" si="46"/>
        <v>4735343.37</v>
      </c>
      <c r="Q238" s="423">
        <f>SUMIF('8.Dgia'!E:E,'9.may'!E238,'8.Dgia'!P:P)</f>
        <v>0</v>
      </c>
      <c r="R238" s="429">
        <f t="shared" si="40"/>
        <v>0</v>
      </c>
      <c r="S238" s="301">
        <f t="shared" si="41"/>
        <v>33287.94</v>
      </c>
      <c r="T238" s="430">
        <f t="shared" si="42"/>
        <v>3925062.49</v>
      </c>
      <c r="U238" s="431">
        <v>433113</v>
      </c>
      <c r="V238" s="431">
        <v>114786</v>
      </c>
      <c r="W238" s="432">
        <v>2908858</v>
      </c>
      <c r="Y238" s="433">
        <f t="shared" si="43"/>
        <v>-1016204.4900000002</v>
      </c>
      <c r="Z238" s="433">
        <f t="shared" si="44"/>
        <v>0</v>
      </c>
      <c r="AC238" s="410">
        <f t="shared" si="45"/>
        <v>0</v>
      </c>
    </row>
    <row r="239" spans="1:29" s="427" customFormat="1" ht="17.25" hidden="1" customHeight="1">
      <c r="B239" s="417" t="str">
        <f>IF(A239&lt;&gt;0,COUNTA(A$19:$A239),"")</f>
        <v/>
      </c>
      <c r="C239" s="428" t="s">
        <v>1032</v>
      </c>
      <c r="D239" s="428"/>
      <c r="E239" s="435"/>
      <c r="F239" s="435"/>
      <c r="G239" s="419">
        <v>68.75</v>
      </c>
      <c r="H239" s="419"/>
      <c r="I239" s="419"/>
      <c r="J239" s="419"/>
      <c r="K239" s="420">
        <v>1</v>
      </c>
      <c r="L239" s="420">
        <f t="shared" si="38"/>
        <v>125981</v>
      </c>
      <c r="M239" s="420">
        <f t="shared" si="39"/>
        <v>3531818</v>
      </c>
      <c r="N239" s="445">
        <f t="shared" si="48"/>
        <v>1116950.6249999998</v>
      </c>
      <c r="O239" s="719"/>
      <c r="P239" s="719">
        <f t="shared" si="46"/>
        <v>5672995.8449999997</v>
      </c>
      <c r="Q239" s="423">
        <f>SUMIF('8.Dgia'!E:E,'9.may'!E239,'8.Dgia'!P:P)</f>
        <v>0</v>
      </c>
      <c r="R239" s="429">
        <f t="shared" si="40"/>
        <v>0</v>
      </c>
      <c r="S239" s="301">
        <f t="shared" si="41"/>
        <v>36534.490000000005</v>
      </c>
      <c r="T239" s="430">
        <f t="shared" si="42"/>
        <v>4685303.1150000002</v>
      </c>
      <c r="U239" s="431">
        <v>492174</v>
      </c>
      <c r="V239" s="431">
        <v>125981</v>
      </c>
      <c r="W239" s="432">
        <v>3531818</v>
      </c>
      <c r="Y239" s="433">
        <f t="shared" si="43"/>
        <v>-1153485.1150000002</v>
      </c>
      <c r="Z239" s="433">
        <f t="shared" si="44"/>
        <v>0</v>
      </c>
      <c r="AC239" s="410">
        <f t="shared" si="45"/>
        <v>0</v>
      </c>
    </row>
    <row r="240" spans="1:29" s="427" customFormat="1" ht="17.25" hidden="1" customHeight="1">
      <c r="B240" s="417" t="str">
        <f>IF(A240&lt;&gt;0,COUNTA(A$19:$A240),"")</f>
        <v/>
      </c>
      <c r="C240" s="428" t="s">
        <v>1033</v>
      </c>
      <c r="D240" s="428"/>
      <c r="E240" s="435"/>
      <c r="F240" s="435"/>
      <c r="G240" s="419">
        <v>74.25</v>
      </c>
      <c r="H240" s="419"/>
      <c r="I240" s="419"/>
      <c r="J240" s="419"/>
      <c r="K240" s="420">
        <v>1</v>
      </c>
      <c r="L240" s="420">
        <f t="shared" si="38"/>
        <v>174639</v>
      </c>
      <c r="M240" s="420">
        <f t="shared" si="39"/>
        <v>4196433</v>
      </c>
      <c r="N240" s="445">
        <f t="shared" si="48"/>
        <v>1206306.6749999998</v>
      </c>
      <c r="O240" s="719"/>
      <c r="P240" s="719">
        <f t="shared" si="46"/>
        <v>6619705.2450000001</v>
      </c>
      <c r="Q240" s="423">
        <f>SUMIF('8.Dgia'!E:E,'9.may'!E240,'8.Dgia'!P:P)</f>
        <v>0</v>
      </c>
      <c r="R240" s="429">
        <f t="shared" si="40"/>
        <v>0</v>
      </c>
      <c r="S240" s="301">
        <f t="shared" si="41"/>
        <v>50645.310000000005</v>
      </c>
      <c r="T240" s="430">
        <f t="shared" si="42"/>
        <v>5453384.9849999994</v>
      </c>
      <c r="U240" s="431">
        <v>531548</v>
      </c>
      <c r="V240" s="431">
        <v>174639</v>
      </c>
      <c r="W240" s="432">
        <v>4196433</v>
      </c>
      <c r="Y240" s="433">
        <f t="shared" si="43"/>
        <v>-1256951.9849999994</v>
      </c>
      <c r="Z240" s="433">
        <f t="shared" si="44"/>
        <v>0</v>
      </c>
      <c r="AC240" s="410">
        <f t="shared" si="45"/>
        <v>0</v>
      </c>
    </row>
    <row r="241" spans="1:31" s="427" customFormat="1" ht="17.25" hidden="1" customHeight="1">
      <c r="B241" s="417" t="str">
        <f>IF(A241&lt;&gt;0,COUNTA(A$19:$A241),"")</f>
        <v/>
      </c>
      <c r="C241" s="428" t="s">
        <v>1034</v>
      </c>
      <c r="D241" s="428"/>
      <c r="E241" s="435"/>
      <c r="F241" s="435"/>
      <c r="G241" s="419">
        <v>77.5</v>
      </c>
      <c r="H241" s="419"/>
      <c r="I241" s="419"/>
      <c r="J241" s="419"/>
      <c r="K241" s="420">
        <v>1</v>
      </c>
      <c r="L241" s="420">
        <f t="shared" si="38"/>
        <v>174639</v>
      </c>
      <c r="M241" s="420">
        <f t="shared" si="39"/>
        <v>5080905</v>
      </c>
      <c r="N241" s="445">
        <f t="shared" si="48"/>
        <v>1259107.9772727271</v>
      </c>
      <c r="O241" s="719"/>
      <c r="P241" s="719">
        <f t="shared" si="46"/>
        <v>7813475.4272727277</v>
      </c>
      <c r="Q241" s="423">
        <f>SUMIF('8.Dgia'!E:E,'9.may'!E241,'8.Dgia'!P:P)</f>
        <v>0</v>
      </c>
      <c r="R241" s="429">
        <f t="shared" si="40"/>
        <v>0</v>
      </c>
      <c r="S241" s="301">
        <f t="shared" si="41"/>
        <v>50645.310000000005</v>
      </c>
      <c r="T241" s="430">
        <f t="shared" si="42"/>
        <v>6390658.2872727271</v>
      </c>
      <c r="U241" s="431">
        <v>554815</v>
      </c>
      <c r="V241" s="431">
        <v>174639</v>
      </c>
      <c r="W241" s="432">
        <v>5080905</v>
      </c>
      <c r="Y241" s="433">
        <f t="shared" si="43"/>
        <v>-1309753.2872727271</v>
      </c>
      <c r="Z241" s="433">
        <f t="shared" si="44"/>
        <v>0</v>
      </c>
      <c r="AC241" s="410">
        <f t="shared" si="45"/>
        <v>0</v>
      </c>
    </row>
    <row r="242" spans="1:31" s="427" customFormat="1" ht="17.25" hidden="1" customHeight="1">
      <c r="B242" s="417" t="str">
        <f>IF(A242&lt;&gt;0,COUNTA(A$19:$A242),"")</f>
        <v/>
      </c>
      <c r="C242" s="428" t="s">
        <v>1035</v>
      </c>
      <c r="D242" s="428"/>
      <c r="E242" s="435"/>
      <c r="F242" s="435"/>
      <c r="G242" s="419">
        <v>81</v>
      </c>
      <c r="H242" s="419"/>
      <c r="I242" s="419"/>
      <c r="J242" s="419"/>
      <c r="K242" s="420">
        <v>1</v>
      </c>
      <c r="L242" s="420">
        <f t="shared" si="38"/>
        <v>174639</v>
      </c>
      <c r="M242" s="420">
        <f t="shared" si="39"/>
        <v>5945809</v>
      </c>
      <c r="N242" s="445">
        <f t="shared" si="48"/>
        <v>1315970.9181818182</v>
      </c>
      <c r="O242" s="719"/>
      <c r="P242" s="719">
        <f t="shared" si="46"/>
        <v>8986064.5281818192</v>
      </c>
      <c r="Q242" s="423">
        <f>SUMIF('8.Dgia'!E:E,'9.may'!E242,'8.Dgia'!P:P)</f>
        <v>0</v>
      </c>
      <c r="R242" s="429">
        <f t="shared" si="40"/>
        <v>0</v>
      </c>
      <c r="S242" s="301">
        <f t="shared" si="41"/>
        <v>50645.310000000005</v>
      </c>
      <c r="T242" s="430">
        <f t="shared" si="42"/>
        <v>7312425.2281818185</v>
      </c>
      <c r="U242" s="431">
        <v>579871</v>
      </c>
      <c r="V242" s="431">
        <v>174639</v>
      </c>
      <c r="W242" s="432">
        <v>5945809</v>
      </c>
      <c r="Y242" s="433">
        <f t="shared" si="43"/>
        <v>-1366616.2281818185</v>
      </c>
      <c r="Z242" s="433">
        <f t="shared" si="44"/>
        <v>0</v>
      </c>
      <c r="AC242" s="410">
        <f t="shared" si="45"/>
        <v>0</v>
      </c>
    </row>
    <row r="243" spans="1:31" s="427" customFormat="1" ht="17.25" hidden="1" customHeight="1">
      <c r="B243" s="417" t="str">
        <f>IF(A243&lt;&gt;0,COUNTA(A$19:$A243),"")</f>
        <v/>
      </c>
      <c r="C243" s="418" t="s">
        <v>1036</v>
      </c>
      <c r="D243" s="418"/>
      <c r="E243" s="435"/>
      <c r="F243" s="435"/>
      <c r="G243" s="419"/>
      <c r="H243" s="419"/>
      <c r="I243" s="419"/>
      <c r="J243" s="419"/>
      <c r="K243" s="420"/>
      <c r="L243" s="420">
        <f t="shared" si="38"/>
        <v>0</v>
      </c>
      <c r="M243" s="420">
        <f t="shared" si="39"/>
        <v>0</v>
      </c>
      <c r="N243" s="445"/>
      <c r="O243" s="719"/>
      <c r="P243" s="719">
        <f t="shared" si="46"/>
        <v>0</v>
      </c>
      <c r="Q243" s="423">
        <f>SUMIF('8.Dgia'!E:E,'9.may'!E243,'8.Dgia'!P:P)</f>
        <v>0</v>
      </c>
      <c r="R243" s="429">
        <f t="shared" si="40"/>
        <v>0</v>
      </c>
      <c r="S243" s="301">
        <f t="shared" si="41"/>
        <v>0</v>
      </c>
      <c r="T243" s="430">
        <f t="shared" si="42"/>
        <v>0</v>
      </c>
      <c r="U243" s="436"/>
      <c r="V243" s="436"/>
      <c r="W243" s="432"/>
      <c r="Y243" s="433">
        <f t="shared" si="43"/>
        <v>0</v>
      </c>
      <c r="Z243" s="433">
        <f t="shared" si="44"/>
        <v>0</v>
      </c>
      <c r="AC243" s="410">
        <f t="shared" si="45"/>
        <v>0</v>
      </c>
    </row>
    <row r="244" spans="1:31" s="427" customFormat="1" ht="17.25" hidden="1" customHeight="1">
      <c r="B244" s="417" t="str">
        <f>IF(A244&lt;&gt;0,COUNTA(A$19:$A244),"")</f>
        <v/>
      </c>
      <c r="C244" s="428"/>
      <c r="D244" s="428"/>
      <c r="E244" s="435"/>
      <c r="F244" s="435"/>
      <c r="G244" s="419">
        <v>31.5</v>
      </c>
      <c r="H244" s="419"/>
      <c r="I244" s="419"/>
      <c r="J244" s="419"/>
      <c r="K244" s="420">
        <v>1</v>
      </c>
      <c r="L244" s="420">
        <f t="shared" si="38"/>
        <v>98673</v>
      </c>
      <c r="M244" s="420">
        <f t="shared" si="39"/>
        <v>401853</v>
      </c>
      <c r="N244" s="445">
        <f t="shared" ref="N244:N256" si="49">SUMPRODUCT(G244:J244,$G$12:$J$12,$G$9:$J$9)</f>
        <v>511766.46818181814</v>
      </c>
      <c r="O244" s="719"/>
      <c r="P244" s="719">
        <f t="shared" si="46"/>
        <v>1030156.8381818181</v>
      </c>
      <c r="Q244" s="423">
        <f>SUMIF('8.Dgia'!E:E,'9.may'!E244,'8.Dgia'!P:P)</f>
        <v>0</v>
      </c>
      <c r="R244" s="429">
        <f t="shared" si="40"/>
        <v>0</v>
      </c>
      <c r="S244" s="301">
        <f t="shared" si="41"/>
        <v>28615.170000000002</v>
      </c>
      <c r="T244" s="430">
        <f t="shared" si="42"/>
        <v>942234.63818181818</v>
      </c>
      <c r="U244" s="431">
        <v>225505</v>
      </c>
      <c r="V244" s="431">
        <v>98673</v>
      </c>
      <c r="W244" s="432">
        <v>401853</v>
      </c>
      <c r="Y244" s="433">
        <f t="shared" si="43"/>
        <v>-540381.63818181818</v>
      </c>
      <c r="Z244" s="433">
        <f t="shared" si="44"/>
        <v>0</v>
      </c>
      <c r="AC244" s="410">
        <f t="shared" si="45"/>
        <v>0</v>
      </c>
    </row>
    <row r="245" spans="1:31" s="427" customFormat="1" ht="17.25" hidden="1" customHeight="1">
      <c r="B245" s="417" t="str">
        <f>IF(A245&lt;&gt;0,COUNTA(A$19:$A245),"")</f>
        <v/>
      </c>
      <c r="C245" s="428"/>
      <c r="D245" s="428"/>
      <c r="E245" s="435"/>
      <c r="F245" s="435"/>
      <c r="G245" s="419">
        <v>33</v>
      </c>
      <c r="H245" s="419"/>
      <c r="I245" s="419"/>
      <c r="J245" s="419"/>
      <c r="K245" s="420">
        <v>1</v>
      </c>
      <c r="L245" s="420">
        <f t="shared" si="38"/>
        <v>98673</v>
      </c>
      <c r="M245" s="420">
        <f t="shared" si="39"/>
        <v>422716</v>
      </c>
      <c r="N245" s="445">
        <f t="shared" si="49"/>
        <v>536136.29999999993</v>
      </c>
      <c r="O245" s="719"/>
      <c r="P245" s="719">
        <f t="shared" si="46"/>
        <v>1081439.94</v>
      </c>
      <c r="Q245" s="423">
        <f>SUMIF('8.Dgia'!E:E,'9.may'!E245,'8.Dgia'!P:P)</f>
        <v>0</v>
      </c>
      <c r="R245" s="429">
        <f t="shared" si="40"/>
        <v>0</v>
      </c>
      <c r="S245" s="301">
        <f t="shared" si="41"/>
        <v>28615.170000000002</v>
      </c>
      <c r="T245" s="430">
        <f t="shared" si="42"/>
        <v>987467.47</v>
      </c>
      <c r="U245" s="431">
        <v>236244</v>
      </c>
      <c r="V245" s="431">
        <v>98673</v>
      </c>
      <c r="W245" s="432">
        <v>422716</v>
      </c>
      <c r="Y245" s="433">
        <f t="shared" si="43"/>
        <v>-564751.47</v>
      </c>
      <c r="Z245" s="433">
        <f t="shared" si="44"/>
        <v>0</v>
      </c>
      <c r="AC245" s="410">
        <f t="shared" si="45"/>
        <v>0</v>
      </c>
    </row>
    <row r="246" spans="1:31" s="427" customFormat="1" ht="17.25" customHeight="1">
      <c r="A246" s="410">
        <v>1</v>
      </c>
      <c r="B246" s="417">
        <f>IF(A246&lt;&gt;0,COUNTA(A$19:$A246),"")</f>
        <v>56</v>
      </c>
      <c r="C246" s="428" t="s">
        <v>1009</v>
      </c>
      <c r="D246" s="428" t="s">
        <v>1037</v>
      </c>
      <c r="E246" s="435" t="s">
        <v>1038</v>
      </c>
      <c r="F246" s="435" t="s">
        <v>4709</v>
      </c>
      <c r="G246" s="419">
        <v>36</v>
      </c>
      <c r="H246" s="419"/>
      <c r="I246" s="419"/>
      <c r="J246" s="419"/>
      <c r="K246" s="420">
        <v>1</v>
      </c>
      <c r="L246" s="420">
        <f t="shared" si="38"/>
        <v>98673</v>
      </c>
      <c r="M246" s="420">
        <f t="shared" si="39"/>
        <v>694918</v>
      </c>
      <c r="N246" s="445">
        <f t="shared" si="49"/>
        <v>584875.96363636351</v>
      </c>
      <c r="O246" s="719"/>
      <c r="P246" s="719">
        <f t="shared" si="46"/>
        <v>1481320.1836363636</v>
      </c>
      <c r="Q246" s="423" t="e">
        <f>SUMIF('8.Dgia'!E:E,'9.may'!E246,'8.Dgia'!P:P)</f>
        <v>#REF!</v>
      </c>
      <c r="R246" s="429" t="e">
        <f t="shared" si="40"/>
        <v>#REF!</v>
      </c>
      <c r="S246" s="301">
        <f t="shared" si="41"/>
        <v>28615.170000000002</v>
      </c>
      <c r="T246" s="430">
        <f t="shared" si="42"/>
        <v>1308409.1336363635</v>
      </c>
      <c r="U246" s="2053">
        <v>257720</v>
      </c>
      <c r="V246" s="2053">
        <v>98673</v>
      </c>
      <c r="W246" s="2054">
        <v>694918</v>
      </c>
      <c r="Y246" s="433">
        <f t="shared" si="43"/>
        <v>-613491.13363636355</v>
      </c>
      <c r="Z246" s="433">
        <f t="shared" si="44"/>
        <v>0</v>
      </c>
      <c r="AC246" s="410" t="e">
        <f t="shared" si="45"/>
        <v>#REF!</v>
      </c>
    </row>
    <row r="247" spans="1:31" s="427" customFormat="1" ht="17.25" customHeight="1">
      <c r="A247" s="410">
        <v>1</v>
      </c>
      <c r="B247" s="417">
        <f>IF(A247&lt;&gt;0,COUNTA(A$19:$A247),"")</f>
        <v>57</v>
      </c>
      <c r="C247" s="428"/>
      <c r="D247" s="428" t="s">
        <v>1039</v>
      </c>
      <c r="E247" s="435" t="s">
        <v>287</v>
      </c>
      <c r="F247" s="435" t="s">
        <v>4167</v>
      </c>
      <c r="G247" s="419">
        <v>45</v>
      </c>
      <c r="H247" s="419"/>
      <c r="I247" s="419"/>
      <c r="J247" s="419"/>
      <c r="K247" s="420">
        <v>1</v>
      </c>
      <c r="L247" s="420">
        <f t="shared" si="38"/>
        <v>98673</v>
      </c>
      <c r="M247" s="420">
        <f t="shared" si="39"/>
        <v>1084356</v>
      </c>
      <c r="N247" s="445">
        <f t="shared" si="49"/>
        <v>731094.95454545447</v>
      </c>
      <c r="O247" s="719"/>
      <c r="P247" s="719">
        <f t="shared" si="46"/>
        <v>2129914.1945454543</v>
      </c>
      <c r="Q247" s="423" t="e">
        <f>SUMIF('8.Dgia'!E:E,'9.may'!E247,'8.Dgia'!P:P)</f>
        <v>#REF!</v>
      </c>
      <c r="R247" s="429" t="e">
        <f t="shared" si="40"/>
        <v>#REF!</v>
      </c>
      <c r="S247" s="301">
        <f t="shared" si="41"/>
        <v>28615.170000000002</v>
      </c>
      <c r="T247" s="430">
        <f t="shared" si="42"/>
        <v>1844066.1245454545</v>
      </c>
      <c r="U247" s="2053">
        <v>322151</v>
      </c>
      <c r="V247" s="2053">
        <v>98673</v>
      </c>
      <c r="W247" s="2054">
        <v>1084356</v>
      </c>
      <c r="Y247" s="433">
        <f t="shared" si="43"/>
        <v>-759710.12454545451</v>
      </c>
      <c r="Z247" s="433">
        <f t="shared" si="44"/>
        <v>0</v>
      </c>
      <c r="AC247" s="410" t="e">
        <f t="shared" si="45"/>
        <v>#REF!</v>
      </c>
    </row>
    <row r="248" spans="1:31" s="427" customFormat="1" ht="17.25" customHeight="1">
      <c r="A248" s="410">
        <v>1</v>
      </c>
      <c r="B248" s="417">
        <f>IF(A248&lt;&gt;0,COUNTA(A$19:$A248),"")</f>
        <v>58</v>
      </c>
      <c r="C248" s="428"/>
      <c r="D248" s="428" t="s">
        <v>1040</v>
      </c>
      <c r="E248" s="435" t="s">
        <v>288</v>
      </c>
      <c r="F248" s="435" t="s">
        <v>4169</v>
      </c>
      <c r="G248" s="419">
        <v>47</v>
      </c>
      <c r="H248" s="419"/>
      <c r="I248" s="419"/>
      <c r="J248" s="419"/>
      <c r="K248" s="420">
        <v>1</v>
      </c>
      <c r="L248" s="420">
        <f t="shared" si="38"/>
        <v>114786</v>
      </c>
      <c r="M248" s="420">
        <f t="shared" si="39"/>
        <v>1569309</v>
      </c>
      <c r="N248" s="445">
        <f t="shared" si="49"/>
        <v>763588.0636363636</v>
      </c>
      <c r="O248" s="719"/>
      <c r="P248" s="719">
        <f t="shared" si="46"/>
        <v>2787996.6736363638</v>
      </c>
      <c r="Q248" s="423" t="e">
        <f>SUMIF('8.Dgia'!E:E,'9.may'!E248,'8.Dgia'!P:P)</f>
        <v>#REF!</v>
      </c>
      <c r="R248" s="429" t="e">
        <f t="shared" si="40"/>
        <v>#REF!</v>
      </c>
      <c r="S248" s="301">
        <f t="shared" si="41"/>
        <v>33287.94</v>
      </c>
      <c r="T248" s="430">
        <f t="shared" si="42"/>
        <v>2366185.0036363639</v>
      </c>
      <c r="U248" s="2053">
        <v>336468</v>
      </c>
      <c r="V248" s="2053">
        <v>114786</v>
      </c>
      <c r="W248" s="2054">
        <v>1569309</v>
      </c>
      <c r="Y248" s="433">
        <f t="shared" si="43"/>
        <v>-796876.00363636389</v>
      </c>
      <c r="Z248" s="433">
        <f t="shared" si="44"/>
        <v>0</v>
      </c>
      <c r="AC248" s="410" t="e">
        <f t="shared" si="45"/>
        <v>#REF!</v>
      </c>
      <c r="AE248" s="427">
        <v>1584960119.1666274</v>
      </c>
    </row>
    <row r="249" spans="1:31" s="427" customFormat="1" ht="17.25" customHeight="1">
      <c r="A249" s="410">
        <v>1</v>
      </c>
      <c r="B249" s="417">
        <f>IF(A249&lt;&gt;0,COUNTA(A$19:$A249),"")</f>
        <v>59</v>
      </c>
      <c r="C249" s="428" t="s">
        <v>1041</v>
      </c>
      <c r="D249" s="428" t="s">
        <v>1042</v>
      </c>
      <c r="E249" s="435" t="s">
        <v>1043</v>
      </c>
      <c r="F249" s="435" t="s">
        <v>4170</v>
      </c>
      <c r="G249" s="419">
        <v>48.75</v>
      </c>
      <c r="H249" s="419"/>
      <c r="I249" s="419"/>
      <c r="J249" s="419"/>
      <c r="K249" s="420">
        <v>1</v>
      </c>
      <c r="L249" s="420">
        <f t="shared" si="38"/>
        <v>114786</v>
      </c>
      <c r="M249" s="420">
        <f t="shared" si="39"/>
        <v>1648370</v>
      </c>
      <c r="N249" s="445">
        <f t="shared" si="49"/>
        <v>792019.53409090894</v>
      </c>
      <c r="O249" s="719"/>
      <c r="P249" s="719">
        <f t="shared" si="46"/>
        <v>2918416.834090909</v>
      </c>
      <c r="Q249" s="423" t="e">
        <f>SUMIF('8.Dgia'!E:E,'9.may'!E249,'8.Dgia'!P:P)</f>
        <v>#REF!</v>
      </c>
      <c r="R249" s="429" t="e">
        <f t="shared" si="40"/>
        <v>#REF!</v>
      </c>
      <c r="S249" s="301">
        <f t="shared" si="41"/>
        <v>33287.94</v>
      </c>
      <c r="T249" s="430">
        <f t="shared" si="42"/>
        <v>2473677.4740909087</v>
      </c>
      <c r="U249" s="2053">
        <v>348996</v>
      </c>
      <c r="V249" s="2053">
        <v>114786</v>
      </c>
      <c r="W249" s="2054">
        <v>1648370</v>
      </c>
      <c r="Y249" s="433">
        <f t="shared" si="43"/>
        <v>-825307.47409090865</v>
      </c>
      <c r="Z249" s="433">
        <f t="shared" si="44"/>
        <v>0</v>
      </c>
      <c r="AC249" s="410" t="e">
        <f t="shared" si="45"/>
        <v>#REF!</v>
      </c>
      <c r="AE249" s="427" t="e">
        <f>AE248-AC248</f>
        <v>#REF!</v>
      </c>
    </row>
    <row r="250" spans="1:31" s="427" customFormat="1" ht="17.25" customHeight="1">
      <c r="A250" s="410">
        <v>1</v>
      </c>
      <c r="B250" s="417">
        <f>IF(A250&lt;&gt;0,COUNTA(A$19:$A250),"")</f>
        <v>60</v>
      </c>
      <c r="C250" s="428" t="s">
        <v>1023</v>
      </c>
      <c r="D250" s="428" t="s">
        <v>1044</v>
      </c>
      <c r="E250" s="435" t="s">
        <v>1045</v>
      </c>
      <c r="F250" s="435" t="s">
        <v>4710</v>
      </c>
      <c r="G250" s="419">
        <v>51.25</v>
      </c>
      <c r="H250" s="419"/>
      <c r="I250" s="419"/>
      <c r="J250" s="419"/>
      <c r="K250" s="420">
        <v>1</v>
      </c>
      <c r="L250" s="420">
        <f t="shared" si="38"/>
        <v>114786</v>
      </c>
      <c r="M250" s="420">
        <f t="shared" si="39"/>
        <v>2162321</v>
      </c>
      <c r="N250" s="445">
        <f t="shared" si="49"/>
        <v>832635.92045454541</v>
      </c>
      <c r="O250" s="719"/>
      <c r="P250" s="719">
        <f t="shared" si="46"/>
        <v>3622030.0104545453</v>
      </c>
      <c r="Q250" s="423">
        <f>SUMIF('8.Dgia'!E:E,'9.may'!E250,'8.Dgia'!P:P)</f>
        <v>0</v>
      </c>
      <c r="R250" s="429">
        <f t="shared" si="40"/>
        <v>0</v>
      </c>
      <c r="S250" s="301">
        <f t="shared" si="41"/>
        <v>33287.94</v>
      </c>
      <c r="T250" s="430">
        <f t="shared" si="42"/>
        <v>3028244.8604545454</v>
      </c>
      <c r="U250" s="2053">
        <v>366894</v>
      </c>
      <c r="V250" s="2053">
        <v>114786</v>
      </c>
      <c r="W250" s="2054">
        <v>2162321</v>
      </c>
      <c r="Y250" s="433">
        <f t="shared" si="43"/>
        <v>-865923.86045454536</v>
      </c>
      <c r="Z250" s="433">
        <f t="shared" si="44"/>
        <v>0</v>
      </c>
      <c r="AC250" s="410">
        <f t="shared" si="45"/>
        <v>0</v>
      </c>
    </row>
    <row r="251" spans="1:31" s="427" customFormat="1" ht="17.25" customHeight="1">
      <c r="A251" s="410">
        <v>1</v>
      </c>
      <c r="B251" s="417">
        <f>IF(A251&lt;&gt;0,COUNTA(A$19:$A251),"")</f>
        <v>61</v>
      </c>
      <c r="C251" s="428" t="s">
        <v>1025</v>
      </c>
      <c r="D251" s="428" t="s">
        <v>1046</v>
      </c>
      <c r="E251" s="435" t="s">
        <v>289</v>
      </c>
      <c r="F251" s="435" t="s">
        <v>4171</v>
      </c>
      <c r="G251" s="419">
        <v>53.75</v>
      </c>
      <c r="H251" s="419"/>
      <c r="I251" s="419"/>
      <c r="J251" s="419"/>
      <c r="K251" s="420">
        <v>1</v>
      </c>
      <c r="L251" s="420">
        <f t="shared" si="38"/>
        <v>114786</v>
      </c>
      <c r="M251" s="420">
        <f t="shared" si="39"/>
        <v>2294916</v>
      </c>
      <c r="N251" s="445">
        <f t="shared" si="49"/>
        <v>873252.30681818177</v>
      </c>
      <c r="O251" s="719"/>
      <c r="P251" s="719">
        <f t="shared" si="46"/>
        <v>3833693.9468181818</v>
      </c>
      <c r="Q251" s="423" t="e">
        <f>SUMIF('8.Dgia'!E:E,'9.may'!E251,'8.Dgia'!P:P)</f>
        <v>#REF!</v>
      </c>
      <c r="R251" s="429" t="e">
        <f t="shared" si="40"/>
        <v>#REF!</v>
      </c>
      <c r="S251" s="301">
        <f t="shared" si="41"/>
        <v>33287.94</v>
      </c>
      <c r="T251" s="430">
        <f t="shared" si="42"/>
        <v>3201456.2468181821</v>
      </c>
      <c r="U251" s="2053">
        <v>384791</v>
      </c>
      <c r="V251" s="2053">
        <v>114786</v>
      </c>
      <c r="W251" s="2054">
        <v>2294916</v>
      </c>
      <c r="Y251" s="433">
        <f t="shared" si="43"/>
        <v>-906540.24681818206</v>
      </c>
      <c r="Z251" s="433">
        <f t="shared" si="44"/>
        <v>0</v>
      </c>
      <c r="AC251" s="410" t="e">
        <f t="shared" si="45"/>
        <v>#REF!</v>
      </c>
    </row>
    <row r="252" spans="1:31" s="427" customFormat="1" ht="17.25" customHeight="1">
      <c r="A252" s="410">
        <v>1</v>
      </c>
      <c r="B252" s="417">
        <f>IF(A252&lt;&gt;0,COUNTA(A$19:$A252),"")</f>
        <v>62</v>
      </c>
      <c r="C252" s="428" t="s">
        <v>1031</v>
      </c>
      <c r="D252" s="428" t="s">
        <v>1047</v>
      </c>
      <c r="E252" s="435" t="s">
        <v>1048</v>
      </c>
      <c r="F252" s="435" t="s">
        <v>4711</v>
      </c>
      <c r="G252" s="419">
        <v>56.25</v>
      </c>
      <c r="H252" s="419"/>
      <c r="I252" s="419"/>
      <c r="J252" s="419"/>
      <c r="K252" s="420">
        <v>1</v>
      </c>
      <c r="L252" s="420">
        <f t="shared" si="38"/>
        <v>125981</v>
      </c>
      <c r="M252" s="420">
        <f t="shared" si="39"/>
        <v>2888680</v>
      </c>
      <c r="N252" s="445">
        <f t="shared" si="49"/>
        <v>913868.69318181812</v>
      </c>
      <c r="O252" s="719"/>
      <c r="P252" s="719">
        <f t="shared" si="46"/>
        <v>4640265.8931818185</v>
      </c>
      <c r="Q252" s="423">
        <f>SUMIF('8.Dgia'!E:E,'9.may'!E252,'8.Dgia'!P:P)</f>
        <v>0</v>
      </c>
      <c r="R252" s="429">
        <f t="shared" si="40"/>
        <v>0</v>
      </c>
      <c r="S252" s="301">
        <f t="shared" si="41"/>
        <v>36534.490000000005</v>
      </c>
      <c r="T252" s="430">
        <f t="shared" si="42"/>
        <v>3839083.1831818181</v>
      </c>
      <c r="U252" s="2053">
        <v>402688</v>
      </c>
      <c r="V252" s="2053">
        <v>125981</v>
      </c>
      <c r="W252" s="2054">
        <v>2888680</v>
      </c>
      <c r="Y252" s="433">
        <f t="shared" si="43"/>
        <v>-950403.18318181811</v>
      </c>
      <c r="Z252" s="433">
        <f t="shared" si="44"/>
        <v>0</v>
      </c>
      <c r="AC252" s="410">
        <f t="shared" si="45"/>
        <v>0</v>
      </c>
    </row>
    <row r="253" spans="1:31" s="427" customFormat="1" ht="17.25" hidden="1" customHeight="1">
      <c r="B253" s="417" t="str">
        <f>IF(A253&lt;&gt;0,COUNTA(A$19:$A253),"")</f>
        <v/>
      </c>
      <c r="C253" s="428" t="s">
        <v>1033</v>
      </c>
      <c r="D253" s="428"/>
      <c r="E253" s="435"/>
      <c r="F253" s="435"/>
      <c r="G253" s="419">
        <v>58.95</v>
      </c>
      <c r="H253" s="419"/>
      <c r="I253" s="419"/>
      <c r="J253" s="419"/>
      <c r="K253" s="420">
        <v>1</v>
      </c>
      <c r="L253" s="420">
        <f t="shared" si="38"/>
        <v>174639</v>
      </c>
      <c r="M253" s="420">
        <f t="shared" si="39"/>
        <v>3464038</v>
      </c>
      <c r="N253" s="445">
        <f t="shared" si="49"/>
        <v>957734.39045454538</v>
      </c>
      <c r="O253" s="719"/>
      <c r="P253" s="719">
        <f t="shared" si="46"/>
        <v>5426343.4104545461</v>
      </c>
      <c r="Q253" s="423">
        <f>SUMIF('8.Dgia'!E:E,'9.may'!E253,'8.Dgia'!P:P)</f>
        <v>0</v>
      </c>
      <c r="R253" s="429">
        <f t="shared" si="40"/>
        <v>0</v>
      </c>
      <c r="S253" s="301">
        <f t="shared" si="41"/>
        <v>50645.310000000005</v>
      </c>
      <c r="T253" s="430">
        <f t="shared" si="42"/>
        <v>4472417.7004545452</v>
      </c>
      <c r="U253" s="431">
        <v>422017</v>
      </c>
      <c r="V253" s="431">
        <v>174639</v>
      </c>
      <c r="W253" s="432">
        <v>3464038</v>
      </c>
      <c r="Y253" s="433">
        <f t="shared" si="43"/>
        <v>-1008379.7004545452</v>
      </c>
      <c r="Z253" s="433">
        <f t="shared" si="44"/>
        <v>0</v>
      </c>
      <c r="AC253" s="410">
        <f t="shared" si="45"/>
        <v>0</v>
      </c>
    </row>
    <row r="254" spans="1:31" s="427" customFormat="1" ht="17.25" hidden="1" customHeight="1">
      <c r="B254" s="417" t="str">
        <f>IF(A254&lt;&gt;0,COUNTA(A$19:$A254),"")</f>
        <v/>
      </c>
      <c r="C254" s="428" t="s">
        <v>1034</v>
      </c>
      <c r="D254" s="428"/>
      <c r="E254" s="435"/>
      <c r="F254" s="435"/>
      <c r="G254" s="419">
        <v>62.774999999999999</v>
      </c>
      <c r="H254" s="419"/>
      <c r="I254" s="419"/>
      <c r="J254" s="419"/>
      <c r="K254" s="420">
        <v>1</v>
      </c>
      <c r="L254" s="420">
        <f t="shared" si="38"/>
        <v>174639</v>
      </c>
      <c r="M254" s="420">
        <f t="shared" si="39"/>
        <v>3861509</v>
      </c>
      <c r="N254" s="445">
        <f t="shared" si="49"/>
        <v>1019877.461590909</v>
      </c>
      <c r="O254" s="719"/>
      <c r="P254" s="719">
        <f t="shared" si="46"/>
        <v>6001224.0715909097</v>
      </c>
      <c r="Q254" s="423">
        <f>SUMIF('8.Dgia'!E:E,'9.may'!E254,'8.Dgia'!P:P)</f>
        <v>0</v>
      </c>
      <c r="R254" s="429">
        <f t="shared" si="40"/>
        <v>0</v>
      </c>
      <c r="S254" s="301">
        <f t="shared" si="41"/>
        <v>50645.310000000005</v>
      </c>
      <c r="T254" s="430">
        <f t="shared" si="42"/>
        <v>4932031.771590909</v>
      </c>
      <c r="U254" s="431">
        <v>449436</v>
      </c>
      <c r="V254" s="431">
        <v>174639</v>
      </c>
      <c r="W254" s="432">
        <v>3861509</v>
      </c>
      <c r="Y254" s="433">
        <f t="shared" si="43"/>
        <v>-1070522.771590909</v>
      </c>
      <c r="Z254" s="433">
        <f t="shared" si="44"/>
        <v>0</v>
      </c>
      <c r="AC254" s="410">
        <f t="shared" si="45"/>
        <v>0</v>
      </c>
    </row>
    <row r="255" spans="1:31" s="427" customFormat="1" ht="17.25" hidden="1" customHeight="1">
      <c r="B255" s="417" t="str">
        <f>IF(A255&lt;&gt;0,COUNTA(A$19:$A255),"")</f>
        <v/>
      </c>
      <c r="C255" s="428" t="s">
        <v>1035</v>
      </c>
      <c r="D255" s="428"/>
      <c r="E255" s="435"/>
      <c r="F255" s="435"/>
      <c r="G255" s="419">
        <v>72</v>
      </c>
      <c r="H255" s="419"/>
      <c r="I255" s="419"/>
      <c r="J255" s="419"/>
      <c r="K255" s="420">
        <v>1</v>
      </c>
      <c r="L255" s="420">
        <f t="shared" si="38"/>
        <v>174639</v>
      </c>
      <c r="M255" s="420">
        <f t="shared" si="39"/>
        <v>4480868</v>
      </c>
      <c r="N255" s="445">
        <f t="shared" si="49"/>
        <v>1169751.927272727</v>
      </c>
      <c r="O255" s="719"/>
      <c r="P255" s="719">
        <f t="shared" si="46"/>
        <v>6950071.6472727265</v>
      </c>
      <c r="Q255" s="423">
        <f>SUMIF('8.Dgia'!E:E,'9.may'!E255,'8.Dgia'!P:P)</f>
        <v>0</v>
      </c>
      <c r="R255" s="429">
        <f t="shared" si="40"/>
        <v>0</v>
      </c>
      <c r="S255" s="301">
        <f t="shared" si="41"/>
        <v>50645.310000000005</v>
      </c>
      <c r="T255" s="430">
        <f t="shared" si="42"/>
        <v>5701265.2372727273</v>
      </c>
      <c r="U255" s="431">
        <v>515441</v>
      </c>
      <c r="V255" s="431">
        <v>174639</v>
      </c>
      <c r="W255" s="432">
        <v>4480868</v>
      </c>
      <c r="Y255" s="433">
        <f t="shared" si="43"/>
        <v>-1220397.2372727273</v>
      </c>
      <c r="Z255" s="433">
        <f t="shared" si="44"/>
        <v>0</v>
      </c>
      <c r="AC255" s="410">
        <f t="shared" si="45"/>
        <v>0</v>
      </c>
    </row>
    <row r="256" spans="1:31" s="427" customFormat="1" ht="17.25" hidden="1" customHeight="1">
      <c r="B256" s="417" t="str">
        <f>IF(A256&lt;&gt;0,COUNTA(A$19:$A256),"")</f>
        <v/>
      </c>
      <c r="C256" s="428" t="s">
        <v>1049</v>
      </c>
      <c r="D256" s="428"/>
      <c r="E256" s="435"/>
      <c r="F256" s="435"/>
      <c r="G256" s="419">
        <v>83.25</v>
      </c>
      <c r="H256" s="419"/>
      <c r="I256" s="419"/>
      <c r="J256" s="419"/>
      <c r="K256" s="420">
        <v>1</v>
      </c>
      <c r="L256" s="420">
        <f t="shared" si="38"/>
        <v>174639</v>
      </c>
      <c r="M256" s="420">
        <f t="shared" si="39"/>
        <v>5000318</v>
      </c>
      <c r="N256" s="445">
        <f t="shared" si="49"/>
        <v>1352525.6659090908</v>
      </c>
      <c r="O256" s="719"/>
      <c r="P256" s="719">
        <f t="shared" si="46"/>
        <v>7802935.8859090907</v>
      </c>
      <c r="Q256" s="423">
        <f>SUMIF('8.Dgia'!E:E,'9.may'!E256,'8.Dgia'!P:P)</f>
        <v>0</v>
      </c>
      <c r="R256" s="429">
        <f t="shared" si="40"/>
        <v>0</v>
      </c>
      <c r="S256" s="301">
        <f t="shared" si="41"/>
        <v>50645.310000000005</v>
      </c>
      <c r="T256" s="430">
        <f t="shared" si="42"/>
        <v>6403488.9759090906</v>
      </c>
      <c r="U256" s="431">
        <v>595978</v>
      </c>
      <c r="V256" s="431">
        <v>174639</v>
      </c>
      <c r="W256" s="432">
        <v>5000318</v>
      </c>
      <c r="Y256" s="433">
        <f t="shared" si="43"/>
        <v>-1403170.9759090906</v>
      </c>
      <c r="Z256" s="433">
        <f t="shared" si="44"/>
        <v>0</v>
      </c>
      <c r="AC256" s="410">
        <f t="shared" si="45"/>
        <v>0</v>
      </c>
    </row>
    <row r="257" spans="1:29" s="427" customFormat="1" ht="17.25" hidden="1" customHeight="1">
      <c r="B257" s="417" t="str">
        <f>IF(A257&lt;&gt;0,COUNTA(A$19:$A257),"")</f>
        <v/>
      </c>
      <c r="C257" s="418" t="s">
        <v>1050</v>
      </c>
      <c r="D257" s="418"/>
      <c r="E257" s="435"/>
      <c r="F257" s="435"/>
      <c r="G257" s="419"/>
      <c r="H257" s="419"/>
      <c r="I257" s="419"/>
      <c r="J257" s="419"/>
      <c r="K257" s="437"/>
      <c r="L257" s="420">
        <f t="shared" si="38"/>
        <v>0</v>
      </c>
      <c r="M257" s="420">
        <f t="shared" si="39"/>
        <v>0</v>
      </c>
      <c r="N257" s="445"/>
      <c r="O257" s="719"/>
      <c r="P257" s="719">
        <f t="shared" si="46"/>
        <v>0</v>
      </c>
      <c r="Q257" s="423">
        <f>SUMIF('8.Dgia'!E:E,'9.may'!E257,'8.Dgia'!P:P)</f>
        <v>0</v>
      </c>
      <c r="R257" s="429">
        <f t="shared" si="40"/>
        <v>0</v>
      </c>
      <c r="S257" s="301">
        <f t="shared" si="41"/>
        <v>0</v>
      </c>
      <c r="T257" s="430">
        <f t="shared" si="42"/>
        <v>0</v>
      </c>
      <c r="U257" s="436"/>
      <c r="V257" s="436"/>
      <c r="W257" s="432"/>
      <c r="Y257" s="433">
        <f t="shared" si="43"/>
        <v>0</v>
      </c>
      <c r="Z257" s="433">
        <f t="shared" si="44"/>
        <v>0</v>
      </c>
      <c r="AC257" s="410">
        <f t="shared" si="45"/>
        <v>0</v>
      </c>
    </row>
    <row r="258" spans="1:29" s="427" customFormat="1" ht="17.25" hidden="1" customHeight="1">
      <c r="B258" s="417" t="str">
        <f>IF(A258&lt;&gt;0,COUNTA(A$19:$A258),"")</f>
        <v/>
      </c>
      <c r="C258" s="428" t="s">
        <v>1003</v>
      </c>
      <c r="D258" s="428"/>
      <c r="E258" s="435"/>
      <c r="F258" s="435"/>
      <c r="G258" s="419"/>
      <c r="H258" s="419">
        <v>37.5</v>
      </c>
      <c r="I258" s="419"/>
      <c r="J258" s="419"/>
      <c r="K258" s="420">
        <v>1</v>
      </c>
      <c r="L258" s="420">
        <f t="shared" si="38"/>
        <v>98673</v>
      </c>
      <c r="M258" s="420">
        <f t="shared" si="39"/>
        <v>284668</v>
      </c>
      <c r="N258" s="445">
        <f t="shared" ref="N258:N270" si="50">SUMPRODUCT(G258:J258,$G$12:$J$12,$G$9:$J$9)</f>
        <v>23874.375</v>
      </c>
      <c r="O258" s="719"/>
      <c r="P258" s="719">
        <f t="shared" si="46"/>
        <v>391096.09500000003</v>
      </c>
      <c r="Q258" s="423">
        <f>SUMIF('8.Dgia'!E:E,'9.may'!E258,'8.Dgia'!P:P)</f>
        <v>0</v>
      </c>
      <c r="R258" s="429">
        <f t="shared" si="40"/>
        <v>0</v>
      </c>
      <c r="S258" s="301">
        <f t="shared" si="41"/>
        <v>28615.170000000002</v>
      </c>
      <c r="T258" s="430">
        <f t="shared" si="42"/>
        <v>337157.54499999998</v>
      </c>
      <c r="U258" s="431">
        <v>35912</v>
      </c>
      <c r="V258" s="431">
        <v>98673</v>
      </c>
      <c r="W258" s="432">
        <v>284668</v>
      </c>
      <c r="Y258" s="433">
        <f t="shared" si="43"/>
        <v>-52489.544999999984</v>
      </c>
      <c r="Z258" s="433">
        <f t="shared" si="44"/>
        <v>0</v>
      </c>
      <c r="AC258" s="410">
        <f t="shared" si="45"/>
        <v>0</v>
      </c>
    </row>
    <row r="259" spans="1:29" s="427" customFormat="1" ht="17.25" hidden="1" customHeight="1">
      <c r="B259" s="417" t="str">
        <f>IF(A259&lt;&gt;0,COUNTA(A$19:$A259),"")</f>
        <v/>
      </c>
      <c r="C259" s="428" t="s">
        <v>997</v>
      </c>
      <c r="D259" s="428"/>
      <c r="E259" s="435"/>
      <c r="F259" s="435"/>
      <c r="G259" s="419"/>
      <c r="H259" s="419">
        <v>42</v>
      </c>
      <c r="I259" s="419"/>
      <c r="J259" s="419"/>
      <c r="K259" s="420">
        <v>1</v>
      </c>
      <c r="L259" s="420">
        <f t="shared" si="38"/>
        <v>98673</v>
      </c>
      <c r="M259" s="420">
        <f t="shared" si="39"/>
        <v>427927</v>
      </c>
      <c r="N259" s="445">
        <f t="shared" si="50"/>
        <v>26739.300000000003</v>
      </c>
      <c r="O259" s="719"/>
      <c r="P259" s="719">
        <f t="shared" si="46"/>
        <v>578765.13</v>
      </c>
      <c r="Q259" s="423">
        <f>SUMIF('8.Dgia'!E:E,'9.may'!E259,'8.Dgia'!P:P)</f>
        <v>0</v>
      </c>
      <c r="R259" s="429">
        <f t="shared" si="40"/>
        <v>0</v>
      </c>
      <c r="S259" s="301">
        <f t="shared" si="41"/>
        <v>28615.170000000002</v>
      </c>
      <c r="T259" s="430">
        <f t="shared" si="42"/>
        <v>483281.47</v>
      </c>
      <c r="U259" s="431">
        <v>40221</v>
      </c>
      <c r="V259" s="431">
        <v>98673</v>
      </c>
      <c r="W259" s="432">
        <v>427927</v>
      </c>
      <c r="Y259" s="433">
        <f t="shared" si="43"/>
        <v>-55354.469999999972</v>
      </c>
      <c r="Z259" s="433">
        <f t="shared" si="44"/>
        <v>0</v>
      </c>
      <c r="AC259" s="410">
        <f t="shared" si="45"/>
        <v>0</v>
      </c>
    </row>
    <row r="260" spans="1:29" s="427" customFormat="1" ht="17.25" hidden="1" customHeight="1">
      <c r="B260" s="417" t="str">
        <f>IF(A260&lt;&gt;0,COUNTA(A$19:$A260),"")</f>
        <v/>
      </c>
      <c r="C260" s="428" t="s">
        <v>1000</v>
      </c>
      <c r="D260" s="428"/>
      <c r="E260" s="435"/>
      <c r="F260" s="435"/>
      <c r="G260" s="419"/>
      <c r="H260" s="419">
        <v>52.5</v>
      </c>
      <c r="I260" s="419"/>
      <c r="J260" s="419"/>
      <c r="K260" s="420">
        <v>1</v>
      </c>
      <c r="L260" s="420">
        <f t="shared" si="38"/>
        <v>98673</v>
      </c>
      <c r="M260" s="420">
        <f t="shared" si="39"/>
        <v>633262</v>
      </c>
      <c r="N260" s="445">
        <f t="shared" si="50"/>
        <v>33424.125</v>
      </c>
      <c r="O260" s="719"/>
      <c r="P260" s="719">
        <f t="shared" si="46"/>
        <v>850332.10499999998</v>
      </c>
      <c r="Q260" s="423">
        <f>SUMIF('8.Dgia'!E:E,'9.may'!E260,'8.Dgia'!P:P)</f>
        <v>0</v>
      </c>
      <c r="R260" s="429">
        <f t="shared" si="40"/>
        <v>0</v>
      </c>
      <c r="S260" s="301">
        <f t="shared" si="41"/>
        <v>28615.170000000002</v>
      </c>
      <c r="T260" s="430">
        <f t="shared" si="42"/>
        <v>695301.29500000004</v>
      </c>
      <c r="U260" s="431">
        <v>50277</v>
      </c>
      <c r="V260" s="431">
        <v>98673</v>
      </c>
      <c r="W260" s="432">
        <v>633262</v>
      </c>
      <c r="Y260" s="433">
        <f t="shared" si="43"/>
        <v>-62039.295000000042</v>
      </c>
      <c r="Z260" s="433">
        <f t="shared" si="44"/>
        <v>0</v>
      </c>
      <c r="AC260" s="410">
        <f t="shared" si="45"/>
        <v>0</v>
      </c>
    </row>
    <row r="261" spans="1:29" s="427" customFormat="1" ht="17.25" hidden="1" customHeight="1">
      <c r="B261" s="417" t="str">
        <f>IF(A261&lt;&gt;0,COUNTA(A$19:$A261),"")</f>
        <v/>
      </c>
      <c r="C261" s="428" t="s">
        <v>1009</v>
      </c>
      <c r="D261" s="428"/>
      <c r="E261" s="435"/>
      <c r="F261" s="435"/>
      <c r="G261" s="419"/>
      <c r="H261" s="419">
        <v>60</v>
      </c>
      <c r="I261" s="419"/>
      <c r="J261" s="419"/>
      <c r="K261" s="420">
        <v>1</v>
      </c>
      <c r="L261" s="420">
        <f t="shared" si="38"/>
        <v>98673</v>
      </c>
      <c r="M261" s="420">
        <f t="shared" si="39"/>
        <v>826491</v>
      </c>
      <c r="N261" s="445">
        <f t="shared" si="50"/>
        <v>38199</v>
      </c>
      <c r="O261" s="719"/>
      <c r="P261" s="719">
        <f t="shared" si="46"/>
        <v>1104372.3900000001</v>
      </c>
      <c r="Q261" s="423">
        <f>SUMIF('8.Dgia'!E:E,'9.may'!E261,'8.Dgia'!P:P)</f>
        <v>0</v>
      </c>
      <c r="R261" s="429">
        <f t="shared" si="40"/>
        <v>0</v>
      </c>
      <c r="S261" s="301">
        <f t="shared" si="41"/>
        <v>28615.170000000002</v>
      </c>
      <c r="T261" s="430">
        <f t="shared" si="42"/>
        <v>893305.17</v>
      </c>
      <c r="U261" s="431">
        <v>57459</v>
      </c>
      <c r="V261" s="431">
        <v>98673</v>
      </c>
      <c r="W261" s="432">
        <v>826491</v>
      </c>
      <c r="Y261" s="433">
        <f t="shared" si="43"/>
        <v>-66814.170000000042</v>
      </c>
      <c r="Z261" s="433">
        <f t="shared" si="44"/>
        <v>0</v>
      </c>
      <c r="AC261" s="410">
        <f t="shared" si="45"/>
        <v>0</v>
      </c>
    </row>
    <row r="262" spans="1:29" s="427" customFormat="1" ht="17.25" hidden="1" customHeight="1">
      <c r="B262" s="417" t="str">
        <f>IF(A262&lt;&gt;0,COUNTA(A$19:$A262),"")</f>
        <v/>
      </c>
      <c r="C262" s="428" t="s">
        <v>1051</v>
      </c>
      <c r="D262" s="428"/>
      <c r="E262" s="435"/>
      <c r="F262" s="435"/>
      <c r="G262" s="419"/>
      <c r="H262" s="419">
        <v>67.5</v>
      </c>
      <c r="I262" s="419"/>
      <c r="J262" s="419"/>
      <c r="K262" s="420">
        <v>1</v>
      </c>
      <c r="L262" s="420">
        <f t="shared" si="38"/>
        <v>98673</v>
      </c>
      <c r="M262" s="420">
        <f t="shared" si="39"/>
        <v>844311</v>
      </c>
      <c r="N262" s="445">
        <f t="shared" si="50"/>
        <v>42973.875</v>
      </c>
      <c r="O262" s="719"/>
      <c r="P262" s="719">
        <f t="shared" si="46"/>
        <v>1132135.0649999999</v>
      </c>
      <c r="Q262" s="423">
        <f>SUMIF('8.Dgia'!E:E,'9.may'!E262,'8.Dgia'!P:P)</f>
        <v>0</v>
      </c>
      <c r="R262" s="429">
        <f t="shared" si="40"/>
        <v>0</v>
      </c>
      <c r="S262" s="301">
        <f t="shared" si="41"/>
        <v>28615.170000000002</v>
      </c>
      <c r="T262" s="430">
        <f t="shared" si="42"/>
        <v>915900.04500000004</v>
      </c>
      <c r="U262" s="431">
        <v>64641</v>
      </c>
      <c r="V262" s="431">
        <v>98673</v>
      </c>
      <c r="W262" s="432">
        <v>844311</v>
      </c>
      <c r="Y262" s="433">
        <f t="shared" si="43"/>
        <v>-71589.045000000042</v>
      </c>
      <c r="Z262" s="433">
        <f t="shared" si="44"/>
        <v>0</v>
      </c>
      <c r="AC262" s="410">
        <f t="shared" si="45"/>
        <v>0</v>
      </c>
    </row>
    <row r="263" spans="1:29" s="427" customFormat="1" ht="17.25" customHeight="1">
      <c r="A263" s="410">
        <v>1</v>
      </c>
      <c r="B263" s="417">
        <f>IF(A263&lt;&gt;0,COUNTA(A$19:$A263),"")</f>
        <v>63</v>
      </c>
      <c r="C263" s="428" t="s">
        <v>1052</v>
      </c>
      <c r="D263" s="428" t="s">
        <v>1053</v>
      </c>
      <c r="E263" s="435" t="s">
        <v>1054</v>
      </c>
      <c r="F263" s="435" t="s">
        <v>4712</v>
      </c>
      <c r="G263" s="419"/>
      <c r="H263" s="419">
        <v>90</v>
      </c>
      <c r="I263" s="419"/>
      <c r="J263" s="419"/>
      <c r="K263" s="420">
        <v>1</v>
      </c>
      <c r="L263" s="420">
        <f t="shared" si="38"/>
        <v>98673</v>
      </c>
      <c r="M263" s="420">
        <f t="shared" si="39"/>
        <v>924568</v>
      </c>
      <c r="N263" s="445">
        <f t="shared" si="50"/>
        <v>57298.5</v>
      </c>
      <c r="O263" s="719"/>
      <c r="P263" s="719">
        <f t="shared" si="46"/>
        <v>1249991.22</v>
      </c>
      <c r="Q263" s="423">
        <f>SUMIF('8.Dgia'!E:E,'9.may'!E263,'8.Dgia'!P:P)</f>
        <v>0</v>
      </c>
      <c r="R263" s="429">
        <f t="shared" si="40"/>
        <v>0</v>
      </c>
      <c r="S263" s="301">
        <f t="shared" si="41"/>
        <v>28615.170000000002</v>
      </c>
      <c r="T263" s="430">
        <f t="shared" si="42"/>
        <v>1010481.67</v>
      </c>
      <c r="U263" s="2053">
        <v>86189</v>
      </c>
      <c r="V263" s="2053">
        <v>98673</v>
      </c>
      <c r="W263" s="2054">
        <v>924568</v>
      </c>
      <c r="Y263" s="433">
        <f t="shared" si="43"/>
        <v>-85913.670000000042</v>
      </c>
      <c r="Z263" s="433">
        <f t="shared" si="44"/>
        <v>0</v>
      </c>
      <c r="AC263" s="410">
        <f t="shared" si="45"/>
        <v>0</v>
      </c>
    </row>
    <row r="264" spans="1:29" s="427" customFormat="1" ht="17.25" hidden="1" customHeight="1">
      <c r="B264" s="417" t="str">
        <f>IF(A264&lt;&gt;0,COUNTA(A$19:$A264),"")</f>
        <v/>
      </c>
      <c r="C264" s="428" t="s">
        <v>1015</v>
      </c>
      <c r="D264" s="428"/>
      <c r="E264" s="435"/>
      <c r="F264" s="435"/>
      <c r="G264" s="419"/>
      <c r="H264" s="419">
        <v>112.5</v>
      </c>
      <c r="I264" s="419"/>
      <c r="J264" s="419"/>
      <c r="K264" s="420">
        <v>1</v>
      </c>
      <c r="L264" s="420">
        <f t="shared" si="38"/>
        <v>98673</v>
      </c>
      <c r="M264" s="420">
        <f t="shared" si="39"/>
        <v>1208665</v>
      </c>
      <c r="N264" s="445">
        <f t="shared" si="50"/>
        <v>71623.125</v>
      </c>
      <c r="O264" s="719"/>
      <c r="P264" s="719">
        <f t="shared" si="46"/>
        <v>1630800.9750000001</v>
      </c>
      <c r="Q264" s="423">
        <f>SUMIF('8.Dgia'!E:E,'9.may'!E264,'8.Dgia'!P:P)</f>
        <v>0</v>
      </c>
      <c r="R264" s="429">
        <f t="shared" si="40"/>
        <v>0</v>
      </c>
      <c r="S264" s="301">
        <f t="shared" si="41"/>
        <v>28615.170000000002</v>
      </c>
      <c r="T264" s="430">
        <f t="shared" si="42"/>
        <v>1308903.2949999999</v>
      </c>
      <c r="U264" s="431">
        <v>107736</v>
      </c>
      <c r="V264" s="431">
        <v>98673</v>
      </c>
      <c r="W264" s="432">
        <v>1208665</v>
      </c>
      <c r="Y264" s="433">
        <f t="shared" si="43"/>
        <v>-100238.29499999993</v>
      </c>
      <c r="Z264" s="433">
        <f t="shared" si="44"/>
        <v>0</v>
      </c>
      <c r="AC264" s="410">
        <f t="shared" si="45"/>
        <v>0</v>
      </c>
    </row>
    <row r="265" spans="1:29" s="427" customFormat="1" ht="17.25" customHeight="1">
      <c r="A265" s="410">
        <v>1</v>
      </c>
      <c r="B265" s="417">
        <f>IF(A265&lt;&gt;0,COUNTA(A$19:$A265),"")</f>
        <v>64</v>
      </c>
      <c r="C265" s="428" t="s">
        <v>1016</v>
      </c>
      <c r="D265" s="428" t="s">
        <v>1055</v>
      </c>
      <c r="E265" s="435" t="s">
        <v>1056</v>
      </c>
      <c r="F265" s="435" t="s">
        <v>4713</v>
      </c>
      <c r="G265" s="419"/>
      <c r="H265" s="419">
        <v>120</v>
      </c>
      <c r="I265" s="419"/>
      <c r="J265" s="419"/>
      <c r="K265" s="420">
        <v>1</v>
      </c>
      <c r="L265" s="420">
        <f t="shared" si="38"/>
        <v>108001</v>
      </c>
      <c r="M265" s="420">
        <f t="shared" si="39"/>
        <v>1654097</v>
      </c>
      <c r="N265" s="445">
        <f t="shared" si="50"/>
        <v>76398</v>
      </c>
      <c r="O265" s="719"/>
      <c r="P265" s="719">
        <f t="shared" si="46"/>
        <v>2210183.13</v>
      </c>
      <c r="Q265" s="423">
        <f>SUMIF('8.Dgia'!E:E,'9.may'!E265,'8.Dgia'!P:P)</f>
        <v>0</v>
      </c>
      <c r="R265" s="429">
        <f t="shared" si="40"/>
        <v>0</v>
      </c>
      <c r="S265" s="301">
        <f t="shared" si="41"/>
        <v>31320.290000000005</v>
      </c>
      <c r="T265" s="430">
        <f t="shared" si="42"/>
        <v>1761815.29</v>
      </c>
      <c r="U265" s="2053">
        <v>114918</v>
      </c>
      <c r="V265" s="2053">
        <v>108001</v>
      </c>
      <c r="W265" s="2054">
        <v>1654097</v>
      </c>
      <c r="Y265" s="433">
        <f t="shared" si="43"/>
        <v>-107718.29000000004</v>
      </c>
      <c r="Z265" s="433">
        <f t="shared" si="44"/>
        <v>0</v>
      </c>
      <c r="AC265" s="410">
        <f t="shared" si="45"/>
        <v>0</v>
      </c>
    </row>
    <row r="266" spans="1:29" s="427" customFormat="1" ht="17.25" hidden="1" customHeight="1">
      <c r="B266" s="417" t="str">
        <f>IF(A266&lt;&gt;0,COUNTA(A$19:$A266),"")</f>
        <v/>
      </c>
      <c r="C266" s="428" t="s">
        <v>1019</v>
      </c>
      <c r="D266" s="428"/>
      <c r="E266" s="435"/>
      <c r="F266" s="435"/>
      <c r="G266" s="419"/>
      <c r="H266" s="419">
        <v>127.5</v>
      </c>
      <c r="I266" s="419"/>
      <c r="J266" s="419"/>
      <c r="K266" s="420">
        <v>1</v>
      </c>
      <c r="L266" s="420">
        <f t="shared" si="38"/>
        <v>108001</v>
      </c>
      <c r="M266" s="420">
        <f t="shared" si="39"/>
        <v>1859967</v>
      </c>
      <c r="N266" s="445">
        <f t="shared" si="50"/>
        <v>81172.875</v>
      </c>
      <c r="O266" s="719"/>
      <c r="P266" s="719">
        <f t="shared" si="46"/>
        <v>2480530.3050000002</v>
      </c>
      <c r="Q266" s="423">
        <f>SUMIF('8.Dgia'!E:E,'9.may'!E266,'8.Dgia'!P:P)</f>
        <v>0</v>
      </c>
      <c r="R266" s="429">
        <f t="shared" si="40"/>
        <v>0</v>
      </c>
      <c r="S266" s="301">
        <f t="shared" si="41"/>
        <v>31320.290000000005</v>
      </c>
      <c r="T266" s="430">
        <f t="shared" si="42"/>
        <v>1972460.165</v>
      </c>
      <c r="U266" s="431">
        <v>122100</v>
      </c>
      <c r="V266" s="431">
        <v>108001</v>
      </c>
      <c r="W266" s="432">
        <v>1859967</v>
      </c>
      <c r="Y266" s="433">
        <f t="shared" si="43"/>
        <v>-112493.16500000004</v>
      </c>
      <c r="Z266" s="433">
        <f t="shared" si="44"/>
        <v>0</v>
      </c>
      <c r="AC266" s="410">
        <f t="shared" si="45"/>
        <v>0</v>
      </c>
    </row>
    <row r="267" spans="1:29" s="427" customFormat="1" ht="17.25" customHeight="1">
      <c r="A267" s="410">
        <v>1</v>
      </c>
      <c r="B267" s="417">
        <f>IF(A267&lt;&gt;0,COUNTA(A$19:$A267),"")</f>
        <v>65</v>
      </c>
      <c r="C267" s="428" t="s">
        <v>1023</v>
      </c>
      <c r="D267" s="428" t="s">
        <v>1057</v>
      </c>
      <c r="E267" s="435" t="s">
        <v>1058</v>
      </c>
      <c r="F267" s="435" t="s">
        <v>4714</v>
      </c>
      <c r="G267" s="419"/>
      <c r="H267" s="419">
        <v>135</v>
      </c>
      <c r="I267" s="419"/>
      <c r="J267" s="419"/>
      <c r="K267" s="420">
        <v>1</v>
      </c>
      <c r="L267" s="420">
        <f t="shared" si="38"/>
        <v>108001</v>
      </c>
      <c r="M267" s="420">
        <f t="shared" si="39"/>
        <v>2146621</v>
      </c>
      <c r="N267" s="445">
        <f t="shared" si="50"/>
        <v>85947.75</v>
      </c>
      <c r="O267" s="719"/>
      <c r="P267" s="719">
        <f t="shared" si="46"/>
        <v>2855088.84</v>
      </c>
      <c r="Q267" s="423">
        <f>SUMIF('8.Dgia'!E:E,'9.may'!E267,'8.Dgia'!P:P)</f>
        <v>0</v>
      </c>
      <c r="R267" s="429">
        <f t="shared" si="40"/>
        <v>0</v>
      </c>
      <c r="S267" s="301">
        <f t="shared" si="41"/>
        <v>31320.290000000005</v>
      </c>
      <c r="T267" s="430">
        <f t="shared" si="42"/>
        <v>2263889.04</v>
      </c>
      <c r="U267" s="2053">
        <v>129283</v>
      </c>
      <c r="V267" s="2053">
        <v>108001</v>
      </c>
      <c r="W267" s="2054">
        <v>2146621</v>
      </c>
      <c r="Y267" s="433">
        <f t="shared" si="43"/>
        <v>-117268.04000000004</v>
      </c>
      <c r="Z267" s="433">
        <f t="shared" si="44"/>
        <v>0</v>
      </c>
      <c r="AC267" s="410">
        <f t="shared" si="45"/>
        <v>0</v>
      </c>
    </row>
    <row r="268" spans="1:29" s="427" customFormat="1" ht="17.25" customHeight="1">
      <c r="A268" s="410">
        <v>1</v>
      </c>
      <c r="B268" s="417">
        <f>IF(A268&lt;&gt;0,COUNTA(A$19:$A268),"")</f>
        <v>66</v>
      </c>
      <c r="C268" s="428" t="s">
        <v>1025</v>
      </c>
      <c r="D268" s="428" t="s">
        <v>1059</v>
      </c>
      <c r="E268" s="435" t="s">
        <v>1060</v>
      </c>
      <c r="F268" s="435" t="s">
        <v>4715</v>
      </c>
      <c r="G268" s="419"/>
      <c r="H268" s="419">
        <v>142.5</v>
      </c>
      <c r="I268" s="419"/>
      <c r="J268" s="419"/>
      <c r="K268" s="420">
        <v>1</v>
      </c>
      <c r="L268" s="420">
        <f t="shared" si="38"/>
        <v>163444</v>
      </c>
      <c r="M268" s="420">
        <f t="shared" si="39"/>
        <v>2673237</v>
      </c>
      <c r="N268" s="445">
        <f t="shared" si="50"/>
        <v>90722.625</v>
      </c>
      <c r="O268" s="719"/>
      <c r="P268" s="719">
        <f t="shared" si="46"/>
        <v>3539198.355</v>
      </c>
      <c r="Q268" s="423">
        <f>SUMIF('8.Dgia'!E:E,'9.may'!E268,'8.Dgia'!P:P)</f>
        <v>0</v>
      </c>
      <c r="R268" s="429">
        <f t="shared" si="40"/>
        <v>0</v>
      </c>
      <c r="S268" s="301">
        <f t="shared" si="41"/>
        <v>47398.760000000009</v>
      </c>
      <c r="T268" s="430">
        <f t="shared" si="42"/>
        <v>2811358.3849999998</v>
      </c>
      <c r="U268" s="2053">
        <v>136465</v>
      </c>
      <c r="V268" s="2053">
        <v>163444</v>
      </c>
      <c r="W268" s="2054">
        <v>2673237</v>
      </c>
      <c r="Y268" s="433">
        <f t="shared" si="43"/>
        <v>-138121.38499999978</v>
      </c>
      <c r="Z268" s="433">
        <f t="shared" si="44"/>
        <v>0</v>
      </c>
      <c r="AC268" s="410">
        <f t="shared" si="45"/>
        <v>0</v>
      </c>
    </row>
    <row r="269" spans="1:29" s="410" customFormat="1" ht="17.25" customHeight="1">
      <c r="A269" s="410">
        <v>1</v>
      </c>
      <c r="B269" s="417">
        <f>IF(A269&lt;&gt;0,COUNTA(A$19:$A269),"")</f>
        <v>67</v>
      </c>
      <c r="C269" s="428" t="s">
        <v>1061</v>
      </c>
      <c r="D269" s="428" t="s">
        <v>1062</v>
      </c>
      <c r="E269" s="435" t="s">
        <v>1063</v>
      </c>
      <c r="F269" s="435" t="s">
        <v>4716</v>
      </c>
      <c r="G269" s="419"/>
      <c r="H269" s="419">
        <v>198</v>
      </c>
      <c r="I269" s="419"/>
      <c r="J269" s="419"/>
      <c r="K269" s="420">
        <v>1</v>
      </c>
      <c r="L269" s="420">
        <f t="shared" si="38"/>
        <v>163444</v>
      </c>
      <c r="M269" s="420">
        <f t="shared" si="39"/>
        <v>3235085</v>
      </c>
      <c r="N269" s="445">
        <f t="shared" si="50"/>
        <v>126056.70000000001</v>
      </c>
      <c r="O269" s="719"/>
      <c r="P269" s="719">
        <f t="shared" si="46"/>
        <v>4299316.3499999996</v>
      </c>
      <c r="Q269" s="423">
        <f>SUMIF('8.Dgia'!E:E,'9.may'!E269,'8.Dgia'!P:P)</f>
        <v>0</v>
      </c>
      <c r="R269" s="429">
        <f t="shared" si="40"/>
        <v>0</v>
      </c>
      <c r="S269" s="301">
        <f t="shared" si="41"/>
        <v>47398.760000000009</v>
      </c>
      <c r="T269" s="430">
        <f t="shared" si="42"/>
        <v>3408540.46</v>
      </c>
      <c r="U269" s="2053">
        <v>189615</v>
      </c>
      <c r="V269" s="2053">
        <v>163444</v>
      </c>
      <c r="W269" s="2054">
        <v>3235085</v>
      </c>
      <c r="Y269" s="433">
        <f t="shared" si="43"/>
        <v>-173455.45999999996</v>
      </c>
      <c r="Z269" s="433">
        <f t="shared" si="44"/>
        <v>0</v>
      </c>
      <c r="AC269" s="410">
        <f t="shared" si="45"/>
        <v>0</v>
      </c>
    </row>
    <row r="270" spans="1:29" s="410" customFormat="1" ht="17.25" hidden="1" customHeight="1">
      <c r="B270" s="417" t="str">
        <f>IF(A270&lt;&gt;0,COUNTA(A$19:$A270),"")</f>
        <v/>
      </c>
      <c r="C270" s="428" t="s">
        <v>1064</v>
      </c>
      <c r="D270" s="428"/>
      <c r="E270" s="435"/>
      <c r="F270" s="435"/>
      <c r="G270" s="419"/>
      <c r="H270" s="419">
        <v>480</v>
      </c>
      <c r="I270" s="419"/>
      <c r="J270" s="419"/>
      <c r="K270" s="420">
        <v>1</v>
      </c>
      <c r="L270" s="420">
        <f t="shared" si="38"/>
        <v>240767</v>
      </c>
      <c r="M270" s="420">
        <f t="shared" si="39"/>
        <v>9037005</v>
      </c>
      <c r="N270" s="445">
        <f t="shared" si="50"/>
        <v>305592</v>
      </c>
      <c r="O270" s="719"/>
      <c r="P270" s="719">
        <f t="shared" si="46"/>
        <v>11963328.450000001</v>
      </c>
      <c r="Q270" s="423">
        <f>SUMIF('8.Dgia'!E:E,'9.may'!E270,'8.Dgia'!P:P)</f>
        <v>0</v>
      </c>
      <c r="R270" s="429">
        <f t="shared" si="40"/>
        <v>0</v>
      </c>
      <c r="S270" s="301">
        <f t="shared" si="41"/>
        <v>69822.430000000008</v>
      </c>
      <c r="T270" s="430">
        <f t="shared" si="42"/>
        <v>9412419.4299999997</v>
      </c>
      <c r="U270" s="431">
        <v>459672</v>
      </c>
      <c r="V270" s="431">
        <v>240767</v>
      </c>
      <c r="W270" s="432">
        <v>9037005</v>
      </c>
      <c r="Y270" s="433">
        <f t="shared" si="43"/>
        <v>-375414.4299999997</v>
      </c>
      <c r="Z270" s="433">
        <f t="shared" si="44"/>
        <v>0</v>
      </c>
      <c r="AC270" s="410">
        <f t="shared" si="45"/>
        <v>0</v>
      </c>
    </row>
    <row r="271" spans="1:29" s="410" customFormat="1" ht="17.25" hidden="1" customHeight="1">
      <c r="B271" s="417" t="str">
        <f>IF(A271&lt;&gt;0,COUNTA(A$19:$A271),"")</f>
        <v/>
      </c>
      <c r="C271" s="418" t="s">
        <v>1065</v>
      </c>
      <c r="D271" s="418"/>
      <c r="E271" s="435"/>
      <c r="F271" s="435"/>
      <c r="G271" s="419"/>
      <c r="H271" s="419"/>
      <c r="I271" s="419"/>
      <c r="J271" s="419"/>
      <c r="K271" s="437"/>
      <c r="L271" s="420">
        <f t="shared" si="38"/>
        <v>0</v>
      </c>
      <c r="M271" s="420">
        <f t="shared" si="39"/>
        <v>0</v>
      </c>
      <c r="N271" s="445"/>
      <c r="O271" s="719"/>
      <c r="P271" s="719">
        <f t="shared" si="46"/>
        <v>0</v>
      </c>
      <c r="Q271" s="423">
        <f>SUMIF('8.Dgia'!E:E,'9.may'!E271,'8.Dgia'!P:P)</f>
        <v>0</v>
      </c>
      <c r="R271" s="429">
        <f t="shared" si="40"/>
        <v>0</v>
      </c>
      <c r="S271" s="301">
        <f t="shared" si="41"/>
        <v>0</v>
      </c>
      <c r="T271" s="430">
        <f t="shared" si="42"/>
        <v>0</v>
      </c>
      <c r="U271" s="436"/>
      <c r="V271" s="436"/>
      <c r="W271" s="432"/>
      <c r="Y271" s="433">
        <f t="shared" si="43"/>
        <v>0</v>
      </c>
      <c r="Z271" s="433">
        <f t="shared" si="44"/>
        <v>0</v>
      </c>
      <c r="AC271" s="410">
        <f t="shared" si="45"/>
        <v>0</v>
      </c>
    </row>
    <row r="272" spans="1:29" s="410" customFormat="1" ht="17.25" customHeight="1">
      <c r="A272" s="410">
        <v>1</v>
      </c>
      <c r="B272" s="417">
        <f>IF(A272&lt;&gt;0,COUNTA(A$19:$A272),"")</f>
        <v>68</v>
      </c>
      <c r="C272" s="428" t="s">
        <v>1066</v>
      </c>
      <c r="D272" s="428" t="s">
        <v>1067</v>
      </c>
      <c r="E272" s="435" t="s">
        <v>1068</v>
      </c>
      <c r="F272" s="435" t="s">
        <v>4717</v>
      </c>
      <c r="G272" s="419">
        <v>81</v>
      </c>
      <c r="H272" s="419"/>
      <c r="I272" s="419"/>
      <c r="J272" s="419"/>
      <c r="K272" s="420">
        <v>1</v>
      </c>
      <c r="L272" s="420">
        <f t="shared" si="38"/>
        <v>330959</v>
      </c>
      <c r="M272" s="420">
        <f t="shared" si="39"/>
        <v>2933280</v>
      </c>
      <c r="N272" s="445">
        <f>SUMPRODUCT(G272:J272,$G$12:$J$12,$G$9:$J$9)</f>
        <v>1315970.9181818182</v>
      </c>
      <c r="O272" s="719"/>
      <c r="P272" s="719">
        <f t="shared" si="46"/>
        <v>5099902.1181818182</v>
      </c>
      <c r="Q272" s="423">
        <f>SUMIF('8.Dgia'!E:E,'9.may'!E272,'8.Dgia'!P:P)</f>
        <v>0</v>
      </c>
      <c r="R272" s="429">
        <f t="shared" si="40"/>
        <v>0</v>
      </c>
      <c r="S272" s="301">
        <f t="shared" si="41"/>
        <v>95978.110000000015</v>
      </c>
      <c r="T272" s="430">
        <f t="shared" si="42"/>
        <v>4345229.0281818183</v>
      </c>
      <c r="U272" s="2053">
        <v>579871</v>
      </c>
      <c r="V272" s="2053">
        <v>330959</v>
      </c>
      <c r="W272" s="2054">
        <v>2933280</v>
      </c>
      <c r="Y272" s="433">
        <f t="shared" si="43"/>
        <v>-1411949.0281818183</v>
      </c>
      <c r="Z272" s="433">
        <f t="shared" si="44"/>
        <v>0</v>
      </c>
      <c r="AC272" s="410">
        <f t="shared" si="45"/>
        <v>0</v>
      </c>
    </row>
    <row r="273" spans="1:29" s="410" customFormat="1" ht="17.25" hidden="1" customHeight="1">
      <c r="B273" s="417" t="str">
        <f>IF(A273&lt;&gt;0,COUNTA(A$19:$A273),"")</f>
        <v/>
      </c>
      <c r="C273" s="418" t="s">
        <v>1069</v>
      </c>
      <c r="D273" s="418"/>
      <c r="E273" s="435"/>
      <c r="F273" s="435"/>
      <c r="G273" s="419"/>
      <c r="H273" s="419"/>
      <c r="I273" s="419"/>
      <c r="J273" s="419"/>
      <c r="K273" s="420"/>
      <c r="L273" s="420">
        <f t="shared" si="38"/>
        <v>0</v>
      </c>
      <c r="M273" s="420">
        <f t="shared" si="39"/>
        <v>0</v>
      </c>
      <c r="N273" s="445"/>
      <c r="O273" s="719"/>
      <c r="P273" s="719">
        <f t="shared" si="46"/>
        <v>0</v>
      </c>
      <c r="Q273" s="423">
        <f>SUMIF('8.Dgia'!E:E,'9.may'!E273,'8.Dgia'!P:P)</f>
        <v>0</v>
      </c>
      <c r="R273" s="429">
        <f t="shared" si="40"/>
        <v>0</v>
      </c>
      <c r="S273" s="301">
        <f t="shared" si="41"/>
        <v>0</v>
      </c>
      <c r="T273" s="430">
        <f t="shared" si="42"/>
        <v>0</v>
      </c>
      <c r="U273" s="436"/>
      <c r="V273" s="436"/>
      <c r="W273" s="432"/>
      <c r="Y273" s="433">
        <f t="shared" si="43"/>
        <v>0</v>
      </c>
      <c r="Z273" s="433">
        <f t="shared" si="44"/>
        <v>0</v>
      </c>
      <c r="AC273" s="410">
        <f t="shared" si="45"/>
        <v>0</v>
      </c>
    </row>
    <row r="274" spans="1:29" s="410" customFormat="1" ht="17.25" hidden="1" customHeight="1">
      <c r="B274" s="417" t="str">
        <f>IF(A274&lt;&gt;0,COUNTA(A$19:$A274),"")</f>
        <v/>
      </c>
      <c r="C274" s="428" t="s">
        <v>1070</v>
      </c>
      <c r="D274" s="428"/>
      <c r="E274" s="435"/>
      <c r="F274" s="435"/>
      <c r="G274" s="419">
        <v>117.6</v>
      </c>
      <c r="H274" s="419"/>
      <c r="I274" s="419"/>
      <c r="J274" s="419"/>
      <c r="K274" s="420">
        <v>1</v>
      </c>
      <c r="L274" s="420">
        <f t="shared" si="38"/>
        <v>344868</v>
      </c>
      <c r="M274" s="420">
        <f t="shared" si="39"/>
        <v>3819883</v>
      </c>
      <c r="N274" s="445">
        <f>SUMPRODUCT(G274:J274,$G$12:$J$12,$G$9:$J$9)</f>
        <v>1910594.8145454542</v>
      </c>
      <c r="O274" s="719"/>
      <c r="P274" s="719">
        <f t="shared" si="46"/>
        <v>6838243.8845454548</v>
      </c>
      <c r="Q274" s="423">
        <f>SUMIF('8.Dgia'!E:E,'9.may'!E274,'8.Dgia'!P:P)</f>
        <v>0</v>
      </c>
      <c r="R274" s="429">
        <f t="shared" si="40"/>
        <v>0</v>
      </c>
      <c r="S274" s="301">
        <f t="shared" si="41"/>
        <v>100011.72000000002</v>
      </c>
      <c r="T274" s="430">
        <f t="shared" si="42"/>
        <v>5830489.5345454542</v>
      </c>
      <c r="U274" s="431">
        <v>841887</v>
      </c>
      <c r="V274" s="431">
        <v>344868</v>
      </c>
      <c r="W274" s="432">
        <v>3819883</v>
      </c>
      <c r="Y274" s="433">
        <f t="shared" si="43"/>
        <v>-2010606.5345454542</v>
      </c>
      <c r="Z274" s="433">
        <f t="shared" si="44"/>
        <v>0</v>
      </c>
      <c r="AC274" s="410">
        <f t="shared" si="45"/>
        <v>0</v>
      </c>
    </row>
    <row r="275" spans="1:29" s="410" customFormat="1" ht="17.25" hidden="1" customHeight="1">
      <c r="B275" s="417" t="str">
        <f>IF(A275&lt;&gt;0,COUNTA(A$19:$A275),"")</f>
        <v/>
      </c>
      <c r="C275" s="440" t="s">
        <v>1071</v>
      </c>
      <c r="D275" s="440"/>
      <c r="E275" s="435"/>
      <c r="F275" s="435"/>
      <c r="G275" s="419"/>
      <c r="H275" s="419"/>
      <c r="I275" s="419"/>
      <c r="J275" s="419"/>
      <c r="K275" s="420"/>
      <c r="L275" s="420">
        <f t="shared" si="38"/>
        <v>0</v>
      </c>
      <c r="M275" s="420">
        <f t="shared" si="39"/>
        <v>0</v>
      </c>
      <c r="N275" s="445"/>
      <c r="O275" s="719"/>
      <c r="P275" s="719">
        <f t="shared" si="46"/>
        <v>0</v>
      </c>
      <c r="Q275" s="423">
        <f>SUMIF('8.Dgia'!E:E,'9.may'!E275,'8.Dgia'!P:P)</f>
        <v>0</v>
      </c>
      <c r="R275" s="429">
        <f t="shared" si="40"/>
        <v>0</v>
      </c>
      <c r="S275" s="301">
        <f t="shared" si="41"/>
        <v>0</v>
      </c>
      <c r="T275" s="430">
        <f t="shared" si="42"/>
        <v>0</v>
      </c>
      <c r="U275" s="436"/>
      <c r="V275" s="436"/>
      <c r="W275" s="432"/>
      <c r="Y275" s="433">
        <f t="shared" si="43"/>
        <v>0</v>
      </c>
      <c r="Z275" s="433">
        <f t="shared" si="44"/>
        <v>0</v>
      </c>
      <c r="AC275" s="410">
        <f t="shared" si="45"/>
        <v>0</v>
      </c>
    </row>
    <row r="276" spans="1:29" s="410" customFormat="1" ht="17.25" customHeight="1">
      <c r="A276" s="410">
        <v>1</v>
      </c>
      <c r="B276" s="417">
        <f>IF(A276&lt;&gt;0,COUNTA(A$19:$A276),"")</f>
        <v>69</v>
      </c>
      <c r="C276" s="439" t="s">
        <v>1072</v>
      </c>
      <c r="D276" s="439" t="s">
        <v>1073</v>
      </c>
      <c r="E276" s="435" t="s">
        <v>1074</v>
      </c>
      <c r="F276" s="435" t="s">
        <v>4718</v>
      </c>
      <c r="G276" s="419"/>
      <c r="H276" s="419">
        <v>232.56</v>
      </c>
      <c r="I276" s="419"/>
      <c r="J276" s="419"/>
      <c r="K276" s="420">
        <v>1</v>
      </c>
      <c r="L276" s="420">
        <f t="shared" ref="L276:L339" si="51">+V276</f>
        <v>302633</v>
      </c>
      <c r="M276" s="420">
        <f t="shared" ref="M276:M339" si="52">+W276</f>
        <v>3334869</v>
      </c>
      <c r="N276" s="445">
        <f>SUMPRODUCT(G276:J276,$G$12:$J$12,$G$9:$J$9)</f>
        <v>148059.32400000002</v>
      </c>
      <c r="O276" s="719"/>
      <c r="P276" s="719">
        <f t="shared" si="46"/>
        <v>4450040.3339999998</v>
      </c>
      <c r="Q276" s="423" t="e">
        <f>SUMIF('8.Dgia'!E:E,'9.may'!E276,'8.Dgia'!P:P)</f>
        <v>#REF!</v>
      </c>
      <c r="R276" s="429" t="e">
        <f t="shared" ref="R276:R339" si="53">N276*Q276</f>
        <v>#REF!</v>
      </c>
      <c r="S276" s="301">
        <f t="shared" ref="S276:S339" si="54">L276*($G$13-1)</f>
        <v>87763.57</v>
      </c>
      <c r="T276" s="430">
        <f t="shared" ref="T276:T339" si="55">S276+N276+M276</f>
        <v>3570691.8939999999</v>
      </c>
      <c r="U276" s="2053">
        <v>222711</v>
      </c>
      <c r="V276" s="2053">
        <v>302633</v>
      </c>
      <c r="W276" s="2054">
        <v>3334869</v>
      </c>
      <c r="Y276" s="433">
        <f t="shared" ref="Y276:Y339" si="56">W276-T276</f>
        <v>-235822.89399999985</v>
      </c>
      <c r="Z276" s="433">
        <f t="shared" ref="Z276:Z339" si="57">W276-M276</f>
        <v>0</v>
      </c>
      <c r="AC276" s="410" t="e">
        <f t="shared" ref="AC276:AC339" si="58">+P276*Q276</f>
        <v>#REF!</v>
      </c>
    </row>
    <row r="277" spans="1:29" s="410" customFormat="1" ht="17.25" hidden="1" customHeight="1">
      <c r="B277" s="417" t="str">
        <f>IF(A277&lt;&gt;0,COUNTA(A$19:$A277),"")</f>
        <v/>
      </c>
      <c r="C277" s="418" t="s">
        <v>1075</v>
      </c>
      <c r="D277" s="418"/>
      <c r="E277" s="435"/>
      <c r="F277" s="435"/>
      <c r="G277" s="419"/>
      <c r="H277" s="419"/>
      <c r="I277" s="419"/>
      <c r="J277" s="419"/>
      <c r="K277" s="420"/>
      <c r="L277" s="420">
        <f t="shared" si="51"/>
        <v>0</v>
      </c>
      <c r="M277" s="420">
        <f t="shared" si="52"/>
        <v>0</v>
      </c>
      <c r="N277" s="445"/>
      <c r="O277" s="719"/>
      <c r="P277" s="719">
        <f t="shared" ref="P277:P340" si="59">+N277+M277*$G$13</f>
        <v>0</v>
      </c>
      <c r="Q277" s="423">
        <f>SUMIF('8.Dgia'!E:E,'9.may'!E277,'8.Dgia'!P:P)</f>
        <v>0</v>
      </c>
      <c r="R277" s="429">
        <f t="shared" si="53"/>
        <v>0</v>
      </c>
      <c r="S277" s="301">
        <f t="shared" si="54"/>
        <v>0</v>
      </c>
      <c r="T277" s="430">
        <f t="shared" si="55"/>
        <v>0</v>
      </c>
      <c r="U277" s="436"/>
      <c r="V277" s="436"/>
      <c r="W277" s="432"/>
      <c r="Y277" s="433">
        <f t="shared" si="56"/>
        <v>0</v>
      </c>
      <c r="Z277" s="433">
        <f t="shared" si="57"/>
        <v>0</v>
      </c>
      <c r="AC277" s="410">
        <f t="shared" si="58"/>
        <v>0</v>
      </c>
    </row>
    <row r="278" spans="1:29" s="410" customFormat="1" ht="17.25" customHeight="1">
      <c r="A278" s="410">
        <v>1</v>
      </c>
      <c r="B278" s="417">
        <f>IF(A278&lt;&gt;0,COUNTA(A$19:$A278),"")</f>
        <v>70</v>
      </c>
      <c r="C278" s="428" t="s">
        <v>1076</v>
      </c>
      <c r="D278" s="428" t="s">
        <v>1077</v>
      </c>
      <c r="E278" s="435" t="s">
        <v>1078</v>
      </c>
      <c r="F278" s="435" t="s">
        <v>4718</v>
      </c>
      <c r="G278" s="419"/>
      <c r="H278" s="419">
        <v>81</v>
      </c>
      <c r="I278" s="419"/>
      <c r="J278" s="419"/>
      <c r="K278" s="420">
        <v>1</v>
      </c>
      <c r="L278" s="420">
        <f t="shared" si="51"/>
        <v>98673</v>
      </c>
      <c r="M278" s="420">
        <f t="shared" si="52"/>
        <v>735846</v>
      </c>
      <c r="N278" s="445">
        <f>SUMPRODUCT(G278:J278,$G$12:$J$12,$G$9:$J$9)</f>
        <v>51568.65</v>
      </c>
      <c r="O278" s="719"/>
      <c r="P278" s="719">
        <f t="shared" si="59"/>
        <v>1000809.9900000001</v>
      </c>
      <c r="Q278" s="423">
        <f>SUMIF('8.Dgia'!E:E,'9.may'!E278,'8.Dgia'!P:P)</f>
        <v>0</v>
      </c>
      <c r="R278" s="429">
        <f t="shared" si="53"/>
        <v>0</v>
      </c>
      <c r="S278" s="301">
        <f t="shared" si="54"/>
        <v>28615.170000000002</v>
      </c>
      <c r="T278" s="430">
        <f t="shared" si="55"/>
        <v>816029.82000000007</v>
      </c>
      <c r="U278" s="2053">
        <v>77570</v>
      </c>
      <c r="V278" s="2053">
        <v>98673</v>
      </c>
      <c r="W278" s="2054">
        <v>735846</v>
      </c>
      <c r="Y278" s="433">
        <f t="shared" si="56"/>
        <v>-80183.820000000065</v>
      </c>
      <c r="Z278" s="433">
        <f t="shared" si="57"/>
        <v>0</v>
      </c>
      <c r="AC278" s="410">
        <f t="shared" si="58"/>
        <v>0</v>
      </c>
    </row>
    <row r="279" spans="1:29" s="410" customFormat="1" ht="17.25" hidden="1" customHeight="1">
      <c r="B279" s="417" t="str">
        <f>IF(A279&lt;&gt;0,COUNTA(A$19:$A279),"")</f>
        <v/>
      </c>
      <c r="C279" s="428" t="s">
        <v>1079</v>
      </c>
      <c r="D279" s="428"/>
      <c r="E279" s="435"/>
      <c r="F279" s="435"/>
      <c r="G279" s="419"/>
      <c r="H279" s="419">
        <v>86.4</v>
      </c>
      <c r="I279" s="419"/>
      <c r="J279" s="419"/>
      <c r="K279" s="420">
        <v>1</v>
      </c>
      <c r="L279" s="420">
        <f t="shared" si="51"/>
        <v>98673</v>
      </c>
      <c r="M279" s="420">
        <f t="shared" si="52"/>
        <v>926527</v>
      </c>
      <c r="N279" s="445">
        <f>SUMPRODUCT(G279:J279,$G$12:$J$12,$G$9:$J$9)</f>
        <v>55006.560000000005</v>
      </c>
      <c r="O279" s="719"/>
      <c r="P279" s="719">
        <f t="shared" si="59"/>
        <v>1250226.3900000001</v>
      </c>
      <c r="Q279" s="423">
        <f>SUMIF('8.Dgia'!E:E,'9.may'!E279,'8.Dgia'!P:P)</f>
        <v>0</v>
      </c>
      <c r="R279" s="429">
        <f t="shared" si="53"/>
        <v>0</v>
      </c>
      <c r="S279" s="301">
        <f t="shared" si="54"/>
        <v>28615.170000000002</v>
      </c>
      <c r="T279" s="430">
        <f t="shared" si="55"/>
        <v>1010148.73</v>
      </c>
      <c r="U279" s="431">
        <v>82741</v>
      </c>
      <c r="V279" s="431">
        <v>98673</v>
      </c>
      <c r="W279" s="432">
        <v>926527</v>
      </c>
      <c r="Y279" s="433">
        <f t="shared" si="56"/>
        <v>-83621.729999999981</v>
      </c>
      <c r="Z279" s="433">
        <f t="shared" si="57"/>
        <v>0</v>
      </c>
      <c r="AC279" s="410">
        <f t="shared" si="58"/>
        <v>0</v>
      </c>
    </row>
    <row r="280" spans="1:29" s="410" customFormat="1" ht="17.25" customHeight="1">
      <c r="A280" s="410">
        <v>1</v>
      </c>
      <c r="B280" s="417">
        <f>IF(A280&lt;&gt;0,COUNTA(A$19:$A280),"")</f>
        <v>71</v>
      </c>
      <c r="C280" s="428" t="s">
        <v>1066</v>
      </c>
      <c r="D280" s="428" t="s">
        <v>1080</v>
      </c>
      <c r="E280" s="435" t="s">
        <v>1081</v>
      </c>
      <c r="F280" s="435" t="s">
        <v>4719</v>
      </c>
      <c r="G280" s="419"/>
      <c r="H280" s="419">
        <v>90</v>
      </c>
      <c r="I280" s="419"/>
      <c r="J280" s="419"/>
      <c r="K280" s="420">
        <v>1</v>
      </c>
      <c r="L280" s="420">
        <f t="shared" si="51"/>
        <v>108001</v>
      </c>
      <c r="M280" s="420">
        <f t="shared" si="52"/>
        <v>990088</v>
      </c>
      <c r="N280" s="445">
        <f>SUMPRODUCT(G280:J280,$G$12:$J$12,$G$9:$J$9)</f>
        <v>57298.5</v>
      </c>
      <c r="O280" s="719"/>
      <c r="P280" s="719">
        <f t="shared" si="59"/>
        <v>1334512.02</v>
      </c>
      <c r="Q280" s="423">
        <f>SUMIF('8.Dgia'!E:E,'9.may'!E280,'8.Dgia'!P:P)</f>
        <v>0</v>
      </c>
      <c r="R280" s="429">
        <f t="shared" si="53"/>
        <v>0</v>
      </c>
      <c r="S280" s="301">
        <f t="shared" si="54"/>
        <v>31320.290000000005</v>
      </c>
      <c r="T280" s="430">
        <f t="shared" si="55"/>
        <v>1078706.79</v>
      </c>
      <c r="U280" s="2053">
        <v>86189</v>
      </c>
      <c r="V280" s="2053">
        <v>108001</v>
      </c>
      <c r="W280" s="2054">
        <v>990088</v>
      </c>
      <c r="Y280" s="433">
        <f t="shared" si="56"/>
        <v>-88618.790000000037</v>
      </c>
      <c r="Z280" s="433">
        <f t="shared" si="57"/>
        <v>0</v>
      </c>
      <c r="AC280" s="410">
        <f t="shared" si="58"/>
        <v>0</v>
      </c>
    </row>
    <row r="281" spans="1:29" s="410" customFormat="1" ht="17.25" hidden="1" customHeight="1">
      <c r="B281" s="417" t="str">
        <f>IF(A281&lt;&gt;0,COUNTA(A$19:$A281),"")</f>
        <v/>
      </c>
      <c r="C281" s="428" t="s">
        <v>1082</v>
      </c>
      <c r="D281" s="428"/>
      <c r="E281" s="435"/>
      <c r="F281" s="435"/>
      <c r="G281" s="419"/>
      <c r="H281" s="419">
        <v>144</v>
      </c>
      <c r="I281" s="419"/>
      <c r="J281" s="419"/>
      <c r="K281" s="420">
        <v>1</v>
      </c>
      <c r="L281" s="420">
        <f t="shared" si="51"/>
        <v>119196</v>
      </c>
      <c r="M281" s="420">
        <f t="shared" si="52"/>
        <v>1319618</v>
      </c>
      <c r="N281" s="445">
        <f>SUMPRODUCT(G281:J281,$G$12:$J$12,$G$9:$J$9)</f>
        <v>91677.6</v>
      </c>
      <c r="O281" s="719"/>
      <c r="P281" s="719">
        <f t="shared" si="59"/>
        <v>1793984.82</v>
      </c>
      <c r="Q281" s="423">
        <f>SUMIF('8.Dgia'!E:E,'9.may'!E281,'8.Dgia'!P:P)</f>
        <v>0</v>
      </c>
      <c r="R281" s="429">
        <f t="shared" si="53"/>
        <v>0</v>
      </c>
      <c r="S281" s="301">
        <f t="shared" si="54"/>
        <v>34566.840000000004</v>
      </c>
      <c r="T281" s="430">
        <f t="shared" si="55"/>
        <v>1445862.44</v>
      </c>
      <c r="U281" s="431">
        <v>137902</v>
      </c>
      <c r="V281" s="431">
        <v>119196</v>
      </c>
      <c r="W281" s="432">
        <v>1319618</v>
      </c>
      <c r="Y281" s="433">
        <f t="shared" si="56"/>
        <v>-126244.43999999994</v>
      </c>
      <c r="Z281" s="433">
        <f t="shared" si="57"/>
        <v>0</v>
      </c>
      <c r="AC281" s="410">
        <f t="shared" si="58"/>
        <v>0</v>
      </c>
    </row>
    <row r="282" spans="1:29" s="410" customFormat="1" ht="17.25" hidden="1" customHeight="1">
      <c r="B282" s="417" t="str">
        <f>IF(A282&lt;&gt;0,COUNTA(A$19:$A282),"")</f>
        <v/>
      </c>
      <c r="C282" s="418" t="s">
        <v>1083</v>
      </c>
      <c r="D282" s="418"/>
      <c r="E282" s="435"/>
      <c r="F282" s="435"/>
      <c r="G282" s="419"/>
      <c r="H282" s="419"/>
      <c r="I282" s="419"/>
      <c r="J282" s="419"/>
      <c r="K282" s="420"/>
      <c r="L282" s="420">
        <f t="shared" si="51"/>
        <v>0</v>
      </c>
      <c r="M282" s="420">
        <f t="shared" si="52"/>
        <v>0</v>
      </c>
      <c r="N282" s="445"/>
      <c r="O282" s="719"/>
      <c r="P282" s="719">
        <f t="shared" si="59"/>
        <v>0</v>
      </c>
      <c r="Q282" s="423">
        <f>SUMIF('8.Dgia'!E:E,'9.may'!E282,'8.Dgia'!P:P)</f>
        <v>0</v>
      </c>
      <c r="R282" s="429">
        <f t="shared" si="53"/>
        <v>0</v>
      </c>
      <c r="S282" s="301">
        <f t="shared" si="54"/>
        <v>0</v>
      </c>
      <c r="T282" s="430">
        <f t="shared" si="55"/>
        <v>0</v>
      </c>
      <c r="U282" s="436"/>
      <c r="V282" s="436"/>
      <c r="W282" s="432"/>
      <c r="Y282" s="433">
        <f t="shared" si="56"/>
        <v>0</v>
      </c>
      <c r="Z282" s="433">
        <f t="shared" si="57"/>
        <v>0</v>
      </c>
      <c r="AC282" s="410">
        <f t="shared" si="58"/>
        <v>0</v>
      </c>
    </row>
    <row r="283" spans="1:29" s="410" customFormat="1" ht="17.25" hidden="1" customHeight="1">
      <c r="B283" s="417" t="str">
        <f>IF(A283&lt;&gt;0,COUNTA(A$19:$A283),"")</f>
        <v/>
      </c>
      <c r="C283" s="428" t="s">
        <v>1084</v>
      </c>
      <c r="D283" s="428"/>
      <c r="E283" s="435"/>
      <c r="F283" s="435"/>
      <c r="G283" s="419"/>
      <c r="H283" s="419">
        <v>48</v>
      </c>
      <c r="I283" s="419"/>
      <c r="J283" s="419"/>
      <c r="K283" s="420">
        <v>1</v>
      </c>
      <c r="L283" s="420">
        <f t="shared" si="51"/>
        <v>108001</v>
      </c>
      <c r="M283" s="420">
        <f t="shared" si="52"/>
        <v>327169</v>
      </c>
      <c r="N283" s="445">
        <f t="shared" ref="N283:N291" si="60">SUMPRODUCT(G283:J283,$G$12:$J$12,$G$9:$J$9)</f>
        <v>30559.200000000001</v>
      </c>
      <c r="O283" s="719"/>
      <c r="P283" s="719">
        <f t="shared" si="59"/>
        <v>452607.21</v>
      </c>
      <c r="Q283" s="423">
        <f>SUMIF('8.Dgia'!E:E,'9.may'!E283,'8.Dgia'!P:P)</f>
        <v>0</v>
      </c>
      <c r="R283" s="429">
        <f t="shared" si="53"/>
        <v>0</v>
      </c>
      <c r="S283" s="301">
        <f t="shared" si="54"/>
        <v>31320.290000000005</v>
      </c>
      <c r="T283" s="430">
        <f t="shared" si="55"/>
        <v>389048.49</v>
      </c>
      <c r="U283" s="431">
        <v>45967</v>
      </c>
      <c r="V283" s="431">
        <v>108001</v>
      </c>
      <c r="W283" s="432">
        <v>327169</v>
      </c>
      <c r="Y283" s="433">
        <f t="shared" si="56"/>
        <v>-61879.489999999991</v>
      </c>
      <c r="Z283" s="433">
        <f t="shared" si="57"/>
        <v>0</v>
      </c>
      <c r="AC283" s="410">
        <f t="shared" si="58"/>
        <v>0</v>
      </c>
    </row>
    <row r="284" spans="1:29" s="410" customFormat="1" ht="17.25" hidden="1" customHeight="1">
      <c r="B284" s="417" t="str">
        <f>IF(A284&lt;&gt;0,COUNTA(A$19:$A284),"")</f>
        <v/>
      </c>
      <c r="C284" s="428" t="s">
        <v>1085</v>
      </c>
      <c r="D284" s="428"/>
      <c r="E284" s="435"/>
      <c r="F284" s="435"/>
      <c r="G284" s="419"/>
      <c r="H284" s="419">
        <v>60</v>
      </c>
      <c r="I284" s="419"/>
      <c r="J284" s="419"/>
      <c r="K284" s="420">
        <v>1</v>
      </c>
      <c r="L284" s="420">
        <f t="shared" si="51"/>
        <v>108001</v>
      </c>
      <c r="M284" s="420">
        <f t="shared" si="52"/>
        <v>360986</v>
      </c>
      <c r="N284" s="445">
        <f t="shared" si="60"/>
        <v>38199</v>
      </c>
      <c r="O284" s="719"/>
      <c r="P284" s="719">
        <f t="shared" si="59"/>
        <v>503870.94</v>
      </c>
      <c r="Q284" s="423">
        <f>SUMIF('8.Dgia'!E:E,'9.may'!E284,'8.Dgia'!P:P)</f>
        <v>0</v>
      </c>
      <c r="R284" s="429">
        <f t="shared" si="53"/>
        <v>0</v>
      </c>
      <c r="S284" s="301">
        <f t="shared" si="54"/>
        <v>31320.290000000005</v>
      </c>
      <c r="T284" s="430">
        <f t="shared" si="55"/>
        <v>430505.29000000004</v>
      </c>
      <c r="U284" s="431">
        <v>57459</v>
      </c>
      <c r="V284" s="431">
        <v>108001</v>
      </c>
      <c r="W284" s="432">
        <v>360986</v>
      </c>
      <c r="Y284" s="433">
        <f t="shared" si="56"/>
        <v>-69519.290000000037</v>
      </c>
      <c r="Z284" s="433">
        <f t="shared" si="57"/>
        <v>0</v>
      </c>
      <c r="AC284" s="410">
        <f t="shared" si="58"/>
        <v>0</v>
      </c>
    </row>
    <row r="285" spans="1:29" s="427" customFormat="1" ht="17.25" hidden="1" customHeight="1">
      <c r="B285" s="417" t="str">
        <f>IF(A285&lt;&gt;0,COUNTA(A$19:$A285),"")</f>
        <v/>
      </c>
      <c r="C285" s="428" t="s">
        <v>1086</v>
      </c>
      <c r="D285" s="428"/>
      <c r="E285" s="435"/>
      <c r="F285" s="435"/>
      <c r="G285" s="419"/>
      <c r="H285" s="419">
        <v>72</v>
      </c>
      <c r="I285" s="419"/>
      <c r="J285" s="419"/>
      <c r="K285" s="420">
        <v>1</v>
      </c>
      <c r="L285" s="420">
        <f t="shared" si="51"/>
        <v>108001</v>
      </c>
      <c r="M285" s="420">
        <f t="shared" si="52"/>
        <v>398997</v>
      </c>
      <c r="N285" s="445">
        <f t="shared" si="60"/>
        <v>45838.8</v>
      </c>
      <c r="O285" s="719"/>
      <c r="P285" s="719">
        <f t="shared" si="59"/>
        <v>560544.93000000005</v>
      </c>
      <c r="Q285" s="423">
        <f>SUMIF('8.Dgia'!E:E,'9.may'!E285,'8.Dgia'!P:P)</f>
        <v>0</v>
      </c>
      <c r="R285" s="429">
        <f t="shared" si="53"/>
        <v>0</v>
      </c>
      <c r="S285" s="301">
        <f t="shared" si="54"/>
        <v>31320.290000000005</v>
      </c>
      <c r="T285" s="430">
        <f t="shared" si="55"/>
        <v>476156.09</v>
      </c>
      <c r="U285" s="431">
        <v>68951</v>
      </c>
      <c r="V285" s="431">
        <v>108001</v>
      </c>
      <c r="W285" s="432">
        <v>398997</v>
      </c>
      <c r="Y285" s="433">
        <f t="shared" si="56"/>
        <v>-77159.090000000026</v>
      </c>
      <c r="Z285" s="433">
        <f t="shared" si="57"/>
        <v>0</v>
      </c>
      <c r="AC285" s="410">
        <f t="shared" si="58"/>
        <v>0</v>
      </c>
    </row>
    <row r="286" spans="1:29" s="427" customFormat="1" ht="17.25" hidden="1" customHeight="1">
      <c r="B286" s="417" t="str">
        <f>IF(A286&lt;&gt;0,COUNTA(A$19:$A286),"")</f>
        <v/>
      </c>
      <c r="C286" s="428" t="s">
        <v>1087</v>
      </c>
      <c r="D286" s="428"/>
      <c r="E286" s="435"/>
      <c r="F286" s="435"/>
      <c r="G286" s="419"/>
      <c r="H286" s="419">
        <v>84</v>
      </c>
      <c r="I286" s="419"/>
      <c r="J286" s="419"/>
      <c r="K286" s="420">
        <v>1</v>
      </c>
      <c r="L286" s="420">
        <f t="shared" si="51"/>
        <v>119196</v>
      </c>
      <c r="M286" s="420">
        <f t="shared" si="52"/>
        <v>465830</v>
      </c>
      <c r="N286" s="445">
        <f t="shared" si="60"/>
        <v>53478.600000000006</v>
      </c>
      <c r="O286" s="719"/>
      <c r="P286" s="719">
        <f t="shared" si="59"/>
        <v>654399.30000000005</v>
      </c>
      <c r="Q286" s="423">
        <f>SUMIF('8.Dgia'!E:E,'9.may'!E286,'8.Dgia'!P:P)</f>
        <v>0</v>
      </c>
      <c r="R286" s="429">
        <f t="shared" si="53"/>
        <v>0</v>
      </c>
      <c r="S286" s="301">
        <f t="shared" si="54"/>
        <v>34566.840000000004</v>
      </c>
      <c r="T286" s="430">
        <f t="shared" si="55"/>
        <v>553875.43999999994</v>
      </c>
      <c r="U286" s="431">
        <v>80443</v>
      </c>
      <c r="V286" s="431">
        <v>119196</v>
      </c>
      <c r="W286" s="432">
        <v>465830</v>
      </c>
      <c r="Y286" s="433">
        <f t="shared" si="56"/>
        <v>-88045.439999999944</v>
      </c>
      <c r="Z286" s="433">
        <f t="shared" si="57"/>
        <v>0</v>
      </c>
      <c r="AC286" s="410">
        <f t="shared" si="58"/>
        <v>0</v>
      </c>
    </row>
    <row r="287" spans="1:29" s="427" customFormat="1" ht="17.25" hidden="1" customHeight="1">
      <c r="B287" s="417" t="str">
        <f>IF(A287&lt;&gt;0,COUNTA(A$19:$A287),"")</f>
        <v/>
      </c>
      <c r="C287" s="428" t="s">
        <v>1088</v>
      </c>
      <c r="D287" s="428"/>
      <c r="E287" s="435"/>
      <c r="F287" s="435"/>
      <c r="G287" s="419"/>
      <c r="H287" s="419">
        <v>108</v>
      </c>
      <c r="I287" s="419"/>
      <c r="J287" s="419"/>
      <c r="K287" s="420">
        <v>1</v>
      </c>
      <c r="L287" s="420">
        <f t="shared" si="51"/>
        <v>119196</v>
      </c>
      <c r="M287" s="420">
        <f t="shared" si="52"/>
        <v>553874</v>
      </c>
      <c r="N287" s="445">
        <f t="shared" si="60"/>
        <v>68758.2</v>
      </c>
      <c r="O287" s="719"/>
      <c r="P287" s="719">
        <f t="shared" si="59"/>
        <v>783255.65999999992</v>
      </c>
      <c r="Q287" s="423">
        <f>SUMIF('8.Dgia'!E:E,'9.may'!E287,'8.Dgia'!P:P)</f>
        <v>0</v>
      </c>
      <c r="R287" s="429">
        <f t="shared" si="53"/>
        <v>0</v>
      </c>
      <c r="S287" s="301">
        <f t="shared" si="54"/>
        <v>34566.840000000004</v>
      </c>
      <c r="T287" s="430">
        <f t="shared" si="55"/>
        <v>657199.04</v>
      </c>
      <c r="U287" s="431">
        <v>103426</v>
      </c>
      <c r="V287" s="431">
        <v>119196</v>
      </c>
      <c r="W287" s="432">
        <v>553874</v>
      </c>
      <c r="Y287" s="433">
        <f t="shared" si="56"/>
        <v>-103325.04000000004</v>
      </c>
      <c r="Z287" s="433">
        <f t="shared" si="57"/>
        <v>0</v>
      </c>
      <c r="AC287" s="410">
        <f t="shared" si="58"/>
        <v>0</v>
      </c>
    </row>
    <row r="288" spans="1:29" s="427" customFormat="1" ht="17.25" hidden="1" customHeight="1">
      <c r="B288" s="417" t="str">
        <f>IF(A288&lt;&gt;0,COUNTA(A$19:$A288),"")</f>
        <v/>
      </c>
      <c r="C288" s="428" t="s">
        <v>1089</v>
      </c>
      <c r="D288" s="428"/>
      <c r="E288" s="435"/>
      <c r="F288" s="435"/>
      <c r="G288" s="419"/>
      <c r="H288" s="419">
        <v>132</v>
      </c>
      <c r="I288" s="419"/>
      <c r="J288" s="419"/>
      <c r="K288" s="420">
        <v>1</v>
      </c>
      <c r="L288" s="420">
        <f t="shared" si="51"/>
        <v>119196</v>
      </c>
      <c r="M288" s="420">
        <f t="shared" si="52"/>
        <v>695574</v>
      </c>
      <c r="N288" s="445">
        <f t="shared" si="60"/>
        <v>84037.8</v>
      </c>
      <c r="O288" s="719"/>
      <c r="P288" s="719">
        <f t="shared" si="59"/>
        <v>981328.26000000013</v>
      </c>
      <c r="Q288" s="423">
        <f>SUMIF('8.Dgia'!E:E,'9.may'!E288,'8.Dgia'!P:P)</f>
        <v>0</v>
      </c>
      <c r="R288" s="429">
        <f t="shared" si="53"/>
        <v>0</v>
      </c>
      <c r="S288" s="301">
        <f t="shared" si="54"/>
        <v>34566.840000000004</v>
      </c>
      <c r="T288" s="430">
        <f t="shared" si="55"/>
        <v>814178.64</v>
      </c>
      <c r="U288" s="431">
        <v>126410</v>
      </c>
      <c r="V288" s="431">
        <v>119196</v>
      </c>
      <c r="W288" s="432">
        <v>695574</v>
      </c>
      <c r="Y288" s="433">
        <f t="shared" si="56"/>
        <v>-118604.64000000001</v>
      </c>
      <c r="Z288" s="433">
        <f t="shared" si="57"/>
        <v>0</v>
      </c>
      <c r="AC288" s="410">
        <f t="shared" si="58"/>
        <v>0</v>
      </c>
    </row>
    <row r="289" spans="1:29" s="427" customFormat="1" ht="17.25" hidden="1" customHeight="1">
      <c r="B289" s="417" t="str">
        <f>IF(A289&lt;&gt;0,COUNTA(A$19:$A289),"")</f>
        <v/>
      </c>
      <c r="C289" s="428" t="s">
        <v>1090</v>
      </c>
      <c r="D289" s="428"/>
      <c r="E289" s="435"/>
      <c r="F289" s="435"/>
      <c r="G289" s="419"/>
      <c r="H289" s="419">
        <v>144</v>
      </c>
      <c r="I289" s="419"/>
      <c r="J289" s="419"/>
      <c r="K289" s="420">
        <v>1</v>
      </c>
      <c r="L289" s="420">
        <f t="shared" si="51"/>
        <v>119196</v>
      </c>
      <c r="M289" s="420">
        <f t="shared" si="52"/>
        <v>773681</v>
      </c>
      <c r="N289" s="445">
        <f t="shared" si="60"/>
        <v>91677.6</v>
      </c>
      <c r="O289" s="719"/>
      <c r="P289" s="719">
        <f t="shared" si="59"/>
        <v>1089726.0900000001</v>
      </c>
      <c r="Q289" s="423">
        <f>SUMIF('8.Dgia'!E:E,'9.may'!E289,'8.Dgia'!P:P)</f>
        <v>0</v>
      </c>
      <c r="R289" s="429">
        <f t="shared" si="53"/>
        <v>0</v>
      </c>
      <c r="S289" s="301">
        <f t="shared" si="54"/>
        <v>34566.840000000004</v>
      </c>
      <c r="T289" s="430">
        <f t="shared" si="55"/>
        <v>899925.44</v>
      </c>
      <c r="U289" s="431">
        <v>137902</v>
      </c>
      <c r="V289" s="431">
        <v>119196</v>
      </c>
      <c r="W289" s="432">
        <v>773681</v>
      </c>
      <c r="Y289" s="433">
        <f t="shared" si="56"/>
        <v>-126244.43999999994</v>
      </c>
      <c r="Z289" s="433">
        <f t="shared" si="57"/>
        <v>0</v>
      </c>
      <c r="AC289" s="410">
        <f t="shared" si="58"/>
        <v>0</v>
      </c>
    </row>
    <row r="290" spans="1:29" s="427" customFormat="1" ht="17.25" hidden="1" customHeight="1">
      <c r="B290" s="417" t="str">
        <f>IF(A290&lt;&gt;0,COUNTA(A$19:$A290),"")</f>
        <v/>
      </c>
      <c r="C290" s="428" t="s">
        <v>1091</v>
      </c>
      <c r="D290" s="428"/>
      <c r="E290" s="435"/>
      <c r="F290" s="435"/>
      <c r="G290" s="419"/>
      <c r="H290" s="419">
        <v>168</v>
      </c>
      <c r="I290" s="419"/>
      <c r="J290" s="419"/>
      <c r="K290" s="420">
        <v>1</v>
      </c>
      <c r="L290" s="420">
        <f t="shared" si="51"/>
        <v>119196</v>
      </c>
      <c r="M290" s="420">
        <f t="shared" si="52"/>
        <v>949529</v>
      </c>
      <c r="N290" s="445">
        <f t="shared" si="60"/>
        <v>106957.20000000001</v>
      </c>
      <c r="O290" s="719"/>
      <c r="P290" s="719">
        <f t="shared" si="59"/>
        <v>1331849.6100000001</v>
      </c>
      <c r="Q290" s="423">
        <f>SUMIF('8.Dgia'!E:E,'9.may'!E290,'8.Dgia'!P:P)</f>
        <v>0</v>
      </c>
      <c r="R290" s="429">
        <f t="shared" si="53"/>
        <v>0</v>
      </c>
      <c r="S290" s="301">
        <f t="shared" si="54"/>
        <v>34566.840000000004</v>
      </c>
      <c r="T290" s="430">
        <f t="shared" si="55"/>
        <v>1091053.04</v>
      </c>
      <c r="U290" s="431">
        <v>160885</v>
      </c>
      <c r="V290" s="431">
        <v>119196</v>
      </c>
      <c r="W290" s="432">
        <v>949529</v>
      </c>
      <c r="Y290" s="433">
        <f t="shared" si="56"/>
        <v>-141524.04000000004</v>
      </c>
      <c r="Z290" s="433">
        <f t="shared" si="57"/>
        <v>0</v>
      </c>
      <c r="AC290" s="410">
        <f t="shared" si="58"/>
        <v>0</v>
      </c>
    </row>
    <row r="291" spans="1:29" s="427" customFormat="1" ht="17.25" hidden="1" customHeight="1">
      <c r="B291" s="417" t="str">
        <f>IF(A291&lt;&gt;0,COUNTA(A$19:$A291),"")</f>
        <v/>
      </c>
      <c r="C291" s="428" t="s">
        <v>1092</v>
      </c>
      <c r="D291" s="428"/>
      <c r="E291" s="435"/>
      <c r="F291" s="435"/>
      <c r="G291" s="419"/>
      <c r="H291" s="419">
        <v>204</v>
      </c>
      <c r="I291" s="419"/>
      <c r="J291" s="419"/>
      <c r="K291" s="420">
        <v>1</v>
      </c>
      <c r="L291" s="420">
        <f t="shared" si="51"/>
        <v>119196</v>
      </c>
      <c r="M291" s="420">
        <f t="shared" si="52"/>
        <v>1172362</v>
      </c>
      <c r="N291" s="445">
        <f t="shared" si="60"/>
        <v>129876.6</v>
      </c>
      <c r="O291" s="719"/>
      <c r="P291" s="719">
        <f t="shared" si="59"/>
        <v>1642223.58</v>
      </c>
      <c r="Q291" s="423">
        <f>SUMIF('8.Dgia'!E:E,'9.may'!E291,'8.Dgia'!P:P)</f>
        <v>0</v>
      </c>
      <c r="R291" s="429">
        <f t="shared" si="53"/>
        <v>0</v>
      </c>
      <c r="S291" s="301">
        <f t="shared" si="54"/>
        <v>34566.840000000004</v>
      </c>
      <c r="T291" s="430">
        <f t="shared" si="55"/>
        <v>1336805.44</v>
      </c>
      <c r="U291" s="431">
        <v>195361</v>
      </c>
      <c r="V291" s="431">
        <v>119196</v>
      </c>
      <c r="W291" s="432">
        <v>1172362</v>
      </c>
      <c r="Y291" s="433">
        <f t="shared" si="56"/>
        <v>-164443.43999999994</v>
      </c>
      <c r="Z291" s="433">
        <f t="shared" si="57"/>
        <v>0</v>
      </c>
      <c r="AC291" s="410">
        <f t="shared" si="58"/>
        <v>0</v>
      </c>
    </row>
    <row r="292" spans="1:29" s="427" customFormat="1" ht="17.25" hidden="1" customHeight="1">
      <c r="B292" s="417" t="str">
        <f>IF(A292&lt;&gt;0,COUNTA(A$19:$A292),"")</f>
        <v/>
      </c>
      <c r="C292" s="418" t="s">
        <v>1093</v>
      </c>
      <c r="D292" s="418"/>
      <c r="E292" s="435"/>
      <c r="F292" s="435"/>
      <c r="G292" s="419"/>
      <c r="H292" s="419"/>
      <c r="I292" s="419"/>
      <c r="J292" s="419"/>
      <c r="K292" s="420"/>
      <c r="L292" s="420">
        <f t="shared" si="51"/>
        <v>0</v>
      </c>
      <c r="M292" s="420">
        <f t="shared" si="52"/>
        <v>0</v>
      </c>
      <c r="N292" s="445"/>
      <c r="O292" s="719"/>
      <c r="P292" s="719">
        <f t="shared" si="59"/>
        <v>0</v>
      </c>
      <c r="Q292" s="423">
        <f>SUMIF('8.Dgia'!E:E,'9.may'!E292,'8.Dgia'!P:P)</f>
        <v>0</v>
      </c>
      <c r="R292" s="429">
        <f t="shared" si="53"/>
        <v>0</v>
      </c>
      <c r="S292" s="301">
        <f t="shared" si="54"/>
        <v>0</v>
      </c>
      <c r="T292" s="430">
        <f t="shared" si="55"/>
        <v>0</v>
      </c>
      <c r="U292" s="436"/>
      <c r="V292" s="436"/>
      <c r="W292" s="432"/>
      <c r="Y292" s="433">
        <f t="shared" si="56"/>
        <v>0</v>
      </c>
      <c r="Z292" s="433">
        <f t="shared" si="57"/>
        <v>0</v>
      </c>
      <c r="AC292" s="410">
        <f t="shared" si="58"/>
        <v>0</v>
      </c>
    </row>
    <row r="293" spans="1:29" s="427" customFormat="1" ht="17.25" hidden="1" customHeight="1">
      <c r="B293" s="417" t="str">
        <f>IF(A293&lt;&gt;0,COUNTA(A$19:$A293),"")</f>
        <v/>
      </c>
      <c r="C293" s="428" t="s">
        <v>1094</v>
      </c>
      <c r="D293" s="428"/>
      <c r="E293" s="435"/>
      <c r="F293" s="435"/>
      <c r="G293" s="419"/>
      <c r="H293" s="419">
        <v>8.4</v>
      </c>
      <c r="I293" s="419"/>
      <c r="J293" s="419"/>
      <c r="K293" s="420">
        <v>1</v>
      </c>
      <c r="L293" s="420">
        <f t="shared" si="51"/>
        <v>41873</v>
      </c>
      <c r="M293" s="420">
        <f t="shared" si="52"/>
        <v>55019</v>
      </c>
      <c r="N293" s="445">
        <f>SUMPRODUCT(G293:J293,$G$12:$J$12,$G$9:$J$9)</f>
        <v>5347.8600000000006</v>
      </c>
      <c r="O293" s="719"/>
      <c r="P293" s="719">
        <f t="shared" si="59"/>
        <v>76322.37</v>
      </c>
      <c r="Q293" s="423">
        <f>SUMIF('8.Dgia'!E:E,'9.may'!E293,'8.Dgia'!P:P)</f>
        <v>0</v>
      </c>
      <c r="R293" s="429">
        <f t="shared" si="53"/>
        <v>0</v>
      </c>
      <c r="S293" s="301">
        <f t="shared" si="54"/>
        <v>12143.170000000002</v>
      </c>
      <c r="T293" s="430">
        <f t="shared" si="55"/>
        <v>72510.03</v>
      </c>
      <c r="U293" s="431">
        <v>8044</v>
      </c>
      <c r="V293" s="431">
        <v>41873</v>
      </c>
      <c r="W293" s="432">
        <v>55019</v>
      </c>
      <c r="Y293" s="433">
        <f t="shared" si="56"/>
        <v>-17491.03</v>
      </c>
      <c r="Z293" s="433">
        <f t="shared" si="57"/>
        <v>0</v>
      </c>
      <c r="AC293" s="410">
        <f t="shared" si="58"/>
        <v>0</v>
      </c>
    </row>
    <row r="294" spans="1:29" s="427" customFormat="1" ht="17.25" hidden="1" customHeight="1">
      <c r="B294" s="417" t="str">
        <f>IF(A294&lt;&gt;0,COUNTA(A$19:$A294),"")</f>
        <v/>
      </c>
      <c r="C294" s="428" t="s">
        <v>1095</v>
      </c>
      <c r="D294" s="428"/>
      <c r="E294" s="435"/>
      <c r="F294" s="435"/>
      <c r="G294" s="419"/>
      <c r="H294" s="419">
        <v>15.75</v>
      </c>
      <c r="I294" s="419"/>
      <c r="J294" s="419"/>
      <c r="K294" s="420">
        <v>1</v>
      </c>
      <c r="L294" s="420">
        <f t="shared" si="51"/>
        <v>41873</v>
      </c>
      <c r="M294" s="420">
        <f t="shared" si="52"/>
        <v>76293</v>
      </c>
      <c r="N294" s="445">
        <f>SUMPRODUCT(G294:J294,$G$12:$J$12,$G$9:$J$9)</f>
        <v>10027.237500000001</v>
      </c>
      <c r="O294" s="719"/>
      <c r="P294" s="719">
        <f t="shared" si="59"/>
        <v>108445.2075</v>
      </c>
      <c r="Q294" s="423">
        <f>SUMIF('8.Dgia'!E:E,'9.may'!E294,'8.Dgia'!P:P)</f>
        <v>0</v>
      </c>
      <c r="R294" s="429">
        <f t="shared" si="53"/>
        <v>0</v>
      </c>
      <c r="S294" s="301">
        <f t="shared" si="54"/>
        <v>12143.170000000002</v>
      </c>
      <c r="T294" s="430">
        <f t="shared" si="55"/>
        <v>98463.407500000001</v>
      </c>
      <c r="U294" s="431">
        <v>15083</v>
      </c>
      <c r="V294" s="431">
        <v>41873</v>
      </c>
      <c r="W294" s="432">
        <v>76293</v>
      </c>
      <c r="Y294" s="433">
        <f t="shared" si="56"/>
        <v>-22170.407500000001</v>
      </c>
      <c r="Z294" s="433">
        <f t="shared" si="57"/>
        <v>0</v>
      </c>
      <c r="AC294" s="410">
        <f t="shared" si="58"/>
        <v>0</v>
      </c>
    </row>
    <row r="295" spans="1:29" s="427" customFormat="1" ht="17.25" customHeight="1">
      <c r="A295" s="410">
        <v>1</v>
      </c>
      <c r="B295" s="417">
        <f>IF(A295&lt;&gt;0,COUNTA(A$19:$A295),"")</f>
        <v>72</v>
      </c>
      <c r="C295" s="428" t="s">
        <v>1096</v>
      </c>
      <c r="D295" s="428" t="s">
        <v>1097</v>
      </c>
      <c r="E295" s="435" t="s">
        <v>1098</v>
      </c>
      <c r="F295" s="435" t="s">
        <v>4720</v>
      </c>
      <c r="G295" s="419"/>
      <c r="H295" s="419">
        <v>21</v>
      </c>
      <c r="I295" s="419"/>
      <c r="J295" s="419"/>
      <c r="K295" s="420">
        <v>1</v>
      </c>
      <c r="L295" s="420">
        <f t="shared" si="51"/>
        <v>41873</v>
      </c>
      <c r="M295" s="420">
        <f t="shared" si="52"/>
        <v>86359</v>
      </c>
      <c r="N295" s="445">
        <f>SUMPRODUCT(G295:J295,$G$12:$J$12,$G$9:$J$9)</f>
        <v>13369.650000000001</v>
      </c>
      <c r="O295" s="719"/>
      <c r="P295" s="719">
        <f t="shared" si="59"/>
        <v>124772.76000000001</v>
      </c>
      <c r="Q295" s="423" t="e">
        <f>SUMIF('8.Dgia'!E:E,'9.may'!E295,'8.Dgia'!P:P)</f>
        <v>#REF!</v>
      </c>
      <c r="R295" s="429" t="e">
        <f t="shared" si="53"/>
        <v>#REF!</v>
      </c>
      <c r="S295" s="301">
        <f t="shared" si="54"/>
        <v>12143.170000000002</v>
      </c>
      <c r="T295" s="430">
        <f t="shared" si="55"/>
        <v>111871.82</v>
      </c>
      <c r="U295" s="2053">
        <v>20111</v>
      </c>
      <c r="V295" s="2053">
        <v>41873</v>
      </c>
      <c r="W295" s="2054">
        <v>86359</v>
      </c>
      <c r="Y295" s="433">
        <f t="shared" si="56"/>
        <v>-25512.820000000007</v>
      </c>
      <c r="Z295" s="433">
        <f t="shared" si="57"/>
        <v>0</v>
      </c>
      <c r="AC295" s="410" t="e">
        <f t="shared" si="58"/>
        <v>#REF!</v>
      </c>
    </row>
    <row r="296" spans="1:29" s="427" customFormat="1" ht="17.25" hidden="1" customHeight="1">
      <c r="B296" s="417" t="str">
        <f>IF(A296&lt;&gt;0,COUNTA(A$19:$A296),"")</f>
        <v/>
      </c>
      <c r="C296" s="428" t="s">
        <v>1099</v>
      </c>
      <c r="D296" s="428"/>
      <c r="E296" s="435"/>
      <c r="F296" s="435"/>
      <c r="G296" s="419"/>
      <c r="H296" s="419">
        <v>31.5</v>
      </c>
      <c r="I296" s="419"/>
      <c r="J296" s="419"/>
      <c r="K296" s="420">
        <v>1</v>
      </c>
      <c r="L296" s="420">
        <f t="shared" si="51"/>
        <v>41873</v>
      </c>
      <c r="M296" s="420">
        <f t="shared" si="52"/>
        <v>126626</v>
      </c>
      <c r="N296" s="445">
        <f>SUMPRODUCT(G296:J296,$G$12:$J$12,$G$9:$J$9)</f>
        <v>20054.475000000002</v>
      </c>
      <c r="O296" s="719"/>
      <c r="P296" s="719">
        <f t="shared" si="59"/>
        <v>183402.01500000001</v>
      </c>
      <c r="Q296" s="423">
        <f>SUMIF('8.Dgia'!E:E,'9.may'!E296,'8.Dgia'!P:P)</f>
        <v>0</v>
      </c>
      <c r="R296" s="429">
        <f t="shared" si="53"/>
        <v>0</v>
      </c>
      <c r="S296" s="301">
        <f t="shared" si="54"/>
        <v>12143.170000000002</v>
      </c>
      <c r="T296" s="430">
        <f t="shared" si="55"/>
        <v>158823.64500000002</v>
      </c>
      <c r="U296" s="431">
        <v>30166</v>
      </c>
      <c r="V296" s="431">
        <v>41873</v>
      </c>
      <c r="W296" s="432">
        <v>126626</v>
      </c>
      <c r="Y296" s="433">
        <f t="shared" si="56"/>
        <v>-32197.645000000019</v>
      </c>
      <c r="Z296" s="433">
        <f t="shared" si="57"/>
        <v>0</v>
      </c>
      <c r="AC296" s="410">
        <f t="shared" si="58"/>
        <v>0</v>
      </c>
    </row>
    <row r="297" spans="1:29" s="427" customFormat="1" ht="17.25" hidden="1" customHeight="1">
      <c r="B297" s="417" t="str">
        <f>IF(A297&lt;&gt;0,COUNTA(A$19:$A297),"")</f>
        <v/>
      </c>
      <c r="C297" s="418" t="s">
        <v>1100</v>
      </c>
      <c r="D297" s="418"/>
      <c r="E297" s="435"/>
      <c r="F297" s="435"/>
      <c r="G297" s="419"/>
      <c r="H297" s="419"/>
      <c r="I297" s="419"/>
      <c r="J297" s="419"/>
      <c r="K297" s="420"/>
      <c r="L297" s="420">
        <f t="shared" si="51"/>
        <v>0</v>
      </c>
      <c r="M297" s="420">
        <f t="shared" si="52"/>
        <v>0</v>
      </c>
      <c r="N297" s="445"/>
      <c r="O297" s="719"/>
      <c r="P297" s="719">
        <f t="shared" si="59"/>
        <v>0</v>
      </c>
      <c r="Q297" s="423">
        <f>SUMIF('8.Dgia'!E:E,'9.may'!E297,'8.Dgia'!P:P)</f>
        <v>0</v>
      </c>
      <c r="R297" s="429">
        <f t="shared" si="53"/>
        <v>0</v>
      </c>
      <c r="S297" s="301">
        <f t="shared" si="54"/>
        <v>0</v>
      </c>
      <c r="T297" s="430">
        <f t="shared" si="55"/>
        <v>0</v>
      </c>
      <c r="U297" s="436"/>
      <c r="V297" s="436"/>
      <c r="W297" s="432"/>
      <c r="Y297" s="433">
        <f t="shared" si="56"/>
        <v>0</v>
      </c>
      <c r="Z297" s="433">
        <f t="shared" si="57"/>
        <v>0</v>
      </c>
      <c r="AC297" s="410">
        <f t="shared" si="58"/>
        <v>0</v>
      </c>
    </row>
    <row r="298" spans="1:29" s="427" customFormat="1" ht="17.25" hidden="1" customHeight="1">
      <c r="B298" s="417" t="str">
        <f>IF(A298&lt;&gt;0,COUNTA(A$19:$A298),"")</f>
        <v/>
      </c>
      <c r="C298" s="428" t="s">
        <v>1101</v>
      </c>
      <c r="D298" s="428"/>
      <c r="E298" s="435"/>
      <c r="F298" s="435"/>
      <c r="G298" s="419"/>
      <c r="H298" s="419">
        <v>3.6</v>
      </c>
      <c r="I298" s="419"/>
      <c r="J298" s="419"/>
      <c r="K298" s="420">
        <v>1</v>
      </c>
      <c r="L298" s="420">
        <f t="shared" si="51"/>
        <v>41873</v>
      </c>
      <c r="M298" s="420">
        <f t="shared" si="52"/>
        <v>48045</v>
      </c>
      <c r="N298" s="445">
        <f>SUMPRODUCT(G298:J298,$G$12:$J$12,$G$9:$J$9)</f>
        <v>2291.94</v>
      </c>
      <c r="O298" s="719"/>
      <c r="P298" s="719">
        <f t="shared" si="59"/>
        <v>64269.990000000005</v>
      </c>
      <c r="Q298" s="423">
        <f>SUMIF('8.Dgia'!E:E,'9.may'!E298,'8.Dgia'!P:P)</f>
        <v>0</v>
      </c>
      <c r="R298" s="429">
        <f t="shared" si="53"/>
        <v>0</v>
      </c>
      <c r="S298" s="301">
        <f t="shared" si="54"/>
        <v>12143.170000000002</v>
      </c>
      <c r="T298" s="430">
        <f t="shared" si="55"/>
        <v>62480.11</v>
      </c>
      <c r="U298" s="431">
        <v>3448</v>
      </c>
      <c r="V298" s="431">
        <v>41873</v>
      </c>
      <c r="W298" s="432">
        <v>48045</v>
      </c>
      <c r="Y298" s="433">
        <f t="shared" si="56"/>
        <v>-14435.11</v>
      </c>
      <c r="Z298" s="433">
        <f t="shared" si="57"/>
        <v>0</v>
      </c>
      <c r="AC298" s="410">
        <f t="shared" si="58"/>
        <v>0</v>
      </c>
    </row>
    <row r="299" spans="1:29" s="427" customFormat="1" ht="17.25" hidden="1" customHeight="1">
      <c r="B299" s="417" t="str">
        <f>IF(A299&lt;&gt;0,COUNTA(A$19:$A299),"")</f>
        <v/>
      </c>
      <c r="C299" s="418" t="s">
        <v>1102</v>
      </c>
      <c r="D299" s="418"/>
      <c r="E299" s="435"/>
      <c r="F299" s="435"/>
      <c r="G299" s="419"/>
      <c r="H299" s="419"/>
      <c r="I299" s="419"/>
      <c r="J299" s="419"/>
      <c r="K299" s="420"/>
      <c r="L299" s="420">
        <f t="shared" si="51"/>
        <v>0</v>
      </c>
      <c r="M299" s="420">
        <f t="shared" si="52"/>
        <v>0</v>
      </c>
      <c r="N299" s="445"/>
      <c r="O299" s="719"/>
      <c r="P299" s="719">
        <f t="shared" si="59"/>
        <v>0</v>
      </c>
      <c r="Q299" s="423">
        <f>SUMIF('8.Dgia'!E:E,'9.may'!E299,'8.Dgia'!P:P)</f>
        <v>0</v>
      </c>
      <c r="R299" s="429">
        <f t="shared" si="53"/>
        <v>0</v>
      </c>
      <c r="S299" s="301">
        <f t="shared" si="54"/>
        <v>0</v>
      </c>
      <c r="T299" s="430">
        <f t="shared" si="55"/>
        <v>0</v>
      </c>
      <c r="U299" s="436"/>
      <c r="V299" s="436"/>
      <c r="W299" s="432"/>
      <c r="Y299" s="433">
        <f t="shared" si="56"/>
        <v>0</v>
      </c>
      <c r="Z299" s="433">
        <f t="shared" si="57"/>
        <v>0</v>
      </c>
      <c r="AC299" s="410">
        <f t="shared" si="58"/>
        <v>0</v>
      </c>
    </row>
    <row r="300" spans="1:29" s="427" customFormat="1" ht="17.25" hidden="1" customHeight="1">
      <c r="B300" s="417" t="str">
        <f>IF(A300&lt;&gt;0,COUNTA(A$19:$A300),"")</f>
        <v/>
      </c>
      <c r="C300" s="428" t="s">
        <v>1101</v>
      </c>
      <c r="D300" s="428"/>
      <c r="E300" s="435"/>
      <c r="F300" s="435"/>
      <c r="G300" s="419"/>
      <c r="H300" s="419">
        <v>3.78</v>
      </c>
      <c r="I300" s="419"/>
      <c r="J300" s="419"/>
      <c r="K300" s="420">
        <v>1</v>
      </c>
      <c r="L300" s="420">
        <f t="shared" si="51"/>
        <v>41873</v>
      </c>
      <c r="M300" s="420">
        <f t="shared" si="52"/>
        <v>46336</v>
      </c>
      <c r="N300" s="445">
        <f t="shared" ref="N300:N314" si="61">SUMPRODUCT(G300:J300,$G$12:$J$12,$G$9:$J$9)</f>
        <v>2406.5370000000003</v>
      </c>
      <c r="O300" s="719"/>
      <c r="P300" s="719">
        <f t="shared" si="59"/>
        <v>62179.976999999999</v>
      </c>
      <c r="Q300" s="423">
        <f>SUMIF('8.Dgia'!E:E,'9.may'!E300,'8.Dgia'!P:P)</f>
        <v>0</v>
      </c>
      <c r="R300" s="429">
        <f t="shared" si="53"/>
        <v>0</v>
      </c>
      <c r="S300" s="301">
        <f t="shared" si="54"/>
        <v>12143.170000000002</v>
      </c>
      <c r="T300" s="430">
        <f t="shared" si="55"/>
        <v>60885.707000000002</v>
      </c>
      <c r="U300" s="431">
        <v>3620</v>
      </c>
      <c r="V300" s="431">
        <v>41873</v>
      </c>
      <c r="W300" s="432">
        <v>46336</v>
      </c>
      <c r="Y300" s="433">
        <f t="shared" si="56"/>
        <v>-14549.707000000002</v>
      </c>
      <c r="Z300" s="433">
        <f t="shared" si="57"/>
        <v>0</v>
      </c>
      <c r="AC300" s="410">
        <f t="shared" si="58"/>
        <v>0</v>
      </c>
    </row>
    <row r="301" spans="1:29" s="410" customFormat="1" ht="17.25" hidden="1" customHeight="1">
      <c r="B301" s="417" t="str">
        <f>IF(A301&lt;&gt;0,COUNTA(A$19:$A301),"")</f>
        <v/>
      </c>
      <c r="C301" s="428" t="s">
        <v>1002</v>
      </c>
      <c r="D301" s="428"/>
      <c r="E301" s="435"/>
      <c r="F301" s="435"/>
      <c r="G301" s="419"/>
      <c r="H301" s="419">
        <v>4.5</v>
      </c>
      <c r="I301" s="419"/>
      <c r="J301" s="419"/>
      <c r="K301" s="420">
        <v>1</v>
      </c>
      <c r="L301" s="420">
        <f t="shared" si="51"/>
        <v>41873</v>
      </c>
      <c r="M301" s="420">
        <f t="shared" si="52"/>
        <v>47517</v>
      </c>
      <c r="N301" s="445">
        <f t="shared" si="61"/>
        <v>2864.9250000000002</v>
      </c>
      <c r="O301" s="719"/>
      <c r="P301" s="719">
        <f t="shared" si="59"/>
        <v>64161.855000000003</v>
      </c>
      <c r="Q301" s="423">
        <f>SUMIF('8.Dgia'!E:E,'9.may'!E301,'8.Dgia'!P:P)</f>
        <v>0</v>
      </c>
      <c r="R301" s="429">
        <f t="shared" si="53"/>
        <v>0</v>
      </c>
      <c r="S301" s="301">
        <f t="shared" si="54"/>
        <v>12143.170000000002</v>
      </c>
      <c r="T301" s="430">
        <f t="shared" si="55"/>
        <v>62525.095000000001</v>
      </c>
      <c r="U301" s="431">
        <v>4309</v>
      </c>
      <c r="V301" s="431">
        <v>41873</v>
      </c>
      <c r="W301" s="432">
        <v>47517</v>
      </c>
      <c r="Y301" s="433">
        <f t="shared" si="56"/>
        <v>-15008.095000000001</v>
      </c>
      <c r="Z301" s="433">
        <f t="shared" si="57"/>
        <v>0</v>
      </c>
      <c r="AC301" s="410">
        <f t="shared" si="58"/>
        <v>0</v>
      </c>
    </row>
    <row r="302" spans="1:29" s="410" customFormat="1" ht="17.25" hidden="1" customHeight="1">
      <c r="B302" s="417" t="str">
        <f>IF(A302&lt;&gt;0,COUNTA(A$19:$A302),"")</f>
        <v/>
      </c>
      <c r="C302" s="428" t="s">
        <v>1103</v>
      </c>
      <c r="D302" s="428" t="s">
        <v>1104</v>
      </c>
      <c r="E302" s="435"/>
      <c r="F302" s="435" t="s">
        <v>4721</v>
      </c>
      <c r="G302" s="419"/>
      <c r="H302" s="419">
        <v>5.58</v>
      </c>
      <c r="I302" s="419"/>
      <c r="J302" s="419"/>
      <c r="K302" s="420">
        <v>1</v>
      </c>
      <c r="L302" s="420">
        <f t="shared" si="51"/>
        <v>41873</v>
      </c>
      <c r="M302" s="420">
        <f t="shared" si="52"/>
        <v>50865</v>
      </c>
      <c r="N302" s="445">
        <f t="shared" si="61"/>
        <v>3552.5070000000001</v>
      </c>
      <c r="O302" s="719"/>
      <c r="P302" s="719">
        <f t="shared" si="59"/>
        <v>69168.357000000004</v>
      </c>
      <c r="Q302" s="423">
        <f>SUMIF('8.Dgia'!E:E,'9.may'!E302,'8.Dgia'!P:P)</f>
        <v>0</v>
      </c>
      <c r="R302" s="429">
        <f t="shared" si="53"/>
        <v>0</v>
      </c>
      <c r="S302" s="301">
        <f t="shared" si="54"/>
        <v>12143.170000000002</v>
      </c>
      <c r="T302" s="430">
        <f t="shared" si="55"/>
        <v>66560.676999999996</v>
      </c>
      <c r="U302" s="431">
        <v>5344</v>
      </c>
      <c r="V302" s="431">
        <v>41873</v>
      </c>
      <c r="W302" s="432">
        <v>50865</v>
      </c>
      <c r="Y302" s="433">
        <f t="shared" si="56"/>
        <v>-15695.676999999996</v>
      </c>
      <c r="Z302" s="433">
        <f t="shared" si="57"/>
        <v>0</v>
      </c>
      <c r="AC302" s="410">
        <f t="shared" si="58"/>
        <v>0</v>
      </c>
    </row>
    <row r="303" spans="1:29" s="410" customFormat="1" ht="17.25" hidden="1" customHeight="1">
      <c r="B303" s="417" t="str">
        <f>IF(A303&lt;&gt;0,COUNTA(A$19:$A303),"")</f>
        <v/>
      </c>
      <c r="C303" s="428" t="s">
        <v>1105</v>
      </c>
      <c r="D303" s="428"/>
      <c r="E303" s="435"/>
      <c r="F303" s="435"/>
      <c r="G303" s="419"/>
      <c r="H303" s="419">
        <v>6.3</v>
      </c>
      <c r="I303" s="419"/>
      <c r="J303" s="419"/>
      <c r="K303" s="420">
        <v>1</v>
      </c>
      <c r="L303" s="420">
        <f t="shared" si="51"/>
        <v>41873</v>
      </c>
      <c r="M303" s="420">
        <f t="shared" si="52"/>
        <v>60669</v>
      </c>
      <c r="N303" s="445">
        <f t="shared" si="61"/>
        <v>4010.8950000000004</v>
      </c>
      <c r="O303" s="719"/>
      <c r="P303" s="719">
        <f t="shared" si="59"/>
        <v>82273.905000000013</v>
      </c>
      <c r="Q303" s="423">
        <f>SUMIF('8.Dgia'!E:E,'9.may'!E303,'8.Dgia'!P:P)</f>
        <v>0</v>
      </c>
      <c r="R303" s="429">
        <f t="shared" si="53"/>
        <v>0</v>
      </c>
      <c r="S303" s="301">
        <f t="shared" si="54"/>
        <v>12143.170000000002</v>
      </c>
      <c r="T303" s="430">
        <f t="shared" si="55"/>
        <v>76823.065000000002</v>
      </c>
      <c r="U303" s="431">
        <v>6033</v>
      </c>
      <c r="V303" s="431">
        <v>41873</v>
      </c>
      <c r="W303" s="432">
        <v>60669</v>
      </c>
      <c r="Y303" s="433">
        <f t="shared" si="56"/>
        <v>-16154.065000000002</v>
      </c>
      <c r="Z303" s="433">
        <f t="shared" si="57"/>
        <v>0</v>
      </c>
      <c r="AC303" s="410">
        <f t="shared" si="58"/>
        <v>0</v>
      </c>
    </row>
    <row r="304" spans="1:29" s="410" customFormat="1" ht="17.25" hidden="1" customHeight="1">
      <c r="B304" s="417" t="str">
        <f>IF(A304&lt;&gt;0,COUNTA(A$19:$A304),"")</f>
        <v/>
      </c>
      <c r="C304" s="428" t="s">
        <v>1106</v>
      </c>
      <c r="D304" s="428"/>
      <c r="E304" s="435"/>
      <c r="F304" s="435"/>
      <c r="G304" s="419"/>
      <c r="H304" s="419">
        <v>9.18</v>
      </c>
      <c r="I304" s="419"/>
      <c r="J304" s="419"/>
      <c r="K304" s="420">
        <v>1</v>
      </c>
      <c r="L304" s="420">
        <f t="shared" si="51"/>
        <v>41873</v>
      </c>
      <c r="M304" s="420">
        <f t="shared" si="52"/>
        <v>67007</v>
      </c>
      <c r="N304" s="445">
        <f t="shared" si="61"/>
        <v>5844.4470000000001</v>
      </c>
      <c r="O304" s="719"/>
      <c r="P304" s="719">
        <f t="shared" si="59"/>
        <v>92283.476999999999</v>
      </c>
      <c r="Q304" s="423">
        <f>SUMIF('8.Dgia'!E:E,'9.may'!E304,'8.Dgia'!P:P)</f>
        <v>0</v>
      </c>
      <c r="R304" s="429">
        <f t="shared" si="53"/>
        <v>0</v>
      </c>
      <c r="S304" s="301">
        <f t="shared" si="54"/>
        <v>12143.170000000002</v>
      </c>
      <c r="T304" s="430">
        <f t="shared" si="55"/>
        <v>84994.616999999998</v>
      </c>
      <c r="U304" s="431">
        <v>8791</v>
      </c>
      <c r="V304" s="431">
        <v>41873</v>
      </c>
      <c r="W304" s="432">
        <v>67007</v>
      </c>
      <c r="Y304" s="433">
        <f t="shared" si="56"/>
        <v>-17987.616999999998</v>
      </c>
      <c r="Z304" s="433">
        <f t="shared" si="57"/>
        <v>0</v>
      </c>
      <c r="AC304" s="410">
        <f t="shared" si="58"/>
        <v>0</v>
      </c>
    </row>
    <row r="305" spans="1:29" s="410" customFormat="1" ht="17.25" customHeight="1">
      <c r="A305" s="410">
        <v>1</v>
      </c>
      <c r="B305" s="417">
        <f>IF(A305&lt;&gt;0,COUNTA(A$19:$A305),"")</f>
        <v>73</v>
      </c>
      <c r="C305" s="428" t="s">
        <v>1003</v>
      </c>
      <c r="D305" s="428" t="s">
        <v>1107</v>
      </c>
      <c r="E305" s="435" t="s">
        <v>614</v>
      </c>
      <c r="F305" s="435" t="s">
        <v>4722</v>
      </c>
      <c r="G305" s="419"/>
      <c r="H305" s="419">
        <v>10.8</v>
      </c>
      <c r="I305" s="419"/>
      <c r="J305" s="419"/>
      <c r="K305" s="420">
        <v>1</v>
      </c>
      <c r="L305" s="420">
        <f t="shared" si="51"/>
        <v>41873</v>
      </c>
      <c r="M305" s="420">
        <f t="shared" si="52"/>
        <v>78735</v>
      </c>
      <c r="N305" s="445">
        <f t="shared" si="61"/>
        <v>6875.8200000000006</v>
      </c>
      <c r="O305" s="719"/>
      <c r="P305" s="719">
        <f t="shared" si="59"/>
        <v>108443.97000000002</v>
      </c>
      <c r="Q305" s="423" t="e">
        <f>SUMIF('8.Dgia'!E:E,'9.may'!E305,'8.Dgia'!P:P)</f>
        <v>#REF!</v>
      </c>
      <c r="R305" s="429" t="e">
        <f t="shared" si="53"/>
        <v>#REF!</v>
      </c>
      <c r="S305" s="301">
        <f t="shared" si="54"/>
        <v>12143.170000000002</v>
      </c>
      <c r="T305" s="430">
        <f t="shared" si="55"/>
        <v>97753.99</v>
      </c>
      <c r="U305" s="2053">
        <v>10343</v>
      </c>
      <c r="V305" s="2053">
        <v>41873</v>
      </c>
      <c r="W305" s="2054">
        <v>78735</v>
      </c>
      <c r="Y305" s="433">
        <f t="shared" si="56"/>
        <v>-19018.990000000005</v>
      </c>
      <c r="Z305" s="433">
        <f t="shared" si="57"/>
        <v>0</v>
      </c>
      <c r="AC305" s="410" t="e">
        <f t="shared" si="58"/>
        <v>#REF!</v>
      </c>
    </row>
    <row r="306" spans="1:29" s="410" customFormat="1" ht="17.25" hidden="1" customHeight="1">
      <c r="B306" s="417" t="str">
        <f>IF(A306&lt;&gt;0,COUNTA(A$19:$A306),"")</f>
        <v/>
      </c>
      <c r="C306" s="428" t="s">
        <v>1004</v>
      </c>
      <c r="D306" s="428"/>
      <c r="E306" s="435"/>
      <c r="F306" s="435"/>
      <c r="G306" s="419"/>
      <c r="H306" s="419">
        <v>11.7</v>
      </c>
      <c r="I306" s="419"/>
      <c r="J306" s="419"/>
      <c r="K306" s="420">
        <v>1</v>
      </c>
      <c r="L306" s="420">
        <f t="shared" si="51"/>
        <v>41873</v>
      </c>
      <c r="M306" s="420">
        <f t="shared" si="52"/>
        <v>87280</v>
      </c>
      <c r="N306" s="445">
        <f t="shared" si="61"/>
        <v>7448.8050000000003</v>
      </c>
      <c r="O306" s="719"/>
      <c r="P306" s="719">
        <f t="shared" si="59"/>
        <v>120040.005</v>
      </c>
      <c r="Q306" s="423">
        <f>SUMIF('8.Dgia'!E:E,'9.may'!E306,'8.Dgia'!P:P)</f>
        <v>0</v>
      </c>
      <c r="R306" s="429">
        <f t="shared" si="53"/>
        <v>0</v>
      </c>
      <c r="S306" s="301">
        <f t="shared" si="54"/>
        <v>12143.170000000002</v>
      </c>
      <c r="T306" s="430">
        <f t="shared" si="55"/>
        <v>106871.97500000001</v>
      </c>
      <c r="U306" s="431">
        <v>11205</v>
      </c>
      <c r="V306" s="431">
        <v>41873</v>
      </c>
      <c r="W306" s="432">
        <v>87280</v>
      </c>
      <c r="Y306" s="433">
        <f t="shared" si="56"/>
        <v>-19591.975000000006</v>
      </c>
      <c r="Z306" s="433">
        <f t="shared" si="57"/>
        <v>0</v>
      </c>
      <c r="AC306" s="410">
        <f t="shared" si="58"/>
        <v>0</v>
      </c>
    </row>
    <row r="307" spans="1:29" s="410" customFormat="1" ht="17.25" customHeight="1">
      <c r="A307" s="410">
        <v>1</v>
      </c>
      <c r="B307" s="417">
        <f>IF(A307&lt;&gt;0,COUNTA(A$19:$A307),"")</f>
        <v>74</v>
      </c>
      <c r="C307" s="428" t="s">
        <v>997</v>
      </c>
      <c r="D307" s="428" t="s">
        <v>1108</v>
      </c>
      <c r="E307" s="435" t="s">
        <v>1109</v>
      </c>
      <c r="F307" s="435" t="s">
        <v>4723</v>
      </c>
      <c r="G307" s="419"/>
      <c r="H307" s="419">
        <v>13.5</v>
      </c>
      <c r="I307" s="419"/>
      <c r="J307" s="419"/>
      <c r="K307" s="420">
        <v>1</v>
      </c>
      <c r="L307" s="420">
        <f t="shared" si="51"/>
        <v>41873</v>
      </c>
      <c r="M307" s="420">
        <f t="shared" si="52"/>
        <v>98616</v>
      </c>
      <c r="N307" s="445">
        <f t="shared" si="61"/>
        <v>8594.7749999999996</v>
      </c>
      <c r="O307" s="719"/>
      <c r="P307" s="719">
        <f t="shared" si="59"/>
        <v>135809.41500000001</v>
      </c>
      <c r="Q307" s="423" t="e">
        <f>SUMIF('8.Dgia'!E:E,'9.may'!E307,'8.Dgia'!P:P)</f>
        <v>#REF!</v>
      </c>
      <c r="R307" s="429" t="e">
        <f t="shared" si="53"/>
        <v>#REF!</v>
      </c>
      <c r="S307" s="301">
        <f t="shared" si="54"/>
        <v>12143.170000000002</v>
      </c>
      <c r="T307" s="430">
        <f t="shared" si="55"/>
        <v>119353.94500000001</v>
      </c>
      <c r="U307" s="2053">
        <v>12928</v>
      </c>
      <c r="V307" s="2053">
        <v>41873</v>
      </c>
      <c r="W307" s="2054">
        <v>98616</v>
      </c>
      <c r="Y307" s="433">
        <f t="shared" si="56"/>
        <v>-20737.945000000007</v>
      </c>
      <c r="Z307" s="433">
        <f t="shared" si="57"/>
        <v>0</v>
      </c>
      <c r="AC307" s="410" t="e">
        <f t="shared" si="58"/>
        <v>#REF!</v>
      </c>
    </row>
    <row r="308" spans="1:29" s="410" customFormat="1" ht="17.25" hidden="1" customHeight="1">
      <c r="B308" s="417" t="str">
        <f>IF(A308&lt;&gt;0,COUNTA(A$19:$A308),"")</f>
        <v/>
      </c>
      <c r="C308" s="428" t="s">
        <v>1110</v>
      </c>
      <c r="D308" s="428"/>
      <c r="E308" s="435"/>
      <c r="F308" s="435"/>
      <c r="G308" s="419"/>
      <c r="H308" s="419"/>
      <c r="I308" s="419"/>
      <c r="J308" s="419"/>
      <c r="K308" s="420">
        <v>1</v>
      </c>
      <c r="L308" s="420">
        <f t="shared" si="51"/>
        <v>48658</v>
      </c>
      <c r="M308" s="420">
        <f t="shared" si="52"/>
        <v>58669</v>
      </c>
      <c r="N308" s="445">
        <f t="shared" si="61"/>
        <v>0</v>
      </c>
      <c r="O308" s="719"/>
      <c r="P308" s="719">
        <f t="shared" si="59"/>
        <v>75683.010000000009</v>
      </c>
      <c r="Q308" s="423">
        <f>SUMIF('8.Dgia'!E:E,'9.may'!E308,'8.Dgia'!P:P)</f>
        <v>0</v>
      </c>
      <c r="R308" s="429">
        <f t="shared" si="53"/>
        <v>0</v>
      </c>
      <c r="S308" s="301">
        <f t="shared" si="54"/>
        <v>14110.820000000002</v>
      </c>
      <c r="T308" s="430">
        <f t="shared" si="55"/>
        <v>72779.820000000007</v>
      </c>
      <c r="U308" s="431"/>
      <c r="V308" s="431">
        <v>48658</v>
      </c>
      <c r="W308" s="432">
        <v>58669</v>
      </c>
      <c r="Y308" s="433">
        <f t="shared" si="56"/>
        <v>-14110.820000000007</v>
      </c>
      <c r="Z308" s="433">
        <f t="shared" si="57"/>
        <v>0</v>
      </c>
      <c r="AC308" s="410">
        <f t="shared" si="58"/>
        <v>0</v>
      </c>
    </row>
    <row r="309" spans="1:29" s="410" customFormat="1" ht="17.25" hidden="1" customHeight="1">
      <c r="B309" s="417" t="str">
        <f>IF(A309&lt;&gt;0,COUNTA(A$19:$A309),"")</f>
        <v/>
      </c>
      <c r="C309" s="428" t="s">
        <v>1111</v>
      </c>
      <c r="D309" s="428" t="s">
        <v>1112</v>
      </c>
      <c r="E309" s="435"/>
      <c r="F309" s="435"/>
      <c r="G309" s="419"/>
      <c r="H309" s="419"/>
      <c r="I309" s="419"/>
      <c r="J309" s="419"/>
      <c r="K309" s="420">
        <v>1</v>
      </c>
      <c r="L309" s="420">
        <f t="shared" si="51"/>
        <v>48658</v>
      </c>
      <c r="M309" s="420">
        <f t="shared" si="52"/>
        <v>63577</v>
      </c>
      <c r="N309" s="445">
        <f t="shared" si="61"/>
        <v>0</v>
      </c>
      <c r="O309" s="719"/>
      <c r="P309" s="719">
        <f t="shared" si="59"/>
        <v>82014.33</v>
      </c>
      <c r="Q309" s="423">
        <f>SUMIF('8.Dgia'!E:E,'9.may'!E309,'8.Dgia'!P:P)</f>
        <v>0</v>
      </c>
      <c r="R309" s="429">
        <f t="shared" si="53"/>
        <v>0</v>
      </c>
      <c r="S309" s="301">
        <f t="shared" si="54"/>
        <v>14110.820000000002</v>
      </c>
      <c r="T309" s="430">
        <f t="shared" si="55"/>
        <v>77687.820000000007</v>
      </c>
      <c r="U309" s="431"/>
      <c r="V309" s="431">
        <v>48658</v>
      </c>
      <c r="W309" s="432">
        <v>63577</v>
      </c>
      <c r="Y309" s="433">
        <f t="shared" si="56"/>
        <v>-14110.820000000007</v>
      </c>
      <c r="Z309" s="433">
        <f t="shared" si="57"/>
        <v>0</v>
      </c>
      <c r="AC309" s="410">
        <f t="shared" si="58"/>
        <v>0</v>
      </c>
    </row>
    <row r="310" spans="1:29" s="410" customFormat="1" ht="17.25" hidden="1" customHeight="1">
      <c r="B310" s="417" t="str">
        <f>IF(A310&lt;&gt;0,COUNTA(A$19:$A310),"")</f>
        <v/>
      </c>
      <c r="C310" s="428" t="s">
        <v>1113</v>
      </c>
      <c r="D310" s="428"/>
      <c r="E310" s="435"/>
      <c r="F310" s="435"/>
      <c r="G310" s="419"/>
      <c r="H310" s="419">
        <v>30</v>
      </c>
      <c r="I310" s="419"/>
      <c r="J310" s="419"/>
      <c r="K310" s="420">
        <v>1</v>
      </c>
      <c r="L310" s="420">
        <f t="shared" si="51"/>
        <v>105458</v>
      </c>
      <c r="M310" s="420">
        <f t="shared" si="52"/>
        <v>347828</v>
      </c>
      <c r="N310" s="445">
        <f t="shared" si="61"/>
        <v>19099.5</v>
      </c>
      <c r="O310" s="719"/>
      <c r="P310" s="719">
        <f t="shared" si="59"/>
        <v>467797.62</v>
      </c>
      <c r="Q310" s="423">
        <f>SUMIF('8.Dgia'!E:E,'9.may'!E310,'8.Dgia'!P:P)</f>
        <v>0</v>
      </c>
      <c r="R310" s="429">
        <f t="shared" si="53"/>
        <v>0</v>
      </c>
      <c r="S310" s="301">
        <f t="shared" si="54"/>
        <v>30582.820000000003</v>
      </c>
      <c r="T310" s="430">
        <f t="shared" si="55"/>
        <v>397510.32</v>
      </c>
      <c r="U310" s="431">
        <v>28730</v>
      </c>
      <c r="V310" s="431">
        <v>105458</v>
      </c>
      <c r="W310" s="432">
        <v>347828</v>
      </c>
      <c r="Y310" s="433">
        <f t="shared" si="56"/>
        <v>-49682.320000000007</v>
      </c>
      <c r="Z310" s="433">
        <f t="shared" si="57"/>
        <v>0</v>
      </c>
      <c r="AC310" s="410">
        <f t="shared" si="58"/>
        <v>0</v>
      </c>
    </row>
    <row r="311" spans="1:29" s="410" customFormat="1" ht="17.25" hidden="1" customHeight="1">
      <c r="B311" s="417" t="str">
        <f>IF(A311&lt;&gt;0,COUNTA(A$19:$A311),"")</f>
        <v/>
      </c>
      <c r="C311" s="428" t="s">
        <v>1114</v>
      </c>
      <c r="D311" s="428" t="s">
        <v>1115</v>
      </c>
      <c r="E311" s="435"/>
      <c r="F311" s="435"/>
      <c r="G311" s="419"/>
      <c r="H311" s="419"/>
      <c r="I311" s="419"/>
      <c r="J311" s="419"/>
      <c r="K311" s="420">
        <v>1</v>
      </c>
      <c r="L311" s="420">
        <f t="shared" si="51"/>
        <v>48658</v>
      </c>
      <c r="M311" s="420">
        <f t="shared" si="52"/>
        <v>94555</v>
      </c>
      <c r="N311" s="445">
        <f t="shared" si="61"/>
        <v>0</v>
      </c>
      <c r="O311" s="719"/>
      <c r="P311" s="719">
        <f t="shared" si="59"/>
        <v>121975.95</v>
      </c>
      <c r="Q311" s="423">
        <f>SUMIF('8.Dgia'!E:E,'9.may'!E311,'8.Dgia'!P:P)</f>
        <v>0</v>
      </c>
      <c r="R311" s="429">
        <f t="shared" si="53"/>
        <v>0</v>
      </c>
      <c r="S311" s="301">
        <f t="shared" si="54"/>
        <v>14110.820000000002</v>
      </c>
      <c r="T311" s="430">
        <f t="shared" si="55"/>
        <v>108665.82</v>
      </c>
      <c r="U311" s="431"/>
      <c r="V311" s="431">
        <v>48658</v>
      </c>
      <c r="W311" s="432">
        <v>94555</v>
      </c>
      <c r="Y311" s="433">
        <f t="shared" si="56"/>
        <v>-14110.820000000007</v>
      </c>
      <c r="Z311" s="433">
        <f t="shared" si="57"/>
        <v>0</v>
      </c>
      <c r="AC311" s="410">
        <f t="shared" si="58"/>
        <v>0</v>
      </c>
    </row>
    <row r="312" spans="1:29" s="410" customFormat="1" ht="17.25" hidden="1" customHeight="1">
      <c r="B312" s="417" t="str">
        <f>IF(A312&lt;&gt;0,COUNTA(A$19:$A312),"")</f>
        <v/>
      </c>
      <c r="C312" s="428" t="s">
        <v>1116</v>
      </c>
      <c r="D312" s="428"/>
      <c r="E312" s="435"/>
      <c r="F312" s="435"/>
      <c r="G312" s="419"/>
      <c r="H312" s="419"/>
      <c r="I312" s="419"/>
      <c r="J312" s="419"/>
      <c r="K312" s="420">
        <v>1</v>
      </c>
      <c r="L312" s="420">
        <f t="shared" si="51"/>
        <v>48658</v>
      </c>
      <c r="M312" s="420">
        <f t="shared" si="52"/>
        <v>65391</v>
      </c>
      <c r="N312" s="445">
        <f t="shared" si="61"/>
        <v>0</v>
      </c>
      <c r="O312" s="719"/>
      <c r="P312" s="719">
        <f t="shared" si="59"/>
        <v>84354.39</v>
      </c>
      <c r="Q312" s="423">
        <f>SUMIF('8.Dgia'!E:E,'9.may'!E312,'8.Dgia'!P:P)</f>
        <v>0</v>
      </c>
      <c r="R312" s="429">
        <f t="shared" si="53"/>
        <v>0</v>
      </c>
      <c r="S312" s="301">
        <f t="shared" si="54"/>
        <v>14110.820000000002</v>
      </c>
      <c r="T312" s="430">
        <f t="shared" si="55"/>
        <v>79501.820000000007</v>
      </c>
      <c r="U312" s="431"/>
      <c r="V312" s="431">
        <v>48658</v>
      </c>
      <c r="W312" s="432">
        <v>65391</v>
      </c>
      <c r="Y312" s="433">
        <f t="shared" si="56"/>
        <v>-14110.820000000007</v>
      </c>
      <c r="Z312" s="433">
        <f t="shared" si="57"/>
        <v>0</v>
      </c>
      <c r="AC312" s="410">
        <f t="shared" si="58"/>
        <v>0</v>
      </c>
    </row>
    <row r="313" spans="1:29" s="410" customFormat="1" ht="17.25" hidden="1" customHeight="1">
      <c r="B313" s="417" t="str">
        <f>IF(A313&lt;&gt;0,COUNTA(A$19:$A313),"")</f>
        <v/>
      </c>
      <c r="C313" s="428" t="s">
        <v>1117</v>
      </c>
      <c r="D313" s="428"/>
      <c r="E313" s="435"/>
      <c r="F313" s="435"/>
      <c r="G313" s="419"/>
      <c r="H313" s="419"/>
      <c r="I313" s="419"/>
      <c r="J313" s="419"/>
      <c r="K313" s="420">
        <v>1</v>
      </c>
      <c r="L313" s="420">
        <f t="shared" si="51"/>
        <v>48658</v>
      </c>
      <c r="M313" s="420">
        <f t="shared" si="52"/>
        <v>118475</v>
      </c>
      <c r="N313" s="445">
        <f t="shared" si="61"/>
        <v>0</v>
      </c>
      <c r="O313" s="719"/>
      <c r="P313" s="719">
        <f t="shared" si="59"/>
        <v>152832.75</v>
      </c>
      <c r="Q313" s="423">
        <f>SUMIF('8.Dgia'!E:E,'9.may'!E313,'8.Dgia'!P:P)</f>
        <v>0</v>
      </c>
      <c r="R313" s="429">
        <f t="shared" si="53"/>
        <v>0</v>
      </c>
      <c r="S313" s="301">
        <f t="shared" si="54"/>
        <v>14110.820000000002</v>
      </c>
      <c r="T313" s="430">
        <f t="shared" si="55"/>
        <v>132585.82</v>
      </c>
      <c r="U313" s="431"/>
      <c r="V313" s="431">
        <v>48658</v>
      </c>
      <c r="W313" s="432">
        <v>118475</v>
      </c>
      <c r="Y313" s="433">
        <f t="shared" si="56"/>
        <v>-14110.820000000007</v>
      </c>
      <c r="Z313" s="433">
        <f t="shared" si="57"/>
        <v>0</v>
      </c>
      <c r="AC313" s="410">
        <f t="shared" si="58"/>
        <v>0</v>
      </c>
    </row>
    <row r="314" spans="1:29" s="410" customFormat="1" ht="17.25" hidden="1" customHeight="1">
      <c r="B314" s="417" t="str">
        <f>IF(A314&lt;&gt;0,COUNTA(A$19:$A314),"")</f>
        <v/>
      </c>
      <c r="C314" s="428" t="s">
        <v>1118</v>
      </c>
      <c r="D314" s="428"/>
      <c r="E314" s="435"/>
      <c r="F314" s="435"/>
      <c r="G314" s="419"/>
      <c r="H314" s="419"/>
      <c r="I314" s="419"/>
      <c r="J314" s="419"/>
      <c r="K314" s="420">
        <v>1</v>
      </c>
      <c r="L314" s="420">
        <f t="shared" si="51"/>
        <v>48658</v>
      </c>
      <c r="M314" s="420">
        <f t="shared" si="52"/>
        <v>270549</v>
      </c>
      <c r="N314" s="445">
        <f t="shared" si="61"/>
        <v>0</v>
      </c>
      <c r="O314" s="719"/>
      <c r="P314" s="719">
        <f t="shared" si="59"/>
        <v>349008.21</v>
      </c>
      <c r="Q314" s="423">
        <f>SUMIF('8.Dgia'!E:E,'9.may'!E314,'8.Dgia'!P:P)</f>
        <v>0</v>
      </c>
      <c r="R314" s="429">
        <f t="shared" si="53"/>
        <v>0</v>
      </c>
      <c r="S314" s="301">
        <f t="shared" si="54"/>
        <v>14110.820000000002</v>
      </c>
      <c r="T314" s="430">
        <f t="shared" si="55"/>
        <v>284659.82</v>
      </c>
      <c r="U314" s="431"/>
      <c r="V314" s="431">
        <v>48658</v>
      </c>
      <c r="W314" s="432">
        <v>270549</v>
      </c>
      <c r="Y314" s="433">
        <f t="shared" si="56"/>
        <v>-14110.820000000007</v>
      </c>
      <c r="Z314" s="433">
        <f t="shared" si="57"/>
        <v>0</v>
      </c>
      <c r="AC314" s="410">
        <f t="shared" si="58"/>
        <v>0</v>
      </c>
    </row>
    <row r="315" spans="1:29" s="410" customFormat="1" ht="17.25" hidden="1" customHeight="1">
      <c r="B315" s="417" t="str">
        <f>IF(A315&lt;&gt;0,COUNTA(A$19:$A315),"")</f>
        <v/>
      </c>
      <c r="C315" s="418" t="s">
        <v>1119</v>
      </c>
      <c r="D315" s="418"/>
      <c r="E315" s="435"/>
      <c r="F315" s="435"/>
      <c r="G315" s="419"/>
      <c r="H315" s="419"/>
      <c r="I315" s="419"/>
      <c r="J315" s="419"/>
      <c r="K315" s="420"/>
      <c r="L315" s="420">
        <f t="shared" si="51"/>
        <v>0</v>
      </c>
      <c r="M315" s="420">
        <f t="shared" si="52"/>
        <v>0</v>
      </c>
      <c r="N315" s="445"/>
      <c r="O315" s="719"/>
      <c r="P315" s="719">
        <f t="shared" si="59"/>
        <v>0</v>
      </c>
      <c r="Q315" s="423">
        <f>SUMIF('8.Dgia'!E:E,'9.may'!E315,'8.Dgia'!P:P)</f>
        <v>0</v>
      </c>
      <c r="R315" s="429">
        <f t="shared" si="53"/>
        <v>0</v>
      </c>
      <c r="S315" s="301">
        <f t="shared" si="54"/>
        <v>0</v>
      </c>
      <c r="T315" s="430">
        <f t="shared" si="55"/>
        <v>0</v>
      </c>
      <c r="U315" s="436"/>
      <c r="V315" s="436"/>
      <c r="W315" s="432"/>
      <c r="Y315" s="433">
        <f t="shared" si="56"/>
        <v>0</v>
      </c>
      <c r="Z315" s="433">
        <f t="shared" si="57"/>
        <v>0</v>
      </c>
      <c r="AC315" s="410">
        <f t="shared" si="58"/>
        <v>0</v>
      </c>
    </row>
    <row r="316" spans="1:29" s="410" customFormat="1" ht="17.25" customHeight="1">
      <c r="A316" s="410">
        <v>1</v>
      </c>
      <c r="B316" s="417">
        <f>IF(A316&lt;&gt;0,COUNTA(A$19:$A316),"")</f>
        <v>75</v>
      </c>
      <c r="C316" s="428" t="s">
        <v>1120</v>
      </c>
      <c r="D316" s="428" t="s">
        <v>1121</v>
      </c>
      <c r="E316" s="435" t="s">
        <v>1122</v>
      </c>
      <c r="F316" s="435" t="s">
        <v>4724</v>
      </c>
      <c r="G316" s="419"/>
      <c r="H316" s="419">
        <v>27</v>
      </c>
      <c r="I316" s="419"/>
      <c r="J316" s="419"/>
      <c r="K316" s="420">
        <v>1</v>
      </c>
      <c r="L316" s="420">
        <f t="shared" si="51"/>
        <v>48658</v>
      </c>
      <c r="M316" s="420">
        <f t="shared" si="52"/>
        <v>296572</v>
      </c>
      <c r="N316" s="445">
        <f>SUMPRODUCT(G316:J316,$G$12:$J$12,$G$9:$J$9)</f>
        <v>17189.55</v>
      </c>
      <c r="O316" s="719"/>
      <c r="P316" s="719">
        <f t="shared" si="59"/>
        <v>399767.43</v>
      </c>
      <c r="Q316" s="423" t="e">
        <f>SUMIF('8.Dgia'!E:E,'9.may'!E316,'8.Dgia'!P:P)</f>
        <v>#REF!</v>
      </c>
      <c r="R316" s="429" t="e">
        <f t="shared" si="53"/>
        <v>#REF!</v>
      </c>
      <c r="S316" s="301">
        <f t="shared" si="54"/>
        <v>14110.820000000002</v>
      </c>
      <c r="T316" s="430">
        <f t="shared" si="55"/>
        <v>327872.37</v>
      </c>
      <c r="U316" s="2053">
        <v>25857</v>
      </c>
      <c r="V316" s="2053">
        <v>48658</v>
      </c>
      <c r="W316" s="2054">
        <v>296572</v>
      </c>
      <c r="Y316" s="433">
        <f t="shared" si="56"/>
        <v>-31300.369999999995</v>
      </c>
      <c r="Z316" s="433">
        <f t="shared" si="57"/>
        <v>0</v>
      </c>
      <c r="AC316" s="410" t="e">
        <f t="shared" si="58"/>
        <v>#REF!</v>
      </c>
    </row>
    <row r="317" spans="1:29" s="410" customFormat="1" ht="17.25" hidden="1" customHeight="1">
      <c r="B317" s="417" t="str">
        <f>IF(A317&lt;&gt;0,COUNTA(A$19:$A317),"")</f>
        <v/>
      </c>
      <c r="C317" s="418" t="s">
        <v>1123</v>
      </c>
      <c r="D317" s="418"/>
      <c r="E317" s="435"/>
      <c r="F317" s="435"/>
      <c r="G317" s="419"/>
      <c r="H317" s="419"/>
      <c r="I317" s="419"/>
      <c r="J317" s="419"/>
      <c r="K317" s="420"/>
      <c r="L317" s="420">
        <f t="shared" si="51"/>
        <v>0</v>
      </c>
      <c r="M317" s="420">
        <f t="shared" si="52"/>
        <v>0</v>
      </c>
      <c r="N317" s="445"/>
      <c r="O317" s="719"/>
      <c r="P317" s="719">
        <f t="shared" si="59"/>
        <v>0</v>
      </c>
      <c r="Q317" s="423">
        <f>SUMIF('8.Dgia'!E:E,'9.may'!E317,'8.Dgia'!P:P)</f>
        <v>0</v>
      </c>
      <c r="R317" s="429">
        <f t="shared" si="53"/>
        <v>0</v>
      </c>
      <c r="S317" s="301">
        <f t="shared" si="54"/>
        <v>0</v>
      </c>
      <c r="T317" s="430">
        <f t="shared" si="55"/>
        <v>0</v>
      </c>
      <c r="U317" s="436"/>
      <c r="V317" s="436"/>
      <c r="W317" s="432"/>
      <c r="Y317" s="433">
        <f t="shared" si="56"/>
        <v>0</v>
      </c>
      <c r="Z317" s="433">
        <f t="shared" si="57"/>
        <v>0</v>
      </c>
      <c r="AC317" s="410">
        <f t="shared" si="58"/>
        <v>0</v>
      </c>
    </row>
    <row r="318" spans="1:29" s="410" customFormat="1" ht="17.25" hidden="1" customHeight="1">
      <c r="B318" s="417" t="str">
        <f>IF(A318&lt;&gt;0,COUNTA(A$19:$A318),"")</f>
        <v/>
      </c>
      <c r="C318" s="428" t="s">
        <v>1124</v>
      </c>
      <c r="D318" s="428"/>
      <c r="E318" s="435"/>
      <c r="F318" s="435"/>
      <c r="G318" s="419"/>
      <c r="H318" s="419">
        <v>13.65</v>
      </c>
      <c r="I318" s="419"/>
      <c r="J318" s="419"/>
      <c r="K318" s="420">
        <v>1</v>
      </c>
      <c r="L318" s="420">
        <f t="shared" si="51"/>
        <v>48658</v>
      </c>
      <c r="M318" s="420">
        <f t="shared" si="52"/>
        <v>65149</v>
      </c>
      <c r="N318" s="445">
        <f>SUMPRODUCT(G318:J318,$G$12:$J$12,$G$9:$J$9)</f>
        <v>8690.2725000000009</v>
      </c>
      <c r="O318" s="719"/>
      <c r="P318" s="719">
        <f t="shared" si="59"/>
        <v>92732.482500000013</v>
      </c>
      <c r="Q318" s="423">
        <f>SUMIF('8.Dgia'!E:E,'9.may'!E318,'8.Dgia'!P:P)</f>
        <v>0</v>
      </c>
      <c r="R318" s="429">
        <f t="shared" si="53"/>
        <v>0</v>
      </c>
      <c r="S318" s="301">
        <f t="shared" si="54"/>
        <v>14110.820000000002</v>
      </c>
      <c r="T318" s="430">
        <f t="shared" si="55"/>
        <v>87950.092499999999</v>
      </c>
      <c r="U318" s="431">
        <v>13072</v>
      </c>
      <c r="V318" s="431">
        <v>48658</v>
      </c>
      <c r="W318" s="432">
        <v>65149</v>
      </c>
      <c r="Y318" s="433">
        <f t="shared" si="56"/>
        <v>-22801.092499999999</v>
      </c>
      <c r="Z318" s="433">
        <f t="shared" si="57"/>
        <v>0</v>
      </c>
      <c r="AC318" s="410">
        <f t="shared" si="58"/>
        <v>0</v>
      </c>
    </row>
    <row r="319" spans="1:29" s="410" customFormat="1" ht="17.25" hidden="1" customHeight="1">
      <c r="B319" s="417" t="str">
        <f>IF(A319&lt;&gt;0,COUNTA(A$19:$A319),"")</f>
        <v/>
      </c>
      <c r="C319" s="428" t="s">
        <v>1125</v>
      </c>
      <c r="D319" s="428"/>
      <c r="E319" s="435"/>
      <c r="F319" s="435"/>
      <c r="G319" s="419"/>
      <c r="H319" s="419">
        <v>19.5</v>
      </c>
      <c r="I319" s="419"/>
      <c r="J319" s="419"/>
      <c r="K319" s="420">
        <v>1</v>
      </c>
      <c r="L319" s="420">
        <f t="shared" si="51"/>
        <v>48658</v>
      </c>
      <c r="M319" s="420">
        <f t="shared" si="52"/>
        <v>77865</v>
      </c>
      <c r="N319" s="445">
        <f>SUMPRODUCT(G319:J319,$G$12:$J$12,$G$9:$J$9)</f>
        <v>12414.675000000001</v>
      </c>
      <c r="O319" s="719"/>
      <c r="P319" s="719">
        <f t="shared" si="59"/>
        <v>112860.52500000001</v>
      </c>
      <c r="Q319" s="423">
        <f>SUMIF('8.Dgia'!E:E,'9.may'!E319,'8.Dgia'!P:P)</f>
        <v>0</v>
      </c>
      <c r="R319" s="429">
        <f t="shared" si="53"/>
        <v>0</v>
      </c>
      <c r="S319" s="301">
        <f t="shared" si="54"/>
        <v>14110.820000000002</v>
      </c>
      <c r="T319" s="430">
        <f t="shared" si="55"/>
        <v>104390.495</v>
      </c>
      <c r="U319" s="431">
        <v>18674</v>
      </c>
      <c r="V319" s="431">
        <v>48658</v>
      </c>
      <c r="W319" s="432">
        <v>77865</v>
      </c>
      <c r="Y319" s="433">
        <f t="shared" si="56"/>
        <v>-26525.494999999995</v>
      </c>
      <c r="Z319" s="433">
        <f t="shared" si="57"/>
        <v>0</v>
      </c>
      <c r="AC319" s="410">
        <f t="shared" si="58"/>
        <v>0</v>
      </c>
    </row>
    <row r="320" spans="1:29" s="410" customFormat="1" ht="17.25" hidden="1" customHeight="1">
      <c r="B320" s="417" t="str">
        <f>IF(A320&lt;&gt;0,COUNTA(A$19:$A320),"")</f>
        <v/>
      </c>
      <c r="C320" s="418" t="s">
        <v>1126</v>
      </c>
      <c r="D320" s="418"/>
      <c r="E320" s="435"/>
      <c r="F320" s="435"/>
      <c r="G320" s="419"/>
      <c r="H320" s="419"/>
      <c r="I320" s="419"/>
      <c r="J320" s="419"/>
      <c r="K320" s="437"/>
      <c r="L320" s="420">
        <f t="shared" si="51"/>
        <v>0</v>
      </c>
      <c r="M320" s="420">
        <f t="shared" si="52"/>
        <v>0</v>
      </c>
      <c r="N320" s="445"/>
      <c r="O320" s="719"/>
      <c r="P320" s="719">
        <f t="shared" si="59"/>
        <v>0</v>
      </c>
      <c r="Q320" s="423">
        <f>SUMIF('8.Dgia'!E:E,'9.may'!E320,'8.Dgia'!P:P)</f>
        <v>0</v>
      </c>
      <c r="R320" s="429">
        <f t="shared" si="53"/>
        <v>0</v>
      </c>
      <c r="S320" s="301">
        <f t="shared" si="54"/>
        <v>0</v>
      </c>
      <c r="T320" s="430">
        <f t="shared" si="55"/>
        <v>0</v>
      </c>
      <c r="U320" s="436"/>
      <c r="V320" s="436"/>
      <c r="W320" s="432"/>
      <c r="Y320" s="433">
        <f t="shared" si="56"/>
        <v>0</v>
      </c>
      <c r="Z320" s="433">
        <f t="shared" si="57"/>
        <v>0</v>
      </c>
      <c r="AC320" s="410">
        <f t="shared" si="58"/>
        <v>0</v>
      </c>
    </row>
    <row r="321" spans="1:29" s="410" customFormat="1" ht="17.25" hidden="1" customHeight="1">
      <c r="B321" s="417" t="str">
        <f>IF(A321&lt;&gt;0,COUNTA(A$19:$A321),"")</f>
        <v/>
      </c>
      <c r="C321" s="428" t="s">
        <v>1103</v>
      </c>
      <c r="D321" s="428"/>
      <c r="E321" s="435"/>
      <c r="F321" s="435"/>
      <c r="G321" s="419">
        <v>7.92</v>
      </c>
      <c r="H321" s="419"/>
      <c r="I321" s="419"/>
      <c r="J321" s="419"/>
      <c r="K321" s="420">
        <v>1</v>
      </c>
      <c r="L321" s="420">
        <f t="shared" si="51"/>
        <v>48658</v>
      </c>
      <c r="M321" s="420">
        <f t="shared" si="52"/>
        <v>181692</v>
      </c>
      <c r="N321" s="445">
        <f t="shared" ref="N321:N326" si="62">SUMPRODUCT(G321:J321,$G$12:$J$12,$G$9:$J$9)</f>
        <v>128672.71199999997</v>
      </c>
      <c r="O321" s="719"/>
      <c r="P321" s="719">
        <f t="shared" si="59"/>
        <v>363055.39199999999</v>
      </c>
      <c r="Q321" s="423">
        <f>SUMIF('8.Dgia'!E:E,'9.may'!E321,'8.Dgia'!P:P)</f>
        <v>0</v>
      </c>
      <c r="R321" s="429">
        <f t="shared" si="53"/>
        <v>0</v>
      </c>
      <c r="S321" s="301">
        <f t="shared" si="54"/>
        <v>14110.820000000002</v>
      </c>
      <c r="T321" s="430">
        <f t="shared" si="55"/>
        <v>324475.53200000001</v>
      </c>
      <c r="U321" s="431">
        <v>56698</v>
      </c>
      <c r="V321" s="431">
        <v>48658</v>
      </c>
      <c r="W321" s="432">
        <v>181692</v>
      </c>
      <c r="Y321" s="433">
        <f t="shared" si="56"/>
        <v>-142783.53200000001</v>
      </c>
      <c r="Z321" s="433">
        <f t="shared" si="57"/>
        <v>0</v>
      </c>
      <c r="AC321" s="410">
        <f t="shared" si="58"/>
        <v>0</v>
      </c>
    </row>
    <row r="322" spans="1:29" s="410" customFormat="1" ht="17.25" hidden="1" customHeight="1">
      <c r="B322" s="417" t="str">
        <f>IF(A322&lt;&gt;0,COUNTA(A$19:$A322),"")</f>
        <v/>
      </c>
      <c r="C322" s="428" t="s">
        <v>1105</v>
      </c>
      <c r="D322" s="428"/>
      <c r="E322" s="435"/>
      <c r="F322" s="435"/>
      <c r="G322" s="419">
        <v>9</v>
      </c>
      <c r="H322" s="419"/>
      <c r="I322" s="419"/>
      <c r="J322" s="419"/>
      <c r="K322" s="420">
        <v>1</v>
      </c>
      <c r="L322" s="420">
        <f t="shared" si="51"/>
        <v>48658</v>
      </c>
      <c r="M322" s="420">
        <f t="shared" si="52"/>
        <v>213009</v>
      </c>
      <c r="N322" s="445">
        <f t="shared" si="62"/>
        <v>146218.99090909088</v>
      </c>
      <c r="O322" s="719"/>
      <c r="P322" s="719">
        <f t="shared" si="59"/>
        <v>421000.60090909083</v>
      </c>
      <c r="Q322" s="423">
        <f>SUMIF('8.Dgia'!E:E,'9.may'!E322,'8.Dgia'!P:P)</f>
        <v>0</v>
      </c>
      <c r="R322" s="429">
        <f t="shared" si="53"/>
        <v>0</v>
      </c>
      <c r="S322" s="301">
        <f t="shared" si="54"/>
        <v>14110.820000000002</v>
      </c>
      <c r="T322" s="430">
        <f t="shared" si="55"/>
        <v>373338.81090909091</v>
      </c>
      <c r="U322" s="431">
        <v>64430</v>
      </c>
      <c r="V322" s="431">
        <v>48658</v>
      </c>
      <c r="W322" s="432">
        <v>213009</v>
      </c>
      <c r="Y322" s="433">
        <f t="shared" si="56"/>
        <v>-160329.81090909091</v>
      </c>
      <c r="Z322" s="433">
        <f t="shared" si="57"/>
        <v>0</v>
      </c>
      <c r="AC322" s="410">
        <f t="shared" si="58"/>
        <v>0</v>
      </c>
    </row>
    <row r="323" spans="1:29" s="410" customFormat="1" ht="17.25" hidden="1" customHeight="1">
      <c r="B323" s="417" t="str">
        <f>IF(A323&lt;&gt;0,COUNTA(A$19:$A323),"")</f>
        <v/>
      </c>
      <c r="C323" s="428" t="s">
        <v>1003</v>
      </c>
      <c r="D323" s="428"/>
      <c r="E323" s="435"/>
      <c r="F323" s="435"/>
      <c r="G323" s="419">
        <v>10.08</v>
      </c>
      <c r="H323" s="419"/>
      <c r="I323" s="419"/>
      <c r="J323" s="419"/>
      <c r="K323" s="420">
        <v>1</v>
      </c>
      <c r="L323" s="420">
        <f t="shared" si="51"/>
        <v>48658</v>
      </c>
      <c r="M323" s="420">
        <f t="shared" si="52"/>
        <v>259979</v>
      </c>
      <c r="N323" s="445">
        <f t="shared" si="62"/>
        <v>163765.26981818181</v>
      </c>
      <c r="O323" s="719"/>
      <c r="P323" s="719">
        <f t="shared" si="59"/>
        <v>499138.17981818184</v>
      </c>
      <c r="Q323" s="423">
        <f>SUMIF('8.Dgia'!E:E,'9.may'!E323,'8.Dgia'!P:P)</f>
        <v>0</v>
      </c>
      <c r="R323" s="429">
        <f t="shared" si="53"/>
        <v>0</v>
      </c>
      <c r="S323" s="301">
        <f t="shared" si="54"/>
        <v>14110.820000000002</v>
      </c>
      <c r="T323" s="430">
        <f t="shared" si="55"/>
        <v>437855.08981818182</v>
      </c>
      <c r="U323" s="431">
        <v>72162</v>
      </c>
      <c r="V323" s="431">
        <v>48658</v>
      </c>
      <c r="W323" s="432">
        <v>259979</v>
      </c>
      <c r="Y323" s="433">
        <f t="shared" si="56"/>
        <v>-177876.08981818182</v>
      </c>
      <c r="Z323" s="433">
        <f t="shared" si="57"/>
        <v>0</v>
      </c>
      <c r="AC323" s="410">
        <f t="shared" si="58"/>
        <v>0</v>
      </c>
    </row>
    <row r="324" spans="1:29" s="410" customFormat="1" ht="17.25" hidden="1" customHeight="1">
      <c r="B324" s="417" t="str">
        <f>IF(A324&lt;&gt;0,COUNTA(A$19:$A324),"")</f>
        <v/>
      </c>
      <c r="C324" s="428" t="s">
        <v>1127</v>
      </c>
      <c r="D324" s="428"/>
      <c r="E324" s="435"/>
      <c r="F324" s="435"/>
      <c r="G324" s="419">
        <v>11.52</v>
      </c>
      <c r="H324" s="419"/>
      <c r="I324" s="419"/>
      <c r="J324" s="419"/>
      <c r="K324" s="420">
        <v>1</v>
      </c>
      <c r="L324" s="420">
        <f t="shared" si="51"/>
        <v>48658</v>
      </c>
      <c r="M324" s="420">
        <f t="shared" si="52"/>
        <v>274947</v>
      </c>
      <c r="N324" s="445">
        <f t="shared" si="62"/>
        <v>187160.30836363634</v>
      </c>
      <c r="O324" s="719"/>
      <c r="P324" s="719">
        <f t="shared" si="59"/>
        <v>541841.93836363638</v>
      </c>
      <c r="Q324" s="423">
        <f>SUMIF('8.Dgia'!E:E,'9.may'!E324,'8.Dgia'!P:P)</f>
        <v>0</v>
      </c>
      <c r="R324" s="429">
        <f t="shared" si="53"/>
        <v>0</v>
      </c>
      <c r="S324" s="301">
        <f t="shared" si="54"/>
        <v>14110.820000000002</v>
      </c>
      <c r="T324" s="430">
        <f t="shared" si="55"/>
        <v>476218.12836363632</v>
      </c>
      <c r="U324" s="431">
        <v>82471</v>
      </c>
      <c r="V324" s="431">
        <v>48658</v>
      </c>
      <c r="W324" s="432">
        <v>274947</v>
      </c>
      <c r="Y324" s="433">
        <f t="shared" si="56"/>
        <v>-201271.12836363632</v>
      </c>
      <c r="Z324" s="433">
        <f t="shared" si="57"/>
        <v>0</v>
      </c>
      <c r="AC324" s="410">
        <f t="shared" si="58"/>
        <v>0</v>
      </c>
    </row>
    <row r="325" spans="1:29" s="410" customFormat="1" ht="17.25" hidden="1" customHeight="1">
      <c r="B325" s="417" t="str">
        <f>IF(A325&lt;&gt;0,COUNTA(A$19:$A325),"")</f>
        <v/>
      </c>
      <c r="C325" s="428" t="s">
        <v>1128</v>
      </c>
      <c r="D325" s="428"/>
      <c r="E325" s="435"/>
      <c r="F325" s="435"/>
      <c r="G325" s="419">
        <v>14.4</v>
      </c>
      <c r="H325" s="419"/>
      <c r="I325" s="419"/>
      <c r="J325" s="419"/>
      <c r="K325" s="420">
        <v>1</v>
      </c>
      <c r="L325" s="420">
        <f t="shared" si="51"/>
        <v>48658</v>
      </c>
      <c r="M325" s="420">
        <f t="shared" si="52"/>
        <v>306796</v>
      </c>
      <c r="N325" s="445">
        <f t="shared" si="62"/>
        <v>233950.38545454544</v>
      </c>
      <c r="O325" s="719"/>
      <c r="P325" s="719">
        <f t="shared" si="59"/>
        <v>629717.22545454546</v>
      </c>
      <c r="Q325" s="423">
        <f>SUMIF('8.Dgia'!E:E,'9.may'!E325,'8.Dgia'!P:P)</f>
        <v>0</v>
      </c>
      <c r="R325" s="429">
        <f t="shared" si="53"/>
        <v>0</v>
      </c>
      <c r="S325" s="301">
        <f t="shared" si="54"/>
        <v>14110.820000000002</v>
      </c>
      <c r="T325" s="430">
        <f t="shared" si="55"/>
        <v>554857.20545454544</v>
      </c>
      <c r="U325" s="431">
        <v>103088</v>
      </c>
      <c r="V325" s="431">
        <v>48658</v>
      </c>
      <c r="W325" s="432">
        <v>306796</v>
      </c>
      <c r="Y325" s="433">
        <f t="shared" si="56"/>
        <v>-248061.20545454544</v>
      </c>
      <c r="Z325" s="433">
        <f t="shared" si="57"/>
        <v>0</v>
      </c>
      <c r="AC325" s="410">
        <f t="shared" si="58"/>
        <v>0</v>
      </c>
    </row>
    <row r="326" spans="1:29" s="410" customFormat="1" ht="17.25" hidden="1" customHeight="1">
      <c r="B326" s="417" t="str">
        <f>IF(A326&lt;&gt;0,COUNTA(A$19:$A326),"")</f>
        <v/>
      </c>
      <c r="C326" s="428" t="s">
        <v>997</v>
      </c>
      <c r="D326" s="428"/>
      <c r="E326" s="435"/>
      <c r="F326" s="435"/>
      <c r="G326" s="419">
        <v>16.2</v>
      </c>
      <c r="H326" s="419"/>
      <c r="I326" s="419"/>
      <c r="J326" s="419"/>
      <c r="K326" s="420">
        <v>1</v>
      </c>
      <c r="L326" s="420">
        <f t="shared" si="51"/>
        <v>48658</v>
      </c>
      <c r="M326" s="420">
        <f t="shared" si="52"/>
        <v>356710</v>
      </c>
      <c r="N326" s="445">
        <f t="shared" si="62"/>
        <v>263194.1836363636</v>
      </c>
      <c r="O326" s="719"/>
      <c r="P326" s="719">
        <f t="shared" si="59"/>
        <v>723350.08363636362</v>
      </c>
      <c r="Q326" s="423">
        <f>SUMIF('8.Dgia'!E:E,'9.may'!E326,'8.Dgia'!P:P)</f>
        <v>0</v>
      </c>
      <c r="R326" s="429">
        <f t="shared" si="53"/>
        <v>0</v>
      </c>
      <c r="S326" s="301">
        <f t="shared" si="54"/>
        <v>14110.820000000002</v>
      </c>
      <c r="T326" s="430">
        <f t="shared" si="55"/>
        <v>634015.00363636366</v>
      </c>
      <c r="U326" s="431">
        <v>115974</v>
      </c>
      <c r="V326" s="431">
        <v>48658</v>
      </c>
      <c r="W326" s="432">
        <v>356710</v>
      </c>
      <c r="Y326" s="433">
        <f t="shared" si="56"/>
        <v>-277305.00363636366</v>
      </c>
      <c r="Z326" s="433">
        <f t="shared" si="57"/>
        <v>0</v>
      </c>
      <c r="AC326" s="410">
        <f t="shared" si="58"/>
        <v>0</v>
      </c>
    </row>
    <row r="327" spans="1:29" s="410" customFormat="1" ht="17.25" hidden="1" customHeight="1">
      <c r="B327" s="417" t="str">
        <f>IF(A327&lt;&gt;0,COUNTA(A$19:$A327),"")</f>
        <v/>
      </c>
      <c r="C327" s="418" t="s">
        <v>1129</v>
      </c>
      <c r="D327" s="418"/>
      <c r="E327" s="435"/>
      <c r="F327" s="435"/>
      <c r="G327" s="419"/>
      <c r="H327" s="419"/>
      <c r="I327" s="419"/>
      <c r="J327" s="419"/>
      <c r="K327" s="437"/>
      <c r="L327" s="420">
        <f t="shared" si="51"/>
        <v>0</v>
      </c>
      <c r="M327" s="420">
        <f t="shared" si="52"/>
        <v>0</v>
      </c>
      <c r="N327" s="445"/>
      <c r="O327" s="719"/>
      <c r="P327" s="719">
        <f t="shared" si="59"/>
        <v>0</v>
      </c>
      <c r="Q327" s="423">
        <f>SUMIF('8.Dgia'!E:E,'9.may'!E327,'8.Dgia'!P:P)</f>
        <v>0</v>
      </c>
      <c r="R327" s="429">
        <f t="shared" si="53"/>
        <v>0</v>
      </c>
      <c r="S327" s="301">
        <f t="shared" si="54"/>
        <v>0</v>
      </c>
      <c r="T327" s="430">
        <f t="shared" si="55"/>
        <v>0</v>
      </c>
      <c r="U327" s="436"/>
      <c r="V327" s="436"/>
      <c r="W327" s="432"/>
      <c r="Y327" s="433">
        <f t="shared" si="56"/>
        <v>0</v>
      </c>
      <c r="Z327" s="433">
        <f t="shared" si="57"/>
        <v>0</v>
      </c>
      <c r="AC327" s="410">
        <f t="shared" si="58"/>
        <v>0</v>
      </c>
    </row>
    <row r="328" spans="1:29" s="410" customFormat="1" ht="17.25" hidden="1" customHeight="1">
      <c r="B328" s="417" t="str">
        <f>IF(A328&lt;&gt;0,COUNTA(A$19:$A328),"")</f>
        <v/>
      </c>
      <c r="C328" s="428" t="s">
        <v>1130</v>
      </c>
      <c r="D328" s="428" t="s">
        <v>1131</v>
      </c>
      <c r="E328" s="435"/>
      <c r="F328" s="435" t="s">
        <v>4725</v>
      </c>
      <c r="G328" s="419">
        <v>44.55</v>
      </c>
      <c r="H328" s="419"/>
      <c r="I328" s="419"/>
      <c r="J328" s="419"/>
      <c r="K328" s="420">
        <v>1</v>
      </c>
      <c r="L328" s="420">
        <f t="shared" si="51"/>
        <v>48658</v>
      </c>
      <c r="M328" s="420">
        <f t="shared" si="52"/>
        <v>671710</v>
      </c>
      <c r="N328" s="445">
        <f>SUMPRODUCT(G328:J328,$G$12:$J$12,$G$9:$J$9)</f>
        <v>723784.00499999989</v>
      </c>
      <c r="O328" s="719"/>
      <c r="P328" s="719">
        <f t="shared" si="59"/>
        <v>1590289.9049999998</v>
      </c>
      <c r="Q328" s="423">
        <f>SUMIF('8.Dgia'!E:E,'9.may'!E328,'8.Dgia'!P:P)</f>
        <v>0</v>
      </c>
      <c r="R328" s="429">
        <f t="shared" si="53"/>
        <v>0</v>
      </c>
      <c r="S328" s="301">
        <f t="shared" si="54"/>
        <v>14110.820000000002</v>
      </c>
      <c r="T328" s="430">
        <f t="shared" si="55"/>
        <v>1409604.8249999997</v>
      </c>
      <c r="U328" s="431">
        <v>312854</v>
      </c>
      <c r="V328" s="431">
        <v>48658</v>
      </c>
      <c r="W328" s="432">
        <v>671710</v>
      </c>
      <c r="Y328" s="433">
        <f t="shared" si="56"/>
        <v>-737894.82499999972</v>
      </c>
      <c r="Z328" s="433">
        <f t="shared" si="57"/>
        <v>0</v>
      </c>
      <c r="AC328" s="410">
        <f t="shared" si="58"/>
        <v>0</v>
      </c>
    </row>
    <row r="329" spans="1:29" s="410" customFormat="1" ht="17.25" hidden="1" customHeight="1">
      <c r="B329" s="417" t="str">
        <f>IF(A329&lt;&gt;0,COUNTA(A$19:$A329),"")</f>
        <v/>
      </c>
      <c r="C329" s="418" t="s">
        <v>1132</v>
      </c>
      <c r="D329" s="418"/>
      <c r="E329" s="435"/>
      <c r="F329" s="435"/>
      <c r="G329" s="419"/>
      <c r="H329" s="419"/>
      <c r="I329" s="419"/>
      <c r="J329" s="419"/>
      <c r="K329" s="420"/>
      <c r="L329" s="420">
        <f t="shared" si="51"/>
        <v>0</v>
      </c>
      <c r="M329" s="420">
        <f t="shared" si="52"/>
        <v>0</v>
      </c>
      <c r="N329" s="445"/>
      <c r="O329" s="719"/>
      <c r="P329" s="719">
        <f t="shared" si="59"/>
        <v>0</v>
      </c>
      <c r="Q329" s="423">
        <f>SUMIF('8.Dgia'!E:E,'9.may'!E329,'8.Dgia'!P:P)</f>
        <v>0</v>
      </c>
      <c r="R329" s="429">
        <f t="shared" si="53"/>
        <v>0</v>
      </c>
      <c r="S329" s="301">
        <f t="shared" si="54"/>
        <v>0</v>
      </c>
      <c r="T329" s="430">
        <f t="shared" si="55"/>
        <v>0</v>
      </c>
      <c r="U329" s="436"/>
      <c r="V329" s="436"/>
      <c r="W329" s="432"/>
      <c r="Y329" s="433">
        <f t="shared" si="56"/>
        <v>0</v>
      </c>
      <c r="Z329" s="433">
        <f t="shared" si="57"/>
        <v>0</v>
      </c>
      <c r="AC329" s="410">
        <f t="shared" si="58"/>
        <v>0</v>
      </c>
    </row>
    <row r="330" spans="1:29" s="410" customFormat="1" ht="17.25" hidden="1" customHeight="1">
      <c r="B330" s="417" t="str">
        <f>IF(A330&lt;&gt;0,COUNTA(A$19:$A330),"")</f>
        <v/>
      </c>
      <c r="C330" s="428" t="s">
        <v>1133</v>
      </c>
      <c r="D330" s="428"/>
      <c r="E330" s="435"/>
      <c r="F330" s="435"/>
      <c r="G330" s="419"/>
      <c r="H330" s="419">
        <v>6.72</v>
      </c>
      <c r="I330" s="419"/>
      <c r="J330" s="419"/>
      <c r="K330" s="420">
        <v>1</v>
      </c>
      <c r="L330" s="420">
        <f t="shared" si="51"/>
        <v>41873</v>
      </c>
      <c r="M330" s="420">
        <f t="shared" si="52"/>
        <v>72631</v>
      </c>
      <c r="N330" s="445">
        <f t="shared" ref="N330:N338" si="63">SUMPRODUCT(G330:J330,$G$12:$J$12,$G$9:$J$9)</f>
        <v>4278.2879999999996</v>
      </c>
      <c r="O330" s="719"/>
      <c r="P330" s="719">
        <f t="shared" si="59"/>
        <v>97972.278000000006</v>
      </c>
      <c r="Q330" s="423">
        <f>SUMIF('8.Dgia'!E:E,'9.may'!E330,'8.Dgia'!P:P)</f>
        <v>0</v>
      </c>
      <c r="R330" s="429">
        <f t="shared" si="53"/>
        <v>0</v>
      </c>
      <c r="S330" s="301">
        <f t="shared" si="54"/>
        <v>12143.170000000002</v>
      </c>
      <c r="T330" s="430">
        <f t="shared" si="55"/>
        <v>89052.457999999999</v>
      </c>
      <c r="U330" s="431">
        <v>6435</v>
      </c>
      <c r="V330" s="431">
        <v>41873</v>
      </c>
      <c r="W330" s="432">
        <v>72631</v>
      </c>
      <c r="Y330" s="433">
        <f t="shared" si="56"/>
        <v>-16421.457999999999</v>
      </c>
      <c r="Z330" s="433">
        <f t="shared" si="57"/>
        <v>0</v>
      </c>
      <c r="AC330" s="410">
        <f t="shared" si="58"/>
        <v>0</v>
      </c>
    </row>
    <row r="331" spans="1:29" s="410" customFormat="1" ht="17.25" hidden="1" customHeight="1">
      <c r="B331" s="417" t="str">
        <f>IF(A331&lt;&gt;0,COUNTA(A$19:$A331),"")</f>
        <v/>
      </c>
      <c r="C331" s="428" t="s">
        <v>1134</v>
      </c>
      <c r="D331" s="428"/>
      <c r="E331" s="435"/>
      <c r="F331" s="435"/>
      <c r="G331" s="419"/>
      <c r="H331" s="419">
        <v>8.4</v>
      </c>
      <c r="I331" s="419"/>
      <c r="J331" s="419"/>
      <c r="K331" s="420">
        <v>1</v>
      </c>
      <c r="L331" s="420">
        <f t="shared" si="51"/>
        <v>41873</v>
      </c>
      <c r="M331" s="420">
        <f t="shared" si="52"/>
        <v>90909</v>
      </c>
      <c r="N331" s="445">
        <f t="shared" si="63"/>
        <v>5347.8600000000006</v>
      </c>
      <c r="O331" s="719"/>
      <c r="P331" s="719">
        <f t="shared" si="59"/>
        <v>122620.47</v>
      </c>
      <c r="Q331" s="423">
        <f>SUMIF('8.Dgia'!E:E,'9.may'!E331,'8.Dgia'!P:P)</f>
        <v>0</v>
      </c>
      <c r="R331" s="429">
        <f t="shared" si="53"/>
        <v>0</v>
      </c>
      <c r="S331" s="301">
        <f t="shared" si="54"/>
        <v>12143.170000000002</v>
      </c>
      <c r="T331" s="430">
        <f t="shared" si="55"/>
        <v>108400.03</v>
      </c>
      <c r="U331" s="431">
        <v>8044</v>
      </c>
      <c r="V331" s="431">
        <v>41873</v>
      </c>
      <c r="W331" s="432">
        <v>90909</v>
      </c>
      <c r="Y331" s="433">
        <f t="shared" si="56"/>
        <v>-17491.03</v>
      </c>
      <c r="Z331" s="433">
        <f t="shared" si="57"/>
        <v>0</v>
      </c>
      <c r="AC331" s="410">
        <f t="shared" si="58"/>
        <v>0</v>
      </c>
    </row>
    <row r="332" spans="1:29" s="410" customFormat="1" ht="17.25" hidden="1" customHeight="1">
      <c r="B332" s="417" t="str">
        <f>IF(A332&lt;&gt;0,COUNTA(A$19:$A332),"")</f>
        <v/>
      </c>
      <c r="C332" s="428" t="s">
        <v>1135</v>
      </c>
      <c r="D332" s="428"/>
      <c r="E332" s="435"/>
      <c r="F332" s="435"/>
      <c r="G332" s="419"/>
      <c r="H332" s="419">
        <v>9.6</v>
      </c>
      <c r="I332" s="419"/>
      <c r="J332" s="419"/>
      <c r="K332" s="420">
        <v>1</v>
      </c>
      <c r="L332" s="420">
        <f t="shared" si="51"/>
        <v>41873</v>
      </c>
      <c r="M332" s="420">
        <f t="shared" si="52"/>
        <v>109483</v>
      </c>
      <c r="N332" s="445">
        <f t="shared" si="63"/>
        <v>6111.84</v>
      </c>
      <c r="O332" s="719"/>
      <c r="P332" s="719">
        <f t="shared" si="59"/>
        <v>147344.91</v>
      </c>
      <c r="Q332" s="423">
        <f>SUMIF('8.Dgia'!E:E,'9.may'!E332,'8.Dgia'!P:P)</f>
        <v>0</v>
      </c>
      <c r="R332" s="429">
        <f t="shared" si="53"/>
        <v>0</v>
      </c>
      <c r="S332" s="301">
        <f t="shared" si="54"/>
        <v>12143.170000000002</v>
      </c>
      <c r="T332" s="430">
        <f t="shared" si="55"/>
        <v>127738.01000000001</v>
      </c>
      <c r="U332" s="431">
        <v>9193</v>
      </c>
      <c r="V332" s="431">
        <v>41873</v>
      </c>
      <c r="W332" s="432">
        <v>109483</v>
      </c>
      <c r="Y332" s="433">
        <f t="shared" si="56"/>
        <v>-18255.010000000009</v>
      </c>
      <c r="Z332" s="433">
        <f t="shared" si="57"/>
        <v>0</v>
      </c>
      <c r="AC332" s="410">
        <f t="shared" si="58"/>
        <v>0</v>
      </c>
    </row>
    <row r="333" spans="1:29" s="427" customFormat="1" ht="17.25" customHeight="1">
      <c r="A333" s="410">
        <v>1</v>
      </c>
      <c r="B333" s="417">
        <f>IF(A333&lt;&gt;0,COUNTA(A$19:$A333),"")</f>
        <v>76</v>
      </c>
      <c r="C333" s="428" t="s">
        <v>1136</v>
      </c>
      <c r="D333" s="428" t="s">
        <v>1137</v>
      </c>
      <c r="E333" s="435" t="s">
        <v>73</v>
      </c>
      <c r="F333" s="435" t="s">
        <v>4726</v>
      </c>
      <c r="G333" s="419"/>
      <c r="H333" s="419">
        <v>10.8</v>
      </c>
      <c r="I333" s="419"/>
      <c r="J333" s="419"/>
      <c r="K333" s="420">
        <v>1</v>
      </c>
      <c r="L333" s="420">
        <f t="shared" si="51"/>
        <v>41873</v>
      </c>
      <c r="M333" s="420">
        <f t="shared" si="52"/>
        <v>134552</v>
      </c>
      <c r="N333" s="445">
        <f t="shared" si="63"/>
        <v>6875.8200000000006</v>
      </c>
      <c r="O333" s="719"/>
      <c r="P333" s="719">
        <f t="shared" si="59"/>
        <v>180447.90000000002</v>
      </c>
      <c r="Q333" s="423" t="e">
        <f>SUMIF('8.Dgia'!E:E,'9.may'!E333,'8.Dgia'!P:P)</f>
        <v>#REF!</v>
      </c>
      <c r="R333" s="429" t="e">
        <f t="shared" si="53"/>
        <v>#REF!</v>
      </c>
      <c r="S333" s="301">
        <f t="shared" si="54"/>
        <v>12143.170000000002</v>
      </c>
      <c r="T333" s="430">
        <f t="shared" si="55"/>
        <v>153570.99</v>
      </c>
      <c r="U333" s="2053">
        <v>10343</v>
      </c>
      <c r="V333" s="2053">
        <v>41873</v>
      </c>
      <c r="W333" s="2054">
        <v>134552</v>
      </c>
      <c r="Y333" s="433">
        <f t="shared" si="56"/>
        <v>-19018.989999999991</v>
      </c>
      <c r="Z333" s="433">
        <f t="shared" si="57"/>
        <v>0</v>
      </c>
      <c r="AC333" s="410" t="e">
        <f t="shared" si="58"/>
        <v>#REF!</v>
      </c>
    </row>
    <row r="334" spans="1:29" s="427" customFormat="1" ht="17.25" hidden="1" customHeight="1">
      <c r="B334" s="417" t="str">
        <f>IF(A334&lt;&gt;0,COUNTA(A$19:$A334),"")</f>
        <v/>
      </c>
      <c r="C334" s="428" t="s">
        <v>1138</v>
      </c>
      <c r="D334" s="428"/>
      <c r="E334" s="435"/>
      <c r="F334" s="435"/>
      <c r="G334" s="419"/>
      <c r="H334" s="419">
        <v>24</v>
      </c>
      <c r="I334" s="419"/>
      <c r="J334" s="419"/>
      <c r="K334" s="420">
        <v>1</v>
      </c>
      <c r="L334" s="420">
        <f t="shared" si="51"/>
        <v>48658</v>
      </c>
      <c r="M334" s="420">
        <f t="shared" si="52"/>
        <v>166724</v>
      </c>
      <c r="N334" s="445">
        <f t="shared" si="63"/>
        <v>15279.6</v>
      </c>
      <c r="O334" s="719"/>
      <c r="P334" s="719">
        <f t="shared" si="59"/>
        <v>230353.56</v>
      </c>
      <c r="Q334" s="423">
        <f>SUMIF('8.Dgia'!E:E,'9.may'!E334,'8.Dgia'!P:P)</f>
        <v>0</v>
      </c>
      <c r="R334" s="429">
        <f t="shared" si="53"/>
        <v>0</v>
      </c>
      <c r="S334" s="301">
        <f t="shared" si="54"/>
        <v>14110.820000000002</v>
      </c>
      <c r="T334" s="430">
        <f t="shared" si="55"/>
        <v>196114.42</v>
      </c>
      <c r="U334" s="431">
        <v>22984</v>
      </c>
      <c r="V334" s="431">
        <v>48658</v>
      </c>
      <c r="W334" s="432">
        <v>166724</v>
      </c>
      <c r="Y334" s="433">
        <f t="shared" si="56"/>
        <v>-29390.420000000013</v>
      </c>
      <c r="Z334" s="433">
        <f t="shared" si="57"/>
        <v>0</v>
      </c>
      <c r="AC334" s="410">
        <f t="shared" si="58"/>
        <v>0</v>
      </c>
    </row>
    <row r="335" spans="1:29" s="427" customFormat="1" ht="17.25" customHeight="1">
      <c r="A335" s="410">
        <v>1</v>
      </c>
      <c r="B335" s="417">
        <f>IF(A335&lt;&gt;0,COUNTA(A$19:$A335),"")</f>
        <v>77</v>
      </c>
      <c r="C335" s="428" t="s">
        <v>1139</v>
      </c>
      <c r="D335" s="428" t="s">
        <v>1140</v>
      </c>
      <c r="E335" s="435" t="s">
        <v>1141</v>
      </c>
      <c r="F335" s="435" t="s">
        <v>4727</v>
      </c>
      <c r="G335" s="419"/>
      <c r="H335" s="419">
        <v>33.6</v>
      </c>
      <c r="I335" s="419"/>
      <c r="J335" s="419"/>
      <c r="K335" s="420">
        <v>1</v>
      </c>
      <c r="L335" s="420">
        <f t="shared" si="51"/>
        <v>48658</v>
      </c>
      <c r="M335" s="420">
        <f t="shared" si="52"/>
        <v>183527</v>
      </c>
      <c r="N335" s="445">
        <f t="shared" si="63"/>
        <v>21391.440000000002</v>
      </c>
      <c r="O335" s="719"/>
      <c r="P335" s="719">
        <f t="shared" si="59"/>
        <v>258141.27000000002</v>
      </c>
      <c r="Q335" s="423">
        <f>SUMIF('8.Dgia'!E:E,'9.may'!E335,'8.Dgia'!P:P)</f>
        <v>0</v>
      </c>
      <c r="R335" s="429">
        <f t="shared" si="53"/>
        <v>0</v>
      </c>
      <c r="S335" s="301">
        <f t="shared" si="54"/>
        <v>14110.820000000002</v>
      </c>
      <c r="T335" s="430">
        <f t="shared" si="55"/>
        <v>219029.26</v>
      </c>
      <c r="U335" s="2053">
        <v>32177</v>
      </c>
      <c r="V335" s="2053">
        <v>48658</v>
      </c>
      <c r="W335" s="2054">
        <v>183527</v>
      </c>
      <c r="Y335" s="433">
        <f t="shared" si="56"/>
        <v>-35502.260000000009</v>
      </c>
      <c r="Z335" s="433">
        <f t="shared" si="57"/>
        <v>0</v>
      </c>
      <c r="AC335" s="410">
        <f t="shared" si="58"/>
        <v>0</v>
      </c>
    </row>
    <row r="336" spans="1:29" s="427" customFormat="1" ht="17.25" hidden="1" customHeight="1">
      <c r="B336" s="417" t="str">
        <f>IF(A336&lt;&gt;0,COUNTA(A$19:$A336),"")</f>
        <v/>
      </c>
      <c r="C336" s="428" t="s">
        <v>1142</v>
      </c>
      <c r="D336" s="428"/>
      <c r="E336" s="435"/>
      <c r="F336" s="435"/>
      <c r="G336" s="419"/>
      <c r="H336" s="419">
        <v>60</v>
      </c>
      <c r="I336" s="419"/>
      <c r="J336" s="419"/>
      <c r="K336" s="420">
        <v>1</v>
      </c>
      <c r="L336" s="420">
        <f t="shared" si="51"/>
        <v>48658</v>
      </c>
      <c r="M336" s="420">
        <f t="shared" si="52"/>
        <v>231848</v>
      </c>
      <c r="N336" s="445">
        <f t="shared" si="63"/>
        <v>38199</v>
      </c>
      <c r="O336" s="719"/>
      <c r="P336" s="719">
        <f t="shared" si="59"/>
        <v>337282.92</v>
      </c>
      <c r="Q336" s="423">
        <f>SUMIF('8.Dgia'!E:E,'9.may'!E336,'8.Dgia'!P:P)</f>
        <v>0</v>
      </c>
      <c r="R336" s="429">
        <f t="shared" si="53"/>
        <v>0</v>
      </c>
      <c r="S336" s="301">
        <f t="shared" si="54"/>
        <v>14110.820000000002</v>
      </c>
      <c r="T336" s="430">
        <f t="shared" si="55"/>
        <v>284157.82</v>
      </c>
      <c r="U336" s="431">
        <v>57459</v>
      </c>
      <c r="V336" s="431">
        <v>48658</v>
      </c>
      <c r="W336" s="432">
        <v>231848</v>
      </c>
      <c r="Y336" s="433">
        <f t="shared" si="56"/>
        <v>-52309.820000000007</v>
      </c>
      <c r="Z336" s="433">
        <f t="shared" si="57"/>
        <v>0</v>
      </c>
      <c r="AC336" s="410">
        <f t="shared" si="58"/>
        <v>0</v>
      </c>
    </row>
    <row r="337" spans="1:29" s="427" customFormat="1" ht="17.25" hidden="1" customHeight="1">
      <c r="B337" s="417" t="str">
        <f>IF(A337&lt;&gt;0,COUNTA(A$19:$A337),"")</f>
        <v/>
      </c>
      <c r="C337" s="428" t="s">
        <v>1143</v>
      </c>
      <c r="D337" s="428"/>
      <c r="E337" s="435"/>
      <c r="F337" s="435" t="s">
        <v>4728</v>
      </c>
      <c r="G337" s="419"/>
      <c r="H337" s="419">
        <v>72</v>
      </c>
      <c r="I337" s="419"/>
      <c r="J337" s="419"/>
      <c r="K337" s="420">
        <v>1</v>
      </c>
      <c r="L337" s="420">
        <f t="shared" si="51"/>
        <v>48658</v>
      </c>
      <c r="M337" s="420">
        <f t="shared" si="52"/>
        <v>341245</v>
      </c>
      <c r="N337" s="445">
        <f t="shared" si="63"/>
        <v>45838.8</v>
      </c>
      <c r="O337" s="719"/>
      <c r="P337" s="719">
        <f t="shared" si="59"/>
        <v>486044.85</v>
      </c>
      <c r="Q337" s="423">
        <f>SUMIF('8.Dgia'!E:E,'9.may'!E337,'8.Dgia'!P:P)</f>
        <v>0</v>
      </c>
      <c r="R337" s="429">
        <f t="shared" si="53"/>
        <v>0</v>
      </c>
      <c r="S337" s="301">
        <f t="shared" si="54"/>
        <v>14110.820000000002</v>
      </c>
      <c r="T337" s="430">
        <f t="shared" si="55"/>
        <v>401194.62</v>
      </c>
      <c r="U337" s="431">
        <v>68951</v>
      </c>
      <c r="V337" s="431">
        <v>48658</v>
      </c>
      <c r="W337" s="432">
        <v>341245</v>
      </c>
      <c r="Y337" s="433">
        <f t="shared" si="56"/>
        <v>-59949.619999999995</v>
      </c>
      <c r="Z337" s="433">
        <f t="shared" si="57"/>
        <v>0</v>
      </c>
      <c r="AC337" s="410">
        <f t="shared" si="58"/>
        <v>0</v>
      </c>
    </row>
    <row r="338" spans="1:29" s="427" customFormat="1" ht="17.25" hidden="1" customHeight="1">
      <c r="B338" s="417" t="str">
        <f>IF(A338&lt;&gt;0,COUNTA(A$19:$A338),"")</f>
        <v/>
      </c>
      <c r="C338" s="428" t="s">
        <v>1144</v>
      </c>
      <c r="D338" s="428"/>
      <c r="E338" s="435"/>
      <c r="F338" s="435" t="s">
        <v>4729</v>
      </c>
      <c r="G338" s="419"/>
      <c r="H338" s="419">
        <v>96</v>
      </c>
      <c r="I338" s="419"/>
      <c r="J338" s="419"/>
      <c r="K338" s="420">
        <v>1</v>
      </c>
      <c r="L338" s="420">
        <f t="shared" si="51"/>
        <v>48658</v>
      </c>
      <c r="M338" s="420">
        <f t="shared" si="52"/>
        <v>415440</v>
      </c>
      <c r="N338" s="445">
        <f t="shared" si="63"/>
        <v>61118.400000000001</v>
      </c>
      <c r="O338" s="719"/>
      <c r="P338" s="719">
        <f t="shared" si="59"/>
        <v>597036</v>
      </c>
      <c r="Q338" s="423">
        <f>SUMIF('8.Dgia'!E:E,'9.may'!E338,'8.Dgia'!P:P)</f>
        <v>0</v>
      </c>
      <c r="R338" s="429">
        <f t="shared" si="53"/>
        <v>0</v>
      </c>
      <c r="S338" s="301">
        <f t="shared" si="54"/>
        <v>14110.820000000002</v>
      </c>
      <c r="T338" s="430">
        <f t="shared" si="55"/>
        <v>490669.22</v>
      </c>
      <c r="U338" s="431">
        <v>91934</v>
      </c>
      <c r="V338" s="431">
        <v>48658</v>
      </c>
      <c r="W338" s="432">
        <v>415440</v>
      </c>
      <c r="Y338" s="433">
        <f t="shared" si="56"/>
        <v>-75229.219999999972</v>
      </c>
      <c r="Z338" s="433">
        <f t="shared" si="57"/>
        <v>0</v>
      </c>
      <c r="AC338" s="410">
        <f t="shared" si="58"/>
        <v>0</v>
      </c>
    </row>
    <row r="339" spans="1:29" s="427" customFormat="1" ht="17.25" hidden="1" customHeight="1">
      <c r="B339" s="417" t="str">
        <f>IF(A339&lt;&gt;0,COUNTA(A$19:$A339),"")</f>
        <v/>
      </c>
      <c r="C339" s="418" t="s">
        <v>1145</v>
      </c>
      <c r="D339" s="418"/>
      <c r="E339" s="435"/>
      <c r="F339" s="435"/>
      <c r="G339" s="419"/>
      <c r="H339" s="419"/>
      <c r="I339" s="419"/>
      <c r="J339" s="419"/>
      <c r="K339" s="437"/>
      <c r="L339" s="420">
        <f t="shared" si="51"/>
        <v>0</v>
      </c>
      <c r="M339" s="420">
        <f t="shared" si="52"/>
        <v>0</v>
      </c>
      <c r="N339" s="445"/>
      <c r="O339" s="719"/>
      <c r="P339" s="719">
        <f t="shared" si="59"/>
        <v>0</v>
      </c>
      <c r="Q339" s="423">
        <f>SUMIF('8.Dgia'!E:E,'9.may'!E339,'8.Dgia'!P:P)</f>
        <v>0</v>
      </c>
      <c r="R339" s="429">
        <f t="shared" si="53"/>
        <v>0</v>
      </c>
      <c r="S339" s="301">
        <f t="shared" si="54"/>
        <v>0</v>
      </c>
      <c r="T339" s="430">
        <f t="shared" si="55"/>
        <v>0</v>
      </c>
      <c r="U339" s="436"/>
      <c r="V339" s="436"/>
      <c r="W339" s="432"/>
      <c r="Y339" s="433">
        <f t="shared" si="56"/>
        <v>0</v>
      </c>
      <c r="Z339" s="433">
        <f t="shared" si="57"/>
        <v>0</v>
      </c>
      <c r="AC339" s="410">
        <f t="shared" si="58"/>
        <v>0</v>
      </c>
    </row>
    <row r="340" spans="1:29" s="427" customFormat="1" ht="17.25" customHeight="1">
      <c r="A340" s="410">
        <v>1</v>
      </c>
      <c r="B340" s="417">
        <f>IF(A340&lt;&gt;0,COUNTA(A$19:$A340),"")</f>
        <v>78</v>
      </c>
      <c r="C340" s="428" t="s">
        <v>1146</v>
      </c>
      <c r="D340" s="428" t="s">
        <v>1147</v>
      </c>
      <c r="E340" s="435" t="s">
        <v>297</v>
      </c>
      <c r="F340" s="435" t="s">
        <v>4730</v>
      </c>
      <c r="G340" s="419"/>
      <c r="H340" s="419">
        <v>5.28</v>
      </c>
      <c r="I340" s="419"/>
      <c r="J340" s="419"/>
      <c r="K340" s="420">
        <v>1</v>
      </c>
      <c r="L340" s="420">
        <f t="shared" ref="L340:L403" si="64">+V340</f>
        <v>41873</v>
      </c>
      <c r="M340" s="420">
        <f t="shared" ref="M340:M403" si="65">+W340</f>
        <v>63412</v>
      </c>
      <c r="N340" s="445">
        <f t="shared" ref="N340:N345" si="66">SUMPRODUCT(G340:J340,$G$12:$J$12,$G$9:$J$9)</f>
        <v>3361.5120000000006</v>
      </c>
      <c r="O340" s="719"/>
      <c r="P340" s="719">
        <f t="shared" si="59"/>
        <v>85162.991999999998</v>
      </c>
      <c r="Q340" s="423" t="e">
        <f>SUMIF('8.Dgia'!E:E,'9.may'!E340,'8.Dgia'!P:P)</f>
        <v>#REF!</v>
      </c>
      <c r="R340" s="429" t="e">
        <f t="shared" ref="R340:R403" si="67">N340*Q340</f>
        <v>#REF!</v>
      </c>
      <c r="S340" s="301">
        <f t="shared" ref="S340:S403" si="68">L340*($G$13-1)</f>
        <v>12143.170000000002</v>
      </c>
      <c r="T340" s="430">
        <f t="shared" ref="T340:T403" si="69">S340+N340+M340</f>
        <v>78916.682000000001</v>
      </c>
      <c r="U340" s="2053">
        <v>5056</v>
      </c>
      <c r="V340" s="2053">
        <v>41873</v>
      </c>
      <c r="W340" s="2054">
        <v>63412</v>
      </c>
      <c r="Y340" s="433">
        <f t="shared" ref="Y340:Y403" si="70">W340-T340</f>
        <v>-15504.682000000001</v>
      </c>
      <c r="Z340" s="433">
        <f t="shared" ref="Z340:Z403" si="71">W340-M340</f>
        <v>0</v>
      </c>
      <c r="AC340" s="410" t="e">
        <f t="shared" ref="AC340:AC403" si="72">+P340*Q340</f>
        <v>#REF!</v>
      </c>
    </row>
    <row r="341" spans="1:29" s="427" customFormat="1" ht="17.25" hidden="1" customHeight="1">
      <c r="B341" s="417" t="str">
        <f>IF(A341&lt;&gt;0,COUNTA(A$19:$A341),"")</f>
        <v/>
      </c>
      <c r="C341" s="428" t="s">
        <v>1148</v>
      </c>
      <c r="D341" s="428"/>
      <c r="E341" s="435"/>
      <c r="F341" s="435"/>
      <c r="G341" s="419"/>
      <c r="H341" s="419">
        <v>7.68</v>
      </c>
      <c r="I341" s="419"/>
      <c r="J341" s="419"/>
      <c r="K341" s="420">
        <v>1</v>
      </c>
      <c r="L341" s="420">
        <f t="shared" si="64"/>
        <v>41873</v>
      </c>
      <c r="M341" s="420">
        <f t="shared" si="65"/>
        <v>71774</v>
      </c>
      <c r="N341" s="445">
        <f t="shared" si="66"/>
        <v>4889.4719999999998</v>
      </c>
      <c r="O341" s="719"/>
      <c r="P341" s="719">
        <f t="shared" ref="P341:P404" si="73">+N341+M341*$G$13</f>
        <v>97477.932000000001</v>
      </c>
      <c r="Q341" s="423">
        <f>SUMIF('8.Dgia'!E:E,'9.may'!E341,'8.Dgia'!P:P)</f>
        <v>0</v>
      </c>
      <c r="R341" s="429">
        <f t="shared" si="67"/>
        <v>0</v>
      </c>
      <c r="S341" s="301">
        <f t="shared" si="68"/>
        <v>12143.170000000002</v>
      </c>
      <c r="T341" s="430">
        <f t="shared" si="69"/>
        <v>88806.641999999993</v>
      </c>
      <c r="U341" s="431">
        <v>7355</v>
      </c>
      <c r="V341" s="431">
        <v>41873</v>
      </c>
      <c r="W341" s="432">
        <v>71774</v>
      </c>
      <c r="Y341" s="433">
        <f t="shared" si="70"/>
        <v>-17032.641999999993</v>
      </c>
      <c r="Z341" s="433">
        <f t="shared" si="71"/>
        <v>0</v>
      </c>
      <c r="AC341" s="410">
        <f t="shared" si="72"/>
        <v>0</v>
      </c>
    </row>
    <row r="342" spans="1:29" s="427" customFormat="1" ht="17.25" hidden="1" customHeight="1">
      <c r="B342" s="417" t="str">
        <f>IF(A342&lt;&gt;0,COUNTA(A$19:$A342),"")</f>
        <v/>
      </c>
      <c r="C342" s="428" t="s">
        <v>1134</v>
      </c>
      <c r="D342" s="428"/>
      <c r="E342" s="435"/>
      <c r="F342" s="435"/>
      <c r="G342" s="419"/>
      <c r="H342" s="419">
        <v>8.4</v>
      </c>
      <c r="I342" s="419"/>
      <c r="J342" s="419"/>
      <c r="K342" s="420">
        <v>1</v>
      </c>
      <c r="L342" s="420">
        <f t="shared" si="64"/>
        <v>41873</v>
      </c>
      <c r="M342" s="420">
        <f t="shared" si="65"/>
        <v>81918</v>
      </c>
      <c r="N342" s="445">
        <f t="shared" si="66"/>
        <v>5347.8600000000006</v>
      </c>
      <c r="O342" s="719"/>
      <c r="P342" s="719">
        <f t="shared" si="73"/>
        <v>111022.08</v>
      </c>
      <c r="Q342" s="423">
        <f>SUMIF('8.Dgia'!E:E,'9.may'!E342,'8.Dgia'!P:P)</f>
        <v>0</v>
      </c>
      <c r="R342" s="429">
        <f t="shared" si="67"/>
        <v>0</v>
      </c>
      <c r="S342" s="301">
        <f t="shared" si="68"/>
        <v>12143.170000000002</v>
      </c>
      <c r="T342" s="430">
        <f t="shared" si="69"/>
        <v>99409.03</v>
      </c>
      <c r="U342" s="431">
        <v>8044</v>
      </c>
      <c r="V342" s="431">
        <v>41873</v>
      </c>
      <c r="W342" s="432">
        <v>81918</v>
      </c>
      <c r="Y342" s="433">
        <f t="shared" si="70"/>
        <v>-17491.03</v>
      </c>
      <c r="Z342" s="433">
        <f t="shared" si="71"/>
        <v>0</v>
      </c>
      <c r="AC342" s="410">
        <f t="shared" si="72"/>
        <v>0</v>
      </c>
    </row>
    <row r="343" spans="1:29" s="427" customFormat="1" ht="17.25" hidden="1" customHeight="1">
      <c r="B343" s="417" t="str">
        <f>IF(A343&lt;&gt;0,COUNTA(A$19:$A343),"")</f>
        <v/>
      </c>
      <c r="C343" s="428" t="s">
        <v>1135</v>
      </c>
      <c r="D343" s="428"/>
      <c r="E343" s="435"/>
      <c r="F343" s="435"/>
      <c r="G343" s="419"/>
      <c r="H343" s="419">
        <v>9.6</v>
      </c>
      <c r="I343" s="419"/>
      <c r="J343" s="419"/>
      <c r="K343" s="420">
        <v>1</v>
      </c>
      <c r="L343" s="420">
        <f t="shared" si="64"/>
        <v>41873</v>
      </c>
      <c r="M343" s="420">
        <f t="shared" si="65"/>
        <v>97671</v>
      </c>
      <c r="N343" s="445">
        <f t="shared" si="66"/>
        <v>6111.84</v>
      </c>
      <c r="O343" s="719"/>
      <c r="P343" s="719">
        <f t="shared" si="73"/>
        <v>132107.43</v>
      </c>
      <c r="Q343" s="423">
        <f>SUMIF('8.Dgia'!E:E,'9.may'!E343,'8.Dgia'!P:P)</f>
        <v>0</v>
      </c>
      <c r="R343" s="429">
        <f t="shared" si="67"/>
        <v>0</v>
      </c>
      <c r="S343" s="301">
        <f t="shared" si="68"/>
        <v>12143.170000000002</v>
      </c>
      <c r="T343" s="430">
        <f t="shared" si="69"/>
        <v>115926.01000000001</v>
      </c>
      <c r="U343" s="431">
        <v>9193</v>
      </c>
      <c r="V343" s="431">
        <v>41873</v>
      </c>
      <c r="W343" s="432">
        <v>97671</v>
      </c>
      <c r="Y343" s="433">
        <f t="shared" si="70"/>
        <v>-18255.010000000009</v>
      </c>
      <c r="Z343" s="433">
        <f t="shared" si="71"/>
        <v>0</v>
      </c>
      <c r="AC343" s="410">
        <f t="shared" si="72"/>
        <v>0</v>
      </c>
    </row>
    <row r="344" spans="1:29" s="427" customFormat="1" ht="17.25" hidden="1" customHeight="1">
      <c r="B344" s="417" t="str">
        <f>IF(A344&lt;&gt;0,COUNTA(A$19:$A344),"")</f>
        <v/>
      </c>
      <c r="C344" s="428" t="s">
        <v>1136</v>
      </c>
      <c r="D344" s="428"/>
      <c r="E344" s="435"/>
      <c r="F344" s="435"/>
      <c r="G344" s="419"/>
      <c r="H344" s="419">
        <v>10.8</v>
      </c>
      <c r="I344" s="419"/>
      <c r="J344" s="419"/>
      <c r="K344" s="420">
        <v>1</v>
      </c>
      <c r="L344" s="420">
        <f t="shared" si="64"/>
        <v>41873</v>
      </c>
      <c r="M344" s="420">
        <f t="shared" si="65"/>
        <v>105148</v>
      </c>
      <c r="N344" s="445">
        <f t="shared" si="66"/>
        <v>6875.8200000000006</v>
      </c>
      <c r="O344" s="719"/>
      <c r="P344" s="719">
        <f t="shared" si="73"/>
        <v>142516.74000000002</v>
      </c>
      <c r="Q344" s="423">
        <f>SUMIF('8.Dgia'!E:E,'9.may'!E344,'8.Dgia'!P:P)</f>
        <v>0</v>
      </c>
      <c r="R344" s="429">
        <f t="shared" si="67"/>
        <v>0</v>
      </c>
      <c r="S344" s="301">
        <f t="shared" si="68"/>
        <v>12143.170000000002</v>
      </c>
      <c r="T344" s="430">
        <f t="shared" si="69"/>
        <v>124166.99</v>
      </c>
      <c r="U344" s="431">
        <v>10343</v>
      </c>
      <c r="V344" s="431">
        <v>41873</v>
      </c>
      <c r="W344" s="432">
        <v>105148</v>
      </c>
      <c r="Y344" s="433">
        <f t="shared" si="70"/>
        <v>-19018.990000000005</v>
      </c>
      <c r="Z344" s="433">
        <f t="shared" si="71"/>
        <v>0</v>
      </c>
      <c r="AC344" s="410">
        <f t="shared" si="72"/>
        <v>0</v>
      </c>
    </row>
    <row r="345" spans="1:29" s="427" customFormat="1" ht="17.25" hidden="1" customHeight="1">
      <c r="B345" s="417" t="str">
        <f>IF(A345&lt;&gt;0,COUNTA(A$19:$A345),"")</f>
        <v/>
      </c>
      <c r="C345" s="428" t="s">
        <v>1149</v>
      </c>
      <c r="D345" s="428"/>
      <c r="E345" s="435"/>
      <c r="F345" s="435"/>
      <c r="G345" s="419"/>
      <c r="H345" s="419">
        <v>16.8</v>
      </c>
      <c r="I345" s="419"/>
      <c r="J345" s="419"/>
      <c r="K345" s="420">
        <v>1</v>
      </c>
      <c r="L345" s="420">
        <f t="shared" si="64"/>
        <v>41873</v>
      </c>
      <c r="M345" s="420">
        <f t="shared" si="65"/>
        <v>123827</v>
      </c>
      <c r="N345" s="445">
        <f t="shared" si="66"/>
        <v>10695.720000000001</v>
      </c>
      <c r="O345" s="719"/>
      <c r="P345" s="719">
        <f t="shared" si="73"/>
        <v>170432.55000000002</v>
      </c>
      <c r="Q345" s="423">
        <f>SUMIF('8.Dgia'!E:E,'9.may'!E345,'8.Dgia'!P:P)</f>
        <v>0</v>
      </c>
      <c r="R345" s="429">
        <f t="shared" si="67"/>
        <v>0</v>
      </c>
      <c r="S345" s="301">
        <f t="shared" si="68"/>
        <v>12143.170000000002</v>
      </c>
      <c r="T345" s="430">
        <f t="shared" si="69"/>
        <v>146665.89000000001</v>
      </c>
      <c r="U345" s="431">
        <v>16089</v>
      </c>
      <c r="V345" s="431">
        <v>41873</v>
      </c>
      <c r="W345" s="432">
        <v>123827</v>
      </c>
      <c r="Y345" s="433">
        <f t="shared" si="70"/>
        <v>-22838.890000000014</v>
      </c>
      <c r="Z345" s="433">
        <f t="shared" si="71"/>
        <v>0</v>
      </c>
      <c r="AC345" s="410">
        <f t="shared" si="72"/>
        <v>0</v>
      </c>
    </row>
    <row r="346" spans="1:29" s="427" customFormat="1" ht="17.25" hidden="1" customHeight="1">
      <c r="B346" s="417" t="str">
        <f>IF(A346&lt;&gt;0,COUNTA(A$19:$A346),"")</f>
        <v/>
      </c>
      <c r="C346" s="418" t="s">
        <v>1150</v>
      </c>
      <c r="D346" s="418"/>
      <c r="E346" s="435"/>
      <c r="F346" s="435"/>
      <c r="G346" s="419"/>
      <c r="H346" s="419"/>
      <c r="I346" s="419"/>
      <c r="J346" s="419"/>
      <c r="K346" s="420"/>
      <c r="L346" s="420">
        <f t="shared" si="64"/>
        <v>0</v>
      </c>
      <c r="M346" s="420">
        <f t="shared" si="65"/>
        <v>0</v>
      </c>
      <c r="N346" s="445"/>
      <c r="O346" s="719"/>
      <c r="P346" s="719">
        <f t="shared" si="73"/>
        <v>0</v>
      </c>
      <c r="Q346" s="423">
        <f>SUMIF('8.Dgia'!E:E,'9.may'!E346,'8.Dgia'!P:P)</f>
        <v>0</v>
      </c>
      <c r="R346" s="429">
        <f t="shared" si="67"/>
        <v>0</v>
      </c>
      <c r="S346" s="301">
        <f t="shared" si="68"/>
        <v>0</v>
      </c>
      <c r="T346" s="430">
        <f t="shared" si="69"/>
        <v>0</v>
      </c>
      <c r="U346" s="436"/>
      <c r="V346" s="436"/>
      <c r="W346" s="432"/>
      <c r="Y346" s="433">
        <f t="shared" si="70"/>
        <v>0</v>
      </c>
      <c r="Z346" s="433">
        <f t="shared" si="71"/>
        <v>0</v>
      </c>
      <c r="AC346" s="410">
        <f t="shared" si="72"/>
        <v>0</v>
      </c>
    </row>
    <row r="347" spans="1:29" s="427" customFormat="1" ht="17.25" hidden="1" customHeight="1">
      <c r="B347" s="417" t="str">
        <f>IF(A347&lt;&gt;0,COUNTA(A$19:$A347),"")</f>
        <v/>
      </c>
      <c r="C347" s="428" t="s">
        <v>1151</v>
      </c>
      <c r="D347" s="428"/>
      <c r="E347" s="435"/>
      <c r="F347" s="435"/>
      <c r="G347" s="419"/>
      <c r="H347" s="419">
        <v>92.4</v>
      </c>
      <c r="I347" s="419"/>
      <c r="J347" s="419"/>
      <c r="K347" s="420">
        <v>1</v>
      </c>
      <c r="L347" s="420">
        <f t="shared" si="64"/>
        <v>98673</v>
      </c>
      <c r="M347" s="420">
        <f t="shared" si="65"/>
        <v>1205980</v>
      </c>
      <c r="N347" s="445">
        <f t="shared" ref="N347:N354" si="74">SUMPRODUCT(G347:J347,$G$12:$J$12,$G$9:$J$9)</f>
        <v>58826.460000000006</v>
      </c>
      <c r="O347" s="719"/>
      <c r="P347" s="719">
        <f t="shared" si="73"/>
        <v>1614540.66</v>
      </c>
      <c r="Q347" s="423">
        <f>SUMIF('8.Dgia'!E:E,'9.may'!E347,'8.Dgia'!P:P)</f>
        <v>0</v>
      </c>
      <c r="R347" s="429">
        <f t="shared" si="67"/>
        <v>0</v>
      </c>
      <c r="S347" s="301">
        <f t="shared" si="68"/>
        <v>28615.170000000002</v>
      </c>
      <c r="T347" s="430">
        <f t="shared" si="69"/>
        <v>1293421.6299999999</v>
      </c>
      <c r="U347" s="431">
        <v>88487</v>
      </c>
      <c r="V347" s="431">
        <v>98673</v>
      </c>
      <c r="W347" s="432">
        <v>1205980</v>
      </c>
      <c r="Y347" s="433">
        <f t="shared" si="70"/>
        <v>-87441.629999999888</v>
      </c>
      <c r="Z347" s="433">
        <f t="shared" si="71"/>
        <v>0</v>
      </c>
      <c r="AC347" s="410">
        <f t="shared" si="72"/>
        <v>0</v>
      </c>
    </row>
    <row r="348" spans="1:29" s="427" customFormat="1" ht="17.25" customHeight="1">
      <c r="A348" s="410">
        <v>1</v>
      </c>
      <c r="B348" s="417">
        <f>IF(A348&lt;&gt;0,COUNTA(A$19:$A348),"")</f>
        <v>79</v>
      </c>
      <c r="C348" s="428" t="s">
        <v>1152</v>
      </c>
      <c r="D348" s="428" t="s">
        <v>1153</v>
      </c>
      <c r="E348" s="435" t="s">
        <v>1154</v>
      </c>
      <c r="F348" s="435" t="s">
        <v>4731</v>
      </c>
      <c r="G348" s="419"/>
      <c r="H348" s="419">
        <v>99</v>
      </c>
      <c r="I348" s="419"/>
      <c r="J348" s="419"/>
      <c r="K348" s="420">
        <v>1</v>
      </c>
      <c r="L348" s="420">
        <f t="shared" si="64"/>
        <v>98673</v>
      </c>
      <c r="M348" s="420">
        <f t="shared" si="65"/>
        <v>1293278</v>
      </c>
      <c r="N348" s="445">
        <f t="shared" si="74"/>
        <v>63028.350000000006</v>
      </c>
      <c r="O348" s="719"/>
      <c r="P348" s="719">
        <f t="shared" si="73"/>
        <v>1731356.9700000002</v>
      </c>
      <c r="Q348" s="423">
        <f>SUMIF('8.Dgia'!E:E,'9.may'!E348,'8.Dgia'!P:P)</f>
        <v>0</v>
      </c>
      <c r="R348" s="429">
        <f t="shared" si="67"/>
        <v>0</v>
      </c>
      <c r="S348" s="301">
        <f t="shared" si="68"/>
        <v>28615.170000000002</v>
      </c>
      <c r="T348" s="430">
        <f t="shared" si="69"/>
        <v>1384921.52</v>
      </c>
      <c r="U348" s="2053">
        <v>94807</v>
      </c>
      <c r="V348" s="2053">
        <v>98673</v>
      </c>
      <c r="W348" s="2054">
        <v>1293278</v>
      </c>
      <c r="Y348" s="433">
        <f t="shared" si="70"/>
        <v>-91643.520000000019</v>
      </c>
      <c r="Z348" s="433">
        <f t="shared" si="71"/>
        <v>0</v>
      </c>
      <c r="AC348" s="410">
        <f t="shared" si="72"/>
        <v>0</v>
      </c>
    </row>
    <row r="349" spans="1:29" s="427" customFormat="1" ht="17.25" customHeight="1">
      <c r="A349" s="410">
        <v>1</v>
      </c>
      <c r="B349" s="417">
        <f>IF(A349&lt;&gt;0,COUNTA(A$19:$A349),"")</f>
        <v>80</v>
      </c>
      <c r="C349" s="428" t="s">
        <v>1155</v>
      </c>
      <c r="D349" s="428" t="s">
        <v>1156</v>
      </c>
      <c r="E349" s="435" t="s">
        <v>1157</v>
      </c>
      <c r="F349" s="435" t="s">
        <v>4732</v>
      </c>
      <c r="G349" s="419"/>
      <c r="H349" s="419">
        <v>115.5</v>
      </c>
      <c r="I349" s="419"/>
      <c r="J349" s="419"/>
      <c r="K349" s="420">
        <v>1</v>
      </c>
      <c r="L349" s="420">
        <f t="shared" si="64"/>
        <v>98673</v>
      </c>
      <c r="M349" s="420">
        <f t="shared" si="65"/>
        <v>1412114</v>
      </c>
      <c r="N349" s="445">
        <f t="shared" si="74"/>
        <v>73533.074999999997</v>
      </c>
      <c r="O349" s="719"/>
      <c r="P349" s="719">
        <f t="shared" si="73"/>
        <v>1895160.135</v>
      </c>
      <c r="Q349" s="423">
        <f>SUMIF('8.Dgia'!E:E,'9.may'!E349,'8.Dgia'!P:P)</f>
        <v>0</v>
      </c>
      <c r="R349" s="429">
        <f t="shared" si="67"/>
        <v>0</v>
      </c>
      <c r="S349" s="301">
        <f t="shared" si="68"/>
        <v>28615.170000000002</v>
      </c>
      <c r="T349" s="430">
        <f t="shared" si="69"/>
        <v>1514262.2450000001</v>
      </c>
      <c r="U349" s="2053">
        <v>110609</v>
      </c>
      <c r="V349" s="2053">
        <v>98673</v>
      </c>
      <c r="W349" s="2054">
        <v>1412114</v>
      </c>
      <c r="Y349" s="433">
        <f t="shared" si="70"/>
        <v>-102148.24500000011</v>
      </c>
      <c r="Z349" s="433">
        <f t="shared" si="71"/>
        <v>0</v>
      </c>
      <c r="AC349" s="410">
        <f t="shared" si="72"/>
        <v>0</v>
      </c>
    </row>
    <row r="350" spans="1:29" s="427" customFormat="1" ht="17.25" customHeight="1">
      <c r="A350" s="410">
        <v>1</v>
      </c>
      <c r="B350" s="417">
        <f>IF(A350&lt;&gt;0,COUNTA(A$19:$A350),"")</f>
        <v>81</v>
      </c>
      <c r="C350" s="428" t="s">
        <v>1158</v>
      </c>
      <c r="D350" s="428" t="s">
        <v>1159</v>
      </c>
      <c r="E350" s="435" t="s">
        <v>1160</v>
      </c>
      <c r="F350" s="435" t="s">
        <v>4733</v>
      </c>
      <c r="G350" s="419"/>
      <c r="H350" s="419">
        <v>171.6</v>
      </c>
      <c r="I350" s="419"/>
      <c r="J350" s="419"/>
      <c r="K350" s="420">
        <v>1</v>
      </c>
      <c r="L350" s="420">
        <f t="shared" si="64"/>
        <v>140546</v>
      </c>
      <c r="M350" s="420">
        <f t="shared" si="65"/>
        <v>1610174</v>
      </c>
      <c r="N350" s="445">
        <f t="shared" si="74"/>
        <v>109249.14</v>
      </c>
      <c r="O350" s="719"/>
      <c r="P350" s="719">
        <f t="shared" si="73"/>
        <v>2186373.6</v>
      </c>
      <c r="Q350" s="423">
        <f>SUMIF('8.Dgia'!E:E,'9.may'!E350,'8.Dgia'!P:P)</f>
        <v>0</v>
      </c>
      <c r="R350" s="429">
        <f t="shared" si="67"/>
        <v>0</v>
      </c>
      <c r="S350" s="301">
        <f t="shared" si="68"/>
        <v>40758.340000000004</v>
      </c>
      <c r="T350" s="430">
        <f t="shared" si="69"/>
        <v>1760181.48</v>
      </c>
      <c r="U350" s="2053">
        <v>164333</v>
      </c>
      <c r="V350" s="2053">
        <v>140546</v>
      </c>
      <c r="W350" s="2054">
        <v>1610174</v>
      </c>
      <c r="Y350" s="433">
        <f t="shared" si="70"/>
        <v>-150007.47999999998</v>
      </c>
      <c r="Z350" s="433">
        <f t="shared" si="71"/>
        <v>0</v>
      </c>
      <c r="AC350" s="410">
        <f t="shared" si="72"/>
        <v>0</v>
      </c>
    </row>
    <row r="351" spans="1:29" s="427" customFormat="1" ht="17.25" customHeight="1">
      <c r="A351" s="410">
        <v>1</v>
      </c>
      <c r="B351" s="417">
        <f>IF(A351&lt;&gt;0,COUNTA(A$19:$A351),"")</f>
        <v>82</v>
      </c>
      <c r="C351" s="428" t="s">
        <v>1161</v>
      </c>
      <c r="D351" s="428" t="s">
        <v>1162</v>
      </c>
      <c r="E351" s="435" t="s">
        <v>1163</v>
      </c>
      <c r="F351" s="435" t="s">
        <v>4734</v>
      </c>
      <c r="G351" s="419"/>
      <c r="H351" s="419">
        <v>198</v>
      </c>
      <c r="I351" s="419"/>
      <c r="J351" s="419"/>
      <c r="K351" s="420">
        <v>1</v>
      </c>
      <c r="L351" s="420">
        <f t="shared" si="64"/>
        <v>140546</v>
      </c>
      <c r="M351" s="420">
        <f t="shared" si="65"/>
        <v>2047058</v>
      </c>
      <c r="N351" s="445">
        <f t="shared" si="74"/>
        <v>126056.70000000001</v>
      </c>
      <c r="O351" s="719"/>
      <c r="P351" s="719">
        <f t="shared" si="73"/>
        <v>2766761.5200000005</v>
      </c>
      <c r="Q351" s="423" t="e">
        <f>SUMIF('8.Dgia'!E:E,'9.may'!E351,'8.Dgia'!P:P)</f>
        <v>#REF!</v>
      </c>
      <c r="R351" s="429" t="e">
        <f t="shared" si="67"/>
        <v>#REF!</v>
      </c>
      <c r="S351" s="301">
        <f t="shared" si="68"/>
        <v>40758.340000000004</v>
      </c>
      <c r="T351" s="430">
        <f t="shared" si="69"/>
        <v>2213873.04</v>
      </c>
      <c r="U351" s="2053">
        <v>189615</v>
      </c>
      <c r="V351" s="2053">
        <v>140546</v>
      </c>
      <c r="W351" s="2054">
        <v>2047058</v>
      </c>
      <c r="Y351" s="433">
        <f t="shared" si="70"/>
        <v>-166815.04000000004</v>
      </c>
      <c r="Z351" s="433">
        <f t="shared" si="71"/>
        <v>0</v>
      </c>
      <c r="AC351" s="410" t="e">
        <f t="shared" si="72"/>
        <v>#REF!</v>
      </c>
    </row>
    <row r="352" spans="1:29" s="427" customFormat="1" ht="17.25" hidden="1" customHeight="1">
      <c r="B352" s="417" t="str">
        <f>IF(A352&lt;&gt;0,COUNTA(A$19:$A352),"")</f>
        <v/>
      </c>
      <c r="C352" s="428" t="s">
        <v>1164</v>
      </c>
      <c r="D352" s="428"/>
      <c r="E352" s="435"/>
      <c r="F352" s="435"/>
      <c r="G352" s="419"/>
      <c r="H352" s="419">
        <v>265.2</v>
      </c>
      <c r="I352" s="419"/>
      <c r="J352" s="419"/>
      <c r="K352" s="420">
        <v>1</v>
      </c>
      <c r="L352" s="420">
        <f t="shared" si="64"/>
        <v>140546</v>
      </c>
      <c r="M352" s="420">
        <f t="shared" si="65"/>
        <v>2265500</v>
      </c>
      <c r="N352" s="445">
        <f t="shared" si="74"/>
        <v>168839.58000000002</v>
      </c>
      <c r="O352" s="719"/>
      <c r="P352" s="719">
        <f t="shared" si="73"/>
        <v>3091334.58</v>
      </c>
      <c r="Q352" s="423">
        <f>SUMIF('8.Dgia'!E:E,'9.may'!E352,'8.Dgia'!P:P)</f>
        <v>0</v>
      </c>
      <c r="R352" s="429">
        <f t="shared" si="67"/>
        <v>0</v>
      </c>
      <c r="S352" s="301">
        <f t="shared" si="68"/>
        <v>40758.340000000004</v>
      </c>
      <c r="T352" s="430">
        <f t="shared" si="69"/>
        <v>2475097.92</v>
      </c>
      <c r="U352" s="431">
        <v>253969</v>
      </c>
      <c r="V352" s="431">
        <v>140546</v>
      </c>
      <c r="W352" s="432">
        <v>2265500</v>
      </c>
      <c r="Y352" s="433">
        <f t="shared" si="70"/>
        <v>-209597.91999999993</v>
      </c>
      <c r="Z352" s="433">
        <f t="shared" si="71"/>
        <v>0</v>
      </c>
      <c r="AC352" s="410">
        <f t="shared" si="72"/>
        <v>0</v>
      </c>
    </row>
    <row r="353" spans="1:29" s="427" customFormat="1" ht="17.25" hidden="1" customHeight="1">
      <c r="B353" s="417" t="str">
        <f>IF(A353&lt;&gt;0,COUNTA(A$19:$A353),"")</f>
        <v/>
      </c>
      <c r="C353" s="428" t="s">
        <v>1165</v>
      </c>
      <c r="D353" s="428"/>
      <c r="E353" s="435"/>
      <c r="F353" s="435"/>
      <c r="G353" s="419"/>
      <c r="H353" s="419">
        <v>417.6</v>
      </c>
      <c r="I353" s="419"/>
      <c r="J353" s="419"/>
      <c r="K353" s="420">
        <v>1</v>
      </c>
      <c r="L353" s="420">
        <f t="shared" si="64"/>
        <v>198532</v>
      </c>
      <c r="M353" s="420">
        <f t="shared" si="65"/>
        <v>2866380</v>
      </c>
      <c r="N353" s="445">
        <f t="shared" si="74"/>
        <v>265865.04000000004</v>
      </c>
      <c r="O353" s="719"/>
      <c r="P353" s="719">
        <f t="shared" si="73"/>
        <v>3963495.24</v>
      </c>
      <c r="Q353" s="423">
        <f>SUMIF('8.Dgia'!E:E,'9.may'!E353,'8.Dgia'!P:P)</f>
        <v>0</v>
      </c>
      <c r="R353" s="429">
        <f t="shared" si="67"/>
        <v>0</v>
      </c>
      <c r="S353" s="301">
        <f t="shared" si="68"/>
        <v>57574.280000000006</v>
      </c>
      <c r="T353" s="430">
        <f t="shared" si="69"/>
        <v>3189819.3200000003</v>
      </c>
      <c r="U353" s="431">
        <v>399915</v>
      </c>
      <c r="V353" s="431">
        <v>198532</v>
      </c>
      <c r="W353" s="432">
        <v>2866380</v>
      </c>
      <c r="Y353" s="433">
        <f t="shared" si="70"/>
        <v>-323439.3200000003</v>
      </c>
      <c r="Z353" s="433">
        <f t="shared" si="71"/>
        <v>0</v>
      </c>
      <c r="AC353" s="410">
        <f t="shared" si="72"/>
        <v>0</v>
      </c>
    </row>
    <row r="354" spans="1:29" s="427" customFormat="1" ht="17.25" customHeight="1">
      <c r="A354" s="410">
        <v>1</v>
      </c>
      <c r="B354" s="417">
        <f>IF(A354&lt;&gt;0,COUNTA(A$19:$A354),"")</f>
        <v>83</v>
      </c>
      <c r="C354" s="428" t="s">
        <v>1166</v>
      </c>
      <c r="D354" s="428" t="s">
        <v>1167</v>
      </c>
      <c r="E354" s="435" t="s">
        <v>1168</v>
      </c>
      <c r="F354" s="435" t="s">
        <v>4735</v>
      </c>
      <c r="G354" s="419"/>
      <c r="H354" s="419">
        <v>445.5</v>
      </c>
      <c r="I354" s="419"/>
      <c r="J354" s="419"/>
      <c r="K354" s="420">
        <v>1</v>
      </c>
      <c r="L354" s="420">
        <f t="shared" si="64"/>
        <v>198532</v>
      </c>
      <c r="M354" s="420">
        <f t="shared" si="65"/>
        <v>4425817</v>
      </c>
      <c r="N354" s="445">
        <f t="shared" si="74"/>
        <v>283627.57500000001</v>
      </c>
      <c r="O354" s="719"/>
      <c r="P354" s="719">
        <f t="shared" si="73"/>
        <v>5992931.5049999999</v>
      </c>
      <c r="Q354" s="423">
        <f>SUMIF('8.Dgia'!E:E,'9.may'!E354,'8.Dgia'!P:P)</f>
        <v>0</v>
      </c>
      <c r="R354" s="429">
        <f t="shared" si="67"/>
        <v>0</v>
      </c>
      <c r="S354" s="301">
        <f t="shared" si="68"/>
        <v>57574.280000000006</v>
      </c>
      <c r="T354" s="430">
        <f t="shared" si="69"/>
        <v>4767018.8550000004</v>
      </c>
      <c r="U354" s="2053">
        <v>426633</v>
      </c>
      <c r="V354" s="2053">
        <v>198532</v>
      </c>
      <c r="W354" s="2054">
        <v>4425817</v>
      </c>
      <c r="Y354" s="433">
        <f t="shared" si="70"/>
        <v>-341201.85500000045</v>
      </c>
      <c r="Z354" s="433">
        <f t="shared" si="71"/>
        <v>0</v>
      </c>
      <c r="AC354" s="410">
        <f t="shared" si="72"/>
        <v>0</v>
      </c>
    </row>
    <row r="355" spans="1:29" s="427" customFormat="1" ht="17.25" hidden="1" customHeight="1">
      <c r="B355" s="417" t="str">
        <f>IF(A355&lt;&gt;0,COUNTA(A$19:$A355),"")</f>
        <v/>
      </c>
      <c r="C355" s="418" t="s">
        <v>1169</v>
      </c>
      <c r="D355" s="418"/>
      <c r="E355" s="435"/>
      <c r="F355" s="435"/>
      <c r="G355" s="419"/>
      <c r="H355" s="419"/>
      <c r="I355" s="419"/>
      <c r="J355" s="419"/>
      <c r="K355" s="420"/>
      <c r="L355" s="420">
        <f t="shared" si="64"/>
        <v>0</v>
      </c>
      <c r="M355" s="420">
        <f t="shared" si="65"/>
        <v>0</v>
      </c>
      <c r="N355" s="445"/>
      <c r="O355" s="719"/>
      <c r="P355" s="719">
        <f t="shared" si="73"/>
        <v>0</v>
      </c>
      <c r="Q355" s="423">
        <f>SUMIF('8.Dgia'!E:E,'9.may'!E355,'8.Dgia'!P:P)</f>
        <v>0</v>
      </c>
      <c r="R355" s="429">
        <f t="shared" si="67"/>
        <v>0</v>
      </c>
      <c r="S355" s="301">
        <f t="shared" si="68"/>
        <v>0</v>
      </c>
      <c r="T355" s="430">
        <f t="shared" si="69"/>
        <v>0</v>
      </c>
      <c r="U355" s="436"/>
      <c r="V355" s="436"/>
      <c r="W355" s="432"/>
      <c r="Y355" s="433">
        <f t="shared" si="70"/>
        <v>0</v>
      </c>
      <c r="Z355" s="433">
        <f t="shared" si="71"/>
        <v>0</v>
      </c>
      <c r="AC355" s="410">
        <f t="shared" si="72"/>
        <v>0</v>
      </c>
    </row>
    <row r="356" spans="1:29" s="427" customFormat="1" ht="17.25" customHeight="1">
      <c r="A356" s="410">
        <v>1</v>
      </c>
      <c r="B356" s="417">
        <f>IF(A356&lt;&gt;0,COUNTA(A$19:$A356),"")</f>
        <v>84</v>
      </c>
      <c r="C356" s="428" t="s">
        <v>1170</v>
      </c>
      <c r="D356" s="428" t="s">
        <v>1171</v>
      </c>
      <c r="E356" s="435" t="s">
        <v>1172</v>
      </c>
      <c r="F356" s="435" t="s">
        <v>4736</v>
      </c>
      <c r="G356" s="419"/>
      <c r="H356" s="419">
        <v>12.6</v>
      </c>
      <c r="I356" s="419"/>
      <c r="J356" s="419"/>
      <c r="K356" s="420">
        <v>1</v>
      </c>
      <c r="L356" s="420">
        <f t="shared" si="64"/>
        <v>48658</v>
      </c>
      <c r="M356" s="420">
        <f t="shared" si="65"/>
        <v>157819</v>
      </c>
      <c r="N356" s="445">
        <f>SUMPRODUCT(G356:J356,$G$12:$J$12,$G$9:$J$9)</f>
        <v>8021.7900000000009</v>
      </c>
      <c r="O356" s="719"/>
      <c r="P356" s="719">
        <f t="shared" si="73"/>
        <v>211608.30000000002</v>
      </c>
      <c r="Q356" s="423" t="e">
        <f>SUMIF('8.Dgia'!E:E,'9.may'!E356,'8.Dgia'!P:P)</f>
        <v>#REF!</v>
      </c>
      <c r="R356" s="429" t="e">
        <f t="shared" si="67"/>
        <v>#REF!</v>
      </c>
      <c r="S356" s="301">
        <f t="shared" si="68"/>
        <v>14110.820000000002</v>
      </c>
      <c r="T356" s="430">
        <f t="shared" si="69"/>
        <v>179951.61</v>
      </c>
      <c r="U356" s="2053">
        <v>12066</v>
      </c>
      <c r="V356" s="2053">
        <v>48658</v>
      </c>
      <c r="W356" s="2054">
        <v>157819</v>
      </c>
      <c r="Y356" s="433">
        <f t="shared" si="70"/>
        <v>-22132.609999999986</v>
      </c>
      <c r="Z356" s="433">
        <f t="shared" si="71"/>
        <v>0</v>
      </c>
      <c r="AC356" s="410" t="e">
        <f t="shared" si="72"/>
        <v>#REF!</v>
      </c>
    </row>
    <row r="357" spans="1:29" s="427" customFormat="1" ht="17.25" hidden="1" customHeight="1">
      <c r="B357" s="417" t="str">
        <f>IF(A357&lt;&gt;0,COUNTA(A$19:$A357),"")</f>
        <v/>
      </c>
      <c r="C357" s="428" t="s">
        <v>1173</v>
      </c>
      <c r="D357" s="428"/>
      <c r="E357" s="435"/>
      <c r="F357" s="435"/>
      <c r="G357" s="419"/>
      <c r="H357" s="419">
        <v>16.2</v>
      </c>
      <c r="I357" s="419"/>
      <c r="J357" s="419"/>
      <c r="K357" s="420">
        <v>1</v>
      </c>
      <c r="L357" s="420">
        <f t="shared" si="64"/>
        <v>48658</v>
      </c>
      <c r="M357" s="420">
        <f t="shared" si="65"/>
        <v>197722</v>
      </c>
      <c r="N357" s="445">
        <f>SUMPRODUCT(G357:J357,$G$12:$J$12,$G$9:$J$9)</f>
        <v>10313.730000000001</v>
      </c>
      <c r="O357" s="719"/>
      <c r="P357" s="719">
        <f t="shared" si="73"/>
        <v>265375.11</v>
      </c>
      <c r="Q357" s="423">
        <f>SUMIF('8.Dgia'!E:E,'9.may'!E357,'8.Dgia'!P:P)</f>
        <v>0</v>
      </c>
      <c r="R357" s="429">
        <f t="shared" si="67"/>
        <v>0</v>
      </c>
      <c r="S357" s="301">
        <f t="shared" si="68"/>
        <v>14110.820000000002</v>
      </c>
      <c r="T357" s="430">
        <f t="shared" si="69"/>
        <v>222146.55</v>
      </c>
      <c r="U357" s="431">
        <v>15514</v>
      </c>
      <c r="V357" s="431">
        <v>48658</v>
      </c>
      <c r="W357" s="432">
        <v>197722</v>
      </c>
      <c r="Y357" s="433">
        <f t="shared" si="70"/>
        <v>-24424.549999999988</v>
      </c>
      <c r="Z357" s="433">
        <f t="shared" si="71"/>
        <v>0</v>
      </c>
      <c r="AC357" s="410">
        <f t="shared" si="72"/>
        <v>0</v>
      </c>
    </row>
    <row r="358" spans="1:29" s="427" customFormat="1" ht="17.25" hidden="1" customHeight="1">
      <c r="B358" s="417" t="str">
        <f>IF(A358&lt;&gt;0,COUNTA(A$19:$A358),"")</f>
        <v/>
      </c>
      <c r="C358" s="428" t="s">
        <v>1174</v>
      </c>
      <c r="D358" s="428"/>
      <c r="E358" s="435"/>
      <c r="F358" s="435"/>
      <c r="G358" s="419"/>
      <c r="H358" s="419">
        <v>19.8</v>
      </c>
      <c r="I358" s="419"/>
      <c r="J358" s="419"/>
      <c r="K358" s="420">
        <v>1</v>
      </c>
      <c r="L358" s="420">
        <f t="shared" si="64"/>
        <v>90531</v>
      </c>
      <c r="M358" s="420">
        <f t="shared" si="65"/>
        <v>253275</v>
      </c>
      <c r="N358" s="445">
        <f>SUMPRODUCT(G358:J358,$G$12:$J$12,$G$9:$J$9)</f>
        <v>12605.67</v>
      </c>
      <c r="O358" s="719"/>
      <c r="P358" s="719">
        <f t="shared" si="73"/>
        <v>339330.42</v>
      </c>
      <c r="Q358" s="423">
        <f>SUMIF('8.Dgia'!E:E,'9.may'!E358,'8.Dgia'!P:P)</f>
        <v>0</v>
      </c>
      <c r="R358" s="429">
        <f t="shared" si="67"/>
        <v>0</v>
      </c>
      <c r="S358" s="301">
        <f t="shared" si="68"/>
        <v>26253.99</v>
      </c>
      <c r="T358" s="430">
        <f t="shared" si="69"/>
        <v>292134.66000000003</v>
      </c>
      <c r="U358" s="431">
        <v>18961</v>
      </c>
      <c r="V358" s="431">
        <v>90531</v>
      </c>
      <c r="W358" s="432">
        <v>253275</v>
      </c>
      <c r="Y358" s="433">
        <f t="shared" si="70"/>
        <v>-38859.660000000033</v>
      </c>
      <c r="Z358" s="433">
        <f t="shared" si="71"/>
        <v>0</v>
      </c>
      <c r="AC358" s="410">
        <f t="shared" si="72"/>
        <v>0</v>
      </c>
    </row>
    <row r="359" spans="1:29" s="427" customFormat="1" ht="17.25" hidden="1" customHeight="1">
      <c r="B359" s="417" t="str">
        <f>IF(A359&lt;&gt;0,COUNTA(A$19:$A359),"")</f>
        <v/>
      </c>
      <c r="C359" s="428" t="s">
        <v>1175</v>
      </c>
      <c r="D359" s="428" t="s">
        <v>1176</v>
      </c>
      <c r="E359" s="435"/>
      <c r="F359" s="435" t="s">
        <v>4737</v>
      </c>
      <c r="G359" s="419"/>
      <c r="H359" s="419">
        <v>33.75</v>
      </c>
      <c r="I359" s="419"/>
      <c r="J359" s="419"/>
      <c r="K359" s="420">
        <v>1</v>
      </c>
      <c r="L359" s="420">
        <f t="shared" si="64"/>
        <v>90531</v>
      </c>
      <c r="M359" s="420">
        <f t="shared" si="65"/>
        <v>310489</v>
      </c>
      <c r="N359" s="445">
        <f>SUMPRODUCT(G359:J359,$G$12:$J$12,$G$9:$J$9)</f>
        <v>21486.9375</v>
      </c>
      <c r="O359" s="719"/>
      <c r="P359" s="719">
        <f t="shared" si="73"/>
        <v>422017.7475</v>
      </c>
      <c r="Q359" s="423">
        <f>SUMIF('8.Dgia'!E:E,'9.may'!E359,'8.Dgia'!P:P)</f>
        <v>0</v>
      </c>
      <c r="R359" s="429">
        <f t="shared" si="67"/>
        <v>0</v>
      </c>
      <c r="S359" s="301">
        <f t="shared" si="68"/>
        <v>26253.99</v>
      </c>
      <c r="T359" s="430">
        <f t="shared" si="69"/>
        <v>358229.92749999999</v>
      </c>
      <c r="U359" s="431">
        <v>32321</v>
      </c>
      <c r="V359" s="431">
        <v>90531</v>
      </c>
      <c r="W359" s="432">
        <v>310489</v>
      </c>
      <c r="Y359" s="433">
        <f t="shared" si="70"/>
        <v>-47740.927499999991</v>
      </c>
      <c r="Z359" s="433">
        <f t="shared" si="71"/>
        <v>0</v>
      </c>
      <c r="AC359" s="410">
        <f t="shared" si="72"/>
        <v>0</v>
      </c>
    </row>
    <row r="360" spans="1:29" s="427" customFormat="1" ht="17.25" hidden="1" customHeight="1">
      <c r="B360" s="417" t="str">
        <f>IF(A360&lt;&gt;0,COUNTA(A$19:$A360),"")</f>
        <v/>
      </c>
      <c r="C360" s="428" t="s">
        <v>1177</v>
      </c>
      <c r="D360" s="428" t="s">
        <v>1178</v>
      </c>
      <c r="E360" s="435"/>
      <c r="F360" s="435" t="s">
        <v>4738</v>
      </c>
      <c r="G360" s="419"/>
      <c r="H360" s="419">
        <v>72</v>
      </c>
      <c r="I360" s="419"/>
      <c r="J360" s="419"/>
      <c r="K360" s="420">
        <v>1</v>
      </c>
      <c r="L360" s="420">
        <f t="shared" si="64"/>
        <v>90531</v>
      </c>
      <c r="M360" s="420">
        <f t="shared" si="65"/>
        <v>402431</v>
      </c>
      <c r="N360" s="445">
        <f>SUMPRODUCT(G360:J360,$G$12:$J$12,$G$9:$J$9)</f>
        <v>45838.8</v>
      </c>
      <c r="O360" s="719"/>
      <c r="P360" s="719">
        <f t="shared" si="73"/>
        <v>564974.79</v>
      </c>
      <c r="Q360" s="423">
        <f>SUMIF('8.Dgia'!E:E,'9.may'!E360,'8.Dgia'!P:P)</f>
        <v>0</v>
      </c>
      <c r="R360" s="429">
        <f t="shared" si="67"/>
        <v>0</v>
      </c>
      <c r="S360" s="301">
        <f t="shared" si="68"/>
        <v>26253.99</v>
      </c>
      <c r="T360" s="430">
        <f t="shared" si="69"/>
        <v>474523.79000000004</v>
      </c>
      <c r="U360" s="431">
        <v>68951</v>
      </c>
      <c r="V360" s="431">
        <v>90531</v>
      </c>
      <c r="W360" s="432">
        <v>402431</v>
      </c>
      <c r="Y360" s="433">
        <f t="shared" si="70"/>
        <v>-72092.790000000037</v>
      </c>
      <c r="Z360" s="433">
        <f t="shared" si="71"/>
        <v>0</v>
      </c>
      <c r="AC360" s="410">
        <f t="shared" si="72"/>
        <v>0</v>
      </c>
    </row>
    <row r="361" spans="1:29" s="427" customFormat="1" ht="17.25" hidden="1" customHeight="1">
      <c r="B361" s="417" t="str">
        <f>IF(A361&lt;&gt;0,COUNTA(A$19:$A361),"")</f>
        <v/>
      </c>
      <c r="C361" s="418" t="s">
        <v>1179</v>
      </c>
      <c r="D361" s="418"/>
      <c r="E361" s="435"/>
      <c r="F361" s="435"/>
      <c r="G361" s="419"/>
      <c r="H361" s="419"/>
      <c r="I361" s="419"/>
      <c r="J361" s="419"/>
      <c r="K361" s="437"/>
      <c r="L361" s="420">
        <f t="shared" si="64"/>
        <v>0</v>
      </c>
      <c r="M361" s="420">
        <f t="shared" si="65"/>
        <v>0</v>
      </c>
      <c r="N361" s="445"/>
      <c r="O361" s="719"/>
      <c r="P361" s="719">
        <f t="shared" si="73"/>
        <v>0</v>
      </c>
      <c r="Q361" s="423">
        <f>SUMIF('8.Dgia'!E:E,'9.may'!E361,'8.Dgia'!P:P)</f>
        <v>0</v>
      </c>
      <c r="R361" s="429">
        <f t="shared" si="67"/>
        <v>0</v>
      </c>
      <c r="S361" s="301">
        <f t="shared" si="68"/>
        <v>0</v>
      </c>
      <c r="T361" s="430">
        <f t="shared" si="69"/>
        <v>0</v>
      </c>
      <c r="U361" s="436"/>
      <c r="V361" s="436"/>
      <c r="W361" s="432"/>
      <c r="Y361" s="433">
        <f t="shared" si="70"/>
        <v>0</v>
      </c>
      <c r="Z361" s="433">
        <f t="shared" si="71"/>
        <v>0</v>
      </c>
      <c r="AC361" s="410">
        <f t="shared" si="72"/>
        <v>0</v>
      </c>
    </row>
    <row r="362" spans="1:29" s="427" customFormat="1" ht="17.25" customHeight="1">
      <c r="A362" s="410">
        <v>1</v>
      </c>
      <c r="B362" s="417">
        <f>IF(A362&lt;&gt;0,COUNTA(A$19:$A362),"")</f>
        <v>85</v>
      </c>
      <c r="C362" s="428" t="s">
        <v>1180</v>
      </c>
      <c r="D362" s="428" t="s">
        <v>1181</v>
      </c>
      <c r="E362" s="435" t="s">
        <v>1182</v>
      </c>
      <c r="F362" s="435" t="s">
        <v>4739</v>
      </c>
      <c r="G362" s="419">
        <v>52.8</v>
      </c>
      <c r="H362" s="419"/>
      <c r="I362" s="419"/>
      <c r="J362" s="419"/>
      <c r="K362" s="420">
        <v>1</v>
      </c>
      <c r="L362" s="420">
        <f t="shared" si="64"/>
        <v>112242</v>
      </c>
      <c r="M362" s="420">
        <f t="shared" si="65"/>
        <v>2006645</v>
      </c>
      <c r="N362" s="445">
        <f>SUMPRODUCT(G362:J362,$G$12:$J$12,$G$9:$J$9)</f>
        <v>857818.07999999984</v>
      </c>
      <c r="O362" s="719"/>
      <c r="P362" s="719">
        <f t="shared" si="73"/>
        <v>3446390.13</v>
      </c>
      <c r="Q362" s="423" t="e">
        <f>SUMIF('8.Dgia'!E:E,'9.may'!E362,'8.Dgia'!P:P)</f>
        <v>#REF!</v>
      </c>
      <c r="R362" s="429" t="e">
        <f t="shared" si="67"/>
        <v>#REF!</v>
      </c>
      <c r="S362" s="301">
        <f t="shared" si="68"/>
        <v>32550.180000000004</v>
      </c>
      <c r="T362" s="430">
        <f t="shared" si="69"/>
        <v>2897013.26</v>
      </c>
      <c r="U362" s="2053">
        <v>377990</v>
      </c>
      <c r="V362" s="2053">
        <v>112242</v>
      </c>
      <c r="W362" s="2054">
        <v>2006645</v>
      </c>
      <c r="Y362" s="433">
        <f t="shared" si="70"/>
        <v>-890368.25999999978</v>
      </c>
      <c r="Z362" s="433">
        <f t="shared" si="71"/>
        <v>0</v>
      </c>
      <c r="AC362" s="410" t="e">
        <f t="shared" si="72"/>
        <v>#REF!</v>
      </c>
    </row>
    <row r="363" spans="1:29" s="427" customFormat="1" ht="17.25" hidden="1" customHeight="1">
      <c r="B363" s="417" t="str">
        <f>IF(A363&lt;&gt;0,COUNTA(A$19:$A363),"")</f>
        <v/>
      </c>
      <c r="C363" s="428" t="s">
        <v>1183</v>
      </c>
      <c r="D363" s="428"/>
      <c r="E363" s="435"/>
      <c r="F363" s="435"/>
      <c r="G363" s="419">
        <v>60</v>
      </c>
      <c r="H363" s="419"/>
      <c r="I363" s="419"/>
      <c r="J363" s="419"/>
      <c r="K363" s="420">
        <v>1</v>
      </c>
      <c r="L363" s="420">
        <f t="shared" si="64"/>
        <v>112242</v>
      </c>
      <c r="M363" s="420">
        <f t="shared" si="65"/>
        <v>2362924</v>
      </c>
      <c r="N363" s="445">
        <f>SUMPRODUCT(G363:J363,$G$12:$J$12,$G$9:$J$9)</f>
        <v>974793.27272727259</v>
      </c>
      <c r="O363" s="719"/>
      <c r="P363" s="719">
        <f t="shared" si="73"/>
        <v>4022965.2327272724</v>
      </c>
      <c r="Q363" s="423">
        <f>SUMIF('8.Dgia'!E:E,'9.may'!E363,'8.Dgia'!P:P)</f>
        <v>0</v>
      </c>
      <c r="R363" s="429">
        <f t="shared" si="67"/>
        <v>0</v>
      </c>
      <c r="S363" s="301">
        <f t="shared" si="68"/>
        <v>32550.180000000004</v>
      </c>
      <c r="T363" s="430">
        <f t="shared" si="69"/>
        <v>3370267.4527272726</v>
      </c>
      <c r="U363" s="431">
        <v>429534</v>
      </c>
      <c r="V363" s="431">
        <v>112242</v>
      </c>
      <c r="W363" s="432">
        <v>2362924</v>
      </c>
      <c r="Y363" s="433">
        <f t="shared" si="70"/>
        <v>-1007343.4527272726</v>
      </c>
      <c r="Z363" s="433">
        <f t="shared" si="71"/>
        <v>0</v>
      </c>
      <c r="AC363" s="410">
        <f t="shared" si="72"/>
        <v>0</v>
      </c>
    </row>
    <row r="364" spans="1:29" s="427" customFormat="1" ht="17.25" hidden="1" customHeight="1">
      <c r="B364" s="417" t="str">
        <f>IF(A364&lt;&gt;0,COUNTA(A$19:$A364),"")</f>
        <v/>
      </c>
      <c r="C364" s="440" t="s">
        <v>1184</v>
      </c>
      <c r="D364" s="440"/>
      <c r="E364" s="435"/>
      <c r="F364" s="435"/>
      <c r="G364" s="419"/>
      <c r="H364" s="419"/>
      <c r="I364" s="419"/>
      <c r="J364" s="419"/>
      <c r="K364" s="437"/>
      <c r="L364" s="420">
        <f t="shared" si="64"/>
        <v>0</v>
      </c>
      <c r="M364" s="420">
        <f t="shared" si="65"/>
        <v>0</v>
      </c>
      <c r="N364" s="445"/>
      <c r="O364" s="719"/>
      <c r="P364" s="719">
        <f t="shared" si="73"/>
        <v>0</v>
      </c>
      <c r="Q364" s="423">
        <f>SUMIF('8.Dgia'!E:E,'9.may'!E364,'8.Dgia'!P:P)</f>
        <v>0</v>
      </c>
      <c r="R364" s="429">
        <f t="shared" si="67"/>
        <v>0</v>
      </c>
      <c r="S364" s="301">
        <f t="shared" si="68"/>
        <v>0</v>
      </c>
      <c r="T364" s="430">
        <f t="shared" si="69"/>
        <v>0</v>
      </c>
      <c r="U364" s="436"/>
      <c r="V364" s="436"/>
      <c r="W364" s="432"/>
      <c r="Y364" s="433">
        <f t="shared" si="70"/>
        <v>0</v>
      </c>
      <c r="Z364" s="433">
        <f t="shared" si="71"/>
        <v>0</v>
      </c>
      <c r="AC364" s="410">
        <f t="shared" si="72"/>
        <v>0</v>
      </c>
    </row>
    <row r="365" spans="1:29" s="410" customFormat="1" ht="17.25" hidden="1" customHeight="1">
      <c r="B365" s="417" t="str">
        <f>IF(A365&lt;&gt;0,COUNTA(A$19:$A365),"")</f>
        <v/>
      </c>
      <c r="C365" s="428" t="s">
        <v>1185</v>
      </c>
      <c r="D365" s="428" t="s">
        <v>1186</v>
      </c>
      <c r="E365" s="435"/>
      <c r="F365" s="435"/>
      <c r="G365" s="419"/>
      <c r="H365" s="419">
        <v>180.67500000000001</v>
      </c>
      <c r="I365" s="419"/>
      <c r="J365" s="419"/>
      <c r="K365" s="420">
        <v>1</v>
      </c>
      <c r="L365" s="420">
        <f t="shared" si="64"/>
        <v>112242</v>
      </c>
      <c r="M365" s="420">
        <f t="shared" si="65"/>
        <v>1443204</v>
      </c>
      <c r="N365" s="445">
        <f>SUMPRODUCT(G365:J365,$G$12:$J$12,$G$9:$J$9)</f>
        <v>115026.73875</v>
      </c>
      <c r="O365" s="719"/>
      <c r="P365" s="719">
        <f t="shared" si="73"/>
        <v>1976759.8987500002</v>
      </c>
      <c r="Q365" s="423">
        <f>SUMIF('8.Dgia'!E:E,'9.may'!E365,'8.Dgia'!P:P)</f>
        <v>0</v>
      </c>
      <c r="R365" s="429">
        <f t="shared" si="67"/>
        <v>0</v>
      </c>
      <c r="S365" s="301">
        <f t="shared" si="68"/>
        <v>32550.180000000004</v>
      </c>
      <c r="T365" s="430">
        <f t="shared" si="69"/>
        <v>1590780.91875</v>
      </c>
      <c r="U365" s="431">
        <v>173028</v>
      </c>
      <c r="V365" s="431">
        <v>112242</v>
      </c>
      <c r="W365" s="432">
        <v>1443204</v>
      </c>
      <c r="Y365" s="433">
        <f t="shared" si="70"/>
        <v>-147576.91874999995</v>
      </c>
      <c r="Z365" s="433">
        <f t="shared" si="71"/>
        <v>0</v>
      </c>
      <c r="AC365" s="410">
        <f t="shared" si="72"/>
        <v>0</v>
      </c>
    </row>
    <row r="366" spans="1:29" s="410" customFormat="1" ht="17.25" hidden="1" customHeight="1">
      <c r="B366" s="417" t="str">
        <f>IF(A366&lt;&gt;0,COUNTA(A$19:$A366),"")</f>
        <v/>
      </c>
      <c r="C366" s="428" t="s">
        <v>1187</v>
      </c>
      <c r="D366" s="428"/>
      <c r="E366" s="435"/>
      <c r="F366" s="435"/>
      <c r="G366" s="419"/>
      <c r="H366" s="419">
        <v>247.5</v>
      </c>
      <c r="I366" s="419"/>
      <c r="J366" s="419"/>
      <c r="K366" s="420">
        <v>1</v>
      </c>
      <c r="L366" s="420">
        <f t="shared" si="64"/>
        <v>112242</v>
      </c>
      <c r="M366" s="420">
        <f t="shared" si="65"/>
        <v>2019541</v>
      </c>
      <c r="N366" s="445">
        <f>SUMPRODUCT(G366:J366,$G$12:$J$12,$G$9:$J$9)</f>
        <v>157570.875</v>
      </c>
      <c r="O366" s="719"/>
      <c r="P366" s="719">
        <f t="shared" si="73"/>
        <v>2762778.7650000001</v>
      </c>
      <c r="Q366" s="423">
        <f>SUMIF('8.Dgia'!E:E,'9.may'!E366,'8.Dgia'!P:P)</f>
        <v>0</v>
      </c>
      <c r="R366" s="429">
        <f t="shared" si="67"/>
        <v>0</v>
      </c>
      <c r="S366" s="301">
        <f t="shared" si="68"/>
        <v>32550.180000000004</v>
      </c>
      <c r="T366" s="430">
        <f t="shared" si="69"/>
        <v>2209662.0550000002</v>
      </c>
      <c r="U366" s="431">
        <v>237018</v>
      </c>
      <c r="V366" s="431">
        <v>112242</v>
      </c>
      <c r="W366" s="432">
        <v>2019541</v>
      </c>
      <c r="Y366" s="433">
        <f t="shared" si="70"/>
        <v>-190121.05500000017</v>
      </c>
      <c r="Z366" s="433">
        <f t="shared" si="71"/>
        <v>0</v>
      </c>
      <c r="AC366" s="410">
        <f t="shared" si="72"/>
        <v>0</v>
      </c>
    </row>
    <row r="367" spans="1:29" s="410" customFormat="1" ht="17.25" hidden="1" customHeight="1">
      <c r="B367" s="417" t="str">
        <f>IF(A367&lt;&gt;0,COUNTA(A$19:$A367),"")</f>
        <v/>
      </c>
      <c r="C367" s="418" t="s">
        <v>1188</v>
      </c>
      <c r="D367" s="418"/>
      <c r="E367" s="435"/>
      <c r="F367" s="435"/>
      <c r="G367" s="419"/>
      <c r="H367" s="419"/>
      <c r="I367" s="419"/>
      <c r="J367" s="419"/>
      <c r="K367" s="420"/>
      <c r="L367" s="420">
        <f t="shared" si="64"/>
        <v>0</v>
      </c>
      <c r="M367" s="420">
        <f t="shared" si="65"/>
        <v>0</v>
      </c>
      <c r="N367" s="445"/>
      <c r="O367" s="719"/>
      <c r="P367" s="719">
        <f t="shared" si="73"/>
        <v>0</v>
      </c>
      <c r="Q367" s="423">
        <f>SUMIF('8.Dgia'!E:E,'9.may'!E367,'8.Dgia'!P:P)</f>
        <v>0</v>
      </c>
      <c r="R367" s="429">
        <f t="shared" si="67"/>
        <v>0</v>
      </c>
      <c r="S367" s="301">
        <f t="shared" si="68"/>
        <v>0</v>
      </c>
      <c r="T367" s="430">
        <f t="shared" si="69"/>
        <v>0</v>
      </c>
      <c r="U367" s="436"/>
      <c r="V367" s="436"/>
      <c r="W367" s="432"/>
      <c r="Y367" s="433">
        <f t="shared" si="70"/>
        <v>0</v>
      </c>
      <c r="Z367" s="433">
        <f t="shared" si="71"/>
        <v>0</v>
      </c>
      <c r="AC367" s="410">
        <f t="shared" si="72"/>
        <v>0</v>
      </c>
    </row>
    <row r="368" spans="1:29" s="410" customFormat="1" ht="17.25" hidden="1" customHeight="1">
      <c r="B368" s="417" t="str">
        <f>IF(A368&lt;&gt;0,COUNTA(A$19:$A368),"")</f>
        <v/>
      </c>
      <c r="C368" s="428" t="s">
        <v>1189</v>
      </c>
      <c r="D368" s="428" t="s">
        <v>1190</v>
      </c>
      <c r="E368" s="435"/>
      <c r="F368" s="435"/>
      <c r="G368" s="419"/>
      <c r="H368" s="419">
        <v>54</v>
      </c>
      <c r="I368" s="419"/>
      <c r="J368" s="419"/>
      <c r="K368" s="420">
        <v>1</v>
      </c>
      <c r="L368" s="420">
        <f t="shared" si="64"/>
        <v>198532</v>
      </c>
      <c r="M368" s="420">
        <f t="shared" si="65"/>
        <v>1434879</v>
      </c>
      <c r="N368" s="445">
        <f>SUMPRODUCT(G368:J368,$G$12:$J$12,$G$9:$J$9)</f>
        <v>34379.1</v>
      </c>
      <c r="O368" s="719"/>
      <c r="P368" s="719">
        <f t="shared" si="73"/>
        <v>1885373.0100000002</v>
      </c>
      <c r="Q368" s="423">
        <f>SUMIF('8.Dgia'!E:E,'9.may'!E368,'8.Dgia'!P:P)</f>
        <v>0</v>
      </c>
      <c r="R368" s="429">
        <f t="shared" si="67"/>
        <v>0</v>
      </c>
      <c r="S368" s="301">
        <f t="shared" si="68"/>
        <v>57574.280000000006</v>
      </c>
      <c r="T368" s="430">
        <f t="shared" si="69"/>
        <v>1526832.38</v>
      </c>
      <c r="U368" s="431">
        <v>51713</v>
      </c>
      <c r="V368" s="431">
        <v>198532</v>
      </c>
      <c r="W368" s="432">
        <v>1434879</v>
      </c>
      <c r="Y368" s="433">
        <f t="shared" si="70"/>
        <v>-91953.379999999888</v>
      </c>
      <c r="Z368" s="433">
        <f t="shared" si="71"/>
        <v>0</v>
      </c>
      <c r="AC368" s="410">
        <f t="shared" si="72"/>
        <v>0</v>
      </c>
    </row>
    <row r="369" spans="1:29" s="410" customFormat="1" ht="17.25" hidden="1" customHeight="1">
      <c r="B369" s="417" t="str">
        <f>IF(A369&lt;&gt;0,COUNTA(A$19:$A369),"")</f>
        <v/>
      </c>
      <c r="C369" s="428" t="s">
        <v>1191</v>
      </c>
      <c r="D369" s="428" t="s">
        <v>1192</v>
      </c>
      <c r="E369" s="435"/>
      <c r="F369" s="435"/>
      <c r="G369" s="419"/>
      <c r="H369" s="419">
        <v>429</v>
      </c>
      <c r="I369" s="419"/>
      <c r="J369" s="419"/>
      <c r="K369" s="420">
        <v>1</v>
      </c>
      <c r="L369" s="420">
        <f t="shared" si="64"/>
        <v>255332</v>
      </c>
      <c r="M369" s="420">
        <f t="shared" si="65"/>
        <v>3927794</v>
      </c>
      <c r="N369" s="445">
        <f>SUMPRODUCT(G369:J369,$G$12:$J$12,$G$9:$J$9)</f>
        <v>273122.85000000003</v>
      </c>
      <c r="O369" s="719"/>
      <c r="P369" s="719">
        <f t="shared" si="73"/>
        <v>5339977.1099999994</v>
      </c>
      <c r="Q369" s="423">
        <f>SUMIF('8.Dgia'!E:E,'9.may'!E369,'8.Dgia'!P:P)</f>
        <v>0</v>
      </c>
      <c r="R369" s="429">
        <f t="shared" si="67"/>
        <v>0</v>
      </c>
      <c r="S369" s="301">
        <f t="shared" si="68"/>
        <v>74046.280000000013</v>
      </c>
      <c r="T369" s="430">
        <f t="shared" si="69"/>
        <v>4274963.13</v>
      </c>
      <c r="U369" s="431">
        <v>410832</v>
      </c>
      <c r="V369" s="431">
        <v>255332</v>
      </c>
      <c r="W369" s="432">
        <v>3927794</v>
      </c>
      <c r="Y369" s="433">
        <f t="shared" si="70"/>
        <v>-347169.12999999989</v>
      </c>
      <c r="Z369" s="433">
        <f t="shared" si="71"/>
        <v>0</v>
      </c>
      <c r="AC369" s="410">
        <f t="shared" si="72"/>
        <v>0</v>
      </c>
    </row>
    <row r="370" spans="1:29" s="410" customFormat="1" ht="17.25" customHeight="1">
      <c r="A370" s="410">
        <v>1</v>
      </c>
      <c r="B370" s="417">
        <f>IF(A370&lt;&gt;0,COUNTA(A$19:$A370),"")</f>
        <v>86</v>
      </c>
      <c r="C370" s="441" t="s">
        <v>1193</v>
      </c>
      <c r="D370" s="441" t="s">
        <v>1194</v>
      </c>
      <c r="E370" s="435" t="s">
        <v>1194</v>
      </c>
      <c r="F370" s="435" t="s">
        <v>4740</v>
      </c>
      <c r="G370" s="419">
        <v>72.599999999999994</v>
      </c>
      <c r="H370" s="419"/>
      <c r="I370" s="419"/>
      <c r="J370" s="419"/>
      <c r="K370" s="420">
        <v>1</v>
      </c>
      <c r="L370" s="420">
        <f t="shared" si="64"/>
        <v>206674</v>
      </c>
      <c r="M370" s="420">
        <f t="shared" si="65"/>
        <v>4741505</v>
      </c>
      <c r="N370" s="445">
        <f>SUMPRODUCT(G370:J370,$G$12:$J$12,$G$9:$J$9)</f>
        <v>1179499.8599999999</v>
      </c>
      <c r="O370" s="719"/>
      <c r="P370" s="719">
        <f t="shared" si="73"/>
        <v>7296041.3100000005</v>
      </c>
      <c r="Q370" s="423">
        <f>SUMIF('8.Dgia'!E:E,'9.may'!E370,'8.Dgia'!P:P)</f>
        <v>0</v>
      </c>
      <c r="R370" s="429">
        <f t="shared" si="67"/>
        <v>0</v>
      </c>
      <c r="S370" s="301">
        <f t="shared" si="68"/>
        <v>59935.460000000006</v>
      </c>
      <c r="T370" s="430">
        <f t="shared" si="69"/>
        <v>5980940.3200000003</v>
      </c>
      <c r="U370" s="2056">
        <v>519736</v>
      </c>
      <c r="V370" s="2056">
        <v>206674</v>
      </c>
      <c r="W370" s="2057">
        <v>4741505</v>
      </c>
      <c r="Y370" s="433">
        <f t="shared" si="70"/>
        <v>-1239435.3200000003</v>
      </c>
      <c r="Z370" s="433">
        <f t="shared" si="71"/>
        <v>0</v>
      </c>
      <c r="AC370" s="410">
        <f t="shared" si="72"/>
        <v>0</v>
      </c>
    </row>
    <row r="371" spans="1:29" s="410" customFormat="1" ht="17.25" hidden="1" customHeight="1">
      <c r="B371" s="417" t="str">
        <f>IF(A371&lt;&gt;0,COUNTA(A$19:$A371),"")</f>
        <v/>
      </c>
      <c r="C371" s="418" t="s">
        <v>1195</v>
      </c>
      <c r="D371" s="418"/>
      <c r="E371" s="435"/>
      <c r="F371" s="435"/>
      <c r="G371" s="419"/>
      <c r="H371" s="419"/>
      <c r="I371" s="419"/>
      <c r="J371" s="419"/>
      <c r="K371" s="437"/>
      <c r="L371" s="420">
        <f t="shared" si="64"/>
        <v>0</v>
      </c>
      <c r="M371" s="420">
        <f t="shared" si="65"/>
        <v>0</v>
      </c>
      <c r="N371" s="445"/>
      <c r="O371" s="719"/>
      <c r="P371" s="719">
        <f t="shared" si="73"/>
        <v>0</v>
      </c>
      <c r="Q371" s="423">
        <f>SUMIF('8.Dgia'!E:E,'9.may'!E371,'8.Dgia'!P:P)</f>
        <v>0</v>
      </c>
      <c r="R371" s="429">
        <f t="shared" si="67"/>
        <v>0</v>
      </c>
      <c r="S371" s="301">
        <f t="shared" si="68"/>
        <v>0</v>
      </c>
      <c r="T371" s="430">
        <f t="shared" si="69"/>
        <v>0</v>
      </c>
      <c r="U371" s="436"/>
      <c r="V371" s="436"/>
      <c r="W371" s="432"/>
      <c r="Y371" s="433">
        <f t="shared" si="70"/>
        <v>0</v>
      </c>
      <c r="Z371" s="433">
        <f t="shared" si="71"/>
        <v>0</v>
      </c>
      <c r="AC371" s="410">
        <f t="shared" si="72"/>
        <v>0</v>
      </c>
    </row>
    <row r="372" spans="1:29" s="410" customFormat="1" ht="17.25" hidden="1" customHeight="1">
      <c r="B372" s="417" t="str">
        <f>IF(A372&lt;&gt;0,COUNTA(A$19:$A372),"")</f>
        <v/>
      </c>
      <c r="C372" s="428" t="s">
        <v>1196</v>
      </c>
      <c r="D372" s="428"/>
      <c r="E372" s="435"/>
      <c r="F372" s="435"/>
      <c r="G372" s="419"/>
      <c r="H372" s="419">
        <v>1.8</v>
      </c>
      <c r="I372" s="419"/>
      <c r="J372" s="419"/>
      <c r="K372" s="420">
        <v>1</v>
      </c>
      <c r="L372" s="420">
        <f t="shared" si="64"/>
        <v>41873</v>
      </c>
      <c r="M372" s="420">
        <f t="shared" si="65"/>
        <v>46308</v>
      </c>
      <c r="N372" s="445">
        <f>SUMPRODUCT(G372:J372,$G$12:$J$12,$G$9:$J$9)</f>
        <v>1145.97</v>
      </c>
      <c r="O372" s="719"/>
      <c r="P372" s="719">
        <f t="shared" si="73"/>
        <v>60883.29</v>
      </c>
      <c r="Q372" s="423">
        <f>SUMIF('8.Dgia'!E:E,'9.may'!E372,'8.Dgia'!P:P)</f>
        <v>0</v>
      </c>
      <c r="R372" s="429">
        <f t="shared" si="67"/>
        <v>0</v>
      </c>
      <c r="S372" s="301">
        <f t="shared" si="68"/>
        <v>12143.170000000002</v>
      </c>
      <c r="T372" s="430">
        <f t="shared" si="69"/>
        <v>59597.14</v>
      </c>
      <c r="U372" s="431">
        <v>1724</v>
      </c>
      <c r="V372" s="431">
        <v>41873</v>
      </c>
      <c r="W372" s="432">
        <v>46308</v>
      </c>
      <c r="Y372" s="433">
        <f t="shared" si="70"/>
        <v>-13289.14</v>
      </c>
      <c r="Z372" s="433">
        <f t="shared" si="71"/>
        <v>0</v>
      </c>
      <c r="AC372" s="410">
        <f t="shared" si="72"/>
        <v>0</v>
      </c>
    </row>
    <row r="373" spans="1:29" s="410" customFormat="1" ht="17.25" hidden="1" customHeight="1">
      <c r="B373" s="417" t="str">
        <f>IF(A373&lt;&gt;0,COUNTA(A$19:$A373),"")</f>
        <v/>
      </c>
      <c r="C373" s="428" t="s">
        <v>1197</v>
      </c>
      <c r="D373" s="428"/>
      <c r="E373" s="435"/>
      <c r="F373" s="435"/>
      <c r="G373" s="419"/>
      <c r="H373" s="419">
        <v>2.7</v>
      </c>
      <c r="I373" s="419"/>
      <c r="J373" s="419"/>
      <c r="K373" s="420">
        <v>1</v>
      </c>
      <c r="L373" s="420">
        <f t="shared" si="64"/>
        <v>41873</v>
      </c>
      <c r="M373" s="420">
        <f t="shared" si="65"/>
        <v>47899</v>
      </c>
      <c r="N373" s="445">
        <f>SUMPRODUCT(G373:J373,$G$12:$J$12,$G$9:$J$9)</f>
        <v>1718.9550000000002</v>
      </c>
      <c r="O373" s="719"/>
      <c r="P373" s="719">
        <f t="shared" si="73"/>
        <v>63508.665000000001</v>
      </c>
      <c r="Q373" s="423">
        <f>SUMIF('8.Dgia'!E:E,'9.may'!E373,'8.Dgia'!P:P)</f>
        <v>0</v>
      </c>
      <c r="R373" s="429">
        <f t="shared" si="67"/>
        <v>0</v>
      </c>
      <c r="S373" s="301">
        <f t="shared" si="68"/>
        <v>12143.170000000002</v>
      </c>
      <c r="T373" s="430">
        <f t="shared" si="69"/>
        <v>61761.125</v>
      </c>
      <c r="U373" s="431">
        <v>2586</v>
      </c>
      <c r="V373" s="431">
        <v>41873</v>
      </c>
      <c r="W373" s="432">
        <v>47899</v>
      </c>
      <c r="Y373" s="433">
        <f t="shared" si="70"/>
        <v>-13862.125</v>
      </c>
      <c r="Z373" s="433">
        <f t="shared" si="71"/>
        <v>0</v>
      </c>
      <c r="AC373" s="410">
        <f t="shared" si="72"/>
        <v>0</v>
      </c>
    </row>
    <row r="374" spans="1:29" s="410" customFormat="1" ht="17.25" hidden="1" customHeight="1">
      <c r="B374" s="417" t="str">
        <f>IF(A374&lt;&gt;0,COUNTA(A$19:$A374),"")</f>
        <v/>
      </c>
      <c r="C374" s="428" t="s">
        <v>1198</v>
      </c>
      <c r="D374" s="428"/>
      <c r="E374" s="435"/>
      <c r="F374" s="435"/>
      <c r="G374" s="419"/>
      <c r="H374" s="419">
        <v>3.6</v>
      </c>
      <c r="I374" s="419"/>
      <c r="J374" s="419"/>
      <c r="K374" s="420">
        <v>1</v>
      </c>
      <c r="L374" s="420">
        <f t="shared" si="64"/>
        <v>41873</v>
      </c>
      <c r="M374" s="420">
        <f t="shared" si="65"/>
        <v>49488</v>
      </c>
      <c r="N374" s="445">
        <f>SUMPRODUCT(G374:J374,$G$12:$J$12,$G$9:$J$9)</f>
        <v>2291.94</v>
      </c>
      <c r="O374" s="719"/>
      <c r="P374" s="719">
        <f t="shared" si="73"/>
        <v>66131.460000000006</v>
      </c>
      <c r="Q374" s="423">
        <f>SUMIF('8.Dgia'!E:E,'9.may'!E374,'8.Dgia'!P:P)</f>
        <v>0</v>
      </c>
      <c r="R374" s="429">
        <f t="shared" si="67"/>
        <v>0</v>
      </c>
      <c r="S374" s="301">
        <f t="shared" si="68"/>
        <v>12143.170000000002</v>
      </c>
      <c r="T374" s="430">
        <f t="shared" si="69"/>
        <v>63923.11</v>
      </c>
      <c r="U374" s="431">
        <v>3448</v>
      </c>
      <c r="V374" s="431">
        <v>41873</v>
      </c>
      <c r="W374" s="432">
        <v>49488</v>
      </c>
      <c r="Y374" s="433">
        <f t="shared" si="70"/>
        <v>-14435.11</v>
      </c>
      <c r="Z374" s="433">
        <f t="shared" si="71"/>
        <v>0</v>
      </c>
      <c r="AC374" s="410">
        <f t="shared" si="72"/>
        <v>0</v>
      </c>
    </row>
    <row r="375" spans="1:29" s="410" customFormat="1" ht="17.25" hidden="1" customHeight="1">
      <c r="B375" s="417" t="str">
        <f>IF(A375&lt;&gt;0,COUNTA(A$19:$A375),"")</f>
        <v/>
      </c>
      <c r="C375" s="428" t="s">
        <v>1199</v>
      </c>
      <c r="D375" s="428"/>
      <c r="E375" s="435"/>
      <c r="F375" s="435" t="s">
        <v>4741</v>
      </c>
      <c r="G375" s="419"/>
      <c r="H375" s="419">
        <v>4.5</v>
      </c>
      <c r="I375" s="419"/>
      <c r="J375" s="419"/>
      <c r="K375" s="420">
        <v>1</v>
      </c>
      <c r="L375" s="420">
        <f t="shared" si="64"/>
        <v>41873</v>
      </c>
      <c r="M375" s="420">
        <f t="shared" si="65"/>
        <v>50799</v>
      </c>
      <c r="N375" s="445">
        <f>SUMPRODUCT(G375:J375,$G$12:$J$12,$G$9:$J$9)</f>
        <v>2864.9250000000002</v>
      </c>
      <c r="O375" s="719"/>
      <c r="P375" s="719">
        <f t="shared" si="73"/>
        <v>68395.634999999995</v>
      </c>
      <c r="Q375" s="423">
        <f>SUMIF('8.Dgia'!E:E,'9.may'!E375,'8.Dgia'!P:P)</f>
        <v>0</v>
      </c>
      <c r="R375" s="429">
        <f t="shared" si="67"/>
        <v>0</v>
      </c>
      <c r="S375" s="301">
        <f t="shared" si="68"/>
        <v>12143.170000000002</v>
      </c>
      <c r="T375" s="430">
        <f t="shared" si="69"/>
        <v>65807.095000000001</v>
      </c>
      <c r="U375" s="431">
        <v>4309</v>
      </c>
      <c r="V375" s="431">
        <v>41873</v>
      </c>
      <c r="W375" s="432">
        <v>50799</v>
      </c>
      <c r="Y375" s="433">
        <f t="shared" si="70"/>
        <v>-15008.095000000001</v>
      </c>
      <c r="Z375" s="433">
        <f t="shared" si="71"/>
        <v>0</v>
      </c>
      <c r="AC375" s="410">
        <f t="shared" si="72"/>
        <v>0</v>
      </c>
    </row>
    <row r="376" spans="1:29" s="410" customFormat="1" ht="17.25" hidden="1" customHeight="1">
      <c r="B376" s="417" t="str">
        <f>IF(A376&lt;&gt;0,COUNTA(A$19:$A376),"")</f>
        <v/>
      </c>
      <c r="C376" s="418" t="s">
        <v>1200</v>
      </c>
      <c r="D376" s="418"/>
      <c r="E376" s="435"/>
      <c r="F376" s="435"/>
      <c r="G376" s="419"/>
      <c r="H376" s="419"/>
      <c r="I376" s="419"/>
      <c r="J376" s="419"/>
      <c r="K376" s="420"/>
      <c r="L376" s="420">
        <f t="shared" si="64"/>
        <v>0</v>
      </c>
      <c r="M376" s="420">
        <f t="shared" si="65"/>
        <v>0</v>
      </c>
      <c r="N376" s="445"/>
      <c r="O376" s="719"/>
      <c r="P376" s="719">
        <f t="shared" si="73"/>
        <v>0</v>
      </c>
      <c r="Q376" s="423">
        <f>SUMIF('8.Dgia'!E:E,'9.may'!E376,'8.Dgia'!P:P)</f>
        <v>0</v>
      </c>
      <c r="R376" s="429">
        <f t="shared" si="67"/>
        <v>0</v>
      </c>
      <c r="S376" s="301">
        <f t="shared" si="68"/>
        <v>0</v>
      </c>
      <c r="T376" s="430">
        <f t="shared" si="69"/>
        <v>0</v>
      </c>
      <c r="U376" s="436"/>
      <c r="V376" s="436"/>
      <c r="W376" s="432"/>
      <c r="Y376" s="433">
        <f t="shared" si="70"/>
        <v>0</v>
      </c>
      <c r="Z376" s="433">
        <f t="shared" si="71"/>
        <v>0</v>
      </c>
      <c r="AC376" s="410">
        <f t="shared" si="72"/>
        <v>0</v>
      </c>
    </row>
    <row r="377" spans="1:29" s="410" customFormat="1" ht="17.25" hidden="1" customHeight="1">
      <c r="B377" s="417" t="str">
        <f>IF(A377&lt;&gt;0,COUNTA(A$19:$A377),"")</f>
        <v/>
      </c>
      <c r="C377" s="428" t="s">
        <v>1199</v>
      </c>
      <c r="D377" s="428"/>
      <c r="E377" s="435"/>
      <c r="F377" s="435" t="s">
        <v>4742</v>
      </c>
      <c r="G377" s="419"/>
      <c r="H377" s="419">
        <v>4.5</v>
      </c>
      <c r="I377" s="419"/>
      <c r="J377" s="419"/>
      <c r="K377" s="420">
        <v>1</v>
      </c>
      <c r="L377" s="420">
        <f t="shared" si="64"/>
        <v>41873</v>
      </c>
      <c r="M377" s="420">
        <f t="shared" si="65"/>
        <v>50073</v>
      </c>
      <c r="N377" s="445">
        <f>SUMPRODUCT(G377:J377,$G$12:$J$12,$G$9:$J$9)</f>
        <v>2864.9250000000002</v>
      </c>
      <c r="O377" s="719"/>
      <c r="P377" s="719">
        <f t="shared" si="73"/>
        <v>67459.095000000001</v>
      </c>
      <c r="Q377" s="423">
        <f>SUMIF('8.Dgia'!E:E,'9.may'!E377,'8.Dgia'!P:P)</f>
        <v>0</v>
      </c>
      <c r="R377" s="429">
        <f t="shared" si="67"/>
        <v>0</v>
      </c>
      <c r="S377" s="301">
        <f t="shared" si="68"/>
        <v>12143.170000000002</v>
      </c>
      <c r="T377" s="430">
        <f t="shared" si="69"/>
        <v>65081.095000000001</v>
      </c>
      <c r="U377" s="431">
        <v>4309</v>
      </c>
      <c r="V377" s="431">
        <v>41873</v>
      </c>
      <c r="W377" s="432">
        <v>50073</v>
      </c>
      <c r="Y377" s="433">
        <f t="shared" si="70"/>
        <v>-15008.095000000001</v>
      </c>
      <c r="Z377" s="433">
        <f t="shared" si="71"/>
        <v>0</v>
      </c>
      <c r="AC377" s="410">
        <f t="shared" si="72"/>
        <v>0</v>
      </c>
    </row>
    <row r="378" spans="1:29" s="410" customFormat="1" ht="17.25" hidden="1" customHeight="1">
      <c r="B378" s="417" t="str">
        <f>IF(A378&lt;&gt;0,COUNTA(A$19:$A378),"")</f>
        <v/>
      </c>
      <c r="C378" s="418" t="s">
        <v>1201</v>
      </c>
      <c r="D378" s="418"/>
      <c r="E378" s="435"/>
      <c r="F378" s="435"/>
      <c r="G378" s="419"/>
      <c r="H378" s="419"/>
      <c r="I378" s="419"/>
      <c r="J378" s="419"/>
      <c r="K378" s="420"/>
      <c r="L378" s="420">
        <f t="shared" si="64"/>
        <v>0</v>
      </c>
      <c r="M378" s="420">
        <f t="shared" si="65"/>
        <v>0</v>
      </c>
      <c r="N378" s="445"/>
      <c r="O378" s="719"/>
      <c r="P378" s="719">
        <f t="shared" si="73"/>
        <v>0</v>
      </c>
      <c r="Q378" s="423">
        <f>SUMIF('8.Dgia'!E:E,'9.may'!E378,'8.Dgia'!P:P)</f>
        <v>0</v>
      </c>
      <c r="R378" s="429">
        <f t="shared" si="67"/>
        <v>0</v>
      </c>
      <c r="S378" s="301">
        <f t="shared" si="68"/>
        <v>0</v>
      </c>
      <c r="T378" s="430">
        <f t="shared" si="69"/>
        <v>0</v>
      </c>
      <c r="U378" s="436"/>
      <c r="V378" s="436"/>
      <c r="W378" s="432"/>
      <c r="Y378" s="433">
        <f t="shared" si="70"/>
        <v>0</v>
      </c>
      <c r="Z378" s="433">
        <f t="shared" si="71"/>
        <v>0</v>
      </c>
      <c r="AC378" s="410">
        <f t="shared" si="72"/>
        <v>0</v>
      </c>
    </row>
    <row r="379" spans="1:29" s="410" customFormat="1" ht="17.25" hidden="1" customHeight="1">
      <c r="B379" s="417" t="str">
        <f>IF(A379&lt;&gt;0,COUNTA(A$19:$A379),"")</f>
        <v/>
      </c>
      <c r="C379" s="428" t="s">
        <v>1197</v>
      </c>
      <c r="D379" s="428"/>
      <c r="E379" s="435"/>
      <c r="F379" s="435"/>
      <c r="G379" s="419"/>
      <c r="H379" s="419">
        <v>2.7</v>
      </c>
      <c r="I379" s="419"/>
      <c r="J379" s="419"/>
      <c r="K379" s="420">
        <v>1</v>
      </c>
      <c r="L379" s="420">
        <f t="shared" si="64"/>
        <v>41873</v>
      </c>
      <c r="M379" s="420">
        <f t="shared" si="65"/>
        <v>48122</v>
      </c>
      <c r="N379" s="445">
        <f t="shared" ref="N379:N384" si="75">SUMPRODUCT(G379:J379,$G$12:$J$12,$G$9:$J$9)</f>
        <v>1718.9550000000002</v>
      </c>
      <c r="O379" s="719"/>
      <c r="P379" s="719">
        <f t="shared" si="73"/>
        <v>63796.335000000006</v>
      </c>
      <c r="Q379" s="423">
        <f>SUMIF('8.Dgia'!E:E,'9.may'!E379,'8.Dgia'!P:P)</f>
        <v>0</v>
      </c>
      <c r="R379" s="429">
        <f t="shared" si="67"/>
        <v>0</v>
      </c>
      <c r="S379" s="301">
        <f t="shared" si="68"/>
        <v>12143.170000000002</v>
      </c>
      <c r="T379" s="430">
        <f t="shared" si="69"/>
        <v>61984.125</v>
      </c>
      <c r="U379" s="431">
        <v>2586</v>
      </c>
      <c r="V379" s="431">
        <v>41873</v>
      </c>
      <c r="W379" s="432">
        <v>48122</v>
      </c>
      <c r="Y379" s="433">
        <f t="shared" si="70"/>
        <v>-13862.125</v>
      </c>
      <c r="Z379" s="433">
        <f t="shared" si="71"/>
        <v>0</v>
      </c>
      <c r="AC379" s="410">
        <f t="shared" si="72"/>
        <v>0</v>
      </c>
    </row>
    <row r="380" spans="1:29" s="410" customFormat="1" ht="17.25" hidden="1" customHeight="1">
      <c r="B380" s="417" t="str">
        <f>IF(A380&lt;&gt;0,COUNTA(A$19:$A380),"")</f>
        <v/>
      </c>
      <c r="C380" s="428" t="s">
        <v>1198</v>
      </c>
      <c r="D380" s="428"/>
      <c r="E380" s="435"/>
      <c r="F380" s="435"/>
      <c r="G380" s="419"/>
      <c r="H380" s="419">
        <v>3.6</v>
      </c>
      <c r="I380" s="419"/>
      <c r="J380" s="419"/>
      <c r="K380" s="420">
        <v>1</v>
      </c>
      <c r="L380" s="420">
        <f t="shared" si="64"/>
        <v>41873</v>
      </c>
      <c r="M380" s="420">
        <f t="shared" si="65"/>
        <v>50653</v>
      </c>
      <c r="N380" s="445">
        <f t="shared" si="75"/>
        <v>2291.94</v>
      </c>
      <c r="O380" s="719"/>
      <c r="P380" s="719">
        <f t="shared" si="73"/>
        <v>67634.31</v>
      </c>
      <c r="Q380" s="423">
        <f>SUMIF('8.Dgia'!E:E,'9.may'!E380,'8.Dgia'!P:P)</f>
        <v>0</v>
      </c>
      <c r="R380" s="429">
        <f t="shared" si="67"/>
        <v>0</v>
      </c>
      <c r="S380" s="301">
        <f t="shared" si="68"/>
        <v>12143.170000000002</v>
      </c>
      <c r="T380" s="430">
        <f t="shared" si="69"/>
        <v>65088.11</v>
      </c>
      <c r="U380" s="431">
        <v>3448</v>
      </c>
      <c r="V380" s="431">
        <v>41873</v>
      </c>
      <c r="W380" s="432">
        <v>50653</v>
      </c>
      <c r="Y380" s="433">
        <f t="shared" si="70"/>
        <v>-14435.11</v>
      </c>
      <c r="Z380" s="433">
        <f t="shared" si="71"/>
        <v>0</v>
      </c>
      <c r="AC380" s="410">
        <f t="shared" si="72"/>
        <v>0</v>
      </c>
    </row>
    <row r="381" spans="1:29" s="410" customFormat="1" ht="17.25" customHeight="1">
      <c r="A381" s="410">
        <v>1</v>
      </c>
      <c r="B381" s="417">
        <f>IF(A381&lt;&gt;0,COUNTA(A$19:$A381),"")</f>
        <v>87</v>
      </c>
      <c r="C381" s="428" t="s">
        <v>1199</v>
      </c>
      <c r="D381" s="428" t="s">
        <v>1202</v>
      </c>
      <c r="E381" s="435" t="s">
        <v>747</v>
      </c>
      <c r="F381" s="435" t="s">
        <v>4901</v>
      </c>
      <c r="G381" s="419"/>
      <c r="H381" s="419">
        <v>4.5</v>
      </c>
      <c r="I381" s="419"/>
      <c r="J381" s="419"/>
      <c r="K381" s="420">
        <v>1</v>
      </c>
      <c r="L381" s="420">
        <f t="shared" si="64"/>
        <v>41873</v>
      </c>
      <c r="M381" s="420">
        <f t="shared" si="65"/>
        <v>50799</v>
      </c>
      <c r="N381" s="445">
        <f t="shared" si="75"/>
        <v>2864.9250000000002</v>
      </c>
      <c r="O381" s="719"/>
      <c r="P381" s="719">
        <f t="shared" si="73"/>
        <v>68395.634999999995</v>
      </c>
      <c r="Q381" s="423" t="e">
        <f>SUMIF('8.Dgia'!E:E,'9.may'!E381,'8.Dgia'!P:P)</f>
        <v>#REF!</v>
      </c>
      <c r="R381" s="429" t="e">
        <f t="shared" si="67"/>
        <v>#REF!</v>
      </c>
      <c r="S381" s="301">
        <f t="shared" si="68"/>
        <v>12143.170000000002</v>
      </c>
      <c r="T381" s="430">
        <f t="shared" si="69"/>
        <v>65807.095000000001</v>
      </c>
      <c r="U381" s="2053">
        <v>4309</v>
      </c>
      <c r="V381" s="2053">
        <v>41873</v>
      </c>
      <c r="W381" s="2054">
        <v>50799</v>
      </c>
      <c r="Y381" s="433">
        <f t="shared" si="70"/>
        <v>-15008.095000000001</v>
      </c>
      <c r="Z381" s="433">
        <f t="shared" si="71"/>
        <v>0</v>
      </c>
      <c r="AC381" s="410" t="e">
        <f t="shared" si="72"/>
        <v>#REF!</v>
      </c>
    </row>
    <row r="382" spans="1:29" s="410" customFormat="1" ht="17.25" customHeight="1">
      <c r="A382" s="410">
        <v>1</v>
      </c>
      <c r="B382" s="417">
        <f>IF(A382&lt;&gt;0,COUNTA(A$19:$A382),"")</f>
        <v>88</v>
      </c>
      <c r="C382" s="428" t="s">
        <v>1203</v>
      </c>
      <c r="D382" s="428" t="s">
        <v>1204</v>
      </c>
      <c r="E382" s="435" t="s">
        <v>1205</v>
      </c>
      <c r="F382" s="435" t="s">
        <v>4743</v>
      </c>
      <c r="G382" s="419"/>
      <c r="H382" s="419">
        <v>6.75</v>
      </c>
      <c r="I382" s="419"/>
      <c r="J382" s="419"/>
      <c r="K382" s="420">
        <v>1</v>
      </c>
      <c r="L382" s="420">
        <f t="shared" si="64"/>
        <v>41873</v>
      </c>
      <c r="M382" s="420">
        <f t="shared" si="65"/>
        <v>54629</v>
      </c>
      <c r="N382" s="445">
        <f t="shared" si="75"/>
        <v>4297.3874999999998</v>
      </c>
      <c r="O382" s="719"/>
      <c r="P382" s="719">
        <f t="shared" si="73"/>
        <v>74768.797500000001</v>
      </c>
      <c r="Q382" s="423" t="e">
        <f>SUMIF('8.Dgia'!E:E,'9.may'!E382,'8.Dgia'!P:P)</f>
        <v>#REF!</v>
      </c>
      <c r="R382" s="429" t="e">
        <f t="shared" si="67"/>
        <v>#REF!</v>
      </c>
      <c r="S382" s="301">
        <f t="shared" si="68"/>
        <v>12143.170000000002</v>
      </c>
      <c r="T382" s="430">
        <f t="shared" si="69"/>
        <v>71069.557499999995</v>
      </c>
      <c r="U382" s="2053">
        <v>6464</v>
      </c>
      <c r="V382" s="2053">
        <v>41873</v>
      </c>
      <c r="W382" s="2054">
        <v>54629</v>
      </c>
      <c r="Y382" s="433">
        <f t="shared" si="70"/>
        <v>-16440.557499999995</v>
      </c>
      <c r="Z382" s="433">
        <f t="shared" si="71"/>
        <v>0</v>
      </c>
      <c r="AC382" s="410" t="e">
        <f t="shared" si="72"/>
        <v>#REF!</v>
      </c>
    </row>
    <row r="383" spans="1:29" s="410" customFormat="1" ht="17.25" customHeight="1">
      <c r="A383" s="410">
        <v>1</v>
      </c>
      <c r="B383" s="417">
        <f>IF(A383&lt;&gt;0,COUNTA(A$19:$A383),"")</f>
        <v>89</v>
      </c>
      <c r="C383" s="428" t="s">
        <v>1206</v>
      </c>
      <c r="D383" s="428"/>
      <c r="E383" s="435" t="s">
        <v>1980</v>
      </c>
      <c r="F383" s="435" t="s">
        <v>4744</v>
      </c>
      <c r="G383" s="419"/>
      <c r="H383" s="419">
        <v>12.6</v>
      </c>
      <c r="I383" s="419"/>
      <c r="J383" s="419"/>
      <c r="K383" s="420">
        <v>1</v>
      </c>
      <c r="L383" s="420">
        <f t="shared" si="64"/>
        <v>41873</v>
      </c>
      <c r="M383" s="420">
        <f t="shared" si="65"/>
        <v>62066</v>
      </c>
      <c r="N383" s="445">
        <f t="shared" si="75"/>
        <v>8021.7900000000009</v>
      </c>
      <c r="O383" s="719"/>
      <c r="P383" s="719">
        <f t="shared" si="73"/>
        <v>88086.93</v>
      </c>
      <c r="Q383" s="423">
        <f>SUMIF('8.Dgia'!E:E,'9.may'!E383,'8.Dgia'!P:P)</f>
        <v>0</v>
      </c>
      <c r="R383" s="429">
        <f t="shared" si="67"/>
        <v>0</v>
      </c>
      <c r="S383" s="301">
        <f t="shared" si="68"/>
        <v>12143.170000000002</v>
      </c>
      <c r="T383" s="430">
        <f t="shared" si="69"/>
        <v>82230.960000000006</v>
      </c>
      <c r="U383" s="2053">
        <v>12066</v>
      </c>
      <c r="V383" s="2053">
        <v>41873</v>
      </c>
      <c r="W383" s="2054">
        <v>62066</v>
      </c>
      <c r="Y383" s="433">
        <f t="shared" si="70"/>
        <v>-20164.960000000006</v>
      </c>
      <c r="Z383" s="433">
        <f t="shared" si="71"/>
        <v>0</v>
      </c>
      <c r="AC383" s="410">
        <f t="shared" si="72"/>
        <v>0</v>
      </c>
    </row>
    <row r="384" spans="1:29" s="410" customFormat="1" ht="17.25" hidden="1" customHeight="1">
      <c r="B384" s="417" t="str">
        <f>IF(A384&lt;&gt;0,COUNTA(A$19:$A384),"")</f>
        <v/>
      </c>
      <c r="C384" s="428" t="s">
        <v>1207</v>
      </c>
      <c r="D384" s="428" t="s">
        <v>1208</v>
      </c>
      <c r="E384" s="435"/>
      <c r="F384" s="435" t="s">
        <v>4745</v>
      </c>
      <c r="G384" s="419"/>
      <c r="H384" s="419">
        <v>15.75</v>
      </c>
      <c r="I384" s="419"/>
      <c r="J384" s="419"/>
      <c r="K384" s="420">
        <v>1</v>
      </c>
      <c r="L384" s="420">
        <f t="shared" si="64"/>
        <v>41873</v>
      </c>
      <c r="M384" s="420">
        <f t="shared" si="65"/>
        <v>75621</v>
      </c>
      <c r="N384" s="445">
        <f t="shared" si="75"/>
        <v>10027.237500000001</v>
      </c>
      <c r="O384" s="719"/>
      <c r="P384" s="719">
        <f t="shared" si="73"/>
        <v>107578.3275</v>
      </c>
      <c r="Q384" s="423">
        <f>SUMIF('8.Dgia'!E:E,'9.may'!E384,'8.Dgia'!P:P)</f>
        <v>0</v>
      </c>
      <c r="R384" s="429">
        <f t="shared" si="67"/>
        <v>0</v>
      </c>
      <c r="S384" s="301">
        <f t="shared" si="68"/>
        <v>12143.170000000002</v>
      </c>
      <c r="T384" s="430">
        <f t="shared" si="69"/>
        <v>97791.407500000001</v>
      </c>
      <c r="U384" s="431">
        <v>15083</v>
      </c>
      <c r="V384" s="431">
        <v>41873</v>
      </c>
      <c r="W384" s="432">
        <v>75621</v>
      </c>
      <c r="Y384" s="433">
        <f t="shared" si="70"/>
        <v>-22170.407500000001</v>
      </c>
      <c r="Z384" s="433">
        <f t="shared" si="71"/>
        <v>0</v>
      </c>
      <c r="AC384" s="410">
        <f t="shared" si="72"/>
        <v>0</v>
      </c>
    </row>
    <row r="385" spans="1:29" s="410" customFormat="1" ht="17.25" hidden="1" customHeight="1">
      <c r="B385" s="417" t="str">
        <f>IF(A385&lt;&gt;0,COUNTA(A$19:$A385),"")</f>
        <v/>
      </c>
      <c r="C385" s="418" t="s">
        <v>1209</v>
      </c>
      <c r="D385" s="418"/>
      <c r="E385" s="435"/>
      <c r="F385" s="435"/>
      <c r="G385" s="419"/>
      <c r="H385" s="419"/>
      <c r="I385" s="419"/>
      <c r="J385" s="419"/>
      <c r="K385" s="437"/>
      <c r="L385" s="420">
        <f t="shared" si="64"/>
        <v>0</v>
      </c>
      <c r="M385" s="420">
        <f t="shared" si="65"/>
        <v>0</v>
      </c>
      <c r="N385" s="445"/>
      <c r="O385" s="719"/>
      <c r="P385" s="719">
        <f t="shared" si="73"/>
        <v>0</v>
      </c>
      <c r="Q385" s="423">
        <f>SUMIF('8.Dgia'!E:E,'9.may'!E385,'8.Dgia'!P:P)</f>
        <v>0</v>
      </c>
      <c r="R385" s="429">
        <f t="shared" si="67"/>
        <v>0</v>
      </c>
      <c r="S385" s="301">
        <f t="shared" si="68"/>
        <v>0</v>
      </c>
      <c r="T385" s="430">
        <f t="shared" si="69"/>
        <v>0</v>
      </c>
      <c r="U385" s="436"/>
      <c r="V385" s="436"/>
      <c r="W385" s="432"/>
      <c r="Y385" s="433">
        <f t="shared" si="70"/>
        <v>0</v>
      </c>
      <c r="Z385" s="433">
        <f t="shared" si="71"/>
        <v>0</v>
      </c>
      <c r="AC385" s="410">
        <f t="shared" si="72"/>
        <v>0</v>
      </c>
    </row>
    <row r="386" spans="1:29" s="410" customFormat="1" ht="17.25" hidden="1" customHeight="1">
      <c r="B386" s="417" t="str">
        <f>IF(A386&lt;&gt;0,COUNTA(A$19:$A386),"")</f>
        <v/>
      </c>
      <c r="C386" s="428" t="s">
        <v>1210</v>
      </c>
      <c r="D386" s="428"/>
      <c r="E386" s="435"/>
      <c r="F386" s="435"/>
      <c r="G386" s="419"/>
      <c r="H386" s="419">
        <v>29.4</v>
      </c>
      <c r="I386" s="419"/>
      <c r="J386" s="419"/>
      <c r="K386" s="420">
        <v>1</v>
      </c>
      <c r="L386" s="420">
        <f t="shared" si="64"/>
        <v>41873</v>
      </c>
      <c r="M386" s="420">
        <f t="shared" si="65"/>
        <v>77353</v>
      </c>
      <c r="N386" s="445">
        <f>SUMPRODUCT(G386:J386,$G$12:$J$12,$G$9:$J$9)</f>
        <v>18717.510000000002</v>
      </c>
      <c r="O386" s="719"/>
      <c r="P386" s="719">
        <f t="shared" si="73"/>
        <v>118502.88</v>
      </c>
      <c r="Q386" s="423">
        <f>SUMIF('8.Dgia'!E:E,'9.may'!E386,'8.Dgia'!P:P)</f>
        <v>0</v>
      </c>
      <c r="R386" s="429">
        <f t="shared" si="67"/>
        <v>0</v>
      </c>
      <c r="S386" s="301">
        <f t="shared" si="68"/>
        <v>12143.170000000002</v>
      </c>
      <c r="T386" s="430">
        <f t="shared" si="69"/>
        <v>108213.68000000001</v>
      </c>
      <c r="U386" s="431">
        <v>28155</v>
      </c>
      <c r="V386" s="431">
        <v>41873</v>
      </c>
      <c r="W386" s="432">
        <v>77353</v>
      </c>
      <c r="Y386" s="433">
        <f t="shared" si="70"/>
        <v>-30860.680000000008</v>
      </c>
      <c r="Z386" s="433">
        <f t="shared" si="71"/>
        <v>0</v>
      </c>
      <c r="AC386" s="410">
        <f t="shared" si="72"/>
        <v>0</v>
      </c>
    </row>
    <row r="387" spans="1:29" s="410" customFormat="1" ht="17.25" hidden="1" customHeight="1">
      <c r="B387" s="417" t="str">
        <f>IF(A387&lt;&gt;0,COUNTA(A$19:$A387),"")</f>
        <v/>
      </c>
      <c r="C387" s="428" t="s">
        <v>1211</v>
      </c>
      <c r="D387" s="428"/>
      <c r="E387" s="435"/>
      <c r="F387" s="435"/>
      <c r="G387" s="419"/>
      <c r="H387" s="419">
        <v>75.599999999999994</v>
      </c>
      <c r="I387" s="419"/>
      <c r="J387" s="419"/>
      <c r="K387" s="420">
        <v>1</v>
      </c>
      <c r="L387" s="420">
        <f t="shared" si="64"/>
        <v>48658</v>
      </c>
      <c r="M387" s="420">
        <f t="shared" si="65"/>
        <v>132346</v>
      </c>
      <c r="N387" s="445">
        <f>SUMPRODUCT(G387:J387,$G$12:$J$12,$G$9:$J$9)</f>
        <v>48130.740000000005</v>
      </c>
      <c r="O387" s="719"/>
      <c r="P387" s="719">
        <f t="shared" si="73"/>
        <v>218857.08000000002</v>
      </c>
      <c r="Q387" s="423">
        <f>SUMIF('8.Dgia'!E:E,'9.may'!E387,'8.Dgia'!P:P)</f>
        <v>0</v>
      </c>
      <c r="R387" s="429">
        <f t="shared" si="67"/>
        <v>0</v>
      </c>
      <c r="S387" s="301">
        <f t="shared" si="68"/>
        <v>14110.820000000002</v>
      </c>
      <c r="T387" s="430">
        <f t="shared" si="69"/>
        <v>194587.56</v>
      </c>
      <c r="U387" s="431">
        <v>72398</v>
      </c>
      <c r="V387" s="431">
        <v>48658</v>
      </c>
      <c r="W387" s="432">
        <v>132346</v>
      </c>
      <c r="Y387" s="433">
        <f t="shared" si="70"/>
        <v>-62241.56</v>
      </c>
      <c r="Z387" s="433">
        <f t="shared" si="71"/>
        <v>0</v>
      </c>
      <c r="AC387" s="410">
        <f t="shared" si="72"/>
        <v>0</v>
      </c>
    </row>
    <row r="388" spans="1:29" s="410" customFormat="1" ht="17.25" hidden="1" customHeight="1">
      <c r="B388" s="417" t="str">
        <f>IF(A388&lt;&gt;0,COUNTA(A$19:$A388),"")</f>
        <v/>
      </c>
      <c r="C388" s="428" t="s">
        <v>1212</v>
      </c>
      <c r="D388" s="428"/>
      <c r="E388" s="435"/>
      <c r="F388" s="435"/>
      <c r="G388" s="419"/>
      <c r="H388" s="419">
        <v>96.6</v>
      </c>
      <c r="I388" s="419"/>
      <c r="J388" s="419"/>
      <c r="K388" s="420">
        <v>1</v>
      </c>
      <c r="L388" s="420">
        <f t="shared" si="64"/>
        <v>48658</v>
      </c>
      <c r="M388" s="420">
        <f t="shared" si="65"/>
        <v>155215</v>
      </c>
      <c r="N388" s="445">
        <f>SUMPRODUCT(G388:J388,$G$12:$J$12,$G$9:$J$9)</f>
        <v>61500.390000000007</v>
      </c>
      <c r="O388" s="719"/>
      <c r="P388" s="719">
        <f t="shared" si="73"/>
        <v>261727.74000000002</v>
      </c>
      <c r="Q388" s="423">
        <f>SUMIF('8.Dgia'!E:E,'9.may'!E388,'8.Dgia'!P:P)</f>
        <v>0</v>
      </c>
      <c r="R388" s="429">
        <f t="shared" si="67"/>
        <v>0</v>
      </c>
      <c r="S388" s="301">
        <f t="shared" si="68"/>
        <v>14110.820000000002</v>
      </c>
      <c r="T388" s="430">
        <f t="shared" si="69"/>
        <v>230826.21000000002</v>
      </c>
      <c r="U388" s="431">
        <v>92509</v>
      </c>
      <c r="V388" s="431">
        <v>48658</v>
      </c>
      <c r="W388" s="432">
        <v>155215</v>
      </c>
      <c r="Y388" s="433">
        <f t="shared" si="70"/>
        <v>-75611.210000000021</v>
      </c>
      <c r="Z388" s="433">
        <f t="shared" si="71"/>
        <v>0</v>
      </c>
      <c r="AC388" s="410">
        <f t="shared" si="72"/>
        <v>0</v>
      </c>
    </row>
    <row r="389" spans="1:29" s="410" customFormat="1" ht="17.25" hidden="1" customHeight="1">
      <c r="B389" s="417" t="str">
        <f>IF(A389&lt;&gt;0,COUNTA(A$19:$A389),"")</f>
        <v/>
      </c>
      <c r="C389" s="418" t="s">
        <v>1213</v>
      </c>
      <c r="D389" s="418"/>
      <c r="E389" s="435"/>
      <c r="F389" s="435"/>
      <c r="G389" s="419"/>
      <c r="H389" s="419"/>
      <c r="I389" s="419"/>
      <c r="J389" s="419"/>
      <c r="K389" s="420"/>
      <c r="L389" s="420">
        <f t="shared" si="64"/>
        <v>0</v>
      </c>
      <c r="M389" s="420">
        <f t="shared" si="65"/>
        <v>0</v>
      </c>
      <c r="N389" s="445"/>
      <c r="O389" s="719"/>
      <c r="P389" s="719">
        <f t="shared" si="73"/>
        <v>0</v>
      </c>
      <c r="Q389" s="423">
        <f>SUMIF('8.Dgia'!E:E,'9.may'!E389,'8.Dgia'!P:P)</f>
        <v>0</v>
      </c>
      <c r="R389" s="429">
        <f t="shared" si="67"/>
        <v>0</v>
      </c>
      <c r="S389" s="301">
        <f t="shared" si="68"/>
        <v>0</v>
      </c>
      <c r="T389" s="430">
        <f t="shared" si="69"/>
        <v>0</v>
      </c>
      <c r="U389" s="436"/>
      <c r="V389" s="436"/>
      <c r="W389" s="432"/>
      <c r="Y389" s="433">
        <f t="shared" si="70"/>
        <v>0</v>
      </c>
      <c r="Z389" s="433">
        <f t="shared" si="71"/>
        <v>0</v>
      </c>
      <c r="AC389" s="410">
        <f t="shared" si="72"/>
        <v>0</v>
      </c>
    </row>
    <row r="390" spans="1:29" s="410" customFormat="1" ht="17.25" hidden="1" customHeight="1">
      <c r="B390" s="417" t="str">
        <f>IF(A390&lt;&gt;0,COUNTA(A$19:$A390),"")</f>
        <v/>
      </c>
      <c r="C390" s="428" t="s">
        <v>1174</v>
      </c>
      <c r="D390" s="428"/>
      <c r="E390" s="435"/>
      <c r="F390" s="435"/>
      <c r="G390" s="419"/>
      <c r="H390" s="419">
        <v>63</v>
      </c>
      <c r="I390" s="419"/>
      <c r="J390" s="419"/>
      <c r="K390" s="420">
        <v>1</v>
      </c>
      <c r="L390" s="420">
        <f t="shared" si="64"/>
        <v>90531</v>
      </c>
      <c r="M390" s="420">
        <f t="shared" si="65"/>
        <v>542142</v>
      </c>
      <c r="N390" s="445">
        <f>SUMPRODUCT(G390:J390,$G$12:$J$12,$G$9:$J$9)</f>
        <v>40108.950000000004</v>
      </c>
      <c r="O390" s="719"/>
      <c r="P390" s="719">
        <f t="shared" si="73"/>
        <v>739472.13</v>
      </c>
      <c r="Q390" s="423">
        <f>SUMIF('8.Dgia'!E:E,'9.may'!E390,'8.Dgia'!P:P)</f>
        <v>0</v>
      </c>
      <c r="R390" s="429">
        <f t="shared" si="67"/>
        <v>0</v>
      </c>
      <c r="S390" s="301">
        <f t="shared" si="68"/>
        <v>26253.99</v>
      </c>
      <c r="T390" s="430">
        <f t="shared" si="69"/>
        <v>608504.93999999994</v>
      </c>
      <c r="U390" s="431">
        <v>60332</v>
      </c>
      <c r="V390" s="431">
        <v>90531</v>
      </c>
      <c r="W390" s="432">
        <v>542142</v>
      </c>
      <c r="Y390" s="433">
        <f t="shared" si="70"/>
        <v>-66362.939999999944</v>
      </c>
      <c r="Z390" s="433">
        <f t="shared" si="71"/>
        <v>0</v>
      </c>
      <c r="AC390" s="410">
        <f t="shared" si="72"/>
        <v>0</v>
      </c>
    </row>
    <row r="391" spans="1:29" s="410" customFormat="1" ht="17.25" hidden="1" customHeight="1">
      <c r="B391" s="417" t="str">
        <f>IF(A391&lt;&gt;0,COUNTA(A$19:$A391),"")</f>
        <v/>
      </c>
      <c r="C391" s="428" t="s">
        <v>1151</v>
      </c>
      <c r="D391" s="428"/>
      <c r="E391" s="435"/>
      <c r="F391" s="435"/>
      <c r="G391" s="419"/>
      <c r="H391" s="419">
        <v>315</v>
      </c>
      <c r="I391" s="419"/>
      <c r="J391" s="419"/>
      <c r="K391" s="420">
        <v>1</v>
      </c>
      <c r="L391" s="420">
        <f t="shared" si="64"/>
        <v>90531</v>
      </c>
      <c r="M391" s="420">
        <f t="shared" si="65"/>
        <v>1586413</v>
      </c>
      <c r="N391" s="445">
        <f>SUMPRODUCT(G391:J391,$G$12:$J$12,$G$9:$J$9)</f>
        <v>200544.75</v>
      </c>
      <c r="O391" s="719"/>
      <c r="P391" s="719">
        <f t="shared" si="73"/>
        <v>2247017.52</v>
      </c>
      <c r="Q391" s="423">
        <f>SUMIF('8.Dgia'!E:E,'9.may'!E391,'8.Dgia'!P:P)</f>
        <v>0</v>
      </c>
      <c r="R391" s="429">
        <f t="shared" si="67"/>
        <v>0</v>
      </c>
      <c r="S391" s="301">
        <f t="shared" si="68"/>
        <v>26253.99</v>
      </c>
      <c r="T391" s="430">
        <f t="shared" si="69"/>
        <v>1813211.74</v>
      </c>
      <c r="U391" s="431">
        <v>301660</v>
      </c>
      <c r="V391" s="431">
        <v>90531</v>
      </c>
      <c r="W391" s="432">
        <v>1586413</v>
      </c>
      <c r="Y391" s="433">
        <f t="shared" si="70"/>
        <v>-226798.74</v>
      </c>
      <c r="Z391" s="433">
        <f t="shared" si="71"/>
        <v>0</v>
      </c>
      <c r="AC391" s="410">
        <f t="shared" si="72"/>
        <v>0</v>
      </c>
    </row>
    <row r="392" spans="1:29" s="410" customFormat="1" ht="17.25" hidden="1" customHeight="1">
      <c r="B392" s="417" t="str">
        <f>IF(A392&lt;&gt;0,COUNTA(A$19:$A392),"")</f>
        <v/>
      </c>
      <c r="C392" s="428" t="s">
        <v>1155</v>
      </c>
      <c r="D392" s="428"/>
      <c r="E392" s="435"/>
      <c r="F392" s="435"/>
      <c r="G392" s="419"/>
      <c r="H392" s="419">
        <v>357</v>
      </c>
      <c r="I392" s="419"/>
      <c r="J392" s="419"/>
      <c r="K392" s="420">
        <v>1</v>
      </c>
      <c r="L392" s="420">
        <f t="shared" si="64"/>
        <v>132404</v>
      </c>
      <c r="M392" s="420">
        <f t="shared" si="65"/>
        <v>1875997</v>
      </c>
      <c r="N392" s="445">
        <f>SUMPRODUCT(G392:J392,$G$12:$J$12,$G$9:$J$9)</f>
        <v>227284.05000000002</v>
      </c>
      <c r="O392" s="719"/>
      <c r="P392" s="719">
        <f t="shared" si="73"/>
        <v>2647320.1799999997</v>
      </c>
      <c r="Q392" s="423">
        <f>SUMIF('8.Dgia'!E:E,'9.may'!E392,'8.Dgia'!P:P)</f>
        <v>0</v>
      </c>
      <c r="R392" s="429">
        <f t="shared" si="67"/>
        <v>0</v>
      </c>
      <c r="S392" s="301">
        <f t="shared" si="68"/>
        <v>38397.160000000003</v>
      </c>
      <c r="T392" s="430">
        <f t="shared" si="69"/>
        <v>2141678.21</v>
      </c>
      <c r="U392" s="431">
        <v>341881</v>
      </c>
      <c r="V392" s="431">
        <v>132404</v>
      </c>
      <c r="W392" s="432">
        <v>1875997</v>
      </c>
      <c r="Y392" s="433">
        <f t="shared" si="70"/>
        <v>-265681.20999999996</v>
      </c>
      <c r="Z392" s="433">
        <f t="shared" si="71"/>
        <v>0</v>
      </c>
      <c r="AC392" s="410">
        <f t="shared" si="72"/>
        <v>0</v>
      </c>
    </row>
    <row r="393" spans="1:29" s="410" customFormat="1" ht="17.25" hidden="1" customHeight="1">
      <c r="B393" s="417" t="str">
        <f>IF(A393&lt;&gt;0,COUNTA(A$19:$A393),"")</f>
        <v/>
      </c>
      <c r="C393" s="428" t="s">
        <v>1166</v>
      </c>
      <c r="D393" s="428"/>
      <c r="E393" s="435"/>
      <c r="F393" s="435"/>
      <c r="G393" s="419"/>
      <c r="H393" s="419">
        <v>630</v>
      </c>
      <c r="I393" s="419"/>
      <c r="J393" s="419"/>
      <c r="K393" s="420">
        <v>1</v>
      </c>
      <c r="L393" s="420">
        <f t="shared" si="64"/>
        <v>132404</v>
      </c>
      <c r="M393" s="420">
        <f t="shared" si="65"/>
        <v>5290232</v>
      </c>
      <c r="N393" s="445">
        <f>SUMPRODUCT(G393:J393,$G$12:$J$12,$G$9:$J$9)</f>
        <v>401089.5</v>
      </c>
      <c r="O393" s="719"/>
      <c r="P393" s="719">
        <f t="shared" si="73"/>
        <v>7225488.7800000003</v>
      </c>
      <c r="Q393" s="423">
        <f>SUMIF('8.Dgia'!E:E,'9.may'!E393,'8.Dgia'!P:P)</f>
        <v>0</v>
      </c>
      <c r="R393" s="429">
        <f t="shared" si="67"/>
        <v>0</v>
      </c>
      <c r="S393" s="301">
        <f t="shared" si="68"/>
        <v>38397.160000000003</v>
      </c>
      <c r="T393" s="430">
        <f t="shared" si="69"/>
        <v>5729718.6600000001</v>
      </c>
      <c r="U393" s="431">
        <v>603320</v>
      </c>
      <c r="V393" s="431">
        <v>132404</v>
      </c>
      <c r="W393" s="432">
        <v>5290232</v>
      </c>
      <c r="Y393" s="433">
        <f t="shared" si="70"/>
        <v>-439486.66000000015</v>
      </c>
      <c r="Z393" s="433">
        <f t="shared" si="71"/>
        <v>0</v>
      </c>
      <c r="AC393" s="410">
        <f t="shared" si="72"/>
        <v>0</v>
      </c>
    </row>
    <row r="394" spans="1:29" s="410" customFormat="1" ht="17.25" hidden="1" customHeight="1">
      <c r="B394" s="417" t="str">
        <f>IF(A394&lt;&gt;0,COUNTA(A$19:$A394),"")</f>
        <v/>
      </c>
      <c r="C394" s="418" t="s">
        <v>1214</v>
      </c>
      <c r="D394" s="418"/>
      <c r="E394" s="435"/>
      <c r="F394" s="435"/>
      <c r="G394" s="419"/>
      <c r="H394" s="419"/>
      <c r="I394" s="419"/>
      <c r="J394" s="419"/>
      <c r="K394" s="420"/>
      <c r="L394" s="420">
        <f t="shared" si="64"/>
        <v>0</v>
      </c>
      <c r="M394" s="420">
        <f t="shared" si="65"/>
        <v>0</v>
      </c>
      <c r="N394" s="445"/>
      <c r="O394" s="719"/>
      <c r="P394" s="719">
        <f t="shared" si="73"/>
        <v>0</v>
      </c>
      <c r="Q394" s="423">
        <f>SUMIF('8.Dgia'!E:E,'9.may'!E394,'8.Dgia'!P:P)</f>
        <v>0</v>
      </c>
      <c r="R394" s="429">
        <f t="shared" si="67"/>
        <v>0</v>
      </c>
      <c r="S394" s="301">
        <f t="shared" si="68"/>
        <v>0</v>
      </c>
      <c r="T394" s="430">
        <f t="shared" si="69"/>
        <v>0</v>
      </c>
      <c r="U394" s="436"/>
      <c r="V394" s="436"/>
      <c r="W394" s="432"/>
      <c r="Y394" s="433">
        <f t="shared" si="70"/>
        <v>0</v>
      </c>
      <c r="Z394" s="433">
        <f t="shared" si="71"/>
        <v>0</v>
      </c>
      <c r="AC394" s="410">
        <f t="shared" si="72"/>
        <v>0</v>
      </c>
    </row>
    <row r="395" spans="1:29" s="410" customFormat="1" ht="17.25" hidden="1" customHeight="1">
      <c r="B395" s="417" t="str">
        <f>IF(A395&lt;&gt;0,COUNTA(A$19:$A395),"")</f>
        <v/>
      </c>
      <c r="C395" s="428" t="s">
        <v>1215</v>
      </c>
      <c r="D395" s="428"/>
      <c r="E395" s="435"/>
      <c r="F395" s="435"/>
      <c r="G395" s="419"/>
      <c r="H395" s="419">
        <v>134.4</v>
      </c>
      <c r="I395" s="419"/>
      <c r="J395" s="419"/>
      <c r="K395" s="420">
        <v>1</v>
      </c>
      <c r="L395" s="420">
        <f t="shared" si="64"/>
        <v>90531</v>
      </c>
      <c r="M395" s="420">
        <f t="shared" si="65"/>
        <v>249676</v>
      </c>
      <c r="N395" s="445">
        <f>SUMPRODUCT(G395:J395,$G$12:$J$12,$G$9:$J$9)</f>
        <v>85565.760000000009</v>
      </c>
      <c r="O395" s="719"/>
      <c r="P395" s="719">
        <f t="shared" si="73"/>
        <v>407647.80000000005</v>
      </c>
      <c r="Q395" s="423">
        <f>SUMIF('8.Dgia'!E:E,'9.may'!E395,'8.Dgia'!P:P)</f>
        <v>0</v>
      </c>
      <c r="R395" s="429">
        <f t="shared" si="67"/>
        <v>0</v>
      </c>
      <c r="S395" s="301">
        <f t="shared" si="68"/>
        <v>26253.99</v>
      </c>
      <c r="T395" s="430">
        <f t="shared" si="69"/>
        <v>361495.75</v>
      </c>
      <c r="U395" s="431">
        <v>128708</v>
      </c>
      <c r="V395" s="431">
        <v>90531</v>
      </c>
      <c r="W395" s="432">
        <v>249676</v>
      </c>
      <c r="Y395" s="433">
        <f t="shared" si="70"/>
        <v>-111819.75</v>
      </c>
      <c r="Z395" s="433">
        <f t="shared" si="71"/>
        <v>0</v>
      </c>
      <c r="AC395" s="410">
        <f t="shared" si="72"/>
        <v>0</v>
      </c>
    </row>
    <row r="396" spans="1:29" s="410" customFormat="1" ht="17.25" hidden="1" customHeight="1">
      <c r="B396" s="417" t="str">
        <f>IF(A396&lt;&gt;0,COUNTA(A$19:$A396),"")</f>
        <v/>
      </c>
      <c r="C396" s="428" t="s">
        <v>1216</v>
      </c>
      <c r="D396" s="428"/>
      <c r="E396" s="435"/>
      <c r="F396" s="435"/>
      <c r="G396" s="419"/>
      <c r="H396" s="419">
        <v>840</v>
      </c>
      <c r="I396" s="419"/>
      <c r="J396" s="419"/>
      <c r="K396" s="420">
        <v>1</v>
      </c>
      <c r="L396" s="420">
        <f t="shared" si="64"/>
        <v>262117</v>
      </c>
      <c r="M396" s="420">
        <f t="shared" si="65"/>
        <v>1728497</v>
      </c>
      <c r="N396" s="445">
        <f>SUMPRODUCT(G396:J396,$G$12:$J$12,$G$9:$J$9)</f>
        <v>534786</v>
      </c>
      <c r="O396" s="719"/>
      <c r="P396" s="719">
        <f t="shared" si="73"/>
        <v>2764547.13</v>
      </c>
      <c r="Q396" s="423">
        <f>SUMIF('8.Dgia'!E:E,'9.may'!E396,'8.Dgia'!P:P)</f>
        <v>0</v>
      </c>
      <c r="R396" s="429">
        <f t="shared" si="67"/>
        <v>0</v>
      </c>
      <c r="S396" s="301">
        <f t="shared" si="68"/>
        <v>76013.930000000008</v>
      </c>
      <c r="T396" s="430">
        <f t="shared" si="69"/>
        <v>2339296.9300000002</v>
      </c>
      <c r="U396" s="431">
        <v>804426</v>
      </c>
      <c r="V396" s="431">
        <v>262117</v>
      </c>
      <c r="W396" s="432">
        <v>1728497</v>
      </c>
      <c r="Y396" s="433">
        <f t="shared" si="70"/>
        <v>-610799.93000000017</v>
      </c>
      <c r="Z396" s="433">
        <f t="shared" si="71"/>
        <v>0</v>
      </c>
      <c r="AC396" s="410">
        <f t="shared" si="72"/>
        <v>0</v>
      </c>
    </row>
    <row r="397" spans="1:29" s="427" customFormat="1" ht="17.25" hidden="1" customHeight="1">
      <c r="B397" s="417" t="str">
        <f>IF(A397&lt;&gt;0,COUNTA(A$19:$A397),"")</f>
        <v/>
      </c>
      <c r="C397" s="418" t="s">
        <v>1217</v>
      </c>
      <c r="D397" s="418"/>
      <c r="E397" s="435"/>
      <c r="F397" s="435"/>
      <c r="G397" s="419"/>
      <c r="H397" s="419"/>
      <c r="I397" s="419"/>
      <c r="J397" s="419"/>
      <c r="K397" s="437"/>
      <c r="L397" s="420">
        <f t="shared" si="64"/>
        <v>0</v>
      </c>
      <c r="M397" s="420">
        <f t="shared" si="65"/>
        <v>0</v>
      </c>
      <c r="N397" s="445"/>
      <c r="O397" s="719"/>
      <c r="P397" s="719">
        <f t="shared" si="73"/>
        <v>0</v>
      </c>
      <c r="Q397" s="423">
        <f>SUMIF('8.Dgia'!E:E,'9.may'!E397,'8.Dgia'!P:P)</f>
        <v>0</v>
      </c>
      <c r="R397" s="429">
        <f t="shared" si="67"/>
        <v>0</v>
      </c>
      <c r="S397" s="301">
        <f t="shared" si="68"/>
        <v>0</v>
      </c>
      <c r="T397" s="430">
        <f t="shared" si="69"/>
        <v>0</v>
      </c>
      <c r="U397" s="436"/>
      <c r="V397" s="436"/>
      <c r="W397" s="432"/>
      <c r="Y397" s="433">
        <f t="shared" si="70"/>
        <v>0</v>
      </c>
      <c r="Z397" s="433">
        <f t="shared" si="71"/>
        <v>0</v>
      </c>
      <c r="AC397" s="410">
        <f t="shared" si="72"/>
        <v>0</v>
      </c>
    </row>
    <row r="398" spans="1:29" s="427" customFormat="1" ht="17.25" customHeight="1">
      <c r="A398" s="410">
        <v>1</v>
      </c>
      <c r="B398" s="417">
        <f>IF(A398&lt;&gt;0,COUNTA(A$19:$A398),"")</f>
        <v>90</v>
      </c>
      <c r="C398" s="428" t="s">
        <v>1218</v>
      </c>
      <c r="D398" s="428" t="s">
        <v>1219</v>
      </c>
      <c r="E398" s="435" t="s">
        <v>1220</v>
      </c>
      <c r="F398" s="435" t="s">
        <v>4746</v>
      </c>
      <c r="G398" s="419"/>
      <c r="H398" s="419">
        <v>210</v>
      </c>
      <c r="I398" s="419"/>
      <c r="J398" s="419"/>
      <c r="K398" s="420">
        <v>1</v>
      </c>
      <c r="L398" s="420">
        <f t="shared" si="64"/>
        <v>598652</v>
      </c>
      <c r="M398" s="420">
        <f t="shared" si="65"/>
        <v>10266496</v>
      </c>
      <c r="N398" s="445">
        <f t="shared" ref="N398:N403" si="76">SUMPRODUCT(G398:J398,$G$12:$J$12,$G$9:$J$9)</f>
        <v>133696.5</v>
      </c>
      <c r="O398" s="719"/>
      <c r="P398" s="719">
        <f t="shared" si="73"/>
        <v>13377476.34</v>
      </c>
      <c r="Q398" s="423">
        <f>SUMIF('8.Dgia'!E:E,'9.may'!E398,'8.Dgia'!P:P)</f>
        <v>0</v>
      </c>
      <c r="R398" s="429">
        <f t="shared" si="67"/>
        <v>0</v>
      </c>
      <c r="S398" s="301">
        <f t="shared" si="68"/>
        <v>173609.08000000002</v>
      </c>
      <c r="T398" s="430">
        <f t="shared" si="69"/>
        <v>10573801.58</v>
      </c>
      <c r="U398" s="2053">
        <v>8881604</v>
      </c>
      <c r="V398" s="2053">
        <v>598652</v>
      </c>
      <c r="W398" s="2055">
        <v>10266496</v>
      </c>
      <c r="Y398" s="433">
        <f t="shared" si="70"/>
        <v>-307305.58000000007</v>
      </c>
      <c r="Z398" s="433">
        <f t="shared" si="71"/>
        <v>0</v>
      </c>
      <c r="AC398" s="410">
        <f t="shared" si="72"/>
        <v>0</v>
      </c>
    </row>
    <row r="399" spans="1:29" s="427" customFormat="1" ht="17.25" customHeight="1">
      <c r="A399" s="410">
        <v>1</v>
      </c>
      <c r="B399" s="417">
        <f>IF(A399&lt;&gt;0,COUNTA(A$19:$A399),"")</f>
        <v>91</v>
      </c>
      <c r="C399" s="428" t="s">
        <v>1221</v>
      </c>
      <c r="D399" s="428"/>
      <c r="E399" s="435" t="s">
        <v>1984</v>
      </c>
      <c r="F399" s="435"/>
      <c r="G399" s="419"/>
      <c r="H399" s="419">
        <v>234</v>
      </c>
      <c r="I399" s="419"/>
      <c r="J399" s="419"/>
      <c r="K399" s="420">
        <v>1</v>
      </c>
      <c r="L399" s="420">
        <f t="shared" si="64"/>
        <v>598652</v>
      </c>
      <c r="M399" s="420">
        <f t="shared" si="65"/>
        <v>11438784</v>
      </c>
      <c r="N399" s="445">
        <f t="shared" si="76"/>
        <v>148976.1</v>
      </c>
      <c r="O399" s="719"/>
      <c r="P399" s="719">
        <f t="shared" si="73"/>
        <v>14905007.460000001</v>
      </c>
      <c r="Q399" s="423">
        <f>SUMIF('8.Dgia'!E:E,'9.may'!E399,'8.Dgia'!P:P)</f>
        <v>0</v>
      </c>
      <c r="R399" s="429">
        <f t="shared" si="67"/>
        <v>0</v>
      </c>
      <c r="S399" s="301">
        <f t="shared" si="68"/>
        <v>173609.08000000002</v>
      </c>
      <c r="T399" s="430">
        <f t="shared" si="69"/>
        <v>11761369.18</v>
      </c>
      <c r="U399" s="2053">
        <v>9896644</v>
      </c>
      <c r="V399" s="2053">
        <v>598652</v>
      </c>
      <c r="W399" s="2055">
        <v>11438784</v>
      </c>
      <c r="Y399" s="433">
        <f t="shared" si="70"/>
        <v>-322585.1799999997</v>
      </c>
      <c r="Z399" s="433">
        <f t="shared" si="71"/>
        <v>0</v>
      </c>
      <c r="AC399" s="410">
        <f t="shared" si="72"/>
        <v>0</v>
      </c>
    </row>
    <row r="400" spans="1:29" s="427" customFormat="1" ht="17.25" hidden="1" customHeight="1">
      <c r="B400" s="417" t="str">
        <f>IF(A400&lt;&gt;0,COUNTA(A$19:$A400),"")</f>
        <v/>
      </c>
      <c r="C400" s="428" t="s">
        <v>1222</v>
      </c>
      <c r="D400" s="428"/>
      <c r="E400" s="435"/>
      <c r="F400" s="435"/>
      <c r="G400" s="419"/>
      <c r="H400" s="419">
        <v>264</v>
      </c>
      <c r="I400" s="419"/>
      <c r="J400" s="419"/>
      <c r="K400" s="420">
        <v>1</v>
      </c>
      <c r="L400" s="420">
        <f t="shared" si="64"/>
        <v>745983</v>
      </c>
      <c r="M400" s="420">
        <f t="shared" si="65"/>
        <v>12961619</v>
      </c>
      <c r="N400" s="445">
        <f t="shared" si="76"/>
        <v>168075.6</v>
      </c>
      <c r="O400" s="719"/>
      <c r="P400" s="719">
        <f t="shared" si="73"/>
        <v>16888564.109999999</v>
      </c>
      <c r="Q400" s="423">
        <f>SUMIF('8.Dgia'!E:E,'9.may'!E400,'8.Dgia'!P:P)</f>
        <v>0</v>
      </c>
      <c r="R400" s="429">
        <f t="shared" si="67"/>
        <v>0</v>
      </c>
      <c r="S400" s="301">
        <f t="shared" si="68"/>
        <v>216335.07000000004</v>
      </c>
      <c r="T400" s="430">
        <f t="shared" si="69"/>
        <v>13346029.67</v>
      </c>
      <c r="U400" s="431">
        <v>11165444</v>
      </c>
      <c r="V400" s="431">
        <v>745983</v>
      </c>
      <c r="W400" s="438">
        <v>12961619</v>
      </c>
      <c r="Y400" s="433">
        <f t="shared" si="70"/>
        <v>-384410.66999999993</v>
      </c>
      <c r="Z400" s="433">
        <f t="shared" si="71"/>
        <v>0</v>
      </c>
      <c r="AC400" s="410">
        <f t="shared" si="72"/>
        <v>0</v>
      </c>
    </row>
    <row r="401" spans="1:29" s="427" customFormat="1" ht="17.25" hidden="1" customHeight="1">
      <c r="B401" s="417" t="str">
        <f>IF(A401&lt;&gt;0,COUNTA(A$19:$A401),"")</f>
        <v/>
      </c>
      <c r="C401" s="428" t="s">
        <v>1223</v>
      </c>
      <c r="D401" s="428"/>
      <c r="E401" s="435"/>
      <c r="F401" s="435"/>
      <c r="G401" s="419"/>
      <c r="H401" s="419">
        <v>300</v>
      </c>
      <c r="I401" s="419"/>
      <c r="J401" s="419"/>
      <c r="K401" s="420">
        <v>1</v>
      </c>
      <c r="L401" s="420">
        <f t="shared" si="64"/>
        <v>745983</v>
      </c>
      <c r="M401" s="420">
        <f t="shared" si="65"/>
        <v>14514852</v>
      </c>
      <c r="N401" s="445">
        <f t="shared" si="76"/>
        <v>190995</v>
      </c>
      <c r="O401" s="719"/>
      <c r="P401" s="719">
        <f t="shared" si="73"/>
        <v>18915154.080000002</v>
      </c>
      <c r="Q401" s="423">
        <f>SUMIF('8.Dgia'!E:E,'9.may'!E401,'8.Dgia'!P:P)</f>
        <v>0</v>
      </c>
      <c r="R401" s="429">
        <f t="shared" si="67"/>
        <v>0</v>
      </c>
      <c r="S401" s="301">
        <f t="shared" si="68"/>
        <v>216335.07000000004</v>
      </c>
      <c r="T401" s="430">
        <f t="shared" si="69"/>
        <v>14922182.07</v>
      </c>
      <c r="U401" s="431">
        <v>12688005</v>
      </c>
      <c r="V401" s="431">
        <v>745983</v>
      </c>
      <c r="W401" s="438">
        <v>14514852</v>
      </c>
      <c r="Y401" s="433">
        <f t="shared" si="70"/>
        <v>-407330.0700000003</v>
      </c>
      <c r="Z401" s="433">
        <f t="shared" si="71"/>
        <v>0</v>
      </c>
      <c r="AC401" s="410">
        <f t="shared" si="72"/>
        <v>0</v>
      </c>
    </row>
    <row r="402" spans="1:29" s="427" customFormat="1" ht="17.25" customHeight="1">
      <c r="A402" s="410">
        <v>1</v>
      </c>
      <c r="B402" s="417">
        <f>IF(A402&lt;&gt;0,COUNTA(A$19:$A402),"")</f>
        <v>92</v>
      </c>
      <c r="C402" s="428" t="s">
        <v>1224</v>
      </c>
      <c r="D402" s="428" t="s">
        <v>1225</v>
      </c>
      <c r="E402" s="435" t="s">
        <v>1226</v>
      </c>
      <c r="F402" s="435" t="s">
        <v>4747</v>
      </c>
      <c r="G402" s="419"/>
      <c r="H402" s="419">
        <v>324</v>
      </c>
      <c r="I402" s="419"/>
      <c r="J402" s="419"/>
      <c r="K402" s="420">
        <v>1</v>
      </c>
      <c r="L402" s="420">
        <f t="shared" si="64"/>
        <v>745983</v>
      </c>
      <c r="M402" s="420">
        <f t="shared" si="65"/>
        <v>16394972</v>
      </c>
      <c r="N402" s="445">
        <f t="shared" si="76"/>
        <v>206274.6</v>
      </c>
      <c r="O402" s="719"/>
      <c r="P402" s="719">
        <f t="shared" si="73"/>
        <v>21355788.48</v>
      </c>
      <c r="Q402" s="423" t="e">
        <f>SUMIF('8.Dgia'!E:E,'9.may'!E402,'8.Dgia'!P:P)</f>
        <v>#REF!</v>
      </c>
      <c r="R402" s="429" t="e">
        <f t="shared" si="67"/>
        <v>#REF!</v>
      </c>
      <c r="S402" s="301">
        <f t="shared" si="68"/>
        <v>216335.07000000004</v>
      </c>
      <c r="T402" s="430">
        <f t="shared" si="69"/>
        <v>16817581.670000002</v>
      </c>
      <c r="U402" s="2053">
        <v>13703045</v>
      </c>
      <c r="V402" s="2053">
        <v>745983</v>
      </c>
      <c r="W402" s="2055">
        <v>16394972</v>
      </c>
      <c r="Y402" s="433">
        <f t="shared" si="70"/>
        <v>-422609.67000000179</v>
      </c>
      <c r="Z402" s="433">
        <f t="shared" si="71"/>
        <v>0</v>
      </c>
      <c r="AC402" s="410" t="e">
        <f t="shared" si="72"/>
        <v>#REF!</v>
      </c>
    </row>
    <row r="403" spans="1:29" s="427" customFormat="1" ht="17.25" customHeight="1">
      <c r="A403" s="410">
        <v>1</v>
      </c>
      <c r="B403" s="417">
        <f>IF(A403&lt;&gt;0,COUNTA(A$19:$A403),"")</f>
        <v>93</v>
      </c>
      <c r="C403" s="428" t="s">
        <v>1227</v>
      </c>
      <c r="D403" s="428" t="s">
        <v>1228</v>
      </c>
      <c r="E403" s="435" t="s">
        <v>1229</v>
      </c>
      <c r="F403" s="435" t="s">
        <v>4748</v>
      </c>
      <c r="G403" s="419"/>
      <c r="H403" s="419">
        <v>384</v>
      </c>
      <c r="I403" s="419"/>
      <c r="J403" s="419"/>
      <c r="K403" s="420">
        <v>1</v>
      </c>
      <c r="L403" s="420">
        <f t="shared" si="64"/>
        <v>745983</v>
      </c>
      <c r="M403" s="420">
        <f t="shared" si="65"/>
        <v>20322631</v>
      </c>
      <c r="N403" s="445">
        <f t="shared" si="76"/>
        <v>244473.60000000001</v>
      </c>
      <c r="O403" s="719"/>
      <c r="P403" s="719">
        <f t="shared" si="73"/>
        <v>26460667.590000004</v>
      </c>
      <c r="Q403" s="423">
        <f>SUMIF('8.Dgia'!E:E,'9.may'!E403,'8.Dgia'!P:P)</f>
        <v>0</v>
      </c>
      <c r="R403" s="429">
        <f t="shared" si="67"/>
        <v>0</v>
      </c>
      <c r="S403" s="301">
        <f t="shared" si="68"/>
        <v>216335.07000000004</v>
      </c>
      <c r="T403" s="430">
        <f t="shared" si="69"/>
        <v>20783439.670000002</v>
      </c>
      <c r="U403" s="2053">
        <v>16240646</v>
      </c>
      <c r="V403" s="2053">
        <v>745983</v>
      </c>
      <c r="W403" s="2054">
        <v>20322631</v>
      </c>
      <c r="Y403" s="433">
        <f t="shared" si="70"/>
        <v>-460808.67000000179</v>
      </c>
      <c r="Z403" s="433">
        <f t="shared" si="71"/>
        <v>0</v>
      </c>
      <c r="AC403" s="410">
        <f t="shared" si="72"/>
        <v>0</v>
      </c>
    </row>
    <row r="404" spans="1:29" s="427" customFormat="1" ht="17.25" hidden="1" customHeight="1">
      <c r="B404" s="417" t="str">
        <f>IF(A404&lt;&gt;0,COUNTA(A$19:$A404),"")</f>
        <v/>
      </c>
      <c r="C404" s="418" t="s">
        <v>1230</v>
      </c>
      <c r="D404" s="418"/>
      <c r="E404" s="435"/>
      <c r="F404" s="435"/>
      <c r="G404" s="419"/>
      <c r="H404" s="419"/>
      <c r="I404" s="419"/>
      <c r="J404" s="419"/>
      <c r="K404" s="437"/>
      <c r="L404" s="420">
        <f t="shared" ref="L404:L467" si="77">+V404</f>
        <v>0</v>
      </c>
      <c r="M404" s="420">
        <f t="shared" ref="M404:M467" si="78">+W404</f>
        <v>0</v>
      </c>
      <c r="N404" s="445"/>
      <c r="O404" s="719"/>
      <c r="P404" s="719">
        <f t="shared" si="73"/>
        <v>0</v>
      </c>
      <c r="Q404" s="423">
        <f>SUMIF('8.Dgia'!E:E,'9.may'!E404,'8.Dgia'!P:P)</f>
        <v>0</v>
      </c>
      <c r="R404" s="429">
        <f t="shared" ref="R404:R467" si="79">N404*Q404</f>
        <v>0</v>
      </c>
      <c r="S404" s="301">
        <f t="shared" ref="S404:S467" si="80">L404*($G$13-1)</f>
        <v>0</v>
      </c>
      <c r="T404" s="430">
        <f t="shared" ref="T404:T467" si="81">S404+N404+M404</f>
        <v>0</v>
      </c>
      <c r="U404" s="436"/>
      <c r="V404" s="436"/>
      <c r="W404" s="432"/>
      <c r="Y404" s="433">
        <f t="shared" ref="Y404:Y467" si="82">W404-T404</f>
        <v>0</v>
      </c>
      <c r="Z404" s="433">
        <f t="shared" ref="Z404:Z467" si="83">W404-M404</f>
        <v>0</v>
      </c>
      <c r="AC404" s="410">
        <f t="shared" ref="AC404:AC467" si="84">+P404*Q404</f>
        <v>0</v>
      </c>
    </row>
    <row r="405" spans="1:29" s="427" customFormat="1" ht="25.5">
      <c r="A405" s="410">
        <v>1</v>
      </c>
      <c r="B405" s="417">
        <f>IF(A405&lt;&gt;0,COUNTA(A$19:$A405),"")</f>
        <v>94</v>
      </c>
      <c r="C405" s="428" t="s">
        <v>1231</v>
      </c>
      <c r="D405" s="428" t="s">
        <v>1232</v>
      </c>
      <c r="E405" s="435" t="s">
        <v>1232</v>
      </c>
      <c r="F405" s="435" t="s">
        <v>4749</v>
      </c>
      <c r="G405" s="419">
        <v>57</v>
      </c>
      <c r="H405" s="419"/>
      <c r="I405" s="419"/>
      <c r="J405" s="419"/>
      <c r="K405" s="420">
        <v>1</v>
      </c>
      <c r="L405" s="420">
        <f t="shared" si="77"/>
        <v>106306</v>
      </c>
      <c r="M405" s="420">
        <f t="shared" si="78"/>
        <v>1043134</v>
      </c>
      <c r="N405" s="445">
        <f>SUMPRODUCT(G405:J405,$G$12:$J$12,$G$9:$J$9)</f>
        <v>926053.6090909089</v>
      </c>
      <c r="O405" s="719"/>
      <c r="P405" s="719">
        <f t="shared" ref="P405:P468" si="85">+N405+M405*$G$13</f>
        <v>2271696.4690909088</v>
      </c>
      <c r="Q405" s="423" t="e">
        <f>SUMIF('8.Dgia'!E:E,'9.may'!E405,'8.Dgia'!P:P)</f>
        <v>#REF!</v>
      </c>
      <c r="R405" s="429" t="e">
        <f t="shared" si="79"/>
        <v>#REF!</v>
      </c>
      <c r="S405" s="301">
        <f t="shared" si="80"/>
        <v>30828.740000000005</v>
      </c>
      <c r="T405" s="430">
        <f t="shared" si="81"/>
        <v>2000016.3490909089</v>
      </c>
      <c r="U405" s="2053">
        <v>408057</v>
      </c>
      <c r="V405" s="2053">
        <v>106306</v>
      </c>
      <c r="W405" s="2054">
        <v>1043134</v>
      </c>
      <c r="Y405" s="433">
        <f t="shared" si="82"/>
        <v>-956882.34909090889</v>
      </c>
      <c r="Z405" s="433">
        <f t="shared" si="83"/>
        <v>0</v>
      </c>
      <c r="AC405" s="410" t="e">
        <f t="shared" si="84"/>
        <v>#REF!</v>
      </c>
    </row>
    <row r="406" spans="1:29" s="427" customFormat="1" ht="17.25" hidden="1" customHeight="1">
      <c r="B406" s="417" t="str">
        <f>IF(A406&lt;&gt;0,COUNTA(A$19:$A406),"")</f>
        <v/>
      </c>
      <c r="C406" s="418" t="s">
        <v>1233</v>
      </c>
      <c r="D406" s="418"/>
      <c r="E406" s="435"/>
      <c r="F406" s="435"/>
      <c r="G406" s="419"/>
      <c r="H406" s="419"/>
      <c r="I406" s="419"/>
      <c r="J406" s="419"/>
      <c r="K406" s="420"/>
      <c r="L406" s="420">
        <f t="shared" si="77"/>
        <v>0</v>
      </c>
      <c r="M406" s="420">
        <f t="shared" si="78"/>
        <v>0</v>
      </c>
      <c r="N406" s="445"/>
      <c r="O406" s="719"/>
      <c r="P406" s="719">
        <f t="shared" si="85"/>
        <v>0</v>
      </c>
      <c r="Q406" s="423">
        <f>SUMIF('8.Dgia'!E:E,'9.may'!E406,'8.Dgia'!P:P)</f>
        <v>0</v>
      </c>
      <c r="R406" s="429">
        <f t="shared" si="79"/>
        <v>0</v>
      </c>
      <c r="S406" s="301">
        <f t="shared" si="80"/>
        <v>0</v>
      </c>
      <c r="T406" s="430">
        <f t="shared" si="81"/>
        <v>0</v>
      </c>
      <c r="U406" s="436"/>
      <c r="V406" s="436"/>
      <c r="W406" s="432"/>
      <c r="Y406" s="433">
        <f t="shared" si="82"/>
        <v>0</v>
      </c>
      <c r="Z406" s="433">
        <f t="shared" si="83"/>
        <v>0</v>
      </c>
      <c r="AC406" s="410">
        <f t="shared" si="84"/>
        <v>0</v>
      </c>
    </row>
    <row r="407" spans="1:29" s="427" customFormat="1" ht="17.25" hidden="1" customHeight="1">
      <c r="B407" s="417" t="str">
        <f>IF(A407&lt;&gt;0,COUNTA(A$19:$A407),"")</f>
        <v/>
      </c>
      <c r="C407" s="428" t="s">
        <v>1234</v>
      </c>
      <c r="D407" s="428"/>
      <c r="E407" s="435"/>
      <c r="F407" s="435"/>
      <c r="G407" s="419">
        <v>33.6</v>
      </c>
      <c r="H407" s="419"/>
      <c r="I407" s="419"/>
      <c r="J407" s="419"/>
      <c r="K407" s="420">
        <v>1</v>
      </c>
      <c r="L407" s="420">
        <f t="shared" si="77"/>
        <v>98673</v>
      </c>
      <c r="M407" s="420">
        <f t="shared" si="78"/>
        <v>900553</v>
      </c>
      <c r="N407" s="445">
        <f t="shared" ref="N407:N412" si="86">SUMPRODUCT(G407:J407,$G$12:$J$12,$G$9:$J$9)</f>
        <v>545884.23272727267</v>
      </c>
      <c r="O407" s="719"/>
      <c r="P407" s="719">
        <f t="shared" si="85"/>
        <v>1707597.6027272728</v>
      </c>
      <c r="Q407" s="423">
        <f>SUMIF('8.Dgia'!E:E,'9.may'!E407,'8.Dgia'!P:P)</f>
        <v>0</v>
      </c>
      <c r="R407" s="429">
        <f t="shared" si="79"/>
        <v>0</v>
      </c>
      <c r="S407" s="301">
        <f t="shared" si="80"/>
        <v>28615.170000000002</v>
      </c>
      <c r="T407" s="430">
        <f t="shared" si="81"/>
        <v>1475052.4027272728</v>
      </c>
      <c r="U407" s="431">
        <v>240539</v>
      </c>
      <c r="V407" s="431">
        <v>98673</v>
      </c>
      <c r="W407" s="432">
        <v>900553</v>
      </c>
      <c r="Y407" s="433">
        <f t="shared" si="82"/>
        <v>-574499.40272727283</v>
      </c>
      <c r="Z407" s="433">
        <f t="shared" si="83"/>
        <v>0</v>
      </c>
      <c r="AC407" s="410">
        <f t="shared" si="84"/>
        <v>0</v>
      </c>
    </row>
    <row r="408" spans="1:29" s="427" customFormat="1" ht="17.25" hidden="1" customHeight="1">
      <c r="B408" s="417" t="str">
        <f>IF(A408&lt;&gt;0,COUNTA(A$19:$A408),"")</f>
        <v/>
      </c>
      <c r="C408" s="428" t="s">
        <v>1235</v>
      </c>
      <c r="D408" s="428"/>
      <c r="E408" s="435"/>
      <c r="F408" s="435"/>
      <c r="G408" s="419">
        <v>50.4</v>
      </c>
      <c r="H408" s="419"/>
      <c r="I408" s="419"/>
      <c r="J408" s="419"/>
      <c r="K408" s="420">
        <v>1</v>
      </c>
      <c r="L408" s="420">
        <f t="shared" si="77"/>
        <v>98673</v>
      </c>
      <c r="M408" s="420">
        <f t="shared" si="78"/>
        <v>1056058</v>
      </c>
      <c r="N408" s="445">
        <f t="shared" si="86"/>
        <v>818826.349090909</v>
      </c>
      <c r="O408" s="719"/>
      <c r="P408" s="719">
        <f t="shared" si="85"/>
        <v>2181141.169090909</v>
      </c>
      <c r="Q408" s="423">
        <f>SUMIF('8.Dgia'!E:E,'9.may'!E408,'8.Dgia'!P:P)</f>
        <v>0</v>
      </c>
      <c r="R408" s="429">
        <f t="shared" si="79"/>
        <v>0</v>
      </c>
      <c r="S408" s="301">
        <f t="shared" si="80"/>
        <v>28615.170000000002</v>
      </c>
      <c r="T408" s="430">
        <f t="shared" si="81"/>
        <v>1903499.519090909</v>
      </c>
      <c r="U408" s="431">
        <v>360809</v>
      </c>
      <c r="V408" s="431">
        <v>98673</v>
      </c>
      <c r="W408" s="432">
        <v>1056058</v>
      </c>
      <c r="Y408" s="433">
        <f t="shared" si="82"/>
        <v>-847441.51909090905</v>
      </c>
      <c r="Z408" s="433">
        <f t="shared" si="83"/>
        <v>0</v>
      </c>
      <c r="AC408" s="410">
        <f t="shared" si="84"/>
        <v>0</v>
      </c>
    </row>
    <row r="409" spans="1:29" s="427" customFormat="1" ht="17.25" customHeight="1">
      <c r="A409" s="410">
        <v>1</v>
      </c>
      <c r="B409" s="417">
        <f>IF(A409&lt;&gt;0,COUNTA(A$19:$A409),"")</f>
        <v>95</v>
      </c>
      <c r="C409" s="428" t="s">
        <v>1236</v>
      </c>
      <c r="D409" s="428" t="s">
        <v>1237</v>
      </c>
      <c r="E409" s="435" t="s">
        <v>1238</v>
      </c>
      <c r="F409" s="435" t="s">
        <v>4750</v>
      </c>
      <c r="G409" s="419">
        <v>92.4</v>
      </c>
      <c r="H409" s="419"/>
      <c r="I409" s="419"/>
      <c r="J409" s="419"/>
      <c r="K409" s="420">
        <v>1</v>
      </c>
      <c r="L409" s="420">
        <f t="shared" si="77"/>
        <v>105458</v>
      </c>
      <c r="M409" s="420">
        <f t="shared" si="78"/>
        <v>2340271</v>
      </c>
      <c r="N409" s="445">
        <f t="shared" si="86"/>
        <v>1501181.64</v>
      </c>
      <c r="O409" s="719"/>
      <c r="P409" s="719">
        <f t="shared" si="85"/>
        <v>4520131.2299999995</v>
      </c>
      <c r="Q409" s="423">
        <f>SUMIF('8.Dgia'!E:E,'9.may'!E409,'8.Dgia'!P:P)</f>
        <v>0</v>
      </c>
      <c r="R409" s="429">
        <f t="shared" si="79"/>
        <v>0</v>
      </c>
      <c r="S409" s="301">
        <f t="shared" si="80"/>
        <v>30582.820000000003</v>
      </c>
      <c r="T409" s="430">
        <f t="shared" si="81"/>
        <v>3872035.46</v>
      </c>
      <c r="U409" s="2053">
        <v>661482</v>
      </c>
      <c r="V409" s="2053">
        <v>105458</v>
      </c>
      <c r="W409" s="2054">
        <v>2340271</v>
      </c>
      <c r="Y409" s="433">
        <f t="shared" si="82"/>
        <v>-1531764.46</v>
      </c>
      <c r="Z409" s="433">
        <f t="shared" si="83"/>
        <v>0</v>
      </c>
      <c r="AC409" s="410">
        <f t="shared" si="84"/>
        <v>0</v>
      </c>
    </row>
    <row r="410" spans="1:29" s="427" customFormat="1" ht="17.25" customHeight="1">
      <c r="A410" s="410">
        <v>1</v>
      </c>
      <c r="B410" s="417">
        <f>IF(A410&lt;&gt;0,COUNTA(A$19:$A410),"")</f>
        <v>96</v>
      </c>
      <c r="C410" s="428" t="s">
        <v>1239</v>
      </c>
      <c r="D410" s="428" t="s">
        <v>1240</v>
      </c>
      <c r="E410" s="435" t="s">
        <v>369</v>
      </c>
      <c r="F410" s="435" t="s">
        <v>4751</v>
      </c>
      <c r="G410" s="419"/>
      <c r="H410" s="419"/>
      <c r="I410" s="419"/>
      <c r="J410" s="419"/>
      <c r="K410" s="420">
        <v>1</v>
      </c>
      <c r="L410" s="420">
        <f t="shared" si="77"/>
        <v>48658</v>
      </c>
      <c r="M410" s="420">
        <f t="shared" si="78"/>
        <v>103435</v>
      </c>
      <c r="N410" s="445">
        <f t="shared" si="86"/>
        <v>0</v>
      </c>
      <c r="O410" s="719"/>
      <c r="P410" s="719">
        <f t="shared" si="85"/>
        <v>133431.15</v>
      </c>
      <c r="Q410" s="423" t="e">
        <f>SUMIF('8.Dgia'!E:E,'9.may'!E410,'8.Dgia'!P:P)</f>
        <v>#REF!</v>
      </c>
      <c r="R410" s="429" t="e">
        <f t="shared" si="79"/>
        <v>#REF!</v>
      </c>
      <c r="S410" s="301">
        <f t="shared" si="80"/>
        <v>14110.820000000002</v>
      </c>
      <c r="T410" s="430">
        <f t="shared" si="81"/>
        <v>117545.82</v>
      </c>
      <c r="U410" s="2053"/>
      <c r="V410" s="2053">
        <v>48658</v>
      </c>
      <c r="W410" s="2054">
        <v>103435</v>
      </c>
      <c r="Y410" s="433">
        <f t="shared" si="82"/>
        <v>-14110.820000000007</v>
      </c>
      <c r="Z410" s="433">
        <f t="shared" si="83"/>
        <v>0</v>
      </c>
      <c r="AC410" s="410" t="e">
        <f t="shared" si="84"/>
        <v>#REF!</v>
      </c>
    </row>
    <row r="411" spans="1:29" s="427" customFormat="1" ht="17.25" customHeight="1">
      <c r="A411" s="410">
        <v>1</v>
      </c>
      <c r="B411" s="417">
        <f>IF(A411&lt;&gt;0,COUNTA(A$19:$A411),"")</f>
        <v>97</v>
      </c>
      <c r="C411" s="428" t="s">
        <v>1241</v>
      </c>
      <c r="D411" s="428" t="s">
        <v>1241</v>
      </c>
      <c r="E411" s="435" t="s">
        <v>370</v>
      </c>
      <c r="F411" s="435" t="s">
        <v>4752</v>
      </c>
      <c r="G411" s="2058">
        <v>10.538922155688624</v>
      </c>
      <c r="H411" s="419"/>
      <c r="I411" s="419"/>
      <c r="J411" s="419"/>
      <c r="K411" s="420">
        <v>1</v>
      </c>
      <c r="L411" s="420">
        <f t="shared" si="77"/>
        <v>48658</v>
      </c>
      <c r="M411" s="420">
        <f t="shared" si="78"/>
        <v>318241</v>
      </c>
      <c r="N411" s="445">
        <f t="shared" si="86"/>
        <v>171221.17365269462</v>
      </c>
      <c r="O411" s="719"/>
      <c r="P411" s="719">
        <f t="shared" si="85"/>
        <v>581752.06365269469</v>
      </c>
      <c r="Q411" s="423" t="e">
        <f>SUMIF('8.Dgia'!E:E,'9.may'!E411,'8.Dgia'!P:P)</f>
        <v>#REF!</v>
      </c>
      <c r="R411" s="429" t="e">
        <f t="shared" si="79"/>
        <v>#REF!</v>
      </c>
      <c r="S411" s="301">
        <f t="shared" si="80"/>
        <v>14110.820000000002</v>
      </c>
      <c r="T411" s="430">
        <f t="shared" si="81"/>
        <v>503572.99365269463</v>
      </c>
      <c r="U411" s="2053">
        <v>75455</v>
      </c>
      <c r="V411" s="2053">
        <v>48658</v>
      </c>
      <c r="W411" s="2054">
        <v>318241</v>
      </c>
      <c r="Y411" s="433">
        <f t="shared" si="82"/>
        <v>-185331.99365269463</v>
      </c>
      <c r="Z411" s="433">
        <f t="shared" si="83"/>
        <v>0</v>
      </c>
      <c r="AC411" s="410" t="e">
        <f t="shared" si="84"/>
        <v>#REF!</v>
      </c>
    </row>
    <row r="412" spans="1:29" s="427" customFormat="1" ht="17.25" customHeight="1">
      <c r="A412" s="410">
        <v>1</v>
      </c>
      <c r="B412" s="417">
        <f>IF(A412&lt;&gt;0,COUNTA(A$19:$A412),"")</f>
        <v>98</v>
      </c>
      <c r="C412" s="428" t="s">
        <v>1242</v>
      </c>
      <c r="D412" s="428" t="s">
        <v>1242</v>
      </c>
      <c r="E412" s="435" t="s">
        <v>451</v>
      </c>
      <c r="F412" s="435" t="s">
        <v>4753</v>
      </c>
      <c r="G412" s="419"/>
      <c r="H412" s="419"/>
      <c r="I412" s="419"/>
      <c r="J412" s="419"/>
      <c r="K412" s="420">
        <v>1</v>
      </c>
      <c r="L412" s="420">
        <f t="shared" si="77"/>
        <v>48658</v>
      </c>
      <c r="M412" s="420">
        <f t="shared" si="78"/>
        <v>54949</v>
      </c>
      <c r="N412" s="445">
        <f t="shared" si="86"/>
        <v>0</v>
      </c>
      <c r="O412" s="719"/>
      <c r="P412" s="719">
        <f t="shared" si="85"/>
        <v>70884.210000000006</v>
      </c>
      <c r="Q412" s="423" t="e">
        <f>SUMIF('8.Dgia'!E:E,'9.may'!E412,'8.Dgia'!P:P)</f>
        <v>#REF!</v>
      </c>
      <c r="R412" s="429" t="e">
        <f t="shared" si="79"/>
        <v>#REF!</v>
      </c>
      <c r="S412" s="301">
        <f t="shared" si="80"/>
        <v>14110.820000000002</v>
      </c>
      <c r="T412" s="430">
        <f t="shared" si="81"/>
        <v>69059.820000000007</v>
      </c>
      <c r="U412" s="2053"/>
      <c r="V412" s="2053">
        <v>48658</v>
      </c>
      <c r="W412" s="2054">
        <v>54949</v>
      </c>
      <c r="Y412" s="433">
        <f t="shared" si="82"/>
        <v>-14110.820000000007</v>
      </c>
      <c r="Z412" s="433">
        <f t="shared" si="83"/>
        <v>0</v>
      </c>
      <c r="AC412" s="410" t="e">
        <f t="shared" si="84"/>
        <v>#REF!</v>
      </c>
    </row>
    <row r="413" spans="1:29" s="427" customFormat="1" ht="17.25" hidden="1" customHeight="1">
      <c r="B413" s="417" t="str">
        <f>IF(A413&lt;&gt;0,COUNTA(A$19:$A413),"")</f>
        <v/>
      </c>
      <c r="C413" s="418" t="s">
        <v>1243</v>
      </c>
      <c r="D413" s="418"/>
      <c r="E413" s="435"/>
      <c r="F413" s="435"/>
      <c r="G413" s="419"/>
      <c r="H413" s="419"/>
      <c r="I413" s="419"/>
      <c r="J413" s="419"/>
      <c r="K413" s="437"/>
      <c r="L413" s="420">
        <f t="shared" si="77"/>
        <v>0</v>
      </c>
      <c r="M413" s="420">
        <f t="shared" si="78"/>
        <v>0</v>
      </c>
      <c r="N413" s="445"/>
      <c r="O413" s="719"/>
      <c r="P413" s="719">
        <f t="shared" si="85"/>
        <v>0</v>
      </c>
      <c r="Q413" s="423">
        <f>SUMIF('8.Dgia'!E:E,'9.may'!E413,'8.Dgia'!P:P)</f>
        <v>0</v>
      </c>
      <c r="R413" s="429">
        <f t="shared" si="79"/>
        <v>0</v>
      </c>
      <c r="S413" s="301">
        <f t="shared" si="80"/>
        <v>0</v>
      </c>
      <c r="T413" s="430">
        <f t="shared" si="81"/>
        <v>0</v>
      </c>
      <c r="U413" s="436"/>
      <c r="V413" s="436"/>
      <c r="W413" s="432"/>
      <c r="Y413" s="433">
        <f t="shared" si="82"/>
        <v>0</v>
      </c>
      <c r="Z413" s="433">
        <f t="shared" si="83"/>
        <v>0</v>
      </c>
      <c r="AC413" s="410">
        <f t="shared" si="84"/>
        <v>0</v>
      </c>
    </row>
    <row r="414" spans="1:29" s="427" customFormat="1" ht="17.25" hidden="1" customHeight="1">
      <c r="B414" s="417" t="str">
        <f>IF(A414&lt;&gt;0,COUNTA(A$19:$A414),"")</f>
        <v/>
      </c>
      <c r="C414" s="428" t="s">
        <v>1244</v>
      </c>
      <c r="D414" s="428"/>
      <c r="E414" s="435"/>
      <c r="F414" s="435"/>
      <c r="G414" s="419"/>
      <c r="H414" s="419">
        <v>1.4850000000000001</v>
      </c>
      <c r="I414" s="419"/>
      <c r="J414" s="419"/>
      <c r="K414" s="420">
        <v>1</v>
      </c>
      <c r="L414" s="420">
        <f t="shared" si="77"/>
        <v>41873</v>
      </c>
      <c r="M414" s="420">
        <f t="shared" si="78"/>
        <v>44683</v>
      </c>
      <c r="N414" s="445">
        <f t="shared" ref="N414:N433" si="87">SUMPRODUCT(G414:J414,$G$12:$J$12,$G$9:$J$9)</f>
        <v>945.42525000000012</v>
      </c>
      <c r="O414" s="719"/>
      <c r="P414" s="719">
        <f t="shared" si="85"/>
        <v>58586.49525</v>
      </c>
      <c r="Q414" s="423">
        <f>SUMIF('8.Dgia'!E:E,'9.may'!E414,'8.Dgia'!P:P)</f>
        <v>0</v>
      </c>
      <c r="R414" s="429">
        <f t="shared" si="79"/>
        <v>0</v>
      </c>
      <c r="S414" s="301">
        <f t="shared" si="80"/>
        <v>12143.170000000002</v>
      </c>
      <c r="T414" s="430">
        <f t="shared" si="81"/>
        <v>57771.595249999998</v>
      </c>
      <c r="U414" s="431">
        <v>1427</v>
      </c>
      <c r="V414" s="431">
        <v>41873</v>
      </c>
      <c r="W414" s="432">
        <v>44683</v>
      </c>
      <c r="Y414" s="433">
        <f t="shared" si="82"/>
        <v>-13088.595249999998</v>
      </c>
      <c r="Z414" s="433">
        <f t="shared" si="83"/>
        <v>0</v>
      </c>
      <c r="AC414" s="410">
        <f t="shared" si="84"/>
        <v>0</v>
      </c>
    </row>
    <row r="415" spans="1:29" s="427" customFormat="1" ht="17.25" hidden="1" customHeight="1">
      <c r="B415" s="417" t="str">
        <f>IF(A415&lt;&gt;0,COUNTA(A$19:$A415),"")</f>
        <v/>
      </c>
      <c r="C415" s="428" t="s">
        <v>1245</v>
      </c>
      <c r="D415" s="428"/>
      <c r="E415" s="435"/>
      <c r="F415" s="435"/>
      <c r="G415" s="419"/>
      <c r="H415" s="419">
        <v>2.0249999999999999</v>
      </c>
      <c r="I415" s="419"/>
      <c r="J415" s="419"/>
      <c r="K415" s="420">
        <v>1</v>
      </c>
      <c r="L415" s="420">
        <f t="shared" si="77"/>
        <v>41873</v>
      </c>
      <c r="M415" s="420">
        <f t="shared" si="78"/>
        <v>45459</v>
      </c>
      <c r="N415" s="445">
        <f t="shared" si="87"/>
        <v>1289.2162500000002</v>
      </c>
      <c r="O415" s="719"/>
      <c r="P415" s="719">
        <f t="shared" si="85"/>
        <v>59931.326249999998</v>
      </c>
      <c r="Q415" s="423">
        <f>SUMIF('8.Dgia'!E:E,'9.may'!E415,'8.Dgia'!P:P)</f>
        <v>0</v>
      </c>
      <c r="R415" s="429">
        <f t="shared" si="79"/>
        <v>0</v>
      </c>
      <c r="S415" s="301">
        <f t="shared" si="80"/>
        <v>12143.170000000002</v>
      </c>
      <c r="T415" s="430">
        <f t="shared" si="81"/>
        <v>58891.386250000003</v>
      </c>
      <c r="U415" s="431">
        <v>1944</v>
      </c>
      <c r="V415" s="431">
        <v>41873</v>
      </c>
      <c r="W415" s="432">
        <v>45459</v>
      </c>
      <c r="Y415" s="433">
        <f t="shared" si="82"/>
        <v>-13432.386250000003</v>
      </c>
      <c r="Z415" s="433">
        <f t="shared" si="83"/>
        <v>0</v>
      </c>
      <c r="AC415" s="410">
        <f t="shared" si="84"/>
        <v>0</v>
      </c>
    </row>
    <row r="416" spans="1:29" s="427" customFormat="1" ht="17.25" customHeight="1">
      <c r="A416" s="410">
        <v>1</v>
      </c>
      <c r="B416" s="417">
        <f>IF(A416&lt;&gt;0,COUNTA(A$19:$A416),"")</f>
        <v>99</v>
      </c>
      <c r="C416" s="428" t="s">
        <v>1246</v>
      </c>
      <c r="D416" s="428" t="s">
        <v>1247</v>
      </c>
      <c r="E416" s="435" t="s">
        <v>1248</v>
      </c>
      <c r="F416" s="435" t="s">
        <v>4754</v>
      </c>
      <c r="G416" s="419"/>
      <c r="H416" s="419">
        <v>2.97</v>
      </c>
      <c r="I416" s="419"/>
      <c r="J416" s="419"/>
      <c r="K416" s="420">
        <v>1</v>
      </c>
      <c r="L416" s="420">
        <f t="shared" si="77"/>
        <v>41873</v>
      </c>
      <c r="M416" s="420">
        <f t="shared" si="78"/>
        <v>46952</v>
      </c>
      <c r="N416" s="445">
        <f t="shared" si="87"/>
        <v>1890.8505000000002</v>
      </c>
      <c r="O416" s="719"/>
      <c r="P416" s="719">
        <f t="shared" si="85"/>
        <v>62458.930500000002</v>
      </c>
      <c r="Q416" s="423" t="e">
        <f>SUMIF('8.Dgia'!E:E,'9.may'!E416,'8.Dgia'!P:P)</f>
        <v>#REF!</v>
      </c>
      <c r="R416" s="429" t="e">
        <f t="shared" si="79"/>
        <v>#REF!</v>
      </c>
      <c r="S416" s="301">
        <f t="shared" si="80"/>
        <v>12143.170000000002</v>
      </c>
      <c r="T416" s="430">
        <f t="shared" si="81"/>
        <v>60986.020499999999</v>
      </c>
      <c r="U416" s="2053">
        <v>2844</v>
      </c>
      <c r="V416" s="2053">
        <v>41873</v>
      </c>
      <c r="W416" s="2054">
        <v>46952</v>
      </c>
      <c r="Y416" s="433">
        <f t="shared" si="82"/>
        <v>-14034.020499999999</v>
      </c>
      <c r="Z416" s="433">
        <f t="shared" si="83"/>
        <v>0</v>
      </c>
      <c r="AC416" s="410" t="e">
        <f t="shared" si="84"/>
        <v>#REF!</v>
      </c>
    </row>
    <row r="417" spans="1:29" s="427" customFormat="1" ht="17.25" hidden="1" customHeight="1">
      <c r="B417" s="417" t="str">
        <f>IF(A417&lt;&gt;0,COUNTA(A$19:$A417),"")</f>
        <v/>
      </c>
      <c r="C417" s="428" t="s">
        <v>1249</v>
      </c>
      <c r="D417" s="428"/>
      <c r="E417" s="435"/>
      <c r="F417" s="435"/>
      <c r="G417" s="419"/>
      <c r="H417" s="419">
        <v>4.05</v>
      </c>
      <c r="I417" s="419"/>
      <c r="J417" s="419"/>
      <c r="K417" s="420">
        <v>1</v>
      </c>
      <c r="L417" s="420">
        <f t="shared" si="77"/>
        <v>41873</v>
      </c>
      <c r="M417" s="420">
        <f t="shared" si="78"/>
        <v>47826</v>
      </c>
      <c r="N417" s="445">
        <f t="shared" si="87"/>
        <v>2578.4325000000003</v>
      </c>
      <c r="O417" s="719"/>
      <c r="P417" s="719">
        <f t="shared" si="85"/>
        <v>64273.972500000003</v>
      </c>
      <c r="Q417" s="423">
        <f>SUMIF('8.Dgia'!E:E,'9.may'!E417,'8.Dgia'!P:P)</f>
        <v>0</v>
      </c>
      <c r="R417" s="429">
        <f t="shared" si="79"/>
        <v>0</v>
      </c>
      <c r="S417" s="301">
        <f t="shared" si="80"/>
        <v>12143.170000000002</v>
      </c>
      <c r="T417" s="430">
        <f t="shared" si="81"/>
        <v>62547.602500000001</v>
      </c>
      <c r="U417" s="431">
        <v>3878</v>
      </c>
      <c r="V417" s="431">
        <v>41873</v>
      </c>
      <c r="W417" s="432">
        <v>47826</v>
      </c>
      <c r="Y417" s="433">
        <f t="shared" si="82"/>
        <v>-14721.602500000001</v>
      </c>
      <c r="Z417" s="433">
        <f t="shared" si="83"/>
        <v>0</v>
      </c>
      <c r="AC417" s="410">
        <f t="shared" si="84"/>
        <v>0</v>
      </c>
    </row>
    <row r="418" spans="1:29" s="427" customFormat="1" ht="17.25" hidden="1" customHeight="1">
      <c r="B418" s="417" t="str">
        <f>IF(A418&lt;&gt;0,COUNTA(A$19:$A418),"")</f>
        <v/>
      </c>
      <c r="C418" s="428" t="s">
        <v>1250</v>
      </c>
      <c r="D418" s="428" t="s">
        <v>1251</v>
      </c>
      <c r="E418" s="435"/>
      <c r="F418" s="435"/>
      <c r="G418" s="419"/>
      <c r="H418" s="419">
        <v>5.4</v>
      </c>
      <c r="I418" s="419"/>
      <c r="J418" s="419"/>
      <c r="K418" s="420">
        <v>1</v>
      </c>
      <c r="L418" s="420">
        <f t="shared" si="77"/>
        <v>41873</v>
      </c>
      <c r="M418" s="420">
        <f t="shared" si="78"/>
        <v>49205</v>
      </c>
      <c r="N418" s="445">
        <f t="shared" si="87"/>
        <v>3437.9100000000003</v>
      </c>
      <c r="O418" s="719"/>
      <c r="P418" s="719">
        <f t="shared" si="85"/>
        <v>66912.36</v>
      </c>
      <c r="Q418" s="423">
        <f>SUMIF('8.Dgia'!E:E,'9.may'!E418,'8.Dgia'!P:P)</f>
        <v>0</v>
      </c>
      <c r="R418" s="429">
        <f t="shared" si="79"/>
        <v>0</v>
      </c>
      <c r="S418" s="301">
        <f t="shared" si="80"/>
        <v>12143.170000000002</v>
      </c>
      <c r="T418" s="430">
        <f t="shared" si="81"/>
        <v>64786.080000000002</v>
      </c>
      <c r="U418" s="431">
        <v>5171</v>
      </c>
      <c r="V418" s="431">
        <v>41873</v>
      </c>
      <c r="W418" s="432">
        <v>49205</v>
      </c>
      <c r="Y418" s="433">
        <f t="shared" si="82"/>
        <v>-15581.080000000002</v>
      </c>
      <c r="Z418" s="433">
        <f t="shared" si="83"/>
        <v>0</v>
      </c>
      <c r="AC418" s="410">
        <f t="shared" si="84"/>
        <v>0</v>
      </c>
    </row>
    <row r="419" spans="1:29" s="427" customFormat="1" ht="17.25" hidden="1" customHeight="1">
      <c r="B419" s="417" t="str">
        <f>IF(A419&lt;&gt;0,COUNTA(A$19:$A419),"")</f>
        <v/>
      </c>
      <c r="C419" s="428" t="s">
        <v>1252</v>
      </c>
      <c r="D419" s="428"/>
      <c r="E419" s="435"/>
      <c r="F419" s="435"/>
      <c r="G419" s="419"/>
      <c r="H419" s="419">
        <v>7.56</v>
      </c>
      <c r="I419" s="419"/>
      <c r="J419" s="419"/>
      <c r="K419" s="420">
        <v>1</v>
      </c>
      <c r="L419" s="420">
        <f t="shared" si="77"/>
        <v>41873</v>
      </c>
      <c r="M419" s="420">
        <f t="shared" si="78"/>
        <v>51368</v>
      </c>
      <c r="N419" s="445">
        <f t="shared" si="87"/>
        <v>4813.0740000000005</v>
      </c>
      <c r="O419" s="719"/>
      <c r="P419" s="719">
        <f t="shared" si="85"/>
        <v>71077.793999999994</v>
      </c>
      <c r="Q419" s="423">
        <f>SUMIF('8.Dgia'!E:E,'9.may'!E419,'8.Dgia'!P:P)</f>
        <v>0</v>
      </c>
      <c r="R419" s="429">
        <f t="shared" si="79"/>
        <v>0</v>
      </c>
      <c r="S419" s="301">
        <f t="shared" si="80"/>
        <v>12143.170000000002</v>
      </c>
      <c r="T419" s="430">
        <f t="shared" si="81"/>
        <v>68324.244000000006</v>
      </c>
      <c r="U419" s="431">
        <v>7240</v>
      </c>
      <c r="V419" s="431">
        <v>41873</v>
      </c>
      <c r="W419" s="432">
        <v>51368</v>
      </c>
      <c r="Y419" s="433">
        <f t="shared" si="82"/>
        <v>-16956.244000000006</v>
      </c>
      <c r="Z419" s="433">
        <f t="shared" si="83"/>
        <v>0</v>
      </c>
      <c r="AC419" s="410">
        <f t="shared" si="84"/>
        <v>0</v>
      </c>
    </row>
    <row r="420" spans="1:29" s="427" customFormat="1" ht="17.25" hidden="1" customHeight="1">
      <c r="B420" s="417" t="str">
        <f>IF(A420&lt;&gt;0,COUNTA(A$19:$A420),"")</f>
        <v/>
      </c>
      <c r="C420" s="428" t="s">
        <v>1253</v>
      </c>
      <c r="D420" s="428"/>
      <c r="E420" s="435"/>
      <c r="F420" s="435"/>
      <c r="G420" s="419"/>
      <c r="H420" s="419">
        <v>10.8</v>
      </c>
      <c r="I420" s="419"/>
      <c r="J420" s="419"/>
      <c r="K420" s="420">
        <v>1</v>
      </c>
      <c r="L420" s="420">
        <f t="shared" si="77"/>
        <v>41873</v>
      </c>
      <c r="M420" s="420">
        <f t="shared" si="78"/>
        <v>56099</v>
      </c>
      <c r="N420" s="445">
        <f t="shared" si="87"/>
        <v>6875.8200000000006</v>
      </c>
      <c r="O420" s="719"/>
      <c r="P420" s="719">
        <f t="shared" si="85"/>
        <v>79243.530000000013</v>
      </c>
      <c r="Q420" s="423">
        <f>SUMIF('8.Dgia'!E:E,'9.may'!E420,'8.Dgia'!P:P)</f>
        <v>0</v>
      </c>
      <c r="R420" s="429">
        <f t="shared" si="79"/>
        <v>0</v>
      </c>
      <c r="S420" s="301">
        <f t="shared" si="80"/>
        <v>12143.170000000002</v>
      </c>
      <c r="T420" s="430">
        <f t="shared" si="81"/>
        <v>75117.990000000005</v>
      </c>
      <c r="U420" s="431">
        <v>10343</v>
      </c>
      <c r="V420" s="431">
        <v>41873</v>
      </c>
      <c r="W420" s="432">
        <v>56099</v>
      </c>
      <c r="Y420" s="433">
        <f t="shared" si="82"/>
        <v>-19018.990000000005</v>
      </c>
      <c r="Z420" s="433">
        <f t="shared" si="83"/>
        <v>0</v>
      </c>
      <c r="AC420" s="410">
        <f t="shared" si="84"/>
        <v>0</v>
      </c>
    </row>
    <row r="421" spans="1:29" s="427" customFormat="1" ht="17.25" hidden="1" customHeight="1">
      <c r="B421" s="417" t="str">
        <f>IF(A421&lt;&gt;0,COUNTA(A$19:$A421),"")</f>
        <v/>
      </c>
      <c r="C421" s="428" t="s">
        <v>1254</v>
      </c>
      <c r="D421" s="428"/>
      <c r="E421" s="435"/>
      <c r="F421" s="435"/>
      <c r="G421" s="419"/>
      <c r="H421" s="419">
        <v>12.15</v>
      </c>
      <c r="I421" s="419"/>
      <c r="J421" s="419"/>
      <c r="K421" s="420">
        <v>1</v>
      </c>
      <c r="L421" s="420">
        <f t="shared" si="77"/>
        <v>41873</v>
      </c>
      <c r="M421" s="420">
        <f t="shared" si="78"/>
        <v>58363</v>
      </c>
      <c r="N421" s="445">
        <f t="shared" si="87"/>
        <v>7735.2975000000006</v>
      </c>
      <c r="O421" s="719"/>
      <c r="P421" s="719">
        <f t="shared" si="85"/>
        <v>83023.567500000005</v>
      </c>
      <c r="Q421" s="423">
        <f>SUMIF('8.Dgia'!E:E,'9.may'!E421,'8.Dgia'!P:P)</f>
        <v>0</v>
      </c>
      <c r="R421" s="429">
        <f t="shared" si="79"/>
        <v>0</v>
      </c>
      <c r="S421" s="301">
        <f t="shared" si="80"/>
        <v>12143.170000000002</v>
      </c>
      <c r="T421" s="430">
        <f t="shared" si="81"/>
        <v>78241.467499999999</v>
      </c>
      <c r="U421" s="431">
        <v>11635</v>
      </c>
      <c r="V421" s="431">
        <v>41873</v>
      </c>
      <c r="W421" s="432">
        <v>58363</v>
      </c>
      <c r="Y421" s="433">
        <f t="shared" si="82"/>
        <v>-19878.467499999999</v>
      </c>
      <c r="Z421" s="433">
        <f t="shared" si="83"/>
        <v>0</v>
      </c>
      <c r="AC421" s="410">
        <f t="shared" si="84"/>
        <v>0</v>
      </c>
    </row>
    <row r="422" spans="1:29" s="427" customFormat="1" ht="17.25" customHeight="1">
      <c r="A422" s="410">
        <v>1</v>
      </c>
      <c r="B422" s="417">
        <f>IF(A422&lt;&gt;0,COUNTA(A$19:$A422),"")</f>
        <v>100</v>
      </c>
      <c r="C422" s="428" t="s">
        <v>1255</v>
      </c>
      <c r="D422" s="428"/>
      <c r="E422" s="435" t="s">
        <v>1983</v>
      </c>
      <c r="F422" s="435" t="s">
        <v>4755</v>
      </c>
      <c r="G422" s="419"/>
      <c r="H422" s="419">
        <v>16.8</v>
      </c>
      <c r="I422" s="419"/>
      <c r="J422" s="419"/>
      <c r="K422" s="420">
        <v>1</v>
      </c>
      <c r="L422" s="420">
        <f t="shared" si="77"/>
        <v>41873</v>
      </c>
      <c r="M422" s="420">
        <f t="shared" si="78"/>
        <v>67947</v>
      </c>
      <c r="N422" s="445">
        <f t="shared" si="87"/>
        <v>10695.720000000001</v>
      </c>
      <c r="O422" s="719"/>
      <c r="P422" s="719">
        <f t="shared" si="85"/>
        <v>98347.35</v>
      </c>
      <c r="Q422" s="423">
        <f>SUMIF('8.Dgia'!E:E,'9.may'!E422,'8.Dgia'!P:P)</f>
        <v>0</v>
      </c>
      <c r="R422" s="429">
        <f t="shared" si="79"/>
        <v>0</v>
      </c>
      <c r="S422" s="301">
        <f t="shared" si="80"/>
        <v>12143.170000000002</v>
      </c>
      <c r="T422" s="430">
        <f t="shared" si="81"/>
        <v>90785.89</v>
      </c>
      <c r="U422" s="2053">
        <v>16089</v>
      </c>
      <c r="V422" s="2053">
        <v>41873</v>
      </c>
      <c r="W422" s="2054">
        <v>67947</v>
      </c>
      <c r="Y422" s="433">
        <f t="shared" si="82"/>
        <v>-22838.89</v>
      </c>
      <c r="Z422" s="433">
        <f t="shared" si="83"/>
        <v>0</v>
      </c>
      <c r="AC422" s="410">
        <f t="shared" si="84"/>
        <v>0</v>
      </c>
    </row>
    <row r="423" spans="1:29" s="427" customFormat="1" ht="17.25" hidden="1" customHeight="1">
      <c r="B423" s="417" t="str">
        <f>IF(A423&lt;&gt;0,COUNTA(A$19:$A423),"")</f>
        <v/>
      </c>
      <c r="C423" s="428" t="s">
        <v>1256</v>
      </c>
      <c r="D423" s="428"/>
      <c r="E423" s="435"/>
      <c r="F423" s="435"/>
      <c r="G423" s="419"/>
      <c r="H423" s="419">
        <v>24</v>
      </c>
      <c r="I423" s="419"/>
      <c r="J423" s="419"/>
      <c r="K423" s="420">
        <v>1</v>
      </c>
      <c r="L423" s="420">
        <f t="shared" si="77"/>
        <v>48658</v>
      </c>
      <c r="M423" s="420">
        <f t="shared" si="78"/>
        <v>85250</v>
      </c>
      <c r="N423" s="445">
        <f t="shared" si="87"/>
        <v>15279.6</v>
      </c>
      <c r="O423" s="719"/>
      <c r="P423" s="719">
        <f t="shared" si="85"/>
        <v>125252.1</v>
      </c>
      <c r="Q423" s="423">
        <f>SUMIF('8.Dgia'!E:E,'9.may'!E423,'8.Dgia'!P:P)</f>
        <v>0</v>
      </c>
      <c r="R423" s="429">
        <f t="shared" si="79"/>
        <v>0</v>
      </c>
      <c r="S423" s="301">
        <f t="shared" si="80"/>
        <v>14110.820000000002</v>
      </c>
      <c r="T423" s="430">
        <f t="shared" si="81"/>
        <v>114640.42</v>
      </c>
      <c r="U423" s="431">
        <v>22984</v>
      </c>
      <c r="V423" s="431">
        <v>48658</v>
      </c>
      <c r="W423" s="432">
        <v>85250</v>
      </c>
      <c r="Y423" s="433">
        <f t="shared" si="82"/>
        <v>-29390.42</v>
      </c>
      <c r="Z423" s="433">
        <f t="shared" si="83"/>
        <v>0</v>
      </c>
      <c r="AC423" s="410">
        <f t="shared" si="84"/>
        <v>0</v>
      </c>
    </row>
    <row r="424" spans="1:29" s="427" customFormat="1" ht="17.25" hidden="1" customHeight="1">
      <c r="B424" s="417" t="str">
        <f>IF(A424&lt;&gt;0,COUNTA(A$19:$A424),"")</f>
        <v/>
      </c>
      <c r="C424" s="428" t="s">
        <v>1257</v>
      </c>
      <c r="D424" s="428"/>
      <c r="E424" s="435"/>
      <c r="F424" s="435"/>
      <c r="G424" s="419"/>
      <c r="H424" s="419">
        <v>33.6</v>
      </c>
      <c r="I424" s="419"/>
      <c r="J424" s="419"/>
      <c r="K424" s="420">
        <v>1</v>
      </c>
      <c r="L424" s="420">
        <f t="shared" si="77"/>
        <v>48658</v>
      </c>
      <c r="M424" s="420">
        <f t="shared" si="78"/>
        <v>101911</v>
      </c>
      <c r="N424" s="445">
        <f t="shared" si="87"/>
        <v>21391.440000000002</v>
      </c>
      <c r="O424" s="719"/>
      <c r="P424" s="719">
        <f t="shared" si="85"/>
        <v>152856.63</v>
      </c>
      <c r="Q424" s="423">
        <f>SUMIF('8.Dgia'!E:E,'9.may'!E424,'8.Dgia'!P:P)</f>
        <v>0</v>
      </c>
      <c r="R424" s="429">
        <f t="shared" si="79"/>
        <v>0</v>
      </c>
      <c r="S424" s="301">
        <f t="shared" si="80"/>
        <v>14110.820000000002</v>
      </c>
      <c r="T424" s="430">
        <f t="shared" si="81"/>
        <v>137413.26</v>
      </c>
      <c r="U424" s="431">
        <v>32177</v>
      </c>
      <c r="V424" s="431">
        <v>48658</v>
      </c>
      <c r="W424" s="432">
        <v>101911</v>
      </c>
      <c r="Y424" s="433">
        <f t="shared" si="82"/>
        <v>-35502.260000000009</v>
      </c>
      <c r="Z424" s="433">
        <f t="shared" si="83"/>
        <v>0</v>
      </c>
      <c r="AC424" s="410">
        <f t="shared" si="84"/>
        <v>0</v>
      </c>
    </row>
    <row r="425" spans="1:29" s="427" customFormat="1" ht="17.25" customHeight="1">
      <c r="A425" s="410">
        <v>1</v>
      </c>
      <c r="B425" s="417">
        <f>IF(A425&lt;&gt;0,COUNTA(A$19:$A425),"")</f>
        <v>101</v>
      </c>
      <c r="C425" s="428" t="s">
        <v>1258</v>
      </c>
      <c r="D425" s="428" t="s">
        <v>1259</v>
      </c>
      <c r="E425" s="435" t="s">
        <v>1260</v>
      </c>
      <c r="F425" s="435" t="s">
        <v>4756</v>
      </c>
      <c r="G425" s="419"/>
      <c r="H425" s="419">
        <v>48</v>
      </c>
      <c r="I425" s="419"/>
      <c r="J425" s="419"/>
      <c r="K425" s="420">
        <v>1</v>
      </c>
      <c r="L425" s="420">
        <f t="shared" si="77"/>
        <v>48658</v>
      </c>
      <c r="M425" s="420">
        <f t="shared" si="78"/>
        <v>133747</v>
      </c>
      <c r="N425" s="445">
        <f t="shared" si="87"/>
        <v>30559.200000000001</v>
      </c>
      <c r="O425" s="719"/>
      <c r="P425" s="719">
        <f t="shared" si="85"/>
        <v>203092.83000000002</v>
      </c>
      <c r="Q425" s="423" t="e">
        <f>SUMIF('8.Dgia'!E:E,'9.may'!E425,'8.Dgia'!P:P)</f>
        <v>#REF!</v>
      </c>
      <c r="R425" s="429" t="e">
        <f t="shared" si="79"/>
        <v>#REF!</v>
      </c>
      <c r="S425" s="301">
        <f t="shared" si="80"/>
        <v>14110.820000000002</v>
      </c>
      <c r="T425" s="430">
        <f t="shared" si="81"/>
        <v>178417.02000000002</v>
      </c>
      <c r="U425" s="2053">
        <v>45967</v>
      </c>
      <c r="V425" s="2053">
        <v>48658</v>
      </c>
      <c r="W425" s="2054">
        <v>133747</v>
      </c>
      <c r="Y425" s="433">
        <f t="shared" si="82"/>
        <v>-44670.020000000019</v>
      </c>
      <c r="Z425" s="433">
        <f t="shared" si="83"/>
        <v>0</v>
      </c>
      <c r="AC425" s="410" t="e">
        <f t="shared" si="84"/>
        <v>#REF!</v>
      </c>
    </row>
    <row r="426" spans="1:29" s="427" customFormat="1" ht="17.25" hidden="1" customHeight="1">
      <c r="B426" s="417" t="str">
        <f>IF(A426&lt;&gt;0,COUNTA(A$19:$A426),"")</f>
        <v/>
      </c>
      <c r="C426" s="428" t="s">
        <v>1261</v>
      </c>
      <c r="D426" s="428"/>
      <c r="E426" s="435"/>
      <c r="F426" s="435"/>
      <c r="G426" s="419"/>
      <c r="H426" s="419">
        <v>52.8</v>
      </c>
      <c r="I426" s="419"/>
      <c r="J426" s="419"/>
      <c r="K426" s="420">
        <v>1</v>
      </c>
      <c r="L426" s="420">
        <f t="shared" si="77"/>
        <v>48658</v>
      </c>
      <c r="M426" s="420">
        <f t="shared" si="78"/>
        <v>140086</v>
      </c>
      <c r="N426" s="445">
        <f t="shared" si="87"/>
        <v>33615.120000000003</v>
      </c>
      <c r="O426" s="719"/>
      <c r="P426" s="719">
        <f t="shared" si="85"/>
        <v>214326.06</v>
      </c>
      <c r="Q426" s="423">
        <f>SUMIF('8.Dgia'!E:E,'9.may'!E426,'8.Dgia'!P:P)</f>
        <v>0</v>
      </c>
      <c r="R426" s="429">
        <f t="shared" si="79"/>
        <v>0</v>
      </c>
      <c r="S426" s="301">
        <f t="shared" si="80"/>
        <v>14110.820000000002</v>
      </c>
      <c r="T426" s="430">
        <f t="shared" si="81"/>
        <v>187811.94</v>
      </c>
      <c r="U426" s="431">
        <v>50564</v>
      </c>
      <c r="V426" s="431">
        <v>48658</v>
      </c>
      <c r="W426" s="432">
        <v>140086</v>
      </c>
      <c r="Y426" s="433">
        <f t="shared" si="82"/>
        <v>-47725.94</v>
      </c>
      <c r="Z426" s="433">
        <f t="shared" si="83"/>
        <v>0</v>
      </c>
      <c r="AC426" s="410">
        <f t="shared" si="84"/>
        <v>0</v>
      </c>
    </row>
    <row r="427" spans="1:29" s="427" customFormat="1" ht="17.25" hidden="1" customHeight="1">
      <c r="B427" s="417" t="str">
        <f>IF(A427&lt;&gt;0,COUNTA(A$19:$A427),"")</f>
        <v/>
      </c>
      <c r="C427" s="428" t="s">
        <v>1262</v>
      </c>
      <c r="D427" s="428"/>
      <c r="E427" s="435"/>
      <c r="F427" s="435"/>
      <c r="G427" s="419"/>
      <c r="H427" s="419">
        <v>67.2</v>
      </c>
      <c r="I427" s="419"/>
      <c r="J427" s="419"/>
      <c r="K427" s="420">
        <v>1</v>
      </c>
      <c r="L427" s="420">
        <f t="shared" si="77"/>
        <v>48658</v>
      </c>
      <c r="M427" s="420">
        <f t="shared" si="78"/>
        <v>159077</v>
      </c>
      <c r="N427" s="445">
        <f t="shared" si="87"/>
        <v>42782.880000000005</v>
      </c>
      <c r="O427" s="719"/>
      <c r="P427" s="719">
        <f t="shared" si="85"/>
        <v>247992.21000000002</v>
      </c>
      <c r="Q427" s="423">
        <f>SUMIF('8.Dgia'!E:E,'9.may'!E427,'8.Dgia'!P:P)</f>
        <v>0</v>
      </c>
      <c r="R427" s="429">
        <f t="shared" si="79"/>
        <v>0</v>
      </c>
      <c r="S427" s="301">
        <f t="shared" si="80"/>
        <v>14110.820000000002</v>
      </c>
      <c r="T427" s="430">
        <f t="shared" si="81"/>
        <v>215970.7</v>
      </c>
      <c r="U427" s="431">
        <v>64354</v>
      </c>
      <c r="V427" s="431">
        <v>48658</v>
      </c>
      <c r="W427" s="432">
        <v>159077</v>
      </c>
      <c r="Y427" s="433">
        <f t="shared" si="82"/>
        <v>-56893.700000000012</v>
      </c>
      <c r="Z427" s="433">
        <f t="shared" si="83"/>
        <v>0</v>
      </c>
      <c r="AC427" s="410">
        <f t="shared" si="84"/>
        <v>0</v>
      </c>
    </row>
    <row r="428" spans="1:29" s="427" customFormat="1" ht="17.25" hidden="1" customHeight="1">
      <c r="B428" s="417" t="str">
        <f>IF(A428&lt;&gt;0,COUNTA(A$19:$A428),"")</f>
        <v/>
      </c>
      <c r="C428" s="428" t="s">
        <v>1263</v>
      </c>
      <c r="D428" s="428"/>
      <c r="E428" s="435"/>
      <c r="F428" s="435"/>
      <c r="G428" s="419"/>
      <c r="H428" s="419">
        <v>72</v>
      </c>
      <c r="I428" s="419"/>
      <c r="J428" s="419"/>
      <c r="K428" s="420">
        <v>1</v>
      </c>
      <c r="L428" s="420">
        <f t="shared" si="77"/>
        <v>48658</v>
      </c>
      <c r="M428" s="420">
        <f t="shared" si="78"/>
        <v>173431</v>
      </c>
      <c r="N428" s="445">
        <f t="shared" si="87"/>
        <v>45838.8</v>
      </c>
      <c r="O428" s="719"/>
      <c r="P428" s="719">
        <f t="shared" si="85"/>
        <v>269564.79000000004</v>
      </c>
      <c r="Q428" s="423">
        <f>SUMIF('8.Dgia'!E:E,'9.may'!E428,'8.Dgia'!P:P)</f>
        <v>0</v>
      </c>
      <c r="R428" s="429">
        <f t="shared" si="79"/>
        <v>0</v>
      </c>
      <c r="S428" s="301">
        <f t="shared" si="80"/>
        <v>14110.820000000002</v>
      </c>
      <c r="T428" s="430">
        <f t="shared" si="81"/>
        <v>233380.62</v>
      </c>
      <c r="U428" s="431">
        <v>68951</v>
      </c>
      <c r="V428" s="431">
        <v>48658</v>
      </c>
      <c r="W428" s="432">
        <v>173431</v>
      </c>
      <c r="Y428" s="433">
        <f t="shared" si="82"/>
        <v>-59949.619999999995</v>
      </c>
      <c r="Z428" s="433">
        <f t="shared" si="83"/>
        <v>0</v>
      </c>
      <c r="AC428" s="410">
        <f t="shared" si="84"/>
        <v>0</v>
      </c>
    </row>
    <row r="429" spans="1:29" s="427" customFormat="1" ht="17.25" hidden="1" customHeight="1">
      <c r="B429" s="417" t="str">
        <f>IF(A429&lt;&gt;0,COUNTA(A$19:$A429),"")</f>
        <v/>
      </c>
      <c r="C429" s="428" t="s">
        <v>1264</v>
      </c>
      <c r="D429" s="428"/>
      <c r="E429" s="435"/>
      <c r="F429" s="435"/>
      <c r="G429" s="419"/>
      <c r="H429" s="419">
        <v>96</v>
      </c>
      <c r="I429" s="419"/>
      <c r="J429" s="419"/>
      <c r="K429" s="420">
        <v>1</v>
      </c>
      <c r="L429" s="420">
        <f t="shared" si="77"/>
        <v>48658</v>
      </c>
      <c r="M429" s="420">
        <f t="shared" si="78"/>
        <v>211658</v>
      </c>
      <c r="N429" s="445">
        <f t="shared" si="87"/>
        <v>61118.400000000001</v>
      </c>
      <c r="O429" s="719"/>
      <c r="P429" s="719">
        <f t="shared" si="85"/>
        <v>334157.22000000003</v>
      </c>
      <c r="Q429" s="423">
        <f>SUMIF('8.Dgia'!E:E,'9.may'!E429,'8.Dgia'!P:P)</f>
        <v>0</v>
      </c>
      <c r="R429" s="429">
        <f t="shared" si="79"/>
        <v>0</v>
      </c>
      <c r="S429" s="301">
        <f t="shared" si="80"/>
        <v>14110.820000000002</v>
      </c>
      <c r="T429" s="430">
        <f t="shared" si="81"/>
        <v>286887.21999999997</v>
      </c>
      <c r="U429" s="431">
        <v>91934</v>
      </c>
      <c r="V429" s="431">
        <v>48658</v>
      </c>
      <c r="W429" s="432">
        <v>211658</v>
      </c>
      <c r="Y429" s="433">
        <f t="shared" si="82"/>
        <v>-75229.219999999972</v>
      </c>
      <c r="Z429" s="433">
        <f t="shared" si="83"/>
        <v>0</v>
      </c>
      <c r="AC429" s="410">
        <f t="shared" si="84"/>
        <v>0</v>
      </c>
    </row>
    <row r="430" spans="1:29" s="427" customFormat="1" ht="17.25" hidden="1" customHeight="1">
      <c r="B430" s="417" t="str">
        <f>IF(A430&lt;&gt;0,COUNTA(A$19:$A430),"")</f>
        <v/>
      </c>
      <c r="C430" s="428" t="s">
        <v>1265</v>
      </c>
      <c r="D430" s="428"/>
      <c r="E430" s="435"/>
      <c r="F430" s="435"/>
      <c r="G430" s="419"/>
      <c r="H430" s="419">
        <v>120</v>
      </c>
      <c r="I430" s="419"/>
      <c r="J430" s="419"/>
      <c r="K430" s="420">
        <v>1</v>
      </c>
      <c r="L430" s="420">
        <f t="shared" si="77"/>
        <v>48658</v>
      </c>
      <c r="M430" s="420">
        <f t="shared" si="78"/>
        <v>247050</v>
      </c>
      <c r="N430" s="445">
        <f t="shared" si="87"/>
        <v>76398</v>
      </c>
      <c r="O430" s="719"/>
      <c r="P430" s="719">
        <f t="shared" si="85"/>
        <v>395092.5</v>
      </c>
      <c r="Q430" s="423">
        <f>SUMIF('8.Dgia'!E:E,'9.may'!E430,'8.Dgia'!P:P)</f>
        <v>0</v>
      </c>
      <c r="R430" s="429">
        <f t="shared" si="79"/>
        <v>0</v>
      </c>
      <c r="S430" s="301">
        <f t="shared" si="80"/>
        <v>14110.820000000002</v>
      </c>
      <c r="T430" s="430">
        <f t="shared" si="81"/>
        <v>337558.82</v>
      </c>
      <c r="U430" s="431">
        <v>114918</v>
      </c>
      <c r="V430" s="431">
        <v>48658</v>
      </c>
      <c r="W430" s="432">
        <v>247050</v>
      </c>
      <c r="Y430" s="433">
        <f t="shared" si="82"/>
        <v>-90508.82</v>
      </c>
      <c r="Z430" s="433">
        <f t="shared" si="83"/>
        <v>0</v>
      </c>
      <c r="AC430" s="410">
        <f t="shared" si="84"/>
        <v>0</v>
      </c>
    </row>
    <row r="431" spans="1:29" s="427" customFormat="1" ht="17.25" hidden="1" customHeight="1">
      <c r="B431" s="417" t="str">
        <f>IF(A431&lt;&gt;0,COUNTA(A$19:$A431),"")</f>
        <v/>
      </c>
      <c r="C431" s="428" t="s">
        <v>1266</v>
      </c>
      <c r="D431" s="428"/>
      <c r="E431" s="435"/>
      <c r="F431" s="435"/>
      <c r="G431" s="419"/>
      <c r="H431" s="419">
        <v>132</v>
      </c>
      <c r="I431" s="419"/>
      <c r="J431" s="419"/>
      <c r="K431" s="420">
        <v>1</v>
      </c>
      <c r="L431" s="420">
        <f t="shared" si="77"/>
        <v>48658</v>
      </c>
      <c r="M431" s="420">
        <f t="shared" si="78"/>
        <v>263054</v>
      </c>
      <c r="N431" s="445">
        <f t="shared" si="87"/>
        <v>84037.8</v>
      </c>
      <c r="O431" s="719"/>
      <c r="P431" s="719">
        <f t="shared" si="85"/>
        <v>423377.46</v>
      </c>
      <c r="Q431" s="423">
        <f>SUMIF('8.Dgia'!E:E,'9.may'!E431,'8.Dgia'!P:P)</f>
        <v>0</v>
      </c>
      <c r="R431" s="429">
        <f t="shared" si="79"/>
        <v>0</v>
      </c>
      <c r="S431" s="301">
        <f t="shared" si="80"/>
        <v>14110.820000000002</v>
      </c>
      <c r="T431" s="430">
        <f t="shared" si="81"/>
        <v>361202.62</v>
      </c>
      <c r="U431" s="431">
        <v>126410</v>
      </c>
      <c r="V431" s="431">
        <v>48658</v>
      </c>
      <c r="W431" s="432">
        <v>263054</v>
      </c>
      <c r="Y431" s="433">
        <f t="shared" si="82"/>
        <v>-98148.62</v>
      </c>
      <c r="Z431" s="433">
        <f t="shared" si="83"/>
        <v>0</v>
      </c>
      <c r="AC431" s="410">
        <f t="shared" si="84"/>
        <v>0</v>
      </c>
    </row>
    <row r="432" spans="1:29" s="427" customFormat="1" ht="17.25" hidden="1" customHeight="1">
      <c r="B432" s="417" t="str">
        <f>IF(A432&lt;&gt;0,COUNTA(A$19:$A432),"")</f>
        <v/>
      </c>
      <c r="C432" s="428" t="s">
        <v>1267</v>
      </c>
      <c r="D432" s="428"/>
      <c r="E432" s="435"/>
      <c r="F432" s="435"/>
      <c r="G432" s="419"/>
      <c r="H432" s="419">
        <v>180</v>
      </c>
      <c r="I432" s="419"/>
      <c r="J432" s="419"/>
      <c r="K432" s="420">
        <v>1</v>
      </c>
      <c r="L432" s="420">
        <f t="shared" si="77"/>
        <v>48658</v>
      </c>
      <c r="M432" s="420">
        <f t="shared" si="78"/>
        <v>335699</v>
      </c>
      <c r="N432" s="445">
        <f t="shared" si="87"/>
        <v>114597</v>
      </c>
      <c r="O432" s="719"/>
      <c r="P432" s="719">
        <f t="shared" si="85"/>
        <v>547648.71</v>
      </c>
      <c r="Q432" s="423">
        <f>SUMIF('8.Dgia'!E:E,'9.may'!E432,'8.Dgia'!P:P)</f>
        <v>0</v>
      </c>
      <c r="R432" s="429">
        <f t="shared" si="79"/>
        <v>0</v>
      </c>
      <c r="S432" s="301">
        <f t="shared" si="80"/>
        <v>14110.820000000002</v>
      </c>
      <c r="T432" s="430">
        <f t="shared" si="81"/>
        <v>464406.82</v>
      </c>
      <c r="U432" s="431">
        <v>172377</v>
      </c>
      <c r="V432" s="431">
        <v>48658</v>
      </c>
      <c r="W432" s="432">
        <v>335699</v>
      </c>
      <c r="Y432" s="433">
        <f t="shared" si="82"/>
        <v>-128707.82</v>
      </c>
      <c r="Z432" s="433">
        <f t="shared" si="83"/>
        <v>0</v>
      </c>
      <c r="AC432" s="410">
        <f t="shared" si="84"/>
        <v>0</v>
      </c>
    </row>
    <row r="433" spans="1:31" s="427" customFormat="1" ht="17.25" customHeight="1">
      <c r="A433" s="410">
        <v>1</v>
      </c>
      <c r="B433" s="417">
        <f>IF(A433&lt;&gt;0,COUNTA(A$19:$A433),"")</f>
        <v>102</v>
      </c>
      <c r="C433" s="428" t="s">
        <v>1268</v>
      </c>
      <c r="D433" s="428"/>
      <c r="E433" s="435" t="s">
        <v>1988</v>
      </c>
      <c r="F433" s="435"/>
      <c r="G433" s="419"/>
      <c r="H433" s="419">
        <v>271.2</v>
      </c>
      <c r="I433" s="419"/>
      <c r="J433" s="419"/>
      <c r="K433" s="420">
        <v>1</v>
      </c>
      <c r="L433" s="420">
        <f t="shared" si="77"/>
        <v>48658</v>
      </c>
      <c r="M433" s="420">
        <f t="shared" si="78"/>
        <v>458244</v>
      </c>
      <c r="N433" s="445">
        <f t="shared" si="87"/>
        <v>172659.48</v>
      </c>
      <c r="O433" s="719"/>
      <c r="P433" s="719">
        <f t="shared" si="85"/>
        <v>763794.24</v>
      </c>
      <c r="Q433" s="423">
        <f>SUMIF('8.Dgia'!E:E,'9.may'!E433,'8.Dgia'!P:P)</f>
        <v>0</v>
      </c>
      <c r="R433" s="429">
        <f t="shared" si="79"/>
        <v>0</v>
      </c>
      <c r="S433" s="301">
        <f t="shared" si="80"/>
        <v>14110.820000000002</v>
      </c>
      <c r="T433" s="430">
        <f t="shared" si="81"/>
        <v>645014.30000000005</v>
      </c>
      <c r="U433" s="2053">
        <v>259715</v>
      </c>
      <c r="V433" s="2053">
        <v>48658</v>
      </c>
      <c r="W433" s="2054">
        <v>458244</v>
      </c>
      <c r="Y433" s="433">
        <f t="shared" si="82"/>
        <v>-186770.30000000005</v>
      </c>
      <c r="Z433" s="433">
        <f t="shared" si="83"/>
        <v>0</v>
      </c>
      <c r="AC433" s="410">
        <f t="shared" si="84"/>
        <v>0</v>
      </c>
    </row>
    <row r="434" spans="1:31" s="427" customFormat="1" ht="17.25" hidden="1" customHeight="1">
      <c r="B434" s="417" t="str">
        <f>IF(A434&lt;&gt;0,COUNTA(A$19:$A434),"")</f>
        <v/>
      </c>
      <c r="C434" s="418" t="s">
        <v>1269</v>
      </c>
      <c r="D434" s="418"/>
      <c r="E434" s="435"/>
      <c r="F434" s="435"/>
      <c r="G434" s="419"/>
      <c r="H434" s="419"/>
      <c r="I434" s="419"/>
      <c r="J434" s="419"/>
      <c r="K434" s="437"/>
      <c r="L434" s="420">
        <f t="shared" si="77"/>
        <v>0</v>
      </c>
      <c r="M434" s="420">
        <f t="shared" si="78"/>
        <v>0</v>
      </c>
      <c r="N434" s="445"/>
      <c r="O434" s="719"/>
      <c r="P434" s="719">
        <f t="shared" si="85"/>
        <v>0</v>
      </c>
      <c r="Q434" s="423">
        <f>SUMIF('8.Dgia'!E:E,'9.may'!E434,'8.Dgia'!P:P)</f>
        <v>0</v>
      </c>
      <c r="R434" s="429">
        <f t="shared" si="79"/>
        <v>0</v>
      </c>
      <c r="S434" s="301">
        <f t="shared" si="80"/>
        <v>0</v>
      </c>
      <c r="T434" s="430">
        <f t="shared" si="81"/>
        <v>0</v>
      </c>
      <c r="U434" s="436"/>
      <c r="V434" s="436"/>
      <c r="W434" s="432"/>
      <c r="Y434" s="433">
        <f t="shared" si="82"/>
        <v>0</v>
      </c>
      <c r="Z434" s="433">
        <f t="shared" si="83"/>
        <v>0</v>
      </c>
      <c r="AC434" s="410">
        <f t="shared" si="84"/>
        <v>0</v>
      </c>
    </row>
    <row r="435" spans="1:31" s="427" customFormat="1" ht="17.25" customHeight="1">
      <c r="A435" s="410">
        <v>1</v>
      </c>
      <c r="B435" s="417">
        <f>IF(A435&lt;&gt;0,COUNTA(A$19:$A435),"")</f>
        <v>103</v>
      </c>
      <c r="C435" s="428" t="s">
        <v>1270</v>
      </c>
      <c r="D435" s="428" t="s">
        <v>1271</v>
      </c>
      <c r="E435" s="435" t="s">
        <v>1272</v>
      </c>
      <c r="F435" s="435" t="s">
        <v>4757</v>
      </c>
      <c r="G435" s="419">
        <v>2.7</v>
      </c>
      <c r="H435" s="419"/>
      <c r="I435" s="419"/>
      <c r="J435" s="419"/>
      <c r="K435" s="420">
        <v>1</v>
      </c>
      <c r="L435" s="420">
        <f t="shared" si="77"/>
        <v>48658</v>
      </c>
      <c r="M435" s="420">
        <f t="shared" si="78"/>
        <v>74943</v>
      </c>
      <c r="N435" s="445">
        <f t="shared" ref="N435:N446" si="88">SUMPRODUCT(G435:J435,$G$12:$J$12,$G$9:$J$9)</f>
        <v>43865.697272727266</v>
      </c>
      <c r="O435" s="719"/>
      <c r="P435" s="719">
        <f t="shared" si="85"/>
        <v>140542.16727272727</v>
      </c>
      <c r="Q435" s="423">
        <f>SUMIF('8.Dgia'!E:E,'9.may'!E435,'8.Dgia'!P:P)</f>
        <v>0</v>
      </c>
      <c r="R435" s="429">
        <f t="shared" si="79"/>
        <v>0</v>
      </c>
      <c r="S435" s="301">
        <f t="shared" si="80"/>
        <v>14110.820000000002</v>
      </c>
      <c r="T435" s="430">
        <f t="shared" si="81"/>
        <v>132919.51727272727</v>
      </c>
      <c r="U435" s="2053">
        <v>19329</v>
      </c>
      <c r="V435" s="2053">
        <v>48658</v>
      </c>
      <c r="W435" s="2054">
        <v>74943</v>
      </c>
      <c r="Y435" s="433">
        <f t="shared" si="82"/>
        <v>-57976.517272727273</v>
      </c>
      <c r="Z435" s="433">
        <f t="shared" si="83"/>
        <v>0</v>
      </c>
      <c r="AC435" s="410">
        <f t="shared" si="84"/>
        <v>0</v>
      </c>
    </row>
    <row r="436" spans="1:31" s="427" customFormat="1" ht="17.25" hidden="1" customHeight="1">
      <c r="B436" s="417" t="str">
        <f>IF(A436&lt;&gt;0,COUNTA(A$19:$A436),"")</f>
        <v/>
      </c>
      <c r="C436" s="428" t="s">
        <v>1273</v>
      </c>
      <c r="D436" s="428"/>
      <c r="E436" s="435"/>
      <c r="F436" s="435"/>
      <c r="G436" s="419">
        <v>2.97</v>
      </c>
      <c r="H436" s="419"/>
      <c r="I436" s="419"/>
      <c r="J436" s="419"/>
      <c r="K436" s="420">
        <v>1</v>
      </c>
      <c r="L436" s="420">
        <f t="shared" si="77"/>
        <v>48658</v>
      </c>
      <c r="M436" s="420">
        <f t="shared" si="78"/>
        <v>81197</v>
      </c>
      <c r="N436" s="445">
        <f t="shared" si="88"/>
        <v>48252.266999999993</v>
      </c>
      <c r="O436" s="719"/>
      <c r="P436" s="719">
        <f t="shared" si="85"/>
        <v>152996.397</v>
      </c>
      <c r="Q436" s="423">
        <f>SUMIF('8.Dgia'!E:E,'9.may'!E436,'8.Dgia'!P:P)</f>
        <v>0</v>
      </c>
      <c r="R436" s="429">
        <f t="shared" si="79"/>
        <v>0</v>
      </c>
      <c r="S436" s="301">
        <f t="shared" si="80"/>
        <v>14110.820000000002</v>
      </c>
      <c r="T436" s="430">
        <f t="shared" si="81"/>
        <v>143560.087</v>
      </c>
      <c r="U436" s="431">
        <v>21262</v>
      </c>
      <c r="V436" s="431">
        <v>48658</v>
      </c>
      <c r="W436" s="432">
        <v>81197</v>
      </c>
      <c r="Y436" s="433">
        <f t="shared" si="82"/>
        <v>-62363.087</v>
      </c>
      <c r="Z436" s="433">
        <f t="shared" si="83"/>
        <v>0</v>
      </c>
      <c r="AC436" s="410">
        <f t="shared" si="84"/>
        <v>0</v>
      </c>
    </row>
    <row r="437" spans="1:31" s="427" customFormat="1" ht="17.25" hidden="1" customHeight="1">
      <c r="B437" s="417" t="str">
        <f>IF(A437&lt;&gt;0,COUNTA(A$19:$A437),"")</f>
        <v/>
      </c>
      <c r="C437" s="428" t="s">
        <v>1274</v>
      </c>
      <c r="D437" s="428"/>
      <c r="E437" s="435"/>
      <c r="F437" s="435"/>
      <c r="G437" s="419">
        <v>3.78</v>
      </c>
      <c r="H437" s="419"/>
      <c r="I437" s="419"/>
      <c r="J437" s="419"/>
      <c r="K437" s="420">
        <v>1</v>
      </c>
      <c r="L437" s="420">
        <f t="shared" si="77"/>
        <v>48658</v>
      </c>
      <c r="M437" s="420">
        <f t="shared" si="78"/>
        <v>89946</v>
      </c>
      <c r="N437" s="445">
        <f t="shared" si="88"/>
        <v>61411.976181818172</v>
      </c>
      <c r="O437" s="719"/>
      <c r="P437" s="719">
        <f t="shared" si="85"/>
        <v>177442.31618181817</v>
      </c>
      <c r="Q437" s="423">
        <f>SUMIF('8.Dgia'!E:E,'9.may'!E437,'8.Dgia'!P:P)</f>
        <v>0</v>
      </c>
      <c r="R437" s="429">
        <f t="shared" si="79"/>
        <v>0</v>
      </c>
      <c r="S437" s="301">
        <f t="shared" si="80"/>
        <v>14110.820000000002</v>
      </c>
      <c r="T437" s="430">
        <f t="shared" si="81"/>
        <v>165468.79618181818</v>
      </c>
      <c r="U437" s="431">
        <v>27061</v>
      </c>
      <c r="V437" s="431">
        <v>48658</v>
      </c>
      <c r="W437" s="432">
        <v>89946</v>
      </c>
      <c r="Y437" s="433">
        <f t="shared" si="82"/>
        <v>-75522.796181818179</v>
      </c>
      <c r="Z437" s="433">
        <f t="shared" si="83"/>
        <v>0</v>
      </c>
      <c r="AC437" s="410">
        <f t="shared" si="84"/>
        <v>0</v>
      </c>
    </row>
    <row r="438" spans="1:31" s="427" customFormat="1" ht="17.25" hidden="1" customHeight="1">
      <c r="B438" s="417" t="str">
        <f>IF(A438&lt;&gt;0,COUNTA(A$19:$A438),"")</f>
        <v/>
      </c>
      <c r="C438" s="428" t="s">
        <v>1275</v>
      </c>
      <c r="D438" s="428"/>
      <c r="E438" s="435"/>
      <c r="F438" s="435"/>
      <c r="G438" s="419">
        <v>4.05</v>
      </c>
      <c r="H438" s="419"/>
      <c r="I438" s="419"/>
      <c r="J438" s="419"/>
      <c r="K438" s="420">
        <v>1</v>
      </c>
      <c r="L438" s="420">
        <f t="shared" si="77"/>
        <v>48658</v>
      </c>
      <c r="M438" s="420">
        <f t="shared" si="78"/>
        <v>93278</v>
      </c>
      <c r="N438" s="445">
        <f t="shared" si="88"/>
        <v>65798.545909090899</v>
      </c>
      <c r="O438" s="719"/>
      <c r="P438" s="719">
        <f t="shared" si="85"/>
        <v>186127.16590909089</v>
      </c>
      <c r="Q438" s="423">
        <f>SUMIF('8.Dgia'!E:E,'9.may'!E438,'8.Dgia'!P:P)</f>
        <v>0</v>
      </c>
      <c r="R438" s="429">
        <f t="shared" si="79"/>
        <v>0</v>
      </c>
      <c r="S438" s="301">
        <f t="shared" si="80"/>
        <v>14110.820000000002</v>
      </c>
      <c r="T438" s="430">
        <f t="shared" si="81"/>
        <v>173187.36590909091</v>
      </c>
      <c r="U438" s="431">
        <v>28994</v>
      </c>
      <c r="V438" s="431">
        <v>48658</v>
      </c>
      <c r="W438" s="432">
        <v>93278</v>
      </c>
      <c r="Y438" s="433">
        <f t="shared" si="82"/>
        <v>-79909.365909090906</v>
      </c>
      <c r="Z438" s="433">
        <f t="shared" si="83"/>
        <v>0</v>
      </c>
      <c r="AC438" s="410">
        <f t="shared" si="84"/>
        <v>0</v>
      </c>
    </row>
    <row r="439" spans="1:31" s="427" customFormat="1" ht="17.25" hidden="1" customHeight="1">
      <c r="B439" s="417" t="str">
        <f>IF(A439&lt;&gt;0,COUNTA(A$19:$A439),"")</f>
        <v/>
      </c>
      <c r="C439" s="428" t="s">
        <v>1276</v>
      </c>
      <c r="D439" s="428"/>
      <c r="E439" s="435"/>
      <c r="F439" s="435"/>
      <c r="G439" s="419">
        <v>5.0999999999999996</v>
      </c>
      <c r="H439" s="419"/>
      <c r="I439" s="419"/>
      <c r="J439" s="419"/>
      <c r="K439" s="420">
        <v>1</v>
      </c>
      <c r="L439" s="420">
        <f t="shared" si="77"/>
        <v>48658</v>
      </c>
      <c r="M439" s="420">
        <f t="shared" si="78"/>
        <v>107510</v>
      </c>
      <c r="N439" s="445">
        <f t="shared" si="88"/>
        <v>82857.428181818177</v>
      </c>
      <c r="O439" s="719"/>
      <c r="P439" s="719">
        <f t="shared" si="85"/>
        <v>221545.32818181819</v>
      </c>
      <c r="Q439" s="423">
        <f>SUMIF('8.Dgia'!E:E,'9.may'!E439,'8.Dgia'!P:P)</f>
        <v>0</v>
      </c>
      <c r="R439" s="429">
        <f t="shared" si="79"/>
        <v>0</v>
      </c>
      <c r="S439" s="301">
        <f t="shared" si="80"/>
        <v>14110.820000000002</v>
      </c>
      <c r="T439" s="430">
        <f t="shared" si="81"/>
        <v>204478.24818181817</v>
      </c>
      <c r="U439" s="431">
        <v>36510</v>
      </c>
      <c r="V439" s="431">
        <v>48658</v>
      </c>
      <c r="W439" s="432">
        <v>107510</v>
      </c>
      <c r="Y439" s="433">
        <f t="shared" si="82"/>
        <v>-96968.24818181817</v>
      </c>
      <c r="Z439" s="433">
        <f t="shared" si="83"/>
        <v>0</v>
      </c>
      <c r="AC439" s="410">
        <f t="shared" si="84"/>
        <v>0</v>
      </c>
    </row>
    <row r="440" spans="1:31" s="427" customFormat="1" ht="17.25" hidden="1" customHeight="1">
      <c r="B440" s="417" t="str">
        <f>IF(A440&lt;&gt;0,COUNTA(A$19:$A440),"")</f>
        <v/>
      </c>
      <c r="C440" s="428" t="s">
        <v>1277</v>
      </c>
      <c r="D440" s="428"/>
      <c r="E440" s="435"/>
      <c r="F440" s="435"/>
      <c r="G440" s="419">
        <v>7.65</v>
      </c>
      <c r="H440" s="419"/>
      <c r="I440" s="419"/>
      <c r="J440" s="419"/>
      <c r="K440" s="420">
        <v>1</v>
      </c>
      <c r="L440" s="420">
        <f t="shared" si="77"/>
        <v>48658</v>
      </c>
      <c r="M440" s="420">
        <f t="shared" si="78"/>
        <v>158515</v>
      </c>
      <c r="N440" s="445">
        <f t="shared" si="88"/>
        <v>124286.14227272726</v>
      </c>
      <c r="O440" s="719"/>
      <c r="P440" s="719">
        <f t="shared" si="85"/>
        <v>328770.49227272725</v>
      </c>
      <c r="Q440" s="423">
        <f>SUMIF('8.Dgia'!E:E,'9.may'!E440,'8.Dgia'!P:P)</f>
        <v>0</v>
      </c>
      <c r="R440" s="429">
        <f t="shared" si="79"/>
        <v>0</v>
      </c>
      <c r="S440" s="301">
        <f t="shared" si="80"/>
        <v>14110.820000000002</v>
      </c>
      <c r="T440" s="430">
        <f t="shared" si="81"/>
        <v>296911.96227272728</v>
      </c>
      <c r="U440" s="431">
        <v>54766</v>
      </c>
      <c r="V440" s="431">
        <v>48658</v>
      </c>
      <c r="W440" s="432">
        <v>158515</v>
      </c>
      <c r="Y440" s="433">
        <f t="shared" si="82"/>
        <v>-138396.96227272728</v>
      </c>
      <c r="Z440" s="433">
        <f t="shared" si="83"/>
        <v>0</v>
      </c>
      <c r="AC440" s="410">
        <f t="shared" si="84"/>
        <v>0</v>
      </c>
    </row>
    <row r="441" spans="1:31" s="427" customFormat="1" ht="17.25" customHeight="1">
      <c r="A441" s="410">
        <v>1</v>
      </c>
      <c r="B441" s="417">
        <f>IF(A441&lt;&gt;0,COUNTA(A$19:$A441),"")</f>
        <v>104</v>
      </c>
      <c r="C441" s="428" t="s">
        <v>1278</v>
      </c>
      <c r="D441" s="428" t="s">
        <v>1279</v>
      </c>
      <c r="E441" s="435" t="s">
        <v>1280</v>
      </c>
      <c r="F441" s="435" t="s">
        <v>4758</v>
      </c>
      <c r="G441" s="419">
        <v>10.199999999999999</v>
      </c>
      <c r="H441" s="419"/>
      <c r="I441" s="419"/>
      <c r="J441" s="419"/>
      <c r="K441" s="420">
        <v>1</v>
      </c>
      <c r="L441" s="420">
        <f t="shared" si="77"/>
        <v>48658</v>
      </c>
      <c r="M441" s="420">
        <f t="shared" si="78"/>
        <v>196013</v>
      </c>
      <c r="N441" s="445">
        <f t="shared" si="88"/>
        <v>165714.85636363635</v>
      </c>
      <c r="O441" s="719"/>
      <c r="P441" s="719">
        <f t="shared" si="85"/>
        <v>418571.62636363634</v>
      </c>
      <c r="Q441" s="423">
        <f>SUMIF('8.Dgia'!E:E,'9.may'!E441,'8.Dgia'!P:P)</f>
        <v>0</v>
      </c>
      <c r="R441" s="429">
        <f t="shared" si="79"/>
        <v>0</v>
      </c>
      <c r="S441" s="301">
        <f t="shared" si="80"/>
        <v>14110.820000000002</v>
      </c>
      <c r="T441" s="430">
        <f t="shared" si="81"/>
        <v>375838.67636363639</v>
      </c>
      <c r="U441" s="2053">
        <v>73021</v>
      </c>
      <c r="V441" s="2053">
        <v>48658</v>
      </c>
      <c r="W441" s="2054">
        <v>196013</v>
      </c>
      <c r="Y441" s="433">
        <f t="shared" si="82"/>
        <v>-179825.67636363639</v>
      </c>
      <c r="Z441" s="433">
        <f t="shared" si="83"/>
        <v>0</v>
      </c>
      <c r="AC441" s="410">
        <f t="shared" si="84"/>
        <v>0</v>
      </c>
    </row>
    <row r="442" spans="1:31" s="427" customFormat="1" ht="17.25" hidden="1" customHeight="1">
      <c r="B442" s="417" t="str">
        <f>IF(A442&lt;&gt;0,COUNTA(A$19:$A442),"")</f>
        <v/>
      </c>
      <c r="C442" s="428" t="s">
        <v>1281</v>
      </c>
      <c r="D442" s="428"/>
      <c r="E442" s="435"/>
      <c r="F442" s="435"/>
      <c r="G442" s="419">
        <v>17.760000000000002</v>
      </c>
      <c r="H442" s="419"/>
      <c r="I442" s="419"/>
      <c r="J442" s="419"/>
      <c r="K442" s="420">
        <v>1</v>
      </c>
      <c r="L442" s="420">
        <f t="shared" si="77"/>
        <v>48658</v>
      </c>
      <c r="M442" s="420">
        <f t="shared" si="78"/>
        <v>320972</v>
      </c>
      <c r="N442" s="445">
        <f t="shared" si="88"/>
        <v>288538.80872727273</v>
      </c>
      <c r="O442" s="719"/>
      <c r="P442" s="719">
        <f t="shared" si="85"/>
        <v>702592.68872727267</v>
      </c>
      <c r="Q442" s="423">
        <f>SUMIF('8.Dgia'!E:E,'9.may'!E442,'8.Dgia'!P:P)</f>
        <v>0</v>
      </c>
      <c r="R442" s="429">
        <f t="shared" si="79"/>
        <v>0</v>
      </c>
      <c r="S442" s="301">
        <f t="shared" si="80"/>
        <v>14110.820000000002</v>
      </c>
      <c r="T442" s="430">
        <f t="shared" si="81"/>
        <v>623621.62872727273</v>
      </c>
      <c r="U442" s="431">
        <v>127142</v>
      </c>
      <c r="V442" s="431">
        <v>48658</v>
      </c>
      <c r="W442" s="432">
        <v>320972</v>
      </c>
      <c r="Y442" s="433">
        <f t="shared" si="82"/>
        <v>-302649.62872727273</v>
      </c>
      <c r="Z442" s="433">
        <f t="shared" si="83"/>
        <v>0</v>
      </c>
      <c r="AC442" s="410">
        <f t="shared" si="84"/>
        <v>0</v>
      </c>
    </row>
    <row r="443" spans="1:31" s="427" customFormat="1" ht="17.25" hidden="1" customHeight="1">
      <c r="B443" s="417" t="str">
        <f>IF(A443&lt;&gt;0,COUNTA(A$19:$A443),"")</f>
        <v/>
      </c>
      <c r="C443" s="428" t="s">
        <v>1282</v>
      </c>
      <c r="D443" s="428"/>
      <c r="E443" s="435"/>
      <c r="F443" s="435"/>
      <c r="G443" s="419">
        <v>21.6</v>
      </c>
      <c r="H443" s="419"/>
      <c r="I443" s="419"/>
      <c r="J443" s="419"/>
      <c r="K443" s="420">
        <v>1</v>
      </c>
      <c r="L443" s="420">
        <f t="shared" si="77"/>
        <v>48658</v>
      </c>
      <c r="M443" s="420">
        <f t="shared" si="78"/>
        <v>352389</v>
      </c>
      <c r="N443" s="445">
        <f t="shared" si="88"/>
        <v>350925.57818181813</v>
      </c>
      <c r="O443" s="719"/>
      <c r="P443" s="719">
        <f t="shared" si="85"/>
        <v>805507.38818181818</v>
      </c>
      <c r="Q443" s="423">
        <f>SUMIF('8.Dgia'!E:E,'9.may'!E443,'8.Dgia'!P:P)</f>
        <v>0</v>
      </c>
      <c r="R443" s="429">
        <f t="shared" si="79"/>
        <v>0</v>
      </c>
      <c r="S443" s="301">
        <f t="shared" si="80"/>
        <v>14110.820000000002</v>
      </c>
      <c r="T443" s="430">
        <f t="shared" si="81"/>
        <v>717425.39818181819</v>
      </c>
      <c r="U443" s="431">
        <v>154632</v>
      </c>
      <c r="V443" s="431">
        <v>48658</v>
      </c>
      <c r="W443" s="432">
        <v>352389</v>
      </c>
      <c r="Y443" s="433">
        <f t="shared" si="82"/>
        <v>-365036.39818181819</v>
      </c>
      <c r="Z443" s="433">
        <f t="shared" si="83"/>
        <v>0</v>
      </c>
      <c r="AC443" s="410">
        <f t="shared" si="84"/>
        <v>0</v>
      </c>
    </row>
    <row r="444" spans="1:31" s="427" customFormat="1" ht="17.25" hidden="1" customHeight="1">
      <c r="B444" s="417" t="str">
        <f>IF(A444&lt;&gt;0,COUNTA(A$19:$A444),"")</f>
        <v/>
      </c>
      <c r="C444" s="428" t="s">
        <v>1283</v>
      </c>
      <c r="D444" s="428"/>
      <c r="E444" s="435"/>
      <c r="F444" s="435"/>
      <c r="G444" s="419">
        <v>36</v>
      </c>
      <c r="H444" s="419"/>
      <c r="I444" s="419"/>
      <c r="J444" s="419"/>
      <c r="K444" s="420">
        <v>1</v>
      </c>
      <c r="L444" s="420">
        <f t="shared" si="77"/>
        <v>48658</v>
      </c>
      <c r="M444" s="420">
        <f t="shared" si="78"/>
        <v>579497</v>
      </c>
      <c r="N444" s="445">
        <f t="shared" si="88"/>
        <v>584875.96363636351</v>
      </c>
      <c r="O444" s="719"/>
      <c r="P444" s="719">
        <f t="shared" si="85"/>
        <v>1332427.0936363635</v>
      </c>
      <c r="Q444" s="423">
        <f>SUMIF('8.Dgia'!E:E,'9.may'!E444,'8.Dgia'!P:P)</f>
        <v>0</v>
      </c>
      <c r="R444" s="429">
        <f t="shared" si="79"/>
        <v>0</v>
      </c>
      <c r="S444" s="301">
        <f t="shared" si="80"/>
        <v>14110.820000000002</v>
      </c>
      <c r="T444" s="430">
        <f t="shared" si="81"/>
        <v>1178483.7836363635</v>
      </c>
      <c r="U444" s="431">
        <v>257720</v>
      </c>
      <c r="V444" s="431">
        <v>48658</v>
      </c>
      <c r="W444" s="432">
        <v>579497</v>
      </c>
      <c r="Y444" s="433">
        <f t="shared" si="82"/>
        <v>-598986.78363636346</v>
      </c>
      <c r="Z444" s="433">
        <f t="shared" si="83"/>
        <v>0</v>
      </c>
      <c r="AC444" s="410">
        <f t="shared" si="84"/>
        <v>0</v>
      </c>
    </row>
    <row r="445" spans="1:31" s="427" customFormat="1" ht="16.5" customHeight="1">
      <c r="A445" s="410">
        <v>1</v>
      </c>
      <c r="B445" s="417">
        <f>IF(A445&lt;&gt;0,COUNTA(A$19:$A445),"")</f>
        <v>105</v>
      </c>
      <c r="C445" s="428" t="s">
        <v>1284</v>
      </c>
      <c r="D445" s="428" t="s">
        <v>1285</v>
      </c>
      <c r="E445" s="435" t="s">
        <v>1286</v>
      </c>
      <c r="F445" s="435" t="s">
        <v>4759</v>
      </c>
      <c r="G445" s="419">
        <v>45</v>
      </c>
      <c r="H445" s="419"/>
      <c r="I445" s="419"/>
      <c r="J445" s="419"/>
      <c r="K445" s="420">
        <v>1</v>
      </c>
      <c r="L445" s="420">
        <f t="shared" si="77"/>
        <v>48658</v>
      </c>
      <c r="M445" s="420">
        <f t="shared" si="78"/>
        <v>647684</v>
      </c>
      <c r="N445" s="445">
        <f t="shared" si="88"/>
        <v>731094.95454545447</v>
      </c>
      <c r="O445" s="719"/>
      <c r="P445" s="719">
        <f t="shared" si="85"/>
        <v>1566607.3145454545</v>
      </c>
      <c r="Q445" s="423" t="e">
        <f>SUMIF('8.Dgia'!E:E,'9.may'!E445,'8.Dgia'!P:P)</f>
        <v>#REF!</v>
      </c>
      <c r="R445" s="429" t="e">
        <f t="shared" si="79"/>
        <v>#REF!</v>
      </c>
      <c r="S445" s="301">
        <f t="shared" si="80"/>
        <v>14110.820000000002</v>
      </c>
      <c r="T445" s="430">
        <f t="shared" si="81"/>
        <v>1392889.7745454544</v>
      </c>
      <c r="U445" s="2053">
        <v>322151</v>
      </c>
      <c r="V445" s="2053">
        <v>48658</v>
      </c>
      <c r="W445" s="2054">
        <v>647684</v>
      </c>
      <c r="Y445" s="433">
        <f t="shared" si="82"/>
        <v>-745205.77454545442</v>
      </c>
      <c r="Z445" s="433">
        <f t="shared" si="83"/>
        <v>0</v>
      </c>
      <c r="AC445" s="410" t="e">
        <f t="shared" si="84"/>
        <v>#REF!</v>
      </c>
      <c r="AE445" s="427">
        <v>385597646.05928004</v>
      </c>
    </row>
    <row r="446" spans="1:31" s="427" customFormat="1" ht="17.25" hidden="1" customHeight="1">
      <c r="B446" s="417" t="str">
        <f>IF(A446&lt;&gt;0,COUNTA(A$19:$A446),"")</f>
        <v/>
      </c>
      <c r="C446" s="428" t="s">
        <v>1287</v>
      </c>
      <c r="D446" s="428"/>
      <c r="E446" s="435"/>
      <c r="F446" s="435"/>
      <c r="G446" s="419">
        <v>63</v>
      </c>
      <c r="H446" s="419"/>
      <c r="I446" s="419"/>
      <c r="J446" s="419"/>
      <c r="K446" s="420">
        <v>1</v>
      </c>
      <c r="L446" s="420">
        <f t="shared" si="77"/>
        <v>56800</v>
      </c>
      <c r="M446" s="420">
        <f t="shared" si="78"/>
        <v>862689</v>
      </c>
      <c r="N446" s="445">
        <f t="shared" si="88"/>
        <v>1023532.9363636363</v>
      </c>
      <c r="O446" s="719"/>
      <c r="P446" s="719">
        <f t="shared" si="85"/>
        <v>2136401.7463636361</v>
      </c>
      <c r="Q446" s="423">
        <f>SUMIF('8.Dgia'!E:E,'9.may'!E446,'8.Dgia'!P:P)</f>
        <v>0</v>
      </c>
      <c r="R446" s="429">
        <f t="shared" si="79"/>
        <v>0</v>
      </c>
      <c r="S446" s="301">
        <f t="shared" si="80"/>
        <v>16472.000000000004</v>
      </c>
      <c r="T446" s="430">
        <f t="shared" si="81"/>
        <v>1902693.9363636363</v>
      </c>
      <c r="U446" s="431">
        <v>451011</v>
      </c>
      <c r="V446" s="431">
        <v>56800</v>
      </c>
      <c r="W446" s="432">
        <v>862689</v>
      </c>
      <c r="Y446" s="433">
        <f t="shared" si="82"/>
        <v>-1040004.9363636363</v>
      </c>
      <c r="Z446" s="433">
        <f t="shared" si="83"/>
        <v>0</v>
      </c>
      <c r="AC446" s="410">
        <f t="shared" si="84"/>
        <v>0</v>
      </c>
      <c r="AE446" s="427" t="e">
        <f>AE445-AC445</f>
        <v>#REF!</v>
      </c>
    </row>
    <row r="447" spans="1:31" s="427" customFormat="1" ht="17.25" hidden="1" customHeight="1">
      <c r="B447" s="417" t="str">
        <f>IF(A447&lt;&gt;0,COUNTA(A$19:$A447),"")</f>
        <v/>
      </c>
      <c r="C447" s="418" t="s">
        <v>1288</v>
      </c>
      <c r="D447" s="418"/>
      <c r="E447" s="435"/>
      <c r="F447" s="435"/>
      <c r="G447" s="419"/>
      <c r="H447" s="419"/>
      <c r="I447" s="419"/>
      <c r="J447" s="419"/>
      <c r="K447" s="437"/>
      <c r="L447" s="420">
        <f t="shared" si="77"/>
        <v>0</v>
      </c>
      <c r="M447" s="420">
        <f t="shared" si="78"/>
        <v>0</v>
      </c>
      <c r="N447" s="445"/>
      <c r="O447" s="719"/>
      <c r="P447" s="719">
        <f t="shared" si="85"/>
        <v>0</v>
      </c>
      <c r="Q447" s="423">
        <f>SUMIF('8.Dgia'!E:E,'9.may'!E447,'8.Dgia'!P:P)</f>
        <v>0</v>
      </c>
      <c r="R447" s="429">
        <f t="shared" si="79"/>
        <v>0</v>
      </c>
      <c r="S447" s="301">
        <f t="shared" si="80"/>
        <v>0</v>
      </c>
      <c r="T447" s="430">
        <f t="shared" si="81"/>
        <v>0</v>
      </c>
      <c r="U447" s="436"/>
      <c r="V447" s="436"/>
      <c r="W447" s="432"/>
      <c r="Y447" s="433">
        <f t="shared" si="82"/>
        <v>0</v>
      </c>
      <c r="Z447" s="433">
        <f t="shared" si="83"/>
        <v>0</v>
      </c>
      <c r="AC447" s="410">
        <f t="shared" si="84"/>
        <v>0</v>
      </c>
    </row>
    <row r="448" spans="1:31" s="427" customFormat="1" ht="17.25" hidden="1" customHeight="1">
      <c r="B448" s="417" t="str">
        <f>IF(A448&lt;&gt;0,COUNTA(A$19:$A448),"")</f>
        <v/>
      </c>
      <c r="C448" s="428" t="s">
        <v>1289</v>
      </c>
      <c r="D448" s="428"/>
      <c r="E448" s="435"/>
      <c r="F448" s="435"/>
      <c r="G448" s="419"/>
      <c r="H448" s="419"/>
      <c r="I448" s="419">
        <v>1.62</v>
      </c>
      <c r="J448" s="419"/>
      <c r="K448" s="420">
        <v>1</v>
      </c>
      <c r="L448" s="420">
        <f t="shared" si="77"/>
        <v>48658</v>
      </c>
      <c r="M448" s="420">
        <f t="shared" si="78"/>
        <v>71875</v>
      </c>
      <c r="N448" s="445">
        <f>SUMPRODUCT(G448:J448,$G$12:$J$12,$G$9:$J$9)</f>
        <v>24193.941545454545</v>
      </c>
      <c r="O448" s="719"/>
      <c r="P448" s="719">
        <f t="shared" si="85"/>
        <v>116912.69154545455</v>
      </c>
      <c r="Q448" s="423">
        <f>SUMIF('8.Dgia'!E:E,'9.may'!E448,'8.Dgia'!P:P)</f>
        <v>0</v>
      </c>
      <c r="R448" s="429">
        <f t="shared" si="79"/>
        <v>0</v>
      </c>
      <c r="S448" s="301">
        <f t="shared" si="80"/>
        <v>14110.820000000002</v>
      </c>
      <c r="T448" s="430">
        <f t="shared" si="81"/>
        <v>110179.76154545454</v>
      </c>
      <c r="U448" s="431">
        <v>14108</v>
      </c>
      <c r="V448" s="431">
        <v>48658</v>
      </c>
      <c r="W448" s="432">
        <v>71875</v>
      </c>
      <c r="Y448" s="433">
        <f t="shared" si="82"/>
        <v>-38304.761545454545</v>
      </c>
      <c r="Z448" s="433">
        <f t="shared" si="83"/>
        <v>0</v>
      </c>
      <c r="AC448" s="410">
        <f t="shared" si="84"/>
        <v>0</v>
      </c>
    </row>
    <row r="449" spans="1:29" s="427" customFormat="1" ht="17.25" hidden="1" customHeight="1">
      <c r="B449" s="417" t="str">
        <f>IF(A449&lt;&gt;0,COUNTA(A$19:$A449),"")</f>
        <v/>
      </c>
      <c r="C449" s="428" t="s">
        <v>1290</v>
      </c>
      <c r="D449" s="428"/>
      <c r="E449" s="435"/>
      <c r="F449" s="435"/>
      <c r="G449" s="419"/>
      <c r="H449" s="419"/>
      <c r="I449" s="419">
        <v>2.16</v>
      </c>
      <c r="J449" s="419"/>
      <c r="K449" s="420">
        <v>1</v>
      </c>
      <c r="L449" s="420">
        <f t="shared" si="77"/>
        <v>48658</v>
      </c>
      <c r="M449" s="420">
        <f t="shared" si="78"/>
        <v>82533</v>
      </c>
      <c r="N449" s="445">
        <f>SUMPRODUCT(G449:J449,$G$12:$J$12,$G$9:$J$9)</f>
        <v>32258.588727272723</v>
      </c>
      <c r="O449" s="719"/>
      <c r="P449" s="719">
        <f t="shared" si="85"/>
        <v>138726.15872727273</v>
      </c>
      <c r="Q449" s="423">
        <f>SUMIF('8.Dgia'!E:E,'9.may'!E449,'8.Dgia'!P:P)</f>
        <v>0</v>
      </c>
      <c r="R449" s="429">
        <f t="shared" si="79"/>
        <v>0</v>
      </c>
      <c r="S449" s="301">
        <f t="shared" si="80"/>
        <v>14110.820000000002</v>
      </c>
      <c r="T449" s="430">
        <f t="shared" si="81"/>
        <v>128902.40872727273</v>
      </c>
      <c r="U449" s="431">
        <v>18811</v>
      </c>
      <c r="V449" s="431">
        <v>48658</v>
      </c>
      <c r="W449" s="432">
        <v>82533</v>
      </c>
      <c r="Y449" s="433">
        <f t="shared" si="82"/>
        <v>-46369.408727272734</v>
      </c>
      <c r="Z449" s="433">
        <f t="shared" si="83"/>
        <v>0</v>
      </c>
      <c r="AC449" s="410">
        <f t="shared" si="84"/>
        <v>0</v>
      </c>
    </row>
    <row r="450" spans="1:29" s="427" customFormat="1" ht="17.25" hidden="1" customHeight="1">
      <c r="B450" s="417" t="str">
        <f>IF(A450&lt;&gt;0,COUNTA(A$19:$A450),"")</f>
        <v/>
      </c>
      <c r="C450" s="428" t="s">
        <v>1291</v>
      </c>
      <c r="D450" s="428"/>
      <c r="E450" s="435"/>
      <c r="F450" s="435"/>
      <c r="G450" s="419"/>
      <c r="H450" s="419"/>
      <c r="I450" s="419">
        <v>3.24</v>
      </c>
      <c r="J450" s="419"/>
      <c r="K450" s="420">
        <v>1</v>
      </c>
      <c r="L450" s="420">
        <f t="shared" si="77"/>
        <v>48658</v>
      </c>
      <c r="M450" s="420">
        <f t="shared" si="78"/>
        <v>98479</v>
      </c>
      <c r="N450" s="445">
        <f>SUMPRODUCT(G450:J450,$G$12:$J$12,$G$9:$J$9)</f>
        <v>48387.88309090909</v>
      </c>
      <c r="O450" s="719"/>
      <c r="P450" s="719">
        <f t="shared" si="85"/>
        <v>175425.79309090908</v>
      </c>
      <c r="Q450" s="423">
        <f>SUMIF('8.Dgia'!E:E,'9.may'!E450,'8.Dgia'!P:P)</f>
        <v>0</v>
      </c>
      <c r="R450" s="429">
        <f t="shared" si="79"/>
        <v>0</v>
      </c>
      <c r="S450" s="301">
        <f t="shared" si="80"/>
        <v>14110.820000000002</v>
      </c>
      <c r="T450" s="430">
        <f t="shared" si="81"/>
        <v>160977.70309090908</v>
      </c>
      <c r="U450" s="431">
        <v>28216</v>
      </c>
      <c r="V450" s="431">
        <v>48658</v>
      </c>
      <c r="W450" s="432">
        <v>98479</v>
      </c>
      <c r="Y450" s="433">
        <f t="shared" si="82"/>
        <v>-62498.703090909083</v>
      </c>
      <c r="Z450" s="433">
        <f t="shared" si="83"/>
        <v>0</v>
      </c>
      <c r="AC450" s="410">
        <f t="shared" si="84"/>
        <v>0</v>
      </c>
    </row>
    <row r="451" spans="1:29" s="427" customFormat="1" ht="17.25" hidden="1" customHeight="1">
      <c r="B451" s="417" t="str">
        <f>IF(A451&lt;&gt;0,COUNTA(A$19:$A451),"")</f>
        <v/>
      </c>
      <c r="C451" s="428" t="s">
        <v>1274</v>
      </c>
      <c r="D451" s="428"/>
      <c r="E451" s="435"/>
      <c r="F451" s="435"/>
      <c r="G451" s="419"/>
      <c r="H451" s="419"/>
      <c r="I451" s="419">
        <v>3.78</v>
      </c>
      <c r="J451" s="419"/>
      <c r="K451" s="420">
        <v>1</v>
      </c>
      <c r="L451" s="420">
        <f t="shared" si="77"/>
        <v>48658</v>
      </c>
      <c r="M451" s="420">
        <f t="shared" si="78"/>
        <v>108397</v>
      </c>
      <c r="N451" s="445">
        <f>SUMPRODUCT(G451:J451,$G$12:$J$12,$G$9:$J$9)</f>
        <v>56452.530272727265</v>
      </c>
      <c r="O451" s="719"/>
      <c r="P451" s="719">
        <f t="shared" si="85"/>
        <v>196284.66027272725</v>
      </c>
      <c r="Q451" s="423">
        <f>SUMIF('8.Dgia'!E:E,'9.may'!E451,'8.Dgia'!P:P)</f>
        <v>0</v>
      </c>
      <c r="R451" s="429">
        <f t="shared" si="79"/>
        <v>0</v>
      </c>
      <c r="S451" s="301">
        <f t="shared" si="80"/>
        <v>14110.820000000002</v>
      </c>
      <c r="T451" s="430">
        <f t="shared" si="81"/>
        <v>178960.35027272726</v>
      </c>
      <c r="U451" s="431">
        <v>32919</v>
      </c>
      <c r="V451" s="431">
        <v>48658</v>
      </c>
      <c r="W451" s="432">
        <v>108397</v>
      </c>
      <c r="Y451" s="433">
        <f t="shared" si="82"/>
        <v>-70563.350272727257</v>
      </c>
      <c r="Z451" s="433">
        <f t="shared" si="83"/>
        <v>0</v>
      </c>
      <c r="AC451" s="410">
        <f t="shared" si="84"/>
        <v>0</v>
      </c>
    </row>
    <row r="452" spans="1:29" s="427" customFormat="1" ht="17.25" hidden="1" customHeight="1">
      <c r="B452" s="417" t="str">
        <f>IF(A452&lt;&gt;0,COUNTA(A$19:$A452),"")</f>
        <v/>
      </c>
      <c r="C452" s="428" t="s">
        <v>1292</v>
      </c>
      <c r="D452" s="428"/>
      <c r="E452" s="435"/>
      <c r="F452" s="435"/>
      <c r="G452" s="419"/>
      <c r="H452" s="419"/>
      <c r="I452" s="419">
        <v>4.32</v>
      </c>
      <c r="J452" s="419"/>
      <c r="K452" s="420">
        <v>1</v>
      </c>
      <c r="L452" s="420">
        <f t="shared" si="77"/>
        <v>48658</v>
      </c>
      <c r="M452" s="420">
        <f t="shared" si="78"/>
        <v>114403</v>
      </c>
      <c r="N452" s="445">
        <f>SUMPRODUCT(G452:J452,$G$12:$J$12,$G$9:$J$9)</f>
        <v>64517.177454545446</v>
      </c>
      <c r="O452" s="719"/>
      <c r="P452" s="719">
        <f t="shared" si="85"/>
        <v>212097.04745454545</v>
      </c>
      <c r="Q452" s="423">
        <f>SUMIF('8.Dgia'!E:E,'9.may'!E452,'8.Dgia'!P:P)</f>
        <v>0</v>
      </c>
      <c r="R452" s="429">
        <f t="shared" si="79"/>
        <v>0</v>
      </c>
      <c r="S452" s="301">
        <f t="shared" si="80"/>
        <v>14110.820000000002</v>
      </c>
      <c r="T452" s="430">
        <f t="shared" si="81"/>
        <v>193030.99745454546</v>
      </c>
      <c r="U452" s="431">
        <v>37621</v>
      </c>
      <c r="V452" s="431">
        <v>48658</v>
      </c>
      <c r="W452" s="432">
        <v>114403</v>
      </c>
      <c r="Y452" s="433">
        <f t="shared" si="82"/>
        <v>-78627.997454545461</v>
      </c>
      <c r="Z452" s="433">
        <f t="shared" si="83"/>
        <v>0</v>
      </c>
      <c r="AC452" s="410">
        <f t="shared" si="84"/>
        <v>0</v>
      </c>
    </row>
    <row r="453" spans="1:29" s="427" customFormat="1" ht="17.25" hidden="1" customHeight="1">
      <c r="B453" s="417" t="str">
        <f>IF(A453&lt;&gt;0,COUNTA(A$19:$A453),"")</f>
        <v/>
      </c>
      <c r="C453" s="418" t="s">
        <v>1293</v>
      </c>
      <c r="D453" s="418"/>
      <c r="E453" s="435"/>
      <c r="F453" s="435"/>
      <c r="G453" s="419"/>
      <c r="H453" s="419"/>
      <c r="I453" s="419"/>
      <c r="J453" s="419"/>
      <c r="K453" s="437"/>
      <c r="L453" s="420">
        <f t="shared" si="77"/>
        <v>0</v>
      </c>
      <c r="M453" s="420">
        <f t="shared" si="78"/>
        <v>0</v>
      </c>
      <c r="N453" s="445"/>
      <c r="O453" s="719"/>
      <c r="P453" s="719">
        <f t="shared" si="85"/>
        <v>0</v>
      </c>
      <c r="Q453" s="423">
        <f>SUMIF('8.Dgia'!E:E,'9.may'!E453,'8.Dgia'!P:P)</f>
        <v>0</v>
      </c>
      <c r="R453" s="429">
        <f t="shared" si="79"/>
        <v>0</v>
      </c>
      <c r="S453" s="301">
        <f t="shared" si="80"/>
        <v>0</v>
      </c>
      <c r="T453" s="430">
        <f t="shared" si="81"/>
        <v>0</v>
      </c>
      <c r="U453" s="436"/>
      <c r="V453" s="436"/>
      <c r="W453" s="432"/>
      <c r="Y453" s="433">
        <f t="shared" si="82"/>
        <v>0</v>
      </c>
      <c r="Z453" s="433">
        <f t="shared" si="83"/>
        <v>0</v>
      </c>
      <c r="AC453" s="410">
        <f t="shared" si="84"/>
        <v>0</v>
      </c>
    </row>
    <row r="454" spans="1:29" s="427" customFormat="1" ht="17.25" hidden="1" customHeight="1">
      <c r="B454" s="417" t="str">
        <f>IF(A454&lt;&gt;0,COUNTA(A$19:$A454),"")</f>
        <v/>
      </c>
      <c r="C454" s="428" t="s">
        <v>1294</v>
      </c>
      <c r="D454" s="428"/>
      <c r="E454" s="435"/>
      <c r="F454" s="435"/>
      <c r="G454" s="419">
        <v>4.8600000000000003</v>
      </c>
      <c r="H454" s="419"/>
      <c r="I454" s="419"/>
      <c r="J454" s="419"/>
      <c r="K454" s="420">
        <v>1</v>
      </c>
      <c r="L454" s="420">
        <f t="shared" si="77"/>
        <v>41873</v>
      </c>
      <c r="M454" s="420">
        <f t="shared" si="78"/>
        <v>96068</v>
      </c>
      <c r="N454" s="445">
        <f t="shared" ref="N454:N467" si="89">SUMPRODUCT(G454:J454,$G$12:$J$12,$G$9:$J$9)</f>
        <v>78958.255090909093</v>
      </c>
      <c r="O454" s="719"/>
      <c r="P454" s="719">
        <f t="shared" si="85"/>
        <v>202885.97509090911</v>
      </c>
      <c r="Q454" s="423">
        <f>SUMIF('8.Dgia'!E:E,'9.may'!E454,'8.Dgia'!P:P)</f>
        <v>0</v>
      </c>
      <c r="R454" s="429">
        <f t="shared" si="79"/>
        <v>0</v>
      </c>
      <c r="S454" s="301">
        <f t="shared" si="80"/>
        <v>12143.170000000002</v>
      </c>
      <c r="T454" s="430">
        <f t="shared" si="81"/>
        <v>187169.42509090909</v>
      </c>
      <c r="U454" s="431">
        <v>34792</v>
      </c>
      <c r="V454" s="431">
        <v>41873</v>
      </c>
      <c r="W454" s="432">
        <v>96068</v>
      </c>
      <c r="Y454" s="433">
        <f t="shared" si="82"/>
        <v>-91101.425090909092</v>
      </c>
      <c r="Z454" s="433">
        <f t="shared" si="83"/>
        <v>0</v>
      </c>
      <c r="AC454" s="410">
        <f t="shared" si="84"/>
        <v>0</v>
      </c>
    </row>
    <row r="455" spans="1:29" s="427" customFormat="1" ht="17.25" hidden="1" customHeight="1">
      <c r="B455" s="417" t="str">
        <f>IF(A455&lt;&gt;0,COUNTA(A$19:$A455),"")</f>
        <v/>
      </c>
      <c r="C455" s="428" t="s">
        <v>1295</v>
      </c>
      <c r="D455" s="428"/>
      <c r="E455" s="435"/>
      <c r="F455" s="435"/>
      <c r="G455" s="419">
        <v>7.56</v>
      </c>
      <c r="H455" s="419"/>
      <c r="I455" s="419"/>
      <c r="J455" s="419"/>
      <c r="K455" s="420">
        <v>1</v>
      </c>
      <c r="L455" s="420">
        <f t="shared" si="77"/>
        <v>41873</v>
      </c>
      <c r="M455" s="420">
        <f t="shared" si="78"/>
        <v>123323</v>
      </c>
      <c r="N455" s="445">
        <f t="shared" si="89"/>
        <v>122823.95236363634</v>
      </c>
      <c r="O455" s="719"/>
      <c r="P455" s="719">
        <f t="shared" si="85"/>
        <v>281910.62236363639</v>
      </c>
      <c r="Q455" s="423">
        <f>SUMIF('8.Dgia'!E:E,'9.may'!E455,'8.Dgia'!P:P)</f>
        <v>0</v>
      </c>
      <c r="R455" s="429">
        <f t="shared" si="79"/>
        <v>0</v>
      </c>
      <c r="S455" s="301">
        <f t="shared" si="80"/>
        <v>12143.170000000002</v>
      </c>
      <c r="T455" s="430">
        <f t="shared" si="81"/>
        <v>258290.12236363636</v>
      </c>
      <c r="U455" s="431">
        <v>54121</v>
      </c>
      <c r="V455" s="431">
        <v>41873</v>
      </c>
      <c r="W455" s="432">
        <v>123323</v>
      </c>
      <c r="Y455" s="433">
        <f t="shared" si="82"/>
        <v>-134967.12236363636</v>
      </c>
      <c r="Z455" s="433">
        <f t="shared" si="83"/>
        <v>0</v>
      </c>
      <c r="AC455" s="410">
        <f t="shared" si="84"/>
        <v>0</v>
      </c>
    </row>
    <row r="456" spans="1:29" s="427" customFormat="1" ht="17.25" hidden="1" customHeight="1">
      <c r="B456" s="417" t="str">
        <f>IF(A456&lt;&gt;0,COUNTA(A$19:$A456),"")</f>
        <v/>
      </c>
      <c r="C456" s="428" t="s">
        <v>1296</v>
      </c>
      <c r="D456" s="428"/>
      <c r="E456" s="435"/>
      <c r="F456" s="435"/>
      <c r="G456" s="419">
        <v>10.8</v>
      </c>
      <c r="H456" s="419"/>
      <c r="I456" s="419"/>
      <c r="J456" s="419"/>
      <c r="K456" s="420">
        <v>1</v>
      </c>
      <c r="L456" s="420">
        <f t="shared" si="77"/>
        <v>41873</v>
      </c>
      <c r="M456" s="420">
        <f t="shared" si="78"/>
        <v>158071</v>
      </c>
      <c r="N456" s="445">
        <f t="shared" si="89"/>
        <v>175462.78909090906</v>
      </c>
      <c r="O456" s="719"/>
      <c r="P456" s="719">
        <f t="shared" si="85"/>
        <v>379374.37909090903</v>
      </c>
      <c r="Q456" s="423">
        <f>SUMIF('8.Dgia'!E:E,'9.may'!E456,'8.Dgia'!P:P)</f>
        <v>0</v>
      </c>
      <c r="R456" s="429">
        <f t="shared" si="79"/>
        <v>0</v>
      </c>
      <c r="S456" s="301">
        <f t="shared" si="80"/>
        <v>12143.170000000002</v>
      </c>
      <c r="T456" s="430">
        <f t="shared" si="81"/>
        <v>345676.95909090911</v>
      </c>
      <c r="U456" s="431">
        <v>77316</v>
      </c>
      <c r="V456" s="431">
        <v>41873</v>
      </c>
      <c r="W456" s="432">
        <v>158071</v>
      </c>
      <c r="Y456" s="433">
        <f t="shared" si="82"/>
        <v>-187605.95909090911</v>
      </c>
      <c r="Z456" s="433">
        <f t="shared" si="83"/>
        <v>0</v>
      </c>
      <c r="AC456" s="410">
        <f t="shared" si="84"/>
        <v>0</v>
      </c>
    </row>
    <row r="457" spans="1:29" s="427" customFormat="1" ht="17.25" hidden="1" customHeight="1">
      <c r="B457" s="417" t="str">
        <f>IF(A457&lt;&gt;0,COUNTA(A$19:$A457),"")</f>
        <v/>
      </c>
      <c r="C457" s="428" t="s">
        <v>1297</v>
      </c>
      <c r="D457" s="428"/>
      <c r="E457" s="435"/>
      <c r="F457" s="435"/>
      <c r="G457" s="419">
        <v>13.5</v>
      </c>
      <c r="H457" s="419"/>
      <c r="I457" s="419"/>
      <c r="J457" s="419"/>
      <c r="K457" s="420">
        <v>1</v>
      </c>
      <c r="L457" s="420">
        <f t="shared" si="77"/>
        <v>41873</v>
      </c>
      <c r="M457" s="420">
        <f t="shared" si="78"/>
        <v>185793</v>
      </c>
      <c r="N457" s="445">
        <f t="shared" si="89"/>
        <v>219328.48636363636</v>
      </c>
      <c r="O457" s="719"/>
      <c r="P457" s="719">
        <f t="shared" si="85"/>
        <v>459001.45636363636</v>
      </c>
      <c r="Q457" s="423">
        <f>SUMIF('8.Dgia'!E:E,'9.may'!E457,'8.Dgia'!P:P)</f>
        <v>0</v>
      </c>
      <c r="R457" s="429">
        <f t="shared" si="79"/>
        <v>0</v>
      </c>
      <c r="S457" s="301">
        <f t="shared" si="80"/>
        <v>12143.170000000002</v>
      </c>
      <c r="T457" s="430">
        <f t="shared" si="81"/>
        <v>417264.65636363637</v>
      </c>
      <c r="U457" s="431">
        <v>96645</v>
      </c>
      <c r="V457" s="431">
        <v>41873</v>
      </c>
      <c r="W457" s="432">
        <v>185793</v>
      </c>
      <c r="Y457" s="433">
        <f t="shared" si="82"/>
        <v>-231471.65636363637</v>
      </c>
      <c r="Z457" s="433">
        <f t="shared" si="83"/>
        <v>0</v>
      </c>
      <c r="AC457" s="410">
        <f t="shared" si="84"/>
        <v>0</v>
      </c>
    </row>
    <row r="458" spans="1:29" s="427" customFormat="1" ht="17.25" hidden="1" customHeight="1">
      <c r="B458" s="417" t="str">
        <f>IF(A458&lt;&gt;0,COUNTA(A$19:$A458),"")</f>
        <v/>
      </c>
      <c r="C458" s="428" t="s">
        <v>1298</v>
      </c>
      <c r="D458" s="428"/>
      <c r="E458" s="435"/>
      <c r="F458" s="435"/>
      <c r="G458" s="419">
        <v>19.2</v>
      </c>
      <c r="H458" s="419"/>
      <c r="I458" s="419"/>
      <c r="J458" s="419"/>
      <c r="K458" s="420">
        <v>1</v>
      </c>
      <c r="L458" s="420">
        <f t="shared" si="77"/>
        <v>41873</v>
      </c>
      <c r="M458" s="420">
        <f t="shared" si="78"/>
        <v>217147</v>
      </c>
      <c r="N458" s="445">
        <f t="shared" si="89"/>
        <v>311933.84727272723</v>
      </c>
      <c r="O458" s="719"/>
      <c r="P458" s="719">
        <f t="shared" si="85"/>
        <v>592053.47727272729</v>
      </c>
      <c r="Q458" s="423">
        <f>SUMIF('8.Dgia'!E:E,'9.may'!E458,'8.Dgia'!P:P)</f>
        <v>0</v>
      </c>
      <c r="R458" s="429">
        <f t="shared" si="79"/>
        <v>0</v>
      </c>
      <c r="S458" s="301">
        <f t="shared" si="80"/>
        <v>12143.170000000002</v>
      </c>
      <c r="T458" s="430">
        <f t="shared" si="81"/>
        <v>541224.01727272721</v>
      </c>
      <c r="U458" s="431">
        <v>137451</v>
      </c>
      <c r="V458" s="431">
        <v>41873</v>
      </c>
      <c r="W458" s="432">
        <v>217147</v>
      </c>
      <c r="Y458" s="433">
        <f t="shared" si="82"/>
        <v>-324077.01727272721</v>
      </c>
      <c r="Z458" s="433">
        <f t="shared" si="83"/>
        <v>0</v>
      </c>
      <c r="AC458" s="410">
        <f t="shared" si="84"/>
        <v>0</v>
      </c>
    </row>
    <row r="459" spans="1:29" s="427" customFormat="1" ht="17.25" hidden="1" customHeight="1">
      <c r="B459" s="417" t="str">
        <f>IF(A459&lt;&gt;0,COUNTA(A$19:$A459),"")</f>
        <v/>
      </c>
      <c r="C459" s="428" t="s">
        <v>1299</v>
      </c>
      <c r="D459" s="428"/>
      <c r="E459" s="435"/>
      <c r="F459" s="435"/>
      <c r="G459" s="419">
        <v>21.6</v>
      </c>
      <c r="H459" s="419"/>
      <c r="I459" s="419"/>
      <c r="J459" s="419"/>
      <c r="K459" s="420">
        <v>1</v>
      </c>
      <c r="L459" s="420">
        <f t="shared" si="77"/>
        <v>41873</v>
      </c>
      <c r="M459" s="420">
        <f t="shared" si="78"/>
        <v>248695</v>
      </c>
      <c r="N459" s="445">
        <f t="shared" si="89"/>
        <v>350925.57818181813</v>
      </c>
      <c r="O459" s="719"/>
      <c r="P459" s="719">
        <f t="shared" si="85"/>
        <v>671742.12818181817</v>
      </c>
      <c r="Q459" s="423">
        <f>SUMIF('8.Dgia'!E:E,'9.may'!E459,'8.Dgia'!P:P)</f>
        <v>0</v>
      </c>
      <c r="R459" s="429">
        <f t="shared" si="79"/>
        <v>0</v>
      </c>
      <c r="S459" s="301">
        <f t="shared" si="80"/>
        <v>12143.170000000002</v>
      </c>
      <c r="T459" s="430">
        <f t="shared" si="81"/>
        <v>611763.74818181805</v>
      </c>
      <c r="U459" s="431">
        <v>154632</v>
      </c>
      <c r="V459" s="431">
        <v>41873</v>
      </c>
      <c r="W459" s="432">
        <v>248695</v>
      </c>
      <c r="Y459" s="433">
        <f t="shared" si="82"/>
        <v>-363068.74818181805</v>
      </c>
      <c r="Z459" s="433">
        <f t="shared" si="83"/>
        <v>0</v>
      </c>
      <c r="AC459" s="410">
        <f t="shared" si="84"/>
        <v>0</v>
      </c>
    </row>
    <row r="460" spans="1:29" s="427" customFormat="1" ht="17.25" customHeight="1">
      <c r="A460" s="410">
        <v>1</v>
      </c>
      <c r="B460" s="417">
        <f>IF(A460&lt;&gt;0,COUNTA(A$19:$A460),"")</f>
        <v>106</v>
      </c>
      <c r="C460" s="428" t="s">
        <v>1300</v>
      </c>
      <c r="D460" s="428" t="s">
        <v>1301</v>
      </c>
      <c r="E460" s="435" t="s">
        <v>1302</v>
      </c>
      <c r="F460" s="435" t="s">
        <v>4760</v>
      </c>
      <c r="G460" s="419">
        <v>24</v>
      </c>
      <c r="H460" s="419"/>
      <c r="I460" s="419"/>
      <c r="J460" s="419"/>
      <c r="K460" s="420">
        <v>1</v>
      </c>
      <c r="L460" s="420">
        <f t="shared" si="77"/>
        <v>41873</v>
      </c>
      <c r="M460" s="420">
        <f t="shared" si="78"/>
        <v>281701</v>
      </c>
      <c r="N460" s="445">
        <f t="shared" si="89"/>
        <v>389917.30909090902</v>
      </c>
      <c r="O460" s="719"/>
      <c r="P460" s="719">
        <f t="shared" si="85"/>
        <v>753311.59909090912</v>
      </c>
      <c r="Q460" s="423" t="e">
        <f>SUMIF('8.Dgia'!E:E,'9.may'!E460,'8.Dgia'!P:P)</f>
        <v>#REF!</v>
      </c>
      <c r="R460" s="429" t="e">
        <f t="shared" si="79"/>
        <v>#REF!</v>
      </c>
      <c r="S460" s="301">
        <f t="shared" si="80"/>
        <v>12143.170000000002</v>
      </c>
      <c r="T460" s="430">
        <f t="shared" si="81"/>
        <v>683761.47909090901</v>
      </c>
      <c r="U460" s="2053">
        <v>171814</v>
      </c>
      <c r="V460" s="2053">
        <v>41873</v>
      </c>
      <c r="W460" s="2054">
        <v>281701</v>
      </c>
      <c r="Y460" s="433">
        <f t="shared" si="82"/>
        <v>-402060.47909090901</v>
      </c>
      <c r="Z460" s="433">
        <f t="shared" si="83"/>
        <v>0</v>
      </c>
      <c r="AC460" s="410" t="e">
        <f t="shared" si="84"/>
        <v>#REF!</v>
      </c>
    </row>
    <row r="461" spans="1:29" s="427" customFormat="1" ht="17.25" hidden="1" customHeight="1">
      <c r="B461" s="417" t="str">
        <f>IF(A461&lt;&gt;0,COUNTA(A$19:$A461),"")</f>
        <v/>
      </c>
      <c r="C461" s="428" t="s">
        <v>1303</v>
      </c>
      <c r="D461" s="428"/>
      <c r="E461" s="435"/>
      <c r="F461" s="435"/>
      <c r="G461" s="419">
        <v>28.8</v>
      </c>
      <c r="H461" s="419"/>
      <c r="I461" s="419"/>
      <c r="J461" s="419"/>
      <c r="K461" s="420">
        <v>1</v>
      </c>
      <c r="L461" s="420">
        <f t="shared" si="77"/>
        <v>41873</v>
      </c>
      <c r="M461" s="420">
        <f t="shared" si="78"/>
        <v>324962</v>
      </c>
      <c r="N461" s="445">
        <f t="shared" si="89"/>
        <v>467900.77090909088</v>
      </c>
      <c r="O461" s="719"/>
      <c r="P461" s="719">
        <f t="shared" si="85"/>
        <v>887101.75090909097</v>
      </c>
      <c r="Q461" s="423">
        <f>SUMIF('8.Dgia'!E:E,'9.may'!E461,'8.Dgia'!P:P)</f>
        <v>0</v>
      </c>
      <c r="R461" s="429">
        <f t="shared" si="79"/>
        <v>0</v>
      </c>
      <c r="S461" s="301">
        <f t="shared" si="80"/>
        <v>12143.170000000002</v>
      </c>
      <c r="T461" s="430">
        <f t="shared" si="81"/>
        <v>805005.94090909092</v>
      </c>
      <c r="U461" s="431">
        <v>206176</v>
      </c>
      <c r="V461" s="431">
        <v>41873</v>
      </c>
      <c r="W461" s="432">
        <v>324962</v>
      </c>
      <c r="Y461" s="433">
        <f t="shared" si="82"/>
        <v>-480043.94090909092</v>
      </c>
      <c r="Z461" s="433">
        <f t="shared" si="83"/>
        <v>0</v>
      </c>
      <c r="AC461" s="410">
        <f t="shared" si="84"/>
        <v>0</v>
      </c>
    </row>
    <row r="462" spans="1:29" s="427" customFormat="1" ht="17.25" hidden="1" customHeight="1">
      <c r="B462" s="417" t="str">
        <f>IF(A462&lt;&gt;0,COUNTA(A$19:$A462),"")</f>
        <v/>
      </c>
      <c r="C462" s="428" t="s">
        <v>1304</v>
      </c>
      <c r="D462" s="428"/>
      <c r="E462" s="435"/>
      <c r="F462" s="435"/>
      <c r="G462" s="419">
        <v>31.2</v>
      </c>
      <c r="H462" s="419"/>
      <c r="I462" s="419"/>
      <c r="J462" s="419"/>
      <c r="K462" s="420">
        <v>1</v>
      </c>
      <c r="L462" s="420">
        <f t="shared" si="77"/>
        <v>41873</v>
      </c>
      <c r="M462" s="420">
        <f t="shared" si="78"/>
        <v>351596</v>
      </c>
      <c r="N462" s="445">
        <f t="shared" si="89"/>
        <v>506892.50181818177</v>
      </c>
      <c r="O462" s="719"/>
      <c r="P462" s="719">
        <f t="shared" si="85"/>
        <v>960451.3418181818</v>
      </c>
      <c r="Q462" s="423">
        <f>SUMIF('8.Dgia'!E:E,'9.may'!E462,'8.Dgia'!P:P)</f>
        <v>0</v>
      </c>
      <c r="R462" s="429">
        <f t="shared" si="79"/>
        <v>0</v>
      </c>
      <c r="S462" s="301">
        <f t="shared" si="80"/>
        <v>12143.170000000002</v>
      </c>
      <c r="T462" s="430">
        <f t="shared" si="81"/>
        <v>870631.67181818176</v>
      </c>
      <c r="U462" s="431">
        <v>223358</v>
      </c>
      <c r="V462" s="431">
        <v>41873</v>
      </c>
      <c r="W462" s="432">
        <v>351596</v>
      </c>
      <c r="Y462" s="433">
        <f t="shared" si="82"/>
        <v>-519035.67181818176</v>
      </c>
      <c r="Z462" s="433">
        <f t="shared" si="83"/>
        <v>0</v>
      </c>
      <c r="AC462" s="410">
        <f t="shared" si="84"/>
        <v>0</v>
      </c>
    </row>
    <row r="463" spans="1:29" s="427" customFormat="1" ht="17.25" customHeight="1">
      <c r="A463" s="410">
        <v>1</v>
      </c>
      <c r="B463" s="417">
        <f>IF(A463&lt;&gt;0,COUNTA(A$19:$A463),"")</f>
        <v>107</v>
      </c>
      <c r="C463" s="428" t="s">
        <v>1305</v>
      </c>
      <c r="D463" s="428" t="s">
        <v>1306</v>
      </c>
      <c r="E463" s="435" t="s">
        <v>1307</v>
      </c>
      <c r="F463" s="435" t="s">
        <v>4761</v>
      </c>
      <c r="G463" s="419">
        <v>36</v>
      </c>
      <c r="H463" s="419"/>
      <c r="I463" s="419"/>
      <c r="J463" s="419"/>
      <c r="K463" s="420">
        <v>1</v>
      </c>
      <c r="L463" s="420">
        <f t="shared" si="77"/>
        <v>41873</v>
      </c>
      <c r="M463" s="420">
        <f t="shared" si="78"/>
        <v>398931</v>
      </c>
      <c r="N463" s="445">
        <f t="shared" si="89"/>
        <v>584875.96363636351</v>
      </c>
      <c r="O463" s="719"/>
      <c r="P463" s="719">
        <f t="shared" si="85"/>
        <v>1099496.9536363636</v>
      </c>
      <c r="Q463" s="423">
        <f>SUMIF('8.Dgia'!E:E,'9.may'!E463,'8.Dgia'!P:P)</f>
        <v>0</v>
      </c>
      <c r="R463" s="429">
        <f t="shared" si="79"/>
        <v>0</v>
      </c>
      <c r="S463" s="301">
        <f t="shared" si="80"/>
        <v>12143.170000000002</v>
      </c>
      <c r="T463" s="430">
        <f t="shared" si="81"/>
        <v>995950.13363636355</v>
      </c>
      <c r="U463" s="2053">
        <v>257720</v>
      </c>
      <c r="V463" s="2053">
        <v>41873</v>
      </c>
      <c r="W463" s="2054">
        <v>398931</v>
      </c>
      <c r="Y463" s="433">
        <f t="shared" si="82"/>
        <v>-597019.13363636355</v>
      </c>
      <c r="Z463" s="433">
        <f t="shared" si="83"/>
        <v>0</v>
      </c>
      <c r="AC463" s="410">
        <f t="shared" si="84"/>
        <v>0</v>
      </c>
    </row>
    <row r="464" spans="1:29" s="427" customFormat="1" ht="17.25" hidden="1" customHeight="1">
      <c r="B464" s="417" t="str">
        <f>IF(A464&lt;&gt;0,COUNTA(A$19:$A464),"")</f>
        <v/>
      </c>
      <c r="C464" s="428" t="s">
        <v>1308</v>
      </c>
      <c r="D464" s="428"/>
      <c r="E464" s="435"/>
      <c r="F464" s="435"/>
      <c r="G464" s="419">
        <v>40.5</v>
      </c>
      <c r="H464" s="419"/>
      <c r="I464" s="419"/>
      <c r="J464" s="419"/>
      <c r="K464" s="420">
        <v>1</v>
      </c>
      <c r="L464" s="420">
        <f t="shared" si="77"/>
        <v>41873</v>
      </c>
      <c r="M464" s="420">
        <f t="shared" si="78"/>
        <v>428520</v>
      </c>
      <c r="N464" s="445">
        <f t="shared" si="89"/>
        <v>657985.45909090911</v>
      </c>
      <c r="O464" s="719"/>
      <c r="P464" s="719">
        <f t="shared" si="85"/>
        <v>1210776.2590909093</v>
      </c>
      <c r="Q464" s="423">
        <f>SUMIF('8.Dgia'!E:E,'9.may'!E464,'8.Dgia'!P:P)</f>
        <v>0</v>
      </c>
      <c r="R464" s="429">
        <f t="shared" si="79"/>
        <v>0</v>
      </c>
      <c r="S464" s="301">
        <f t="shared" si="80"/>
        <v>12143.170000000002</v>
      </c>
      <c r="T464" s="430">
        <f t="shared" si="81"/>
        <v>1098648.6290909091</v>
      </c>
      <c r="U464" s="431">
        <v>289935</v>
      </c>
      <c r="V464" s="431">
        <v>41873</v>
      </c>
      <c r="W464" s="432">
        <v>428520</v>
      </c>
      <c r="Y464" s="433">
        <f t="shared" si="82"/>
        <v>-670128.62909090915</v>
      </c>
      <c r="Z464" s="433">
        <f t="shared" si="83"/>
        <v>0</v>
      </c>
      <c r="AC464" s="410">
        <f t="shared" si="84"/>
        <v>0</v>
      </c>
    </row>
    <row r="465" spans="1:29" s="427" customFormat="1" ht="17.25" customHeight="1">
      <c r="A465" s="410">
        <v>1</v>
      </c>
      <c r="B465" s="417">
        <f>IF(A465&lt;&gt;0,COUNTA(A$19:$A465),"")</f>
        <v>108</v>
      </c>
      <c r="C465" s="428" t="s">
        <v>1309</v>
      </c>
      <c r="D465" s="428" t="s">
        <v>1310</v>
      </c>
      <c r="E465" s="435" t="s">
        <v>1311</v>
      </c>
      <c r="F465" s="435" t="s">
        <v>4762</v>
      </c>
      <c r="G465" s="419">
        <v>45</v>
      </c>
      <c r="H465" s="419"/>
      <c r="I465" s="419"/>
      <c r="J465" s="419"/>
      <c r="K465" s="420">
        <v>1</v>
      </c>
      <c r="L465" s="420">
        <f t="shared" si="77"/>
        <v>48658</v>
      </c>
      <c r="M465" s="420">
        <f t="shared" si="78"/>
        <v>492456</v>
      </c>
      <c r="N465" s="445">
        <f t="shared" si="89"/>
        <v>731094.95454545447</v>
      </c>
      <c r="O465" s="719"/>
      <c r="P465" s="719">
        <f t="shared" si="85"/>
        <v>1366363.1945454543</v>
      </c>
      <c r="Q465" s="423">
        <f>SUMIF('8.Dgia'!E:E,'9.may'!E465,'8.Dgia'!P:P)</f>
        <v>0</v>
      </c>
      <c r="R465" s="429">
        <f t="shared" si="79"/>
        <v>0</v>
      </c>
      <c r="S465" s="301">
        <f t="shared" si="80"/>
        <v>14110.820000000002</v>
      </c>
      <c r="T465" s="430">
        <f t="shared" si="81"/>
        <v>1237661.7745454544</v>
      </c>
      <c r="U465" s="2053">
        <v>322151</v>
      </c>
      <c r="V465" s="2053">
        <v>48658</v>
      </c>
      <c r="W465" s="2054">
        <v>492456</v>
      </c>
      <c r="Y465" s="433">
        <f t="shared" si="82"/>
        <v>-745205.77454545442</v>
      </c>
      <c r="Z465" s="433">
        <f t="shared" si="83"/>
        <v>0</v>
      </c>
      <c r="AC465" s="410">
        <f t="shared" si="84"/>
        <v>0</v>
      </c>
    </row>
    <row r="466" spans="1:29" s="427" customFormat="1" ht="17.25" hidden="1" customHeight="1">
      <c r="B466" s="417" t="str">
        <f>IF(A466&lt;&gt;0,COUNTA(A$19:$A466),"")</f>
        <v/>
      </c>
      <c r="C466" s="428" t="s">
        <v>1312</v>
      </c>
      <c r="D466" s="428"/>
      <c r="E466" s="435"/>
      <c r="F466" s="435"/>
      <c r="G466" s="419">
        <v>68.25</v>
      </c>
      <c r="H466" s="419"/>
      <c r="I466" s="419"/>
      <c r="J466" s="419"/>
      <c r="K466" s="420">
        <v>1</v>
      </c>
      <c r="L466" s="420">
        <f t="shared" si="77"/>
        <v>48658</v>
      </c>
      <c r="M466" s="420">
        <f t="shared" si="78"/>
        <v>742812</v>
      </c>
      <c r="N466" s="445">
        <f t="shared" si="89"/>
        <v>1108827.3477272724</v>
      </c>
      <c r="O466" s="719"/>
      <c r="P466" s="719">
        <f t="shared" si="85"/>
        <v>2067054.8277272724</v>
      </c>
      <c r="Q466" s="423">
        <f>SUMIF('8.Dgia'!E:E,'9.may'!E466,'8.Dgia'!P:P)</f>
        <v>0</v>
      </c>
      <c r="R466" s="429">
        <f t="shared" si="79"/>
        <v>0</v>
      </c>
      <c r="S466" s="301">
        <f t="shared" si="80"/>
        <v>14110.820000000002</v>
      </c>
      <c r="T466" s="430">
        <f t="shared" si="81"/>
        <v>1865750.1677272725</v>
      </c>
      <c r="U466" s="431">
        <v>488595</v>
      </c>
      <c r="V466" s="431">
        <v>48658</v>
      </c>
      <c r="W466" s="432">
        <v>742812</v>
      </c>
      <c r="Y466" s="433">
        <f t="shared" si="82"/>
        <v>-1122938.1677272725</v>
      </c>
      <c r="Z466" s="433">
        <f t="shared" si="83"/>
        <v>0</v>
      </c>
      <c r="AC466" s="410">
        <f t="shared" si="84"/>
        <v>0</v>
      </c>
    </row>
    <row r="467" spans="1:29" s="427" customFormat="1" ht="17.25" hidden="1" customHeight="1">
      <c r="B467" s="417" t="str">
        <f>IF(A467&lt;&gt;0,COUNTA(A$19:$A467),"")</f>
        <v/>
      </c>
      <c r="C467" s="428" t="s">
        <v>1313</v>
      </c>
      <c r="D467" s="428"/>
      <c r="E467" s="435"/>
      <c r="F467" s="435" t="s">
        <v>4763</v>
      </c>
      <c r="G467" s="419">
        <v>75.599999999999994</v>
      </c>
      <c r="H467" s="419"/>
      <c r="I467" s="419"/>
      <c r="J467" s="419"/>
      <c r="K467" s="420">
        <v>1</v>
      </c>
      <c r="L467" s="420">
        <f t="shared" si="77"/>
        <v>48658</v>
      </c>
      <c r="M467" s="420">
        <f t="shared" si="78"/>
        <v>794098</v>
      </c>
      <c r="N467" s="445">
        <f t="shared" si="89"/>
        <v>1228239.5236363634</v>
      </c>
      <c r="O467" s="719"/>
      <c r="P467" s="719">
        <f t="shared" si="85"/>
        <v>2252625.9436363634</v>
      </c>
      <c r="Q467" s="423">
        <f>SUMIF('8.Dgia'!E:E,'9.may'!E467,'8.Dgia'!P:P)</f>
        <v>0</v>
      </c>
      <c r="R467" s="429">
        <f t="shared" si="79"/>
        <v>0</v>
      </c>
      <c r="S467" s="301">
        <f t="shared" si="80"/>
        <v>14110.820000000002</v>
      </c>
      <c r="T467" s="430">
        <f t="shared" si="81"/>
        <v>2036448.3436363635</v>
      </c>
      <c r="U467" s="431">
        <v>541213</v>
      </c>
      <c r="V467" s="431">
        <v>48658</v>
      </c>
      <c r="W467" s="432">
        <v>794098</v>
      </c>
      <c r="Y467" s="433">
        <f t="shared" si="82"/>
        <v>-1242350.3436363635</v>
      </c>
      <c r="Z467" s="433">
        <f t="shared" si="83"/>
        <v>0</v>
      </c>
      <c r="AC467" s="410">
        <f t="shared" si="84"/>
        <v>0</v>
      </c>
    </row>
    <row r="468" spans="1:29" s="427" customFormat="1" ht="17.25" hidden="1" customHeight="1">
      <c r="B468" s="417" t="str">
        <f>IF(A468&lt;&gt;0,COUNTA(A$19:$A468),"")</f>
        <v/>
      </c>
      <c r="C468" s="418" t="s">
        <v>1314</v>
      </c>
      <c r="D468" s="418"/>
      <c r="E468" s="435"/>
      <c r="F468" s="435"/>
      <c r="G468" s="419"/>
      <c r="H468" s="419"/>
      <c r="I468" s="419"/>
      <c r="J468" s="419"/>
      <c r="K468" s="437"/>
      <c r="L468" s="420">
        <f t="shared" ref="L468:L531" si="90">+V468</f>
        <v>0</v>
      </c>
      <c r="M468" s="420">
        <f t="shared" ref="M468:M531" si="91">+W468</f>
        <v>0</v>
      </c>
      <c r="N468" s="445"/>
      <c r="O468" s="719"/>
      <c r="P468" s="719">
        <f t="shared" si="85"/>
        <v>0</v>
      </c>
      <c r="Q468" s="423">
        <f>SUMIF('8.Dgia'!E:E,'9.may'!E468,'8.Dgia'!P:P)</f>
        <v>0</v>
      </c>
      <c r="R468" s="429">
        <f t="shared" ref="R468:R531" si="92">N468*Q468</f>
        <v>0</v>
      </c>
      <c r="S468" s="301">
        <f t="shared" ref="S468:S531" si="93">L468*($G$13-1)</f>
        <v>0</v>
      </c>
      <c r="T468" s="430">
        <f t="shared" ref="T468:T531" si="94">S468+N468+M468</f>
        <v>0</v>
      </c>
      <c r="U468" s="436"/>
      <c r="V468" s="436"/>
      <c r="W468" s="432"/>
      <c r="Y468" s="433">
        <f t="shared" ref="Y468:Y531" si="95">W468-T468</f>
        <v>0</v>
      </c>
      <c r="Z468" s="433">
        <f t="shared" ref="Z468:Z531" si="96">W468-M468</f>
        <v>0</v>
      </c>
      <c r="AC468" s="410">
        <f t="shared" ref="AC468:AC531" si="97">+P468*Q468</f>
        <v>0</v>
      </c>
    </row>
    <row r="469" spans="1:29" s="427" customFormat="1" ht="17.25" hidden="1" customHeight="1">
      <c r="B469" s="417" t="str">
        <f>IF(A469&lt;&gt;0,COUNTA(A$19:$A469),"")</f>
        <v/>
      </c>
      <c r="C469" s="428" t="s">
        <v>1315</v>
      </c>
      <c r="D469" s="428"/>
      <c r="E469" s="435"/>
      <c r="F469" s="435"/>
      <c r="G469" s="419"/>
      <c r="H469" s="419"/>
      <c r="I469" s="419">
        <v>0.63</v>
      </c>
      <c r="J469" s="419"/>
      <c r="K469" s="420">
        <v>1</v>
      </c>
      <c r="L469" s="420">
        <f t="shared" si="90"/>
        <v>48658</v>
      </c>
      <c r="M469" s="420">
        <f t="shared" si="91"/>
        <v>56806</v>
      </c>
      <c r="N469" s="445">
        <f t="shared" ref="N469:N476" si="98">SUMPRODUCT(G469:J469,$G$12:$J$12,$G$9:$J$9)</f>
        <v>9408.7550454545435</v>
      </c>
      <c r="O469" s="719"/>
      <c r="P469" s="719">
        <f t="shared" ref="P469:P532" si="99">+N469+M469*$G$13</f>
        <v>82688.495045454547</v>
      </c>
      <c r="Q469" s="423">
        <f>SUMIF('8.Dgia'!E:E,'9.may'!E469,'8.Dgia'!P:P)</f>
        <v>0</v>
      </c>
      <c r="R469" s="429">
        <f t="shared" si="92"/>
        <v>0</v>
      </c>
      <c r="S469" s="301">
        <f t="shared" si="93"/>
        <v>14110.820000000002</v>
      </c>
      <c r="T469" s="430">
        <f t="shared" si="94"/>
        <v>80325.575045454549</v>
      </c>
      <c r="U469" s="431">
        <v>5486</v>
      </c>
      <c r="V469" s="431">
        <v>48658</v>
      </c>
      <c r="W469" s="432">
        <v>56806</v>
      </c>
      <c r="Y469" s="433">
        <f t="shared" si="95"/>
        <v>-23519.575045454549</v>
      </c>
      <c r="Z469" s="433">
        <f t="shared" si="96"/>
        <v>0</v>
      </c>
      <c r="AC469" s="410">
        <f t="shared" si="97"/>
        <v>0</v>
      </c>
    </row>
    <row r="470" spans="1:29" s="427" customFormat="1" ht="17.25" customHeight="1">
      <c r="A470" s="410">
        <v>1</v>
      </c>
      <c r="B470" s="417">
        <f>IF(A470&lt;&gt;0,COUNTA(A$19:$A470),"")</f>
        <v>109</v>
      </c>
      <c r="C470" s="428" t="s">
        <v>1210</v>
      </c>
      <c r="D470" s="428"/>
      <c r="E470" s="435" t="s">
        <v>1982</v>
      </c>
      <c r="F470" s="435"/>
      <c r="G470" s="419"/>
      <c r="H470" s="419"/>
      <c r="I470" s="419">
        <v>1.8</v>
      </c>
      <c r="J470" s="419"/>
      <c r="K470" s="420">
        <v>1</v>
      </c>
      <c r="L470" s="420">
        <f t="shared" si="90"/>
        <v>48658</v>
      </c>
      <c r="M470" s="420">
        <f t="shared" si="91"/>
        <v>68287</v>
      </c>
      <c r="N470" s="445">
        <f t="shared" si="98"/>
        <v>26882.157272727272</v>
      </c>
      <c r="O470" s="719"/>
      <c r="P470" s="719">
        <f t="shared" si="99"/>
        <v>114972.38727272727</v>
      </c>
      <c r="Q470" s="423">
        <f>SUMIF('8.Dgia'!E:E,'9.may'!E470,'8.Dgia'!P:P)</f>
        <v>0</v>
      </c>
      <c r="R470" s="429">
        <f t="shared" si="92"/>
        <v>0</v>
      </c>
      <c r="S470" s="301">
        <f t="shared" si="93"/>
        <v>14110.820000000002</v>
      </c>
      <c r="T470" s="430">
        <f t="shared" si="94"/>
        <v>109279.97727272726</v>
      </c>
      <c r="U470" s="2053">
        <v>15676</v>
      </c>
      <c r="V470" s="2053">
        <v>48658</v>
      </c>
      <c r="W470" s="2054">
        <v>68287</v>
      </c>
      <c r="Y470" s="433">
        <f t="shared" si="95"/>
        <v>-40992.977272727265</v>
      </c>
      <c r="Z470" s="433">
        <f t="shared" si="96"/>
        <v>0</v>
      </c>
      <c r="AC470" s="410">
        <f t="shared" si="97"/>
        <v>0</v>
      </c>
    </row>
    <row r="471" spans="1:29" s="427" customFormat="1" ht="17.25" hidden="1" customHeight="1">
      <c r="B471" s="417" t="str">
        <f>IF(A471&lt;&gt;0,COUNTA(A$19:$A471),"")</f>
        <v/>
      </c>
      <c r="C471" s="428" t="s">
        <v>1155</v>
      </c>
      <c r="D471" s="428"/>
      <c r="E471" s="435"/>
      <c r="F471" s="435"/>
      <c r="G471" s="419"/>
      <c r="H471" s="419"/>
      <c r="I471" s="419">
        <v>2.88</v>
      </c>
      <c r="J471" s="419"/>
      <c r="K471" s="420">
        <v>1</v>
      </c>
      <c r="L471" s="420">
        <f t="shared" si="90"/>
        <v>48658</v>
      </c>
      <c r="M471" s="420">
        <f t="shared" si="91"/>
        <v>81266</v>
      </c>
      <c r="N471" s="445">
        <f t="shared" si="98"/>
        <v>43011.451636363628</v>
      </c>
      <c r="O471" s="719"/>
      <c r="P471" s="719">
        <f t="shared" si="99"/>
        <v>147844.59163636362</v>
      </c>
      <c r="Q471" s="423">
        <f>SUMIF('8.Dgia'!E:E,'9.may'!E471,'8.Dgia'!P:P)</f>
        <v>0</v>
      </c>
      <c r="R471" s="429">
        <f t="shared" si="92"/>
        <v>0</v>
      </c>
      <c r="S471" s="301">
        <f t="shared" si="93"/>
        <v>14110.820000000002</v>
      </c>
      <c r="T471" s="430">
        <f t="shared" si="94"/>
        <v>138388.27163636364</v>
      </c>
      <c r="U471" s="431">
        <v>25081</v>
      </c>
      <c r="V471" s="431">
        <v>48658</v>
      </c>
      <c r="W471" s="432">
        <v>81266</v>
      </c>
      <c r="Y471" s="433">
        <f t="shared" si="95"/>
        <v>-57122.271636363643</v>
      </c>
      <c r="Z471" s="433">
        <f t="shared" si="96"/>
        <v>0</v>
      </c>
      <c r="AC471" s="410">
        <f t="shared" si="97"/>
        <v>0</v>
      </c>
    </row>
    <row r="472" spans="1:29" s="427" customFormat="1" ht="17.25" hidden="1" customHeight="1">
      <c r="B472" s="417" t="str">
        <f>IF(A472&lt;&gt;0,COUNTA(A$19:$A472),"")</f>
        <v/>
      </c>
      <c r="C472" s="428" t="s">
        <v>1316</v>
      </c>
      <c r="D472" s="428"/>
      <c r="E472" s="435"/>
      <c r="F472" s="435"/>
      <c r="G472" s="419"/>
      <c r="H472" s="419"/>
      <c r="I472" s="419">
        <v>7.8</v>
      </c>
      <c r="J472" s="419"/>
      <c r="K472" s="420">
        <v>1</v>
      </c>
      <c r="L472" s="420">
        <f t="shared" si="90"/>
        <v>48658</v>
      </c>
      <c r="M472" s="420">
        <f t="shared" si="91"/>
        <v>136731</v>
      </c>
      <c r="N472" s="445">
        <f t="shared" si="98"/>
        <v>116489.34818181818</v>
      </c>
      <c r="O472" s="719"/>
      <c r="P472" s="719">
        <f t="shared" si="99"/>
        <v>292872.33818181814</v>
      </c>
      <c r="Q472" s="423">
        <f>SUMIF('8.Dgia'!E:E,'9.may'!E472,'8.Dgia'!P:P)</f>
        <v>0</v>
      </c>
      <c r="R472" s="429">
        <f t="shared" si="92"/>
        <v>0</v>
      </c>
      <c r="S472" s="301">
        <f t="shared" si="93"/>
        <v>14110.820000000002</v>
      </c>
      <c r="T472" s="430">
        <f t="shared" si="94"/>
        <v>267331.16818181821</v>
      </c>
      <c r="U472" s="431">
        <v>67927</v>
      </c>
      <c r="V472" s="431">
        <v>48658</v>
      </c>
      <c r="W472" s="432">
        <v>136731</v>
      </c>
      <c r="Y472" s="433">
        <f t="shared" si="95"/>
        <v>-130600.16818181821</v>
      </c>
      <c r="Z472" s="433">
        <f t="shared" si="96"/>
        <v>0</v>
      </c>
      <c r="AC472" s="410">
        <f t="shared" si="97"/>
        <v>0</v>
      </c>
    </row>
    <row r="473" spans="1:29" s="427" customFormat="1" ht="17.25" hidden="1" customHeight="1">
      <c r="B473" s="417" t="str">
        <f>IF(A473&lt;&gt;0,COUNTA(A$19:$A473),"")</f>
        <v/>
      </c>
      <c r="C473" s="428" t="s">
        <v>1317</v>
      </c>
      <c r="D473" s="428"/>
      <c r="E473" s="435"/>
      <c r="F473" s="435"/>
      <c r="G473" s="419"/>
      <c r="H473" s="419"/>
      <c r="I473" s="419">
        <v>14.4</v>
      </c>
      <c r="J473" s="419"/>
      <c r="K473" s="420">
        <v>1</v>
      </c>
      <c r="L473" s="420">
        <f t="shared" si="90"/>
        <v>48658</v>
      </c>
      <c r="M473" s="420">
        <f t="shared" si="91"/>
        <v>233178</v>
      </c>
      <c r="N473" s="445">
        <f t="shared" si="98"/>
        <v>215057.25818181818</v>
      </c>
      <c r="O473" s="719"/>
      <c r="P473" s="719">
        <f t="shared" si="99"/>
        <v>515856.87818181817</v>
      </c>
      <c r="Q473" s="423">
        <f>SUMIF('8.Dgia'!E:E,'9.may'!E473,'8.Dgia'!P:P)</f>
        <v>0</v>
      </c>
      <c r="R473" s="429">
        <f t="shared" si="92"/>
        <v>0</v>
      </c>
      <c r="S473" s="301">
        <f t="shared" si="93"/>
        <v>14110.820000000002</v>
      </c>
      <c r="T473" s="430">
        <f t="shared" si="94"/>
        <v>462346.07818181819</v>
      </c>
      <c r="U473" s="431">
        <v>125405</v>
      </c>
      <c r="V473" s="431">
        <v>48658</v>
      </c>
      <c r="W473" s="432">
        <v>233178</v>
      </c>
      <c r="Y473" s="433">
        <f t="shared" si="95"/>
        <v>-229168.07818181819</v>
      </c>
      <c r="Z473" s="433">
        <f t="shared" si="96"/>
        <v>0</v>
      </c>
      <c r="AC473" s="410">
        <f t="shared" si="97"/>
        <v>0</v>
      </c>
    </row>
    <row r="474" spans="1:29" s="427" customFormat="1" ht="17.25" hidden="1" customHeight="1">
      <c r="B474" s="417" t="str">
        <f>IF(A474&lt;&gt;0,COUNTA(A$19:$A474),"")</f>
        <v/>
      </c>
      <c r="C474" s="428" t="s">
        <v>1216</v>
      </c>
      <c r="D474" s="428"/>
      <c r="E474" s="435"/>
      <c r="F474" s="435"/>
      <c r="G474" s="419"/>
      <c r="H474" s="419"/>
      <c r="I474" s="419">
        <v>24</v>
      </c>
      <c r="J474" s="419"/>
      <c r="K474" s="420">
        <v>1</v>
      </c>
      <c r="L474" s="420">
        <f t="shared" si="90"/>
        <v>48658</v>
      </c>
      <c r="M474" s="420">
        <f t="shared" si="91"/>
        <v>352352</v>
      </c>
      <c r="N474" s="445">
        <f t="shared" si="98"/>
        <v>358428.76363636355</v>
      </c>
      <c r="O474" s="719"/>
      <c r="P474" s="719">
        <f t="shared" si="99"/>
        <v>812962.84363636351</v>
      </c>
      <c r="Q474" s="423">
        <f>SUMIF('8.Dgia'!E:E,'9.may'!E474,'8.Dgia'!P:P)</f>
        <v>0</v>
      </c>
      <c r="R474" s="429">
        <f t="shared" si="92"/>
        <v>0</v>
      </c>
      <c r="S474" s="301">
        <f t="shared" si="93"/>
        <v>14110.820000000002</v>
      </c>
      <c r="T474" s="430">
        <f t="shared" si="94"/>
        <v>724891.5836363635</v>
      </c>
      <c r="U474" s="431">
        <v>209008</v>
      </c>
      <c r="V474" s="431">
        <v>48658</v>
      </c>
      <c r="W474" s="432">
        <v>352352</v>
      </c>
      <c r="Y474" s="433">
        <f t="shared" si="95"/>
        <v>-372539.5836363635</v>
      </c>
      <c r="Z474" s="433">
        <f t="shared" si="96"/>
        <v>0</v>
      </c>
      <c r="AC474" s="410">
        <f t="shared" si="97"/>
        <v>0</v>
      </c>
    </row>
    <row r="475" spans="1:29" s="427" customFormat="1" ht="17.25" hidden="1" customHeight="1">
      <c r="B475" s="417" t="str">
        <f>IF(A475&lt;&gt;0,COUNTA(A$19:$A475),"")</f>
        <v/>
      </c>
      <c r="C475" s="428" t="s">
        <v>1318</v>
      </c>
      <c r="D475" s="428"/>
      <c r="E475" s="435"/>
      <c r="F475" s="435" t="s">
        <v>4764</v>
      </c>
      <c r="G475" s="419"/>
      <c r="H475" s="419"/>
      <c r="I475" s="419">
        <v>33</v>
      </c>
      <c r="J475" s="419"/>
      <c r="K475" s="420">
        <v>1</v>
      </c>
      <c r="L475" s="420">
        <f t="shared" si="90"/>
        <v>48658</v>
      </c>
      <c r="M475" s="420">
        <f t="shared" si="91"/>
        <v>472474</v>
      </c>
      <c r="N475" s="445">
        <f t="shared" si="98"/>
        <v>492839.54999999993</v>
      </c>
      <c r="O475" s="719"/>
      <c r="P475" s="719">
        <f t="shared" si="99"/>
        <v>1102331.0099999998</v>
      </c>
      <c r="Q475" s="423">
        <f>SUMIF('8.Dgia'!E:E,'9.may'!E475,'8.Dgia'!P:P)</f>
        <v>0</v>
      </c>
      <c r="R475" s="429">
        <f t="shared" si="92"/>
        <v>0</v>
      </c>
      <c r="S475" s="301">
        <f t="shared" si="93"/>
        <v>14110.820000000002</v>
      </c>
      <c r="T475" s="430">
        <f t="shared" si="94"/>
        <v>979424.36999999988</v>
      </c>
      <c r="U475" s="431">
        <v>287385</v>
      </c>
      <c r="V475" s="431">
        <v>48658</v>
      </c>
      <c r="W475" s="432">
        <v>472474</v>
      </c>
      <c r="Y475" s="433">
        <f t="shared" si="95"/>
        <v>-506950.36999999988</v>
      </c>
      <c r="Z475" s="433">
        <f t="shared" si="96"/>
        <v>0</v>
      </c>
      <c r="AC475" s="410">
        <f t="shared" si="97"/>
        <v>0</v>
      </c>
    </row>
    <row r="476" spans="1:29" s="427" customFormat="1" ht="17.25" hidden="1" customHeight="1">
      <c r="B476" s="417" t="str">
        <f>IF(A476&lt;&gt;0,COUNTA(A$19:$A476),"")</f>
        <v/>
      </c>
      <c r="C476" s="428" t="s">
        <v>1319</v>
      </c>
      <c r="D476" s="428"/>
      <c r="E476" s="435"/>
      <c r="F476" s="435"/>
      <c r="G476" s="419"/>
      <c r="H476" s="419"/>
      <c r="I476" s="419">
        <v>46.2</v>
      </c>
      <c r="J476" s="419"/>
      <c r="K476" s="420">
        <v>1</v>
      </c>
      <c r="L476" s="420">
        <f t="shared" si="90"/>
        <v>48658</v>
      </c>
      <c r="M476" s="420">
        <f t="shared" si="91"/>
        <v>742071</v>
      </c>
      <c r="N476" s="445">
        <f t="shared" si="98"/>
        <v>689975.36999999988</v>
      </c>
      <c r="O476" s="719"/>
      <c r="P476" s="719">
        <f t="shared" si="99"/>
        <v>1647246.96</v>
      </c>
      <c r="Q476" s="423">
        <f>SUMIF('8.Dgia'!E:E,'9.may'!E476,'8.Dgia'!P:P)</f>
        <v>0</v>
      </c>
      <c r="R476" s="429">
        <f t="shared" si="92"/>
        <v>0</v>
      </c>
      <c r="S476" s="301">
        <f t="shared" si="93"/>
        <v>14110.820000000002</v>
      </c>
      <c r="T476" s="430">
        <f t="shared" si="94"/>
        <v>1446157.19</v>
      </c>
      <c r="U476" s="431">
        <v>402340</v>
      </c>
      <c r="V476" s="431">
        <v>48658</v>
      </c>
      <c r="W476" s="432">
        <v>742071</v>
      </c>
      <c r="Y476" s="433">
        <f t="shared" si="95"/>
        <v>-704086.19</v>
      </c>
      <c r="Z476" s="433">
        <f t="shared" si="96"/>
        <v>0</v>
      </c>
      <c r="AC476" s="410">
        <f t="shared" si="97"/>
        <v>0</v>
      </c>
    </row>
    <row r="477" spans="1:29" s="427" customFormat="1" ht="17.25" hidden="1" customHeight="1">
      <c r="B477" s="417" t="str">
        <f>IF(A477&lt;&gt;0,COUNTA(A$19:$A477),"")</f>
        <v/>
      </c>
      <c r="C477" s="418" t="s">
        <v>1320</v>
      </c>
      <c r="D477" s="418"/>
      <c r="E477" s="435"/>
      <c r="F477" s="435"/>
      <c r="G477" s="419"/>
      <c r="H477" s="419"/>
      <c r="I477" s="419"/>
      <c r="J477" s="419"/>
      <c r="K477" s="437"/>
      <c r="L477" s="420">
        <f t="shared" si="90"/>
        <v>0</v>
      </c>
      <c r="M477" s="420">
        <f t="shared" si="91"/>
        <v>0</v>
      </c>
      <c r="N477" s="445"/>
      <c r="O477" s="719"/>
      <c r="P477" s="719">
        <f t="shared" si="99"/>
        <v>0</v>
      </c>
      <c r="Q477" s="423">
        <f>SUMIF('8.Dgia'!E:E,'9.may'!E477,'8.Dgia'!P:P)</f>
        <v>0</v>
      </c>
      <c r="R477" s="429">
        <f t="shared" si="92"/>
        <v>0</v>
      </c>
      <c r="S477" s="301">
        <f t="shared" si="93"/>
        <v>0</v>
      </c>
      <c r="T477" s="430">
        <f t="shared" si="94"/>
        <v>0</v>
      </c>
      <c r="U477" s="436"/>
      <c r="V477" s="436"/>
      <c r="W477" s="432"/>
      <c r="Y477" s="433">
        <f t="shared" si="95"/>
        <v>0</v>
      </c>
      <c r="Z477" s="433">
        <f t="shared" si="96"/>
        <v>0</v>
      </c>
      <c r="AC477" s="410">
        <f t="shared" si="97"/>
        <v>0</v>
      </c>
    </row>
    <row r="478" spans="1:29" s="427" customFormat="1" ht="17.25" hidden="1" customHeight="1">
      <c r="B478" s="417" t="str">
        <f>IF(A478&lt;&gt;0,COUNTA(A$19:$A478),"")</f>
        <v/>
      </c>
      <c r="C478" s="428" t="s">
        <v>1321</v>
      </c>
      <c r="D478" s="428"/>
      <c r="E478" s="435"/>
      <c r="F478" s="435"/>
      <c r="G478" s="419">
        <v>0.62700000000000011</v>
      </c>
      <c r="H478" s="419"/>
      <c r="I478" s="419"/>
      <c r="J478" s="419"/>
      <c r="K478" s="420">
        <v>1</v>
      </c>
      <c r="L478" s="420">
        <f t="shared" si="90"/>
        <v>48658</v>
      </c>
      <c r="M478" s="420">
        <f t="shared" si="91"/>
        <v>55610</v>
      </c>
      <c r="N478" s="445">
        <f t="shared" ref="N478:N490" si="100">SUMPRODUCT(G478:J478,$G$12:$J$12,$G$9:$J$9)</f>
        <v>10186.5897</v>
      </c>
      <c r="O478" s="719"/>
      <c r="P478" s="719">
        <f t="shared" si="99"/>
        <v>81923.489700000006</v>
      </c>
      <c r="Q478" s="423">
        <f>SUMIF('8.Dgia'!E:E,'9.may'!E478,'8.Dgia'!P:P)</f>
        <v>0</v>
      </c>
      <c r="R478" s="429">
        <f t="shared" si="92"/>
        <v>0</v>
      </c>
      <c r="S478" s="301">
        <f t="shared" si="93"/>
        <v>14110.820000000002</v>
      </c>
      <c r="T478" s="430">
        <f t="shared" si="94"/>
        <v>79907.409700000004</v>
      </c>
      <c r="U478" s="431">
        <v>4510</v>
      </c>
      <c r="V478" s="431">
        <v>48658</v>
      </c>
      <c r="W478" s="432">
        <v>55610</v>
      </c>
      <c r="Y478" s="433">
        <f t="shared" si="95"/>
        <v>-24297.409700000004</v>
      </c>
      <c r="Z478" s="433">
        <f t="shared" si="96"/>
        <v>0</v>
      </c>
      <c r="AC478" s="410">
        <f t="shared" si="97"/>
        <v>0</v>
      </c>
    </row>
    <row r="479" spans="1:29" s="427" customFormat="1" ht="17.25" hidden="1" customHeight="1">
      <c r="B479" s="417" t="str">
        <f>IF(A479&lt;&gt;0,COUNTA(A$19:$A479),"")</f>
        <v/>
      </c>
      <c r="C479" s="428" t="s">
        <v>1322</v>
      </c>
      <c r="D479" s="428"/>
      <c r="E479" s="435"/>
      <c r="F479" s="435"/>
      <c r="G479" s="419">
        <v>5.76</v>
      </c>
      <c r="H479" s="419"/>
      <c r="I479" s="419"/>
      <c r="J479" s="419"/>
      <c r="K479" s="420">
        <v>1</v>
      </c>
      <c r="L479" s="420">
        <f t="shared" si="90"/>
        <v>48658</v>
      </c>
      <c r="M479" s="420">
        <f t="shared" si="91"/>
        <v>107572</v>
      </c>
      <c r="N479" s="445">
        <f t="shared" si="100"/>
        <v>93580.154181818172</v>
      </c>
      <c r="O479" s="719"/>
      <c r="P479" s="719">
        <f t="shared" si="99"/>
        <v>232348.03418181819</v>
      </c>
      <c r="Q479" s="423">
        <f>SUMIF('8.Dgia'!E:E,'9.may'!E479,'8.Dgia'!P:P)</f>
        <v>0</v>
      </c>
      <c r="R479" s="429">
        <f t="shared" si="92"/>
        <v>0</v>
      </c>
      <c r="S479" s="301">
        <f t="shared" si="93"/>
        <v>14110.820000000002</v>
      </c>
      <c r="T479" s="430">
        <f t="shared" si="94"/>
        <v>215262.97418181819</v>
      </c>
      <c r="U479" s="431">
        <v>41235</v>
      </c>
      <c r="V479" s="431">
        <v>48658</v>
      </c>
      <c r="W479" s="432">
        <v>107572</v>
      </c>
      <c r="Y479" s="433">
        <f t="shared" si="95"/>
        <v>-107690.97418181819</v>
      </c>
      <c r="Z479" s="433">
        <f t="shared" si="96"/>
        <v>0</v>
      </c>
      <c r="AC479" s="410">
        <f t="shared" si="97"/>
        <v>0</v>
      </c>
    </row>
    <row r="480" spans="1:29" s="427" customFormat="1" ht="17.25" hidden="1" customHeight="1">
      <c r="B480" s="417" t="str">
        <f>IF(A480&lt;&gt;0,COUNTA(A$19:$A480),"")</f>
        <v/>
      </c>
      <c r="C480" s="428" t="s">
        <v>1323</v>
      </c>
      <c r="D480" s="428"/>
      <c r="E480" s="435"/>
      <c r="F480" s="435"/>
      <c r="G480" s="419">
        <v>13.2</v>
      </c>
      <c r="H480" s="419"/>
      <c r="I480" s="419"/>
      <c r="J480" s="419"/>
      <c r="K480" s="420">
        <v>1</v>
      </c>
      <c r="L480" s="420">
        <f t="shared" si="90"/>
        <v>48658</v>
      </c>
      <c r="M480" s="420">
        <f t="shared" si="91"/>
        <v>173268</v>
      </c>
      <c r="N480" s="445">
        <f t="shared" si="100"/>
        <v>214454.51999999996</v>
      </c>
      <c r="O480" s="719"/>
      <c r="P480" s="719">
        <f t="shared" si="99"/>
        <v>437970.24</v>
      </c>
      <c r="Q480" s="423">
        <f>SUMIF('8.Dgia'!E:E,'9.may'!E480,'8.Dgia'!P:P)</f>
        <v>0</v>
      </c>
      <c r="R480" s="429">
        <f t="shared" si="92"/>
        <v>0</v>
      </c>
      <c r="S480" s="301">
        <f t="shared" si="93"/>
        <v>14110.820000000002</v>
      </c>
      <c r="T480" s="430">
        <f t="shared" si="94"/>
        <v>401833.33999999997</v>
      </c>
      <c r="U480" s="431">
        <v>94497</v>
      </c>
      <c r="V480" s="431">
        <v>48658</v>
      </c>
      <c r="W480" s="432">
        <v>173268</v>
      </c>
      <c r="Y480" s="433">
        <f t="shared" si="95"/>
        <v>-228565.33999999997</v>
      </c>
      <c r="Z480" s="433">
        <f t="shared" si="96"/>
        <v>0</v>
      </c>
      <c r="AC480" s="410">
        <f t="shared" si="97"/>
        <v>0</v>
      </c>
    </row>
    <row r="481" spans="1:29" s="427" customFormat="1" ht="17.25" hidden="1" customHeight="1">
      <c r="B481" s="417" t="str">
        <f>IF(A481&lt;&gt;0,COUNTA(A$19:$A481),"")</f>
        <v/>
      </c>
      <c r="C481" s="428" t="s">
        <v>1324</v>
      </c>
      <c r="D481" s="428"/>
      <c r="E481" s="435"/>
      <c r="F481" s="435"/>
      <c r="G481" s="419">
        <v>13.86</v>
      </c>
      <c r="H481" s="419"/>
      <c r="I481" s="419"/>
      <c r="J481" s="419"/>
      <c r="K481" s="420">
        <v>1</v>
      </c>
      <c r="L481" s="420">
        <f t="shared" si="90"/>
        <v>48658</v>
      </c>
      <c r="M481" s="420">
        <f t="shared" si="91"/>
        <v>188490</v>
      </c>
      <c r="N481" s="445">
        <f t="shared" si="100"/>
        <v>225177.24599999996</v>
      </c>
      <c r="O481" s="719"/>
      <c r="P481" s="719">
        <f t="shared" si="99"/>
        <v>468329.34599999996</v>
      </c>
      <c r="Q481" s="423">
        <f>SUMIF('8.Dgia'!E:E,'9.may'!E481,'8.Dgia'!P:P)</f>
        <v>0</v>
      </c>
      <c r="R481" s="429">
        <f t="shared" si="92"/>
        <v>0</v>
      </c>
      <c r="S481" s="301">
        <f t="shared" si="93"/>
        <v>14110.820000000002</v>
      </c>
      <c r="T481" s="430">
        <f t="shared" si="94"/>
        <v>427778.06599999999</v>
      </c>
      <c r="U481" s="431">
        <v>99222</v>
      </c>
      <c r="V481" s="431">
        <v>48658</v>
      </c>
      <c r="W481" s="432">
        <v>188490</v>
      </c>
      <c r="Y481" s="433">
        <f t="shared" si="95"/>
        <v>-239288.06599999999</v>
      </c>
      <c r="Z481" s="433">
        <f t="shared" si="96"/>
        <v>0</v>
      </c>
      <c r="AC481" s="410">
        <f t="shared" si="97"/>
        <v>0</v>
      </c>
    </row>
    <row r="482" spans="1:29" s="427" customFormat="1" ht="17.25" hidden="1" customHeight="1">
      <c r="B482" s="417" t="str">
        <f>IF(A482&lt;&gt;0,COUNTA(A$19:$A482),"")</f>
        <v/>
      </c>
      <c r="C482" s="428" t="s">
        <v>1325</v>
      </c>
      <c r="D482" s="428"/>
      <c r="E482" s="435"/>
      <c r="F482" s="435"/>
      <c r="G482" s="419">
        <v>18</v>
      </c>
      <c r="H482" s="419"/>
      <c r="I482" s="419"/>
      <c r="J482" s="419"/>
      <c r="K482" s="420">
        <v>1</v>
      </c>
      <c r="L482" s="420">
        <f t="shared" si="90"/>
        <v>48658</v>
      </c>
      <c r="M482" s="420">
        <f t="shared" si="91"/>
        <v>272091</v>
      </c>
      <c r="N482" s="445">
        <f t="shared" si="100"/>
        <v>292437.98181818175</v>
      </c>
      <c r="O482" s="719"/>
      <c r="P482" s="719">
        <f t="shared" si="99"/>
        <v>643435.37181818183</v>
      </c>
      <c r="Q482" s="423">
        <f>SUMIF('8.Dgia'!E:E,'9.may'!E482,'8.Dgia'!P:P)</f>
        <v>0</v>
      </c>
      <c r="R482" s="429">
        <f t="shared" si="92"/>
        <v>0</v>
      </c>
      <c r="S482" s="301">
        <f t="shared" si="93"/>
        <v>14110.820000000002</v>
      </c>
      <c r="T482" s="430">
        <f t="shared" si="94"/>
        <v>578639.80181818176</v>
      </c>
      <c r="U482" s="431">
        <v>128860</v>
      </c>
      <c r="V482" s="431">
        <v>48658</v>
      </c>
      <c r="W482" s="432">
        <v>272091</v>
      </c>
      <c r="Y482" s="433">
        <f t="shared" si="95"/>
        <v>-306548.80181818176</v>
      </c>
      <c r="Z482" s="433">
        <f t="shared" si="96"/>
        <v>0</v>
      </c>
      <c r="AC482" s="410">
        <f t="shared" si="97"/>
        <v>0</v>
      </c>
    </row>
    <row r="483" spans="1:29" s="427" customFormat="1" ht="17.25" customHeight="1">
      <c r="A483" s="410">
        <v>1</v>
      </c>
      <c r="B483" s="417">
        <f>IF(A483&lt;&gt;0,COUNTA(A$19:$A483),"")</f>
        <v>110</v>
      </c>
      <c r="C483" s="428" t="s">
        <v>1326</v>
      </c>
      <c r="D483" s="428" t="s">
        <v>1327</v>
      </c>
      <c r="E483" s="435" t="s">
        <v>404</v>
      </c>
      <c r="F483" s="435" t="s">
        <v>4765</v>
      </c>
      <c r="G483" s="419">
        <v>27.54</v>
      </c>
      <c r="H483" s="419"/>
      <c r="I483" s="419"/>
      <c r="J483" s="419"/>
      <c r="K483" s="420">
        <v>1</v>
      </c>
      <c r="L483" s="420">
        <f t="shared" si="90"/>
        <v>48658</v>
      </c>
      <c r="M483" s="420">
        <f t="shared" si="91"/>
        <v>358623</v>
      </c>
      <c r="N483" s="445">
        <f t="shared" si="100"/>
        <v>447430.11218181811</v>
      </c>
      <c r="O483" s="719"/>
      <c r="P483" s="719">
        <f t="shared" si="99"/>
        <v>910053.78218181804</v>
      </c>
      <c r="Q483" s="423" t="e">
        <f>SUMIF('8.Dgia'!E:E,'9.may'!E483,'8.Dgia'!P:P)</f>
        <v>#REF!</v>
      </c>
      <c r="R483" s="429" t="e">
        <f t="shared" si="92"/>
        <v>#REF!</v>
      </c>
      <c r="S483" s="301">
        <f t="shared" si="93"/>
        <v>14110.820000000002</v>
      </c>
      <c r="T483" s="430">
        <f t="shared" si="94"/>
        <v>820163.93218181818</v>
      </c>
      <c r="U483" s="2053">
        <v>197156</v>
      </c>
      <c r="V483" s="2053">
        <v>48658</v>
      </c>
      <c r="W483" s="2054">
        <v>358623</v>
      </c>
      <c r="Y483" s="433">
        <f t="shared" si="95"/>
        <v>-461540.93218181818</v>
      </c>
      <c r="Z483" s="433">
        <f t="shared" si="96"/>
        <v>0</v>
      </c>
      <c r="AC483" s="410" t="e">
        <f t="shared" si="97"/>
        <v>#REF!</v>
      </c>
    </row>
    <row r="484" spans="1:29" s="427" customFormat="1" ht="17.25" customHeight="1">
      <c r="A484" s="410">
        <v>1</v>
      </c>
      <c r="B484" s="417">
        <f>IF(A484&lt;&gt;0,COUNTA(A$19:$A484),"")</f>
        <v>111</v>
      </c>
      <c r="C484" s="428" t="s">
        <v>1328</v>
      </c>
      <c r="D484" s="428"/>
      <c r="E484" s="435" t="s">
        <v>1979</v>
      </c>
      <c r="F484" s="435" t="s">
        <v>4764</v>
      </c>
      <c r="G484" s="419">
        <v>32.4</v>
      </c>
      <c r="H484" s="419"/>
      <c r="I484" s="419"/>
      <c r="J484" s="419"/>
      <c r="K484" s="420">
        <v>1</v>
      </c>
      <c r="L484" s="420">
        <f t="shared" si="90"/>
        <v>48658</v>
      </c>
      <c r="M484" s="420">
        <f t="shared" si="91"/>
        <v>396551</v>
      </c>
      <c r="N484" s="445">
        <f t="shared" si="100"/>
        <v>526388.36727272719</v>
      </c>
      <c r="O484" s="719"/>
      <c r="P484" s="719">
        <f t="shared" si="99"/>
        <v>1037939.1572727272</v>
      </c>
      <c r="Q484" s="423">
        <f>SUMIF('8.Dgia'!E:E,'9.may'!E484,'8.Dgia'!P:P)</f>
        <v>0</v>
      </c>
      <c r="R484" s="429">
        <f t="shared" si="92"/>
        <v>0</v>
      </c>
      <c r="S484" s="301">
        <f t="shared" si="93"/>
        <v>14110.820000000002</v>
      </c>
      <c r="T484" s="430">
        <f t="shared" si="94"/>
        <v>937050.18727272714</v>
      </c>
      <c r="U484" s="2053">
        <v>231948</v>
      </c>
      <c r="V484" s="2053">
        <v>48658</v>
      </c>
      <c r="W484" s="2054">
        <v>396551</v>
      </c>
      <c r="Y484" s="433">
        <f t="shared" si="95"/>
        <v>-540499.18727272714</v>
      </c>
      <c r="Z484" s="433">
        <f t="shared" si="96"/>
        <v>0</v>
      </c>
      <c r="AC484" s="410">
        <f t="shared" si="97"/>
        <v>0</v>
      </c>
    </row>
    <row r="485" spans="1:29" s="427" customFormat="1" ht="17.25" customHeight="1">
      <c r="A485" s="410">
        <v>1</v>
      </c>
      <c r="B485" s="417">
        <f>IF(A485&lt;&gt;0,COUNTA(A$19:$A485),"")</f>
        <v>112</v>
      </c>
      <c r="C485" s="428" t="s">
        <v>1329</v>
      </c>
      <c r="D485" s="428" t="s">
        <v>1330</v>
      </c>
      <c r="E485" s="435" t="s">
        <v>439</v>
      </c>
      <c r="F485" s="435" t="s">
        <v>4766</v>
      </c>
      <c r="G485" s="419">
        <v>34.56</v>
      </c>
      <c r="H485" s="419"/>
      <c r="I485" s="419"/>
      <c r="J485" s="419"/>
      <c r="K485" s="420">
        <v>1</v>
      </c>
      <c r="L485" s="420">
        <f t="shared" si="90"/>
        <v>48658</v>
      </c>
      <c r="M485" s="420">
        <f t="shared" si="91"/>
        <v>441248</v>
      </c>
      <c r="N485" s="445">
        <f t="shared" si="100"/>
        <v>561480.92509090912</v>
      </c>
      <c r="O485" s="719"/>
      <c r="P485" s="719">
        <f t="shared" si="99"/>
        <v>1130690.8450909092</v>
      </c>
      <c r="Q485" s="423" t="e">
        <f>SUMIF('8.Dgia'!E:E,'9.may'!E485,'8.Dgia'!P:P)</f>
        <v>#REF!</v>
      </c>
      <c r="R485" s="429" t="e">
        <f t="shared" si="92"/>
        <v>#REF!</v>
      </c>
      <c r="S485" s="301">
        <f t="shared" si="93"/>
        <v>14110.820000000002</v>
      </c>
      <c r="T485" s="430">
        <f t="shared" si="94"/>
        <v>1016839.7450909091</v>
      </c>
      <c r="U485" s="2053">
        <v>247412</v>
      </c>
      <c r="V485" s="2053">
        <v>48658</v>
      </c>
      <c r="W485" s="2054">
        <v>441248</v>
      </c>
      <c r="Y485" s="433">
        <f t="shared" si="95"/>
        <v>-575591.74509090907</v>
      </c>
      <c r="Z485" s="433">
        <f t="shared" si="96"/>
        <v>0</v>
      </c>
      <c r="AC485" s="410" t="e">
        <f t="shared" si="97"/>
        <v>#REF!</v>
      </c>
    </row>
    <row r="486" spans="1:29" s="427" customFormat="1" ht="17.25" customHeight="1">
      <c r="A486" s="410">
        <v>1</v>
      </c>
      <c r="B486" s="417">
        <f>IF(A486&lt;&gt;0,COUNTA(A$19:$A486),"")</f>
        <v>113</v>
      </c>
      <c r="C486" s="428" t="s">
        <v>1331</v>
      </c>
      <c r="D486" s="428" t="s">
        <v>1332</v>
      </c>
      <c r="E486" s="435" t="s">
        <v>1333</v>
      </c>
      <c r="F486" s="435" t="s">
        <v>4767</v>
      </c>
      <c r="G486" s="419">
        <v>37.799999999999997</v>
      </c>
      <c r="H486" s="419"/>
      <c r="I486" s="419"/>
      <c r="J486" s="419"/>
      <c r="K486" s="420">
        <v>1</v>
      </c>
      <c r="L486" s="420">
        <f t="shared" si="90"/>
        <v>48658</v>
      </c>
      <c r="M486" s="420">
        <f t="shared" si="91"/>
        <v>492522</v>
      </c>
      <c r="N486" s="445">
        <f t="shared" si="100"/>
        <v>614119.76181818172</v>
      </c>
      <c r="O486" s="719"/>
      <c r="P486" s="719">
        <f t="shared" si="99"/>
        <v>1249473.1418181816</v>
      </c>
      <c r="Q486" s="423">
        <f>SUMIF('8.Dgia'!E:E,'9.may'!E486,'8.Dgia'!P:P)</f>
        <v>0</v>
      </c>
      <c r="R486" s="429">
        <f t="shared" si="92"/>
        <v>0</v>
      </c>
      <c r="S486" s="301">
        <f t="shared" si="93"/>
        <v>14110.820000000002</v>
      </c>
      <c r="T486" s="430">
        <f t="shared" si="94"/>
        <v>1120752.5818181816</v>
      </c>
      <c r="U486" s="2053">
        <v>270606</v>
      </c>
      <c r="V486" s="2053">
        <v>48658</v>
      </c>
      <c r="W486" s="2054">
        <v>492522</v>
      </c>
      <c r="Y486" s="433">
        <f t="shared" si="95"/>
        <v>-628230.58181818156</v>
      </c>
      <c r="Z486" s="433">
        <f t="shared" si="96"/>
        <v>0</v>
      </c>
      <c r="AC486" s="410">
        <f t="shared" si="97"/>
        <v>0</v>
      </c>
    </row>
    <row r="487" spans="1:29" s="427" customFormat="1" ht="17.25" customHeight="1">
      <c r="A487" s="410">
        <v>1</v>
      </c>
      <c r="B487" s="417">
        <f>IF(A487&lt;&gt;0,COUNTA(A$19:$A487),"")</f>
        <v>114</v>
      </c>
      <c r="C487" s="428" t="s">
        <v>1334</v>
      </c>
      <c r="D487" s="428" t="s">
        <v>1335</v>
      </c>
      <c r="E487" s="435" t="s">
        <v>1336</v>
      </c>
      <c r="F487" s="435" t="s">
        <v>4768</v>
      </c>
      <c r="G487" s="419">
        <v>36.479999999999997</v>
      </c>
      <c r="H487" s="419"/>
      <c r="I487" s="419"/>
      <c r="J487" s="419"/>
      <c r="K487" s="420">
        <v>1</v>
      </c>
      <c r="L487" s="420">
        <f t="shared" si="90"/>
        <v>48658</v>
      </c>
      <c r="M487" s="420">
        <f t="shared" si="91"/>
        <v>520015</v>
      </c>
      <c r="N487" s="445">
        <f t="shared" si="100"/>
        <v>592674.30981818167</v>
      </c>
      <c r="O487" s="719"/>
      <c r="P487" s="719">
        <f t="shared" si="99"/>
        <v>1263493.6598181818</v>
      </c>
      <c r="Q487" s="423">
        <f>SUMIF('8.Dgia'!E:E,'9.may'!E487,'8.Dgia'!P:P)</f>
        <v>0</v>
      </c>
      <c r="R487" s="429">
        <f t="shared" si="92"/>
        <v>0</v>
      </c>
      <c r="S487" s="301">
        <f t="shared" si="93"/>
        <v>14110.820000000002</v>
      </c>
      <c r="T487" s="430">
        <f t="shared" si="94"/>
        <v>1126800.1298181815</v>
      </c>
      <c r="U487" s="2053">
        <v>261157</v>
      </c>
      <c r="V487" s="2053">
        <v>48658</v>
      </c>
      <c r="W487" s="2054">
        <v>520015</v>
      </c>
      <c r="Y487" s="433">
        <f t="shared" si="95"/>
        <v>-606785.12981818151</v>
      </c>
      <c r="Z487" s="433">
        <f t="shared" si="96"/>
        <v>0</v>
      </c>
      <c r="AC487" s="410">
        <f t="shared" si="97"/>
        <v>0</v>
      </c>
    </row>
    <row r="488" spans="1:29" s="427" customFormat="1" ht="17.25" customHeight="1">
      <c r="A488" s="410">
        <v>1</v>
      </c>
      <c r="B488" s="417">
        <f>IF(A488&lt;&gt;0,COUNTA(A$19:$A488),"")</f>
        <v>115</v>
      </c>
      <c r="C488" s="428" t="s">
        <v>1337</v>
      </c>
      <c r="D488" s="428" t="s">
        <v>1338</v>
      </c>
      <c r="E488" s="435" t="s">
        <v>610</v>
      </c>
      <c r="F488" s="435" t="s">
        <v>4769</v>
      </c>
      <c r="G488" s="419">
        <v>38.4</v>
      </c>
      <c r="H488" s="419"/>
      <c r="I488" s="419"/>
      <c r="J488" s="419"/>
      <c r="K488" s="420">
        <v>1</v>
      </c>
      <c r="L488" s="420">
        <f t="shared" si="90"/>
        <v>48658</v>
      </c>
      <c r="M488" s="420">
        <f t="shared" si="91"/>
        <v>542174</v>
      </c>
      <c r="N488" s="445">
        <f t="shared" si="100"/>
        <v>623867.69454545446</v>
      </c>
      <c r="O488" s="719"/>
      <c r="P488" s="719">
        <f t="shared" si="99"/>
        <v>1323272.1545454543</v>
      </c>
      <c r="Q488" s="423" t="e">
        <f>SUMIF('8.Dgia'!E:E,'9.may'!E488,'8.Dgia'!P:P)</f>
        <v>#REF!</v>
      </c>
      <c r="R488" s="429" t="e">
        <f t="shared" si="92"/>
        <v>#REF!</v>
      </c>
      <c r="S488" s="301">
        <f t="shared" si="93"/>
        <v>14110.820000000002</v>
      </c>
      <c r="T488" s="430">
        <f t="shared" si="94"/>
        <v>1180152.5145454544</v>
      </c>
      <c r="U488" s="2053">
        <v>274902</v>
      </c>
      <c r="V488" s="2053">
        <v>48658</v>
      </c>
      <c r="W488" s="2054">
        <v>542174</v>
      </c>
      <c r="Y488" s="433">
        <f t="shared" si="95"/>
        <v>-637978.51454545441</v>
      </c>
      <c r="Z488" s="433">
        <f t="shared" si="96"/>
        <v>0</v>
      </c>
      <c r="AC488" s="410" t="e">
        <f t="shared" si="97"/>
        <v>#REF!</v>
      </c>
    </row>
    <row r="489" spans="1:29" s="427" customFormat="1" ht="17.25" customHeight="1">
      <c r="A489" s="410">
        <v>1</v>
      </c>
      <c r="B489" s="417">
        <f>IF(A489&lt;&gt;0,COUNTA(A$19:$A489),"")</f>
        <v>116</v>
      </c>
      <c r="C489" s="428" t="s">
        <v>1339</v>
      </c>
      <c r="D489" s="428" t="s">
        <v>1340</v>
      </c>
      <c r="E489" s="435" t="s">
        <v>1341</v>
      </c>
      <c r="F489" s="435" t="s">
        <v>4770</v>
      </c>
      <c r="G489" s="419">
        <v>38.880000000000003</v>
      </c>
      <c r="H489" s="419"/>
      <c r="I489" s="419"/>
      <c r="J489" s="419"/>
      <c r="K489" s="420">
        <v>1</v>
      </c>
      <c r="L489" s="420">
        <f t="shared" si="90"/>
        <v>48658</v>
      </c>
      <c r="M489" s="420">
        <f t="shared" si="91"/>
        <v>594434</v>
      </c>
      <c r="N489" s="445">
        <f t="shared" si="100"/>
        <v>631666.04072727275</v>
      </c>
      <c r="O489" s="719"/>
      <c r="P489" s="719">
        <f t="shared" si="99"/>
        <v>1398485.9007272727</v>
      </c>
      <c r="Q489" s="423">
        <f>SUMIF('8.Dgia'!E:E,'9.may'!E489,'8.Dgia'!P:P)</f>
        <v>0</v>
      </c>
      <c r="R489" s="429">
        <f t="shared" si="92"/>
        <v>0</v>
      </c>
      <c r="S489" s="301">
        <f t="shared" si="93"/>
        <v>14110.820000000002</v>
      </c>
      <c r="T489" s="430">
        <f t="shared" si="94"/>
        <v>1240210.8607272727</v>
      </c>
      <c r="U489" s="2053">
        <v>278338</v>
      </c>
      <c r="V489" s="2053">
        <v>48658</v>
      </c>
      <c r="W489" s="2054">
        <v>594434</v>
      </c>
      <c r="Y489" s="433">
        <f t="shared" si="95"/>
        <v>-645776.86072727269</v>
      </c>
      <c r="Z489" s="433">
        <f t="shared" si="96"/>
        <v>0</v>
      </c>
      <c r="AC489" s="410">
        <f t="shared" si="97"/>
        <v>0</v>
      </c>
    </row>
    <row r="490" spans="1:29" s="427" customFormat="1" ht="17.25" customHeight="1">
      <c r="A490" s="410">
        <v>1</v>
      </c>
      <c r="B490" s="417">
        <f>IF(A490&lt;&gt;0,COUNTA(A$19:$A490),"")</f>
        <v>117</v>
      </c>
      <c r="C490" s="428" t="s">
        <v>1342</v>
      </c>
      <c r="D490" s="428" t="s">
        <v>1343</v>
      </c>
      <c r="E490" s="435" t="s">
        <v>1344</v>
      </c>
      <c r="F490" s="435" t="s">
        <v>4771</v>
      </c>
      <c r="G490" s="419">
        <v>75</v>
      </c>
      <c r="H490" s="419"/>
      <c r="I490" s="419"/>
      <c r="J490" s="419"/>
      <c r="K490" s="420">
        <v>1</v>
      </c>
      <c r="L490" s="420">
        <f t="shared" si="90"/>
        <v>48658</v>
      </c>
      <c r="M490" s="420">
        <f t="shared" si="91"/>
        <v>1170565</v>
      </c>
      <c r="N490" s="445">
        <f t="shared" si="100"/>
        <v>1218491.5909090908</v>
      </c>
      <c r="O490" s="719"/>
      <c r="P490" s="719">
        <f t="shared" si="99"/>
        <v>2728520.4409090909</v>
      </c>
      <c r="Q490" s="423">
        <f>SUMIF('8.Dgia'!E:E,'9.may'!E490,'8.Dgia'!P:P)</f>
        <v>0</v>
      </c>
      <c r="R490" s="429">
        <f t="shared" si="92"/>
        <v>0</v>
      </c>
      <c r="S490" s="301">
        <f t="shared" si="93"/>
        <v>14110.820000000002</v>
      </c>
      <c r="T490" s="430">
        <f t="shared" si="94"/>
        <v>2403167.4109090911</v>
      </c>
      <c r="U490" s="2053">
        <v>536918</v>
      </c>
      <c r="V490" s="2053">
        <v>48658</v>
      </c>
      <c r="W490" s="2054">
        <v>1170565</v>
      </c>
      <c r="Y490" s="433">
        <f t="shared" si="95"/>
        <v>-1232602.4109090911</v>
      </c>
      <c r="Z490" s="433">
        <f t="shared" si="96"/>
        <v>0</v>
      </c>
      <c r="AC490" s="410">
        <f t="shared" si="97"/>
        <v>0</v>
      </c>
    </row>
    <row r="491" spans="1:29" s="427" customFormat="1" ht="17.25" hidden="1" customHeight="1">
      <c r="B491" s="417" t="str">
        <f>IF(A491&lt;&gt;0,COUNTA(A$19:$A491),"")</f>
        <v/>
      </c>
      <c r="C491" s="418" t="s">
        <v>1345</v>
      </c>
      <c r="D491" s="418"/>
      <c r="E491" s="435"/>
      <c r="F491" s="435"/>
      <c r="G491" s="419"/>
      <c r="H491" s="419"/>
      <c r="I491" s="419"/>
      <c r="J491" s="419"/>
      <c r="K491" s="437"/>
      <c r="L491" s="420">
        <f t="shared" si="90"/>
        <v>0</v>
      </c>
      <c r="M491" s="420">
        <f t="shared" si="91"/>
        <v>0</v>
      </c>
      <c r="N491" s="445"/>
      <c r="O491" s="719"/>
      <c r="P491" s="719">
        <f t="shared" si="99"/>
        <v>0</v>
      </c>
      <c r="Q491" s="423">
        <f>SUMIF('8.Dgia'!E:E,'9.may'!E491,'8.Dgia'!P:P)</f>
        <v>0</v>
      </c>
      <c r="R491" s="429">
        <f t="shared" si="92"/>
        <v>0</v>
      </c>
      <c r="S491" s="301">
        <f t="shared" si="93"/>
        <v>0</v>
      </c>
      <c r="T491" s="430">
        <f t="shared" si="94"/>
        <v>0</v>
      </c>
      <c r="U491" s="436"/>
      <c r="V491" s="436"/>
      <c r="W491" s="432"/>
      <c r="Y491" s="433">
        <f t="shared" si="95"/>
        <v>0</v>
      </c>
      <c r="Z491" s="433">
        <f t="shared" si="96"/>
        <v>0</v>
      </c>
      <c r="AC491" s="410">
        <f t="shared" si="97"/>
        <v>0</v>
      </c>
    </row>
    <row r="492" spans="1:29" s="427" customFormat="1" ht="17.25" hidden="1" customHeight="1">
      <c r="B492" s="417" t="str">
        <f>IF(A492&lt;&gt;0,COUNTA(A$19:$A492),"")</f>
        <v/>
      </c>
      <c r="C492" s="428" t="s">
        <v>1346</v>
      </c>
      <c r="D492" s="428"/>
      <c r="E492" s="435"/>
      <c r="F492" s="435"/>
      <c r="G492" s="419"/>
      <c r="H492" s="419">
        <v>1.845</v>
      </c>
      <c r="I492" s="419"/>
      <c r="J492" s="419"/>
      <c r="K492" s="420">
        <v>1</v>
      </c>
      <c r="L492" s="420">
        <f t="shared" si="90"/>
        <v>41873</v>
      </c>
      <c r="M492" s="420">
        <f t="shared" si="91"/>
        <v>44781</v>
      </c>
      <c r="N492" s="445">
        <f t="shared" ref="N492:N501" si="101">SUMPRODUCT(G492:J492,$G$12:$J$12,$G$9:$J$9)</f>
        <v>1174.6192500000002</v>
      </c>
      <c r="O492" s="719"/>
      <c r="P492" s="719">
        <f t="shared" si="99"/>
        <v>58942.109250000001</v>
      </c>
      <c r="Q492" s="423">
        <f>SUMIF('8.Dgia'!E:E,'9.may'!E492,'8.Dgia'!P:P)</f>
        <v>0</v>
      </c>
      <c r="R492" s="429">
        <f t="shared" si="92"/>
        <v>0</v>
      </c>
      <c r="S492" s="301">
        <f t="shared" si="93"/>
        <v>12143.170000000002</v>
      </c>
      <c r="T492" s="430">
        <f t="shared" si="94"/>
        <v>58098.789250000002</v>
      </c>
      <c r="U492" s="431">
        <v>1772</v>
      </c>
      <c r="V492" s="431">
        <v>41873</v>
      </c>
      <c r="W492" s="432">
        <v>44781</v>
      </c>
      <c r="Y492" s="433">
        <f t="shared" si="95"/>
        <v>-13317.789250000002</v>
      </c>
      <c r="Z492" s="433">
        <f t="shared" si="96"/>
        <v>0</v>
      </c>
      <c r="AC492" s="410">
        <f t="shared" si="97"/>
        <v>0</v>
      </c>
    </row>
    <row r="493" spans="1:29" s="427" customFormat="1" ht="17.25" hidden="1" customHeight="1">
      <c r="B493" s="417" t="str">
        <f>IF(A493&lt;&gt;0,COUNTA(A$19:$A493),"")</f>
        <v/>
      </c>
      <c r="C493" s="428" t="s">
        <v>1347</v>
      </c>
      <c r="D493" s="428"/>
      <c r="E493" s="435"/>
      <c r="F493" s="435"/>
      <c r="G493" s="419"/>
      <c r="H493" s="419">
        <v>5.4119999999999999</v>
      </c>
      <c r="I493" s="419"/>
      <c r="J493" s="419"/>
      <c r="K493" s="420">
        <v>1</v>
      </c>
      <c r="L493" s="420">
        <f t="shared" si="90"/>
        <v>41873</v>
      </c>
      <c r="M493" s="420">
        <f t="shared" si="91"/>
        <v>48893</v>
      </c>
      <c r="N493" s="445">
        <f t="shared" si="101"/>
        <v>3445.5498000000002</v>
      </c>
      <c r="O493" s="719"/>
      <c r="P493" s="719">
        <f t="shared" si="99"/>
        <v>66517.519799999995</v>
      </c>
      <c r="Q493" s="423">
        <f>SUMIF('8.Dgia'!E:E,'9.may'!E493,'8.Dgia'!P:P)</f>
        <v>0</v>
      </c>
      <c r="R493" s="429">
        <f t="shared" si="92"/>
        <v>0</v>
      </c>
      <c r="S493" s="301">
        <f t="shared" si="93"/>
        <v>12143.170000000002</v>
      </c>
      <c r="T493" s="430">
        <f t="shared" si="94"/>
        <v>64481.719800000006</v>
      </c>
      <c r="U493" s="431">
        <v>5181</v>
      </c>
      <c r="V493" s="431">
        <v>41873</v>
      </c>
      <c r="W493" s="432">
        <v>48893</v>
      </c>
      <c r="Y493" s="433">
        <f t="shared" si="95"/>
        <v>-15588.719800000006</v>
      </c>
      <c r="Z493" s="433">
        <f t="shared" si="96"/>
        <v>0</v>
      </c>
      <c r="AC493" s="410">
        <f t="shared" si="97"/>
        <v>0</v>
      </c>
    </row>
    <row r="494" spans="1:29" s="427" customFormat="1" ht="17.25" hidden="1" customHeight="1">
      <c r="B494" s="417" t="str">
        <f>IF(A494&lt;&gt;0,COUNTA(A$19:$A494),"")</f>
        <v/>
      </c>
      <c r="C494" s="428" t="s">
        <v>1152</v>
      </c>
      <c r="D494" s="428"/>
      <c r="E494" s="435"/>
      <c r="F494" s="435"/>
      <c r="G494" s="419"/>
      <c r="H494" s="419">
        <v>6.8970000000000002</v>
      </c>
      <c r="I494" s="419"/>
      <c r="J494" s="419"/>
      <c r="K494" s="420">
        <v>1</v>
      </c>
      <c r="L494" s="420">
        <f t="shared" si="90"/>
        <v>41873</v>
      </c>
      <c r="M494" s="420">
        <f t="shared" si="91"/>
        <v>51302</v>
      </c>
      <c r="N494" s="445">
        <f t="shared" si="101"/>
        <v>4390.97505</v>
      </c>
      <c r="O494" s="719"/>
      <c r="P494" s="719">
        <f t="shared" si="99"/>
        <v>70570.555049999995</v>
      </c>
      <c r="Q494" s="423">
        <f>SUMIF('8.Dgia'!E:E,'9.may'!E494,'8.Dgia'!P:P)</f>
        <v>0</v>
      </c>
      <c r="R494" s="429">
        <f t="shared" si="92"/>
        <v>0</v>
      </c>
      <c r="S494" s="301">
        <f t="shared" si="93"/>
        <v>12143.170000000002</v>
      </c>
      <c r="T494" s="430">
        <f t="shared" si="94"/>
        <v>67836.145050000006</v>
      </c>
      <c r="U494" s="431">
        <v>6608</v>
      </c>
      <c r="V494" s="431">
        <v>41873</v>
      </c>
      <c r="W494" s="432">
        <v>51302</v>
      </c>
      <c r="Y494" s="433">
        <f t="shared" si="95"/>
        <v>-16534.145050000006</v>
      </c>
      <c r="Z494" s="433">
        <f t="shared" si="96"/>
        <v>0</v>
      </c>
      <c r="AC494" s="410">
        <f t="shared" si="97"/>
        <v>0</v>
      </c>
    </row>
    <row r="495" spans="1:29" s="427" customFormat="1" ht="17.25" hidden="1" customHeight="1">
      <c r="B495" s="417" t="str">
        <f>IF(A495&lt;&gt;0,COUNTA(A$19:$A495),"")</f>
        <v/>
      </c>
      <c r="C495" s="428" t="s">
        <v>1158</v>
      </c>
      <c r="D495" s="428"/>
      <c r="E495" s="435"/>
      <c r="F495" s="435"/>
      <c r="G495" s="419"/>
      <c r="H495" s="419">
        <v>10.050000000000001</v>
      </c>
      <c r="I495" s="419"/>
      <c r="J495" s="419"/>
      <c r="K495" s="420">
        <v>1</v>
      </c>
      <c r="L495" s="420">
        <f t="shared" si="90"/>
        <v>41873</v>
      </c>
      <c r="M495" s="420">
        <f t="shared" si="91"/>
        <v>56090</v>
      </c>
      <c r="N495" s="445">
        <f t="shared" si="101"/>
        <v>6398.3325000000004</v>
      </c>
      <c r="O495" s="719"/>
      <c r="P495" s="719">
        <f t="shared" si="99"/>
        <v>78754.43250000001</v>
      </c>
      <c r="Q495" s="423">
        <f>SUMIF('8.Dgia'!E:E,'9.may'!E495,'8.Dgia'!P:P)</f>
        <v>0</v>
      </c>
      <c r="R495" s="429">
        <f t="shared" si="92"/>
        <v>0</v>
      </c>
      <c r="S495" s="301">
        <f t="shared" si="93"/>
        <v>12143.170000000002</v>
      </c>
      <c r="T495" s="430">
        <f t="shared" si="94"/>
        <v>74631.502500000002</v>
      </c>
      <c r="U495" s="431">
        <v>9624</v>
      </c>
      <c r="V495" s="431">
        <v>41873</v>
      </c>
      <c r="W495" s="432">
        <v>56090</v>
      </c>
      <c r="Y495" s="433">
        <f t="shared" si="95"/>
        <v>-18541.502500000002</v>
      </c>
      <c r="Z495" s="433">
        <f t="shared" si="96"/>
        <v>0</v>
      </c>
      <c r="AC495" s="410">
        <f t="shared" si="97"/>
        <v>0</v>
      </c>
    </row>
    <row r="496" spans="1:29" s="427" customFormat="1" ht="17.25" hidden="1" customHeight="1">
      <c r="B496" s="417" t="str">
        <f>IF(A496&lt;&gt;0,COUNTA(A$19:$A496),"")</f>
        <v/>
      </c>
      <c r="C496" s="428" t="s">
        <v>1348</v>
      </c>
      <c r="D496" s="428"/>
      <c r="E496" s="435"/>
      <c r="F496" s="435"/>
      <c r="G496" s="419"/>
      <c r="H496" s="419">
        <v>16.77</v>
      </c>
      <c r="I496" s="419"/>
      <c r="J496" s="419"/>
      <c r="K496" s="420">
        <v>1</v>
      </c>
      <c r="L496" s="420">
        <f t="shared" si="90"/>
        <v>41873</v>
      </c>
      <c r="M496" s="420">
        <f t="shared" si="91"/>
        <v>78000</v>
      </c>
      <c r="N496" s="445">
        <f t="shared" si="101"/>
        <v>10676.620500000001</v>
      </c>
      <c r="O496" s="719"/>
      <c r="P496" s="719">
        <f t="shared" si="99"/>
        <v>111296.6205</v>
      </c>
      <c r="Q496" s="423">
        <f>SUMIF('8.Dgia'!E:E,'9.may'!E496,'8.Dgia'!P:P)</f>
        <v>0</v>
      </c>
      <c r="R496" s="429">
        <f t="shared" si="92"/>
        <v>0</v>
      </c>
      <c r="S496" s="301">
        <f t="shared" si="93"/>
        <v>12143.170000000002</v>
      </c>
      <c r="T496" s="430">
        <f t="shared" si="94"/>
        <v>100819.7905</v>
      </c>
      <c r="U496" s="431">
        <v>16060</v>
      </c>
      <c r="V496" s="431">
        <v>41873</v>
      </c>
      <c r="W496" s="432">
        <v>78000</v>
      </c>
      <c r="Y496" s="433">
        <f t="shared" si="95"/>
        <v>-22819.790500000003</v>
      </c>
      <c r="Z496" s="433">
        <f t="shared" si="96"/>
        <v>0</v>
      </c>
      <c r="AC496" s="410">
        <f t="shared" si="97"/>
        <v>0</v>
      </c>
    </row>
    <row r="497" spans="1:29" s="427" customFormat="1" ht="17.25" hidden="1" customHeight="1">
      <c r="B497" s="417" t="str">
        <f>IF(A497&lt;&gt;0,COUNTA(A$19:$A497),"")</f>
        <v/>
      </c>
      <c r="C497" s="428" t="s">
        <v>1349</v>
      </c>
      <c r="D497" s="428"/>
      <c r="E497" s="435"/>
      <c r="F497" s="435"/>
      <c r="G497" s="419"/>
      <c r="H497" s="419">
        <v>44.28</v>
      </c>
      <c r="I497" s="419"/>
      <c r="J497" s="419"/>
      <c r="K497" s="420">
        <v>1</v>
      </c>
      <c r="L497" s="420">
        <f t="shared" si="90"/>
        <v>41873</v>
      </c>
      <c r="M497" s="420">
        <f t="shared" si="91"/>
        <v>123948</v>
      </c>
      <c r="N497" s="445">
        <f t="shared" si="101"/>
        <v>28190.862000000005</v>
      </c>
      <c r="O497" s="719"/>
      <c r="P497" s="719">
        <f t="shared" si="99"/>
        <v>188083.78200000001</v>
      </c>
      <c r="Q497" s="423">
        <f>SUMIF('8.Dgia'!E:E,'9.may'!E497,'8.Dgia'!P:P)</f>
        <v>0</v>
      </c>
      <c r="R497" s="429">
        <f t="shared" si="92"/>
        <v>0</v>
      </c>
      <c r="S497" s="301">
        <f t="shared" si="93"/>
        <v>12143.170000000002</v>
      </c>
      <c r="T497" s="430">
        <f t="shared" si="94"/>
        <v>164282.03200000001</v>
      </c>
      <c r="U497" s="431">
        <v>42405</v>
      </c>
      <c r="V497" s="431">
        <v>41873</v>
      </c>
      <c r="W497" s="432">
        <v>123948</v>
      </c>
      <c r="Y497" s="433">
        <f t="shared" si="95"/>
        <v>-40334.032000000007</v>
      </c>
      <c r="Z497" s="433">
        <f t="shared" si="96"/>
        <v>0</v>
      </c>
      <c r="AC497" s="410">
        <f t="shared" si="97"/>
        <v>0</v>
      </c>
    </row>
    <row r="498" spans="1:29" s="427" customFormat="1" ht="17.25" hidden="1" customHeight="1">
      <c r="B498" s="417" t="str">
        <f>IF(A498&lt;&gt;0,COUNTA(A$19:$A498),"")</f>
        <v/>
      </c>
      <c r="C498" s="428" t="s">
        <v>1350</v>
      </c>
      <c r="D498" s="428"/>
      <c r="E498" s="435"/>
      <c r="F498" s="435"/>
      <c r="G498" s="419"/>
      <c r="H498" s="419">
        <v>52.38</v>
      </c>
      <c r="I498" s="419"/>
      <c r="J498" s="419"/>
      <c r="K498" s="420">
        <v>1</v>
      </c>
      <c r="L498" s="420">
        <f t="shared" si="90"/>
        <v>41873</v>
      </c>
      <c r="M498" s="420">
        <f t="shared" si="91"/>
        <v>148034</v>
      </c>
      <c r="N498" s="445">
        <f t="shared" si="101"/>
        <v>33347.727000000006</v>
      </c>
      <c r="O498" s="719"/>
      <c r="P498" s="719">
        <f t="shared" si="99"/>
        <v>224311.58700000003</v>
      </c>
      <c r="Q498" s="423">
        <f>SUMIF('8.Dgia'!E:E,'9.may'!E498,'8.Dgia'!P:P)</f>
        <v>0</v>
      </c>
      <c r="R498" s="429">
        <f t="shared" si="92"/>
        <v>0</v>
      </c>
      <c r="S498" s="301">
        <f t="shared" si="93"/>
        <v>12143.170000000002</v>
      </c>
      <c r="T498" s="430">
        <f t="shared" si="94"/>
        <v>193524.897</v>
      </c>
      <c r="U498" s="431">
        <v>50162</v>
      </c>
      <c r="V498" s="431">
        <v>41873</v>
      </c>
      <c r="W498" s="432">
        <v>148034</v>
      </c>
      <c r="Y498" s="433">
        <f t="shared" si="95"/>
        <v>-45490.896999999997</v>
      </c>
      <c r="Z498" s="433">
        <f t="shared" si="96"/>
        <v>0</v>
      </c>
      <c r="AC498" s="410">
        <f t="shared" si="97"/>
        <v>0</v>
      </c>
    </row>
    <row r="499" spans="1:29" s="427" customFormat="1" ht="17.25" hidden="1" customHeight="1">
      <c r="B499" s="417" t="str">
        <f>IF(A499&lt;&gt;0,COUNTA(A$19:$A499),"")</f>
        <v/>
      </c>
      <c r="C499" s="428" t="s">
        <v>1351</v>
      </c>
      <c r="D499" s="428"/>
      <c r="E499" s="435"/>
      <c r="F499" s="435"/>
      <c r="G499" s="419"/>
      <c r="H499" s="419">
        <v>80.459999999999994</v>
      </c>
      <c r="I499" s="419"/>
      <c r="J499" s="419"/>
      <c r="K499" s="420">
        <v>1</v>
      </c>
      <c r="L499" s="420">
        <f t="shared" si="90"/>
        <v>41873</v>
      </c>
      <c r="M499" s="420">
        <f t="shared" si="91"/>
        <v>190739</v>
      </c>
      <c r="N499" s="445">
        <f t="shared" si="101"/>
        <v>51224.858999999997</v>
      </c>
      <c r="O499" s="719"/>
      <c r="P499" s="719">
        <f t="shared" si="99"/>
        <v>297278.16899999999</v>
      </c>
      <c r="Q499" s="423">
        <f>SUMIF('8.Dgia'!E:E,'9.may'!E499,'8.Dgia'!P:P)</f>
        <v>0</v>
      </c>
      <c r="R499" s="429">
        <f t="shared" si="92"/>
        <v>0</v>
      </c>
      <c r="S499" s="301">
        <f t="shared" si="93"/>
        <v>12143.170000000002</v>
      </c>
      <c r="T499" s="430">
        <f t="shared" si="94"/>
        <v>254107.02899999998</v>
      </c>
      <c r="U499" s="431">
        <v>77053</v>
      </c>
      <c r="V499" s="431">
        <v>41873</v>
      </c>
      <c r="W499" s="432">
        <v>190739</v>
      </c>
      <c r="Y499" s="433">
        <f t="shared" si="95"/>
        <v>-63368.02899999998</v>
      </c>
      <c r="Z499" s="433">
        <f t="shared" si="96"/>
        <v>0</v>
      </c>
      <c r="AC499" s="410">
        <f t="shared" si="97"/>
        <v>0</v>
      </c>
    </row>
    <row r="500" spans="1:29" s="427" customFormat="1" ht="17.25" hidden="1" customHeight="1">
      <c r="B500" s="417" t="str">
        <f>IF(A500&lt;&gt;0,COUNTA(A$19:$A500),"")</f>
        <v/>
      </c>
      <c r="C500" s="428" t="s">
        <v>1318</v>
      </c>
      <c r="D500" s="428"/>
      <c r="E500" s="435"/>
      <c r="F500" s="435"/>
      <c r="G500" s="419"/>
      <c r="H500" s="419">
        <v>86.4</v>
      </c>
      <c r="I500" s="419"/>
      <c r="J500" s="419"/>
      <c r="K500" s="420">
        <v>1</v>
      </c>
      <c r="L500" s="420">
        <f t="shared" si="90"/>
        <v>41873</v>
      </c>
      <c r="M500" s="420">
        <f t="shared" si="91"/>
        <v>215420</v>
      </c>
      <c r="N500" s="445">
        <f t="shared" si="101"/>
        <v>55006.560000000005</v>
      </c>
      <c r="O500" s="719"/>
      <c r="P500" s="719">
        <f t="shared" si="99"/>
        <v>332898.36</v>
      </c>
      <c r="Q500" s="423">
        <f>SUMIF('8.Dgia'!E:E,'9.may'!E500,'8.Dgia'!P:P)</f>
        <v>0</v>
      </c>
      <c r="R500" s="429">
        <f t="shared" si="92"/>
        <v>0</v>
      </c>
      <c r="S500" s="301">
        <f t="shared" si="93"/>
        <v>12143.170000000002</v>
      </c>
      <c r="T500" s="430">
        <f t="shared" si="94"/>
        <v>282569.73</v>
      </c>
      <c r="U500" s="431">
        <v>82741</v>
      </c>
      <c r="V500" s="431">
        <v>41873</v>
      </c>
      <c r="W500" s="432">
        <v>215420</v>
      </c>
      <c r="Y500" s="433">
        <f t="shared" si="95"/>
        <v>-67149.729999999981</v>
      </c>
      <c r="Z500" s="433">
        <f t="shared" si="96"/>
        <v>0</v>
      </c>
      <c r="AC500" s="410">
        <f t="shared" si="97"/>
        <v>0</v>
      </c>
    </row>
    <row r="501" spans="1:29" s="427" customFormat="1" ht="23.25" customHeight="1">
      <c r="A501" s="410">
        <v>1</v>
      </c>
      <c r="B501" s="417">
        <f>IF(A501&lt;&gt;0,COUNTA(A$19:$A501),"")</f>
        <v>118</v>
      </c>
      <c r="C501" s="428" t="s">
        <v>1319</v>
      </c>
      <c r="D501" s="428" t="s">
        <v>1352</v>
      </c>
      <c r="E501" s="435" t="s">
        <v>1352</v>
      </c>
      <c r="F501" s="435" t="s">
        <v>4772</v>
      </c>
      <c r="G501" s="419"/>
      <c r="H501" s="419">
        <v>125.28</v>
      </c>
      <c r="I501" s="419"/>
      <c r="J501" s="419"/>
      <c r="K501" s="420">
        <v>1</v>
      </c>
      <c r="L501" s="420">
        <f t="shared" si="90"/>
        <v>48658</v>
      </c>
      <c r="M501" s="420">
        <f t="shared" si="91"/>
        <v>373403</v>
      </c>
      <c r="N501" s="445">
        <f t="shared" si="101"/>
        <v>79759.512000000017</v>
      </c>
      <c r="O501" s="719"/>
      <c r="P501" s="719">
        <f t="shared" si="99"/>
        <v>561449.38199999998</v>
      </c>
      <c r="Q501" s="423" t="e">
        <f>SUMIF('8.Dgia'!E:E,'9.may'!E501,'8.Dgia'!P:P)</f>
        <v>#REF!</v>
      </c>
      <c r="R501" s="429" t="e">
        <f t="shared" si="92"/>
        <v>#REF!</v>
      </c>
      <c r="S501" s="301">
        <f t="shared" si="93"/>
        <v>14110.820000000002</v>
      </c>
      <c r="T501" s="430">
        <f t="shared" si="94"/>
        <v>467273.33200000005</v>
      </c>
      <c r="U501" s="2053">
        <v>119974</v>
      </c>
      <c r="V501" s="2053">
        <v>48658</v>
      </c>
      <c r="W501" s="2054">
        <v>373403</v>
      </c>
      <c r="Y501" s="433">
        <f t="shared" si="95"/>
        <v>-93870.332000000053</v>
      </c>
      <c r="Z501" s="433">
        <f t="shared" si="96"/>
        <v>0</v>
      </c>
      <c r="AC501" s="410" t="e">
        <f t="shared" si="97"/>
        <v>#REF!</v>
      </c>
    </row>
    <row r="502" spans="1:29" s="427" customFormat="1" ht="17.25" hidden="1" customHeight="1">
      <c r="B502" s="417" t="str">
        <f>IF(A502&lt;&gt;0,COUNTA(A$19:$A502),"")</f>
        <v/>
      </c>
      <c r="C502" s="418" t="s">
        <v>1353</v>
      </c>
      <c r="D502" s="418"/>
      <c r="E502" s="435"/>
      <c r="F502" s="435"/>
      <c r="G502" s="419"/>
      <c r="H502" s="419"/>
      <c r="I502" s="419"/>
      <c r="J502" s="419"/>
      <c r="K502" s="437"/>
      <c r="L502" s="420">
        <f t="shared" si="90"/>
        <v>0</v>
      </c>
      <c r="M502" s="420">
        <f t="shared" si="91"/>
        <v>0</v>
      </c>
      <c r="N502" s="445"/>
      <c r="O502" s="719"/>
      <c r="P502" s="719">
        <f t="shared" si="99"/>
        <v>0</v>
      </c>
      <c r="Q502" s="423">
        <f>SUMIF('8.Dgia'!E:E,'9.may'!E502,'8.Dgia'!P:P)</f>
        <v>0</v>
      </c>
      <c r="R502" s="429">
        <f t="shared" si="92"/>
        <v>0</v>
      </c>
      <c r="S502" s="301">
        <f t="shared" si="93"/>
        <v>0</v>
      </c>
      <c r="T502" s="430">
        <f t="shared" si="94"/>
        <v>0</v>
      </c>
      <c r="U502" s="436"/>
      <c r="V502" s="436"/>
      <c r="W502" s="432"/>
      <c r="Y502" s="433">
        <f t="shared" si="95"/>
        <v>0</v>
      </c>
      <c r="Z502" s="433">
        <f t="shared" si="96"/>
        <v>0</v>
      </c>
      <c r="AC502" s="410">
        <f t="shared" si="97"/>
        <v>0</v>
      </c>
    </row>
    <row r="503" spans="1:29" s="427" customFormat="1" ht="17.25" hidden="1" customHeight="1">
      <c r="B503" s="417" t="str">
        <f>IF(A503&lt;&gt;0,COUNTA(A$19:$A503),"")</f>
        <v/>
      </c>
      <c r="C503" s="428" t="s">
        <v>1354</v>
      </c>
      <c r="D503" s="428"/>
      <c r="E503" s="435"/>
      <c r="F503" s="435"/>
      <c r="G503" s="419"/>
      <c r="H503" s="419">
        <v>84</v>
      </c>
      <c r="I503" s="419"/>
      <c r="J503" s="419"/>
      <c r="K503" s="420">
        <v>1</v>
      </c>
      <c r="L503" s="420">
        <f t="shared" si="90"/>
        <v>48658</v>
      </c>
      <c r="M503" s="420">
        <f t="shared" si="91"/>
        <v>156861</v>
      </c>
      <c r="N503" s="445">
        <f>SUMPRODUCT(G503:J503,$G$12:$J$12,$G$9:$J$9)</f>
        <v>53478.600000000006</v>
      </c>
      <c r="O503" s="719"/>
      <c r="P503" s="719">
        <f t="shared" si="99"/>
        <v>255829.29</v>
      </c>
      <c r="Q503" s="423">
        <f>SUMIF('8.Dgia'!E:E,'9.may'!E503,'8.Dgia'!P:P)</f>
        <v>0</v>
      </c>
      <c r="R503" s="429">
        <f t="shared" si="92"/>
        <v>0</v>
      </c>
      <c r="S503" s="301">
        <f t="shared" si="93"/>
        <v>14110.820000000002</v>
      </c>
      <c r="T503" s="430">
        <f t="shared" si="94"/>
        <v>224450.42</v>
      </c>
      <c r="U503" s="431">
        <v>80443</v>
      </c>
      <c r="V503" s="431">
        <v>48658</v>
      </c>
      <c r="W503" s="432">
        <v>156861</v>
      </c>
      <c r="Y503" s="433">
        <f t="shared" si="95"/>
        <v>-67589.420000000013</v>
      </c>
      <c r="Z503" s="433">
        <f t="shared" si="96"/>
        <v>0</v>
      </c>
      <c r="AC503" s="410">
        <f t="shared" si="97"/>
        <v>0</v>
      </c>
    </row>
    <row r="504" spans="1:29" s="427" customFormat="1" ht="17.25" hidden="1" customHeight="1">
      <c r="B504" s="417" t="str">
        <f>IF(A504&lt;&gt;0,COUNTA(A$19:$A504),"")</f>
        <v/>
      </c>
      <c r="C504" s="428" t="s">
        <v>1305</v>
      </c>
      <c r="D504" s="428"/>
      <c r="E504" s="435"/>
      <c r="F504" s="435"/>
      <c r="G504" s="419"/>
      <c r="H504" s="419">
        <v>105</v>
      </c>
      <c r="I504" s="419"/>
      <c r="J504" s="419"/>
      <c r="K504" s="420">
        <v>1</v>
      </c>
      <c r="L504" s="420">
        <f t="shared" si="90"/>
        <v>48658</v>
      </c>
      <c r="M504" s="420">
        <f t="shared" si="91"/>
        <v>185136</v>
      </c>
      <c r="N504" s="445">
        <f>SUMPRODUCT(G504:J504,$G$12:$J$12,$G$9:$J$9)</f>
        <v>66848.25</v>
      </c>
      <c r="O504" s="719"/>
      <c r="P504" s="719">
        <f t="shared" si="99"/>
        <v>305673.69</v>
      </c>
      <c r="Q504" s="423">
        <f>SUMIF('8.Dgia'!E:E,'9.may'!E504,'8.Dgia'!P:P)</f>
        <v>0</v>
      </c>
      <c r="R504" s="429">
        <f t="shared" si="92"/>
        <v>0</v>
      </c>
      <c r="S504" s="301">
        <f t="shared" si="93"/>
        <v>14110.820000000002</v>
      </c>
      <c r="T504" s="430">
        <f t="shared" si="94"/>
        <v>266095.07</v>
      </c>
      <c r="U504" s="431">
        <v>100553</v>
      </c>
      <c r="V504" s="431">
        <v>48658</v>
      </c>
      <c r="W504" s="432">
        <v>185136</v>
      </c>
      <c r="Y504" s="433">
        <f t="shared" si="95"/>
        <v>-80959.070000000007</v>
      </c>
      <c r="Z504" s="433">
        <f t="shared" si="96"/>
        <v>0</v>
      </c>
      <c r="AC504" s="410">
        <f t="shared" si="97"/>
        <v>0</v>
      </c>
    </row>
    <row r="505" spans="1:29" s="427" customFormat="1" ht="17.25" hidden="1" customHeight="1">
      <c r="B505" s="417" t="str">
        <f>IF(A505&lt;&gt;0,COUNTA(A$19:$A505),"")</f>
        <v/>
      </c>
      <c r="C505" s="418" t="s">
        <v>1355</v>
      </c>
      <c r="D505" s="418"/>
      <c r="E505" s="435"/>
      <c r="F505" s="435"/>
      <c r="G505" s="419"/>
      <c r="H505" s="419"/>
      <c r="I505" s="419"/>
      <c r="J505" s="419"/>
      <c r="K505" s="437"/>
      <c r="L505" s="420">
        <f t="shared" si="90"/>
        <v>0</v>
      </c>
      <c r="M505" s="420">
        <f t="shared" si="91"/>
        <v>0</v>
      </c>
      <c r="N505" s="445"/>
      <c r="O505" s="719"/>
      <c r="P505" s="719">
        <f t="shared" si="99"/>
        <v>0</v>
      </c>
      <c r="Q505" s="423">
        <f>SUMIF('8.Dgia'!E:E,'9.may'!E505,'8.Dgia'!P:P)</f>
        <v>0</v>
      </c>
      <c r="R505" s="429">
        <f t="shared" si="92"/>
        <v>0</v>
      </c>
      <c r="S505" s="301">
        <f t="shared" si="93"/>
        <v>0</v>
      </c>
      <c r="T505" s="430">
        <f t="shared" si="94"/>
        <v>0</v>
      </c>
      <c r="U505" s="436"/>
      <c r="V505" s="436"/>
      <c r="W505" s="432"/>
      <c r="Y505" s="433">
        <f t="shared" si="95"/>
        <v>0</v>
      </c>
      <c r="Z505" s="433">
        <f t="shared" si="96"/>
        <v>0</v>
      </c>
      <c r="AC505" s="410">
        <f t="shared" si="97"/>
        <v>0</v>
      </c>
    </row>
    <row r="506" spans="1:29" s="427" customFormat="1" ht="17.25" hidden="1" customHeight="1">
      <c r="B506" s="417" t="str">
        <f>IF(A506&lt;&gt;0,COUNTA(A$19:$A506),"")</f>
        <v/>
      </c>
      <c r="C506" s="428" t="s">
        <v>1356</v>
      </c>
      <c r="D506" s="428"/>
      <c r="E506" s="435"/>
      <c r="F506" s="435"/>
      <c r="G506" s="419"/>
      <c r="H506" s="419">
        <v>8.4</v>
      </c>
      <c r="I506" s="419"/>
      <c r="J506" s="419"/>
      <c r="K506" s="420">
        <v>1</v>
      </c>
      <c r="L506" s="420">
        <f t="shared" si="90"/>
        <v>48658</v>
      </c>
      <c r="M506" s="420">
        <f t="shared" si="91"/>
        <v>58740</v>
      </c>
      <c r="N506" s="445">
        <f t="shared" ref="N506:N513" si="102">SUMPRODUCT(G506:J506,$G$12:$J$12,$G$9:$J$9)</f>
        <v>5347.8600000000006</v>
      </c>
      <c r="O506" s="719"/>
      <c r="P506" s="719">
        <f t="shared" si="99"/>
        <v>81122.460000000006</v>
      </c>
      <c r="Q506" s="423">
        <f>SUMIF('8.Dgia'!E:E,'9.may'!E506,'8.Dgia'!P:P)</f>
        <v>0</v>
      </c>
      <c r="R506" s="429">
        <f t="shared" si="92"/>
        <v>0</v>
      </c>
      <c r="S506" s="301">
        <f t="shared" si="93"/>
        <v>14110.820000000002</v>
      </c>
      <c r="T506" s="430">
        <f t="shared" si="94"/>
        <v>78198.679999999993</v>
      </c>
      <c r="U506" s="431">
        <v>8044</v>
      </c>
      <c r="V506" s="431">
        <v>48658</v>
      </c>
      <c r="W506" s="432">
        <v>58740</v>
      </c>
      <c r="Y506" s="433">
        <f t="shared" si="95"/>
        <v>-19458.679999999993</v>
      </c>
      <c r="Z506" s="433">
        <f t="shared" si="96"/>
        <v>0</v>
      </c>
      <c r="AC506" s="410">
        <f t="shared" si="97"/>
        <v>0</v>
      </c>
    </row>
    <row r="507" spans="1:29" s="427" customFormat="1" ht="17.25" hidden="1" customHeight="1">
      <c r="B507" s="417" t="str">
        <f>IF(A507&lt;&gt;0,COUNTA(A$19:$A507),"")</f>
        <v/>
      </c>
      <c r="C507" s="428" t="s">
        <v>1357</v>
      </c>
      <c r="D507" s="428"/>
      <c r="E507" s="435"/>
      <c r="F507" s="435"/>
      <c r="G507" s="419"/>
      <c r="H507" s="419">
        <v>14.7</v>
      </c>
      <c r="I507" s="419"/>
      <c r="J507" s="419"/>
      <c r="K507" s="420">
        <v>1</v>
      </c>
      <c r="L507" s="420">
        <f t="shared" si="90"/>
        <v>48658</v>
      </c>
      <c r="M507" s="420">
        <f t="shared" si="91"/>
        <v>67633</v>
      </c>
      <c r="N507" s="445">
        <f t="shared" si="102"/>
        <v>9358.755000000001</v>
      </c>
      <c r="O507" s="719"/>
      <c r="P507" s="719">
        <f t="shared" si="99"/>
        <v>96605.325000000012</v>
      </c>
      <c r="Q507" s="423">
        <f>SUMIF('8.Dgia'!E:E,'9.may'!E507,'8.Dgia'!P:P)</f>
        <v>0</v>
      </c>
      <c r="R507" s="429">
        <f t="shared" si="92"/>
        <v>0</v>
      </c>
      <c r="S507" s="301">
        <f t="shared" si="93"/>
        <v>14110.820000000002</v>
      </c>
      <c r="T507" s="430">
        <f t="shared" si="94"/>
        <v>91102.575000000012</v>
      </c>
      <c r="U507" s="431">
        <v>14077</v>
      </c>
      <c r="V507" s="431">
        <v>48658</v>
      </c>
      <c r="W507" s="432">
        <v>67633</v>
      </c>
      <c r="Y507" s="433">
        <f t="shared" si="95"/>
        <v>-23469.575000000012</v>
      </c>
      <c r="Z507" s="433">
        <f t="shared" si="96"/>
        <v>0</v>
      </c>
      <c r="AC507" s="410">
        <f t="shared" si="97"/>
        <v>0</v>
      </c>
    </row>
    <row r="508" spans="1:29" s="427" customFormat="1" ht="17.25" hidden="1" customHeight="1">
      <c r="B508" s="417" t="str">
        <f>IF(A508&lt;&gt;0,COUNTA(A$19:$A508),"")</f>
        <v/>
      </c>
      <c r="C508" s="428" t="s">
        <v>1296</v>
      </c>
      <c r="D508" s="428"/>
      <c r="E508" s="435"/>
      <c r="F508" s="435"/>
      <c r="G508" s="419"/>
      <c r="H508" s="419">
        <v>21</v>
      </c>
      <c r="I508" s="419"/>
      <c r="J508" s="419"/>
      <c r="K508" s="420">
        <v>1</v>
      </c>
      <c r="L508" s="420">
        <f t="shared" si="90"/>
        <v>48658</v>
      </c>
      <c r="M508" s="420">
        <f t="shared" si="91"/>
        <v>75736</v>
      </c>
      <c r="N508" s="445">
        <f t="shared" si="102"/>
        <v>13369.650000000001</v>
      </c>
      <c r="O508" s="719"/>
      <c r="P508" s="719">
        <f t="shared" si="99"/>
        <v>111069.09</v>
      </c>
      <c r="Q508" s="423">
        <f>SUMIF('8.Dgia'!E:E,'9.may'!E508,'8.Dgia'!P:P)</f>
        <v>0</v>
      </c>
      <c r="R508" s="429">
        <f t="shared" si="92"/>
        <v>0</v>
      </c>
      <c r="S508" s="301">
        <f t="shared" si="93"/>
        <v>14110.820000000002</v>
      </c>
      <c r="T508" s="430">
        <f t="shared" si="94"/>
        <v>103216.47</v>
      </c>
      <c r="U508" s="431">
        <v>20111</v>
      </c>
      <c r="V508" s="431">
        <v>48658</v>
      </c>
      <c r="W508" s="432">
        <v>75736</v>
      </c>
      <c r="Y508" s="433">
        <f t="shared" si="95"/>
        <v>-27480.47</v>
      </c>
      <c r="Z508" s="433">
        <f t="shared" si="96"/>
        <v>0</v>
      </c>
      <c r="AC508" s="410">
        <f t="shared" si="97"/>
        <v>0</v>
      </c>
    </row>
    <row r="509" spans="1:29" s="427" customFormat="1" ht="17.25" hidden="1" customHeight="1">
      <c r="B509" s="417" t="str">
        <f>IF(A509&lt;&gt;0,COUNTA(A$19:$A509),"")</f>
        <v/>
      </c>
      <c r="C509" s="428" t="s">
        <v>1358</v>
      </c>
      <c r="D509" s="428" t="s">
        <v>1359</v>
      </c>
      <c r="E509" s="435"/>
      <c r="F509" s="435" t="s">
        <v>4773</v>
      </c>
      <c r="G509" s="419"/>
      <c r="H509" s="419">
        <v>29.4</v>
      </c>
      <c r="I509" s="419"/>
      <c r="J509" s="419"/>
      <c r="K509" s="420">
        <v>1</v>
      </c>
      <c r="L509" s="420">
        <f t="shared" si="90"/>
        <v>48658</v>
      </c>
      <c r="M509" s="420">
        <f t="shared" si="91"/>
        <v>86713</v>
      </c>
      <c r="N509" s="445">
        <f t="shared" si="102"/>
        <v>18717.510000000002</v>
      </c>
      <c r="O509" s="719"/>
      <c r="P509" s="719">
        <f t="shared" si="99"/>
        <v>130577.28</v>
      </c>
      <c r="Q509" s="423">
        <f>SUMIF('8.Dgia'!E:E,'9.may'!E509,'8.Dgia'!P:P)</f>
        <v>0</v>
      </c>
      <c r="R509" s="429">
        <f t="shared" si="92"/>
        <v>0</v>
      </c>
      <c r="S509" s="301">
        <f t="shared" si="93"/>
        <v>14110.820000000002</v>
      </c>
      <c r="T509" s="430">
        <f t="shared" si="94"/>
        <v>119541.33</v>
      </c>
      <c r="U509" s="431">
        <v>28155</v>
      </c>
      <c r="V509" s="431">
        <v>48658</v>
      </c>
      <c r="W509" s="432">
        <v>86713</v>
      </c>
      <c r="Y509" s="433">
        <f t="shared" si="95"/>
        <v>-32828.33</v>
      </c>
      <c r="Z509" s="433">
        <f t="shared" si="96"/>
        <v>0</v>
      </c>
      <c r="AC509" s="410">
        <f t="shared" si="97"/>
        <v>0</v>
      </c>
    </row>
    <row r="510" spans="1:29" s="427" customFormat="1" ht="17.25" customHeight="1">
      <c r="A510" s="410">
        <v>1</v>
      </c>
      <c r="B510" s="417">
        <f>IF(A510&lt;&gt;0,COUNTA(A$19:$A510),"")</f>
        <v>119</v>
      </c>
      <c r="C510" s="428" t="s">
        <v>1360</v>
      </c>
      <c r="D510" s="428" t="s">
        <v>1361</v>
      </c>
      <c r="E510" s="435" t="s">
        <v>1978</v>
      </c>
      <c r="F510" s="435" t="s">
        <v>4774</v>
      </c>
      <c r="G510" s="419"/>
      <c r="H510" s="419">
        <v>48.3</v>
      </c>
      <c r="I510" s="419"/>
      <c r="J510" s="419"/>
      <c r="K510" s="420">
        <v>1</v>
      </c>
      <c r="L510" s="420">
        <f t="shared" si="90"/>
        <v>48658</v>
      </c>
      <c r="M510" s="420">
        <f t="shared" si="91"/>
        <v>109224</v>
      </c>
      <c r="N510" s="445">
        <f t="shared" si="102"/>
        <v>30750.195000000003</v>
      </c>
      <c r="O510" s="719"/>
      <c r="P510" s="719">
        <f t="shared" si="99"/>
        <v>171649.155</v>
      </c>
      <c r="Q510" s="423" t="e">
        <f>SUMIF('8.Dgia'!E:E,'9.may'!E510,'8.Dgia'!P:P)</f>
        <v>#REF!</v>
      </c>
      <c r="R510" s="429" t="e">
        <f t="shared" si="92"/>
        <v>#REF!</v>
      </c>
      <c r="S510" s="301">
        <f t="shared" si="93"/>
        <v>14110.820000000002</v>
      </c>
      <c r="T510" s="430">
        <f t="shared" si="94"/>
        <v>154085.01500000001</v>
      </c>
      <c r="U510" s="2053">
        <v>46254</v>
      </c>
      <c r="V510" s="2053">
        <v>48658</v>
      </c>
      <c r="W510" s="2054">
        <v>109224</v>
      </c>
      <c r="Y510" s="433">
        <f t="shared" si="95"/>
        <v>-44861.015000000014</v>
      </c>
      <c r="Z510" s="433">
        <f t="shared" si="96"/>
        <v>0</v>
      </c>
      <c r="AC510" s="410" t="e">
        <f t="shared" si="97"/>
        <v>#REF!</v>
      </c>
    </row>
    <row r="511" spans="1:29" s="427" customFormat="1" ht="17.25" hidden="1" customHeight="1">
      <c r="B511" s="417" t="str">
        <f>IF(A511&lt;&gt;0,COUNTA(A$19:$A511),"")</f>
        <v/>
      </c>
      <c r="C511" s="428" t="s">
        <v>1362</v>
      </c>
      <c r="D511" s="428"/>
      <c r="E511" s="435"/>
      <c r="F511" s="435"/>
      <c r="G511" s="419"/>
      <c r="H511" s="419">
        <v>57.75</v>
      </c>
      <c r="I511" s="419"/>
      <c r="J511" s="419"/>
      <c r="K511" s="420">
        <v>1</v>
      </c>
      <c r="L511" s="420">
        <f t="shared" si="90"/>
        <v>48658</v>
      </c>
      <c r="M511" s="420">
        <f t="shared" si="91"/>
        <v>114376</v>
      </c>
      <c r="N511" s="445">
        <f t="shared" si="102"/>
        <v>36766.537499999999</v>
      </c>
      <c r="O511" s="719"/>
      <c r="P511" s="719">
        <f t="shared" si="99"/>
        <v>184311.57750000001</v>
      </c>
      <c r="Q511" s="423">
        <f>SUMIF('8.Dgia'!E:E,'9.may'!E511,'8.Dgia'!P:P)</f>
        <v>0</v>
      </c>
      <c r="R511" s="429">
        <f t="shared" si="92"/>
        <v>0</v>
      </c>
      <c r="S511" s="301">
        <f t="shared" si="93"/>
        <v>14110.820000000002</v>
      </c>
      <c r="T511" s="430">
        <f t="shared" si="94"/>
        <v>165253.35749999998</v>
      </c>
      <c r="U511" s="431">
        <v>55304</v>
      </c>
      <c r="V511" s="431">
        <v>48658</v>
      </c>
      <c r="W511" s="432">
        <v>114376</v>
      </c>
      <c r="Y511" s="433">
        <f t="shared" si="95"/>
        <v>-50877.357499999984</v>
      </c>
      <c r="Z511" s="433">
        <f t="shared" si="96"/>
        <v>0</v>
      </c>
      <c r="AC511" s="410">
        <f t="shared" si="97"/>
        <v>0</v>
      </c>
    </row>
    <row r="512" spans="1:29" s="427" customFormat="1" ht="17.25" hidden="1" customHeight="1">
      <c r="B512" s="417" t="str">
        <f>IF(A512&lt;&gt;0,COUNTA(A$19:$A512),"")</f>
        <v/>
      </c>
      <c r="C512" s="428" t="s">
        <v>1363</v>
      </c>
      <c r="D512" s="428"/>
      <c r="E512" s="435"/>
      <c r="F512" s="435"/>
      <c r="G512" s="419"/>
      <c r="H512" s="419">
        <v>61.32</v>
      </c>
      <c r="I512" s="419"/>
      <c r="J512" s="419"/>
      <c r="K512" s="420">
        <v>1</v>
      </c>
      <c r="L512" s="420">
        <f t="shared" si="90"/>
        <v>48658</v>
      </c>
      <c r="M512" s="420">
        <f t="shared" si="91"/>
        <v>123138</v>
      </c>
      <c r="N512" s="445">
        <f t="shared" si="102"/>
        <v>39039.378000000004</v>
      </c>
      <c r="O512" s="719"/>
      <c r="P512" s="719">
        <f t="shared" si="99"/>
        <v>197887.39800000002</v>
      </c>
      <c r="Q512" s="423">
        <f>SUMIF('8.Dgia'!E:E,'9.may'!E512,'8.Dgia'!P:P)</f>
        <v>0</v>
      </c>
      <c r="R512" s="429">
        <f t="shared" si="92"/>
        <v>0</v>
      </c>
      <c r="S512" s="301">
        <f t="shared" si="93"/>
        <v>14110.820000000002</v>
      </c>
      <c r="T512" s="430">
        <f t="shared" si="94"/>
        <v>176288.198</v>
      </c>
      <c r="U512" s="431">
        <v>58723</v>
      </c>
      <c r="V512" s="431">
        <v>48658</v>
      </c>
      <c r="W512" s="432">
        <v>123138</v>
      </c>
      <c r="Y512" s="433">
        <f t="shared" si="95"/>
        <v>-53150.198000000004</v>
      </c>
      <c r="Z512" s="433">
        <f t="shared" si="96"/>
        <v>0</v>
      </c>
      <c r="AC512" s="410">
        <f t="shared" si="97"/>
        <v>0</v>
      </c>
    </row>
    <row r="513" spans="1:29" s="427" customFormat="1" ht="17.25" hidden="1" customHeight="1">
      <c r="B513" s="417" t="str">
        <f>IF(A513&lt;&gt;0,COUNTA(A$19:$A513),"")</f>
        <v/>
      </c>
      <c r="C513" s="428" t="s">
        <v>1364</v>
      </c>
      <c r="D513" s="428"/>
      <c r="E513" s="435"/>
      <c r="F513" s="435"/>
      <c r="G513" s="419"/>
      <c r="H513" s="419">
        <v>70.349999999999994</v>
      </c>
      <c r="I513" s="419"/>
      <c r="J513" s="419"/>
      <c r="K513" s="420">
        <v>1</v>
      </c>
      <c r="L513" s="420">
        <f t="shared" si="90"/>
        <v>48658</v>
      </c>
      <c r="M513" s="420">
        <f t="shared" si="91"/>
        <v>136460</v>
      </c>
      <c r="N513" s="445">
        <f t="shared" si="102"/>
        <v>44788.327499999999</v>
      </c>
      <c r="O513" s="719"/>
      <c r="P513" s="719">
        <f t="shared" si="99"/>
        <v>220821.72749999998</v>
      </c>
      <c r="Q513" s="423">
        <f>SUMIF('8.Dgia'!E:E,'9.may'!E513,'8.Dgia'!P:P)</f>
        <v>0</v>
      </c>
      <c r="R513" s="429">
        <f t="shared" si="92"/>
        <v>0</v>
      </c>
      <c r="S513" s="301">
        <f t="shared" si="93"/>
        <v>14110.820000000002</v>
      </c>
      <c r="T513" s="430">
        <f t="shared" si="94"/>
        <v>195359.14749999999</v>
      </c>
      <c r="U513" s="431">
        <v>67371</v>
      </c>
      <c r="V513" s="431">
        <v>48658</v>
      </c>
      <c r="W513" s="432">
        <v>136460</v>
      </c>
      <c r="Y513" s="433">
        <f t="shared" si="95"/>
        <v>-58899.147499999992</v>
      </c>
      <c r="Z513" s="433">
        <f t="shared" si="96"/>
        <v>0</v>
      </c>
      <c r="AC513" s="410">
        <f t="shared" si="97"/>
        <v>0</v>
      </c>
    </row>
    <row r="514" spans="1:29" s="427" customFormat="1" ht="17.25" hidden="1" customHeight="1">
      <c r="B514" s="417" t="str">
        <f>IF(A514&lt;&gt;0,COUNTA(A$19:$A514),"")</f>
        <v/>
      </c>
      <c r="C514" s="418" t="s">
        <v>1365</v>
      </c>
      <c r="D514" s="418"/>
      <c r="E514" s="435"/>
      <c r="F514" s="435"/>
      <c r="G514" s="419"/>
      <c r="H514" s="419"/>
      <c r="I514" s="419"/>
      <c r="J514" s="419"/>
      <c r="K514" s="420"/>
      <c r="L514" s="420">
        <f t="shared" si="90"/>
        <v>0</v>
      </c>
      <c r="M514" s="420">
        <f t="shared" si="91"/>
        <v>0</v>
      </c>
      <c r="N514" s="445"/>
      <c r="O514" s="719"/>
      <c r="P514" s="719">
        <f t="shared" si="99"/>
        <v>0</v>
      </c>
      <c r="Q514" s="423">
        <f>SUMIF('8.Dgia'!E:E,'9.may'!E514,'8.Dgia'!P:P)</f>
        <v>0</v>
      </c>
      <c r="R514" s="429">
        <f t="shared" si="92"/>
        <v>0</v>
      </c>
      <c r="S514" s="301">
        <f t="shared" si="93"/>
        <v>0</v>
      </c>
      <c r="T514" s="430">
        <f t="shared" si="94"/>
        <v>0</v>
      </c>
      <c r="U514" s="436"/>
      <c r="V514" s="436"/>
      <c r="W514" s="432"/>
      <c r="Y514" s="433">
        <f t="shared" si="95"/>
        <v>0</v>
      </c>
      <c r="Z514" s="433">
        <f t="shared" si="96"/>
        <v>0</v>
      </c>
      <c r="AC514" s="410">
        <f t="shared" si="97"/>
        <v>0</v>
      </c>
    </row>
    <row r="515" spans="1:29" s="427" customFormat="1" ht="17.25" hidden="1" customHeight="1">
      <c r="B515" s="417" t="str">
        <f>IF(A515&lt;&gt;0,COUNTA(A$19:$A515),"")</f>
        <v/>
      </c>
      <c r="C515" s="428" t="s">
        <v>1366</v>
      </c>
      <c r="D515" s="428"/>
      <c r="E515" s="435"/>
      <c r="F515" s="435"/>
      <c r="G515" s="419"/>
      <c r="H515" s="419"/>
      <c r="I515" s="419">
        <v>2.7</v>
      </c>
      <c r="J515" s="419"/>
      <c r="K515" s="420">
        <v>1</v>
      </c>
      <c r="L515" s="420">
        <f t="shared" si="90"/>
        <v>48658</v>
      </c>
      <c r="M515" s="420">
        <f t="shared" si="91"/>
        <v>110296</v>
      </c>
      <c r="N515" s="445">
        <f>SUMPRODUCT(G515:J515,$G$12:$J$12,$G$9:$J$9)</f>
        <v>40323.235909090901</v>
      </c>
      <c r="O515" s="719"/>
      <c r="P515" s="719">
        <f t="shared" si="99"/>
        <v>182605.0759090909</v>
      </c>
      <c r="Q515" s="423">
        <f>SUMIF('8.Dgia'!E:E,'9.may'!E515,'8.Dgia'!P:P)</f>
        <v>0</v>
      </c>
      <c r="R515" s="429">
        <f t="shared" si="92"/>
        <v>0</v>
      </c>
      <c r="S515" s="301">
        <f t="shared" si="93"/>
        <v>14110.820000000002</v>
      </c>
      <c r="T515" s="430">
        <f t="shared" si="94"/>
        <v>164730.05590909091</v>
      </c>
      <c r="U515" s="431">
        <v>23513</v>
      </c>
      <c r="V515" s="431">
        <v>48658</v>
      </c>
      <c r="W515" s="432">
        <v>110296</v>
      </c>
      <c r="Y515" s="433">
        <f t="shared" si="95"/>
        <v>-54434.055909090908</v>
      </c>
      <c r="Z515" s="433">
        <f t="shared" si="96"/>
        <v>0</v>
      </c>
      <c r="AC515" s="410">
        <f t="shared" si="97"/>
        <v>0</v>
      </c>
    </row>
    <row r="516" spans="1:29" s="427" customFormat="1" ht="17.25" hidden="1" customHeight="1">
      <c r="B516" s="417" t="str">
        <f>IF(A516&lt;&gt;0,COUNTA(A$19:$A516),"")</f>
        <v/>
      </c>
      <c r="C516" s="428" t="s">
        <v>1278</v>
      </c>
      <c r="D516" s="428"/>
      <c r="E516" s="435"/>
      <c r="F516" s="435"/>
      <c r="G516" s="419"/>
      <c r="H516" s="419"/>
      <c r="I516" s="419">
        <v>4.8</v>
      </c>
      <c r="J516" s="419"/>
      <c r="K516" s="420">
        <v>1</v>
      </c>
      <c r="L516" s="420">
        <f t="shared" si="90"/>
        <v>48658</v>
      </c>
      <c r="M516" s="420">
        <f t="shared" si="91"/>
        <v>137861</v>
      </c>
      <c r="N516" s="445">
        <f>SUMPRODUCT(G516:J516,$G$12:$J$12,$G$9:$J$9)</f>
        <v>71685.752727272702</v>
      </c>
      <c r="O516" s="719"/>
      <c r="P516" s="719">
        <f t="shared" si="99"/>
        <v>249526.44272727269</v>
      </c>
      <c r="Q516" s="423">
        <f>SUMIF('8.Dgia'!E:E,'9.may'!E516,'8.Dgia'!P:P)</f>
        <v>0</v>
      </c>
      <c r="R516" s="429">
        <f t="shared" si="92"/>
        <v>0</v>
      </c>
      <c r="S516" s="301">
        <f t="shared" si="93"/>
        <v>14110.820000000002</v>
      </c>
      <c r="T516" s="430">
        <f t="shared" si="94"/>
        <v>223657.57272727269</v>
      </c>
      <c r="U516" s="431">
        <v>41802</v>
      </c>
      <c r="V516" s="431">
        <v>48658</v>
      </c>
      <c r="W516" s="432">
        <v>137861</v>
      </c>
      <c r="Y516" s="433">
        <f t="shared" si="95"/>
        <v>-85796.572727272694</v>
      </c>
      <c r="Z516" s="433">
        <f t="shared" si="96"/>
        <v>0</v>
      </c>
      <c r="AC516" s="410">
        <f t="shared" si="97"/>
        <v>0</v>
      </c>
    </row>
    <row r="517" spans="1:29" s="427" customFormat="1" ht="17.25" hidden="1" customHeight="1">
      <c r="B517" s="417" t="str">
        <f>IF(A517&lt;&gt;0,COUNTA(A$19:$A517),"")</f>
        <v/>
      </c>
      <c r="C517" s="418" t="s">
        <v>1367</v>
      </c>
      <c r="D517" s="418"/>
      <c r="E517" s="435"/>
      <c r="F517" s="435"/>
      <c r="G517" s="419"/>
      <c r="H517" s="419"/>
      <c r="I517" s="419"/>
      <c r="J517" s="419"/>
      <c r="K517" s="420"/>
      <c r="L517" s="420">
        <f t="shared" si="90"/>
        <v>0</v>
      </c>
      <c r="M517" s="420">
        <f t="shared" si="91"/>
        <v>0</v>
      </c>
      <c r="N517" s="445"/>
      <c r="O517" s="719"/>
      <c r="P517" s="719">
        <f t="shared" si="99"/>
        <v>0</v>
      </c>
      <c r="Q517" s="423">
        <f>SUMIF('8.Dgia'!E:E,'9.may'!E517,'8.Dgia'!P:P)</f>
        <v>0</v>
      </c>
      <c r="R517" s="429">
        <f t="shared" si="92"/>
        <v>0</v>
      </c>
      <c r="S517" s="301">
        <f t="shared" si="93"/>
        <v>0</v>
      </c>
      <c r="T517" s="430">
        <f t="shared" si="94"/>
        <v>0</v>
      </c>
      <c r="U517" s="436"/>
      <c r="V517" s="436"/>
      <c r="W517" s="432"/>
      <c r="Y517" s="433">
        <f t="shared" si="95"/>
        <v>0</v>
      </c>
      <c r="Z517" s="433">
        <f t="shared" si="96"/>
        <v>0</v>
      </c>
      <c r="AC517" s="410">
        <f t="shared" si="97"/>
        <v>0</v>
      </c>
    </row>
    <row r="518" spans="1:29" s="427" customFormat="1" ht="17.25" hidden="1" customHeight="1">
      <c r="B518" s="417" t="str">
        <f>IF(A518&lt;&gt;0,COUNTA(A$19:$A518),"")</f>
        <v/>
      </c>
      <c r="C518" s="428" t="s">
        <v>1290</v>
      </c>
      <c r="D518" s="428"/>
      <c r="E518" s="435"/>
      <c r="F518" s="435"/>
      <c r="G518" s="419">
        <v>1.44</v>
      </c>
      <c r="H518" s="419"/>
      <c r="I518" s="419"/>
      <c r="J518" s="419"/>
      <c r="K518" s="420">
        <v>1</v>
      </c>
      <c r="L518" s="420">
        <f t="shared" si="90"/>
        <v>48658</v>
      </c>
      <c r="M518" s="420">
        <f t="shared" si="91"/>
        <v>86885</v>
      </c>
      <c r="N518" s="445">
        <f>SUMPRODUCT(G518:J518,$G$12:$J$12,$G$9:$J$9)</f>
        <v>23395.038545454543</v>
      </c>
      <c r="O518" s="719"/>
      <c r="P518" s="719">
        <f t="shared" si="99"/>
        <v>135476.68854545456</v>
      </c>
      <c r="Q518" s="423">
        <f>SUMIF('8.Dgia'!E:E,'9.may'!E518,'8.Dgia'!P:P)</f>
        <v>0</v>
      </c>
      <c r="R518" s="429">
        <f t="shared" si="92"/>
        <v>0</v>
      </c>
      <c r="S518" s="301">
        <f t="shared" si="93"/>
        <v>14110.820000000002</v>
      </c>
      <c r="T518" s="430">
        <f t="shared" si="94"/>
        <v>124390.85854545454</v>
      </c>
      <c r="U518" s="431">
        <v>10309</v>
      </c>
      <c r="V518" s="431">
        <v>48658</v>
      </c>
      <c r="W518" s="432">
        <v>86885</v>
      </c>
      <c r="Y518" s="433">
        <f t="shared" si="95"/>
        <v>-37505.858545454539</v>
      </c>
      <c r="Z518" s="433">
        <f t="shared" si="96"/>
        <v>0</v>
      </c>
      <c r="AC518" s="410">
        <f t="shared" si="97"/>
        <v>0</v>
      </c>
    </row>
    <row r="519" spans="1:29" s="427" customFormat="1" ht="17.25" hidden="1" customHeight="1">
      <c r="B519" s="417" t="str">
        <f>IF(A519&lt;&gt;0,COUNTA(A$19:$A519),"")</f>
        <v/>
      </c>
      <c r="C519" s="428" t="s">
        <v>1368</v>
      </c>
      <c r="D519" s="428"/>
      <c r="E519" s="435"/>
      <c r="F519" s="435"/>
      <c r="G519" s="419">
        <v>3.06</v>
      </c>
      <c r="H519" s="419"/>
      <c r="I519" s="419"/>
      <c r="J519" s="419"/>
      <c r="K519" s="420">
        <v>1</v>
      </c>
      <c r="L519" s="420">
        <f t="shared" si="90"/>
        <v>48658</v>
      </c>
      <c r="M519" s="420">
        <f t="shared" si="91"/>
        <v>124104</v>
      </c>
      <c r="N519" s="445">
        <f>SUMPRODUCT(G519:J519,$G$12:$J$12,$G$9:$J$9)</f>
        <v>49714.456909090906</v>
      </c>
      <c r="O519" s="719"/>
      <c r="P519" s="719">
        <f t="shared" si="99"/>
        <v>209808.6169090909</v>
      </c>
      <c r="Q519" s="423">
        <f>SUMIF('8.Dgia'!E:E,'9.may'!E519,'8.Dgia'!P:P)</f>
        <v>0</v>
      </c>
      <c r="R519" s="429">
        <f t="shared" si="92"/>
        <v>0</v>
      </c>
      <c r="S519" s="301">
        <f t="shared" si="93"/>
        <v>14110.820000000002</v>
      </c>
      <c r="T519" s="430">
        <f t="shared" si="94"/>
        <v>187929.2769090909</v>
      </c>
      <c r="U519" s="431">
        <v>21906</v>
      </c>
      <c r="V519" s="431">
        <v>48658</v>
      </c>
      <c r="W519" s="432">
        <v>124104</v>
      </c>
      <c r="Y519" s="433">
        <f t="shared" si="95"/>
        <v>-63825.276909090899</v>
      </c>
      <c r="Z519" s="433">
        <f t="shared" si="96"/>
        <v>0</v>
      </c>
      <c r="AC519" s="410">
        <f t="shared" si="97"/>
        <v>0</v>
      </c>
    </row>
    <row r="520" spans="1:29" s="427" customFormat="1" ht="17.25" hidden="1" customHeight="1">
      <c r="B520" s="417" t="str">
        <f>IF(A520&lt;&gt;0,COUNTA(A$19:$A520),"")</f>
        <v/>
      </c>
      <c r="C520" s="428" t="s">
        <v>1369</v>
      </c>
      <c r="D520" s="428"/>
      <c r="E520" s="435"/>
      <c r="F520" s="435"/>
      <c r="G520" s="419">
        <v>7.4249999999999998</v>
      </c>
      <c r="H520" s="419"/>
      <c r="I520" s="419"/>
      <c r="J520" s="419"/>
      <c r="K520" s="420">
        <v>1</v>
      </c>
      <c r="L520" s="420">
        <f t="shared" si="90"/>
        <v>48658</v>
      </c>
      <c r="M520" s="420">
        <f t="shared" si="91"/>
        <v>234935</v>
      </c>
      <c r="N520" s="445">
        <f>SUMPRODUCT(G520:J520,$G$12:$J$12,$G$9:$J$9)</f>
        <v>120630.66749999998</v>
      </c>
      <c r="O520" s="719"/>
      <c r="P520" s="719">
        <f t="shared" si="99"/>
        <v>423696.8175</v>
      </c>
      <c r="Q520" s="423">
        <f>SUMIF('8.Dgia'!E:E,'9.may'!E520,'8.Dgia'!P:P)</f>
        <v>0</v>
      </c>
      <c r="R520" s="429">
        <f t="shared" si="92"/>
        <v>0</v>
      </c>
      <c r="S520" s="301">
        <f t="shared" si="93"/>
        <v>14110.820000000002</v>
      </c>
      <c r="T520" s="430">
        <f t="shared" si="94"/>
        <v>369676.48749999999</v>
      </c>
      <c r="U520" s="431">
        <v>53191</v>
      </c>
      <c r="V520" s="431">
        <v>48658</v>
      </c>
      <c r="W520" s="432">
        <v>234935</v>
      </c>
      <c r="Y520" s="433">
        <f t="shared" si="95"/>
        <v>-134741.48749999999</v>
      </c>
      <c r="Z520" s="433">
        <f t="shared" si="96"/>
        <v>0</v>
      </c>
      <c r="AC520" s="410">
        <f t="shared" si="97"/>
        <v>0</v>
      </c>
    </row>
    <row r="521" spans="1:29" s="427" customFormat="1" ht="17.25" hidden="1" customHeight="1">
      <c r="B521" s="417" t="str">
        <f>IF(A521&lt;&gt;0,COUNTA(A$19:$A521),"")</f>
        <v/>
      </c>
      <c r="C521" s="418" t="s">
        <v>1370</v>
      </c>
      <c r="D521" s="418"/>
      <c r="E521" s="435"/>
      <c r="F521" s="435"/>
      <c r="G521" s="419"/>
      <c r="H521" s="419"/>
      <c r="I521" s="419"/>
      <c r="J521" s="419"/>
      <c r="K521" s="437"/>
      <c r="L521" s="420">
        <f t="shared" si="90"/>
        <v>0</v>
      </c>
      <c r="M521" s="420">
        <f t="shared" si="91"/>
        <v>0</v>
      </c>
      <c r="N521" s="445"/>
      <c r="O521" s="719"/>
      <c r="P521" s="719">
        <f t="shared" si="99"/>
        <v>0</v>
      </c>
      <c r="Q521" s="423">
        <f>SUMIF('8.Dgia'!E:E,'9.may'!E521,'8.Dgia'!P:P)</f>
        <v>0</v>
      </c>
      <c r="R521" s="429">
        <f t="shared" si="92"/>
        <v>0</v>
      </c>
      <c r="S521" s="301">
        <f t="shared" si="93"/>
        <v>0</v>
      </c>
      <c r="T521" s="430">
        <f t="shared" si="94"/>
        <v>0</v>
      </c>
      <c r="U521" s="436"/>
      <c r="V521" s="436"/>
      <c r="W521" s="432"/>
      <c r="Y521" s="433">
        <f t="shared" si="95"/>
        <v>0</v>
      </c>
      <c r="Z521" s="433">
        <f t="shared" si="96"/>
        <v>0</v>
      </c>
      <c r="AC521" s="410">
        <f t="shared" si="97"/>
        <v>0</v>
      </c>
    </row>
    <row r="522" spans="1:29" s="427" customFormat="1" ht="17.25" hidden="1" customHeight="1">
      <c r="B522" s="417" t="str">
        <f>IF(A522&lt;&gt;0,COUNTA(A$19:$A522),"")</f>
        <v/>
      </c>
      <c r="C522" s="428" t="s">
        <v>1371</v>
      </c>
      <c r="D522" s="428"/>
      <c r="E522" s="435"/>
      <c r="F522" s="435" t="s">
        <v>4775</v>
      </c>
      <c r="G522" s="419"/>
      <c r="H522" s="419"/>
      <c r="I522" s="419"/>
      <c r="J522" s="419"/>
      <c r="K522" s="420">
        <v>1</v>
      </c>
      <c r="L522" s="420">
        <f t="shared" si="90"/>
        <v>48658</v>
      </c>
      <c r="M522" s="420">
        <f t="shared" si="91"/>
        <v>51357</v>
      </c>
      <c r="N522" s="445">
        <f>SUMPRODUCT(G522:J522,$G$12:$J$12,$G$9:$J$9)</f>
        <v>0</v>
      </c>
      <c r="O522" s="719"/>
      <c r="P522" s="719">
        <f t="shared" si="99"/>
        <v>66250.53</v>
      </c>
      <c r="Q522" s="423">
        <f>SUMIF('8.Dgia'!E:E,'9.may'!E522,'8.Dgia'!P:P)</f>
        <v>0</v>
      </c>
      <c r="R522" s="429">
        <f t="shared" si="92"/>
        <v>0</v>
      </c>
      <c r="S522" s="301">
        <f t="shared" si="93"/>
        <v>14110.820000000002</v>
      </c>
      <c r="T522" s="430">
        <f t="shared" si="94"/>
        <v>65467.82</v>
      </c>
      <c r="U522" s="431"/>
      <c r="V522" s="431">
        <v>48658</v>
      </c>
      <c r="W522" s="432">
        <v>51357</v>
      </c>
      <c r="Y522" s="433">
        <f t="shared" si="95"/>
        <v>-14110.82</v>
      </c>
      <c r="Z522" s="433">
        <f t="shared" si="96"/>
        <v>0</v>
      </c>
      <c r="AC522" s="410">
        <f t="shared" si="97"/>
        <v>0</v>
      </c>
    </row>
    <row r="523" spans="1:29" s="427" customFormat="1" ht="17.25" customHeight="1">
      <c r="A523" s="410">
        <v>1</v>
      </c>
      <c r="B523" s="417">
        <f>IF(A523&lt;&gt;0,COUNTA(A$19:$A523),"")</f>
        <v>120</v>
      </c>
      <c r="C523" s="428" t="s">
        <v>1372</v>
      </c>
      <c r="D523" s="428" t="s">
        <v>1373</v>
      </c>
      <c r="E523" s="435" t="s">
        <v>1373</v>
      </c>
      <c r="F523" s="435" t="s">
        <v>4776</v>
      </c>
      <c r="G523" s="419"/>
      <c r="H523" s="419"/>
      <c r="I523" s="419"/>
      <c r="J523" s="419"/>
      <c r="K523" s="420">
        <v>1</v>
      </c>
      <c r="L523" s="420">
        <f t="shared" si="90"/>
        <v>48658</v>
      </c>
      <c r="M523" s="420">
        <f t="shared" si="91"/>
        <v>52883</v>
      </c>
      <c r="N523" s="445">
        <f>SUMPRODUCT(G523:J523,$G$12:$J$12,$G$9:$J$9)</f>
        <v>0</v>
      </c>
      <c r="O523" s="719"/>
      <c r="P523" s="719">
        <f t="shared" si="99"/>
        <v>68219.070000000007</v>
      </c>
      <c r="Q523" s="423">
        <f>SUMIF('8.Dgia'!E:E,'9.may'!E523,'8.Dgia'!P:P)</f>
        <v>0</v>
      </c>
      <c r="R523" s="429">
        <f t="shared" si="92"/>
        <v>0</v>
      </c>
      <c r="S523" s="301">
        <f t="shared" si="93"/>
        <v>14110.820000000002</v>
      </c>
      <c r="T523" s="430">
        <f t="shared" si="94"/>
        <v>66993.820000000007</v>
      </c>
      <c r="U523" s="2053"/>
      <c r="V523" s="2053">
        <v>48658</v>
      </c>
      <c r="W523" s="2054">
        <v>52883</v>
      </c>
      <c r="Y523" s="433">
        <f t="shared" si="95"/>
        <v>-14110.820000000007</v>
      </c>
      <c r="Z523" s="433">
        <f t="shared" si="96"/>
        <v>0</v>
      </c>
      <c r="AC523" s="410">
        <f t="shared" si="97"/>
        <v>0</v>
      </c>
    </row>
    <row r="524" spans="1:29" s="427" customFormat="1" ht="17.25" hidden="1" customHeight="1">
      <c r="B524" s="417" t="str">
        <f>IF(A524&lt;&gt;0,COUNTA(A$19:$A524),"")</f>
        <v/>
      </c>
      <c r="C524" s="441" t="s">
        <v>1374</v>
      </c>
      <c r="D524" s="441"/>
      <c r="E524" s="435"/>
      <c r="F524" s="435"/>
      <c r="G524" s="419"/>
      <c r="H524" s="419"/>
      <c r="I524" s="419"/>
      <c r="J524" s="419"/>
      <c r="K524" s="420">
        <v>1</v>
      </c>
      <c r="L524" s="420">
        <f t="shared" si="90"/>
        <v>113600</v>
      </c>
      <c r="M524" s="420">
        <f t="shared" si="91"/>
        <v>497225</v>
      </c>
      <c r="N524" s="445">
        <f>SUMPRODUCT(G524:J524,$G$12:$J$12,$G$9:$J$9)</f>
        <v>0</v>
      </c>
      <c r="O524" s="719"/>
      <c r="P524" s="719">
        <f t="shared" si="99"/>
        <v>641420.25</v>
      </c>
      <c r="Q524" s="423">
        <f>SUMIF('8.Dgia'!E:E,'9.may'!E524,'8.Dgia'!P:P)</f>
        <v>0</v>
      </c>
      <c r="R524" s="429">
        <f t="shared" si="92"/>
        <v>0</v>
      </c>
      <c r="S524" s="301">
        <f t="shared" si="93"/>
        <v>32944.000000000007</v>
      </c>
      <c r="T524" s="430">
        <f t="shared" si="94"/>
        <v>530169</v>
      </c>
      <c r="U524" s="431"/>
      <c r="V524" s="431">
        <v>113600</v>
      </c>
      <c r="W524" s="432">
        <v>497225</v>
      </c>
      <c r="Y524" s="433">
        <f t="shared" si="95"/>
        <v>-32944</v>
      </c>
      <c r="Z524" s="433">
        <f t="shared" si="96"/>
        <v>0</v>
      </c>
      <c r="AC524" s="410">
        <f t="shared" si="97"/>
        <v>0</v>
      </c>
    </row>
    <row r="525" spans="1:29" s="427" customFormat="1" ht="17.25" hidden="1" customHeight="1">
      <c r="B525" s="417" t="str">
        <f>IF(A525&lt;&gt;0,COUNTA(A$19:$A525),"")</f>
        <v/>
      </c>
      <c r="C525" s="418" t="s">
        <v>1375</v>
      </c>
      <c r="D525" s="418"/>
      <c r="E525" s="435"/>
      <c r="F525" s="435"/>
      <c r="G525" s="419"/>
      <c r="H525" s="419"/>
      <c r="I525" s="419"/>
      <c r="J525" s="419"/>
      <c r="K525" s="420"/>
      <c r="L525" s="420">
        <f t="shared" si="90"/>
        <v>0</v>
      </c>
      <c r="M525" s="420">
        <f t="shared" si="91"/>
        <v>0</v>
      </c>
      <c r="N525" s="445"/>
      <c r="O525" s="719"/>
      <c r="P525" s="719">
        <f t="shared" si="99"/>
        <v>0</v>
      </c>
      <c r="Q525" s="423">
        <f>SUMIF('8.Dgia'!E:E,'9.may'!E525,'8.Dgia'!P:P)</f>
        <v>0</v>
      </c>
      <c r="R525" s="429">
        <f t="shared" si="92"/>
        <v>0</v>
      </c>
      <c r="S525" s="301">
        <f t="shared" si="93"/>
        <v>0</v>
      </c>
      <c r="T525" s="430">
        <f t="shared" si="94"/>
        <v>0</v>
      </c>
      <c r="U525" s="436"/>
      <c r="V525" s="436"/>
      <c r="W525" s="432"/>
      <c r="Y525" s="433">
        <f t="shared" si="95"/>
        <v>0</v>
      </c>
      <c r="Z525" s="433">
        <f t="shared" si="96"/>
        <v>0</v>
      </c>
      <c r="AC525" s="410">
        <f t="shared" si="97"/>
        <v>0</v>
      </c>
    </row>
    <row r="526" spans="1:29" s="427" customFormat="1" ht="17.25" customHeight="1">
      <c r="A526" s="410">
        <v>1</v>
      </c>
      <c r="B526" s="417">
        <f>IF(A526&lt;&gt;0,COUNTA(A$19:$A526),"")</f>
        <v>121</v>
      </c>
      <c r="C526" s="428" t="s">
        <v>1376</v>
      </c>
      <c r="D526" s="428" t="s">
        <v>1377</v>
      </c>
      <c r="E526" s="435" t="s">
        <v>1378</v>
      </c>
      <c r="F526" s="435" t="s">
        <v>4777</v>
      </c>
      <c r="G526" s="419"/>
      <c r="H526" s="419"/>
      <c r="I526" s="419"/>
      <c r="J526" s="419"/>
      <c r="K526" s="420">
        <v>1</v>
      </c>
      <c r="L526" s="420">
        <f t="shared" si="90"/>
        <v>41873</v>
      </c>
      <c r="M526" s="420">
        <f t="shared" si="91"/>
        <v>49718</v>
      </c>
      <c r="N526" s="445">
        <f>SUMPRODUCT(G526:J526,$G$12:$J$12,$G$9:$J$9)</f>
        <v>0</v>
      </c>
      <c r="O526" s="719"/>
      <c r="P526" s="719">
        <f t="shared" si="99"/>
        <v>64136.22</v>
      </c>
      <c r="Q526" s="423">
        <f>SUMIF('8.Dgia'!E:E,'9.may'!E526,'8.Dgia'!P:P)</f>
        <v>0</v>
      </c>
      <c r="R526" s="429">
        <f t="shared" si="92"/>
        <v>0</v>
      </c>
      <c r="S526" s="301">
        <f t="shared" si="93"/>
        <v>12143.170000000002</v>
      </c>
      <c r="T526" s="430">
        <f t="shared" si="94"/>
        <v>61861.17</v>
      </c>
      <c r="U526" s="2053"/>
      <c r="V526" s="2053">
        <v>41873</v>
      </c>
      <c r="W526" s="2054">
        <v>49718</v>
      </c>
      <c r="Y526" s="433">
        <f t="shared" si="95"/>
        <v>-12143.169999999998</v>
      </c>
      <c r="Z526" s="433">
        <f t="shared" si="96"/>
        <v>0</v>
      </c>
      <c r="AC526" s="410">
        <f t="shared" si="97"/>
        <v>0</v>
      </c>
    </row>
    <row r="527" spans="1:29" s="427" customFormat="1" ht="17.25" customHeight="1">
      <c r="A527" s="410">
        <v>1</v>
      </c>
      <c r="B527" s="417">
        <f>IF(A527&lt;&gt;0,COUNTA(A$19:$A527),"")</f>
        <v>122</v>
      </c>
      <c r="C527" s="428" t="s">
        <v>1379</v>
      </c>
      <c r="D527" s="428" t="s">
        <v>1379</v>
      </c>
      <c r="E527" s="435" t="s">
        <v>1380</v>
      </c>
      <c r="F527" s="435" t="s">
        <v>4778</v>
      </c>
      <c r="G527" s="419"/>
      <c r="H527" s="419"/>
      <c r="I527" s="419"/>
      <c r="J527" s="419"/>
      <c r="K527" s="420">
        <v>1</v>
      </c>
      <c r="L527" s="420">
        <f t="shared" si="90"/>
        <v>41873</v>
      </c>
      <c r="M527" s="420">
        <f t="shared" si="91"/>
        <v>53199</v>
      </c>
      <c r="N527" s="445">
        <f>SUMPRODUCT(G527:J527,$G$12:$J$12,$G$9:$J$9)</f>
        <v>0</v>
      </c>
      <c r="O527" s="719"/>
      <c r="P527" s="719">
        <f t="shared" si="99"/>
        <v>68626.710000000006</v>
      </c>
      <c r="Q527" s="423">
        <f>SUMIF('8.Dgia'!E:E,'9.may'!E527,'8.Dgia'!P:P)</f>
        <v>0</v>
      </c>
      <c r="R527" s="429">
        <f t="shared" si="92"/>
        <v>0</v>
      </c>
      <c r="S527" s="301">
        <f t="shared" si="93"/>
        <v>12143.170000000002</v>
      </c>
      <c r="T527" s="430">
        <f t="shared" si="94"/>
        <v>65342.17</v>
      </c>
      <c r="U527" s="2053"/>
      <c r="V527" s="2053">
        <v>41873</v>
      </c>
      <c r="W527" s="2054">
        <v>53199</v>
      </c>
      <c r="Y527" s="433">
        <f t="shared" si="95"/>
        <v>-12143.169999999998</v>
      </c>
      <c r="Z527" s="433">
        <f t="shared" si="96"/>
        <v>0</v>
      </c>
      <c r="AC527" s="410">
        <f t="shared" si="97"/>
        <v>0</v>
      </c>
    </row>
    <row r="528" spans="1:29" s="427" customFormat="1" ht="17.25" hidden="1" customHeight="1">
      <c r="B528" s="417" t="str">
        <f>IF(A528&lt;&gt;0,COUNTA(A$19:$A528),"")</f>
        <v/>
      </c>
      <c r="C528" s="418" t="s">
        <v>1381</v>
      </c>
      <c r="D528" s="418"/>
      <c r="E528" s="435"/>
      <c r="F528" s="435"/>
      <c r="G528" s="419"/>
      <c r="H528" s="419"/>
      <c r="I528" s="419"/>
      <c r="J528" s="419"/>
      <c r="K528" s="420"/>
      <c r="L528" s="420">
        <f t="shared" si="90"/>
        <v>0</v>
      </c>
      <c r="M528" s="420">
        <f t="shared" si="91"/>
        <v>0</v>
      </c>
      <c r="N528" s="445"/>
      <c r="O528" s="719"/>
      <c r="P528" s="719">
        <f t="shared" si="99"/>
        <v>0</v>
      </c>
      <c r="Q528" s="423">
        <f>SUMIF('8.Dgia'!E:E,'9.may'!E528,'8.Dgia'!P:P)</f>
        <v>0</v>
      </c>
      <c r="R528" s="429">
        <f t="shared" si="92"/>
        <v>0</v>
      </c>
      <c r="S528" s="301">
        <f t="shared" si="93"/>
        <v>0</v>
      </c>
      <c r="T528" s="430">
        <f t="shared" si="94"/>
        <v>0</v>
      </c>
      <c r="U528" s="436"/>
      <c r="V528" s="436"/>
      <c r="W528" s="432"/>
      <c r="Y528" s="433">
        <f t="shared" si="95"/>
        <v>0</v>
      </c>
      <c r="Z528" s="433">
        <f t="shared" si="96"/>
        <v>0</v>
      </c>
      <c r="AC528" s="410">
        <f t="shared" si="97"/>
        <v>0</v>
      </c>
    </row>
    <row r="529" spans="1:29" s="427" customFormat="1" ht="17.25" customHeight="1">
      <c r="A529" s="410">
        <v>1</v>
      </c>
      <c r="B529" s="417">
        <f>IF(A529&lt;&gt;0,COUNTA(A$19:$A529),"")</f>
        <v>123</v>
      </c>
      <c r="C529" s="428" t="s">
        <v>1382</v>
      </c>
      <c r="D529" s="428" t="s">
        <v>1383</v>
      </c>
      <c r="E529" s="435" t="s">
        <v>1384</v>
      </c>
      <c r="F529" s="435" t="s">
        <v>4779</v>
      </c>
      <c r="G529" s="419"/>
      <c r="H529" s="419">
        <v>9.4499999999999993</v>
      </c>
      <c r="I529" s="419"/>
      <c r="J529" s="419"/>
      <c r="K529" s="420">
        <v>1</v>
      </c>
      <c r="L529" s="420">
        <f t="shared" si="90"/>
        <v>41873</v>
      </c>
      <c r="M529" s="420">
        <f t="shared" si="91"/>
        <v>79180</v>
      </c>
      <c r="N529" s="445">
        <f>SUMPRODUCT(G529:J529,$G$12:$J$12,$G$9:$J$9)</f>
        <v>6016.3425000000007</v>
      </c>
      <c r="O529" s="719"/>
      <c r="P529" s="719">
        <f t="shared" si="99"/>
        <v>108158.5425</v>
      </c>
      <c r="Q529" s="423" t="e">
        <f>SUMIF('8.Dgia'!E:E,'9.may'!E529,'8.Dgia'!P:P)</f>
        <v>#REF!</v>
      </c>
      <c r="R529" s="429" t="e">
        <f t="shared" si="92"/>
        <v>#REF!</v>
      </c>
      <c r="S529" s="301">
        <f t="shared" si="93"/>
        <v>12143.170000000002</v>
      </c>
      <c r="T529" s="430">
        <f t="shared" si="94"/>
        <v>97339.512500000012</v>
      </c>
      <c r="U529" s="2053">
        <v>9050</v>
      </c>
      <c r="V529" s="2053">
        <v>41873</v>
      </c>
      <c r="W529" s="2054">
        <v>79180</v>
      </c>
      <c r="Y529" s="433">
        <f t="shared" si="95"/>
        <v>-18159.512500000012</v>
      </c>
      <c r="Z529" s="433">
        <f t="shared" si="96"/>
        <v>0</v>
      </c>
      <c r="AC529" s="410" t="e">
        <f t="shared" si="97"/>
        <v>#REF!</v>
      </c>
    </row>
    <row r="530" spans="1:29" s="427" customFormat="1" ht="17.25" hidden="1" customHeight="1">
      <c r="B530" s="417" t="str">
        <f>IF(A530&lt;&gt;0,COUNTA(A$19:$A530),"")</f>
        <v/>
      </c>
      <c r="C530" s="418" t="s">
        <v>1385</v>
      </c>
      <c r="D530" s="418"/>
      <c r="E530" s="435"/>
      <c r="F530" s="435"/>
      <c r="G530" s="419"/>
      <c r="H530" s="419"/>
      <c r="I530" s="419"/>
      <c r="J530" s="419"/>
      <c r="K530" s="420"/>
      <c r="L530" s="420">
        <f t="shared" si="90"/>
        <v>0</v>
      </c>
      <c r="M530" s="420">
        <f t="shared" si="91"/>
        <v>0</v>
      </c>
      <c r="N530" s="445"/>
      <c r="O530" s="719"/>
      <c r="P530" s="719">
        <f t="shared" si="99"/>
        <v>0</v>
      </c>
      <c r="Q530" s="423">
        <f>SUMIF('8.Dgia'!E:E,'9.may'!E530,'8.Dgia'!P:P)</f>
        <v>0</v>
      </c>
      <c r="R530" s="429">
        <f t="shared" si="92"/>
        <v>0</v>
      </c>
      <c r="S530" s="301">
        <f t="shared" si="93"/>
        <v>0</v>
      </c>
      <c r="T530" s="430">
        <f t="shared" si="94"/>
        <v>0</v>
      </c>
      <c r="U530" s="436"/>
      <c r="V530" s="436"/>
      <c r="W530" s="432"/>
      <c r="Y530" s="433">
        <f t="shared" si="95"/>
        <v>0</v>
      </c>
      <c r="Z530" s="433">
        <f t="shared" si="96"/>
        <v>0</v>
      </c>
      <c r="AC530" s="410">
        <f t="shared" si="97"/>
        <v>0</v>
      </c>
    </row>
    <row r="531" spans="1:29" s="427" customFormat="1" ht="17.25" hidden="1" customHeight="1">
      <c r="B531" s="417" t="str">
        <f>IF(A531&lt;&gt;0,COUNTA(A$19:$A531),"")</f>
        <v/>
      </c>
      <c r="C531" s="428" t="s">
        <v>1386</v>
      </c>
      <c r="D531" s="428"/>
      <c r="E531" s="435"/>
      <c r="F531" s="435"/>
      <c r="G531" s="419"/>
      <c r="H531" s="419">
        <v>1.05</v>
      </c>
      <c r="I531" s="419"/>
      <c r="J531" s="419"/>
      <c r="K531" s="420">
        <v>1</v>
      </c>
      <c r="L531" s="420">
        <f t="shared" si="90"/>
        <v>41873</v>
      </c>
      <c r="M531" s="420">
        <f t="shared" si="91"/>
        <v>44275</v>
      </c>
      <c r="N531" s="445">
        <f>SUMPRODUCT(G531:J531,$G$12:$J$12,$G$9:$J$9)</f>
        <v>668.48250000000007</v>
      </c>
      <c r="O531" s="719"/>
      <c r="P531" s="719">
        <f t="shared" si="99"/>
        <v>57783.232499999998</v>
      </c>
      <c r="Q531" s="423">
        <f>SUMIF('8.Dgia'!E:E,'9.may'!E531,'8.Dgia'!P:P)</f>
        <v>0</v>
      </c>
      <c r="R531" s="429">
        <f t="shared" si="92"/>
        <v>0</v>
      </c>
      <c r="S531" s="301">
        <f t="shared" si="93"/>
        <v>12143.170000000002</v>
      </c>
      <c r="T531" s="430">
        <f t="shared" si="94"/>
        <v>57086.652500000004</v>
      </c>
      <c r="U531" s="431">
        <v>1006</v>
      </c>
      <c r="V531" s="431">
        <v>41873</v>
      </c>
      <c r="W531" s="432">
        <v>44275</v>
      </c>
      <c r="Y531" s="433">
        <f t="shared" si="95"/>
        <v>-12811.652500000004</v>
      </c>
      <c r="Z531" s="433">
        <f t="shared" si="96"/>
        <v>0</v>
      </c>
      <c r="AC531" s="410">
        <f t="shared" si="97"/>
        <v>0</v>
      </c>
    </row>
    <row r="532" spans="1:29" s="427" customFormat="1" ht="17.25" hidden="1" customHeight="1">
      <c r="B532" s="417" t="str">
        <f>IF(A532&lt;&gt;0,COUNTA(A$19:$A532),"")</f>
        <v/>
      </c>
      <c r="C532" s="418" t="s">
        <v>1387</v>
      </c>
      <c r="D532" s="418"/>
      <c r="E532" s="435"/>
      <c r="F532" s="435"/>
      <c r="G532" s="419"/>
      <c r="H532" s="419"/>
      <c r="I532" s="419"/>
      <c r="J532" s="419"/>
      <c r="K532" s="420"/>
      <c r="L532" s="420">
        <f t="shared" ref="L532:L595" si="103">+V532</f>
        <v>0</v>
      </c>
      <c r="M532" s="420">
        <f t="shared" ref="M532:M595" si="104">+W532</f>
        <v>0</v>
      </c>
      <c r="N532" s="445"/>
      <c r="O532" s="719"/>
      <c r="P532" s="719">
        <f t="shared" si="99"/>
        <v>0</v>
      </c>
      <c r="Q532" s="423">
        <f>SUMIF('8.Dgia'!E:E,'9.may'!E532,'8.Dgia'!P:P)</f>
        <v>0</v>
      </c>
      <c r="R532" s="429">
        <f t="shared" ref="R532:R595" si="105">N532*Q532</f>
        <v>0</v>
      </c>
      <c r="S532" s="301">
        <f t="shared" ref="S532:S595" si="106">L532*($G$13-1)</f>
        <v>0</v>
      </c>
      <c r="T532" s="430">
        <f t="shared" ref="T532:T595" si="107">S532+N532+M532</f>
        <v>0</v>
      </c>
      <c r="U532" s="436"/>
      <c r="V532" s="436"/>
      <c r="W532" s="432"/>
      <c r="Y532" s="433">
        <f t="shared" ref="Y532:Y595" si="108">W532-T532</f>
        <v>0</v>
      </c>
      <c r="Z532" s="433">
        <f t="shared" ref="Z532:Z595" si="109">W532-M532</f>
        <v>0</v>
      </c>
      <c r="AC532" s="410">
        <f t="shared" ref="AC532:AC595" si="110">+P532*Q532</f>
        <v>0</v>
      </c>
    </row>
    <row r="533" spans="1:29" s="427" customFormat="1" ht="17.25" hidden="1" customHeight="1">
      <c r="B533" s="417" t="str">
        <f>IF(A533&lt;&gt;0,COUNTA(A$19:$A533),"")</f>
        <v/>
      </c>
      <c r="C533" s="428" t="s">
        <v>1388</v>
      </c>
      <c r="D533" s="428" t="s">
        <v>1389</v>
      </c>
      <c r="E533" s="435"/>
      <c r="F533" s="435"/>
      <c r="G533" s="419"/>
      <c r="H533" s="419">
        <v>2.1</v>
      </c>
      <c r="I533" s="419"/>
      <c r="J533" s="419"/>
      <c r="K533" s="420">
        <v>1</v>
      </c>
      <c r="L533" s="420">
        <f t="shared" si="103"/>
        <v>41873</v>
      </c>
      <c r="M533" s="420">
        <f t="shared" si="104"/>
        <v>46464</v>
      </c>
      <c r="N533" s="445">
        <f>SUMPRODUCT(G533:J533,$G$12:$J$12,$G$9:$J$9)</f>
        <v>1336.9650000000001</v>
      </c>
      <c r="O533" s="719"/>
      <c r="P533" s="719">
        <f t="shared" ref="P533:P596" si="111">+N533+M533*$G$13</f>
        <v>61275.525000000009</v>
      </c>
      <c r="Q533" s="423">
        <f>SUMIF('8.Dgia'!E:E,'9.may'!E533,'8.Dgia'!P:P)</f>
        <v>0</v>
      </c>
      <c r="R533" s="429">
        <f t="shared" si="105"/>
        <v>0</v>
      </c>
      <c r="S533" s="301">
        <f t="shared" si="106"/>
        <v>12143.170000000002</v>
      </c>
      <c r="T533" s="430">
        <f t="shared" si="107"/>
        <v>59944.135000000002</v>
      </c>
      <c r="U533" s="431">
        <v>2011</v>
      </c>
      <c r="V533" s="431">
        <v>41873</v>
      </c>
      <c r="W533" s="432">
        <v>46464</v>
      </c>
      <c r="Y533" s="433">
        <f t="shared" si="108"/>
        <v>-13480.135000000002</v>
      </c>
      <c r="Z533" s="433">
        <f t="shared" si="109"/>
        <v>0</v>
      </c>
      <c r="AC533" s="410">
        <f t="shared" si="110"/>
        <v>0</v>
      </c>
    </row>
    <row r="534" spans="1:29" s="427" customFormat="1" ht="17.25" hidden="1" customHeight="1">
      <c r="B534" s="417" t="str">
        <f>IF(A534&lt;&gt;0,COUNTA(A$19:$A534),"")</f>
        <v/>
      </c>
      <c r="C534" s="418" t="s">
        <v>1390</v>
      </c>
      <c r="D534" s="418"/>
      <c r="E534" s="435"/>
      <c r="F534" s="435"/>
      <c r="G534" s="419"/>
      <c r="H534" s="419"/>
      <c r="I534" s="419"/>
      <c r="J534" s="419"/>
      <c r="K534" s="420"/>
      <c r="L534" s="420">
        <f t="shared" si="103"/>
        <v>0</v>
      </c>
      <c r="M534" s="420">
        <f t="shared" si="104"/>
        <v>0</v>
      </c>
      <c r="N534" s="445"/>
      <c r="O534" s="719"/>
      <c r="P534" s="719">
        <f t="shared" si="111"/>
        <v>0</v>
      </c>
      <c r="Q534" s="423">
        <f>SUMIF('8.Dgia'!E:E,'9.may'!E534,'8.Dgia'!P:P)</f>
        <v>0</v>
      </c>
      <c r="R534" s="429">
        <f t="shared" si="105"/>
        <v>0</v>
      </c>
      <c r="S534" s="301">
        <f t="shared" si="106"/>
        <v>0</v>
      </c>
      <c r="T534" s="430">
        <f t="shared" si="107"/>
        <v>0</v>
      </c>
      <c r="U534" s="436"/>
      <c r="V534" s="436"/>
      <c r="W534" s="432"/>
      <c r="Y534" s="433">
        <f t="shared" si="108"/>
        <v>0</v>
      </c>
      <c r="Z534" s="433">
        <f t="shared" si="109"/>
        <v>0</v>
      </c>
      <c r="AC534" s="410">
        <f t="shared" si="110"/>
        <v>0</v>
      </c>
    </row>
    <row r="535" spans="1:29" s="427" customFormat="1" ht="23.25" customHeight="1">
      <c r="A535" s="410">
        <v>1</v>
      </c>
      <c r="B535" s="417">
        <f>IF(A535&lt;&gt;0,COUNTA(A$19:$A535),"")</f>
        <v>124</v>
      </c>
      <c r="C535" s="428" t="s">
        <v>1391</v>
      </c>
      <c r="D535" s="428"/>
      <c r="E535" s="435" t="s">
        <v>3468</v>
      </c>
      <c r="F535" s="435" t="s">
        <v>4900</v>
      </c>
      <c r="G535" s="419"/>
      <c r="H535" s="419">
        <v>0.93</v>
      </c>
      <c r="I535" s="419"/>
      <c r="J535" s="419"/>
      <c r="K535" s="420">
        <v>1</v>
      </c>
      <c r="L535" s="420">
        <f t="shared" si="103"/>
        <v>41873</v>
      </c>
      <c r="M535" s="420">
        <f t="shared" si="104"/>
        <v>46701</v>
      </c>
      <c r="N535" s="445">
        <f>SUMPRODUCT(G535:J535,$G$12:$J$12,$G$9:$J$9)</f>
        <v>592.08450000000005</v>
      </c>
      <c r="O535" s="719"/>
      <c r="P535" s="719">
        <f t="shared" si="111"/>
        <v>60836.374499999998</v>
      </c>
      <c r="Q535" s="423" t="e">
        <f>SUMIF('8.Dgia'!E:E,'9.may'!E535,'8.Dgia'!P:P)</f>
        <v>#REF!</v>
      </c>
      <c r="R535" s="429" t="e">
        <f t="shared" si="105"/>
        <v>#REF!</v>
      </c>
      <c r="S535" s="301">
        <f t="shared" si="106"/>
        <v>12143.170000000002</v>
      </c>
      <c r="T535" s="430">
        <f t="shared" si="107"/>
        <v>59436.254500000003</v>
      </c>
      <c r="U535" s="2053">
        <v>891</v>
      </c>
      <c r="V535" s="2053">
        <v>41873</v>
      </c>
      <c r="W535" s="2054">
        <v>46701</v>
      </c>
      <c r="Y535" s="433">
        <f t="shared" si="108"/>
        <v>-12735.254500000003</v>
      </c>
      <c r="Z535" s="433">
        <f t="shared" si="109"/>
        <v>0</v>
      </c>
      <c r="AC535" s="410" t="e">
        <f t="shared" si="110"/>
        <v>#REF!</v>
      </c>
    </row>
    <row r="536" spans="1:29" s="427" customFormat="1" ht="17.25" hidden="1" customHeight="1">
      <c r="B536" s="417" t="str">
        <f>IF(A536&lt;&gt;0,COUNTA(A$19:$A536),"")</f>
        <v/>
      </c>
      <c r="C536" s="428" t="s">
        <v>1392</v>
      </c>
      <c r="D536" s="428"/>
      <c r="E536" s="435"/>
      <c r="F536" s="435"/>
      <c r="G536" s="419"/>
      <c r="H536" s="419">
        <v>1.125</v>
      </c>
      <c r="I536" s="419"/>
      <c r="J536" s="419"/>
      <c r="K536" s="420">
        <v>1</v>
      </c>
      <c r="L536" s="420">
        <f t="shared" si="103"/>
        <v>41873</v>
      </c>
      <c r="M536" s="420">
        <f t="shared" si="104"/>
        <v>46895</v>
      </c>
      <c r="N536" s="445">
        <f>SUMPRODUCT(G536:J536,$G$12:$J$12,$G$9:$J$9)</f>
        <v>716.23125000000005</v>
      </c>
      <c r="O536" s="719"/>
      <c r="P536" s="719">
        <f t="shared" si="111"/>
        <v>61210.78125</v>
      </c>
      <c r="Q536" s="423">
        <f>SUMIF('8.Dgia'!E:E,'9.may'!E536,'8.Dgia'!P:P)</f>
        <v>0</v>
      </c>
      <c r="R536" s="429">
        <f t="shared" si="105"/>
        <v>0</v>
      </c>
      <c r="S536" s="301">
        <f t="shared" si="106"/>
        <v>12143.170000000002</v>
      </c>
      <c r="T536" s="430">
        <f t="shared" si="107"/>
        <v>59754.401250000003</v>
      </c>
      <c r="U536" s="431">
        <v>1082</v>
      </c>
      <c r="V536" s="431">
        <v>41873</v>
      </c>
      <c r="W536" s="432">
        <v>46895</v>
      </c>
      <c r="Y536" s="433">
        <f t="shared" si="108"/>
        <v>-12859.401250000003</v>
      </c>
      <c r="Z536" s="433">
        <f t="shared" si="109"/>
        <v>0</v>
      </c>
      <c r="AC536" s="410">
        <f t="shared" si="110"/>
        <v>0</v>
      </c>
    </row>
    <row r="537" spans="1:29" s="427" customFormat="1" ht="17.25" hidden="1" customHeight="1">
      <c r="B537" s="417" t="str">
        <f>IF(A537&lt;&gt;0,COUNTA(A$19:$A537),"")</f>
        <v/>
      </c>
      <c r="C537" s="428" t="s">
        <v>1393</v>
      </c>
      <c r="D537" s="428"/>
      <c r="E537" s="435"/>
      <c r="F537" s="435"/>
      <c r="G537" s="419"/>
      <c r="H537" s="419">
        <v>1.2749999999999999</v>
      </c>
      <c r="I537" s="419"/>
      <c r="J537" s="419"/>
      <c r="K537" s="420">
        <v>1</v>
      </c>
      <c r="L537" s="420">
        <f t="shared" si="103"/>
        <v>41873</v>
      </c>
      <c r="M537" s="420">
        <f t="shared" si="104"/>
        <v>47436</v>
      </c>
      <c r="N537" s="445">
        <f>SUMPRODUCT(G537:J537,$G$12:$J$12,$G$9:$J$9)</f>
        <v>811.72874999999999</v>
      </c>
      <c r="O537" s="719"/>
      <c r="P537" s="719">
        <f t="shared" si="111"/>
        <v>62004.168750000004</v>
      </c>
      <c r="Q537" s="423">
        <f>SUMIF('8.Dgia'!E:E,'9.may'!E537,'8.Dgia'!P:P)</f>
        <v>0</v>
      </c>
      <c r="R537" s="429">
        <f t="shared" si="105"/>
        <v>0</v>
      </c>
      <c r="S537" s="301">
        <f t="shared" si="106"/>
        <v>12143.170000000002</v>
      </c>
      <c r="T537" s="430">
        <f t="shared" si="107"/>
        <v>60390.89875</v>
      </c>
      <c r="U537" s="431">
        <v>1226</v>
      </c>
      <c r="V537" s="431">
        <v>41873</v>
      </c>
      <c r="W537" s="432">
        <v>47436</v>
      </c>
      <c r="Y537" s="433">
        <f t="shared" si="108"/>
        <v>-12954.89875</v>
      </c>
      <c r="Z537" s="433">
        <f t="shared" si="109"/>
        <v>0</v>
      </c>
      <c r="AC537" s="410">
        <f t="shared" si="110"/>
        <v>0</v>
      </c>
    </row>
    <row r="538" spans="1:29" s="427" customFormat="1" ht="17.25" hidden="1" customHeight="1">
      <c r="B538" s="417" t="str">
        <f>IF(A538&lt;&gt;0,COUNTA(A$19:$A538),"")</f>
        <v/>
      </c>
      <c r="C538" s="428" t="s">
        <v>1394</v>
      </c>
      <c r="D538" s="428"/>
      <c r="E538" s="435"/>
      <c r="F538" s="435"/>
      <c r="G538" s="419"/>
      <c r="H538" s="419">
        <v>1.575</v>
      </c>
      <c r="I538" s="419"/>
      <c r="J538" s="419"/>
      <c r="K538" s="420">
        <v>1</v>
      </c>
      <c r="L538" s="420">
        <f t="shared" si="103"/>
        <v>41873</v>
      </c>
      <c r="M538" s="420">
        <f t="shared" si="104"/>
        <v>50077</v>
      </c>
      <c r="N538" s="445">
        <f>SUMPRODUCT(G538:J538,$G$12:$J$12,$G$9:$J$9)</f>
        <v>1002.7237500000001</v>
      </c>
      <c r="O538" s="719"/>
      <c r="P538" s="719">
        <f t="shared" si="111"/>
        <v>65602.053750000006</v>
      </c>
      <c r="Q538" s="423">
        <f>SUMIF('8.Dgia'!E:E,'9.may'!E538,'8.Dgia'!P:P)</f>
        <v>0</v>
      </c>
      <c r="R538" s="429">
        <f t="shared" si="105"/>
        <v>0</v>
      </c>
      <c r="S538" s="301">
        <f t="shared" si="106"/>
        <v>12143.170000000002</v>
      </c>
      <c r="T538" s="430">
        <f t="shared" si="107"/>
        <v>63222.893750000003</v>
      </c>
      <c r="U538" s="431">
        <v>1513</v>
      </c>
      <c r="V538" s="431">
        <v>41873</v>
      </c>
      <c r="W538" s="432">
        <v>50077</v>
      </c>
      <c r="Y538" s="433">
        <f t="shared" si="108"/>
        <v>-13145.893750000003</v>
      </c>
      <c r="Z538" s="433">
        <f t="shared" si="109"/>
        <v>0</v>
      </c>
      <c r="AC538" s="410">
        <f t="shared" si="110"/>
        <v>0</v>
      </c>
    </row>
    <row r="539" spans="1:29" s="427" customFormat="1" ht="28.5" customHeight="1">
      <c r="A539" s="410">
        <v>1</v>
      </c>
      <c r="B539" s="417">
        <f>IF(A539&lt;&gt;0,COUNTA(A$19:$A539),"")</f>
        <v>125</v>
      </c>
      <c r="C539" s="428" t="s">
        <v>1395</v>
      </c>
      <c r="D539" s="428" t="s">
        <v>1396</v>
      </c>
      <c r="E539" s="435" t="s">
        <v>1396</v>
      </c>
      <c r="F539" s="435" t="s">
        <v>4780</v>
      </c>
      <c r="G539" s="419"/>
      <c r="H539" s="419">
        <v>2.25</v>
      </c>
      <c r="I539" s="419"/>
      <c r="J539" s="419"/>
      <c r="K539" s="420">
        <v>1</v>
      </c>
      <c r="L539" s="420">
        <f t="shared" si="103"/>
        <v>41873</v>
      </c>
      <c r="M539" s="420">
        <f t="shared" si="104"/>
        <v>53812</v>
      </c>
      <c r="N539" s="445">
        <f>SUMPRODUCT(G539:J539,$G$12:$J$12,$G$9:$J$9)</f>
        <v>1432.4625000000001</v>
      </c>
      <c r="O539" s="719"/>
      <c r="P539" s="719">
        <f t="shared" si="111"/>
        <v>70849.94249999999</v>
      </c>
      <c r="Q539" s="423" t="e">
        <f>SUMIF('8.Dgia'!E:E,'9.may'!E539,'8.Dgia'!P:P)</f>
        <v>#REF!</v>
      </c>
      <c r="R539" s="429" t="e">
        <f t="shared" si="105"/>
        <v>#REF!</v>
      </c>
      <c r="S539" s="301">
        <f t="shared" si="106"/>
        <v>12143.170000000002</v>
      </c>
      <c r="T539" s="430">
        <f t="shared" si="107"/>
        <v>67387.632500000007</v>
      </c>
      <c r="U539" s="2053">
        <v>2155</v>
      </c>
      <c r="V539" s="2053">
        <v>41873</v>
      </c>
      <c r="W539" s="2054">
        <v>53812</v>
      </c>
      <c r="Y539" s="433">
        <f t="shared" si="108"/>
        <v>-13575.632500000007</v>
      </c>
      <c r="Z539" s="433">
        <f t="shared" si="109"/>
        <v>0</v>
      </c>
      <c r="AC539" s="410" t="e">
        <f t="shared" si="110"/>
        <v>#REF!</v>
      </c>
    </row>
    <row r="540" spans="1:29" s="427" customFormat="1" ht="17.25" hidden="1" customHeight="1">
      <c r="B540" s="417" t="str">
        <f>IF(A540&lt;&gt;0,COUNTA(A$19:$A540),"")</f>
        <v/>
      </c>
      <c r="C540" s="418" t="s">
        <v>1397</v>
      </c>
      <c r="D540" s="418"/>
      <c r="E540" s="435"/>
      <c r="F540" s="435"/>
      <c r="G540" s="419"/>
      <c r="H540" s="419"/>
      <c r="I540" s="419"/>
      <c r="J540" s="419"/>
      <c r="K540" s="420"/>
      <c r="L540" s="420">
        <f t="shared" si="103"/>
        <v>0</v>
      </c>
      <c r="M540" s="420">
        <f t="shared" si="104"/>
        <v>0</v>
      </c>
      <c r="N540" s="445"/>
      <c r="O540" s="719"/>
      <c r="P540" s="719">
        <f t="shared" si="111"/>
        <v>0</v>
      </c>
      <c r="Q540" s="423">
        <f>SUMIF('8.Dgia'!E:E,'9.may'!E540,'8.Dgia'!P:P)</f>
        <v>0</v>
      </c>
      <c r="R540" s="429">
        <f t="shared" si="105"/>
        <v>0</v>
      </c>
      <c r="S540" s="301">
        <f t="shared" si="106"/>
        <v>0</v>
      </c>
      <c r="T540" s="430">
        <f t="shared" si="107"/>
        <v>0</v>
      </c>
      <c r="U540" s="436"/>
      <c r="V540" s="436"/>
      <c r="W540" s="432"/>
      <c r="Y540" s="433">
        <f t="shared" si="108"/>
        <v>0</v>
      </c>
      <c r="Z540" s="433">
        <f t="shared" si="109"/>
        <v>0</v>
      </c>
      <c r="AC540" s="410">
        <f t="shared" si="110"/>
        <v>0</v>
      </c>
    </row>
    <row r="541" spans="1:29" s="427" customFormat="1" ht="17.25" customHeight="1">
      <c r="A541" s="410">
        <v>1</v>
      </c>
      <c r="B541" s="417">
        <f>IF(A541&lt;&gt;0,COUNTA(A$19:$A541),"")</f>
        <v>126</v>
      </c>
      <c r="C541" s="428" t="s">
        <v>1398</v>
      </c>
      <c r="D541" s="428" t="s">
        <v>1399</v>
      </c>
      <c r="E541" s="435" t="s">
        <v>1400</v>
      </c>
      <c r="F541" s="435" t="s">
        <v>4781</v>
      </c>
      <c r="G541" s="419"/>
      <c r="H541" s="419">
        <v>3.06</v>
      </c>
      <c r="I541" s="419"/>
      <c r="J541" s="419"/>
      <c r="K541" s="420">
        <v>1</v>
      </c>
      <c r="L541" s="420">
        <f t="shared" si="103"/>
        <v>41873</v>
      </c>
      <c r="M541" s="420">
        <f t="shared" si="104"/>
        <v>50995</v>
      </c>
      <c r="N541" s="445">
        <f>SUMPRODUCT(G541:J541,$G$12:$J$12,$G$9:$J$9)</f>
        <v>1948.1490000000001</v>
      </c>
      <c r="O541" s="719"/>
      <c r="P541" s="719">
        <f t="shared" si="111"/>
        <v>67731.699000000008</v>
      </c>
      <c r="Q541" s="423">
        <f>SUMIF('8.Dgia'!E:E,'9.may'!E541,'8.Dgia'!P:P)</f>
        <v>0</v>
      </c>
      <c r="R541" s="429">
        <f t="shared" si="105"/>
        <v>0</v>
      </c>
      <c r="S541" s="301">
        <f t="shared" si="106"/>
        <v>12143.170000000002</v>
      </c>
      <c r="T541" s="430">
        <f t="shared" si="107"/>
        <v>65086.319000000003</v>
      </c>
      <c r="U541" s="2053">
        <v>2930</v>
      </c>
      <c r="V541" s="2053">
        <v>41873</v>
      </c>
      <c r="W541" s="2054">
        <v>50995</v>
      </c>
      <c r="Y541" s="433">
        <f t="shared" si="108"/>
        <v>-14091.319000000003</v>
      </c>
      <c r="Z541" s="433">
        <f t="shared" si="109"/>
        <v>0</v>
      </c>
      <c r="AC541" s="410">
        <f t="shared" si="110"/>
        <v>0</v>
      </c>
    </row>
    <row r="542" spans="1:29" s="427" customFormat="1" ht="17.25" hidden="1" customHeight="1">
      <c r="B542" s="417" t="str">
        <f>IF(A542&lt;&gt;0,COUNTA(A$19:$A542),"")</f>
        <v/>
      </c>
      <c r="C542" s="418" t="s">
        <v>1401</v>
      </c>
      <c r="D542" s="418"/>
      <c r="E542" s="435"/>
      <c r="F542" s="435"/>
      <c r="G542" s="419"/>
      <c r="H542" s="419"/>
      <c r="I542" s="419"/>
      <c r="J542" s="419"/>
      <c r="K542" s="420"/>
      <c r="L542" s="420">
        <f t="shared" si="103"/>
        <v>0</v>
      </c>
      <c r="M542" s="420">
        <f t="shared" si="104"/>
        <v>0</v>
      </c>
      <c r="N542" s="445"/>
      <c r="O542" s="719"/>
      <c r="P542" s="719">
        <f t="shared" si="111"/>
        <v>0</v>
      </c>
      <c r="Q542" s="423">
        <f>SUMIF('8.Dgia'!E:E,'9.may'!E542,'8.Dgia'!P:P)</f>
        <v>0</v>
      </c>
      <c r="R542" s="429">
        <f t="shared" si="105"/>
        <v>0</v>
      </c>
      <c r="S542" s="301">
        <f t="shared" si="106"/>
        <v>0</v>
      </c>
      <c r="T542" s="430">
        <f t="shared" si="107"/>
        <v>0</v>
      </c>
      <c r="U542" s="436"/>
      <c r="V542" s="436"/>
      <c r="W542" s="432"/>
      <c r="Y542" s="433">
        <f t="shared" si="108"/>
        <v>0</v>
      </c>
      <c r="Z542" s="433">
        <f t="shared" si="109"/>
        <v>0</v>
      </c>
      <c r="AC542" s="410">
        <f t="shared" si="110"/>
        <v>0</v>
      </c>
    </row>
    <row r="543" spans="1:29" s="427" customFormat="1" ht="17.25" hidden="1" customHeight="1">
      <c r="B543" s="417" t="str">
        <f>IF(A543&lt;&gt;0,COUNTA(A$19:$A543),"")</f>
        <v/>
      </c>
      <c r="C543" s="428" t="s">
        <v>1395</v>
      </c>
      <c r="D543" s="428"/>
      <c r="E543" s="435"/>
      <c r="F543" s="435"/>
      <c r="G543" s="419"/>
      <c r="H543" s="419">
        <v>2.7</v>
      </c>
      <c r="I543" s="419"/>
      <c r="J543" s="419"/>
      <c r="K543" s="420">
        <v>1</v>
      </c>
      <c r="L543" s="420">
        <f t="shared" si="103"/>
        <v>41873</v>
      </c>
      <c r="M543" s="420">
        <f t="shared" si="104"/>
        <v>51282</v>
      </c>
      <c r="N543" s="445">
        <f>SUMPRODUCT(G543:J543,$G$12:$J$12,$G$9:$J$9)</f>
        <v>1718.9550000000002</v>
      </c>
      <c r="O543" s="719"/>
      <c r="P543" s="719">
        <f t="shared" si="111"/>
        <v>67872.735000000001</v>
      </c>
      <c r="Q543" s="423">
        <f>SUMIF('8.Dgia'!E:E,'9.may'!E543,'8.Dgia'!P:P)</f>
        <v>0</v>
      </c>
      <c r="R543" s="429">
        <f t="shared" si="105"/>
        <v>0</v>
      </c>
      <c r="S543" s="301">
        <f t="shared" si="106"/>
        <v>12143.170000000002</v>
      </c>
      <c r="T543" s="430">
        <f t="shared" si="107"/>
        <v>65144.125</v>
      </c>
      <c r="U543" s="431">
        <v>2586</v>
      </c>
      <c r="V543" s="431">
        <v>41873</v>
      </c>
      <c r="W543" s="432">
        <v>51282</v>
      </c>
      <c r="Y543" s="433">
        <f t="shared" si="108"/>
        <v>-13862.125</v>
      </c>
      <c r="Z543" s="433">
        <f t="shared" si="109"/>
        <v>0</v>
      </c>
      <c r="AC543" s="410">
        <f t="shared" si="110"/>
        <v>0</v>
      </c>
    </row>
    <row r="544" spans="1:29" s="427" customFormat="1" ht="17.25" customHeight="1">
      <c r="A544" s="410">
        <v>1</v>
      </c>
      <c r="B544" s="417">
        <f>IF(A544&lt;&gt;0,COUNTA(A$19:$A544),"")</f>
        <v>127</v>
      </c>
      <c r="C544" s="428" t="s">
        <v>1402</v>
      </c>
      <c r="D544" s="428" t="s">
        <v>1403</v>
      </c>
      <c r="E544" s="435" t="s">
        <v>1404</v>
      </c>
      <c r="F544" s="435" t="s">
        <v>4782</v>
      </c>
      <c r="G544" s="419"/>
      <c r="H544" s="419"/>
      <c r="I544" s="419">
        <v>7.92</v>
      </c>
      <c r="J544" s="419"/>
      <c r="K544" s="420">
        <v>1</v>
      </c>
      <c r="L544" s="420">
        <f t="shared" si="103"/>
        <v>48658</v>
      </c>
      <c r="M544" s="420">
        <f t="shared" si="104"/>
        <v>161244</v>
      </c>
      <c r="N544" s="445">
        <f>SUMPRODUCT(G544:J544,$G$12:$J$12,$G$9:$J$9)</f>
        <v>118281.49199999998</v>
      </c>
      <c r="O544" s="719"/>
      <c r="P544" s="719">
        <f t="shared" si="111"/>
        <v>326286.25199999998</v>
      </c>
      <c r="Q544" s="423" t="e">
        <f>SUMIF('8.Dgia'!E:E,'9.may'!E544,'8.Dgia'!P:P)</f>
        <v>#REF!</v>
      </c>
      <c r="R544" s="429" t="e">
        <f t="shared" si="105"/>
        <v>#REF!</v>
      </c>
      <c r="S544" s="301">
        <f t="shared" si="106"/>
        <v>14110.820000000002</v>
      </c>
      <c r="T544" s="430">
        <f t="shared" si="107"/>
        <v>293636.31199999998</v>
      </c>
      <c r="U544" s="2053">
        <v>68973</v>
      </c>
      <c r="V544" s="2053">
        <v>48658</v>
      </c>
      <c r="W544" s="2054">
        <v>161244</v>
      </c>
      <c r="Y544" s="433">
        <f t="shared" si="108"/>
        <v>-132392.31199999998</v>
      </c>
      <c r="Z544" s="433">
        <f t="shared" si="109"/>
        <v>0</v>
      </c>
      <c r="AC544" s="410" t="e">
        <f t="shared" si="110"/>
        <v>#REF!</v>
      </c>
    </row>
    <row r="545" spans="1:29" s="427" customFormat="1" ht="17.25" hidden="1" customHeight="1">
      <c r="B545" s="417" t="str">
        <f>IF(A545&lt;&gt;0,COUNTA(A$19:$A545),"")</f>
        <v/>
      </c>
      <c r="C545" s="418" t="s">
        <v>1405</v>
      </c>
      <c r="D545" s="418"/>
      <c r="E545" s="435"/>
      <c r="F545" s="435"/>
      <c r="G545" s="419"/>
      <c r="H545" s="419"/>
      <c r="I545" s="419"/>
      <c r="J545" s="419"/>
      <c r="K545" s="437"/>
      <c r="L545" s="420">
        <f t="shared" si="103"/>
        <v>0</v>
      </c>
      <c r="M545" s="420">
        <f t="shared" si="104"/>
        <v>0</v>
      </c>
      <c r="N545" s="445"/>
      <c r="O545" s="719"/>
      <c r="P545" s="719">
        <f t="shared" si="111"/>
        <v>0</v>
      </c>
      <c r="Q545" s="423">
        <f>SUMIF('8.Dgia'!E:E,'9.may'!E545,'8.Dgia'!P:P)</f>
        <v>0</v>
      </c>
      <c r="R545" s="429">
        <f t="shared" si="105"/>
        <v>0</v>
      </c>
      <c r="S545" s="301">
        <f t="shared" si="106"/>
        <v>0</v>
      </c>
      <c r="T545" s="430">
        <f t="shared" si="107"/>
        <v>0</v>
      </c>
      <c r="U545" s="436"/>
      <c r="V545" s="436"/>
      <c r="W545" s="432"/>
      <c r="Y545" s="433">
        <f t="shared" si="108"/>
        <v>0</v>
      </c>
      <c r="Z545" s="433">
        <f t="shared" si="109"/>
        <v>0</v>
      </c>
      <c r="AC545" s="410">
        <f t="shared" si="110"/>
        <v>0</v>
      </c>
    </row>
    <row r="546" spans="1:29" s="427" customFormat="1" ht="17.25" customHeight="1">
      <c r="A546" s="410">
        <v>1</v>
      </c>
      <c r="B546" s="417">
        <f>IF(A546&lt;&gt;0,COUNTA(A$19:$A546),"")</f>
        <v>128</v>
      </c>
      <c r="C546" s="428" t="s">
        <v>1406</v>
      </c>
      <c r="D546" s="428" t="s">
        <v>1407</v>
      </c>
      <c r="E546" s="435" t="s">
        <v>1408</v>
      </c>
      <c r="F546" s="435" t="s">
        <v>4159</v>
      </c>
      <c r="G546" s="419"/>
      <c r="H546" s="419"/>
      <c r="I546" s="419"/>
      <c r="J546" s="419"/>
      <c r="K546" s="420">
        <v>1</v>
      </c>
      <c r="L546" s="420">
        <f t="shared" si="103"/>
        <v>48658</v>
      </c>
      <c r="M546" s="420">
        <f t="shared" si="104"/>
        <v>51545</v>
      </c>
      <c r="N546" s="445">
        <f>SUMPRODUCT(G546:J546,$G$12:$J$12,$G$9:$J$9)</f>
        <v>0</v>
      </c>
      <c r="O546" s="719"/>
      <c r="P546" s="719">
        <f t="shared" si="111"/>
        <v>66493.05</v>
      </c>
      <c r="Q546" s="423" t="e">
        <f>SUMIF('8.Dgia'!E:E,'9.may'!E546,'8.Dgia'!P:P)</f>
        <v>#REF!</v>
      </c>
      <c r="R546" s="429" t="e">
        <f t="shared" si="105"/>
        <v>#REF!</v>
      </c>
      <c r="S546" s="301">
        <f t="shared" si="106"/>
        <v>14110.820000000002</v>
      </c>
      <c r="T546" s="430">
        <f t="shared" si="107"/>
        <v>65655.820000000007</v>
      </c>
      <c r="U546" s="2053"/>
      <c r="V546" s="2053">
        <v>48658</v>
      </c>
      <c r="W546" s="2054">
        <v>51545</v>
      </c>
      <c r="Y546" s="433">
        <f t="shared" si="108"/>
        <v>-14110.820000000007</v>
      </c>
      <c r="Z546" s="433">
        <f t="shared" si="109"/>
        <v>0</v>
      </c>
      <c r="AC546" s="410" t="e">
        <f t="shared" si="110"/>
        <v>#REF!</v>
      </c>
    </row>
    <row r="547" spans="1:29" s="427" customFormat="1" ht="17.25" hidden="1" customHeight="1">
      <c r="B547" s="417" t="str">
        <f>IF(A547&lt;&gt;0,COUNTA(A$19:$A547),"")</f>
        <v/>
      </c>
      <c r="C547" s="428" t="s">
        <v>1409</v>
      </c>
      <c r="D547" s="428"/>
      <c r="E547" s="435"/>
      <c r="F547" s="435"/>
      <c r="G547" s="419"/>
      <c r="H547" s="419"/>
      <c r="I547" s="419"/>
      <c r="J547" s="419"/>
      <c r="K547" s="420">
        <v>1</v>
      </c>
      <c r="L547" s="420">
        <f t="shared" si="103"/>
        <v>48658</v>
      </c>
      <c r="M547" s="420">
        <f t="shared" si="104"/>
        <v>51946</v>
      </c>
      <c r="N547" s="445">
        <f>SUMPRODUCT(G547:J547,$G$12:$J$12,$G$9:$J$9)</f>
        <v>0</v>
      </c>
      <c r="O547" s="719"/>
      <c r="P547" s="719">
        <f t="shared" si="111"/>
        <v>67010.34</v>
      </c>
      <c r="Q547" s="423">
        <f>SUMIF('8.Dgia'!E:E,'9.may'!E547,'8.Dgia'!P:P)</f>
        <v>0</v>
      </c>
      <c r="R547" s="429">
        <f t="shared" si="105"/>
        <v>0</v>
      </c>
      <c r="S547" s="301">
        <f t="shared" si="106"/>
        <v>14110.820000000002</v>
      </c>
      <c r="T547" s="430">
        <f t="shared" si="107"/>
        <v>66056.820000000007</v>
      </c>
      <c r="U547" s="431"/>
      <c r="V547" s="431">
        <v>48658</v>
      </c>
      <c r="W547" s="432">
        <v>51946</v>
      </c>
      <c r="Y547" s="433">
        <f t="shared" si="108"/>
        <v>-14110.820000000007</v>
      </c>
      <c r="Z547" s="433">
        <f t="shared" si="109"/>
        <v>0</v>
      </c>
      <c r="AC547" s="410">
        <f t="shared" si="110"/>
        <v>0</v>
      </c>
    </row>
    <row r="548" spans="1:29" s="427" customFormat="1" ht="17.25" hidden="1" customHeight="1">
      <c r="B548" s="417" t="str">
        <f>IF(A548&lt;&gt;0,COUNTA(A$19:$A548),"")</f>
        <v/>
      </c>
      <c r="C548" s="418" t="s">
        <v>1410</v>
      </c>
      <c r="D548" s="418"/>
      <c r="E548" s="435"/>
      <c r="F548" s="435"/>
      <c r="G548" s="419"/>
      <c r="H548" s="419"/>
      <c r="I548" s="419"/>
      <c r="J548" s="419"/>
      <c r="K548" s="420"/>
      <c r="L548" s="420">
        <f t="shared" si="103"/>
        <v>0</v>
      </c>
      <c r="M548" s="420">
        <f t="shared" si="104"/>
        <v>0</v>
      </c>
      <c r="N548" s="445"/>
      <c r="O548" s="719"/>
      <c r="P548" s="719">
        <f t="shared" si="111"/>
        <v>0</v>
      </c>
      <c r="Q548" s="423">
        <f>SUMIF('8.Dgia'!E:E,'9.may'!E548,'8.Dgia'!P:P)</f>
        <v>0</v>
      </c>
      <c r="R548" s="429">
        <f t="shared" si="105"/>
        <v>0</v>
      </c>
      <c r="S548" s="301">
        <f t="shared" si="106"/>
        <v>0</v>
      </c>
      <c r="T548" s="430">
        <f t="shared" si="107"/>
        <v>0</v>
      </c>
      <c r="U548" s="436"/>
      <c r="V548" s="436"/>
      <c r="W548" s="432"/>
      <c r="Y548" s="433">
        <f t="shared" si="108"/>
        <v>0</v>
      </c>
      <c r="Z548" s="433">
        <f t="shared" si="109"/>
        <v>0</v>
      </c>
      <c r="AC548" s="410">
        <f t="shared" si="110"/>
        <v>0</v>
      </c>
    </row>
    <row r="549" spans="1:29" s="427" customFormat="1" ht="17.25" customHeight="1">
      <c r="A549" s="410">
        <v>1</v>
      </c>
      <c r="B549" s="417">
        <f>IF(A549&lt;&gt;0,COUNTA(A$19:$A549),"")</f>
        <v>129</v>
      </c>
      <c r="C549" s="428" t="s">
        <v>1206</v>
      </c>
      <c r="D549" s="428" t="s">
        <v>1411</v>
      </c>
      <c r="E549" s="435" t="s">
        <v>1412</v>
      </c>
      <c r="F549" s="435" t="s">
        <v>4783</v>
      </c>
      <c r="G549" s="419"/>
      <c r="H549" s="419">
        <v>5.04</v>
      </c>
      <c r="I549" s="419"/>
      <c r="J549" s="419"/>
      <c r="K549" s="420">
        <v>1</v>
      </c>
      <c r="L549" s="420">
        <f t="shared" si="103"/>
        <v>41873</v>
      </c>
      <c r="M549" s="420">
        <f t="shared" si="104"/>
        <v>61161</v>
      </c>
      <c r="N549" s="445">
        <f>SUMPRODUCT(G549:J549,$G$12:$J$12,$G$9:$J$9)</f>
        <v>3208.7160000000003</v>
      </c>
      <c r="O549" s="719"/>
      <c r="P549" s="719">
        <f t="shared" si="111"/>
        <v>82106.406000000003</v>
      </c>
      <c r="Q549" s="423" t="e">
        <f>SUMIF('8.Dgia'!E:E,'9.may'!E549,'8.Dgia'!P:P)</f>
        <v>#REF!</v>
      </c>
      <c r="R549" s="429" t="e">
        <f t="shared" si="105"/>
        <v>#REF!</v>
      </c>
      <c r="S549" s="301">
        <f t="shared" si="106"/>
        <v>12143.170000000002</v>
      </c>
      <c r="T549" s="430">
        <f t="shared" si="107"/>
        <v>76512.885999999999</v>
      </c>
      <c r="U549" s="2053">
        <v>4827</v>
      </c>
      <c r="V549" s="2053">
        <v>41873</v>
      </c>
      <c r="W549" s="2054">
        <v>61161</v>
      </c>
      <c r="Y549" s="433">
        <f t="shared" si="108"/>
        <v>-15351.885999999999</v>
      </c>
      <c r="Z549" s="433">
        <f t="shared" si="109"/>
        <v>0</v>
      </c>
      <c r="AC549" s="410" t="e">
        <f t="shared" si="110"/>
        <v>#REF!</v>
      </c>
    </row>
    <row r="550" spans="1:29" s="427" customFormat="1" ht="17.25" hidden="1" customHeight="1">
      <c r="B550" s="417" t="str">
        <f>IF(A550&lt;&gt;0,COUNTA(A$19:$A550),"")</f>
        <v/>
      </c>
      <c r="C550" s="418" t="s">
        <v>1413</v>
      </c>
      <c r="D550" s="418"/>
      <c r="E550" s="435"/>
      <c r="F550" s="435"/>
      <c r="G550" s="419"/>
      <c r="H550" s="419"/>
      <c r="I550" s="419"/>
      <c r="J550" s="419"/>
      <c r="K550" s="420"/>
      <c r="L550" s="420">
        <f t="shared" si="103"/>
        <v>0</v>
      </c>
      <c r="M550" s="420">
        <f t="shared" si="104"/>
        <v>0</v>
      </c>
      <c r="N550" s="445"/>
      <c r="O550" s="719"/>
      <c r="P550" s="719">
        <f t="shared" si="111"/>
        <v>0</v>
      </c>
      <c r="Q550" s="423">
        <f>SUMIF('8.Dgia'!E:E,'9.may'!E550,'8.Dgia'!P:P)</f>
        <v>0</v>
      </c>
      <c r="R550" s="429">
        <f t="shared" si="105"/>
        <v>0</v>
      </c>
      <c r="S550" s="301">
        <f t="shared" si="106"/>
        <v>0</v>
      </c>
      <c r="T550" s="430">
        <f t="shared" si="107"/>
        <v>0</v>
      </c>
      <c r="U550" s="436"/>
      <c r="V550" s="436"/>
      <c r="W550" s="432"/>
      <c r="Y550" s="433">
        <f t="shared" si="108"/>
        <v>0</v>
      </c>
      <c r="Z550" s="433">
        <f t="shared" si="109"/>
        <v>0</v>
      </c>
      <c r="AC550" s="410">
        <f t="shared" si="110"/>
        <v>0</v>
      </c>
    </row>
    <row r="551" spans="1:29" s="427" customFormat="1" ht="17.25" hidden="1" customHeight="1">
      <c r="B551" s="417" t="str">
        <f>IF(A551&lt;&gt;0,COUNTA(A$19:$A551),"")</f>
        <v/>
      </c>
      <c r="C551" s="428" t="s">
        <v>1414</v>
      </c>
      <c r="D551" s="428"/>
      <c r="E551" s="435"/>
      <c r="F551" s="435"/>
      <c r="G551" s="419"/>
      <c r="H551" s="419">
        <v>9</v>
      </c>
      <c r="I551" s="419"/>
      <c r="J551" s="419"/>
      <c r="K551" s="420">
        <v>1</v>
      </c>
      <c r="L551" s="420">
        <f t="shared" si="103"/>
        <v>41873</v>
      </c>
      <c r="M551" s="420">
        <f t="shared" si="104"/>
        <v>64985</v>
      </c>
      <c r="N551" s="445">
        <f>SUMPRODUCT(G551:J551,$G$12:$J$12,$G$9:$J$9)</f>
        <v>5729.85</v>
      </c>
      <c r="O551" s="719"/>
      <c r="P551" s="719">
        <f t="shared" si="111"/>
        <v>89560.500000000015</v>
      </c>
      <c r="Q551" s="423">
        <f>SUMIF('8.Dgia'!E:E,'9.may'!E551,'8.Dgia'!P:P)</f>
        <v>0</v>
      </c>
      <c r="R551" s="429">
        <f t="shared" si="105"/>
        <v>0</v>
      </c>
      <c r="S551" s="301">
        <f t="shared" si="106"/>
        <v>12143.170000000002</v>
      </c>
      <c r="T551" s="430">
        <f t="shared" si="107"/>
        <v>82858.02</v>
      </c>
      <c r="U551" s="431">
        <v>8619</v>
      </c>
      <c r="V551" s="431">
        <v>41873</v>
      </c>
      <c r="W551" s="432">
        <v>64985</v>
      </c>
      <c r="Y551" s="433">
        <f t="shared" si="108"/>
        <v>-17873.020000000004</v>
      </c>
      <c r="Z551" s="433">
        <f t="shared" si="109"/>
        <v>0</v>
      </c>
      <c r="AC551" s="410">
        <f t="shared" si="110"/>
        <v>0</v>
      </c>
    </row>
    <row r="552" spans="1:29" s="427" customFormat="1" ht="17.25" hidden="1" customHeight="1">
      <c r="B552" s="417" t="str">
        <f>IF(A552&lt;&gt;0,COUNTA(A$19:$A552),"")</f>
        <v/>
      </c>
      <c r="C552" s="418" t="s">
        <v>1415</v>
      </c>
      <c r="D552" s="418"/>
      <c r="E552" s="435"/>
      <c r="F552" s="435"/>
      <c r="G552" s="419"/>
      <c r="H552" s="419"/>
      <c r="I552" s="419"/>
      <c r="J552" s="419"/>
      <c r="K552" s="420"/>
      <c r="L552" s="420">
        <f t="shared" si="103"/>
        <v>0</v>
      </c>
      <c r="M552" s="420">
        <f t="shared" si="104"/>
        <v>0</v>
      </c>
      <c r="N552" s="445"/>
      <c r="O552" s="719"/>
      <c r="P552" s="719">
        <f t="shared" si="111"/>
        <v>0</v>
      </c>
      <c r="Q552" s="423">
        <f>SUMIF('8.Dgia'!E:E,'9.may'!E552,'8.Dgia'!P:P)</f>
        <v>0</v>
      </c>
      <c r="R552" s="429">
        <f t="shared" si="105"/>
        <v>0</v>
      </c>
      <c r="S552" s="301">
        <f t="shared" si="106"/>
        <v>0</v>
      </c>
      <c r="T552" s="430">
        <f t="shared" si="107"/>
        <v>0</v>
      </c>
      <c r="U552" s="436"/>
      <c r="V552" s="436"/>
      <c r="W552" s="432"/>
      <c r="Y552" s="433">
        <f t="shared" si="108"/>
        <v>0</v>
      </c>
      <c r="Z552" s="433">
        <f t="shared" si="109"/>
        <v>0</v>
      </c>
      <c r="AC552" s="410">
        <f t="shared" si="110"/>
        <v>0</v>
      </c>
    </row>
    <row r="553" spans="1:29" s="427" customFormat="1" ht="17.25" customHeight="1">
      <c r="A553" s="410">
        <v>1</v>
      </c>
      <c r="B553" s="417">
        <f>IF(A553&lt;&gt;0,COUNTA(A$19:$A553),"")</f>
        <v>130</v>
      </c>
      <c r="C553" s="428" t="s">
        <v>1297</v>
      </c>
      <c r="D553" s="428" t="s">
        <v>1416</v>
      </c>
      <c r="E553" s="435" t="s">
        <v>1417</v>
      </c>
      <c r="F553" s="435" t="s">
        <v>4426</v>
      </c>
      <c r="G553" s="419"/>
      <c r="H553" s="419">
        <v>27</v>
      </c>
      <c r="I553" s="419"/>
      <c r="J553" s="419"/>
      <c r="K553" s="420">
        <v>1</v>
      </c>
      <c r="L553" s="420">
        <f t="shared" si="103"/>
        <v>41873</v>
      </c>
      <c r="M553" s="420">
        <f t="shared" si="104"/>
        <v>145356</v>
      </c>
      <c r="N553" s="445">
        <f>SUMPRODUCT(G553:J553,$G$12:$J$12,$G$9:$J$9)</f>
        <v>17189.55</v>
      </c>
      <c r="O553" s="719"/>
      <c r="P553" s="719">
        <f t="shared" si="111"/>
        <v>204698.78999999998</v>
      </c>
      <c r="Q553" s="423" t="e">
        <f>SUMIF('8.Dgia'!E:E,'9.may'!E553,'8.Dgia'!P:P)</f>
        <v>#REF!</v>
      </c>
      <c r="R553" s="429" t="e">
        <f t="shared" si="105"/>
        <v>#REF!</v>
      </c>
      <c r="S553" s="301">
        <f t="shared" si="106"/>
        <v>12143.170000000002</v>
      </c>
      <c r="T553" s="430">
        <f t="shared" si="107"/>
        <v>174688.72</v>
      </c>
      <c r="U553" s="2053">
        <v>25857</v>
      </c>
      <c r="V553" s="2053">
        <v>41873</v>
      </c>
      <c r="W553" s="2054">
        <v>145356</v>
      </c>
      <c r="Y553" s="433">
        <f t="shared" si="108"/>
        <v>-29332.720000000001</v>
      </c>
      <c r="Z553" s="433">
        <f t="shared" si="109"/>
        <v>0</v>
      </c>
      <c r="AC553" s="410" t="e">
        <f t="shared" si="110"/>
        <v>#REF!</v>
      </c>
    </row>
    <row r="554" spans="1:29" s="427" customFormat="1" ht="17.25" hidden="1" customHeight="1">
      <c r="B554" s="417" t="str">
        <f>IF(A554&lt;&gt;0,COUNTA(A$19:$A554),"")</f>
        <v/>
      </c>
      <c r="C554" s="418" t="s">
        <v>1418</v>
      </c>
      <c r="D554" s="418"/>
      <c r="E554" s="435"/>
      <c r="F554" s="435"/>
      <c r="G554" s="419"/>
      <c r="H554" s="419"/>
      <c r="I554" s="419"/>
      <c r="J554" s="419"/>
      <c r="K554" s="420"/>
      <c r="L554" s="420">
        <f t="shared" si="103"/>
        <v>0</v>
      </c>
      <c r="M554" s="420">
        <f t="shared" si="104"/>
        <v>0</v>
      </c>
      <c r="N554" s="445"/>
      <c r="O554" s="719"/>
      <c r="P554" s="719">
        <f t="shared" si="111"/>
        <v>0</v>
      </c>
      <c r="Q554" s="423">
        <f>SUMIF('8.Dgia'!E:E,'9.may'!E554,'8.Dgia'!P:P)</f>
        <v>0</v>
      </c>
      <c r="R554" s="429">
        <f t="shared" si="105"/>
        <v>0</v>
      </c>
      <c r="S554" s="301">
        <f t="shared" si="106"/>
        <v>0</v>
      </c>
      <c r="T554" s="430">
        <f t="shared" si="107"/>
        <v>0</v>
      </c>
      <c r="U554" s="436"/>
      <c r="V554" s="436"/>
      <c r="W554" s="432"/>
      <c r="Y554" s="433">
        <f t="shared" si="108"/>
        <v>0</v>
      </c>
      <c r="Z554" s="433">
        <f t="shared" si="109"/>
        <v>0</v>
      </c>
      <c r="AC554" s="410">
        <f t="shared" si="110"/>
        <v>0</v>
      </c>
    </row>
    <row r="555" spans="1:29" s="427" customFormat="1" ht="17.25" customHeight="1">
      <c r="A555" s="410">
        <v>1</v>
      </c>
      <c r="B555" s="417">
        <f>IF(A555&lt;&gt;0,COUNTA(A$19:$A555),"")</f>
        <v>131</v>
      </c>
      <c r="C555" s="428" t="s">
        <v>1206</v>
      </c>
      <c r="D555" s="428" t="s">
        <v>1419</v>
      </c>
      <c r="E555" s="435" t="s">
        <v>1420</v>
      </c>
      <c r="F555" s="435" t="s">
        <v>4423</v>
      </c>
      <c r="G555" s="419"/>
      <c r="H555" s="419">
        <v>5.04</v>
      </c>
      <c r="I555" s="419"/>
      <c r="J555" s="419"/>
      <c r="K555" s="420">
        <v>1</v>
      </c>
      <c r="L555" s="420">
        <f t="shared" si="103"/>
        <v>41873</v>
      </c>
      <c r="M555" s="420">
        <f t="shared" si="104"/>
        <v>68286</v>
      </c>
      <c r="N555" s="445">
        <f>SUMPRODUCT(G555:J555,$G$12:$J$12,$G$9:$J$9)</f>
        <v>3208.7160000000003</v>
      </c>
      <c r="O555" s="719"/>
      <c r="P555" s="719">
        <f t="shared" si="111"/>
        <v>91297.656000000003</v>
      </c>
      <c r="Q555" s="423" t="e">
        <f>SUMIF('8.Dgia'!E:E,'9.may'!E555,'8.Dgia'!P:P)</f>
        <v>#REF!</v>
      </c>
      <c r="R555" s="429" t="e">
        <f t="shared" si="105"/>
        <v>#REF!</v>
      </c>
      <c r="S555" s="301">
        <f t="shared" si="106"/>
        <v>12143.170000000002</v>
      </c>
      <c r="T555" s="430">
        <f t="shared" si="107"/>
        <v>83637.885999999999</v>
      </c>
      <c r="U555" s="2053">
        <v>4827</v>
      </c>
      <c r="V555" s="2053">
        <v>41873</v>
      </c>
      <c r="W555" s="2054">
        <v>68286</v>
      </c>
      <c r="Y555" s="433">
        <f t="shared" si="108"/>
        <v>-15351.885999999999</v>
      </c>
      <c r="Z555" s="433">
        <f t="shared" si="109"/>
        <v>0</v>
      </c>
      <c r="AC555" s="410" t="e">
        <f t="shared" si="110"/>
        <v>#REF!</v>
      </c>
    </row>
    <row r="556" spans="1:29" s="427" customFormat="1" ht="17.25" hidden="1" customHeight="1">
      <c r="B556" s="417" t="str">
        <f>IF(A556&lt;&gt;0,COUNTA(A$19:$A556),"")</f>
        <v/>
      </c>
      <c r="C556" s="418" t="s">
        <v>1421</v>
      </c>
      <c r="D556" s="418"/>
      <c r="E556" s="435"/>
      <c r="F556" s="435"/>
      <c r="G556" s="419"/>
      <c r="H556" s="419"/>
      <c r="I556" s="419"/>
      <c r="J556" s="419"/>
      <c r="K556" s="420"/>
      <c r="L556" s="420">
        <f t="shared" si="103"/>
        <v>0</v>
      </c>
      <c r="M556" s="420">
        <f t="shared" si="104"/>
        <v>0</v>
      </c>
      <c r="N556" s="445"/>
      <c r="O556" s="719"/>
      <c r="P556" s="719">
        <f t="shared" si="111"/>
        <v>0</v>
      </c>
      <c r="Q556" s="423">
        <f>SUMIF('8.Dgia'!E:E,'9.may'!E556,'8.Dgia'!P:P)</f>
        <v>0</v>
      </c>
      <c r="R556" s="429">
        <f t="shared" si="105"/>
        <v>0</v>
      </c>
      <c r="S556" s="301">
        <f t="shared" si="106"/>
        <v>0</v>
      </c>
      <c r="T556" s="430">
        <f t="shared" si="107"/>
        <v>0</v>
      </c>
      <c r="U556" s="436"/>
      <c r="V556" s="436"/>
      <c r="W556" s="432"/>
      <c r="Y556" s="433">
        <f t="shared" si="108"/>
        <v>0</v>
      </c>
      <c r="Z556" s="433">
        <f t="shared" si="109"/>
        <v>0</v>
      </c>
      <c r="AC556" s="410">
        <f t="shared" si="110"/>
        <v>0</v>
      </c>
    </row>
    <row r="557" spans="1:29" s="410" customFormat="1" ht="17.25" customHeight="1">
      <c r="A557" s="410">
        <v>1</v>
      </c>
      <c r="B557" s="417">
        <f>IF(A557&lt;&gt;0,COUNTA(A$19:$A557),"")</f>
        <v>132</v>
      </c>
      <c r="C557" s="428" t="s">
        <v>1422</v>
      </c>
      <c r="D557" s="428" t="s">
        <v>1423</v>
      </c>
      <c r="E557" s="435" t="s">
        <v>1424</v>
      </c>
      <c r="F557" s="435" t="s">
        <v>4427</v>
      </c>
      <c r="G557" s="419"/>
      <c r="H557" s="419">
        <v>9</v>
      </c>
      <c r="I557" s="419"/>
      <c r="J557" s="419"/>
      <c r="K557" s="420">
        <v>1</v>
      </c>
      <c r="L557" s="420">
        <f t="shared" si="103"/>
        <v>41873</v>
      </c>
      <c r="M557" s="420">
        <f t="shared" si="104"/>
        <v>57800</v>
      </c>
      <c r="N557" s="445">
        <f>SUMPRODUCT(G557:J557,$G$12:$J$12,$G$9:$J$9)</f>
        <v>5729.85</v>
      </c>
      <c r="O557" s="719"/>
      <c r="P557" s="719">
        <f t="shared" si="111"/>
        <v>80291.850000000006</v>
      </c>
      <c r="Q557" s="423" t="e">
        <f>SUMIF('8.Dgia'!E:E,'9.may'!E557,'8.Dgia'!P:P)</f>
        <v>#REF!</v>
      </c>
      <c r="R557" s="429" t="e">
        <f t="shared" si="105"/>
        <v>#REF!</v>
      </c>
      <c r="S557" s="301">
        <f t="shared" si="106"/>
        <v>12143.170000000002</v>
      </c>
      <c r="T557" s="430">
        <f t="shared" si="107"/>
        <v>75673.02</v>
      </c>
      <c r="U557" s="2053">
        <v>8619</v>
      </c>
      <c r="V557" s="2053">
        <v>41873</v>
      </c>
      <c r="W557" s="2054">
        <v>57800</v>
      </c>
      <c r="Y557" s="433">
        <f t="shared" si="108"/>
        <v>-17873.020000000004</v>
      </c>
      <c r="Z557" s="433">
        <f t="shared" si="109"/>
        <v>0</v>
      </c>
      <c r="AC557" s="410" t="e">
        <f t="shared" si="110"/>
        <v>#REF!</v>
      </c>
    </row>
    <row r="558" spans="1:29" s="410" customFormat="1" ht="17.25" hidden="1" customHeight="1">
      <c r="B558" s="417" t="str">
        <f>IF(A558&lt;&gt;0,COUNTA(A$19:$A558),"")</f>
        <v/>
      </c>
      <c r="C558" s="418" t="s">
        <v>1425</v>
      </c>
      <c r="D558" s="418"/>
      <c r="E558" s="435"/>
      <c r="F558" s="435"/>
      <c r="G558" s="419"/>
      <c r="H558" s="419"/>
      <c r="I558" s="419"/>
      <c r="J558" s="419"/>
      <c r="K558" s="420"/>
      <c r="L558" s="420">
        <f t="shared" si="103"/>
        <v>0</v>
      </c>
      <c r="M558" s="420">
        <f t="shared" si="104"/>
        <v>0</v>
      </c>
      <c r="N558" s="445"/>
      <c r="O558" s="719"/>
      <c r="P558" s="719">
        <f t="shared" si="111"/>
        <v>0</v>
      </c>
      <c r="Q558" s="423">
        <f>SUMIF('8.Dgia'!E:E,'9.may'!E558,'8.Dgia'!P:P)</f>
        <v>0</v>
      </c>
      <c r="R558" s="429">
        <f t="shared" si="105"/>
        <v>0</v>
      </c>
      <c r="S558" s="301">
        <f t="shared" si="106"/>
        <v>0</v>
      </c>
      <c r="T558" s="430">
        <f t="shared" si="107"/>
        <v>0</v>
      </c>
      <c r="U558" s="436"/>
      <c r="V558" s="436"/>
      <c r="W558" s="432"/>
      <c r="Y558" s="433">
        <f t="shared" si="108"/>
        <v>0</v>
      </c>
      <c r="Z558" s="433">
        <f t="shared" si="109"/>
        <v>0</v>
      </c>
      <c r="AC558" s="410">
        <f t="shared" si="110"/>
        <v>0</v>
      </c>
    </row>
    <row r="559" spans="1:29" s="410" customFormat="1" ht="17.25" customHeight="1">
      <c r="A559" s="410">
        <v>1</v>
      </c>
      <c r="B559" s="417">
        <f>IF(A559&lt;&gt;0,COUNTA(A$19:$A559),"")</f>
        <v>133</v>
      </c>
      <c r="C559" s="428" t="s">
        <v>1426</v>
      </c>
      <c r="D559" s="428" t="s">
        <v>1427</v>
      </c>
      <c r="E559" s="435" t="s">
        <v>1428</v>
      </c>
      <c r="F559" s="435" t="s">
        <v>4784</v>
      </c>
      <c r="G559" s="419"/>
      <c r="H559" s="419">
        <v>3.57</v>
      </c>
      <c r="I559" s="419"/>
      <c r="J559" s="419"/>
      <c r="K559" s="420">
        <v>1</v>
      </c>
      <c r="L559" s="420">
        <f t="shared" si="103"/>
        <v>41873</v>
      </c>
      <c r="M559" s="420">
        <f t="shared" si="104"/>
        <v>53040</v>
      </c>
      <c r="N559" s="445">
        <f>SUMPRODUCT(G559:J559,$G$12:$J$12,$G$9:$J$9)</f>
        <v>2272.8405000000002</v>
      </c>
      <c r="O559" s="719"/>
      <c r="P559" s="719">
        <f t="shared" si="111"/>
        <v>70694.440500000012</v>
      </c>
      <c r="Q559" s="423" t="e">
        <f>SUMIF('8.Dgia'!E:E,'9.may'!E559,'8.Dgia'!P:P)</f>
        <v>#REF!</v>
      </c>
      <c r="R559" s="429" t="e">
        <f t="shared" si="105"/>
        <v>#REF!</v>
      </c>
      <c r="S559" s="301">
        <f t="shared" si="106"/>
        <v>12143.170000000002</v>
      </c>
      <c r="T559" s="430">
        <f t="shared" si="107"/>
        <v>67456.010500000004</v>
      </c>
      <c r="U559" s="2053">
        <v>3419</v>
      </c>
      <c r="V559" s="2053">
        <v>41873</v>
      </c>
      <c r="W559" s="2054">
        <v>53040</v>
      </c>
      <c r="Y559" s="433">
        <f t="shared" si="108"/>
        <v>-14416.010500000004</v>
      </c>
      <c r="Z559" s="433">
        <f t="shared" si="109"/>
        <v>0</v>
      </c>
      <c r="AC559" s="410" t="e">
        <f t="shared" si="110"/>
        <v>#REF!</v>
      </c>
    </row>
    <row r="560" spans="1:29" s="410" customFormat="1" ht="17.25" hidden="1" customHeight="1">
      <c r="B560" s="417" t="str">
        <f>IF(A560&lt;&gt;0,COUNTA(A$19:$A560),"")</f>
        <v/>
      </c>
      <c r="C560" s="418" t="s">
        <v>1429</v>
      </c>
      <c r="D560" s="418"/>
      <c r="E560" s="435"/>
      <c r="F560" s="435"/>
      <c r="G560" s="419"/>
      <c r="H560" s="419"/>
      <c r="I560" s="419"/>
      <c r="J560" s="419"/>
      <c r="K560" s="420"/>
      <c r="L560" s="420">
        <f t="shared" si="103"/>
        <v>0</v>
      </c>
      <c r="M560" s="420">
        <f t="shared" si="104"/>
        <v>0</v>
      </c>
      <c r="N560" s="445"/>
      <c r="O560" s="719"/>
      <c r="P560" s="719">
        <f t="shared" si="111"/>
        <v>0</v>
      </c>
      <c r="Q560" s="423">
        <f>SUMIF('8.Dgia'!E:E,'9.may'!E560,'8.Dgia'!P:P)</f>
        <v>0</v>
      </c>
      <c r="R560" s="429">
        <f t="shared" si="105"/>
        <v>0</v>
      </c>
      <c r="S560" s="301">
        <f t="shared" si="106"/>
        <v>0</v>
      </c>
      <c r="T560" s="430">
        <f t="shared" si="107"/>
        <v>0</v>
      </c>
      <c r="U560" s="436"/>
      <c r="V560" s="436"/>
      <c r="W560" s="432"/>
      <c r="Y560" s="433">
        <f t="shared" si="108"/>
        <v>0</v>
      </c>
      <c r="Z560" s="433">
        <f t="shared" si="109"/>
        <v>0</v>
      </c>
      <c r="AC560" s="410">
        <f t="shared" si="110"/>
        <v>0</v>
      </c>
    </row>
    <row r="561" spans="1:29" s="410" customFormat="1" ht="17.25" hidden="1" customHeight="1">
      <c r="B561" s="417" t="str">
        <f>IF(A561&lt;&gt;0,COUNTA(A$19:$A561),"")</f>
        <v/>
      </c>
      <c r="C561" s="428" t="s">
        <v>1430</v>
      </c>
      <c r="D561" s="428"/>
      <c r="E561" s="435"/>
      <c r="F561" s="435"/>
      <c r="G561" s="419"/>
      <c r="H561" s="419">
        <v>9.4499999999999993</v>
      </c>
      <c r="I561" s="419"/>
      <c r="J561" s="419"/>
      <c r="K561" s="420">
        <v>1</v>
      </c>
      <c r="L561" s="420">
        <f t="shared" si="103"/>
        <v>41873</v>
      </c>
      <c r="M561" s="420">
        <f t="shared" si="104"/>
        <v>72393</v>
      </c>
      <c r="N561" s="445">
        <f>SUMPRODUCT(G561:J561,$G$12:$J$12,$G$9:$J$9)</f>
        <v>6016.3425000000007</v>
      </c>
      <c r="O561" s="719"/>
      <c r="P561" s="719">
        <f t="shared" si="111"/>
        <v>99403.3125</v>
      </c>
      <c r="Q561" s="423">
        <f>SUMIF('8.Dgia'!E:E,'9.may'!E561,'8.Dgia'!P:P)</f>
        <v>0</v>
      </c>
      <c r="R561" s="429">
        <f t="shared" si="105"/>
        <v>0</v>
      </c>
      <c r="S561" s="301">
        <f t="shared" si="106"/>
        <v>12143.170000000002</v>
      </c>
      <c r="T561" s="430">
        <f t="shared" si="107"/>
        <v>90552.512500000012</v>
      </c>
      <c r="U561" s="431">
        <v>9050</v>
      </c>
      <c r="V561" s="431">
        <v>41873</v>
      </c>
      <c r="W561" s="432">
        <v>72393</v>
      </c>
      <c r="Y561" s="433">
        <f t="shared" si="108"/>
        <v>-18159.512500000012</v>
      </c>
      <c r="Z561" s="433">
        <f t="shared" si="109"/>
        <v>0</v>
      </c>
      <c r="AC561" s="410">
        <f t="shared" si="110"/>
        <v>0</v>
      </c>
    </row>
    <row r="562" spans="1:29" s="410" customFormat="1" ht="17.25" hidden="1" customHeight="1">
      <c r="B562" s="417" t="str">
        <f>IF(A562&lt;&gt;0,COUNTA(A$19:$A562),"")</f>
        <v/>
      </c>
      <c r="C562" s="418" t="s">
        <v>1431</v>
      </c>
      <c r="D562" s="418"/>
      <c r="E562" s="435"/>
      <c r="F562" s="435"/>
      <c r="G562" s="419"/>
      <c r="H562" s="419"/>
      <c r="I562" s="419"/>
      <c r="J562" s="419"/>
      <c r="K562" s="420"/>
      <c r="L562" s="420">
        <f t="shared" si="103"/>
        <v>0</v>
      </c>
      <c r="M562" s="420">
        <f t="shared" si="104"/>
        <v>0</v>
      </c>
      <c r="N562" s="445"/>
      <c r="O562" s="719"/>
      <c r="P562" s="719">
        <f t="shared" si="111"/>
        <v>0</v>
      </c>
      <c r="Q562" s="423">
        <f>SUMIF('8.Dgia'!E:E,'9.may'!E562,'8.Dgia'!P:P)</f>
        <v>0</v>
      </c>
      <c r="R562" s="429">
        <f t="shared" si="105"/>
        <v>0</v>
      </c>
      <c r="S562" s="301">
        <f t="shared" si="106"/>
        <v>0</v>
      </c>
      <c r="T562" s="430">
        <f t="shared" si="107"/>
        <v>0</v>
      </c>
      <c r="U562" s="436"/>
      <c r="V562" s="436"/>
      <c r="W562" s="432"/>
      <c r="Y562" s="433">
        <f t="shared" si="108"/>
        <v>0</v>
      </c>
      <c r="Z562" s="433">
        <f t="shared" si="109"/>
        <v>0</v>
      </c>
      <c r="AC562" s="410">
        <f t="shared" si="110"/>
        <v>0</v>
      </c>
    </row>
    <row r="563" spans="1:29" s="410" customFormat="1" ht="17.25" customHeight="1">
      <c r="A563" s="410">
        <v>1</v>
      </c>
      <c r="B563" s="417">
        <f>IF(A563&lt;&gt;0,COUNTA(A$19:$A563),"")</f>
        <v>134</v>
      </c>
      <c r="C563" s="428" t="s">
        <v>1432</v>
      </c>
      <c r="D563" s="428" t="s">
        <v>1433</v>
      </c>
      <c r="E563" s="435" t="s">
        <v>1434</v>
      </c>
      <c r="F563" s="435" t="s">
        <v>4785</v>
      </c>
      <c r="G563" s="419"/>
      <c r="H563" s="419">
        <v>1.8</v>
      </c>
      <c r="I563" s="419"/>
      <c r="J563" s="419"/>
      <c r="K563" s="420">
        <v>1</v>
      </c>
      <c r="L563" s="420">
        <f t="shared" si="103"/>
        <v>41873</v>
      </c>
      <c r="M563" s="420">
        <f t="shared" si="104"/>
        <v>45266</v>
      </c>
      <c r="N563" s="445">
        <f>SUMPRODUCT(G563:J563,$G$12:$J$12,$G$9:$J$9)</f>
        <v>1145.97</v>
      </c>
      <c r="O563" s="719"/>
      <c r="P563" s="719">
        <f t="shared" si="111"/>
        <v>59539.11</v>
      </c>
      <c r="Q563" s="423" t="e">
        <f>SUMIF('8.Dgia'!E:E,'9.may'!E563,'8.Dgia'!P:P)</f>
        <v>#REF!</v>
      </c>
      <c r="R563" s="429" t="e">
        <f t="shared" si="105"/>
        <v>#REF!</v>
      </c>
      <c r="S563" s="301">
        <f t="shared" si="106"/>
        <v>12143.170000000002</v>
      </c>
      <c r="T563" s="430">
        <f t="shared" si="107"/>
        <v>58555.14</v>
      </c>
      <c r="U563" s="2053">
        <v>1724</v>
      </c>
      <c r="V563" s="2053">
        <v>41873</v>
      </c>
      <c r="W563" s="2054">
        <v>45266</v>
      </c>
      <c r="Y563" s="433">
        <f t="shared" si="108"/>
        <v>-13289.14</v>
      </c>
      <c r="Z563" s="433">
        <f t="shared" si="109"/>
        <v>0</v>
      </c>
      <c r="AC563" s="410" t="e">
        <f t="shared" si="110"/>
        <v>#REF!</v>
      </c>
    </row>
    <row r="564" spans="1:29" s="410" customFormat="1" ht="17.25" customHeight="1">
      <c r="A564" s="410">
        <v>1</v>
      </c>
      <c r="B564" s="417">
        <f>IF(A564&lt;&gt;0,COUNTA(A$19:$A564),"")</f>
        <v>135</v>
      </c>
      <c r="C564" s="428" t="s">
        <v>1435</v>
      </c>
      <c r="D564" s="428" t="s">
        <v>1436</v>
      </c>
      <c r="E564" s="435" t="s">
        <v>1437</v>
      </c>
      <c r="F564" s="435" t="s">
        <v>4786</v>
      </c>
      <c r="G564" s="419"/>
      <c r="H564" s="419">
        <v>4.05</v>
      </c>
      <c r="I564" s="419"/>
      <c r="J564" s="419"/>
      <c r="K564" s="420">
        <v>1</v>
      </c>
      <c r="L564" s="420">
        <f t="shared" si="103"/>
        <v>41873</v>
      </c>
      <c r="M564" s="420">
        <f t="shared" si="104"/>
        <v>50398</v>
      </c>
      <c r="N564" s="445">
        <f>SUMPRODUCT(G564:J564,$G$12:$J$12,$G$9:$J$9)</f>
        <v>2578.4325000000003</v>
      </c>
      <c r="O564" s="719"/>
      <c r="P564" s="719">
        <f t="shared" si="111"/>
        <v>67591.852499999994</v>
      </c>
      <c r="Q564" s="423" t="e">
        <f>SUMIF('8.Dgia'!E:E,'9.may'!E564,'8.Dgia'!P:P)</f>
        <v>#REF!</v>
      </c>
      <c r="R564" s="429" t="e">
        <f t="shared" si="105"/>
        <v>#REF!</v>
      </c>
      <c r="S564" s="301">
        <f t="shared" si="106"/>
        <v>12143.170000000002</v>
      </c>
      <c r="T564" s="430">
        <f t="shared" si="107"/>
        <v>65119.602500000001</v>
      </c>
      <c r="U564" s="2053">
        <v>3878</v>
      </c>
      <c r="V564" s="2053">
        <v>41873</v>
      </c>
      <c r="W564" s="2054">
        <v>50398</v>
      </c>
      <c r="Y564" s="433">
        <f t="shared" si="108"/>
        <v>-14721.602500000001</v>
      </c>
      <c r="Z564" s="433">
        <f t="shared" si="109"/>
        <v>0</v>
      </c>
      <c r="AC564" s="410" t="e">
        <f t="shared" si="110"/>
        <v>#REF!</v>
      </c>
    </row>
    <row r="565" spans="1:29" s="410" customFormat="1" ht="17.25" hidden="1" customHeight="1">
      <c r="B565" s="417" t="str">
        <f>IF(A565&lt;&gt;0,COUNTA(A$19:$A565),"")</f>
        <v/>
      </c>
      <c r="C565" s="418" t="s">
        <v>1438</v>
      </c>
      <c r="D565" s="418"/>
      <c r="E565" s="435"/>
      <c r="F565" s="435"/>
      <c r="G565" s="419"/>
      <c r="H565" s="419"/>
      <c r="I565" s="419"/>
      <c r="J565" s="419"/>
      <c r="K565" s="420"/>
      <c r="L565" s="420">
        <f t="shared" si="103"/>
        <v>0</v>
      </c>
      <c r="M565" s="420">
        <f t="shared" si="104"/>
        <v>0</v>
      </c>
      <c r="N565" s="445"/>
      <c r="O565" s="719"/>
      <c r="P565" s="719">
        <f t="shared" si="111"/>
        <v>0</v>
      </c>
      <c r="Q565" s="423">
        <f>SUMIF('8.Dgia'!E:E,'9.may'!E565,'8.Dgia'!P:P)</f>
        <v>0</v>
      </c>
      <c r="R565" s="429">
        <f t="shared" si="105"/>
        <v>0</v>
      </c>
      <c r="S565" s="301">
        <f t="shared" si="106"/>
        <v>0</v>
      </c>
      <c r="T565" s="430">
        <f t="shared" si="107"/>
        <v>0</v>
      </c>
      <c r="U565" s="436"/>
      <c r="V565" s="436"/>
      <c r="W565" s="432"/>
      <c r="Y565" s="433">
        <f t="shared" si="108"/>
        <v>0</v>
      </c>
      <c r="Z565" s="433">
        <f t="shared" si="109"/>
        <v>0</v>
      </c>
      <c r="AC565" s="410">
        <f t="shared" si="110"/>
        <v>0</v>
      </c>
    </row>
    <row r="566" spans="1:29" s="410" customFormat="1" ht="17.25" hidden="1" customHeight="1">
      <c r="B566" s="417" t="str">
        <f>IF(A566&lt;&gt;0,COUNTA(A$19:$A566),"")</f>
        <v/>
      </c>
      <c r="C566" s="428" t="s">
        <v>1439</v>
      </c>
      <c r="D566" s="428"/>
      <c r="E566" s="435"/>
      <c r="F566" s="435"/>
      <c r="G566" s="419"/>
      <c r="H566" s="419">
        <v>2.73</v>
      </c>
      <c r="I566" s="419"/>
      <c r="J566" s="419"/>
      <c r="K566" s="420">
        <v>1</v>
      </c>
      <c r="L566" s="420">
        <f t="shared" si="103"/>
        <v>41873</v>
      </c>
      <c r="M566" s="420">
        <f t="shared" si="104"/>
        <v>51002</v>
      </c>
      <c r="N566" s="445">
        <f>SUMPRODUCT(G566:J566,$G$12:$J$12,$G$9:$J$9)</f>
        <v>1738.0545</v>
      </c>
      <c r="O566" s="719"/>
      <c r="P566" s="719">
        <f t="shared" si="111"/>
        <v>67530.6345</v>
      </c>
      <c r="Q566" s="423">
        <f>SUMIF('8.Dgia'!E:E,'9.may'!E566,'8.Dgia'!P:P)</f>
        <v>0</v>
      </c>
      <c r="R566" s="429">
        <f t="shared" si="105"/>
        <v>0</v>
      </c>
      <c r="S566" s="301">
        <f t="shared" si="106"/>
        <v>12143.170000000002</v>
      </c>
      <c r="T566" s="430">
        <f t="shared" si="107"/>
        <v>64883.224500000004</v>
      </c>
      <c r="U566" s="431">
        <v>2614</v>
      </c>
      <c r="V566" s="431">
        <v>41873</v>
      </c>
      <c r="W566" s="432">
        <v>51002</v>
      </c>
      <c r="Y566" s="433">
        <f t="shared" si="108"/>
        <v>-13881.224500000004</v>
      </c>
      <c r="Z566" s="433">
        <f t="shared" si="109"/>
        <v>0</v>
      </c>
      <c r="AC566" s="410">
        <f t="shared" si="110"/>
        <v>0</v>
      </c>
    </row>
    <row r="567" spans="1:29" s="410" customFormat="1" ht="17.25" hidden="1" customHeight="1">
      <c r="B567" s="417" t="str">
        <f>IF(A567&lt;&gt;0,COUNTA(A$19:$A567),"")</f>
        <v/>
      </c>
      <c r="C567" s="418" t="s">
        <v>1440</v>
      </c>
      <c r="D567" s="418"/>
      <c r="E567" s="435"/>
      <c r="F567" s="435"/>
      <c r="G567" s="419"/>
      <c r="H567" s="419"/>
      <c r="I567" s="419"/>
      <c r="J567" s="419"/>
      <c r="K567" s="420"/>
      <c r="L567" s="420">
        <f t="shared" si="103"/>
        <v>0</v>
      </c>
      <c r="M567" s="420">
        <f t="shared" si="104"/>
        <v>0</v>
      </c>
      <c r="N567" s="445"/>
      <c r="O567" s="719"/>
      <c r="P567" s="719">
        <f t="shared" si="111"/>
        <v>0</v>
      </c>
      <c r="Q567" s="423">
        <f>SUMIF('8.Dgia'!E:E,'9.may'!E567,'8.Dgia'!P:P)</f>
        <v>0</v>
      </c>
      <c r="R567" s="429">
        <f t="shared" si="105"/>
        <v>0</v>
      </c>
      <c r="S567" s="301">
        <f t="shared" si="106"/>
        <v>0</v>
      </c>
      <c r="T567" s="430">
        <f t="shared" si="107"/>
        <v>0</v>
      </c>
      <c r="U567" s="436"/>
      <c r="V567" s="436"/>
      <c r="W567" s="432"/>
      <c r="Y567" s="433">
        <f t="shared" si="108"/>
        <v>0</v>
      </c>
      <c r="Z567" s="433">
        <f t="shared" si="109"/>
        <v>0</v>
      </c>
      <c r="AC567" s="410">
        <f t="shared" si="110"/>
        <v>0</v>
      </c>
    </row>
    <row r="568" spans="1:29" s="410" customFormat="1" ht="17.25" hidden="1" customHeight="1">
      <c r="B568" s="417" t="str">
        <f>IF(A568&lt;&gt;0,COUNTA(A$19:$A568),"")</f>
        <v/>
      </c>
      <c r="C568" s="428" t="s">
        <v>1441</v>
      </c>
      <c r="D568" s="428"/>
      <c r="E568" s="435"/>
      <c r="F568" s="435"/>
      <c r="G568" s="419"/>
      <c r="H568" s="419">
        <v>2.16</v>
      </c>
      <c r="I568" s="419"/>
      <c r="J568" s="419"/>
      <c r="K568" s="420">
        <v>1</v>
      </c>
      <c r="L568" s="420">
        <f t="shared" si="103"/>
        <v>48658</v>
      </c>
      <c r="M568" s="420">
        <f t="shared" si="104"/>
        <v>54694</v>
      </c>
      <c r="N568" s="445">
        <f>SUMPRODUCT(G568:J568,$G$12:$J$12,$G$9:$J$9)</f>
        <v>1375.1640000000002</v>
      </c>
      <c r="O568" s="719"/>
      <c r="P568" s="719">
        <f t="shared" si="111"/>
        <v>71930.423999999999</v>
      </c>
      <c r="Q568" s="423">
        <f>SUMIF('8.Dgia'!E:E,'9.may'!E568,'8.Dgia'!P:P)</f>
        <v>0</v>
      </c>
      <c r="R568" s="429">
        <f t="shared" si="105"/>
        <v>0</v>
      </c>
      <c r="S568" s="301">
        <f t="shared" si="106"/>
        <v>14110.820000000002</v>
      </c>
      <c r="T568" s="430">
        <f t="shared" si="107"/>
        <v>70179.983999999997</v>
      </c>
      <c r="U568" s="431">
        <v>2069</v>
      </c>
      <c r="V568" s="431">
        <v>48658</v>
      </c>
      <c r="W568" s="432">
        <v>54694</v>
      </c>
      <c r="Y568" s="433">
        <f t="shared" si="108"/>
        <v>-15485.983999999997</v>
      </c>
      <c r="Z568" s="433">
        <f t="shared" si="109"/>
        <v>0</v>
      </c>
      <c r="AC568" s="410">
        <f t="shared" si="110"/>
        <v>0</v>
      </c>
    </row>
    <row r="569" spans="1:29" s="410" customFormat="1" ht="17.25" hidden="1" customHeight="1">
      <c r="B569" s="417" t="str">
        <f>IF(A569&lt;&gt;0,COUNTA(A$19:$A569),"")</f>
        <v/>
      </c>
      <c r="C569" s="418" t="s">
        <v>1442</v>
      </c>
      <c r="D569" s="418"/>
      <c r="E569" s="435"/>
      <c r="F569" s="435"/>
      <c r="G569" s="419"/>
      <c r="H569" s="419"/>
      <c r="I569" s="419"/>
      <c r="J569" s="419"/>
      <c r="K569" s="420"/>
      <c r="L569" s="420">
        <f t="shared" si="103"/>
        <v>0</v>
      </c>
      <c r="M569" s="420">
        <f t="shared" si="104"/>
        <v>0</v>
      </c>
      <c r="N569" s="445"/>
      <c r="O569" s="719"/>
      <c r="P569" s="719">
        <f t="shared" si="111"/>
        <v>0</v>
      </c>
      <c r="Q569" s="423">
        <f>SUMIF('8.Dgia'!E:E,'9.may'!E569,'8.Dgia'!P:P)</f>
        <v>0</v>
      </c>
      <c r="R569" s="429">
        <f t="shared" si="105"/>
        <v>0</v>
      </c>
      <c r="S569" s="301">
        <f t="shared" si="106"/>
        <v>0</v>
      </c>
      <c r="T569" s="430">
        <f t="shared" si="107"/>
        <v>0</v>
      </c>
      <c r="U569" s="436"/>
      <c r="V569" s="436"/>
      <c r="W569" s="432"/>
      <c r="Y569" s="433">
        <f t="shared" si="108"/>
        <v>0</v>
      </c>
      <c r="Z569" s="433">
        <f t="shared" si="109"/>
        <v>0</v>
      </c>
      <c r="AC569" s="410">
        <f t="shared" si="110"/>
        <v>0</v>
      </c>
    </row>
    <row r="570" spans="1:29" s="410" customFormat="1" ht="23.25" customHeight="1">
      <c r="A570" s="410">
        <v>1</v>
      </c>
      <c r="B570" s="417">
        <f>IF(A570&lt;&gt;0,COUNTA(A$19:$A570),"")</f>
        <v>136</v>
      </c>
      <c r="C570" s="428" t="s">
        <v>1443</v>
      </c>
      <c r="D570" s="428" t="s">
        <v>1444</v>
      </c>
      <c r="E570" s="435" t="s">
        <v>1987</v>
      </c>
      <c r="F570" s="435"/>
      <c r="G570" s="419"/>
      <c r="H570" s="419">
        <v>4.68</v>
      </c>
      <c r="I570" s="419"/>
      <c r="J570" s="419"/>
      <c r="K570" s="420">
        <v>1</v>
      </c>
      <c r="L570" s="420">
        <f t="shared" si="103"/>
        <v>41873</v>
      </c>
      <c r="M570" s="420">
        <f t="shared" si="104"/>
        <v>53200</v>
      </c>
      <c r="N570" s="445">
        <f>SUMPRODUCT(G570:J570,$G$12:$J$12,$G$9:$J$9)</f>
        <v>2979.5219999999999</v>
      </c>
      <c r="O570" s="719"/>
      <c r="P570" s="719">
        <f t="shared" si="111"/>
        <v>71607.521999999997</v>
      </c>
      <c r="Q570" s="423">
        <f>SUMIF('8.Dgia'!E:E,'9.may'!E570,'8.Dgia'!P:P)</f>
        <v>0</v>
      </c>
      <c r="R570" s="429">
        <f t="shared" si="105"/>
        <v>0</v>
      </c>
      <c r="S570" s="301">
        <f t="shared" si="106"/>
        <v>12143.170000000002</v>
      </c>
      <c r="T570" s="430">
        <f t="shared" si="107"/>
        <v>68322.69200000001</v>
      </c>
      <c r="U570" s="2053">
        <v>4482</v>
      </c>
      <c r="V570" s="2053">
        <v>41873</v>
      </c>
      <c r="W570" s="2054">
        <v>53200</v>
      </c>
      <c r="Y570" s="433">
        <f t="shared" si="108"/>
        <v>-15122.69200000001</v>
      </c>
      <c r="Z570" s="433">
        <f t="shared" si="109"/>
        <v>0</v>
      </c>
      <c r="AC570" s="410">
        <f t="shared" si="110"/>
        <v>0</v>
      </c>
    </row>
    <row r="571" spans="1:29" s="410" customFormat="1" ht="17.25" customHeight="1">
      <c r="A571" s="410">
        <v>1</v>
      </c>
      <c r="B571" s="417">
        <f>IF(A571&lt;&gt;0,COUNTA(A$19:$A571),"")</f>
        <v>137</v>
      </c>
      <c r="C571" s="428" t="s">
        <v>1445</v>
      </c>
      <c r="D571" s="428" t="s">
        <v>1446</v>
      </c>
      <c r="E571" s="435" t="s">
        <v>1447</v>
      </c>
      <c r="F571" s="435" t="s">
        <v>5081</v>
      </c>
      <c r="G571" s="419"/>
      <c r="H571" s="419"/>
      <c r="I571" s="419"/>
      <c r="J571" s="419"/>
      <c r="K571" s="420">
        <v>1</v>
      </c>
      <c r="L571" s="420">
        <f t="shared" si="103"/>
        <v>41873</v>
      </c>
      <c r="M571" s="420">
        <f t="shared" si="104"/>
        <v>53086</v>
      </c>
      <c r="N571" s="445">
        <f>SUMPRODUCT(G571:J571,$G$12:$J$12,$G$9:$J$9)</f>
        <v>0</v>
      </c>
      <c r="O571" s="719"/>
      <c r="P571" s="719">
        <f t="shared" si="111"/>
        <v>68480.94</v>
      </c>
      <c r="Q571" s="423" t="e">
        <f>SUMIF('8.Dgia'!E:E,'9.may'!E571,'8.Dgia'!P:P)</f>
        <v>#REF!</v>
      </c>
      <c r="R571" s="429" t="e">
        <f t="shared" si="105"/>
        <v>#REF!</v>
      </c>
      <c r="S571" s="301">
        <f t="shared" si="106"/>
        <v>12143.170000000002</v>
      </c>
      <c r="T571" s="430">
        <f t="shared" si="107"/>
        <v>65229.17</v>
      </c>
      <c r="U571" s="2053"/>
      <c r="V571" s="2053">
        <v>41873</v>
      </c>
      <c r="W571" s="2054">
        <v>53086</v>
      </c>
      <c r="Y571" s="433">
        <f t="shared" si="108"/>
        <v>-12143.169999999998</v>
      </c>
      <c r="Z571" s="433">
        <f t="shared" si="109"/>
        <v>0</v>
      </c>
      <c r="AC571" s="410" t="e">
        <f t="shared" si="110"/>
        <v>#REF!</v>
      </c>
    </row>
    <row r="572" spans="1:29" s="410" customFormat="1" ht="17.25" hidden="1" customHeight="1">
      <c r="B572" s="417" t="str">
        <f>IF(A572&lt;&gt;0,COUNTA(A$19:$A572),"")</f>
        <v/>
      </c>
      <c r="C572" s="428" t="s">
        <v>1448</v>
      </c>
      <c r="D572" s="428"/>
      <c r="E572" s="435"/>
      <c r="F572" s="435"/>
      <c r="G572" s="419"/>
      <c r="H572" s="419"/>
      <c r="I572" s="419"/>
      <c r="J572" s="419"/>
      <c r="K572" s="420">
        <v>1</v>
      </c>
      <c r="L572" s="420">
        <f t="shared" si="103"/>
        <v>41873</v>
      </c>
      <c r="M572" s="420">
        <f t="shared" si="104"/>
        <v>111238</v>
      </c>
      <c r="N572" s="445">
        <f>SUMPRODUCT(G572:J572,$G$12:$J$12,$G$9:$J$9)</f>
        <v>0</v>
      </c>
      <c r="O572" s="719"/>
      <c r="P572" s="719">
        <f t="shared" si="111"/>
        <v>143497.01999999999</v>
      </c>
      <c r="Q572" s="423">
        <f>SUMIF('8.Dgia'!E:E,'9.may'!E572,'8.Dgia'!P:P)</f>
        <v>0</v>
      </c>
      <c r="R572" s="429">
        <f t="shared" si="105"/>
        <v>0</v>
      </c>
      <c r="S572" s="301">
        <f t="shared" si="106"/>
        <v>12143.170000000002</v>
      </c>
      <c r="T572" s="430">
        <f t="shared" si="107"/>
        <v>123381.17</v>
      </c>
      <c r="U572" s="431"/>
      <c r="V572" s="431">
        <v>41873</v>
      </c>
      <c r="W572" s="432">
        <v>111238</v>
      </c>
      <c r="Y572" s="433">
        <f t="shared" si="108"/>
        <v>-12143.169999999998</v>
      </c>
      <c r="Z572" s="433">
        <f t="shared" si="109"/>
        <v>0</v>
      </c>
      <c r="AC572" s="410">
        <f t="shared" si="110"/>
        <v>0</v>
      </c>
    </row>
    <row r="573" spans="1:29" s="427" customFormat="1" ht="17.25" hidden="1" customHeight="1">
      <c r="B573" s="417" t="str">
        <f>IF(A573&lt;&gt;0,COUNTA(A$19:$A573),"")</f>
        <v/>
      </c>
      <c r="C573" s="428" t="s">
        <v>1449</v>
      </c>
      <c r="D573" s="428"/>
      <c r="E573" s="435"/>
      <c r="F573" s="435"/>
      <c r="G573" s="419"/>
      <c r="H573" s="419"/>
      <c r="I573" s="419"/>
      <c r="J573" s="419"/>
      <c r="K573" s="420">
        <v>1</v>
      </c>
      <c r="L573" s="420">
        <f t="shared" si="103"/>
        <v>41873</v>
      </c>
      <c r="M573" s="420">
        <f t="shared" si="104"/>
        <v>44765</v>
      </c>
      <c r="N573" s="445">
        <f>SUMPRODUCT(G573:J573,$G$12:$J$12,$G$9:$J$9)</f>
        <v>0</v>
      </c>
      <c r="O573" s="719"/>
      <c r="P573" s="719">
        <f t="shared" si="111"/>
        <v>57746.85</v>
      </c>
      <c r="Q573" s="423">
        <f>SUMIF('8.Dgia'!E:E,'9.may'!E573,'8.Dgia'!P:P)</f>
        <v>0</v>
      </c>
      <c r="R573" s="429">
        <f t="shared" si="105"/>
        <v>0</v>
      </c>
      <c r="S573" s="301">
        <f t="shared" si="106"/>
        <v>12143.170000000002</v>
      </c>
      <c r="T573" s="430">
        <f t="shared" si="107"/>
        <v>56908.17</v>
      </c>
      <c r="U573" s="431"/>
      <c r="V573" s="431">
        <v>41873</v>
      </c>
      <c r="W573" s="432">
        <v>44765</v>
      </c>
      <c r="Y573" s="433">
        <f t="shared" si="108"/>
        <v>-12143.169999999998</v>
      </c>
      <c r="Z573" s="433">
        <f t="shared" si="109"/>
        <v>0</v>
      </c>
      <c r="AC573" s="410">
        <f t="shared" si="110"/>
        <v>0</v>
      </c>
    </row>
    <row r="574" spans="1:29" s="427" customFormat="1" ht="17.25" hidden="1" customHeight="1">
      <c r="B574" s="417" t="str">
        <f>IF(A574&lt;&gt;0,COUNTA(A$19:$A574),"")</f>
        <v/>
      </c>
      <c r="C574" s="418" t="s">
        <v>1450</v>
      </c>
      <c r="D574" s="418"/>
      <c r="E574" s="435"/>
      <c r="F574" s="435"/>
      <c r="G574" s="419"/>
      <c r="H574" s="419"/>
      <c r="I574" s="419"/>
      <c r="J574" s="419"/>
      <c r="K574" s="420"/>
      <c r="L574" s="420">
        <f t="shared" si="103"/>
        <v>0</v>
      </c>
      <c r="M574" s="420">
        <f t="shared" si="104"/>
        <v>0</v>
      </c>
      <c r="N574" s="445"/>
      <c r="O574" s="719"/>
      <c r="P574" s="719">
        <f t="shared" si="111"/>
        <v>0</v>
      </c>
      <c r="Q574" s="423">
        <f>SUMIF('8.Dgia'!E:E,'9.may'!E574,'8.Dgia'!P:P)</f>
        <v>0</v>
      </c>
      <c r="R574" s="429">
        <f t="shared" si="105"/>
        <v>0</v>
      </c>
      <c r="S574" s="301">
        <f t="shared" si="106"/>
        <v>0</v>
      </c>
      <c r="T574" s="430">
        <f t="shared" si="107"/>
        <v>0</v>
      </c>
      <c r="U574" s="436"/>
      <c r="V574" s="436"/>
      <c r="W574" s="432"/>
      <c r="Y574" s="433">
        <f t="shared" si="108"/>
        <v>0</v>
      </c>
      <c r="Z574" s="433">
        <f t="shared" si="109"/>
        <v>0</v>
      </c>
      <c r="AC574" s="410">
        <f t="shared" si="110"/>
        <v>0</v>
      </c>
    </row>
    <row r="575" spans="1:29" s="427" customFormat="1" ht="17.25" customHeight="1">
      <c r="A575" s="410">
        <v>1</v>
      </c>
      <c r="B575" s="417">
        <f>IF(A575&lt;&gt;0,COUNTA(A$19:$A575),"")</f>
        <v>138</v>
      </c>
      <c r="C575" s="428" t="s">
        <v>1451</v>
      </c>
      <c r="D575" s="428" t="s">
        <v>1452</v>
      </c>
      <c r="E575" s="435" t="s">
        <v>1453</v>
      </c>
      <c r="F575" s="435" t="s">
        <v>4787</v>
      </c>
      <c r="G575" s="419"/>
      <c r="H575" s="419"/>
      <c r="I575" s="419"/>
      <c r="J575" s="419"/>
      <c r="K575" s="420">
        <v>1</v>
      </c>
      <c r="L575" s="420">
        <f t="shared" si="103"/>
        <v>90531</v>
      </c>
      <c r="M575" s="420">
        <f t="shared" si="104"/>
        <v>322990</v>
      </c>
      <c r="N575" s="445">
        <f>SUMPRODUCT(G575:J575,$G$12:$J$12,$G$9:$J$9)</f>
        <v>0</v>
      </c>
      <c r="O575" s="719"/>
      <c r="P575" s="719">
        <f t="shared" si="111"/>
        <v>416657.10000000003</v>
      </c>
      <c r="Q575" s="423">
        <f>SUMIF('8.Dgia'!E:E,'9.may'!E575,'8.Dgia'!P:P)</f>
        <v>0</v>
      </c>
      <c r="R575" s="429">
        <f t="shared" si="105"/>
        <v>0</v>
      </c>
      <c r="S575" s="301">
        <f t="shared" si="106"/>
        <v>26253.99</v>
      </c>
      <c r="T575" s="430">
        <f t="shared" si="107"/>
        <v>349243.99</v>
      </c>
      <c r="U575" s="2053"/>
      <c r="V575" s="2053">
        <v>90531</v>
      </c>
      <c r="W575" s="2054">
        <v>322990</v>
      </c>
      <c r="Y575" s="433">
        <f t="shared" si="108"/>
        <v>-26253.989999999991</v>
      </c>
      <c r="Z575" s="433">
        <f t="shared" si="109"/>
        <v>0</v>
      </c>
      <c r="AC575" s="410">
        <f t="shared" si="110"/>
        <v>0</v>
      </c>
    </row>
    <row r="576" spans="1:29" s="427" customFormat="1" ht="17.25" customHeight="1">
      <c r="A576" s="410">
        <v>1</v>
      </c>
      <c r="B576" s="417">
        <f>IF(A576&lt;&gt;0,COUNTA(A$19:$A576),"")</f>
        <v>139</v>
      </c>
      <c r="C576" s="428" t="s">
        <v>1454</v>
      </c>
      <c r="D576" s="428" t="s">
        <v>1455</v>
      </c>
      <c r="E576" s="435" t="s">
        <v>1456</v>
      </c>
      <c r="F576" s="435"/>
      <c r="G576" s="419"/>
      <c r="H576" s="419"/>
      <c r="I576" s="419"/>
      <c r="J576" s="419"/>
      <c r="K576" s="420">
        <v>1</v>
      </c>
      <c r="L576" s="420">
        <f t="shared" si="103"/>
        <v>90531</v>
      </c>
      <c r="M576" s="420">
        <f t="shared" si="104"/>
        <v>461567</v>
      </c>
      <c r="N576" s="445">
        <f>SUMPRODUCT(G576:J576,$G$12:$J$12,$G$9:$J$9)</f>
        <v>0</v>
      </c>
      <c r="O576" s="719"/>
      <c r="P576" s="719">
        <f t="shared" si="111"/>
        <v>595421.43000000005</v>
      </c>
      <c r="Q576" s="423">
        <f>SUMIF('8.Dgia'!E:E,'9.may'!E576,'8.Dgia'!P:P)</f>
        <v>0</v>
      </c>
      <c r="R576" s="429">
        <f t="shared" si="105"/>
        <v>0</v>
      </c>
      <c r="S576" s="301">
        <f t="shared" si="106"/>
        <v>26253.99</v>
      </c>
      <c r="T576" s="430">
        <f t="shared" si="107"/>
        <v>487820.99</v>
      </c>
      <c r="U576" s="2053"/>
      <c r="V576" s="2053">
        <v>90531</v>
      </c>
      <c r="W576" s="2054">
        <v>461567</v>
      </c>
      <c r="Y576" s="433">
        <f t="shared" si="108"/>
        <v>-26253.989999999991</v>
      </c>
      <c r="Z576" s="433">
        <f t="shared" si="109"/>
        <v>0</v>
      </c>
      <c r="AC576" s="410">
        <f t="shared" si="110"/>
        <v>0</v>
      </c>
    </row>
    <row r="577" spans="1:29" s="427" customFormat="1" ht="17.25" hidden="1" customHeight="1">
      <c r="B577" s="417" t="str">
        <f>IF(A577&lt;&gt;0,COUNTA(A$19:$A577),"")</f>
        <v/>
      </c>
      <c r="C577" s="418" t="s">
        <v>1457</v>
      </c>
      <c r="D577" s="418"/>
      <c r="E577" s="435"/>
      <c r="F577" s="435"/>
      <c r="G577" s="419"/>
      <c r="H577" s="419"/>
      <c r="I577" s="419"/>
      <c r="J577" s="419"/>
      <c r="K577" s="420"/>
      <c r="L577" s="420">
        <f t="shared" si="103"/>
        <v>0</v>
      </c>
      <c r="M577" s="420">
        <f t="shared" si="104"/>
        <v>0</v>
      </c>
      <c r="N577" s="445"/>
      <c r="O577" s="719"/>
      <c r="P577" s="719">
        <f t="shared" si="111"/>
        <v>0</v>
      </c>
      <c r="Q577" s="423">
        <f>SUMIF('8.Dgia'!E:E,'9.may'!E577,'8.Dgia'!P:P)</f>
        <v>0</v>
      </c>
      <c r="R577" s="429">
        <f t="shared" si="105"/>
        <v>0</v>
      </c>
      <c r="S577" s="301">
        <f t="shared" si="106"/>
        <v>0</v>
      </c>
      <c r="T577" s="430">
        <f t="shared" si="107"/>
        <v>0</v>
      </c>
      <c r="U577" s="436"/>
      <c r="V577" s="436"/>
      <c r="W577" s="432"/>
      <c r="Y577" s="433">
        <f t="shared" si="108"/>
        <v>0</v>
      </c>
      <c r="Z577" s="433">
        <f t="shared" si="109"/>
        <v>0</v>
      </c>
      <c r="AC577" s="410">
        <f t="shared" si="110"/>
        <v>0</v>
      </c>
    </row>
    <row r="578" spans="1:29" s="427" customFormat="1" ht="17.25" hidden="1" customHeight="1">
      <c r="B578" s="417" t="str">
        <f>IF(A578&lt;&gt;0,COUNTA(A$19:$A578),"")</f>
        <v/>
      </c>
      <c r="C578" s="428" t="s">
        <v>1458</v>
      </c>
      <c r="D578" s="428"/>
      <c r="E578" s="435"/>
      <c r="F578" s="435"/>
      <c r="G578" s="419"/>
      <c r="H578" s="419">
        <v>184.8</v>
      </c>
      <c r="I578" s="419"/>
      <c r="J578" s="419"/>
      <c r="K578" s="420">
        <v>1</v>
      </c>
      <c r="L578" s="420">
        <f t="shared" si="103"/>
        <v>90531</v>
      </c>
      <c r="M578" s="420">
        <f t="shared" si="104"/>
        <v>703425</v>
      </c>
      <c r="N578" s="445">
        <f>SUMPRODUCT(G578:J578,$G$12:$J$12,$G$9:$J$9)</f>
        <v>117652.92000000001</v>
      </c>
      <c r="O578" s="719"/>
      <c r="P578" s="719">
        <f t="shared" si="111"/>
        <v>1025071.17</v>
      </c>
      <c r="Q578" s="423">
        <f>SUMIF('8.Dgia'!E:E,'9.may'!E578,'8.Dgia'!P:P)</f>
        <v>0</v>
      </c>
      <c r="R578" s="429">
        <f t="shared" si="105"/>
        <v>0</v>
      </c>
      <c r="S578" s="301">
        <f t="shared" si="106"/>
        <v>26253.99</v>
      </c>
      <c r="T578" s="430">
        <f t="shared" si="107"/>
        <v>847331.91</v>
      </c>
      <c r="U578" s="431">
        <v>176974</v>
      </c>
      <c r="V578" s="431">
        <v>90531</v>
      </c>
      <c r="W578" s="432">
        <v>703425</v>
      </c>
      <c r="Y578" s="433">
        <f t="shared" si="108"/>
        <v>-143906.91000000003</v>
      </c>
      <c r="Z578" s="433">
        <f t="shared" si="109"/>
        <v>0</v>
      </c>
      <c r="AC578" s="410">
        <f t="shared" si="110"/>
        <v>0</v>
      </c>
    </row>
    <row r="579" spans="1:29" s="427" customFormat="1" ht="17.25" hidden="1" customHeight="1">
      <c r="B579" s="417" t="str">
        <f>IF(A579&lt;&gt;0,COUNTA(A$19:$A579),"")</f>
        <v/>
      </c>
      <c r="C579" s="418" t="s">
        <v>1459</v>
      </c>
      <c r="D579" s="418"/>
      <c r="E579" s="435"/>
      <c r="F579" s="435"/>
      <c r="G579" s="419"/>
      <c r="H579" s="419"/>
      <c r="I579" s="419"/>
      <c r="J579" s="419"/>
      <c r="K579" s="420"/>
      <c r="L579" s="420">
        <f t="shared" si="103"/>
        <v>0</v>
      </c>
      <c r="M579" s="420">
        <f t="shared" si="104"/>
        <v>0</v>
      </c>
      <c r="N579" s="445"/>
      <c r="O579" s="719"/>
      <c r="P579" s="719">
        <f t="shared" si="111"/>
        <v>0</v>
      </c>
      <c r="Q579" s="423">
        <f>SUMIF('8.Dgia'!E:E,'9.may'!E579,'8.Dgia'!P:P)</f>
        <v>0</v>
      </c>
      <c r="R579" s="429">
        <f t="shared" si="105"/>
        <v>0</v>
      </c>
      <c r="S579" s="301">
        <f t="shared" si="106"/>
        <v>0</v>
      </c>
      <c r="T579" s="430">
        <f t="shared" si="107"/>
        <v>0</v>
      </c>
      <c r="U579" s="436"/>
      <c r="V579" s="436"/>
      <c r="W579" s="432"/>
      <c r="Y579" s="433">
        <f t="shared" si="108"/>
        <v>0</v>
      </c>
      <c r="Z579" s="433">
        <f t="shared" si="109"/>
        <v>0</v>
      </c>
      <c r="AC579" s="410">
        <f t="shared" si="110"/>
        <v>0</v>
      </c>
    </row>
    <row r="580" spans="1:29" s="427" customFormat="1" ht="17.25" hidden="1" customHeight="1">
      <c r="B580" s="417" t="str">
        <f>IF(A580&lt;&gt;0,COUNTA(A$19:$A580),"")</f>
        <v/>
      </c>
      <c r="C580" s="428" t="s">
        <v>1460</v>
      </c>
      <c r="D580" s="428"/>
      <c r="E580" s="435"/>
      <c r="F580" s="435"/>
      <c r="G580" s="419"/>
      <c r="H580" s="419">
        <v>54</v>
      </c>
      <c r="I580" s="419"/>
      <c r="J580" s="419"/>
      <c r="K580" s="420">
        <v>1</v>
      </c>
      <c r="L580" s="420">
        <f t="shared" si="103"/>
        <v>132404</v>
      </c>
      <c r="M580" s="420">
        <f t="shared" si="104"/>
        <v>297864</v>
      </c>
      <c r="N580" s="445">
        <f>SUMPRODUCT(G580:J580,$G$12:$J$12,$G$9:$J$9)</f>
        <v>34379.1</v>
      </c>
      <c r="O580" s="719"/>
      <c r="P580" s="719">
        <f t="shared" si="111"/>
        <v>418623.66</v>
      </c>
      <c r="Q580" s="423">
        <f>SUMIF('8.Dgia'!E:E,'9.may'!E580,'8.Dgia'!P:P)</f>
        <v>0</v>
      </c>
      <c r="R580" s="429">
        <f t="shared" si="105"/>
        <v>0</v>
      </c>
      <c r="S580" s="301">
        <f t="shared" si="106"/>
        <v>38397.160000000003</v>
      </c>
      <c r="T580" s="430">
        <f t="shared" si="107"/>
        <v>370640.26</v>
      </c>
      <c r="U580" s="431">
        <v>51713</v>
      </c>
      <c r="V580" s="431">
        <v>132404</v>
      </c>
      <c r="W580" s="432">
        <v>297864</v>
      </c>
      <c r="Y580" s="433">
        <f t="shared" si="108"/>
        <v>-72776.260000000009</v>
      </c>
      <c r="Z580" s="433">
        <f t="shared" si="109"/>
        <v>0</v>
      </c>
      <c r="AC580" s="410">
        <f t="shared" si="110"/>
        <v>0</v>
      </c>
    </row>
    <row r="581" spans="1:29" s="427" customFormat="1" ht="17.25" hidden="1" customHeight="1">
      <c r="B581" s="417" t="str">
        <f>IF(A581&lt;&gt;0,COUNTA(A$19:$A581),"")</f>
        <v/>
      </c>
      <c r="C581" s="418" t="s">
        <v>1461</v>
      </c>
      <c r="D581" s="418"/>
      <c r="E581" s="435"/>
      <c r="F581" s="435"/>
      <c r="G581" s="419"/>
      <c r="H581" s="419"/>
      <c r="I581" s="419"/>
      <c r="J581" s="419"/>
      <c r="K581" s="420"/>
      <c r="L581" s="420">
        <f t="shared" si="103"/>
        <v>0</v>
      </c>
      <c r="M581" s="420">
        <f t="shared" si="104"/>
        <v>0</v>
      </c>
      <c r="N581" s="445"/>
      <c r="O581" s="719"/>
      <c r="P581" s="719">
        <f t="shared" si="111"/>
        <v>0</v>
      </c>
      <c r="Q581" s="423">
        <f>SUMIF('8.Dgia'!E:E,'9.may'!E581,'8.Dgia'!P:P)</f>
        <v>0</v>
      </c>
      <c r="R581" s="429">
        <f t="shared" si="105"/>
        <v>0</v>
      </c>
      <c r="S581" s="301">
        <f t="shared" si="106"/>
        <v>0</v>
      </c>
      <c r="T581" s="430">
        <f t="shared" si="107"/>
        <v>0</v>
      </c>
      <c r="U581" s="436"/>
      <c r="V581" s="436"/>
      <c r="W581" s="432"/>
      <c r="Y581" s="433">
        <f t="shared" si="108"/>
        <v>0</v>
      </c>
      <c r="Z581" s="433">
        <f t="shared" si="109"/>
        <v>0</v>
      </c>
      <c r="AC581" s="410">
        <f t="shared" si="110"/>
        <v>0</v>
      </c>
    </row>
    <row r="582" spans="1:29" s="427" customFormat="1" ht="17.25" hidden="1" customHeight="1">
      <c r="B582" s="417" t="str">
        <f>IF(A582&lt;&gt;0,COUNTA(A$19:$A582),"")</f>
        <v/>
      </c>
      <c r="C582" s="428" t="s">
        <v>1462</v>
      </c>
      <c r="D582" s="428"/>
      <c r="E582" s="435"/>
      <c r="F582" s="435"/>
      <c r="G582" s="419"/>
      <c r="H582" s="419">
        <v>243</v>
      </c>
      <c r="I582" s="419"/>
      <c r="J582" s="419"/>
      <c r="K582" s="420">
        <v>1</v>
      </c>
      <c r="L582" s="420">
        <f t="shared" si="103"/>
        <v>90531</v>
      </c>
      <c r="M582" s="420">
        <f t="shared" si="104"/>
        <v>823460</v>
      </c>
      <c r="N582" s="445">
        <f>SUMPRODUCT(G582:J582,$G$12:$J$12,$G$9:$J$9)</f>
        <v>154705.95000000001</v>
      </c>
      <c r="O582" s="719"/>
      <c r="P582" s="719">
        <f t="shared" si="111"/>
        <v>1216969.3500000001</v>
      </c>
      <c r="Q582" s="423">
        <f>SUMIF('8.Dgia'!E:E,'9.may'!E582,'8.Dgia'!P:P)</f>
        <v>0</v>
      </c>
      <c r="R582" s="429">
        <f t="shared" si="105"/>
        <v>0</v>
      </c>
      <c r="S582" s="301">
        <f t="shared" si="106"/>
        <v>26253.99</v>
      </c>
      <c r="T582" s="430">
        <f t="shared" si="107"/>
        <v>1004419.94</v>
      </c>
      <c r="U582" s="431">
        <v>232709</v>
      </c>
      <c r="V582" s="431">
        <v>90531</v>
      </c>
      <c r="W582" s="432">
        <v>823460</v>
      </c>
      <c r="Y582" s="433">
        <f t="shared" si="108"/>
        <v>-180959.93999999994</v>
      </c>
      <c r="Z582" s="433">
        <f t="shared" si="109"/>
        <v>0</v>
      </c>
      <c r="AC582" s="410">
        <f t="shared" si="110"/>
        <v>0</v>
      </c>
    </row>
    <row r="583" spans="1:29" s="427" customFormat="1" ht="17.25" hidden="1" customHeight="1">
      <c r="B583" s="417" t="str">
        <f>IF(A583&lt;&gt;0,COUNTA(A$19:$A583),"")</f>
        <v/>
      </c>
      <c r="C583" s="418" t="s">
        <v>1463</v>
      </c>
      <c r="D583" s="418"/>
      <c r="E583" s="435"/>
      <c r="F583" s="435"/>
      <c r="G583" s="419"/>
      <c r="H583" s="419"/>
      <c r="I583" s="419"/>
      <c r="J583" s="419"/>
      <c r="K583" s="420"/>
      <c r="L583" s="420">
        <f t="shared" si="103"/>
        <v>0</v>
      </c>
      <c r="M583" s="420">
        <f t="shared" si="104"/>
        <v>0</v>
      </c>
      <c r="N583" s="445"/>
      <c r="O583" s="719"/>
      <c r="P583" s="719">
        <f t="shared" si="111"/>
        <v>0</v>
      </c>
      <c r="Q583" s="423">
        <f>SUMIF('8.Dgia'!E:E,'9.may'!E583,'8.Dgia'!P:P)</f>
        <v>0</v>
      </c>
      <c r="R583" s="429">
        <f t="shared" si="105"/>
        <v>0</v>
      </c>
      <c r="S583" s="301">
        <f t="shared" si="106"/>
        <v>0</v>
      </c>
      <c r="T583" s="430">
        <f t="shared" si="107"/>
        <v>0</v>
      </c>
      <c r="U583" s="436"/>
      <c r="V583" s="436"/>
      <c r="W583" s="432"/>
      <c r="Y583" s="433">
        <f t="shared" si="108"/>
        <v>0</v>
      </c>
      <c r="Z583" s="433">
        <f t="shared" si="109"/>
        <v>0</v>
      </c>
      <c r="AC583" s="410">
        <f t="shared" si="110"/>
        <v>0</v>
      </c>
    </row>
    <row r="584" spans="1:29" s="427" customFormat="1" ht="17.25" customHeight="1">
      <c r="A584" s="410">
        <v>1</v>
      </c>
      <c r="B584" s="417">
        <f>IF(A584&lt;&gt;0,COUNTA(A$19:$A584),"")</f>
        <v>140</v>
      </c>
      <c r="C584" s="428" t="s">
        <v>1464</v>
      </c>
      <c r="D584" s="428" t="s">
        <v>1465</v>
      </c>
      <c r="E584" s="435" t="s">
        <v>1466</v>
      </c>
      <c r="F584" s="435"/>
      <c r="G584" s="419">
        <v>167.4</v>
      </c>
      <c r="H584" s="419"/>
      <c r="I584" s="419"/>
      <c r="J584" s="419"/>
      <c r="K584" s="420">
        <v>1</v>
      </c>
      <c r="L584" s="420">
        <f t="shared" si="103"/>
        <v>125981</v>
      </c>
      <c r="M584" s="420">
        <f t="shared" si="104"/>
        <v>2222617</v>
      </c>
      <c r="N584" s="445">
        <f t="shared" ref="N584:N589" si="112">SUMPRODUCT(G584:J584,$G$12:$J$12,$G$9:$J$9)</f>
        <v>2719673.2309090905</v>
      </c>
      <c r="O584" s="719"/>
      <c r="P584" s="719">
        <f t="shared" si="111"/>
        <v>5586849.1609090902</v>
      </c>
      <c r="Q584" s="423">
        <f>SUMIF('8.Dgia'!E:E,'9.may'!E584,'8.Dgia'!P:P)</f>
        <v>0</v>
      </c>
      <c r="R584" s="429">
        <f t="shared" si="105"/>
        <v>0</v>
      </c>
      <c r="S584" s="301">
        <f t="shared" si="106"/>
        <v>36534.490000000005</v>
      </c>
      <c r="T584" s="430">
        <f t="shared" si="107"/>
        <v>4978824.7209090907</v>
      </c>
      <c r="U584" s="2053">
        <v>1198400</v>
      </c>
      <c r="V584" s="2053">
        <v>125981</v>
      </c>
      <c r="W584" s="2054">
        <v>2222617</v>
      </c>
      <c r="Y584" s="433">
        <f t="shared" si="108"/>
        <v>-2756207.7209090907</v>
      </c>
      <c r="Z584" s="433">
        <f t="shared" si="109"/>
        <v>0</v>
      </c>
      <c r="AC584" s="410">
        <f t="shared" si="110"/>
        <v>0</v>
      </c>
    </row>
    <row r="585" spans="1:29" s="427" customFormat="1" ht="17.25" hidden="1" customHeight="1">
      <c r="B585" s="417" t="str">
        <f>IF(A585&lt;&gt;0,COUNTA(A$19:$A585),"")</f>
        <v/>
      </c>
      <c r="C585" s="428" t="s">
        <v>1467</v>
      </c>
      <c r="D585" s="428"/>
      <c r="E585" s="435"/>
      <c r="F585" s="435"/>
      <c r="G585" s="419">
        <v>82.65</v>
      </c>
      <c r="H585" s="419"/>
      <c r="I585" s="419"/>
      <c r="J585" s="419"/>
      <c r="K585" s="420">
        <v>1</v>
      </c>
      <c r="L585" s="420">
        <f t="shared" si="103"/>
        <v>125981</v>
      </c>
      <c r="M585" s="420">
        <f t="shared" si="104"/>
        <v>1935200</v>
      </c>
      <c r="N585" s="445">
        <f t="shared" si="112"/>
        <v>1342777.7331818182</v>
      </c>
      <c r="O585" s="719"/>
      <c r="P585" s="719">
        <f t="shared" si="111"/>
        <v>3839185.7331818184</v>
      </c>
      <c r="Q585" s="423">
        <f>SUMIF('8.Dgia'!E:E,'9.may'!E585,'8.Dgia'!P:P)</f>
        <v>0</v>
      </c>
      <c r="R585" s="429">
        <f t="shared" si="105"/>
        <v>0</v>
      </c>
      <c r="S585" s="301">
        <f t="shared" si="106"/>
        <v>36534.490000000005</v>
      </c>
      <c r="T585" s="430">
        <f t="shared" si="107"/>
        <v>3314512.2231818181</v>
      </c>
      <c r="U585" s="431">
        <v>591683</v>
      </c>
      <c r="V585" s="431">
        <v>125981</v>
      </c>
      <c r="W585" s="432">
        <v>1935200</v>
      </c>
      <c r="Y585" s="433">
        <f t="shared" si="108"/>
        <v>-1379312.2231818181</v>
      </c>
      <c r="Z585" s="433">
        <f t="shared" si="109"/>
        <v>0</v>
      </c>
      <c r="AC585" s="410">
        <f t="shared" si="110"/>
        <v>0</v>
      </c>
    </row>
    <row r="586" spans="1:29" s="427" customFormat="1" ht="17.25" hidden="1" customHeight="1">
      <c r="B586" s="417" t="str">
        <f>IF(A586&lt;&gt;0,COUNTA(A$19:$A586),"")</f>
        <v/>
      </c>
      <c r="C586" s="428" t="s">
        <v>1468</v>
      </c>
      <c r="D586" s="428"/>
      <c r="E586" s="435"/>
      <c r="F586" s="435"/>
      <c r="G586" s="419">
        <v>121.44</v>
      </c>
      <c r="H586" s="419"/>
      <c r="I586" s="419"/>
      <c r="J586" s="419"/>
      <c r="K586" s="420">
        <v>1</v>
      </c>
      <c r="L586" s="420">
        <f t="shared" si="103"/>
        <v>125981</v>
      </c>
      <c r="M586" s="420">
        <f t="shared" si="104"/>
        <v>2562478</v>
      </c>
      <c r="N586" s="445">
        <f t="shared" si="112"/>
        <v>1972981.5839999996</v>
      </c>
      <c r="O586" s="719"/>
      <c r="P586" s="719">
        <f t="shared" si="111"/>
        <v>5278578.2039999999</v>
      </c>
      <c r="Q586" s="423">
        <f>SUMIF('8.Dgia'!E:E,'9.may'!E586,'8.Dgia'!P:P)</f>
        <v>0</v>
      </c>
      <c r="R586" s="429">
        <f t="shared" si="105"/>
        <v>0</v>
      </c>
      <c r="S586" s="301">
        <f t="shared" si="106"/>
        <v>36534.490000000005</v>
      </c>
      <c r="T586" s="430">
        <f t="shared" si="107"/>
        <v>4571994.0739999991</v>
      </c>
      <c r="U586" s="431">
        <v>869377</v>
      </c>
      <c r="V586" s="431">
        <v>125981</v>
      </c>
      <c r="W586" s="432">
        <v>2562478</v>
      </c>
      <c r="Y586" s="433">
        <f t="shared" si="108"/>
        <v>-2009516.0739999991</v>
      </c>
      <c r="Z586" s="433">
        <f t="shared" si="109"/>
        <v>0</v>
      </c>
      <c r="AC586" s="410">
        <f t="shared" si="110"/>
        <v>0</v>
      </c>
    </row>
    <row r="587" spans="1:29" s="427" customFormat="1" ht="17.25" hidden="1" customHeight="1">
      <c r="B587" s="417" t="str">
        <f>IF(A587&lt;&gt;0,COUNTA(A$19:$A587),"")</f>
        <v/>
      </c>
      <c r="C587" s="428" t="s">
        <v>1469</v>
      </c>
      <c r="D587" s="428"/>
      <c r="E587" s="435"/>
      <c r="F587" s="435"/>
      <c r="G587" s="419">
        <v>162</v>
      </c>
      <c r="H587" s="419"/>
      <c r="I587" s="419"/>
      <c r="J587" s="419"/>
      <c r="K587" s="420">
        <v>1</v>
      </c>
      <c r="L587" s="420">
        <f t="shared" si="103"/>
        <v>125981</v>
      </c>
      <c r="M587" s="420">
        <f t="shared" si="104"/>
        <v>2965778</v>
      </c>
      <c r="N587" s="445">
        <f t="shared" si="112"/>
        <v>2631941.8363636364</v>
      </c>
      <c r="O587" s="719"/>
      <c r="P587" s="719">
        <f t="shared" si="111"/>
        <v>6457795.456363637</v>
      </c>
      <c r="Q587" s="423">
        <f>SUMIF('8.Dgia'!E:E,'9.may'!E587,'8.Dgia'!P:P)</f>
        <v>0</v>
      </c>
      <c r="R587" s="429">
        <f t="shared" si="105"/>
        <v>0</v>
      </c>
      <c r="S587" s="301">
        <f t="shared" si="106"/>
        <v>36534.490000000005</v>
      </c>
      <c r="T587" s="430">
        <f t="shared" si="107"/>
        <v>5634254.3263636362</v>
      </c>
      <c r="U587" s="431">
        <v>1159742</v>
      </c>
      <c r="V587" s="431">
        <v>125981</v>
      </c>
      <c r="W587" s="432">
        <v>2965778</v>
      </c>
      <c r="Y587" s="433">
        <f t="shared" si="108"/>
        <v>-2668476.3263636362</v>
      </c>
      <c r="Z587" s="433">
        <f t="shared" si="109"/>
        <v>0</v>
      </c>
      <c r="AC587" s="410">
        <f t="shared" si="110"/>
        <v>0</v>
      </c>
    </row>
    <row r="588" spans="1:29" s="427" customFormat="1" ht="17.25" hidden="1" customHeight="1">
      <c r="B588" s="417" t="str">
        <f>IF(A588&lt;&gt;0,COUNTA(A$19:$A588),"")</f>
        <v/>
      </c>
      <c r="C588" s="428" t="s">
        <v>1470</v>
      </c>
      <c r="D588" s="428"/>
      <c r="E588" s="435"/>
      <c r="F588" s="435"/>
      <c r="G588" s="419">
        <v>82.08</v>
      </c>
      <c r="H588" s="419"/>
      <c r="I588" s="419"/>
      <c r="J588" s="419"/>
      <c r="K588" s="420">
        <v>1</v>
      </c>
      <c r="L588" s="420">
        <f t="shared" si="103"/>
        <v>125981</v>
      </c>
      <c r="M588" s="420">
        <f t="shared" si="104"/>
        <v>2397292</v>
      </c>
      <c r="N588" s="445">
        <f t="shared" si="112"/>
        <v>1333517.1970909089</v>
      </c>
      <c r="O588" s="719"/>
      <c r="P588" s="719">
        <f t="shared" si="111"/>
        <v>4426023.8770909086</v>
      </c>
      <c r="Q588" s="423">
        <f>SUMIF('8.Dgia'!E:E,'9.may'!E588,'8.Dgia'!P:P)</f>
        <v>0</v>
      </c>
      <c r="R588" s="429">
        <f t="shared" si="105"/>
        <v>0</v>
      </c>
      <c r="S588" s="301">
        <f t="shared" si="106"/>
        <v>36534.490000000005</v>
      </c>
      <c r="T588" s="430">
        <f t="shared" si="107"/>
        <v>3767343.6870909091</v>
      </c>
      <c r="U588" s="431">
        <v>587603</v>
      </c>
      <c r="V588" s="431">
        <v>125981</v>
      </c>
      <c r="W588" s="432">
        <v>2397292</v>
      </c>
      <c r="Y588" s="433">
        <f t="shared" si="108"/>
        <v>-1370051.6870909091</v>
      </c>
      <c r="Z588" s="433">
        <f t="shared" si="109"/>
        <v>0</v>
      </c>
      <c r="AC588" s="410">
        <f t="shared" si="110"/>
        <v>0</v>
      </c>
    </row>
    <row r="589" spans="1:29" s="427" customFormat="1" ht="17.25" hidden="1" customHeight="1">
      <c r="B589" s="417" t="str">
        <f>IF(A589&lt;&gt;0,COUNTA(A$19:$A589),"")</f>
        <v/>
      </c>
      <c r="C589" s="428" t="s">
        <v>1471</v>
      </c>
      <c r="D589" s="428"/>
      <c r="E589" s="435"/>
      <c r="F589" s="435"/>
      <c r="G589" s="419">
        <v>180.9</v>
      </c>
      <c r="H589" s="419"/>
      <c r="I589" s="419"/>
      <c r="J589" s="419"/>
      <c r="K589" s="420">
        <v>1</v>
      </c>
      <c r="L589" s="420">
        <f t="shared" si="103"/>
        <v>125981</v>
      </c>
      <c r="M589" s="420">
        <f t="shared" si="104"/>
        <v>3326298</v>
      </c>
      <c r="N589" s="445">
        <f t="shared" si="112"/>
        <v>2939001.7172727268</v>
      </c>
      <c r="O589" s="719"/>
      <c r="P589" s="719">
        <f t="shared" si="111"/>
        <v>7229926.1372727267</v>
      </c>
      <c r="Q589" s="423">
        <f>SUMIF('8.Dgia'!E:E,'9.may'!E589,'8.Dgia'!P:P)</f>
        <v>0</v>
      </c>
      <c r="R589" s="429">
        <f t="shared" si="105"/>
        <v>0</v>
      </c>
      <c r="S589" s="301">
        <f t="shared" si="106"/>
        <v>36534.490000000005</v>
      </c>
      <c r="T589" s="430">
        <f t="shared" si="107"/>
        <v>6301834.207272727</v>
      </c>
      <c r="U589" s="431">
        <v>1295045</v>
      </c>
      <c r="V589" s="431">
        <v>125981</v>
      </c>
      <c r="W589" s="432">
        <v>3326298</v>
      </c>
      <c r="Y589" s="433">
        <f t="shared" si="108"/>
        <v>-2975536.207272727</v>
      </c>
      <c r="Z589" s="433">
        <f t="shared" si="109"/>
        <v>0</v>
      </c>
      <c r="AC589" s="410">
        <f t="shared" si="110"/>
        <v>0</v>
      </c>
    </row>
    <row r="590" spans="1:29" s="427" customFormat="1" ht="17.25" hidden="1" customHeight="1">
      <c r="B590" s="417" t="str">
        <f>IF(A590&lt;&gt;0,COUNTA(A$19:$A590),"")</f>
        <v/>
      </c>
      <c r="C590" s="418" t="s">
        <v>1472</v>
      </c>
      <c r="D590" s="418"/>
      <c r="E590" s="435"/>
      <c r="F590" s="435"/>
      <c r="G590" s="419"/>
      <c r="H590" s="419"/>
      <c r="I590" s="419"/>
      <c r="J590" s="419"/>
      <c r="K590" s="420"/>
      <c r="L590" s="420">
        <f t="shared" si="103"/>
        <v>0</v>
      </c>
      <c r="M590" s="420">
        <f t="shared" si="104"/>
        <v>0</v>
      </c>
      <c r="N590" s="445"/>
      <c r="O590" s="719"/>
      <c r="P590" s="719">
        <f t="shared" si="111"/>
        <v>0</v>
      </c>
      <c r="Q590" s="423">
        <f>SUMIF('8.Dgia'!E:E,'9.may'!E590,'8.Dgia'!P:P)</f>
        <v>0</v>
      </c>
      <c r="R590" s="429">
        <f t="shared" si="105"/>
        <v>0</v>
      </c>
      <c r="S590" s="301">
        <f t="shared" si="106"/>
        <v>0</v>
      </c>
      <c r="T590" s="430">
        <f t="shared" si="107"/>
        <v>0</v>
      </c>
      <c r="U590" s="436"/>
      <c r="V590" s="436"/>
      <c r="W590" s="432"/>
      <c r="Y590" s="433">
        <f t="shared" si="108"/>
        <v>0</v>
      </c>
      <c r="Z590" s="433">
        <f t="shared" si="109"/>
        <v>0</v>
      </c>
      <c r="AC590" s="410">
        <f t="shared" si="110"/>
        <v>0</v>
      </c>
    </row>
    <row r="591" spans="1:29" s="427" customFormat="1" ht="17.25" hidden="1" customHeight="1">
      <c r="B591" s="417" t="str">
        <f>IF(A591&lt;&gt;0,COUNTA(A$19:$A591),"")</f>
        <v/>
      </c>
      <c r="C591" s="428" t="s">
        <v>1473</v>
      </c>
      <c r="D591" s="428"/>
      <c r="E591" s="435"/>
      <c r="F591" s="435"/>
      <c r="G591" s="419"/>
      <c r="H591" s="419">
        <v>1042.2</v>
      </c>
      <c r="I591" s="419"/>
      <c r="J591" s="419"/>
      <c r="K591" s="420">
        <v>1</v>
      </c>
      <c r="L591" s="420">
        <f t="shared" si="103"/>
        <v>125981</v>
      </c>
      <c r="M591" s="420">
        <f t="shared" si="104"/>
        <v>3507983</v>
      </c>
      <c r="N591" s="445">
        <f>SUMPRODUCT(G591:J591,$G$12:$J$12,$G$9:$J$9)</f>
        <v>663516.63</v>
      </c>
      <c r="O591" s="719"/>
      <c r="P591" s="719">
        <f t="shared" si="111"/>
        <v>5188814.7</v>
      </c>
      <c r="Q591" s="423">
        <f>SUMIF('8.Dgia'!E:E,'9.may'!E591,'8.Dgia'!P:P)</f>
        <v>0</v>
      </c>
      <c r="R591" s="429">
        <f t="shared" si="105"/>
        <v>0</v>
      </c>
      <c r="S591" s="301">
        <f t="shared" si="106"/>
        <v>36534.490000000005</v>
      </c>
      <c r="T591" s="430">
        <f t="shared" si="107"/>
        <v>4208034.12</v>
      </c>
      <c r="U591" s="431">
        <v>998063</v>
      </c>
      <c r="V591" s="431">
        <v>125981</v>
      </c>
      <c r="W591" s="432">
        <v>3507983</v>
      </c>
      <c r="Y591" s="433">
        <f t="shared" si="108"/>
        <v>-700051.12000000011</v>
      </c>
      <c r="Z591" s="433">
        <f t="shared" si="109"/>
        <v>0</v>
      </c>
      <c r="AC591" s="410">
        <f t="shared" si="110"/>
        <v>0</v>
      </c>
    </row>
    <row r="592" spans="1:29" s="427" customFormat="1" ht="17.25" hidden="1" customHeight="1">
      <c r="B592" s="417" t="str">
        <f>IF(A592&lt;&gt;0,COUNTA(A$19:$A592),"")</f>
        <v/>
      </c>
      <c r="C592" s="418" t="s">
        <v>1474</v>
      </c>
      <c r="D592" s="418"/>
      <c r="E592" s="435"/>
      <c r="F592" s="435"/>
      <c r="G592" s="419"/>
      <c r="H592" s="419"/>
      <c r="I592" s="419"/>
      <c r="J592" s="419"/>
      <c r="K592" s="420"/>
      <c r="L592" s="420">
        <f t="shared" si="103"/>
        <v>0</v>
      </c>
      <c r="M592" s="420">
        <f t="shared" si="104"/>
        <v>0</v>
      </c>
      <c r="N592" s="445"/>
      <c r="O592" s="719"/>
      <c r="P592" s="719">
        <f t="shared" si="111"/>
        <v>0</v>
      </c>
      <c r="Q592" s="423">
        <f>SUMIF('8.Dgia'!E:E,'9.may'!E592,'8.Dgia'!P:P)</f>
        <v>0</v>
      </c>
      <c r="R592" s="429">
        <f t="shared" si="105"/>
        <v>0</v>
      </c>
      <c r="S592" s="301">
        <f t="shared" si="106"/>
        <v>0</v>
      </c>
      <c r="T592" s="430">
        <f t="shared" si="107"/>
        <v>0</v>
      </c>
      <c r="U592" s="436"/>
      <c r="V592" s="436"/>
      <c r="W592" s="432"/>
      <c r="Y592" s="433">
        <f t="shared" si="108"/>
        <v>0</v>
      </c>
      <c r="Z592" s="433">
        <f t="shared" si="109"/>
        <v>0</v>
      </c>
      <c r="AC592" s="410">
        <f t="shared" si="110"/>
        <v>0</v>
      </c>
    </row>
    <row r="593" spans="2:29" s="427" customFormat="1" ht="17.25" hidden="1" customHeight="1">
      <c r="B593" s="417" t="str">
        <f>IF(A593&lt;&gt;0,COUNTA(A$19:$A593),"")</f>
        <v/>
      </c>
      <c r="C593" s="428" t="s">
        <v>1475</v>
      </c>
      <c r="D593" s="428"/>
      <c r="E593" s="435"/>
      <c r="F593" s="435"/>
      <c r="G593" s="419">
        <v>202.5</v>
      </c>
      <c r="H593" s="419"/>
      <c r="I593" s="419"/>
      <c r="J593" s="419"/>
      <c r="K593" s="420">
        <v>1</v>
      </c>
      <c r="L593" s="420">
        <f t="shared" si="103"/>
        <v>125981</v>
      </c>
      <c r="M593" s="420">
        <f t="shared" si="104"/>
        <v>4367638</v>
      </c>
      <c r="N593" s="445">
        <f>SUMPRODUCT(G593:J593,$G$12:$J$12,$G$9:$J$9)</f>
        <v>3289927.2954545449</v>
      </c>
      <c r="O593" s="719"/>
      <c r="P593" s="719">
        <f t="shared" si="111"/>
        <v>8924180.3154545464</v>
      </c>
      <c r="Q593" s="423">
        <f>SUMIF('8.Dgia'!E:E,'9.may'!E593,'8.Dgia'!P:P)</f>
        <v>0</v>
      </c>
      <c r="R593" s="429">
        <f t="shared" si="105"/>
        <v>0</v>
      </c>
      <c r="S593" s="301">
        <f t="shared" si="106"/>
        <v>36534.490000000005</v>
      </c>
      <c r="T593" s="430">
        <f t="shared" si="107"/>
        <v>7694099.7854545452</v>
      </c>
      <c r="U593" s="431">
        <v>1449677</v>
      </c>
      <c r="V593" s="431">
        <v>125981</v>
      </c>
      <c r="W593" s="432">
        <v>4367638</v>
      </c>
      <c r="Y593" s="433">
        <f t="shared" si="108"/>
        <v>-3326461.7854545452</v>
      </c>
      <c r="Z593" s="433">
        <f t="shared" si="109"/>
        <v>0</v>
      </c>
      <c r="AC593" s="410">
        <f t="shared" si="110"/>
        <v>0</v>
      </c>
    </row>
    <row r="594" spans="2:29" s="427" customFormat="1" ht="17.25" hidden="1" customHeight="1">
      <c r="B594" s="417" t="str">
        <f>IF(A594&lt;&gt;0,COUNTA(A$19:$A594),"")</f>
        <v/>
      </c>
      <c r="C594" s="418" t="s">
        <v>1476</v>
      </c>
      <c r="D594" s="418"/>
      <c r="E594" s="435"/>
      <c r="F594" s="435"/>
      <c r="G594" s="419"/>
      <c r="H594" s="419"/>
      <c r="I594" s="419"/>
      <c r="J594" s="419"/>
      <c r="K594" s="420"/>
      <c r="L594" s="420">
        <f t="shared" si="103"/>
        <v>0</v>
      </c>
      <c r="M594" s="420">
        <f t="shared" si="104"/>
        <v>0</v>
      </c>
      <c r="N594" s="445"/>
      <c r="O594" s="719"/>
      <c r="P594" s="719">
        <f t="shared" si="111"/>
        <v>0</v>
      </c>
      <c r="Q594" s="423">
        <f>SUMIF('8.Dgia'!E:E,'9.may'!E594,'8.Dgia'!P:P)</f>
        <v>0</v>
      </c>
      <c r="R594" s="429">
        <f t="shared" si="105"/>
        <v>0</v>
      </c>
      <c r="S594" s="301">
        <f t="shared" si="106"/>
        <v>0</v>
      </c>
      <c r="T594" s="430">
        <f t="shared" si="107"/>
        <v>0</v>
      </c>
      <c r="U594" s="436"/>
      <c r="V594" s="436"/>
      <c r="W594" s="432"/>
      <c r="Y594" s="433">
        <f t="shared" si="108"/>
        <v>0</v>
      </c>
      <c r="Z594" s="433">
        <f t="shared" si="109"/>
        <v>0</v>
      </c>
      <c r="AC594" s="410">
        <f t="shared" si="110"/>
        <v>0</v>
      </c>
    </row>
    <row r="595" spans="2:29" s="427" customFormat="1" ht="17.25" hidden="1" customHeight="1">
      <c r="B595" s="417" t="str">
        <f>IF(A595&lt;&gt;0,COUNTA(A$19:$A595),"")</f>
        <v/>
      </c>
      <c r="C595" s="428" t="s">
        <v>1477</v>
      </c>
      <c r="D595" s="428" t="s">
        <v>1478</v>
      </c>
      <c r="E595" s="435"/>
      <c r="F595" s="435"/>
      <c r="G595" s="419">
        <v>83.79</v>
      </c>
      <c r="H595" s="419"/>
      <c r="I595" s="419"/>
      <c r="J595" s="419"/>
      <c r="K595" s="420">
        <v>1</v>
      </c>
      <c r="L595" s="420">
        <f t="shared" si="103"/>
        <v>251962</v>
      </c>
      <c r="M595" s="420">
        <f t="shared" si="104"/>
        <v>3636919</v>
      </c>
      <c r="N595" s="445">
        <f>SUMPRODUCT(G595:J595,$G$12:$J$12,$G$9:$J$9)</f>
        <v>1361298.8053636362</v>
      </c>
      <c r="O595" s="719"/>
      <c r="P595" s="719">
        <f t="shared" si="111"/>
        <v>6052924.3153636362</v>
      </c>
      <c r="Q595" s="423">
        <f>SUMIF('8.Dgia'!E:E,'9.may'!E595,'8.Dgia'!P:P)</f>
        <v>0</v>
      </c>
      <c r="R595" s="429">
        <f t="shared" si="105"/>
        <v>0</v>
      </c>
      <c r="S595" s="301">
        <f t="shared" si="106"/>
        <v>73068.98000000001</v>
      </c>
      <c r="T595" s="430">
        <f t="shared" si="107"/>
        <v>5071286.785363636</v>
      </c>
      <c r="U595" s="431">
        <v>599844</v>
      </c>
      <c r="V595" s="431">
        <v>251962</v>
      </c>
      <c r="W595" s="432">
        <v>3636919</v>
      </c>
      <c r="Y595" s="433">
        <f t="shared" si="108"/>
        <v>-1434367.785363636</v>
      </c>
      <c r="Z595" s="433">
        <f t="shared" si="109"/>
        <v>0</v>
      </c>
      <c r="AC595" s="410">
        <f t="shared" si="110"/>
        <v>0</v>
      </c>
    </row>
    <row r="596" spans="2:29" s="427" customFormat="1" ht="17.25" hidden="1" customHeight="1">
      <c r="B596" s="417" t="str">
        <f>IF(A596&lt;&gt;0,COUNTA(A$19:$A596),"")</f>
        <v/>
      </c>
      <c r="C596" s="428" t="s">
        <v>1479</v>
      </c>
      <c r="D596" s="428" t="s">
        <v>1480</v>
      </c>
      <c r="E596" s="435"/>
      <c r="F596" s="435"/>
      <c r="G596" s="419">
        <v>137.69999999999999</v>
      </c>
      <c r="H596" s="419"/>
      <c r="I596" s="419"/>
      <c r="J596" s="419"/>
      <c r="K596" s="420">
        <v>1</v>
      </c>
      <c r="L596" s="420">
        <f t="shared" ref="L596:L659" si="113">+V596</f>
        <v>251962</v>
      </c>
      <c r="M596" s="420">
        <f t="shared" ref="M596:M659" si="114">+W596</f>
        <v>5302904</v>
      </c>
      <c r="N596" s="445">
        <f>SUMPRODUCT(G596:J596,$G$12:$J$12,$G$9:$J$9)</f>
        <v>2237150.5609090901</v>
      </c>
      <c r="O596" s="719"/>
      <c r="P596" s="719">
        <f t="shared" si="111"/>
        <v>9077896.7209090907</v>
      </c>
      <c r="Q596" s="423">
        <f>SUMIF('8.Dgia'!E:E,'9.may'!E596,'8.Dgia'!P:P)</f>
        <v>0</v>
      </c>
      <c r="R596" s="429">
        <f t="shared" ref="R596:R659" si="115">N596*Q596</f>
        <v>0</v>
      </c>
      <c r="S596" s="301">
        <f t="shared" ref="S596:S659" si="116">L596*($G$13-1)</f>
        <v>73068.98000000001</v>
      </c>
      <c r="T596" s="430">
        <f t="shared" ref="T596:T659" si="117">S596+N596+M596</f>
        <v>7613123.5409090901</v>
      </c>
      <c r="U596" s="431">
        <v>985781</v>
      </c>
      <c r="V596" s="431">
        <v>251962</v>
      </c>
      <c r="W596" s="432">
        <v>5302904</v>
      </c>
      <c r="Y596" s="433">
        <f t="shared" ref="Y596:Y659" si="118">W596-T596</f>
        <v>-2310219.5409090901</v>
      </c>
      <c r="Z596" s="433">
        <f t="shared" ref="Z596:Z659" si="119">W596-M596</f>
        <v>0</v>
      </c>
      <c r="AC596" s="410">
        <f t="shared" ref="AC596:AC659" si="120">+P596*Q596</f>
        <v>0</v>
      </c>
    </row>
    <row r="597" spans="2:29" s="427" customFormat="1" ht="17.25" hidden="1" customHeight="1">
      <c r="B597" s="417" t="str">
        <f>IF(A597&lt;&gt;0,COUNTA(A$19:$A597),"")</f>
        <v/>
      </c>
      <c r="C597" s="418" t="s">
        <v>1481</v>
      </c>
      <c r="D597" s="418"/>
      <c r="E597" s="435"/>
      <c r="F597" s="435"/>
      <c r="G597" s="419"/>
      <c r="H597" s="419"/>
      <c r="I597" s="419"/>
      <c r="J597" s="419"/>
      <c r="K597" s="420"/>
      <c r="L597" s="420">
        <f t="shared" si="113"/>
        <v>0</v>
      </c>
      <c r="M597" s="420">
        <f t="shared" si="114"/>
        <v>0</v>
      </c>
      <c r="N597" s="445"/>
      <c r="O597" s="719"/>
      <c r="P597" s="719">
        <f t="shared" ref="P597:P660" si="121">+N597+M597*$G$13</f>
        <v>0</v>
      </c>
      <c r="Q597" s="423">
        <f>SUMIF('8.Dgia'!E:E,'9.may'!E597,'8.Dgia'!P:P)</f>
        <v>0</v>
      </c>
      <c r="R597" s="429">
        <f t="shared" si="115"/>
        <v>0</v>
      </c>
      <c r="S597" s="301">
        <f t="shared" si="116"/>
        <v>0</v>
      </c>
      <c r="T597" s="430">
        <f t="shared" si="117"/>
        <v>0</v>
      </c>
      <c r="U597" s="436"/>
      <c r="V597" s="436"/>
      <c r="W597" s="432"/>
      <c r="Y597" s="433">
        <f t="shared" si="118"/>
        <v>0</v>
      </c>
      <c r="Z597" s="433">
        <f t="shared" si="119"/>
        <v>0</v>
      </c>
      <c r="AC597" s="410">
        <f t="shared" si="120"/>
        <v>0</v>
      </c>
    </row>
    <row r="598" spans="2:29" s="427" customFormat="1" ht="17.25" hidden="1" customHeight="1">
      <c r="B598" s="417" t="str">
        <f>IF(A598&lt;&gt;0,COUNTA(A$19:$A598),"")</f>
        <v/>
      </c>
      <c r="C598" s="428" t="s">
        <v>1482</v>
      </c>
      <c r="D598" s="428"/>
      <c r="E598" s="435"/>
      <c r="F598" s="435"/>
      <c r="G598" s="419">
        <v>38.4</v>
      </c>
      <c r="H598" s="419"/>
      <c r="I598" s="419"/>
      <c r="J598" s="419"/>
      <c r="K598" s="420">
        <v>1</v>
      </c>
      <c r="L598" s="420">
        <f t="shared" si="113"/>
        <v>251962</v>
      </c>
      <c r="M598" s="420">
        <f t="shared" si="114"/>
        <v>3587096</v>
      </c>
      <c r="N598" s="445">
        <f>SUMPRODUCT(G598:J598,$G$12:$J$12,$G$9:$J$9)</f>
        <v>623867.69454545446</v>
      </c>
      <c r="O598" s="719"/>
      <c r="P598" s="719">
        <f t="shared" si="121"/>
        <v>5251221.5345454542</v>
      </c>
      <c r="Q598" s="423">
        <f>SUMIF('8.Dgia'!E:E,'9.may'!E598,'8.Dgia'!P:P)</f>
        <v>0</v>
      </c>
      <c r="R598" s="429">
        <f t="shared" si="115"/>
        <v>0</v>
      </c>
      <c r="S598" s="301">
        <f t="shared" si="116"/>
        <v>73068.98000000001</v>
      </c>
      <c r="T598" s="430">
        <f t="shared" si="117"/>
        <v>4284032.6745454548</v>
      </c>
      <c r="U598" s="431">
        <v>274902</v>
      </c>
      <c r="V598" s="431">
        <v>251962</v>
      </c>
      <c r="W598" s="432">
        <v>3587096</v>
      </c>
      <c r="Y598" s="433">
        <f t="shared" si="118"/>
        <v>-696936.67454545479</v>
      </c>
      <c r="Z598" s="433">
        <f t="shared" si="119"/>
        <v>0</v>
      </c>
      <c r="AC598" s="410">
        <f t="shared" si="120"/>
        <v>0</v>
      </c>
    </row>
    <row r="599" spans="2:29" s="427" customFormat="1" ht="17.25" hidden="1" customHeight="1">
      <c r="B599" s="417" t="str">
        <f>IF(A599&lt;&gt;0,COUNTA(A$19:$A599),"")</f>
        <v/>
      </c>
      <c r="C599" s="418" t="s">
        <v>1483</v>
      </c>
      <c r="D599" s="418"/>
      <c r="E599" s="435"/>
      <c r="F599" s="435"/>
      <c r="G599" s="419"/>
      <c r="H599" s="419"/>
      <c r="I599" s="419"/>
      <c r="J599" s="419"/>
      <c r="K599" s="420"/>
      <c r="L599" s="420">
        <f t="shared" si="113"/>
        <v>0</v>
      </c>
      <c r="M599" s="420">
        <f t="shared" si="114"/>
        <v>0</v>
      </c>
      <c r="N599" s="445"/>
      <c r="O599" s="719"/>
      <c r="P599" s="719">
        <f t="shared" si="121"/>
        <v>0</v>
      </c>
      <c r="Q599" s="423">
        <f>SUMIF('8.Dgia'!E:E,'9.may'!E599,'8.Dgia'!P:P)</f>
        <v>0</v>
      </c>
      <c r="R599" s="429">
        <f t="shared" si="115"/>
        <v>0</v>
      </c>
      <c r="S599" s="301">
        <f t="shared" si="116"/>
        <v>0</v>
      </c>
      <c r="T599" s="430">
        <f t="shared" si="117"/>
        <v>0</v>
      </c>
      <c r="U599" s="436"/>
      <c r="V599" s="436"/>
      <c r="W599" s="432"/>
      <c r="Y599" s="433">
        <f t="shared" si="118"/>
        <v>0</v>
      </c>
      <c r="Z599" s="433">
        <f t="shared" si="119"/>
        <v>0</v>
      </c>
      <c r="AC599" s="410">
        <f t="shared" si="120"/>
        <v>0</v>
      </c>
    </row>
    <row r="600" spans="2:29" s="427" customFormat="1" ht="17.25" hidden="1" customHeight="1">
      <c r="B600" s="417" t="str">
        <f>IF(A600&lt;&gt;0,COUNTA(A$19:$A600),"")</f>
        <v/>
      </c>
      <c r="C600" s="428" t="s">
        <v>1484</v>
      </c>
      <c r="D600" s="428"/>
      <c r="E600" s="435"/>
      <c r="F600" s="435"/>
      <c r="G600" s="419"/>
      <c r="H600" s="419">
        <v>675</v>
      </c>
      <c r="I600" s="419"/>
      <c r="J600" s="419"/>
      <c r="K600" s="420">
        <v>1</v>
      </c>
      <c r="L600" s="420">
        <f t="shared" si="113"/>
        <v>251962</v>
      </c>
      <c r="M600" s="420">
        <f t="shared" si="114"/>
        <v>13130907</v>
      </c>
      <c r="N600" s="445">
        <f>SUMPRODUCT(G600:J600,$G$12:$J$12,$G$9:$J$9)</f>
        <v>429738.75</v>
      </c>
      <c r="O600" s="719"/>
      <c r="P600" s="719">
        <f t="shared" si="121"/>
        <v>17368608.780000001</v>
      </c>
      <c r="Q600" s="423">
        <f>SUMIF('8.Dgia'!E:E,'9.may'!E600,'8.Dgia'!P:P)</f>
        <v>0</v>
      </c>
      <c r="R600" s="429">
        <f t="shared" si="115"/>
        <v>0</v>
      </c>
      <c r="S600" s="301">
        <f t="shared" si="116"/>
        <v>73068.98000000001</v>
      </c>
      <c r="T600" s="430">
        <f t="shared" si="117"/>
        <v>13633714.73</v>
      </c>
      <c r="U600" s="431">
        <v>646414</v>
      </c>
      <c r="V600" s="431">
        <v>251962</v>
      </c>
      <c r="W600" s="432">
        <v>13130907</v>
      </c>
      <c r="Y600" s="433">
        <f t="shared" si="118"/>
        <v>-502807.73000000045</v>
      </c>
      <c r="Z600" s="433">
        <f t="shared" si="119"/>
        <v>0</v>
      </c>
      <c r="AC600" s="410">
        <f t="shared" si="120"/>
        <v>0</v>
      </c>
    </row>
    <row r="601" spans="2:29" s="427" customFormat="1" ht="17.25" hidden="1" customHeight="1">
      <c r="B601" s="417" t="str">
        <f>IF(A601&lt;&gt;0,COUNTA(A$19:$A601),"")</f>
        <v/>
      </c>
      <c r="C601" s="418" t="s">
        <v>1485</v>
      </c>
      <c r="D601" s="418"/>
      <c r="E601" s="435"/>
      <c r="F601" s="435"/>
      <c r="G601" s="419"/>
      <c r="H601" s="419"/>
      <c r="I601" s="419"/>
      <c r="J601" s="419"/>
      <c r="K601" s="420"/>
      <c r="L601" s="420">
        <f t="shared" si="113"/>
        <v>0</v>
      </c>
      <c r="M601" s="420">
        <f t="shared" si="114"/>
        <v>0</v>
      </c>
      <c r="N601" s="445"/>
      <c r="O601" s="719"/>
      <c r="P601" s="719">
        <f t="shared" si="121"/>
        <v>0</v>
      </c>
      <c r="Q601" s="423">
        <f>SUMIF('8.Dgia'!E:E,'9.may'!E601,'8.Dgia'!P:P)</f>
        <v>0</v>
      </c>
      <c r="R601" s="429">
        <f t="shared" si="115"/>
        <v>0</v>
      </c>
      <c r="S601" s="301">
        <f t="shared" si="116"/>
        <v>0</v>
      </c>
      <c r="T601" s="430">
        <f t="shared" si="117"/>
        <v>0</v>
      </c>
      <c r="U601" s="436"/>
      <c r="V601" s="436"/>
      <c r="W601" s="432"/>
      <c r="Y601" s="433">
        <f t="shared" si="118"/>
        <v>0</v>
      </c>
      <c r="Z601" s="433">
        <f t="shared" si="119"/>
        <v>0</v>
      </c>
      <c r="AC601" s="410">
        <f t="shared" si="120"/>
        <v>0</v>
      </c>
    </row>
    <row r="602" spans="2:29" s="427" customFormat="1" ht="17.25" hidden="1" customHeight="1">
      <c r="B602" s="417" t="str">
        <f>IF(A602&lt;&gt;0,COUNTA(A$19:$A602),"")</f>
        <v/>
      </c>
      <c r="C602" s="428" t="s">
        <v>1486</v>
      </c>
      <c r="D602" s="428" t="s">
        <v>1487</v>
      </c>
      <c r="E602" s="435"/>
      <c r="F602" s="435"/>
      <c r="G602" s="419"/>
      <c r="H602" s="419">
        <v>16.2</v>
      </c>
      <c r="I602" s="419"/>
      <c r="J602" s="419"/>
      <c r="K602" s="420">
        <v>1</v>
      </c>
      <c r="L602" s="420">
        <f t="shared" si="113"/>
        <v>48658</v>
      </c>
      <c r="M602" s="420">
        <f t="shared" si="114"/>
        <v>802976</v>
      </c>
      <c r="N602" s="445">
        <f>SUMPRODUCT(G602:J602,$G$12:$J$12,$G$9:$J$9)</f>
        <v>10313.730000000001</v>
      </c>
      <c r="O602" s="719"/>
      <c r="P602" s="719">
        <f t="shared" si="121"/>
        <v>1046152.77</v>
      </c>
      <c r="Q602" s="423">
        <f>SUMIF('8.Dgia'!E:E,'9.may'!E602,'8.Dgia'!P:P)</f>
        <v>0</v>
      </c>
      <c r="R602" s="429">
        <f t="shared" si="115"/>
        <v>0</v>
      </c>
      <c r="S602" s="301">
        <f t="shared" si="116"/>
        <v>14110.820000000002</v>
      </c>
      <c r="T602" s="430">
        <f t="shared" si="117"/>
        <v>827400.55</v>
      </c>
      <c r="U602" s="431">
        <v>15514</v>
      </c>
      <c r="V602" s="431">
        <v>48658</v>
      </c>
      <c r="W602" s="432">
        <v>802976</v>
      </c>
      <c r="Y602" s="433">
        <f t="shared" si="118"/>
        <v>-24424.550000000047</v>
      </c>
      <c r="Z602" s="433">
        <f t="shared" si="119"/>
        <v>0</v>
      </c>
      <c r="AC602" s="410">
        <f t="shared" si="120"/>
        <v>0</v>
      </c>
    </row>
    <row r="603" spans="2:29" s="427" customFormat="1" ht="17.25" hidden="1" customHeight="1">
      <c r="B603" s="417" t="str">
        <f>IF(A603&lt;&gt;0,COUNTA(A$19:$A603),"")</f>
        <v/>
      </c>
      <c r="C603" s="418" t="s">
        <v>1488</v>
      </c>
      <c r="D603" s="418"/>
      <c r="E603" s="435"/>
      <c r="F603" s="435"/>
      <c r="G603" s="419"/>
      <c r="H603" s="419"/>
      <c r="I603" s="419"/>
      <c r="J603" s="419"/>
      <c r="K603" s="420"/>
      <c r="L603" s="420">
        <f t="shared" si="113"/>
        <v>0</v>
      </c>
      <c r="M603" s="420">
        <f t="shared" si="114"/>
        <v>0</v>
      </c>
      <c r="N603" s="445"/>
      <c r="O603" s="719"/>
      <c r="P603" s="719">
        <f t="shared" si="121"/>
        <v>0</v>
      </c>
      <c r="Q603" s="423">
        <f>SUMIF('8.Dgia'!E:E,'9.may'!E603,'8.Dgia'!P:P)</f>
        <v>0</v>
      </c>
      <c r="R603" s="429">
        <f t="shared" si="115"/>
        <v>0</v>
      </c>
      <c r="S603" s="301">
        <f t="shared" si="116"/>
        <v>0</v>
      </c>
      <c r="T603" s="430">
        <f t="shared" si="117"/>
        <v>0</v>
      </c>
      <c r="U603" s="436"/>
      <c r="V603" s="436"/>
      <c r="W603" s="432"/>
      <c r="Y603" s="433">
        <f t="shared" si="118"/>
        <v>0</v>
      </c>
      <c r="Z603" s="433">
        <f t="shared" si="119"/>
        <v>0</v>
      </c>
      <c r="AC603" s="410">
        <f t="shared" si="120"/>
        <v>0</v>
      </c>
    </row>
    <row r="604" spans="2:29" s="427" customFormat="1" ht="17.25" hidden="1" customHeight="1">
      <c r="B604" s="417" t="str">
        <f>IF(A604&lt;&gt;0,COUNTA(A$19:$A604),"")</f>
        <v/>
      </c>
      <c r="C604" s="428" t="s">
        <v>1489</v>
      </c>
      <c r="D604" s="428" t="s">
        <v>1490</v>
      </c>
      <c r="E604" s="435"/>
      <c r="F604" s="435"/>
      <c r="G604" s="419"/>
      <c r="H604" s="419">
        <v>144</v>
      </c>
      <c r="I604" s="419"/>
      <c r="J604" s="419"/>
      <c r="K604" s="420">
        <v>1</v>
      </c>
      <c r="L604" s="420">
        <f t="shared" si="113"/>
        <v>132404</v>
      </c>
      <c r="M604" s="420">
        <f t="shared" si="114"/>
        <v>504120</v>
      </c>
      <c r="N604" s="445">
        <f>SUMPRODUCT(G604:J604,$G$12:$J$12,$G$9:$J$9)</f>
        <v>91677.6</v>
      </c>
      <c r="O604" s="719"/>
      <c r="P604" s="719">
        <f t="shared" si="121"/>
        <v>741992.4</v>
      </c>
      <c r="Q604" s="423">
        <f>SUMIF('8.Dgia'!E:E,'9.may'!E604,'8.Dgia'!P:P)</f>
        <v>0</v>
      </c>
      <c r="R604" s="429">
        <f t="shared" si="115"/>
        <v>0</v>
      </c>
      <c r="S604" s="301">
        <f t="shared" si="116"/>
        <v>38397.160000000003</v>
      </c>
      <c r="T604" s="430">
        <f t="shared" si="117"/>
        <v>634194.76</v>
      </c>
      <c r="U604" s="431">
        <v>137902</v>
      </c>
      <c r="V604" s="431">
        <v>132404</v>
      </c>
      <c r="W604" s="432">
        <v>504120</v>
      </c>
      <c r="Y604" s="433">
        <f t="shared" si="118"/>
        <v>-130074.76000000001</v>
      </c>
      <c r="Z604" s="433">
        <f t="shared" si="119"/>
        <v>0</v>
      </c>
      <c r="AC604" s="410">
        <f t="shared" si="120"/>
        <v>0</v>
      </c>
    </row>
    <row r="605" spans="2:29" s="427" customFormat="1" ht="17.25" hidden="1" customHeight="1">
      <c r="B605" s="417" t="str">
        <f>IF(A605&lt;&gt;0,COUNTA(A$19:$A605),"")</f>
        <v/>
      </c>
      <c r="C605" s="418" t="s">
        <v>1491</v>
      </c>
      <c r="D605" s="418"/>
      <c r="E605" s="435"/>
      <c r="F605" s="435"/>
      <c r="G605" s="419"/>
      <c r="H605" s="419"/>
      <c r="I605" s="419"/>
      <c r="J605" s="419"/>
      <c r="K605" s="420"/>
      <c r="L605" s="420">
        <f t="shared" si="113"/>
        <v>0</v>
      </c>
      <c r="M605" s="420">
        <f t="shared" si="114"/>
        <v>0</v>
      </c>
      <c r="N605" s="445"/>
      <c r="O605" s="719"/>
      <c r="P605" s="719">
        <f t="shared" si="121"/>
        <v>0</v>
      </c>
      <c r="Q605" s="423">
        <f>SUMIF('8.Dgia'!E:E,'9.may'!E605,'8.Dgia'!P:P)</f>
        <v>0</v>
      </c>
      <c r="R605" s="429">
        <f t="shared" si="115"/>
        <v>0</v>
      </c>
      <c r="S605" s="301">
        <f t="shared" si="116"/>
        <v>0</v>
      </c>
      <c r="T605" s="430">
        <f t="shared" si="117"/>
        <v>0</v>
      </c>
      <c r="U605" s="436"/>
      <c r="V605" s="436"/>
      <c r="W605" s="432"/>
      <c r="Y605" s="433">
        <f t="shared" si="118"/>
        <v>0</v>
      </c>
      <c r="Z605" s="433">
        <f t="shared" si="119"/>
        <v>0</v>
      </c>
      <c r="AC605" s="410">
        <f t="shared" si="120"/>
        <v>0</v>
      </c>
    </row>
    <row r="606" spans="2:29" s="427" customFormat="1" ht="17.25" hidden="1" customHeight="1">
      <c r="B606" s="417" t="str">
        <f>IF(A606&lt;&gt;0,COUNTA(A$19:$A606),"")</f>
        <v/>
      </c>
      <c r="C606" s="428" t="s">
        <v>1492</v>
      </c>
      <c r="D606" s="428" t="s">
        <v>1493</v>
      </c>
      <c r="E606" s="435"/>
      <c r="F606" s="435"/>
      <c r="G606" s="419">
        <v>19.440000000000001</v>
      </c>
      <c r="H606" s="419"/>
      <c r="I606" s="419"/>
      <c r="J606" s="419"/>
      <c r="K606" s="420">
        <v>1</v>
      </c>
      <c r="L606" s="420">
        <f t="shared" si="113"/>
        <v>132404</v>
      </c>
      <c r="M606" s="420">
        <f t="shared" si="114"/>
        <v>652604</v>
      </c>
      <c r="N606" s="445">
        <f>SUMPRODUCT(G606:J606,$G$12:$J$12,$G$9:$J$9)</f>
        <v>315833.02036363637</v>
      </c>
      <c r="O606" s="719"/>
      <c r="P606" s="719">
        <f t="shared" si="121"/>
        <v>1157692.1803636365</v>
      </c>
      <c r="Q606" s="423">
        <f>SUMIF('8.Dgia'!E:E,'9.may'!E606,'8.Dgia'!P:P)</f>
        <v>0</v>
      </c>
      <c r="R606" s="429">
        <f t="shared" si="115"/>
        <v>0</v>
      </c>
      <c r="S606" s="301">
        <f t="shared" si="116"/>
        <v>38397.160000000003</v>
      </c>
      <c r="T606" s="430">
        <f t="shared" si="117"/>
        <v>1006834.1803636363</v>
      </c>
      <c r="U606" s="431">
        <v>139169</v>
      </c>
      <c r="V606" s="431">
        <v>132404</v>
      </c>
      <c r="W606" s="432">
        <v>652604</v>
      </c>
      <c r="Y606" s="433">
        <f t="shared" si="118"/>
        <v>-354230.18036363635</v>
      </c>
      <c r="Z606" s="433">
        <f t="shared" si="119"/>
        <v>0</v>
      </c>
      <c r="AC606" s="410">
        <f t="shared" si="120"/>
        <v>0</v>
      </c>
    </row>
    <row r="607" spans="2:29" s="427" customFormat="1" ht="17.25" hidden="1" customHeight="1">
      <c r="B607" s="417" t="str">
        <f>IF(A607&lt;&gt;0,COUNTA(A$19:$A607),"")</f>
        <v/>
      </c>
      <c r="C607" s="428" t="s">
        <v>1494</v>
      </c>
      <c r="D607" s="428" t="s">
        <v>1495</v>
      </c>
      <c r="E607" s="435"/>
      <c r="F607" s="435"/>
      <c r="G607" s="419">
        <v>97.2</v>
      </c>
      <c r="H607" s="419"/>
      <c r="I607" s="419"/>
      <c r="J607" s="419"/>
      <c r="K607" s="420">
        <v>1</v>
      </c>
      <c r="L607" s="420">
        <f t="shared" si="113"/>
        <v>198532</v>
      </c>
      <c r="M607" s="420">
        <f t="shared" si="114"/>
        <v>2945411</v>
      </c>
      <c r="N607" s="445">
        <f>SUMPRODUCT(G607:J607,$G$12:$J$12,$G$9:$J$9)</f>
        <v>1579165.1018181816</v>
      </c>
      <c r="O607" s="719"/>
      <c r="P607" s="719">
        <f t="shared" si="121"/>
        <v>5378745.2918181811</v>
      </c>
      <c r="Q607" s="423">
        <f>SUMIF('8.Dgia'!E:E,'9.may'!E607,'8.Dgia'!P:P)</f>
        <v>0</v>
      </c>
      <c r="R607" s="429">
        <f t="shared" si="115"/>
        <v>0</v>
      </c>
      <c r="S607" s="301">
        <f t="shared" si="116"/>
        <v>57574.280000000006</v>
      </c>
      <c r="T607" s="430">
        <f t="shared" si="117"/>
        <v>4582150.3818181818</v>
      </c>
      <c r="U607" s="431">
        <v>695845</v>
      </c>
      <c r="V607" s="431">
        <v>198532</v>
      </c>
      <c r="W607" s="432">
        <v>2945411</v>
      </c>
      <c r="Y607" s="433">
        <f t="shared" si="118"/>
        <v>-1636739.3818181818</v>
      </c>
      <c r="Z607" s="433">
        <f t="shared" si="119"/>
        <v>0</v>
      </c>
      <c r="AC607" s="410">
        <f t="shared" si="120"/>
        <v>0</v>
      </c>
    </row>
    <row r="608" spans="2:29" s="427" customFormat="1" ht="17.25" hidden="1" customHeight="1">
      <c r="B608" s="417" t="str">
        <f>IF(A608&lt;&gt;0,COUNTA(A$19:$A608),"")</f>
        <v/>
      </c>
      <c r="C608" s="418" t="s">
        <v>1496</v>
      </c>
      <c r="D608" s="418"/>
      <c r="E608" s="435"/>
      <c r="F608" s="435"/>
      <c r="G608" s="419"/>
      <c r="H608" s="419"/>
      <c r="I608" s="419"/>
      <c r="J608" s="419"/>
      <c r="K608" s="420"/>
      <c r="L608" s="420">
        <f t="shared" si="113"/>
        <v>0</v>
      </c>
      <c r="M608" s="420">
        <f t="shared" si="114"/>
        <v>0</v>
      </c>
      <c r="N608" s="445"/>
      <c r="O608" s="719"/>
      <c r="P608" s="719">
        <f t="shared" si="121"/>
        <v>0</v>
      </c>
      <c r="Q608" s="423">
        <f>SUMIF('8.Dgia'!E:E,'9.may'!E608,'8.Dgia'!P:P)</f>
        <v>0</v>
      </c>
      <c r="R608" s="429">
        <f t="shared" si="115"/>
        <v>0</v>
      </c>
      <c r="S608" s="301">
        <f t="shared" si="116"/>
        <v>0</v>
      </c>
      <c r="T608" s="430">
        <f t="shared" si="117"/>
        <v>0</v>
      </c>
      <c r="U608" s="436"/>
      <c r="V608" s="436"/>
      <c r="W608" s="432"/>
      <c r="Y608" s="433">
        <f t="shared" si="118"/>
        <v>0</v>
      </c>
      <c r="Z608" s="433">
        <f t="shared" si="119"/>
        <v>0</v>
      </c>
      <c r="AC608" s="410">
        <f t="shared" si="120"/>
        <v>0</v>
      </c>
    </row>
    <row r="609" spans="1:29" s="427" customFormat="1" ht="17.25" hidden="1" customHeight="1">
      <c r="B609" s="417" t="str">
        <f>IF(A609&lt;&gt;0,COUNTA(A$19:$A609),"")</f>
        <v/>
      </c>
      <c r="C609" s="428" t="s">
        <v>1497</v>
      </c>
      <c r="D609" s="428"/>
      <c r="E609" s="435"/>
      <c r="F609" s="435"/>
      <c r="G609" s="419">
        <v>45</v>
      </c>
      <c r="H609" s="419"/>
      <c r="I609" s="419"/>
      <c r="J609" s="419"/>
      <c r="K609" s="420">
        <v>1</v>
      </c>
      <c r="L609" s="420">
        <f t="shared" si="113"/>
        <v>147331</v>
      </c>
      <c r="M609" s="420">
        <f t="shared" si="114"/>
        <v>911211</v>
      </c>
      <c r="N609" s="445">
        <f>SUMPRODUCT(G609:J609,$G$12:$J$12,$G$9:$J$9)</f>
        <v>731094.95454545447</v>
      </c>
      <c r="O609" s="719"/>
      <c r="P609" s="719">
        <f t="shared" si="121"/>
        <v>1906557.1445454545</v>
      </c>
      <c r="Q609" s="423">
        <f>SUMIF('8.Dgia'!E:E,'9.may'!E609,'8.Dgia'!P:P)</f>
        <v>0</v>
      </c>
      <c r="R609" s="429">
        <f t="shared" si="115"/>
        <v>0</v>
      </c>
      <c r="S609" s="301">
        <f t="shared" si="116"/>
        <v>42725.990000000005</v>
      </c>
      <c r="T609" s="430">
        <f t="shared" si="117"/>
        <v>1685031.9445454543</v>
      </c>
      <c r="U609" s="431">
        <v>322151</v>
      </c>
      <c r="V609" s="431">
        <v>147331</v>
      </c>
      <c r="W609" s="432">
        <v>911211</v>
      </c>
      <c r="Y609" s="433">
        <f t="shared" si="118"/>
        <v>-773820.94454545435</v>
      </c>
      <c r="Z609" s="433">
        <f t="shared" si="119"/>
        <v>0</v>
      </c>
      <c r="AC609" s="410">
        <f t="shared" si="120"/>
        <v>0</v>
      </c>
    </row>
    <row r="610" spans="1:29" s="427" customFormat="1" ht="17.25" hidden="1" customHeight="1">
      <c r="B610" s="417" t="str">
        <f>IF(A610&lt;&gt;0,COUNTA(A$19:$A610),"")</f>
        <v/>
      </c>
      <c r="C610" s="428" t="s">
        <v>1498</v>
      </c>
      <c r="D610" s="428"/>
      <c r="E610" s="435"/>
      <c r="F610" s="435"/>
      <c r="G610" s="419">
        <v>56.4</v>
      </c>
      <c r="H610" s="419"/>
      <c r="I610" s="419"/>
      <c r="J610" s="419"/>
      <c r="K610" s="420">
        <v>1</v>
      </c>
      <c r="L610" s="420">
        <f t="shared" si="113"/>
        <v>147331</v>
      </c>
      <c r="M610" s="420">
        <f t="shared" si="114"/>
        <v>1118988</v>
      </c>
      <c r="N610" s="445">
        <f>SUMPRODUCT(G610:J610,$G$12:$J$12,$G$9:$J$9)</f>
        <v>916305.67636363616</v>
      </c>
      <c r="O610" s="719"/>
      <c r="P610" s="719">
        <f t="shared" si="121"/>
        <v>2359800.1963636363</v>
      </c>
      <c r="Q610" s="423">
        <f>SUMIF('8.Dgia'!E:E,'9.may'!E610,'8.Dgia'!P:P)</f>
        <v>0</v>
      </c>
      <c r="R610" s="429">
        <f t="shared" si="115"/>
        <v>0</v>
      </c>
      <c r="S610" s="301">
        <f t="shared" si="116"/>
        <v>42725.990000000005</v>
      </c>
      <c r="T610" s="430">
        <f t="shared" si="117"/>
        <v>2078019.666363636</v>
      </c>
      <c r="U610" s="431">
        <v>403762</v>
      </c>
      <c r="V610" s="431">
        <v>147331</v>
      </c>
      <c r="W610" s="432">
        <v>1118988</v>
      </c>
      <c r="Y610" s="433">
        <f t="shared" si="118"/>
        <v>-959031.66636363603</v>
      </c>
      <c r="Z610" s="433">
        <f t="shared" si="119"/>
        <v>0</v>
      </c>
      <c r="AC610" s="410">
        <f t="shared" si="120"/>
        <v>0</v>
      </c>
    </row>
    <row r="611" spans="1:29" s="427" customFormat="1" ht="18.75" customHeight="1">
      <c r="A611" s="410">
        <v>1</v>
      </c>
      <c r="B611" s="417">
        <f>IF(A611&lt;&gt;0,COUNTA(A$19:$A611),"")</f>
        <v>141</v>
      </c>
      <c r="C611" s="428" t="s">
        <v>1499</v>
      </c>
      <c r="D611" s="428" t="s">
        <v>1500</v>
      </c>
      <c r="E611" s="435" t="s">
        <v>1501</v>
      </c>
      <c r="F611" s="435" t="s">
        <v>4788</v>
      </c>
      <c r="G611" s="419">
        <v>58.5</v>
      </c>
      <c r="H611" s="419"/>
      <c r="I611" s="419"/>
      <c r="J611" s="419"/>
      <c r="K611" s="420">
        <v>1</v>
      </c>
      <c r="L611" s="420">
        <f t="shared" si="113"/>
        <v>156659</v>
      </c>
      <c r="M611" s="420">
        <f t="shared" si="114"/>
        <v>1351463</v>
      </c>
      <c r="N611" s="445">
        <f>SUMPRODUCT(G611:J611,$G$12:$J$12,$G$9:$J$9)</f>
        <v>950423.4409090908</v>
      </c>
      <c r="O611" s="719"/>
      <c r="P611" s="719">
        <f t="shared" si="121"/>
        <v>2693810.7109090909</v>
      </c>
      <c r="Q611" s="423" t="e">
        <f>SUMIF('8.Dgia'!E:E,'9.may'!E611,'8.Dgia'!P:P)</f>
        <v>#REF!</v>
      </c>
      <c r="R611" s="429" t="e">
        <f t="shared" si="115"/>
        <v>#REF!</v>
      </c>
      <c r="S611" s="301">
        <f t="shared" si="116"/>
        <v>45431.110000000008</v>
      </c>
      <c r="T611" s="430">
        <f t="shared" si="117"/>
        <v>2347317.5509090908</v>
      </c>
      <c r="U611" s="2053">
        <v>418796</v>
      </c>
      <c r="V611" s="2053">
        <v>156659</v>
      </c>
      <c r="W611" s="2054">
        <v>1351463</v>
      </c>
      <c r="Y611" s="433">
        <f t="shared" si="118"/>
        <v>-995854.55090909079</v>
      </c>
      <c r="Z611" s="433">
        <f t="shared" si="119"/>
        <v>0</v>
      </c>
      <c r="AC611" s="410" t="e">
        <f t="shared" si="120"/>
        <v>#REF!</v>
      </c>
    </row>
    <row r="612" spans="1:29" s="427" customFormat="1" ht="17.25" hidden="1" customHeight="1">
      <c r="B612" s="417" t="str">
        <f>IF(A612&lt;&gt;0,COUNTA(A$19:$A612),"")</f>
        <v/>
      </c>
      <c r="C612" s="428" t="s">
        <v>917</v>
      </c>
      <c r="D612" s="428"/>
      <c r="E612" s="435"/>
      <c r="F612" s="435"/>
      <c r="G612" s="419">
        <v>61.5</v>
      </c>
      <c r="H612" s="419"/>
      <c r="I612" s="419"/>
      <c r="J612" s="419"/>
      <c r="K612" s="420">
        <v>1</v>
      </c>
      <c r="L612" s="420">
        <f t="shared" si="113"/>
        <v>198532</v>
      </c>
      <c r="M612" s="420">
        <f t="shared" si="114"/>
        <v>2194597</v>
      </c>
      <c r="N612" s="445">
        <f>SUMPRODUCT(G612:J612,$G$12:$J$12,$G$9:$J$9)</f>
        <v>999163.10454545438</v>
      </c>
      <c r="O612" s="719"/>
      <c r="P612" s="719">
        <f t="shared" si="121"/>
        <v>3830193.2345454544</v>
      </c>
      <c r="Q612" s="423">
        <f>SUMIF('8.Dgia'!E:E,'9.may'!E612,'8.Dgia'!P:P)</f>
        <v>0</v>
      </c>
      <c r="R612" s="429">
        <f t="shared" si="115"/>
        <v>0</v>
      </c>
      <c r="S612" s="301">
        <f t="shared" si="116"/>
        <v>57574.280000000006</v>
      </c>
      <c r="T612" s="430">
        <f t="shared" si="117"/>
        <v>3251334.3845454543</v>
      </c>
      <c r="U612" s="431">
        <v>440272</v>
      </c>
      <c r="V612" s="431">
        <v>198532</v>
      </c>
      <c r="W612" s="432">
        <v>2194597</v>
      </c>
      <c r="Y612" s="433">
        <f t="shared" si="118"/>
        <v>-1056737.3845454543</v>
      </c>
      <c r="Z612" s="433">
        <f t="shared" si="119"/>
        <v>0</v>
      </c>
      <c r="AC612" s="410">
        <f t="shared" si="120"/>
        <v>0</v>
      </c>
    </row>
    <row r="613" spans="1:29" s="427" customFormat="1" ht="17.25" hidden="1" customHeight="1">
      <c r="B613" s="417" t="str">
        <f>IF(A613&lt;&gt;0,COUNTA(A$19:$A613),"")</f>
        <v/>
      </c>
      <c r="C613" s="428" t="s">
        <v>1502</v>
      </c>
      <c r="D613" s="428"/>
      <c r="E613" s="435"/>
      <c r="F613" s="435"/>
      <c r="G613" s="419">
        <v>64.5</v>
      </c>
      <c r="H613" s="419"/>
      <c r="I613" s="419"/>
      <c r="J613" s="419"/>
      <c r="K613" s="420">
        <v>1</v>
      </c>
      <c r="L613" s="420">
        <f t="shared" si="113"/>
        <v>206674</v>
      </c>
      <c r="M613" s="420">
        <f t="shared" si="114"/>
        <v>2557797</v>
      </c>
      <c r="N613" s="445">
        <f>SUMPRODUCT(G613:J613,$G$12:$J$12,$G$9:$J$9)</f>
        <v>1047902.7681818181</v>
      </c>
      <c r="O613" s="719"/>
      <c r="P613" s="719">
        <f t="shared" si="121"/>
        <v>4347460.8981818184</v>
      </c>
      <c r="Q613" s="423">
        <f>SUMIF('8.Dgia'!E:E,'9.may'!E613,'8.Dgia'!P:P)</f>
        <v>0</v>
      </c>
      <c r="R613" s="429">
        <f t="shared" si="115"/>
        <v>0</v>
      </c>
      <c r="S613" s="301">
        <f t="shared" si="116"/>
        <v>59935.460000000006</v>
      </c>
      <c r="T613" s="430">
        <f t="shared" si="117"/>
        <v>3665635.228181818</v>
      </c>
      <c r="U613" s="431">
        <v>461749</v>
      </c>
      <c r="V613" s="431">
        <v>206674</v>
      </c>
      <c r="W613" s="432">
        <v>2557797</v>
      </c>
      <c r="Y613" s="433">
        <f t="shared" si="118"/>
        <v>-1107838.228181818</v>
      </c>
      <c r="Z613" s="433">
        <f t="shared" si="119"/>
        <v>0</v>
      </c>
      <c r="AC613" s="410">
        <f t="shared" si="120"/>
        <v>0</v>
      </c>
    </row>
    <row r="614" spans="1:29" s="427" customFormat="1" ht="17.25" hidden="1" customHeight="1">
      <c r="B614" s="417" t="str">
        <f>IF(A614&lt;&gt;0,COUNTA(A$19:$A614),"")</f>
        <v/>
      </c>
      <c r="C614" s="418" t="s">
        <v>1503</v>
      </c>
      <c r="D614" s="418"/>
      <c r="E614" s="435"/>
      <c r="F614" s="435"/>
      <c r="G614" s="419"/>
      <c r="H614" s="419"/>
      <c r="I614" s="419"/>
      <c r="J614" s="419"/>
      <c r="K614" s="437"/>
      <c r="L614" s="420">
        <f t="shared" si="113"/>
        <v>0</v>
      </c>
      <c r="M614" s="420">
        <f t="shared" si="114"/>
        <v>0</v>
      </c>
      <c r="N614" s="445"/>
      <c r="O614" s="719"/>
      <c r="P614" s="719">
        <f t="shared" si="121"/>
        <v>0</v>
      </c>
      <c r="Q614" s="423">
        <f>SUMIF('8.Dgia'!E:E,'9.may'!E614,'8.Dgia'!P:P)</f>
        <v>0</v>
      </c>
      <c r="R614" s="429">
        <f t="shared" si="115"/>
        <v>0</v>
      </c>
      <c r="S614" s="301">
        <f t="shared" si="116"/>
        <v>0</v>
      </c>
      <c r="T614" s="430">
        <f t="shared" si="117"/>
        <v>0</v>
      </c>
      <c r="U614" s="436"/>
      <c r="V614" s="436"/>
      <c r="W614" s="432"/>
      <c r="Y614" s="433">
        <f t="shared" si="118"/>
        <v>0</v>
      </c>
      <c r="Z614" s="433">
        <f t="shared" si="119"/>
        <v>0</v>
      </c>
      <c r="AC614" s="410">
        <f t="shared" si="120"/>
        <v>0</v>
      </c>
    </row>
    <row r="615" spans="1:29" s="427" customFormat="1" ht="17.25" customHeight="1">
      <c r="A615" s="410">
        <v>1</v>
      </c>
      <c r="B615" s="417">
        <f>IF(A615&lt;&gt;0,COUNTA(A$19:$A615),"")</f>
        <v>142</v>
      </c>
      <c r="C615" s="428" t="s">
        <v>1504</v>
      </c>
      <c r="D615" s="428" t="s">
        <v>1505</v>
      </c>
      <c r="E615" s="435" t="s">
        <v>270</v>
      </c>
      <c r="F615" s="435" t="s">
        <v>4789</v>
      </c>
      <c r="G615" s="419">
        <v>24</v>
      </c>
      <c r="H615" s="419">
        <v>14.12</v>
      </c>
      <c r="I615" s="419"/>
      <c r="J615" s="419"/>
      <c r="K615" s="420">
        <v>1</v>
      </c>
      <c r="L615" s="420">
        <f t="shared" si="113"/>
        <v>147331</v>
      </c>
      <c r="M615" s="420">
        <f t="shared" si="114"/>
        <v>817088</v>
      </c>
      <c r="N615" s="445">
        <f t="shared" ref="N615:N621" si="122">SUMPRODUCT(G615:J615,$G$12:$J$12,$G$9:$J$9)</f>
        <v>398906.80709090905</v>
      </c>
      <c r="O615" s="719"/>
      <c r="P615" s="719">
        <f t="shared" si="121"/>
        <v>1452950.327090909</v>
      </c>
      <c r="Q615" s="423" t="e">
        <f>SUMIF('8.Dgia'!E:E,'9.may'!E615,'8.Dgia'!P:P)</f>
        <v>#REF!</v>
      </c>
      <c r="R615" s="429" t="e">
        <f t="shared" si="115"/>
        <v>#REF!</v>
      </c>
      <c r="S615" s="301">
        <f t="shared" si="116"/>
        <v>42725.990000000005</v>
      </c>
      <c r="T615" s="430">
        <f t="shared" si="117"/>
        <v>1258720.797090909</v>
      </c>
      <c r="U615" s="2053">
        <v>185336</v>
      </c>
      <c r="V615" s="2053">
        <v>147331</v>
      </c>
      <c r="W615" s="2054">
        <v>817088</v>
      </c>
      <c r="Y615" s="433">
        <f t="shared" si="118"/>
        <v>-441632.79709090898</v>
      </c>
      <c r="Z615" s="433">
        <f t="shared" si="119"/>
        <v>0</v>
      </c>
      <c r="AC615" s="410" t="e">
        <f t="shared" si="120"/>
        <v>#REF!</v>
      </c>
    </row>
    <row r="616" spans="1:29" s="427" customFormat="1" ht="17.25" customHeight="1">
      <c r="A616" s="410">
        <v>1</v>
      </c>
      <c r="B616" s="417">
        <f>IF(A616&lt;&gt;0,COUNTA(A$19:$A616),"")</f>
        <v>143</v>
      </c>
      <c r="C616" s="428" t="s">
        <v>1506</v>
      </c>
      <c r="D616" s="428" t="s">
        <v>1507</v>
      </c>
      <c r="E616" s="435" t="s">
        <v>271</v>
      </c>
      <c r="F616" s="435" t="s">
        <v>4790</v>
      </c>
      <c r="G616" s="419">
        <v>30</v>
      </c>
      <c r="H616" s="419">
        <v>14.12</v>
      </c>
      <c r="I616" s="419"/>
      <c r="J616" s="419"/>
      <c r="K616" s="420">
        <v>1</v>
      </c>
      <c r="L616" s="420">
        <f t="shared" si="113"/>
        <v>147331</v>
      </c>
      <c r="M616" s="420">
        <f t="shared" si="114"/>
        <v>1070798</v>
      </c>
      <c r="N616" s="445">
        <f t="shared" si="122"/>
        <v>496386.13436363632</v>
      </c>
      <c r="O616" s="719"/>
      <c r="P616" s="719">
        <f t="shared" si="121"/>
        <v>1877715.5543636363</v>
      </c>
      <c r="Q616" s="423">
        <f>SUMIF('8.Dgia'!E:E,'9.may'!E616,'8.Dgia'!P:P)</f>
        <v>0</v>
      </c>
      <c r="R616" s="429">
        <f t="shared" si="115"/>
        <v>0</v>
      </c>
      <c r="S616" s="301">
        <f t="shared" si="116"/>
        <v>42725.990000000005</v>
      </c>
      <c r="T616" s="430">
        <f t="shared" si="117"/>
        <v>1609910.1243636364</v>
      </c>
      <c r="U616" s="2053">
        <v>228289</v>
      </c>
      <c r="V616" s="2053">
        <v>147331</v>
      </c>
      <c r="W616" s="2054">
        <v>1070798</v>
      </c>
      <c r="Y616" s="433">
        <f t="shared" si="118"/>
        <v>-539112.12436363637</v>
      </c>
      <c r="Z616" s="433">
        <f t="shared" si="119"/>
        <v>0</v>
      </c>
      <c r="AC616" s="410">
        <f t="shared" si="120"/>
        <v>0</v>
      </c>
    </row>
    <row r="617" spans="1:29" s="427" customFormat="1" ht="17.25" hidden="1" customHeight="1">
      <c r="B617" s="417" t="str">
        <f>IF(A617&lt;&gt;0,COUNTA(A$19:$A617),"")</f>
        <v/>
      </c>
      <c r="C617" s="428" t="s">
        <v>1508</v>
      </c>
      <c r="D617" s="428"/>
      <c r="E617" s="435"/>
      <c r="F617" s="435"/>
      <c r="G617" s="419">
        <v>33</v>
      </c>
      <c r="H617" s="419">
        <v>14.12</v>
      </c>
      <c r="I617" s="419"/>
      <c r="J617" s="419"/>
      <c r="K617" s="420">
        <v>1</v>
      </c>
      <c r="L617" s="420">
        <f t="shared" si="113"/>
        <v>147331</v>
      </c>
      <c r="M617" s="420">
        <f t="shared" si="114"/>
        <v>1284160</v>
      </c>
      <c r="N617" s="445">
        <f t="shared" si="122"/>
        <v>545125.79799999995</v>
      </c>
      <c r="O617" s="719"/>
      <c r="P617" s="719">
        <f t="shared" si="121"/>
        <v>2201692.1979999999</v>
      </c>
      <c r="Q617" s="423">
        <f>SUMIF('8.Dgia'!E:E,'9.may'!E617,'8.Dgia'!P:P)</f>
        <v>0</v>
      </c>
      <c r="R617" s="429">
        <f t="shared" si="115"/>
        <v>0</v>
      </c>
      <c r="S617" s="301">
        <f t="shared" si="116"/>
        <v>42725.990000000005</v>
      </c>
      <c r="T617" s="430">
        <f t="shared" si="117"/>
        <v>1872011.7879999999</v>
      </c>
      <c r="U617" s="431">
        <v>249766</v>
      </c>
      <c r="V617" s="431">
        <v>147331</v>
      </c>
      <c r="W617" s="432">
        <v>1284160</v>
      </c>
      <c r="Y617" s="433">
        <f t="shared" si="118"/>
        <v>-587851.78799999994</v>
      </c>
      <c r="Z617" s="433">
        <f t="shared" si="119"/>
        <v>0</v>
      </c>
      <c r="AC617" s="410">
        <f t="shared" si="120"/>
        <v>0</v>
      </c>
    </row>
    <row r="618" spans="1:29" s="427" customFormat="1" ht="17.25" customHeight="1">
      <c r="A618" s="410">
        <v>1</v>
      </c>
      <c r="B618" s="417">
        <f>IF(A618&lt;&gt;0,COUNTA(A$19:$A618),"")</f>
        <v>144</v>
      </c>
      <c r="C618" s="428" t="s">
        <v>1106</v>
      </c>
      <c r="D618" s="428" t="s">
        <v>1509</v>
      </c>
      <c r="E618" s="435" t="s">
        <v>272</v>
      </c>
      <c r="F618" s="435" t="s">
        <v>4791</v>
      </c>
      <c r="G618" s="419">
        <v>36</v>
      </c>
      <c r="H618" s="419">
        <v>25.42</v>
      </c>
      <c r="I618" s="419"/>
      <c r="J618" s="419"/>
      <c r="K618" s="420">
        <v>1</v>
      </c>
      <c r="L618" s="420">
        <f t="shared" si="113"/>
        <v>198532</v>
      </c>
      <c r="M618" s="420">
        <f t="shared" si="114"/>
        <v>1364006</v>
      </c>
      <c r="N618" s="445">
        <f t="shared" si="122"/>
        <v>601059.60663636355</v>
      </c>
      <c r="O618" s="719"/>
      <c r="P618" s="719">
        <f t="shared" si="121"/>
        <v>2360627.3466363633</v>
      </c>
      <c r="Q618" s="423" t="e">
        <f>SUMIF('8.Dgia'!E:E,'9.may'!E618,'8.Dgia'!P:P)</f>
        <v>#REF!</v>
      </c>
      <c r="R618" s="429" t="e">
        <f t="shared" si="115"/>
        <v>#REF!</v>
      </c>
      <c r="S618" s="301">
        <f t="shared" si="116"/>
        <v>57574.280000000006</v>
      </c>
      <c r="T618" s="430">
        <f t="shared" si="117"/>
        <v>2022639.8866363636</v>
      </c>
      <c r="U618" s="2053">
        <v>282064</v>
      </c>
      <c r="V618" s="2053">
        <v>198532</v>
      </c>
      <c r="W618" s="2054">
        <v>1364006</v>
      </c>
      <c r="Y618" s="433">
        <f t="shared" si="118"/>
        <v>-658633.88663636358</v>
      </c>
      <c r="Z618" s="433">
        <f t="shared" si="119"/>
        <v>0</v>
      </c>
      <c r="AC618" s="410" t="e">
        <f t="shared" si="120"/>
        <v>#REF!</v>
      </c>
    </row>
    <row r="619" spans="1:29" s="427" customFormat="1" ht="17.25" customHeight="1">
      <c r="A619" s="410">
        <v>1</v>
      </c>
      <c r="B619" s="417">
        <f>IF(A619&lt;&gt;0,COUNTA(A$19:$A619),"")</f>
        <v>145</v>
      </c>
      <c r="C619" s="428" t="s">
        <v>1128</v>
      </c>
      <c r="D619" s="428" t="s">
        <v>1510</v>
      </c>
      <c r="E619" s="435" t="s">
        <v>1511</v>
      </c>
      <c r="F619" s="435" t="s">
        <v>4792</v>
      </c>
      <c r="G619" s="419">
        <v>48</v>
      </c>
      <c r="H619" s="419">
        <v>25.42</v>
      </c>
      <c r="I619" s="419"/>
      <c r="J619" s="419"/>
      <c r="K619" s="420">
        <v>1</v>
      </c>
      <c r="L619" s="420">
        <f t="shared" si="113"/>
        <v>198532</v>
      </c>
      <c r="M619" s="420">
        <f t="shared" si="114"/>
        <v>1547388</v>
      </c>
      <c r="N619" s="445">
        <f t="shared" si="122"/>
        <v>796018.26118181809</v>
      </c>
      <c r="O619" s="719"/>
      <c r="P619" s="719">
        <f t="shared" si="121"/>
        <v>2792148.7811818179</v>
      </c>
      <c r="Q619" s="423">
        <f>SUMIF('8.Dgia'!E:E,'9.may'!E619,'8.Dgia'!P:P)</f>
        <v>0</v>
      </c>
      <c r="R619" s="429">
        <f t="shared" si="115"/>
        <v>0</v>
      </c>
      <c r="S619" s="301">
        <f t="shared" si="116"/>
        <v>57574.280000000006</v>
      </c>
      <c r="T619" s="430">
        <f t="shared" si="117"/>
        <v>2400980.5411818181</v>
      </c>
      <c r="U619" s="2053">
        <v>367971</v>
      </c>
      <c r="V619" s="2053">
        <v>198532</v>
      </c>
      <c r="W619" s="2054">
        <v>1547388</v>
      </c>
      <c r="Y619" s="433">
        <f t="shared" si="118"/>
        <v>-853592.54118181812</v>
      </c>
      <c r="Z619" s="433">
        <f t="shared" si="119"/>
        <v>0</v>
      </c>
      <c r="AC619" s="410">
        <f t="shared" si="120"/>
        <v>0</v>
      </c>
    </row>
    <row r="620" spans="1:29" s="427" customFormat="1" ht="17.25" hidden="1" customHeight="1">
      <c r="B620" s="417" t="str">
        <f>IF(A620&lt;&gt;0,COUNTA(A$19:$A620),"")</f>
        <v/>
      </c>
      <c r="C620" s="428" t="s">
        <v>1512</v>
      </c>
      <c r="D620" s="428"/>
      <c r="E620" s="435"/>
      <c r="F620" s="435" t="s">
        <v>4793</v>
      </c>
      <c r="G620" s="419">
        <v>63</v>
      </c>
      <c r="H620" s="419">
        <v>33.75</v>
      </c>
      <c r="I620" s="419"/>
      <c r="J620" s="419"/>
      <c r="K620" s="420">
        <v>1</v>
      </c>
      <c r="L620" s="420">
        <f t="shared" si="113"/>
        <v>206674</v>
      </c>
      <c r="M620" s="420">
        <f t="shared" si="114"/>
        <v>1879298</v>
      </c>
      <c r="N620" s="445">
        <f t="shared" si="122"/>
        <v>1045019.8738636363</v>
      </c>
      <c r="O620" s="719"/>
      <c r="P620" s="719">
        <f t="shared" si="121"/>
        <v>3469314.2938636364</v>
      </c>
      <c r="Q620" s="423">
        <f>SUMIF('8.Dgia'!E:E,'9.may'!E620,'8.Dgia'!P:P)</f>
        <v>0</v>
      </c>
      <c r="R620" s="429">
        <f t="shared" si="115"/>
        <v>0</v>
      </c>
      <c r="S620" s="301">
        <f t="shared" si="116"/>
        <v>59935.460000000006</v>
      </c>
      <c r="T620" s="430">
        <f t="shared" si="117"/>
        <v>2984253.3338636365</v>
      </c>
      <c r="U620" s="431">
        <v>483331</v>
      </c>
      <c r="V620" s="431">
        <v>206674</v>
      </c>
      <c r="W620" s="432">
        <v>1879298</v>
      </c>
      <c r="Y620" s="433">
        <f t="shared" si="118"/>
        <v>-1104955.3338636365</v>
      </c>
      <c r="Z620" s="433">
        <f t="shared" si="119"/>
        <v>0</v>
      </c>
      <c r="AC620" s="410">
        <f t="shared" si="120"/>
        <v>0</v>
      </c>
    </row>
    <row r="621" spans="1:29" s="410" customFormat="1" ht="17.25" hidden="1" customHeight="1">
      <c r="B621" s="417" t="str">
        <f>IF(A621&lt;&gt;0,COUNTA(A$19:$A621),"")</f>
        <v/>
      </c>
      <c r="C621" s="428" t="s">
        <v>1513</v>
      </c>
      <c r="D621" s="428"/>
      <c r="E621" s="435"/>
      <c r="F621" s="435" t="s">
        <v>4794</v>
      </c>
      <c r="G621" s="419">
        <v>78</v>
      </c>
      <c r="H621" s="419">
        <v>33.75</v>
      </c>
      <c r="I621" s="419"/>
      <c r="J621" s="419"/>
      <c r="K621" s="420">
        <v>1</v>
      </c>
      <c r="L621" s="420">
        <f t="shared" si="113"/>
        <v>206674</v>
      </c>
      <c r="M621" s="420">
        <f t="shared" si="114"/>
        <v>2215764</v>
      </c>
      <c r="N621" s="445">
        <f t="shared" si="122"/>
        <v>1288718.1920454544</v>
      </c>
      <c r="O621" s="719"/>
      <c r="P621" s="719">
        <f t="shared" si="121"/>
        <v>4147053.7520454545</v>
      </c>
      <c r="Q621" s="423">
        <f>SUMIF('8.Dgia'!E:E,'9.may'!E621,'8.Dgia'!P:P)</f>
        <v>0</v>
      </c>
      <c r="R621" s="429">
        <f t="shared" si="115"/>
        <v>0</v>
      </c>
      <c r="S621" s="301">
        <f t="shared" si="116"/>
        <v>59935.460000000006</v>
      </c>
      <c r="T621" s="430">
        <f t="shared" si="117"/>
        <v>3564417.6520454544</v>
      </c>
      <c r="U621" s="431">
        <v>590715</v>
      </c>
      <c r="V621" s="431">
        <v>206674</v>
      </c>
      <c r="W621" s="432">
        <v>2215764</v>
      </c>
      <c r="Y621" s="433">
        <f t="shared" si="118"/>
        <v>-1348653.6520454544</v>
      </c>
      <c r="Z621" s="433">
        <f t="shared" si="119"/>
        <v>0</v>
      </c>
      <c r="AC621" s="410">
        <f t="shared" si="120"/>
        <v>0</v>
      </c>
    </row>
    <row r="622" spans="1:29" s="410" customFormat="1" ht="17.25" hidden="1" customHeight="1">
      <c r="B622" s="417" t="str">
        <f>IF(A622&lt;&gt;0,COUNTA(A$19:$A622),"")</f>
        <v/>
      </c>
      <c r="C622" s="418" t="s">
        <v>1514</v>
      </c>
      <c r="D622" s="418"/>
      <c r="E622" s="435"/>
      <c r="F622" s="435"/>
      <c r="G622" s="419"/>
      <c r="H622" s="419"/>
      <c r="I622" s="419"/>
      <c r="J622" s="419"/>
      <c r="K622" s="437"/>
      <c r="L622" s="420">
        <f t="shared" si="113"/>
        <v>0</v>
      </c>
      <c r="M622" s="420">
        <f t="shared" si="114"/>
        <v>0</v>
      </c>
      <c r="N622" s="445"/>
      <c r="O622" s="719"/>
      <c r="P622" s="719">
        <f t="shared" si="121"/>
        <v>0</v>
      </c>
      <c r="Q622" s="423">
        <f>SUMIF('8.Dgia'!E:E,'9.may'!E622,'8.Dgia'!P:P)</f>
        <v>0</v>
      </c>
      <c r="R622" s="429">
        <f t="shared" si="115"/>
        <v>0</v>
      </c>
      <c r="S622" s="301">
        <f t="shared" si="116"/>
        <v>0</v>
      </c>
      <c r="T622" s="430">
        <f t="shared" si="117"/>
        <v>0</v>
      </c>
      <c r="U622" s="436"/>
      <c r="V622" s="436"/>
      <c r="W622" s="432"/>
      <c r="Y622" s="433">
        <f t="shared" si="118"/>
        <v>0</v>
      </c>
      <c r="Z622" s="433">
        <f t="shared" si="119"/>
        <v>0</v>
      </c>
      <c r="AC622" s="410">
        <f t="shared" si="120"/>
        <v>0</v>
      </c>
    </row>
    <row r="623" spans="1:29" s="410" customFormat="1" ht="17.25" customHeight="1">
      <c r="A623" s="410">
        <v>1</v>
      </c>
      <c r="B623" s="417">
        <f>IF(A623&lt;&gt;0,COUNTA(A$19:$A623),"")</f>
        <v>146</v>
      </c>
      <c r="C623" s="428" t="s">
        <v>1308</v>
      </c>
      <c r="D623" s="428" t="s">
        <v>1515</v>
      </c>
      <c r="E623" s="435" t="s">
        <v>1516</v>
      </c>
      <c r="F623" s="435" t="s">
        <v>4795</v>
      </c>
      <c r="G623" s="419">
        <v>39.6</v>
      </c>
      <c r="H623" s="419"/>
      <c r="I623" s="419"/>
      <c r="J623" s="419"/>
      <c r="K623" s="420">
        <v>1</v>
      </c>
      <c r="L623" s="420">
        <f t="shared" si="113"/>
        <v>164801</v>
      </c>
      <c r="M623" s="420">
        <f t="shared" si="114"/>
        <v>996375</v>
      </c>
      <c r="N623" s="445">
        <f>SUMPRODUCT(G623:J623,$G$12:$J$12,$G$9:$J$9)</f>
        <v>643363.55999999994</v>
      </c>
      <c r="O623" s="719"/>
      <c r="P623" s="719">
        <f t="shared" si="121"/>
        <v>1928687.31</v>
      </c>
      <c r="Q623" s="423" t="e">
        <f>SUMIF('8.Dgia'!E:E,'9.may'!E623,'8.Dgia'!P:P)</f>
        <v>#REF!</v>
      </c>
      <c r="R623" s="429" t="e">
        <f t="shared" si="115"/>
        <v>#REF!</v>
      </c>
      <c r="S623" s="301">
        <f t="shared" si="116"/>
        <v>47792.290000000008</v>
      </c>
      <c r="T623" s="430">
        <f t="shared" si="117"/>
        <v>1687530.85</v>
      </c>
      <c r="U623" s="2053">
        <v>283492</v>
      </c>
      <c r="V623" s="2053">
        <v>164801</v>
      </c>
      <c r="W623" s="2054">
        <v>996375</v>
      </c>
      <c r="Y623" s="433">
        <f t="shared" si="118"/>
        <v>-691155.85000000009</v>
      </c>
      <c r="Z623" s="433">
        <f t="shared" si="119"/>
        <v>0</v>
      </c>
      <c r="AC623" s="410" t="e">
        <f t="shared" si="120"/>
        <v>#REF!</v>
      </c>
    </row>
    <row r="624" spans="1:29" s="410" customFormat="1" ht="17.25" hidden="1" customHeight="1">
      <c r="B624" s="417" t="str">
        <f>IF(A624&lt;&gt;0,COUNTA(A$19:$A624),"")</f>
        <v/>
      </c>
      <c r="C624" s="418" t="s">
        <v>1517</v>
      </c>
      <c r="D624" s="418"/>
      <c r="E624" s="435"/>
      <c r="F624" s="435"/>
      <c r="G624" s="419"/>
      <c r="H624" s="419"/>
      <c r="I624" s="419"/>
      <c r="J624" s="419"/>
      <c r="K624" s="420"/>
      <c r="L624" s="420">
        <f t="shared" si="113"/>
        <v>0</v>
      </c>
      <c r="M624" s="420">
        <f t="shared" si="114"/>
        <v>0</v>
      </c>
      <c r="N624" s="445"/>
      <c r="O624" s="719"/>
      <c r="P624" s="719">
        <f t="shared" si="121"/>
        <v>0</v>
      </c>
      <c r="Q624" s="423">
        <f>SUMIF('8.Dgia'!E:E,'9.may'!E624,'8.Dgia'!P:P)</f>
        <v>0</v>
      </c>
      <c r="R624" s="429">
        <f t="shared" si="115"/>
        <v>0</v>
      </c>
      <c r="S624" s="301">
        <f t="shared" si="116"/>
        <v>0</v>
      </c>
      <c r="T624" s="430">
        <f t="shared" si="117"/>
        <v>0</v>
      </c>
      <c r="U624" s="436"/>
      <c r="V624" s="436"/>
      <c r="W624" s="432"/>
      <c r="Y624" s="433">
        <f t="shared" si="118"/>
        <v>0</v>
      </c>
      <c r="Z624" s="433">
        <f t="shared" si="119"/>
        <v>0</v>
      </c>
      <c r="AC624" s="410">
        <f t="shared" si="120"/>
        <v>0</v>
      </c>
    </row>
    <row r="625" spans="1:29" s="410" customFormat="1" ht="17.25" customHeight="1">
      <c r="A625" s="410">
        <v>1</v>
      </c>
      <c r="B625" s="417">
        <f>IF(A625&lt;&gt;0,COUNTA(A$19:$A625),"")</f>
        <v>147</v>
      </c>
      <c r="C625" s="428" t="s">
        <v>1354</v>
      </c>
      <c r="D625" s="428" t="s">
        <v>1518</v>
      </c>
      <c r="E625" s="435" t="s">
        <v>1519</v>
      </c>
      <c r="F625" s="435" t="s">
        <v>4796</v>
      </c>
      <c r="G625" s="419"/>
      <c r="H625" s="419">
        <v>108</v>
      </c>
      <c r="I625" s="419"/>
      <c r="J625" s="419"/>
      <c r="K625" s="420">
        <v>1</v>
      </c>
      <c r="L625" s="420">
        <f t="shared" si="113"/>
        <v>90531</v>
      </c>
      <c r="M625" s="420">
        <f t="shared" si="114"/>
        <v>400476</v>
      </c>
      <c r="N625" s="445">
        <f>SUMPRODUCT(G625:J625,$G$12:$J$12,$G$9:$J$9)</f>
        <v>68758.2</v>
      </c>
      <c r="O625" s="719"/>
      <c r="P625" s="719">
        <f t="shared" si="121"/>
        <v>585372.24</v>
      </c>
      <c r="Q625" s="423">
        <f>SUMIF('8.Dgia'!E:E,'9.may'!E625,'8.Dgia'!P:P)</f>
        <v>0</v>
      </c>
      <c r="R625" s="429">
        <f t="shared" si="115"/>
        <v>0</v>
      </c>
      <c r="S625" s="301">
        <f t="shared" si="116"/>
        <v>26253.99</v>
      </c>
      <c r="T625" s="430">
        <f t="shared" si="117"/>
        <v>495488.19</v>
      </c>
      <c r="U625" s="2053">
        <v>103426</v>
      </c>
      <c r="V625" s="2053">
        <v>90531</v>
      </c>
      <c r="W625" s="2054">
        <v>400476</v>
      </c>
      <c r="Y625" s="433">
        <f t="shared" si="118"/>
        <v>-95012.19</v>
      </c>
      <c r="Z625" s="433">
        <f t="shared" si="119"/>
        <v>0</v>
      </c>
      <c r="AC625" s="410">
        <f t="shared" si="120"/>
        <v>0</v>
      </c>
    </row>
    <row r="626" spans="1:29" s="410" customFormat="1" ht="17.25" hidden="1" customHeight="1">
      <c r="B626" s="417" t="str">
        <f>IF(A626&lt;&gt;0,COUNTA(A$19:$A626),"")</f>
        <v/>
      </c>
      <c r="C626" s="428" t="s">
        <v>1305</v>
      </c>
      <c r="D626" s="428"/>
      <c r="E626" s="435"/>
      <c r="F626" s="435"/>
      <c r="G626" s="419"/>
      <c r="H626" s="419">
        <v>135</v>
      </c>
      <c r="I626" s="419"/>
      <c r="J626" s="419"/>
      <c r="K626" s="420">
        <v>1</v>
      </c>
      <c r="L626" s="420">
        <f t="shared" si="113"/>
        <v>90531</v>
      </c>
      <c r="M626" s="420">
        <f t="shared" si="114"/>
        <v>484289</v>
      </c>
      <c r="N626" s="445">
        <f>SUMPRODUCT(G626:J626,$G$12:$J$12,$G$9:$J$9)</f>
        <v>85947.75</v>
      </c>
      <c r="O626" s="719"/>
      <c r="P626" s="719">
        <f t="shared" si="121"/>
        <v>710680.56</v>
      </c>
      <c r="Q626" s="423">
        <f>SUMIF('8.Dgia'!E:E,'9.may'!E626,'8.Dgia'!P:P)</f>
        <v>0</v>
      </c>
      <c r="R626" s="429">
        <f t="shared" si="115"/>
        <v>0</v>
      </c>
      <c r="S626" s="301">
        <f t="shared" si="116"/>
        <v>26253.99</v>
      </c>
      <c r="T626" s="430">
        <f t="shared" si="117"/>
        <v>596490.74</v>
      </c>
      <c r="U626" s="431">
        <v>129283</v>
      </c>
      <c r="V626" s="431">
        <v>90531</v>
      </c>
      <c r="W626" s="432">
        <v>484289</v>
      </c>
      <c r="Y626" s="433">
        <f t="shared" si="118"/>
        <v>-112201.73999999999</v>
      </c>
      <c r="Z626" s="433">
        <f t="shared" si="119"/>
        <v>0</v>
      </c>
      <c r="AC626" s="410">
        <f t="shared" si="120"/>
        <v>0</v>
      </c>
    </row>
    <row r="627" spans="1:29" s="410" customFormat="1" ht="17.25" customHeight="1">
      <c r="A627" s="410">
        <v>1</v>
      </c>
      <c r="B627" s="417">
        <f>IF(A627&lt;&gt;0,COUNTA(A$19:$A627),"")</f>
        <v>148</v>
      </c>
      <c r="C627" s="428" t="s">
        <v>1520</v>
      </c>
      <c r="D627" s="428" t="s">
        <v>1521</v>
      </c>
      <c r="E627" s="435" t="s">
        <v>1522</v>
      </c>
      <c r="F627" s="435" t="s">
        <v>4797</v>
      </c>
      <c r="G627" s="419"/>
      <c r="H627" s="419">
        <v>357</v>
      </c>
      <c r="I627" s="419"/>
      <c r="J627" s="419"/>
      <c r="K627" s="420">
        <v>1</v>
      </c>
      <c r="L627" s="420">
        <f t="shared" si="113"/>
        <v>90531</v>
      </c>
      <c r="M627" s="420">
        <f t="shared" si="114"/>
        <v>1029823</v>
      </c>
      <c r="N627" s="445">
        <f>SUMPRODUCT(G627:J627,$G$12:$J$12,$G$9:$J$9)</f>
        <v>227284.05000000002</v>
      </c>
      <c r="O627" s="719"/>
      <c r="P627" s="719">
        <f t="shared" si="121"/>
        <v>1555755.72</v>
      </c>
      <c r="Q627" s="423" t="e">
        <f>SUMIF('8.Dgia'!E:E,'9.may'!E627,'8.Dgia'!P:P)</f>
        <v>#REF!</v>
      </c>
      <c r="R627" s="429" t="e">
        <f t="shared" si="115"/>
        <v>#REF!</v>
      </c>
      <c r="S627" s="301">
        <f t="shared" si="116"/>
        <v>26253.99</v>
      </c>
      <c r="T627" s="430">
        <f t="shared" si="117"/>
        <v>1283361.04</v>
      </c>
      <c r="U627" s="2053">
        <v>341881</v>
      </c>
      <c r="V627" s="2053">
        <v>90531</v>
      </c>
      <c r="W627" s="2054">
        <v>1029823</v>
      </c>
      <c r="Y627" s="433">
        <f t="shared" si="118"/>
        <v>-253538.04000000004</v>
      </c>
      <c r="Z627" s="433">
        <f t="shared" si="119"/>
        <v>0</v>
      </c>
      <c r="AC627" s="410" t="e">
        <f t="shared" si="120"/>
        <v>#REF!</v>
      </c>
    </row>
    <row r="628" spans="1:29" s="410" customFormat="1" ht="17.25" hidden="1" customHeight="1">
      <c r="B628" s="417" t="str">
        <f>IF(A628&lt;&gt;0,COUNTA(A$19:$A628),"")</f>
        <v/>
      </c>
      <c r="C628" s="418" t="s">
        <v>1523</v>
      </c>
      <c r="D628" s="418"/>
      <c r="E628" s="435"/>
      <c r="F628" s="435"/>
      <c r="G628" s="419"/>
      <c r="H628" s="419"/>
      <c r="I628" s="419"/>
      <c r="J628" s="419"/>
      <c r="K628" s="420"/>
      <c r="L628" s="420">
        <f t="shared" si="113"/>
        <v>0</v>
      </c>
      <c r="M628" s="420">
        <f t="shared" si="114"/>
        <v>0</v>
      </c>
      <c r="N628" s="445"/>
      <c r="O628" s="719"/>
      <c r="P628" s="719">
        <f t="shared" si="121"/>
        <v>0</v>
      </c>
      <c r="Q628" s="423">
        <f>SUMIF('8.Dgia'!E:E,'9.may'!E628,'8.Dgia'!P:P)</f>
        <v>0</v>
      </c>
      <c r="R628" s="429">
        <f t="shared" si="115"/>
        <v>0</v>
      </c>
      <c r="S628" s="301">
        <f t="shared" si="116"/>
        <v>0</v>
      </c>
      <c r="T628" s="430">
        <f t="shared" si="117"/>
        <v>0</v>
      </c>
      <c r="U628" s="436"/>
      <c r="V628" s="436"/>
      <c r="W628" s="432"/>
      <c r="Y628" s="433">
        <f t="shared" si="118"/>
        <v>0</v>
      </c>
      <c r="Z628" s="433">
        <f t="shared" si="119"/>
        <v>0</v>
      </c>
      <c r="AC628" s="410">
        <f t="shared" si="120"/>
        <v>0</v>
      </c>
    </row>
    <row r="629" spans="1:29" s="410" customFormat="1" ht="17.25" customHeight="1">
      <c r="A629" s="410">
        <v>1</v>
      </c>
      <c r="B629" s="417">
        <f>IF(A629&lt;&gt;0,COUNTA(A$19:$A629),"")</f>
        <v>149</v>
      </c>
      <c r="C629" s="428" t="s">
        <v>1524</v>
      </c>
      <c r="D629" s="428" t="s">
        <v>1525</v>
      </c>
      <c r="E629" s="435" t="s">
        <v>1526</v>
      </c>
      <c r="F629" s="435" t="s">
        <v>4798</v>
      </c>
      <c r="G629" s="419">
        <v>51.87</v>
      </c>
      <c r="H629" s="419"/>
      <c r="I629" s="419"/>
      <c r="J629" s="419"/>
      <c r="K629" s="420">
        <v>1</v>
      </c>
      <c r="L629" s="420">
        <f t="shared" si="113"/>
        <v>330959</v>
      </c>
      <c r="M629" s="420">
        <f t="shared" si="114"/>
        <v>2804497</v>
      </c>
      <c r="N629" s="445">
        <f>SUMPRODUCT(G629:J629,$G$12:$J$12,$G$9:$J$9)</f>
        <v>842708.78427272709</v>
      </c>
      <c r="O629" s="719"/>
      <c r="P629" s="719">
        <f t="shared" si="121"/>
        <v>4460509.9142727274</v>
      </c>
      <c r="Q629" s="423">
        <f>SUMIF('8.Dgia'!E:E,'9.may'!E629,'8.Dgia'!P:P)</f>
        <v>0</v>
      </c>
      <c r="R629" s="429">
        <f t="shared" si="115"/>
        <v>0</v>
      </c>
      <c r="S629" s="301">
        <f t="shared" si="116"/>
        <v>95978.110000000015</v>
      </c>
      <c r="T629" s="430">
        <f t="shared" si="117"/>
        <v>3743183.894272727</v>
      </c>
      <c r="U629" s="2053">
        <v>371332</v>
      </c>
      <c r="V629" s="2053">
        <v>330959</v>
      </c>
      <c r="W629" s="2054">
        <v>2804497</v>
      </c>
      <c r="Y629" s="433">
        <f t="shared" si="118"/>
        <v>-938686.89427272696</v>
      </c>
      <c r="Z629" s="433">
        <f t="shared" si="119"/>
        <v>0</v>
      </c>
      <c r="AC629" s="410">
        <f t="shared" si="120"/>
        <v>0</v>
      </c>
    </row>
    <row r="630" spans="1:29" s="410" customFormat="1" ht="17.25" hidden="1" customHeight="1">
      <c r="B630" s="417" t="str">
        <f>IF(A630&lt;&gt;0,COUNTA(A$19:$A630),"")</f>
        <v/>
      </c>
      <c r="C630" s="418" t="s">
        <v>1527</v>
      </c>
      <c r="D630" s="418"/>
      <c r="E630" s="435"/>
      <c r="F630" s="435"/>
      <c r="G630" s="419"/>
      <c r="H630" s="419"/>
      <c r="I630" s="419"/>
      <c r="J630" s="419"/>
      <c r="K630" s="420"/>
      <c r="L630" s="420">
        <f t="shared" si="113"/>
        <v>0</v>
      </c>
      <c r="M630" s="420">
        <f t="shared" si="114"/>
        <v>0</v>
      </c>
      <c r="N630" s="445"/>
      <c r="O630" s="719"/>
      <c r="P630" s="719">
        <f t="shared" si="121"/>
        <v>0</v>
      </c>
      <c r="Q630" s="423">
        <f>SUMIF('8.Dgia'!E:E,'9.may'!E630,'8.Dgia'!P:P)</f>
        <v>0</v>
      </c>
      <c r="R630" s="429">
        <f t="shared" si="115"/>
        <v>0</v>
      </c>
      <c r="S630" s="301">
        <f t="shared" si="116"/>
        <v>0</v>
      </c>
      <c r="T630" s="430">
        <f t="shared" si="117"/>
        <v>0</v>
      </c>
      <c r="U630" s="436"/>
      <c r="V630" s="436"/>
      <c r="W630" s="432"/>
      <c r="Y630" s="433">
        <f t="shared" si="118"/>
        <v>0</v>
      </c>
      <c r="Z630" s="433">
        <f t="shared" si="119"/>
        <v>0</v>
      </c>
      <c r="AC630" s="410">
        <f t="shared" si="120"/>
        <v>0</v>
      </c>
    </row>
    <row r="631" spans="1:29" s="410" customFormat="1" ht="22.5" customHeight="1">
      <c r="A631" s="410">
        <v>1</v>
      </c>
      <c r="B631" s="417">
        <f>IF(A631&lt;&gt;0,COUNTA(A$19:$A631),"")</f>
        <v>150</v>
      </c>
      <c r="C631" s="428" t="s">
        <v>1528</v>
      </c>
      <c r="D631" s="428" t="s">
        <v>1529</v>
      </c>
      <c r="E631" s="435" t="s">
        <v>1530</v>
      </c>
      <c r="F631" s="435" t="s">
        <v>4799</v>
      </c>
      <c r="G631" s="419">
        <v>162</v>
      </c>
      <c r="H631" s="419"/>
      <c r="I631" s="419"/>
      <c r="J631" s="419"/>
      <c r="K631" s="420">
        <v>1</v>
      </c>
      <c r="L631" s="420">
        <f t="shared" si="113"/>
        <v>490863</v>
      </c>
      <c r="M631" s="420">
        <f t="shared" si="114"/>
        <v>7373107</v>
      </c>
      <c r="N631" s="445">
        <f>SUMPRODUCT(G631:J631,$G$12:$J$12,$G$9:$J$9)</f>
        <v>2631941.8363636364</v>
      </c>
      <c r="O631" s="719"/>
      <c r="P631" s="719">
        <f t="shared" si="121"/>
        <v>12143249.866363637</v>
      </c>
      <c r="Q631" s="423">
        <f>SUMIF('8.Dgia'!E:E,'9.may'!E631,'8.Dgia'!P:P)</f>
        <v>0</v>
      </c>
      <c r="R631" s="429">
        <f t="shared" si="115"/>
        <v>0</v>
      </c>
      <c r="S631" s="301">
        <f t="shared" si="116"/>
        <v>142350.27000000002</v>
      </c>
      <c r="T631" s="430">
        <f t="shared" si="117"/>
        <v>10147399.106363636</v>
      </c>
      <c r="U631" s="2053">
        <v>1159742</v>
      </c>
      <c r="V631" s="2053">
        <v>490863</v>
      </c>
      <c r="W631" s="2054">
        <v>7373107</v>
      </c>
      <c r="Y631" s="433">
        <f t="shared" si="118"/>
        <v>-2774292.1063636355</v>
      </c>
      <c r="Z631" s="433">
        <f t="shared" si="119"/>
        <v>0</v>
      </c>
      <c r="AC631" s="410">
        <f t="shared" si="120"/>
        <v>0</v>
      </c>
    </row>
    <row r="632" spans="1:29" s="410" customFormat="1" ht="17.25" hidden="1" customHeight="1">
      <c r="B632" s="417" t="str">
        <f>IF(A632&lt;&gt;0,COUNTA(A$19:$A632),"")</f>
        <v/>
      </c>
      <c r="C632" s="418" t="s">
        <v>1531</v>
      </c>
      <c r="D632" s="418"/>
      <c r="E632" s="435"/>
      <c r="F632" s="435"/>
      <c r="G632" s="419"/>
      <c r="H632" s="419"/>
      <c r="I632" s="419"/>
      <c r="J632" s="419"/>
      <c r="K632" s="420"/>
      <c r="L632" s="420">
        <f t="shared" si="113"/>
        <v>0</v>
      </c>
      <c r="M632" s="420">
        <f t="shared" si="114"/>
        <v>0</v>
      </c>
      <c r="N632" s="445"/>
      <c r="O632" s="719"/>
      <c r="P632" s="719">
        <f t="shared" si="121"/>
        <v>0</v>
      </c>
      <c r="Q632" s="423">
        <f>SUMIF('8.Dgia'!E:E,'9.may'!E632,'8.Dgia'!P:P)</f>
        <v>0</v>
      </c>
      <c r="R632" s="429">
        <f t="shared" si="115"/>
        <v>0</v>
      </c>
      <c r="S632" s="301">
        <f t="shared" si="116"/>
        <v>0</v>
      </c>
      <c r="T632" s="430">
        <f t="shared" si="117"/>
        <v>0</v>
      </c>
      <c r="U632" s="436"/>
      <c r="V632" s="436"/>
      <c r="W632" s="432"/>
      <c r="Y632" s="433">
        <f t="shared" si="118"/>
        <v>0</v>
      </c>
      <c r="Z632" s="433">
        <f t="shared" si="119"/>
        <v>0</v>
      </c>
      <c r="AC632" s="410">
        <f t="shared" si="120"/>
        <v>0</v>
      </c>
    </row>
    <row r="633" spans="1:29" s="410" customFormat="1" ht="17.25" hidden="1" customHeight="1">
      <c r="B633" s="417" t="str">
        <f>IF(A633&lt;&gt;0,COUNTA(A$19:$A633),"")</f>
        <v/>
      </c>
      <c r="C633" s="428" t="s">
        <v>1087</v>
      </c>
      <c r="D633" s="428"/>
      <c r="E633" s="435"/>
      <c r="F633" s="435"/>
      <c r="G633" s="419"/>
      <c r="H633" s="419">
        <v>37.5</v>
      </c>
      <c r="I633" s="419"/>
      <c r="J633" s="419"/>
      <c r="K633" s="420">
        <v>1</v>
      </c>
      <c r="L633" s="420">
        <f t="shared" si="113"/>
        <v>90531</v>
      </c>
      <c r="M633" s="420">
        <f t="shared" si="114"/>
        <v>335808</v>
      </c>
      <c r="N633" s="445">
        <f t="shared" ref="N633:N638" si="123">SUMPRODUCT(G633:J633,$G$12:$J$12,$G$9:$J$9)</f>
        <v>23874.375</v>
      </c>
      <c r="O633" s="719"/>
      <c r="P633" s="719">
        <f t="shared" si="121"/>
        <v>457066.69500000001</v>
      </c>
      <c r="Q633" s="423">
        <f>SUMIF('8.Dgia'!E:E,'9.may'!E633,'8.Dgia'!P:P)</f>
        <v>0</v>
      </c>
      <c r="R633" s="429">
        <f t="shared" si="115"/>
        <v>0</v>
      </c>
      <c r="S633" s="301">
        <f t="shared" si="116"/>
        <v>26253.99</v>
      </c>
      <c r="T633" s="430">
        <f t="shared" si="117"/>
        <v>385936.36499999999</v>
      </c>
      <c r="U633" s="431">
        <v>35912</v>
      </c>
      <c r="V633" s="431">
        <v>90531</v>
      </c>
      <c r="W633" s="432">
        <v>335808</v>
      </c>
      <c r="Y633" s="433">
        <f t="shared" si="118"/>
        <v>-50128.364999999991</v>
      </c>
      <c r="Z633" s="433">
        <f t="shared" si="119"/>
        <v>0</v>
      </c>
      <c r="AC633" s="410">
        <f t="shared" si="120"/>
        <v>0</v>
      </c>
    </row>
    <row r="634" spans="1:29" s="410" customFormat="1" ht="17.25" hidden="1" customHeight="1">
      <c r="B634" s="417" t="str">
        <f>IF(A634&lt;&gt;0,COUNTA(A$19:$A634),"")</f>
        <v/>
      </c>
      <c r="C634" s="428" t="s">
        <v>1532</v>
      </c>
      <c r="D634" s="428"/>
      <c r="E634" s="435"/>
      <c r="F634" s="435"/>
      <c r="G634" s="419"/>
      <c r="H634" s="419">
        <v>52.5</v>
      </c>
      <c r="I634" s="419"/>
      <c r="J634" s="419"/>
      <c r="K634" s="420">
        <v>1</v>
      </c>
      <c r="L634" s="420">
        <f t="shared" si="113"/>
        <v>90531</v>
      </c>
      <c r="M634" s="420">
        <f t="shared" si="114"/>
        <v>454238</v>
      </c>
      <c r="N634" s="445">
        <f t="shared" si="123"/>
        <v>33424.125</v>
      </c>
      <c r="O634" s="719"/>
      <c r="P634" s="719">
        <f t="shared" si="121"/>
        <v>619391.14500000002</v>
      </c>
      <c r="Q634" s="423">
        <f>SUMIF('8.Dgia'!E:E,'9.may'!E634,'8.Dgia'!P:P)</f>
        <v>0</v>
      </c>
      <c r="R634" s="429">
        <f t="shared" si="115"/>
        <v>0</v>
      </c>
      <c r="S634" s="301">
        <f t="shared" si="116"/>
        <v>26253.99</v>
      </c>
      <c r="T634" s="430">
        <f t="shared" si="117"/>
        <v>513916.11499999999</v>
      </c>
      <c r="U634" s="431">
        <v>50277</v>
      </c>
      <c r="V634" s="431">
        <v>90531</v>
      </c>
      <c r="W634" s="432">
        <v>454238</v>
      </c>
      <c r="Y634" s="433">
        <f t="shared" si="118"/>
        <v>-59678.114999999991</v>
      </c>
      <c r="Z634" s="433">
        <f t="shared" si="119"/>
        <v>0</v>
      </c>
      <c r="AC634" s="410">
        <f t="shared" si="120"/>
        <v>0</v>
      </c>
    </row>
    <row r="635" spans="1:29" s="410" customFormat="1" ht="17.25" customHeight="1">
      <c r="A635" s="410">
        <v>1</v>
      </c>
      <c r="B635" s="417">
        <f>IF(A635&lt;&gt;0,COUNTA(A$19:$A635),"")</f>
        <v>151</v>
      </c>
      <c r="C635" s="428" t="s">
        <v>1533</v>
      </c>
      <c r="D635" s="428" t="s">
        <v>1534</v>
      </c>
      <c r="E635" s="435" t="s">
        <v>1535</v>
      </c>
      <c r="F635" s="435" t="s">
        <v>4800</v>
      </c>
      <c r="G635" s="419"/>
      <c r="H635" s="419">
        <v>75</v>
      </c>
      <c r="I635" s="419"/>
      <c r="J635" s="419"/>
      <c r="K635" s="420">
        <v>1</v>
      </c>
      <c r="L635" s="420">
        <f t="shared" si="113"/>
        <v>90531</v>
      </c>
      <c r="M635" s="420">
        <f t="shared" si="114"/>
        <v>456110</v>
      </c>
      <c r="N635" s="445">
        <f t="shared" si="123"/>
        <v>47748.75</v>
      </c>
      <c r="O635" s="719"/>
      <c r="P635" s="719">
        <f t="shared" si="121"/>
        <v>636130.65</v>
      </c>
      <c r="Q635" s="423">
        <f>SUMIF('8.Dgia'!E:E,'9.may'!E635,'8.Dgia'!P:P)</f>
        <v>0</v>
      </c>
      <c r="R635" s="429">
        <f t="shared" si="115"/>
        <v>0</v>
      </c>
      <c r="S635" s="301">
        <f t="shared" si="116"/>
        <v>26253.99</v>
      </c>
      <c r="T635" s="430">
        <f t="shared" si="117"/>
        <v>530112.74</v>
      </c>
      <c r="U635" s="2053">
        <v>71824</v>
      </c>
      <c r="V635" s="2053">
        <v>90531</v>
      </c>
      <c r="W635" s="2054">
        <v>456110</v>
      </c>
      <c r="Y635" s="433">
        <f t="shared" si="118"/>
        <v>-74002.739999999991</v>
      </c>
      <c r="Z635" s="433">
        <f t="shared" si="119"/>
        <v>0</v>
      </c>
      <c r="AC635" s="410">
        <f t="shared" si="120"/>
        <v>0</v>
      </c>
    </row>
    <row r="636" spans="1:29" s="410" customFormat="1" ht="17.25" customHeight="1">
      <c r="A636" s="410">
        <v>1</v>
      </c>
      <c r="B636" s="417">
        <f>IF(A636&lt;&gt;0,COUNTA(A$19:$A636),"")</f>
        <v>152</v>
      </c>
      <c r="C636" s="428" t="s">
        <v>1536</v>
      </c>
      <c r="D636" s="428" t="s">
        <v>1537</v>
      </c>
      <c r="E636" s="435" t="s">
        <v>1538</v>
      </c>
      <c r="F636" s="435" t="s">
        <v>4801</v>
      </c>
      <c r="G636" s="419"/>
      <c r="H636" s="419">
        <v>84</v>
      </c>
      <c r="I636" s="419"/>
      <c r="J636" s="419"/>
      <c r="K636" s="420">
        <v>1</v>
      </c>
      <c r="L636" s="420">
        <f t="shared" si="113"/>
        <v>90531</v>
      </c>
      <c r="M636" s="420">
        <f t="shared" si="114"/>
        <v>498918</v>
      </c>
      <c r="N636" s="445">
        <f t="shared" si="123"/>
        <v>53478.600000000006</v>
      </c>
      <c r="O636" s="719"/>
      <c r="P636" s="719">
        <f t="shared" si="121"/>
        <v>697082.82</v>
      </c>
      <c r="Q636" s="423">
        <f>SUMIF('8.Dgia'!E:E,'9.may'!E636,'8.Dgia'!P:P)</f>
        <v>0</v>
      </c>
      <c r="R636" s="429">
        <f t="shared" si="115"/>
        <v>0</v>
      </c>
      <c r="S636" s="301">
        <f t="shared" si="116"/>
        <v>26253.99</v>
      </c>
      <c r="T636" s="430">
        <f t="shared" si="117"/>
        <v>578650.59</v>
      </c>
      <c r="U636" s="2053">
        <v>80443</v>
      </c>
      <c r="V636" s="2053">
        <v>90531</v>
      </c>
      <c r="W636" s="2054">
        <v>498918</v>
      </c>
      <c r="Y636" s="433">
        <f t="shared" si="118"/>
        <v>-79732.589999999967</v>
      </c>
      <c r="Z636" s="433">
        <f t="shared" si="119"/>
        <v>0</v>
      </c>
      <c r="AC636" s="410">
        <f t="shared" si="120"/>
        <v>0</v>
      </c>
    </row>
    <row r="637" spans="1:29" s="410" customFormat="1" ht="17.25" customHeight="1">
      <c r="A637" s="410">
        <v>1</v>
      </c>
      <c r="B637" s="417">
        <f>IF(A637&lt;&gt;0,COUNTA(A$19:$A637),"")</f>
        <v>153</v>
      </c>
      <c r="C637" s="441" t="s">
        <v>1539</v>
      </c>
      <c r="D637" s="441" t="s">
        <v>1539</v>
      </c>
      <c r="E637" s="435" t="s">
        <v>1539</v>
      </c>
      <c r="F637" s="435" t="s">
        <v>4802</v>
      </c>
      <c r="G637" s="419"/>
      <c r="H637" s="419">
        <v>36</v>
      </c>
      <c r="I637" s="419"/>
      <c r="J637" s="419"/>
      <c r="K637" s="420">
        <v>1</v>
      </c>
      <c r="L637" s="420">
        <f t="shared" si="113"/>
        <v>90531</v>
      </c>
      <c r="M637" s="420">
        <f t="shared" si="114"/>
        <v>226096</v>
      </c>
      <c r="N637" s="445">
        <f t="shared" si="123"/>
        <v>22919.4</v>
      </c>
      <c r="O637" s="719"/>
      <c r="P637" s="719">
        <f t="shared" si="121"/>
        <v>314583.24000000005</v>
      </c>
      <c r="Q637" s="423">
        <f>SUMIF('8.Dgia'!E:E,'9.may'!E637,'8.Dgia'!P:P)</f>
        <v>0</v>
      </c>
      <c r="R637" s="429">
        <f t="shared" si="115"/>
        <v>0</v>
      </c>
      <c r="S637" s="301">
        <f t="shared" si="116"/>
        <v>26253.99</v>
      </c>
      <c r="T637" s="430">
        <f t="shared" si="117"/>
        <v>275269.39</v>
      </c>
      <c r="U637" s="2053">
        <v>34475</v>
      </c>
      <c r="V637" s="2053">
        <v>90531</v>
      </c>
      <c r="W637" s="2054">
        <v>226096</v>
      </c>
      <c r="Y637" s="433">
        <f t="shared" si="118"/>
        <v>-49173.390000000014</v>
      </c>
      <c r="Z637" s="433">
        <f t="shared" si="119"/>
        <v>0</v>
      </c>
      <c r="AC637" s="410">
        <f t="shared" si="120"/>
        <v>0</v>
      </c>
    </row>
    <row r="638" spans="1:29" s="410" customFormat="1" ht="17.25" customHeight="1">
      <c r="A638" s="410">
        <v>1</v>
      </c>
      <c r="B638" s="417">
        <f>IF(A638&lt;&gt;0,COUNTA(A$19:$A638),"")</f>
        <v>154</v>
      </c>
      <c r="C638" s="441" t="s">
        <v>1540</v>
      </c>
      <c r="D638" s="441" t="s">
        <v>1540</v>
      </c>
      <c r="E638" s="435" t="s">
        <v>1540</v>
      </c>
      <c r="F638" s="435" t="s">
        <v>4803</v>
      </c>
      <c r="G638" s="419">
        <v>47.85</v>
      </c>
      <c r="H638" s="419"/>
      <c r="I638" s="419"/>
      <c r="J638" s="419"/>
      <c r="K638" s="420">
        <v>1</v>
      </c>
      <c r="L638" s="420">
        <f t="shared" si="113"/>
        <v>98673</v>
      </c>
      <c r="M638" s="420">
        <f t="shared" si="114"/>
        <v>956707</v>
      </c>
      <c r="N638" s="445">
        <f t="shared" si="123"/>
        <v>777397.63500000001</v>
      </c>
      <c r="O638" s="719"/>
      <c r="P638" s="719">
        <f t="shared" si="121"/>
        <v>2011549.665</v>
      </c>
      <c r="Q638" s="423">
        <f>SUMIF('8.Dgia'!E:E,'9.may'!E638,'8.Dgia'!P:P)</f>
        <v>0</v>
      </c>
      <c r="R638" s="429">
        <f t="shared" si="115"/>
        <v>0</v>
      </c>
      <c r="S638" s="301">
        <f t="shared" si="116"/>
        <v>28615.170000000002</v>
      </c>
      <c r="T638" s="430">
        <f t="shared" si="117"/>
        <v>1762719.8050000002</v>
      </c>
      <c r="U638" s="2053">
        <v>342553</v>
      </c>
      <c r="V638" s="2053">
        <v>98673</v>
      </c>
      <c r="W638" s="2054">
        <v>956707</v>
      </c>
      <c r="Y638" s="433">
        <f t="shared" si="118"/>
        <v>-806012.80500000017</v>
      </c>
      <c r="Z638" s="433">
        <f t="shared" si="119"/>
        <v>0</v>
      </c>
      <c r="AC638" s="410">
        <f t="shared" si="120"/>
        <v>0</v>
      </c>
    </row>
    <row r="639" spans="1:29" s="410" customFormat="1" ht="17.25" hidden="1" customHeight="1">
      <c r="B639" s="417" t="str">
        <f>IF(A639&lt;&gt;0,COUNTA(A$19:$A639),"")</f>
        <v/>
      </c>
      <c r="C639" s="418" t="s">
        <v>1541</v>
      </c>
      <c r="D639" s="418"/>
      <c r="E639" s="435"/>
      <c r="F639" s="435"/>
      <c r="G639" s="419"/>
      <c r="H639" s="419"/>
      <c r="I639" s="419"/>
      <c r="J639" s="419"/>
      <c r="K639" s="420"/>
      <c r="L639" s="420">
        <f t="shared" si="113"/>
        <v>0</v>
      </c>
      <c r="M639" s="420">
        <f t="shared" si="114"/>
        <v>0</v>
      </c>
      <c r="N639" s="445"/>
      <c r="O639" s="719"/>
      <c r="P639" s="719">
        <f t="shared" si="121"/>
        <v>0</v>
      </c>
      <c r="Q639" s="423">
        <f>SUMIF('8.Dgia'!E:E,'9.may'!E639,'8.Dgia'!P:P)</f>
        <v>0</v>
      </c>
      <c r="R639" s="429">
        <f t="shared" si="115"/>
        <v>0</v>
      </c>
      <c r="S639" s="301">
        <f t="shared" si="116"/>
        <v>0</v>
      </c>
      <c r="T639" s="430">
        <f t="shared" si="117"/>
        <v>0</v>
      </c>
      <c r="U639" s="436"/>
      <c r="V639" s="436"/>
      <c r="W639" s="432"/>
      <c r="Y639" s="433">
        <f t="shared" si="118"/>
        <v>0</v>
      </c>
      <c r="Z639" s="433">
        <f t="shared" si="119"/>
        <v>0</v>
      </c>
      <c r="AC639" s="410">
        <f t="shared" si="120"/>
        <v>0</v>
      </c>
    </row>
    <row r="640" spans="1:29" s="410" customFormat="1" ht="17.25" customHeight="1">
      <c r="A640" s="410">
        <v>1</v>
      </c>
      <c r="B640" s="417">
        <f>IF(A640&lt;&gt;0,COUNTA(A$19:$A640),"")</f>
        <v>155</v>
      </c>
      <c r="C640" s="428" t="s">
        <v>1542</v>
      </c>
      <c r="D640" s="428" t="s">
        <v>1543</v>
      </c>
      <c r="E640" s="435" t="s">
        <v>1544</v>
      </c>
      <c r="F640" s="435" t="s">
        <v>4804</v>
      </c>
      <c r="G640" s="419">
        <v>51.6</v>
      </c>
      <c r="H640" s="419"/>
      <c r="I640" s="419"/>
      <c r="J640" s="419"/>
      <c r="K640" s="420">
        <v>1</v>
      </c>
      <c r="L640" s="420">
        <f t="shared" si="113"/>
        <v>198532</v>
      </c>
      <c r="M640" s="420">
        <f t="shared" si="114"/>
        <v>5171232</v>
      </c>
      <c r="N640" s="445">
        <f>SUMPRODUCT(G640:J640,$G$12:$J$12,$G$9:$J$9)</f>
        <v>838322.21454545448</v>
      </c>
      <c r="O640" s="719"/>
      <c r="P640" s="719">
        <f t="shared" si="121"/>
        <v>7509211.4945454551</v>
      </c>
      <c r="Q640" s="423">
        <f>SUMIF('8.Dgia'!E:E,'9.may'!E640,'8.Dgia'!P:P)</f>
        <v>0</v>
      </c>
      <c r="R640" s="429">
        <f t="shared" si="115"/>
        <v>0</v>
      </c>
      <c r="S640" s="301">
        <f t="shared" si="116"/>
        <v>57574.280000000006</v>
      </c>
      <c r="T640" s="430">
        <f t="shared" si="117"/>
        <v>6067128.4945454542</v>
      </c>
      <c r="U640" s="2053">
        <v>369399</v>
      </c>
      <c r="V640" s="2053">
        <v>198532</v>
      </c>
      <c r="W640" s="2054">
        <v>5171232</v>
      </c>
      <c r="Y640" s="433">
        <f t="shared" si="118"/>
        <v>-895896.49454545416</v>
      </c>
      <c r="Z640" s="433">
        <f t="shared" si="119"/>
        <v>0</v>
      </c>
      <c r="AC640" s="410">
        <f t="shared" si="120"/>
        <v>0</v>
      </c>
    </row>
    <row r="641" spans="1:29" s="410" customFormat="1" ht="17.25" customHeight="1">
      <c r="A641" s="410">
        <v>1</v>
      </c>
      <c r="B641" s="417">
        <f>IF(A641&lt;&gt;0,COUNTA(A$19:$A641),"")</f>
        <v>156</v>
      </c>
      <c r="C641" s="428" t="s">
        <v>1545</v>
      </c>
      <c r="D641" s="428" t="s">
        <v>1545</v>
      </c>
      <c r="E641" s="435" t="s">
        <v>1546</v>
      </c>
      <c r="F641" s="435" t="s">
        <v>4805</v>
      </c>
      <c r="G641" s="419"/>
      <c r="H641" s="419">
        <v>330</v>
      </c>
      <c r="I641" s="419"/>
      <c r="J641" s="419"/>
      <c r="K641" s="420">
        <v>1</v>
      </c>
      <c r="L641" s="420">
        <f t="shared" si="113"/>
        <v>321460</v>
      </c>
      <c r="M641" s="420">
        <f t="shared" si="114"/>
        <v>9288866</v>
      </c>
      <c r="N641" s="445">
        <f>SUMPRODUCT(G641:J641,$G$12:$J$12,$G$9:$J$9)</f>
        <v>210094.5</v>
      </c>
      <c r="O641" s="719"/>
      <c r="P641" s="719">
        <f t="shared" si="121"/>
        <v>12192731.640000001</v>
      </c>
      <c r="Q641" s="423" t="e">
        <f>SUMIF('8.Dgia'!E:E,'9.may'!E641,'8.Dgia'!P:P)</f>
        <v>#REF!</v>
      </c>
      <c r="R641" s="429" t="e">
        <f t="shared" si="115"/>
        <v>#REF!</v>
      </c>
      <c r="S641" s="301">
        <f t="shared" si="116"/>
        <v>93223.400000000009</v>
      </c>
      <c r="T641" s="430">
        <f t="shared" si="117"/>
        <v>9592183.9000000004</v>
      </c>
      <c r="U641" s="2053">
        <v>316025</v>
      </c>
      <c r="V641" s="2053">
        <v>321460</v>
      </c>
      <c r="W641" s="2054">
        <v>9288866</v>
      </c>
      <c r="Y641" s="433">
        <f t="shared" si="118"/>
        <v>-303317.90000000037</v>
      </c>
      <c r="Z641" s="433">
        <f t="shared" si="119"/>
        <v>0</v>
      </c>
      <c r="AC641" s="410" t="e">
        <f t="shared" si="120"/>
        <v>#REF!</v>
      </c>
    </row>
    <row r="642" spans="1:29" s="410" customFormat="1" ht="17.25" hidden="1" customHeight="1">
      <c r="B642" s="417" t="str">
        <f>IF(A642&lt;&gt;0,COUNTA(A$19:$A642),"")</f>
        <v/>
      </c>
      <c r="C642" s="428" t="s">
        <v>1547</v>
      </c>
      <c r="D642" s="428" t="s">
        <v>1548</v>
      </c>
      <c r="E642" s="435"/>
      <c r="F642" s="435" t="s">
        <v>4806</v>
      </c>
      <c r="G642" s="419"/>
      <c r="H642" s="419">
        <v>594</v>
      </c>
      <c r="I642" s="419"/>
      <c r="J642" s="419"/>
      <c r="K642" s="420">
        <v>1</v>
      </c>
      <c r="L642" s="420">
        <f t="shared" si="113"/>
        <v>198532</v>
      </c>
      <c r="M642" s="420">
        <f t="shared" si="114"/>
        <v>2125994</v>
      </c>
      <c r="N642" s="445">
        <f>SUMPRODUCT(G642:J642,$G$12:$J$12,$G$9:$J$9)</f>
        <v>378170.10000000003</v>
      </c>
      <c r="O642" s="719"/>
      <c r="P642" s="719">
        <f t="shared" si="121"/>
        <v>3120702.3600000003</v>
      </c>
      <c r="Q642" s="423">
        <f>SUMIF('8.Dgia'!E:E,'9.may'!E642,'8.Dgia'!P:P)</f>
        <v>0</v>
      </c>
      <c r="R642" s="429">
        <f t="shared" si="115"/>
        <v>0</v>
      </c>
      <c r="S642" s="301">
        <f t="shared" si="116"/>
        <v>57574.280000000006</v>
      </c>
      <c r="T642" s="430">
        <f t="shared" si="117"/>
        <v>2561738.38</v>
      </c>
      <c r="U642" s="431">
        <v>568844</v>
      </c>
      <c r="V642" s="431">
        <v>198532</v>
      </c>
      <c r="W642" s="432">
        <v>2125994</v>
      </c>
      <c r="Y642" s="433">
        <f t="shared" si="118"/>
        <v>-435744.37999999989</v>
      </c>
      <c r="Z642" s="433">
        <f t="shared" si="119"/>
        <v>0</v>
      </c>
      <c r="AC642" s="410">
        <f t="shared" si="120"/>
        <v>0</v>
      </c>
    </row>
    <row r="643" spans="1:29" s="410" customFormat="1" ht="17.25" hidden="1" customHeight="1">
      <c r="B643" s="417" t="str">
        <f>IF(A643&lt;&gt;0,COUNTA(A$19:$A643),"")</f>
        <v/>
      </c>
      <c r="C643" s="428" t="s">
        <v>1549</v>
      </c>
      <c r="D643" s="428" t="s">
        <v>1549</v>
      </c>
      <c r="E643" s="435"/>
      <c r="F643" s="435" t="s">
        <v>4807</v>
      </c>
      <c r="G643" s="419"/>
      <c r="H643" s="419">
        <v>675</v>
      </c>
      <c r="I643" s="419"/>
      <c r="J643" s="419"/>
      <c r="K643" s="420">
        <v>1</v>
      </c>
      <c r="L643" s="420">
        <f t="shared" si="113"/>
        <v>198532</v>
      </c>
      <c r="M643" s="420">
        <f t="shared" si="114"/>
        <v>3407506</v>
      </c>
      <c r="N643" s="445">
        <f>SUMPRODUCT(G643:J643,$G$12:$J$12,$G$9:$J$9)</f>
        <v>429738.75</v>
      </c>
      <c r="O643" s="719"/>
      <c r="P643" s="719">
        <f t="shared" si="121"/>
        <v>4825421.49</v>
      </c>
      <c r="Q643" s="423">
        <f>SUMIF('8.Dgia'!E:E,'9.may'!E643,'8.Dgia'!P:P)</f>
        <v>0</v>
      </c>
      <c r="R643" s="429">
        <f t="shared" si="115"/>
        <v>0</v>
      </c>
      <c r="S643" s="301">
        <f t="shared" si="116"/>
        <v>57574.280000000006</v>
      </c>
      <c r="T643" s="430">
        <f t="shared" si="117"/>
        <v>3894819.0300000003</v>
      </c>
      <c r="U643" s="431">
        <v>646414</v>
      </c>
      <c r="V643" s="431">
        <v>198532</v>
      </c>
      <c r="W643" s="432">
        <v>3407506</v>
      </c>
      <c r="Y643" s="433">
        <f t="shared" si="118"/>
        <v>-487313.03000000026</v>
      </c>
      <c r="Z643" s="433">
        <f t="shared" si="119"/>
        <v>0</v>
      </c>
      <c r="AC643" s="410">
        <f t="shared" si="120"/>
        <v>0</v>
      </c>
    </row>
    <row r="644" spans="1:29" s="410" customFormat="1" ht="17.25" customHeight="1">
      <c r="A644" s="410">
        <v>1</v>
      </c>
      <c r="B644" s="417">
        <f>IF(A644&lt;&gt;0,COUNTA(A$19:$A644),"")</f>
        <v>157</v>
      </c>
      <c r="C644" s="428" t="s">
        <v>1550</v>
      </c>
      <c r="D644" s="428" t="s">
        <v>1550</v>
      </c>
      <c r="E644" s="435" t="s">
        <v>1550</v>
      </c>
      <c r="F644" s="435" t="s">
        <v>4808</v>
      </c>
      <c r="G644" s="419">
        <v>60</v>
      </c>
      <c r="H644" s="419"/>
      <c r="I644" s="419"/>
      <c r="J644" s="419"/>
      <c r="K644" s="420">
        <v>1</v>
      </c>
      <c r="L644" s="420">
        <f t="shared" si="113"/>
        <v>198532</v>
      </c>
      <c r="M644" s="420">
        <f t="shared" si="114"/>
        <v>7251241</v>
      </c>
      <c r="N644" s="445">
        <f>SUMPRODUCT(G644:J644,$G$12:$J$12,$G$9:$J$9)</f>
        <v>974793.27272727259</v>
      </c>
      <c r="O644" s="719"/>
      <c r="P644" s="719">
        <f t="shared" si="121"/>
        <v>10328894.162727274</v>
      </c>
      <c r="Q644" s="423">
        <f>SUMIF('8.Dgia'!E:E,'9.may'!E644,'8.Dgia'!P:P)</f>
        <v>0</v>
      </c>
      <c r="R644" s="429">
        <f t="shared" si="115"/>
        <v>0</v>
      </c>
      <c r="S644" s="301">
        <f t="shared" si="116"/>
        <v>57574.280000000006</v>
      </c>
      <c r="T644" s="430">
        <f t="shared" si="117"/>
        <v>8283608.5527272727</v>
      </c>
      <c r="U644" s="2053">
        <v>429534</v>
      </c>
      <c r="V644" s="2053">
        <v>198532</v>
      </c>
      <c r="W644" s="2054">
        <v>7251241</v>
      </c>
      <c r="Y644" s="433">
        <f t="shared" si="118"/>
        <v>-1032367.5527272727</v>
      </c>
      <c r="Z644" s="433">
        <f t="shared" si="119"/>
        <v>0</v>
      </c>
      <c r="AC644" s="410">
        <f t="shared" si="120"/>
        <v>0</v>
      </c>
    </row>
    <row r="645" spans="1:29" s="410" customFormat="1" ht="17.25" hidden="1" customHeight="1">
      <c r="B645" s="417" t="str">
        <f>IF(A645&lt;&gt;0,COUNTA(A$19:$A645),"")</f>
        <v/>
      </c>
      <c r="C645" s="443" t="s">
        <v>1551</v>
      </c>
      <c r="D645" s="443"/>
      <c r="E645" s="435"/>
      <c r="F645" s="435"/>
      <c r="G645" s="419"/>
      <c r="H645" s="419"/>
      <c r="I645" s="419"/>
      <c r="J645" s="419"/>
      <c r="K645" s="420"/>
      <c r="L645" s="420">
        <f t="shared" si="113"/>
        <v>0</v>
      </c>
      <c r="M645" s="420">
        <f t="shared" si="114"/>
        <v>0</v>
      </c>
      <c r="N645" s="445"/>
      <c r="O645" s="719"/>
      <c r="P645" s="719">
        <f t="shared" si="121"/>
        <v>0</v>
      </c>
      <c r="Q645" s="423">
        <f>SUMIF('8.Dgia'!E:E,'9.may'!E645,'8.Dgia'!P:P)</f>
        <v>0</v>
      </c>
      <c r="R645" s="429">
        <f t="shared" si="115"/>
        <v>0</v>
      </c>
      <c r="S645" s="301">
        <f t="shared" si="116"/>
        <v>0</v>
      </c>
      <c r="T645" s="430">
        <f t="shared" si="117"/>
        <v>0</v>
      </c>
      <c r="U645" s="436"/>
      <c r="V645" s="436"/>
      <c r="W645" s="432"/>
      <c r="Y645" s="433">
        <f t="shared" si="118"/>
        <v>0</v>
      </c>
      <c r="Z645" s="433">
        <f t="shared" si="119"/>
        <v>0</v>
      </c>
      <c r="AC645" s="410">
        <f t="shared" si="120"/>
        <v>0</v>
      </c>
    </row>
    <row r="646" spans="1:29" s="410" customFormat="1" ht="17.25" customHeight="1">
      <c r="A646" s="410">
        <v>1</v>
      </c>
      <c r="B646" s="417">
        <f>IF(A646&lt;&gt;0,COUNTA(A$19:$A646),"")</f>
        <v>158</v>
      </c>
      <c r="C646" s="428" t="s">
        <v>1552</v>
      </c>
      <c r="D646" s="428" t="s">
        <v>1553</v>
      </c>
      <c r="E646" s="435" t="s">
        <v>1554</v>
      </c>
      <c r="F646" s="435" t="s">
        <v>4809</v>
      </c>
      <c r="G646" s="419"/>
      <c r="H646" s="419">
        <v>12.6</v>
      </c>
      <c r="I646" s="419"/>
      <c r="J646" s="419"/>
      <c r="K646" s="420">
        <v>1</v>
      </c>
      <c r="L646" s="420">
        <f t="shared" si="113"/>
        <v>41873</v>
      </c>
      <c r="M646" s="420">
        <f t="shared" si="114"/>
        <v>66234</v>
      </c>
      <c r="N646" s="445">
        <f>SUMPRODUCT(G646:J646,$G$12:$J$12,$G$9:$J$9)</f>
        <v>8021.7900000000009</v>
      </c>
      <c r="O646" s="719"/>
      <c r="P646" s="719">
        <f t="shared" si="121"/>
        <v>93463.65</v>
      </c>
      <c r="Q646" s="423" t="e">
        <f>SUMIF('8.Dgia'!E:E,'9.may'!E646,'8.Dgia'!P:P)</f>
        <v>#REF!</v>
      </c>
      <c r="R646" s="429" t="e">
        <f t="shared" si="115"/>
        <v>#REF!</v>
      </c>
      <c r="S646" s="301">
        <f t="shared" si="116"/>
        <v>12143.170000000002</v>
      </c>
      <c r="T646" s="430">
        <f t="shared" si="117"/>
        <v>86398.96</v>
      </c>
      <c r="U646" s="2053">
        <v>12066</v>
      </c>
      <c r="V646" s="2053">
        <v>41873</v>
      </c>
      <c r="W646" s="2054">
        <v>66234</v>
      </c>
      <c r="Y646" s="433">
        <f t="shared" si="118"/>
        <v>-20164.960000000006</v>
      </c>
      <c r="Z646" s="433">
        <f t="shared" si="119"/>
        <v>0</v>
      </c>
      <c r="AC646" s="410" t="e">
        <f t="shared" si="120"/>
        <v>#REF!</v>
      </c>
    </row>
    <row r="647" spans="1:29" s="410" customFormat="1" ht="17.25" hidden="1" customHeight="1">
      <c r="B647" s="417" t="str">
        <f>IF(A647&lt;&gt;0,COUNTA(A$19:$A647),"")</f>
        <v/>
      </c>
      <c r="C647" s="428" t="s">
        <v>1555</v>
      </c>
      <c r="D647" s="428"/>
      <c r="E647" s="435"/>
      <c r="F647" s="435"/>
      <c r="G647" s="419"/>
      <c r="H647" s="419">
        <v>18</v>
      </c>
      <c r="I647" s="419"/>
      <c r="J647" s="419"/>
      <c r="K647" s="420">
        <v>1</v>
      </c>
      <c r="L647" s="420">
        <f t="shared" si="113"/>
        <v>48658</v>
      </c>
      <c r="M647" s="420">
        <f t="shared" si="114"/>
        <v>147779</v>
      </c>
      <c r="N647" s="445">
        <f>SUMPRODUCT(G647:J647,$G$12:$J$12,$G$9:$J$9)</f>
        <v>11459.7</v>
      </c>
      <c r="O647" s="719"/>
      <c r="P647" s="719">
        <f t="shared" si="121"/>
        <v>202094.61000000002</v>
      </c>
      <c r="Q647" s="423">
        <f>SUMIF('8.Dgia'!E:E,'9.may'!E647,'8.Dgia'!P:P)</f>
        <v>0</v>
      </c>
      <c r="R647" s="429">
        <f t="shared" si="115"/>
        <v>0</v>
      </c>
      <c r="S647" s="301">
        <f t="shared" si="116"/>
        <v>14110.820000000002</v>
      </c>
      <c r="T647" s="430">
        <f t="shared" si="117"/>
        <v>173349.52000000002</v>
      </c>
      <c r="U647" s="431">
        <v>17238</v>
      </c>
      <c r="V647" s="431">
        <v>48658</v>
      </c>
      <c r="W647" s="432">
        <v>147779</v>
      </c>
      <c r="Y647" s="433">
        <f t="shared" si="118"/>
        <v>-25570.520000000019</v>
      </c>
      <c r="Z647" s="433">
        <f t="shared" si="119"/>
        <v>0</v>
      </c>
      <c r="AC647" s="410">
        <f t="shared" si="120"/>
        <v>0</v>
      </c>
    </row>
    <row r="648" spans="1:29" s="410" customFormat="1" ht="17.25" hidden="1" customHeight="1">
      <c r="B648" s="417" t="str">
        <f>IF(A648&lt;&gt;0,COUNTA(A$19:$A648),"")</f>
        <v/>
      </c>
      <c r="C648" s="418" t="s">
        <v>1556</v>
      </c>
      <c r="D648" s="418"/>
      <c r="E648" s="435"/>
      <c r="F648" s="435"/>
      <c r="G648" s="419"/>
      <c r="H648" s="419"/>
      <c r="I648" s="419"/>
      <c r="J648" s="419"/>
      <c r="K648" s="420"/>
      <c r="L648" s="420">
        <f t="shared" si="113"/>
        <v>0</v>
      </c>
      <c r="M648" s="420">
        <f t="shared" si="114"/>
        <v>0</v>
      </c>
      <c r="N648" s="445"/>
      <c r="O648" s="719"/>
      <c r="P648" s="719">
        <f t="shared" si="121"/>
        <v>0</v>
      </c>
      <c r="Q648" s="423">
        <f>SUMIF('8.Dgia'!E:E,'9.may'!E648,'8.Dgia'!P:P)</f>
        <v>0</v>
      </c>
      <c r="R648" s="429">
        <f t="shared" si="115"/>
        <v>0</v>
      </c>
      <c r="S648" s="301">
        <f t="shared" si="116"/>
        <v>0</v>
      </c>
      <c r="T648" s="430">
        <f t="shared" si="117"/>
        <v>0</v>
      </c>
      <c r="U648" s="436"/>
      <c r="V648" s="436"/>
      <c r="W648" s="432"/>
      <c r="Y648" s="433">
        <f t="shared" si="118"/>
        <v>0</v>
      </c>
      <c r="Z648" s="433">
        <f t="shared" si="119"/>
        <v>0</v>
      </c>
      <c r="AC648" s="410">
        <f t="shared" si="120"/>
        <v>0</v>
      </c>
    </row>
    <row r="649" spans="1:29" s="410" customFormat="1" ht="17.25" customHeight="1">
      <c r="A649" s="410">
        <v>1</v>
      </c>
      <c r="B649" s="417">
        <f>IF(A649&lt;&gt;0,COUNTA(A$19:$A649),"")</f>
        <v>159</v>
      </c>
      <c r="C649" s="428" t="s">
        <v>1557</v>
      </c>
      <c r="D649" s="428" t="s">
        <v>1558</v>
      </c>
      <c r="E649" s="435" t="s">
        <v>1559</v>
      </c>
      <c r="F649" s="435" t="s">
        <v>4810</v>
      </c>
      <c r="G649" s="419"/>
      <c r="H649" s="419">
        <v>21.12</v>
      </c>
      <c r="I649" s="419"/>
      <c r="J649" s="419"/>
      <c r="K649" s="420">
        <v>1</v>
      </c>
      <c r="L649" s="420">
        <f t="shared" si="113"/>
        <v>48658</v>
      </c>
      <c r="M649" s="420">
        <f t="shared" si="114"/>
        <v>216714</v>
      </c>
      <c r="N649" s="445">
        <f>SUMPRODUCT(G649:J649,$G$12:$J$12,$G$9:$J$9)</f>
        <v>13446.048000000003</v>
      </c>
      <c r="O649" s="719"/>
      <c r="P649" s="719">
        <f t="shared" si="121"/>
        <v>293007.10800000001</v>
      </c>
      <c r="Q649" s="423" t="e">
        <f>SUMIF('8.Dgia'!E:E,'9.may'!E649,'8.Dgia'!P:P)</f>
        <v>#REF!</v>
      </c>
      <c r="R649" s="429" t="e">
        <f t="shared" si="115"/>
        <v>#REF!</v>
      </c>
      <c r="S649" s="301">
        <f t="shared" si="116"/>
        <v>14110.820000000002</v>
      </c>
      <c r="T649" s="430">
        <f t="shared" si="117"/>
        <v>244270.86800000002</v>
      </c>
      <c r="U649" s="2053">
        <v>20226</v>
      </c>
      <c r="V649" s="2053">
        <v>48658</v>
      </c>
      <c r="W649" s="2054">
        <v>216714</v>
      </c>
      <c r="Y649" s="433">
        <f t="shared" si="118"/>
        <v>-27556.868000000017</v>
      </c>
      <c r="Z649" s="433">
        <f t="shared" si="119"/>
        <v>0</v>
      </c>
      <c r="AC649" s="410" t="e">
        <f t="shared" si="120"/>
        <v>#REF!</v>
      </c>
    </row>
    <row r="650" spans="1:29" s="410" customFormat="1" ht="17.25" hidden="1" customHeight="1">
      <c r="B650" s="417" t="str">
        <f>IF(A650&lt;&gt;0,COUNTA(A$19:$A650),"")</f>
        <v/>
      </c>
      <c r="C650" s="418" t="s">
        <v>1560</v>
      </c>
      <c r="D650" s="418"/>
      <c r="E650" s="435"/>
      <c r="F650" s="435"/>
      <c r="G650" s="419"/>
      <c r="H650" s="419"/>
      <c r="I650" s="419"/>
      <c r="J650" s="419"/>
      <c r="K650" s="420"/>
      <c r="L650" s="420">
        <f t="shared" si="113"/>
        <v>0</v>
      </c>
      <c r="M650" s="420">
        <f t="shared" si="114"/>
        <v>0</v>
      </c>
      <c r="N650" s="445"/>
      <c r="O650" s="719"/>
      <c r="P650" s="719">
        <f t="shared" si="121"/>
        <v>0</v>
      </c>
      <c r="Q650" s="423">
        <f>SUMIF('8.Dgia'!E:E,'9.may'!E650,'8.Dgia'!P:P)</f>
        <v>0</v>
      </c>
      <c r="R650" s="429">
        <f t="shared" si="115"/>
        <v>0</v>
      </c>
      <c r="S650" s="301">
        <f t="shared" si="116"/>
        <v>0</v>
      </c>
      <c r="T650" s="430">
        <f t="shared" si="117"/>
        <v>0</v>
      </c>
      <c r="U650" s="436"/>
      <c r="V650" s="436"/>
      <c r="W650" s="432"/>
      <c r="Y650" s="433">
        <f t="shared" si="118"/>
        <v>0</v>
      </c>
      <c r="Z650" s="433">
        <f t="shared" si="119"/>
        <v>0</v>
      </c>
      <c r="AC650" s="410">
        <f t="shared" si="120"/>
        <v>0</v>
      </c>
    </row>
    <row r="651" spans="1:29" s="410" customFormat="1" ht="17.25" hidden="1" customHeight="1">
      <c r="B651" s="417" t="str">
        <f>IF(A651&lt;&gt;0,COUNTA(A$19:$A651),"")</f>
        <v/>
      </c>
      <c r="C651" s="428" t="s">
        <v>1033</v>
      </c>
      <c r="D651" s="428"/>
      <c r="E651" s="435"/>
      <c r="F651" s="435"/>
      <c r="G651" s="419"/>
      <c r="H651" s="419"/>
      <c r="I651" s="419"/>
      <c r="J651" s="419"/>
      <c r="K651" s="420">
        <v>1</v>
      </c>
      <c r="L651" s="420">
        <f t="shared" si="113"/>
        <v>93246</v>
      </c>
      <c r="M651" s="420">
        <f t="shared" si="114"/>
        <v>289880</v>
      </c>
      <c r="N651" s="445">
        <f t="shared" ref="N651:N658" si="124">SUMPRODUCT(G651:J651,$G$12:$J$12,$G$9:$J$9)</f>
        <v>0</v>
      </c>
      <c r="O651" s="719"/>
      <c r="P651" s="719">
        <f t="shared" si="121"/>
        <v>373945.2</v>
      </c>
      <c r="Q651" s="423">
        <f>SUMIF('8.Dgia'!E:E,'9.may'!E651,'8.Dgia'!P:P)</f>
        <v>0</v>
      </c>
      <c r="R651" s="429">
        <f t="shared" si="115"/>
        <v>0</v>
      </c>
      <c r="S651" s="301">
        <f t="shared" si="116"/>
        <v>27041.340000000004</v>
      </c>
      <c r="T651" s="430">
        <f t="shared" si="117"/>
        <v>316921.34000000003</v>
      </c>
      <c r="U651" s="431"/>
      <c r="V651" s="431">
        <v>93246</v>
      </c>
      <c r="W651" s="432">
        <v>289880</v>
      </c>
      <c r="Y651" s="433">
        <f t="shared" si="118"/>
        <v>-27041.340000000026</v>
      </c>
      <c r="Z651" s="433">
        <f t="shared" si="119"/>
        <v>0</v>
      </c>
      <c r="AC651" s="410">
        <f t="shared" si="120"/>
        <v>0</v>
      </c>
    </row>
    <row r="652" spans="1:29" s="410" customFormat="1" ht="17.25" customHeight="1">
      <c r="A652" s="410">
        <v>1</v>
      </c>
      <c r="B652" s="417">
        <f>IF(A652&lt;&gt;0,COUNTA(A$19:$A652),"")</f>
        <v>160</v>
      </c>
      <c r="C652" s="428" t="s">
        <v>1561</v>
      </c>
      <c r="D652" s="428" t="s">
        <v>1562</v>
      </c>
      <c r="E652" s="435" t="s">
        <v>561</v>
      </c>
      <c r="F652" s="435" t="s">
        <v>4811</v>
      </c>
      <c r="G652" s="419"/>
      <c r="H652" s="419"/>
      <c r="I652" s="419"/>
      <c r="J652" s="419"/>
      <c r="K652" s="420">
        <v>1</v>
      </c>
      <c r="L652" s="420">
        <f t="shared" si="113"/>
        <v>93246</v>
      </c>
      <c r="M652" s="420">
        <f t="shared" si="114"/>
        <v>454640</v>
      </c>
      <c r="N652" s="445">
        <f t="shared" si="124"/>
        <v>0</v>
      </c>
      <c r="O652" s="719"/>
      <c r="P652" s="719">
        <f t="shared" si="121"/>
        <v>586485.6</v>
      </c>
      <c r="Q652" s="423" t="e">
        <f>SUMIF('8.Dgia'!E:E,'9.may'!E652,'8.Dgia'!P:P)</f>
        <v>#REF!</v>
      </c>
      <c r="R652" s="429" t="e">
        <f t="shared" si="115"/>
        <v>#REF!</v>
      </c>
      <c r="S652" s="301">
        <f t="shared" si="116"/>
        <v>27041.340000000004</v>
      </c>
      <c r="T652" s="430">
        <f t="shared" si="117"/>
        <v>481681.34</v>
      </c>
      <c r="U652" s="2053"/>
      <c r="V652" s="2053">
        <v>93246</v>
      </c>
      <c r="W652" s="2054">
        <v>454640</v>
      </c>
      <c r="Y652" s="433">
        <f t="shared" si="118"/>
        <v>-27041.340000000026</v>
      </c>
      <c r="Z652" s="433">
        <f t="shared" si="119"/>
        <v>0</v>
      </c>
      <c r="AC652" s="410" t="e">
        <f t="shared" si="120"/>
        <v>#REF!</v>
      </c>
    </row>
    <row r="653" spans="1:29" s="427" customFormat="1" ht="17.25" customHeight="1">
      <c r="A653" s="410">
        <v>1</v>
      </c>
      <c r="B653" s="417">
        <f>IF(A653&lt;&gt;0,COUNTA(A$19:$A653),"")</f>
        <v>161</v>
      </c>
      <c r="C653" s="428" t="s">
        <v>1563</v>
      </c>
      <c r="D653" s="428" t="s">
        <v>1564</v>
      </c>
      <c r="E653" s="435" t="s">
        <v>1565</v>
      </c>
      <c r="F653" s="435" t="s">
        <v>4812</v>
      </c>
      <c r="G653" s="419"/>
      <c r="H653" s="419"/>
      <c r="I653" s="419"/>
      <c r="J653" s="419"/>
      <c r="K653" s="420">
        <v>1</v>
      </c>
      <c r="L653" s="420">
        <f t="shared" si="113"/>
        <v>93246</v>
      </c>
      <c r="M653" s="420">
        <f t="shared" si="114"/>
        <v>563041</v>
      </c>
      <c r="N653" s="445">
        <f t="shared" si="124"/>
        <v>0</v>
      </c>
      <c r="O653" s="719"/>
      <c r="P653" s="719">
        <f t="shared" si="121"/>
        <v>726322.89</v>
      </c>
      <c r="Q653" s="423">
        <f>SUMIF('8.Dgia'!E:E,'9.may'!E653,'8.Dgia'!P:P)</f>
        <v>0</v>
      </c>
      <c r="R653" s="429">
        <f t="shared" si="115"/>
        <v>0</v>
      </c>
      <c r="S653" s="301">
        <f t="shared" si="116"/>
        <v>27041.340000000004</v>
      </c>
      <c r="T653" s="430">
        <f t="shared" si="117"/>
        <v>590082.34</v>
      </c>
      <c r="U653" s="2053"/>
      <c r="V653" s="2053">
        <v>93246</v>
      </c>
      <c r="W653" s="2054">
        <v>563041</v>
      </c>
      <c r="Y653" s="433">
        <f t="shared" si="118"/>
        <v>-27041.339999999967</v>
      </c>
      <c r="Z653" s="433">
        <f t="shared" si="119"/>
        <v>0</v>
      </c>
      <c r="AC653" s="410">
        <f t="shared" si="120"/>
        <v>0</v>
      </c>
    </row>
    <row r="654" spans="1:29" s="427" customFormat="1" ht="17.25" customHeight="1">
      <c r="A654" s="410">
        <v>1</v>
      </c>
      <c r="B654" s="417">
        <f>IF(A654&lt;&gt;0,COUNTA(A$19:$A654),"")</f>
        <v>162</v>
      </c>
      <c r="C654" s="428" t="s">
        <v>1566</v>
      </c>
      <c r="D654" s="428" t="s">
        <v>1567</v>
      </c>
      <c r="E654" s="435" t="s">
        <v>1568</v>
      </c>
      <c r="F654" s="435" t="s">
        <v>4813</v>
      </c>
      <c r="G654" s="419"/>
      <c r="H654" s="419"/>
      <c r="I654" s="419"/>
      <c r="J654" s="419"/>
      <c r="K654" s="420">
        <v>1</v>
      </c>
      <c r="L654" s="420">
        <f t="shared" si="113"/>
        <v>93246</v>
      </c>
      <c r="M654" s="420">
        <f t="shared" si="114"/>
        <v>672333</v>
      </c>
      <c r="N654" s="445">
        <f t="shared" si="124"/>
        <v>0</v>
      </c>
      <c r="O654" s="719"/>
      <c r="P654" s="719">
        <f t="shared" si="121"/>
        <v>867309.57000000007</v>
      </c>
      <c r="Q654" s="423">
        <f>SUMIF('8.Dgia'!E:E,'9.may'!E654,'8.Dgia'!P:P)</f>
        <v>0</v>
      </c>
      <c r="R654" s="429">
        <f t="shared" si="115"/>
        <v>0</v>
      </c>
      <c r="S654" s="301">
        <f t="shared" si="116"/>
        <v>27041.340000000004</v>
      </c>
      <c r="T654" s="430">
        <f t="shared" si="117"/>
        <v>699374.34</v>
      </c>
      <c r="U654" s="2053"/>
      <c r="V654" s="2053">
        <v>93246</v>
      </c>
      <c r="W654" s="2054">
        <v>672333</v>
      </c>
      <c r="Y654" s="433">
        <f t="shared" si="118"/>
        <v>-27041.339999999967</v>
      </c>
      <c r="Z654" s="433">
        <f t="shared" si="119"/>
        <v>0</v>
      </c>
      <c r="AC654" s="410">
        <f t="shared" si="120"/>
        <v>0</v>
      </c>
    </row>
    <row r="655" spans="1:29" s="427" customFormat="1" ht="17.25" customHeight="1">
      <c r="A655" s="410">
        <v>1</v>
      </c>
      <c r="B655" s="417">
        <f>IF(A655&lt;&gt;0,COUNTA(A$19:$A655),"")</f>
        <v>163</v>
      </c>
      <c r="C655" s="428" t="s">
        <v>1569</v>
      </c>
      <c r="D655" s="428" t="s">
        <v>1570</v>
      </c>
      <c r="E655" s="435" t="s">
        <v>556</v>
      </c>
      <c r="F655" s="435" t="s">
        <v>4814</v>
      </c>
      <c r="G655" s="419"/>
      <c r="H655" s="419"/>
      <c r="I655" s="419"/>
      <c r="J655" s="419"/>
      <c r="K655" s="420">
        <v>1</v>
      </c>
      <c r="L655" s="420">
        <f t="shared" si="113"/>
        <v>93246</v>
      </c>
      <c r="M655" s="420">
        <f t="shared" si="114"/>
        <v>887218</v>
      </c>
      <c r="N655" s="445">
        <f t="shared" si="124"/>
        <v>0</v>
      </c>
      <c r="O655" s="719"/>
      <c r="P655" s="719">
        <f t="shared" si="121"/>
        <v>1144511.22</v>
      </c>
      <c r="Q655" s="423" t="e">
        <f>SUMIF('8.Dgia'!E:E,'9.may'!E655,'8.Dgia'!P:P)</f>
        <v>#REF!</v>
      </c>
      <c r="R655" s="429" t="e">
        <f t="shared" si="115"/>
        <v>#REF!</v>
      </c>
      <c r="S655" s="301">
        <f t="shared" si="116"/>
        <v>27041.340000000004</v>
      </c>
      <c r="T655" s="430">
        <f t="shared" si="117"/>
        <v>914259.34</v>
      </c>
      <c r="U655" s="2053"/>
      <c r="V655" s="2053">
        <v>93246</v>
      </c>
      <c r="W655" s="2054">
        <v>887218</v>
      </c>
      <c r="Y655" s="433">
        <f t="shared" si="118"/>
        <v>-27041.339999999967</v>
      </c>
      <c r="Z655" s="433">
        <f t="shared" si="119"/>
        <v>0</v>
      </c>
      <c r="AC655" s="410" t="e">
        <f t="shared" si="120"/>
        <v>#REF!</v>
      </c>
    </row>
    <row r="656" spans="1:29" s="427" customFormat="1" ht="17.25" customHeight="1">
      <c r="A656" s="410">
        <v>1</v>
      </c>
      <c r="B656" s="417">
        <f>IF(A656&lt;&gt;0,COUNTA(A$19:$A656),"")</f>
        <v>164</v>
      </c>
      <c r="C656" s="428" t="s">
        <v>1571</v>
      </c>
      <c r="D656" s="428" t="s">
        <v>1572</v>
      </c>
      <c r="E656" s="435" t="s">
        <v>1573</v>
      </c>
      <c r="F656" s="435" t="s">
        <v>4815</v>
      </c>
      <c r="G656" s="419"/>
      <c r="H656" s="419"/>
      <c r="I656" s="419"/>
      <c r="J656" s="419"/>
      <c r="K656" s="420">
        <v>1</v>
      </c>
      <c r="L656" s="420">
        <f t="shared" si="113"/>
        <v>93246</v>
      </c>
      <c r="M656" s="420">
        <f t="shared" si="114"/>
        <v>1027331</v>
      </c>
      <c r="N656" s="445">
        <f t="shared" si="124"/>
        <v>0</v>
      </c>
      <c r="O656" s="719"/>
      <c r="P656" s="719">
        <f t="shared" si="121"/>
        <v>1325256.99</v>
      </c>
      <c r="Q656" s="423">
        <f>SUMIF('8.Dgia'!E:E,'9.may'!E656,'8.Dgia'!P:P)</f>
        <v>0</v>
      </c>
      <c r="R656" s="429">
        <f t="shared" si="115"/>
        <v>0</v>
      </c>
      <c r="S656" s="301">
        <f t="shared" si="116"/>
        <v>27041.340000000004</v>
      </c>
      <c r="T656" s="430">
        <f t="shared" si="117"/>
        <v>1054372.3400000001</v>
      </c>
      <c r="U656" s="2053"/>
      <c r="V656" s="2053">
        <v>93246</v>
      </c>
      <c r="W656" s="2054">
        <v>1027331</v>
      </c>
      <c r="Y656" s="433">
        <f t="shared" si="118"/>
        <v>-27041.340000000084</v>
      </c>
      <c r="Z656" s="433">
        <f t="shared" si="119"/>
        <v>0</v>
      </c>
      <c r="AC656" s="410">
        <f t="shared" si="120"/>
        <v>0</v>
      </c>
    </row>
    <row r="657" spans="1:29" s="427" customFormat="1" ht="17.25" hidden="1" customHeight="1">
      <c r="B657" s="417" t="str">
        <f>IF(A657&lt;&gt;0,COUNTA(A$19:$A657),"")</f>
        <v/>
      </c>
      <c r="C657" s="428" t="s">
        <v>1574</v>
      </c>
      <c r="D657" s="428" t="s">
        <v>1575</v>
      </c>
      <c r="E657" s="435"/>
      <c r="F657" s="435" t="s">
        <v>4816</v>
      </c>
      <c r="G657" s="419"/>
      <c r="H657" s="419"/>
      <c r="I657" s="419"/>
      <c r="J657" s="419"/>
      <c r="K657" s="420">
        <v>1</v>
      </c>
      <c r="L657" s="420">
        <f t="shared" si="113"/>
        <v>93246</v>
      </c>
      <c r="M657" s="420">
        <f t="shared" si="114"/>
        <v>1402083</v>
      </c>
      <c r="N657" s="445">
        <f t="shared" si="124"/>
        <v>0</v>
      </c>
      <c r="O657" s="719"/>
      <c r="P657" s="719">
        <f t="shared" si="121"/>
        <v>1808687.07</v>
      </c>
      <c r="Q657" s="423">
        <f>SUMIF('8.Dgia'!E:E,'9.may'!E657,'8.Dgia'!P:P)</f>
        <v>0</v>
      </c>
      <c r="R657" s="429">
        <f t="shared" si="115"/>
        <v>0</v>
      </c>
      <c r="S657" s="301">
        <f t="shared" si="116"/>
        <v>27041.340000000004</v>
      </c>
      <c r="T657" s="430">
        <f t="shared" si="117"/>
        <v>1429124.34</v>
      </c>
      <c r="U657" s="431"/>
      <c r="V657" s="431">
        <v>93246</v>
      </c>
      <c r="W657" s="432">
        <v>1402083</v>
      </c>
      <c r="Y657" s="433">
        <f t="shared" si="118"/>
        <v>-27041.340000000084</v>
      </c>
      <c r="Z657" s="433">
        <f t="shared" si="119"/>
        <v>0</v>
      </c>
      <c r="AC657" s="410">
        <f t="shared" si="120"/>
        <v>0</v>
      </c>
    </row>
    <row r="658" spans="1:29" s="427" customFormat="1" ht="17.25" hidden="1" customHeight="1">
      <c r="B658" s="417" t="str">
        <f>IF(A658&lt;&gt;0,COUNTA(A$19:$A658),"")</f>
        <v/>
      </c>
      <c r="C658" s="428" t="s">
        <v>1576</v>
      </c>
      <c r="D658" s="428"/>
      <c r="E658" s="435"/>
      <c r="F658" s="435"/>
      <c r="G658" s="419"/>
      <c r="H658" s="419"/>
      <c r="I658" s="419"/>
      <c r="J658" s="419"/>
      <c r="K658" s="420">
        <v>1</v>
      </c>
      <c r="L658" s="420">
        <f t="shared" si="113"/>
        <v>93246</v>
      </c>
      <c r="M658" s="420">
        <f t="shared" si="114"/>
        <v>1633054</v>
      </c>
      <c r="N658" s="445">
        <f t="shared" si="124"/>
        <v>0</v>
      </c>
      <c r="O658" s="719"/>
      <c r="P658" s="719">
        <f t="shared" si="121"/>
        <v>2106639.66</v>
      </c>
      <c r="Q658" s="423">
        <f>SUMIF('8.Dgia'!E:E,'9.may'!E658,'8.Dgia'!P:P)</f>
        <v>0</v>
      </c>
      <c r="R658" s="429">
        <f t="shared" si="115"/>
        <v>0</v>
      </c>
      <c r="S658" s="301">
        <f t="shared" si="116"/>
        <v>27041.340000000004</v>
      </c>
      <c r="T658" s="430">
        <f t="shared" si="117"/>
        <v>1660095.34</v>
      </c>
      <c r="U658" s="431"/>
      <c r="V658" s="431">
        <v>93246</v>
      </c>
      <c r="W658" s="432">
        <v>1633054</v>
      </c>
      <c r="Y658" s="433">
        <f t="shared" si="118"/>
        <v>-27041.340000000084</v>
      </c>
      <c r="Z658" s="433">
        <f t="shared" si="119"/>
        <v>0</v>
      </c>
      <c r="AC658" s="410">
        <f t="shared" si="120"/>
        <v>0</v>
      </c>
    </row>
    <row r="659" spans="1:29" s="427" customFormat="1" ht="17.25" hidden="1" customHeight="1">
      <c r="B659" s="417" t="str">
        <f>IF(A659&lt;&gt;0,COUNTA(A$19:$A659),"")</f>
        <v/>
      </c>
      <c r="C659" s="418" t="s">
        <v>1577</v>
      </c>
      <c r="D659" s="418"/>
      <c r="E659" s="435"/>
      <c r="F659" s="435"/>
      <c r="G659" s="419"/>
      <c r="H659" s="419"/>
      <c r="I659" s="419"/>
      <c r="J659" s="419"/>
      <c r="K659" s="420"/>
      <c r="L659" s="420">
        <f t="shared" si="113"/>
        <v>0</v>
      </c>
      <c r="M659" s="420">
        <f t="shared" si="114"/>
        <v>0</v>
      </c>
      <c r="N659" s="445"/>
      <c r="O659" s="719"/>
      <c r="P659" s="719">
        <f t="shared" si="121"/>
        <v>0</v>
      </c>
      <c r="Q659" s="423">
        <f>SUMIF('8.Dgia'!E:E,'9.may'!E659,'8.Dgia'!P:P)</f>
        <v>0</v>
      </c>
      <c r="R659" s="429">
        <f t="shared" si="115"/>
        <v>0</v>
      </c>
      <c r="S659" s="301">
        <f t="shared" si="116"/>
        <v>0</v>
      </c>
      <c r="T659" s="430">
        <f t="shared" si="117"/>
        <v>0</v>
      </c>
      <c r="U659" s="436"/>
      <c r="V659" s="436"/>
      <c r="W659" s="432"/>
      <c r="Y659" s="433">
        <f t="shared" si="118"/>
        <v>0</v>
      </c>
      <c r="Z659" s="433">
        <f t="shared" si="119"/>
        <v>0</v>
      </c>
      <c r="AC659" s="410">
        <f t="shared" si="120"/>
        <v>0</v>
      </c>
    </row>
    <row r="660" spans="1:29" s="427" customFormat="1" ht="17.25" hidden="1" customHeight="1">
      <c r="B660" s="417" t="str">
        <f>IF(A660&lt;&gt;0,COUNTA(A$19:$A660),"")</f>
        <v/>
      </c>
      <c r="C660" s="428" t="s">
        <v>1092</v>
      </c>
      <c r="D660" s="428"/>
      <c r="E660" s="435"/>
      <c r="F660" s="435"/>
      <c r="G660" s="419"/>
      <c r="H660" s="419"/>
      <c r="I660" s="419"/>
      <c r="J660" s="419"/>
      <c r="K660" s="420">
        <v>1</v>
      </c>
      <c r="L660" s="420">
        <f t="shared" ref="L660:L723" si="125">+V660</f>
        <v>347244</v>
      </c>
      <c r="M660" s="420">
        <f t="shared" ref="M660:M723" si="126">+W660</f>
        <v>690770</v>
      </c>
      <c r="N660" s="445">
        <f>SUMPRODUCT(G660:J660,$G$12:$J$12,$G$9:$J$9)</f>
        <v>0</v>
      </c>
      <c r="O660" s="719"/>
      <c r="P660" s="719">
        <f t="shared" si="121"/>
        <v>891093.3</v>
      </c>
      <c r="Q660" s="423">
        <f>SUMIF('8.Dgia'!E:E,'9.may'!E660,'8.Dgia'!P:P)</f>
        <v>0</v>
      </c>
      <c r="R660" s="429">
        <f t="shared" ref="R660:R723" si="127">N660*Q660</f>
        <v>0</v>
      </c>
      <c r="S660" s="301">
        <f t="shared" ref="S660:S723" si="128">L660*($G$13-1)</f>
        <v>100700.76000000001</v>
      </c>
      <c r="T660" s="430">
        <f t="shared" ref="T660:T723" si="129">S660+N660+M660</f>
        <v>791470.76</v>
      </c>
      <c r="U660" s="431"/>
      <c r="V660" s="431">
        <v>347244</v>
      </c>
      <c r="W660" s="432">
        <v>690770</v>
      </c>
      <c r="Y660" s="433">
        <f t="shared" ref="Y660:Y723" si="130">W660-T660</f>
        <v>-100700.76000000001</v>
      </c>
      <c r="Z660" s="433">
        <f t="shared" ref="Z660:Z723" si="131">W660-M660</f>
        <v>0</v>
      </c>
      <c r="AC660" s="410">
        <f t="shared" ref="AC660:AC723" si="132">+P660*Q660</f>
        <v>0</v>
      </c>
    </row>
    <row r="661" spans="1:29" s="427" customFormat="1" ht="17.25" hidden="1" customHeight="1">
      <c r="B661" s="417" t="str">
        <f>IF(A661&lt;&gt;0,COUNTA(A$19:$A661),"")</f>
        <v/>
      </c>
      <c r="C661" s="418" t="s">
        <v>1578</v>
      </c>
      <c r="D661" s="418"/>
      <c r="E661" s="435"/>
      <c r="F661" s="435"/>
      <c r="G661" s="419"/>
      <c r="H661" s="419"/>
      <c r="I661" s="419"/>
      <c r="J661" s="419"/>
      <c r="K661" s="420"/>
      <c r="L661" s="420">
        <f t="shared" si="125"/>
        <v>0</v>
      </c>
      <c r="M661" s="420">
        <f t="shared" si="126"/>
        <v>0</v>
      </c>
      <c r="N661" s="445"/>
      <c r="O661" s="719"/>
      <c r="P661" s="719">
        <f t="shared" ref="P661:P724" si="133">+N661+M661*$G$13</f>
        <v>0</v>
      </c>
      <c r="Q661" s="423">
        <f>SUMIF('8.Dgia'!E:E,'9.may'!E661,'8.Dgia'!P:P)</f>
        <v>0</v>
      </c>
      <c r="R661" s="429">
        <f t="shared" si="127"/>
        <v>0</v>
      </c>
      <c r="S661" s="301">
        <f t="shared" si="128"/>
        <v>0</v>
      </c>
      <c r="T661" s="430">
        <f t="shared" si="129"/>
        <v>0</v>
      </c>
      <c r="U661" s="436"/>
      <c r="V661" s="436"/>
      <c r="W661" s="432"/>
      <c r="Y661" s="433">
        <f t="shared" si="130"/>
        <v>0</v>
      </c>
      <c r="Z661" s="433">
        <f t="shared" si="131"/>
        <v>0</v>
      </c>
      <c r="AC661" s="410">
        <f t="shared" si="132"/>
        <v>0</v>
      </c>
    </row>
    <row r="662" spans="1:29" s="427" customFormat="1" ht="17.25" hidden="1" customHeight="1">
      <c r="B662" s="417" t="str">
        <f>IF(A662&lt;&gt;0,COUNTA(A$19:$A662),"")</f>
        <v/>
      </c>
      <c r="C662" s="428" t="s">
        <v>899</v>
      </c>
      <c r="D662" s="428"/>
      <c r="E662" s="435"/>
      <c r="F662" s="435"/>
      <c r="G662" s="419"/>
      <c r="H662" s="419"/>
      <c r="I662" s="419"/>
      <c r="J662" s="419"/>
      <c r="K662" s="420">
        <v>1</v>
      </c>
      <c r="L662" s="420">
        <f t="shared" si="125"/>
        <v>0</v>
      </c>
      <c r="M662" s="420">
        <f t="shared" si="126"/>
        <v>37547</v>
      </c>
      <c r="N662" s="445">
        <f>SUMPRODUCT(G662:J662,$G$12:$J$12,$G$9:$J$9)</f>
        <v>0</v>
      </c>
      <c r="O662" s="719"/>
      <c r="P662" s="719">
        <f t="shared" si="133"/>
        <v>48435.630000000005</v>
      </c>
      <c r="Q662" s="423">
        <f>SUMIF('8.Dgia'!E:E,'9.may'!E662,'8.Dgia'!P:P)</f>
        <v>0</v>
      </c>
      <c r="R662" s="429">
        <f t="shared" si="127"/>
        <v>0</v>
      </c>
      <c r="S662" s="301">
        <f t="shared" si="128"/>
        <v>0</v>
      </c>
      <c r="T662" s="430">
        <f t="shared" si="129"/>
        <v>37547</v>
      </c>
      <c r="U662" s="431"/>
      <c r="V662" s="431"/>
      <c r="W662" s="432">
        <v>37547</v>
      </c>
      <c r="Y662" s="433">
        <f t="shared" si="130"/>
        <v>0</v>
      </c>
      <c r="Z662" s="433">
        <f t="shared" si="131"/>
        <v>0</v>
      </c>
      <c r="AC662" s="410">
        <f t="shared" si="132"/>
        <v>0</v>
      </c>
    </row>
    <row r="663" spans="1:29" s="427" customFormat="1" ht="17.25" hidden="1" customHeight="1">
      <c r="B663" s="417" t="str">
        <f>IF(A663&lt;&gt;0,COUNTA(A$19:$A663),"")</f>
        <v/>
      </c>
      <c r="C663" s="428" t="s">
        <v>1579</v>
      </c>
      <c r="D663" s="428"/>
      <c r="E663" s="435"/>
      <c r="F663" s="435"/>
      <c r="G663" s="419"/>
      <c r="H663" s="419"/>
      <c r="I663" s="419"/>
      <c r="J663" s="419"/>
      <c r="K663" s="420">
        <v>1</v>
      </c>
      <c r="L663" s="420">
        <f t="shared" si="125"/>
        <v>0</v>
      </c>
      <c r="M663" s="420">
        <f t="shared" si="126"/>
        <v>49579</v>
      </c>
      <c r="N663" s="445">
        <f>SUMPRODUCT(G663:J663,$G$12:$J$12,$G$9:$J$9)</f>
        <v>0</v>
      </c>
      <c r="O663" s="719"/>
      <c r="P663" s="719">
        <f t="shared" si="133"/>
        <v>63956.91</v>
      </c>
      <c r="Q663" s="423">
        <f>SUMIF('8.Dgia'!E:E,'9.may'!E663,'8.Dgia'!P:P)</f>
        <v>0</v>
      </c>
      <c r="R663" s="429">
        <f t="shared" si="127"/>
        <v>0</v>
      </c>
      <c r="S663" s="301">
        <f t="shared" si="128"/>
        <v>0</v>
      </c>
      <c r="T663" s="430">
        <f t="shared" si="129"/>
        <v>49579</v>
      </c>
      <c r="U663" s="431"/>
      <c r="V663" s="431"/>
      <c r="W663" s="432">
        <v>49579</v>
      </c>
      <c r="Y663" s="433">
        <f t="shared" si="130"/>
        <v>0</v>
      </c>
      <c r="Z663" s="433">
        <f t="shared" si="131"/>
        <v>0</v>
      </c>
      <c r="AC663" s="410">
        <f t="shared" si="132"/>
        <v>0</v>
      </c>
    </row>
    <row r="664" spans="1:29" s="427" customFormat="1" ht="17.25" customHeight="1">
      <c r="A664" s="410">
        <v>1</v>
      </c>
      <c r="B664" s="417">
        <f>IF(A664&lt;&gt;0,COUNTA(A$19:$A664),"")</f>
        <v>165</v>
      </c>
      <c r="C664" s="428" t="s">
        <v>1087</v>
      </c>
      <c r="D664" s="428" t="s">
        <v>1580</v>
      </c>
      <c r="E664" s="435" t="s">
        <v>93</v>
      </c>
      <c r="F664" s="435" t="s">
        <v>4817</v>
      </c>
      <c r="G664" s="419"/>
      <c r="H664" s="419"/>
      <c r="I664" s="419"/>
      <c r="J664" s="419"/>
      <c r="K664" s="420">
        <v>1</v>
      </c>
      <c r="L664" s="420">
        <f t="shared" si="125"/>
        <v>0</v>
      </c>
      <c r="M664" s="420">
        <f t="shared" si="126"/>
        <v>77303</v>
      </c>
      <c r="N664" s="445">
        <f>SUMPRODUCT(G664:J664,$G$12:$J$12,$G$9:$J$9)</f>
        <v>0</v>
      </c>
      <c r="O664" s="719"/>
      <c r="P664" s="719">
        <f t="shared" si="133"/>
        <v>99720.87000000001</v>
      </c>
      <c r="Q664" s="423"/>
      <c r="R664" s="429">
        <f t="shared" si="127"/>
        <v>0</v>
      </c>
      <c r="S664" s="301">
        <f t="shared" si="128"/>
        <v>0</v>
      </c>
      <c r="T664" s="430">
        <f t="shared" si="129"/>
        <v>77303</v>
      </c>
      <c r="U664" s="2053"/>
      <c r="V664" s="2053"/>
      <c r="W664" s="2054">
        <v>77303</v>
      </c>
      <c r="Y664" s="433">
        <f t="shared" si="130"/>
        <v>0</v>
      </c>
      <c r="Z664" s="433">
        <f t="shared" si="131"/>
        <v>0</v>
      </c>
      <c r="AC664" s="410">
        <f t="shared" si="132"/>
        <v>0</v>
      </c>
    </row>
    <row r="665" spans="1:29" s="427" customFormat="1" ht="17.25" customHeight="1">
      <c r="A665" s="410">
        <v>1</v>
      </c>
      <c r="B665" s="417">
        <f>IF(A665&lt;&gt;0,COUNTA(A$19:$A665),"")</f>
        <v>166</v>
      </c>
      <c r="C665" s="428" t="s">
        <v>1536</v>
      </c>
      <c r="D665" s="428" t="s">
        <v>1581</v>
      </c>
      <c r="E665" s="435" t="s">
        <v>349</v>
      </c>
      <c r="F665" s="435" t="s">
        <v>4818</v>
      </c>
      <c r="G665" s="419"/>
      <c r="H665" s="419"/>
      <c r="I665" s="419"/>
      <c r="J665" s="419"/>
      <c r="K665" s="420">
        <v>1</v>
      </c>
      <c r="L665" s="420">
        <f t="shared" si="125"/>
        <v>0</v>
      </c>
      <c r="M665" s="420">
        <f t="shared" si="126"/>
        <v>134734</v>
      </c>
      <c r="N665" s="445">
        <f>SUMPRODUCT(G665:J665,$G$12:$J$12,$G$9:$J$9)</f>
        <v>0</v>
      </c>
      <c r="O665" s="719"/>
      <c r="P665" s="719">
        <f t="shared" si="133"/>
        <v>173806.86000000002</v>
      </c>
      <c r="Q665" s="423"/>
      <c r="R665" s="429">
        <f t="shared" si="127"/>
        <v>0</v>
      </c>
      <c r="S665" s="301">
        <f t="shared" si="128"/>
        <v>0</v>
      </c>
      <c r="T665" s="430">
        <f t="shared" si="129"/>
        <v>134734</v>
      </c>
      <c r="U665" s="2053"/>
      <c r="V665" s="2053"/>
      <c r="W665" s="2054">
        <v>134734</v>
      </c>
      <c r="Y665" s="433">
        <f t="shared" si="130"/>
        <v>0</v>
      </c>
      <c r="Z665" s="433">
        <f t="shared" si="131"/>
        <v>0</v>
      </c>
      <c r="AC665" s="410">
        <f t="shared" si="132"/>
        <v>0</v>
      </c>
    </row>
    <row r="666" spans="1:29" s="427" customFormat="1" ht="17.25" hidden="1" customHeight="1">
      <c r="B666" s="417" t="str">
        <f>IF(A666&lt;&gt;0,COUNTA(A$19:$A666),"")</f>
        <v/>
      </c>
      <c r="C666" s="418" t="s">
        <v>1582</v>
      </c>
      <c r="D666" s="418"/>
      <c r="E666" s="435"/>
      <c r="F666" s="435"/>
      <c r="G666" s="419"/>
      <c r="H666" s="419"/>
      <c r="I666" s="419"/>
      <c r="J666" s="419"/>
      <c r="K666" s="420"/>
      <c r="L666" s="420">
        <f t="shared" si="125"/>
        <v>0</v>
      </c>
      <c r="M666" s="420">
        <f t="shared" si="126"/>
        <v>0</v>
      </c>
      <c r="N666" s="445"/>
      <c r="O666" s="719"/>
      <c r="P666" s="719">
        <f t="shared" si="133"/>
        <v>0</v>
      </c>
      <c r="Q666" s="423">
        <f>SUMIF('8.Dgia'!E:E,'9.may'!E666,'8.Dgia'!P:P)</f>
        <v>0</v>
      </c>
      <c r="R666" s="429">
        <f t="shared" si="127"/>
        <v>0</v>
      </c>
      <c r="S666" s="301">
        <f t="shared" si="128"/>
        <v>0</v>
      </c>
      <c r="T666" s="430">
        <f t="shared" si="129"/>
        <v>0</v>
      </c>
      <c r="U666" s="436"/>
      <c r="V666" s="436"/>
      <c r="W666" s="432"/>
      <c r="Y666" s="433">
        <f t="shared" si="130"/>
        <v>0</v>
      </c>
      <c r="Z666" s="433">
        <f t="shared" si="131"/>
        <v>0</v>
      </c>
      <c r="AC666" s="410">
        <f t="shared" si="132"/>
        <v>0</v>
      </c>
    </row>
    <row r="667" spans="1:29" s="427" customFormat="1" ht="17.25" hidden="1" customHeight="1">
      <c r="B667" s="417" t="str">
        <f>IF(A667&lt;&gt;0,COUNTA(A$19:$A667),"")</f>
        <v/>
      </c>
      <c r="C667" s="428" t="s">
        <v>1583</v>
      </c>
      <c r="D667" s="428"/>
      <c r="E667" s="435"/>
      <c r="F667" s="435"/>
      <c r="G667" s="419">
        <v>3.15</v>
      </c>
      <c r="H667" s="419"/>
      <c r="I667" s="419"/>
      <c r="J667" s="419"/>
      <c r="K667" s="420">
        <v>1</v>
      </c>
      <c r="L667" s="420">
        <f t="shared" si="125"/>
        <v>90723</v>
      </c>
      <c r="M667" s="420">
        <f t="shared" si="126"/>
        <v>153859</v>
      </c>
      <c r="N667" s="445">
        <f t="shared" ref="N667:N673" si="134">SUMPRODUCT(G667:J667,$G$12:$J$12,$G$9:$J$9)</f>
        <v>51176.646818181813</v>
      </c>
      <c r="O667" s="719"/>
      <c r="P667" s="719">
        <f t="shared" si="133"/>
        <v>249654.75681818184</v>
      </c>
      <c r="Q667" s="423">
        <f>SUMIF('8.Dgia'!E:E,'9.may'!E667,'8.Dgia'!P:P)</f>
        <v>0</v>
      </c>
      <c r="R667" s="429">
        <f t="shared" si="127"/>
        <v>0</v>
      </c>
      <c r="S667" s="301">
        <f t="shared" si="128"/>
        <v>26309.670000000002</v>
      </c>
      <c r="T667" s="430">
        <f t="shared" si="129"/>
        <v>231345.31681818183</v>
      </c>
      <c r="U667" s="431">
        <v>22551</v>
      </c>
      <c r="V667" s="431">
        <v>90723</v>
      </c>
      <c r="W667" s="432">
        <v>153859</v>
      </c>
      <c r="Y667" s="433">
        <f t="shared" si="130"/>
        <v>-77486.316818181833</v>
      </c>
      <c r="Z667" s="433">
        <f t="shared" si="131"/>
        <v>0</v>
      </c>
      <c r="AC667" s="410">
        <f t="shared" si="132"/>
        <v>0</v>
      </c>
    </row>
    <row r="668" spans="1:29" s="427" customFormat="1" ht="17.25" customHeight="1">
      <c r="A668" s="410">
        <v>1</v>
      </c>
      <c r="B668" s="417">
        <f>IF(A668&lt;&gt;0,COUNTA(A$19:$A668),"")</f>
        <v>167</v>
      </c>
      <c r="C668" s="428" t="s">
        <v>1584</v>
      </c>
      <c r="D668" s="428" t="s">
        <v>1585</v>
      </c>
      <c r="E668" s="435" t="s">
        <v>1586</v>
      </c>
      <c r="F668" s="435" t="s">
        <v>4819</v>
      </c>
      <c r="G668" s="419">
        <v>4.83</v>
      </c>
      <c r="H668" s="419"/>
      <c r="I668" s="419"/>
      <c r="J668" s="419"/>
      <c r="K668" s="420">
        <v>1</v>
      </c>
      <c r="L668" s="420">
        <f t="shared" si="125"/>
        <v>90723</v>
      </c>
      <c r="M668" s="420">
        <f t="shared" si="126"/>
        <v>170356</v>
      </c>
      <c r="N668" s="445">
        <f t="shared" si="134"/>
        <v>78470.858454545436</v>
      </c>
      <c r="O668" s="719"/>
      <c r="P668" s="719">
        <f t="shared" si="133"/>
        <v>298230.09845454548</v>
      </c>
      <c r="Q668" s="423">
        <f>SUMIF('8.Dgia'!E:E,'9.may'!E668,'8.Dgia'!P:P)</f>
        <v>0</v>
      </c>
      <c r="R668" s="429">
        <f t="shared" si="127"/>
        <v>0</v>
      </c>
      <c r="S668" s="301">
        <f t="shared" si="128"/>
        <v>26309.670000000002</v>
      </c>
      <c r="T668" s="430">
        <f t="shared" si="129"/>
        <v>275136.52845454542</v>
      </c>
      <c r="U668" s="2053">
        <v>34577</v>
      </c>
      <c r="V668" s="2053">
        <v>90723</v>
      </c>
      <c r="W668" s="2054">
        <v>170356</v>
      </c>
      <c r="Y668" s="433">
        <f t="shared" si="130"/>
        <v>-104780.52845454542</v>
      </c>
      <c r="Z668" s="433">
        <f t="shared" si="131"/>
        <v>0</v>
      </c>
      <c r="AC668" s="410">
        <f t="shared" si="132"/>
        <v>0</v>
      </c>
    </row>
    <row r="669" spans="1:29" s="410" customFormat="1" ht="17.25" customHeight="1">
      <c r="A669" s="410">
        <v>1</v>
      </c>
      <c r="B669" s="417">
        <f>IF(A669&lt;&gt;0,COUNTA(A$19:$A669),"")</f>
        <v>168</v>
      </c>
      <c r="C669" s="428" t="s">
        <v>1587</v>
      </c>
      <c r="D669" s="428" t="s">
        <v>1588</v>
      </c>
      <c r="E669" s="435" t="s">
        <v>1589</v>
      </c>
      <c r="F669" s="435" t="s">
        <v>4820</v>
      </c>
      <c r="G669" s="419">
        <v>6.3</v>
      </c>
      <c r="H669" s="419"/>
      <c r="I669" s="419"/>
      <c r="J669" s="419"/>
      <c r="K669" s="420">
        <v>1</v>
      </c>
      <c r="L669" s="420">
        <f t="shared" si="125"/>
        <v>90723</v>
      </c>
      <c r="M669" s="420">
        <f t="shared" si="126"/>
        <v>183937</v>
      </c>
      <c r="N669" s="445">
        <f t="shared" si="134"/>
        <v>102353.29363636363</v>
      </c>
      <c r="O669" s="719"/>
      <c r="P669" s="719">
        <f t="shared" si="133"/>
        <v>339632.02363636362</v>
      </c>
      <c r="Q669" s="423">
        <f>SUMIF('8.Dgia'!E:E,'9.may'!E669,'8.Dgia'!P:P)</f>
        <v>0</v>
      </c>
      <c r="R669" s="429">
        <f t="shared" si="127"/>
        <v>0</v>
      </c>
      <c r="S669" s="301">
        <f t="shared" si="128"/>
        <v>26309.670000000002</v>
      </c>
      <c r="T669" s="430">
        <f t="shared" si="129"/>
        <v>312599.96363636362</v>
      </c>
      <c r="U669" s="2053">
        <v>45101</v>
      </c>
      <c r="V669" s="2053">
        <v>90723</v>
      </c>
      <c r="W669" s="2054">
        <v>183937</v>
      </c>
      <c r="Y669" s="433">
        <f t="shared" si="130"/>
        <v>-128662.96363636362</v>
      </c>
      <c r="Z669" s="433">
        <f t="shared" si="131"/>
        <v>0</v>
      </c>
      <c r="AC669" s="410">
        <f t="shared" si="132"/>
        <v>0</v>
      </c>
    </row>
    <row r="670" spans="1:29" s="410" customFormat="1" ht="17.25" customHeight="1">
      <c r="A670" s="410">
        <v>1</v>
      </c>
      <c r="B670" s="417">
        <f>IF(A670&lt;&gt;0,COUNTA(A$19:$A670),"")</f>
        <v>169</v>
      </c>
      <c r="C670" s="428" t="s">
        <v>1590</v>
      </c>
      <c r="D670" s="428" t="s">
        <v>1591</v>
      </c>
      <c r="E670" s="435" t="s">
        <v>1592</v>
      </c>
      <c r="F670" s="435" t="s">
        <v>4821</v>
      </c>
      <c r="G670" s="419">
        <v>9.9</v>
      </c>
      <c r="H670" s="419"/>
      <c r="I670" s="419"/>
      <c r="J670" s="419"/>
      <c r="K670" s="420">
        <v>1</v>
      </c>
      <c r="L670" s="420">
        <f t="shared" si="125"/>
        <v>137346</v>
      </c>
      <c r="M670" s="420">
        <f t="shared" si="126"/>
        <v>270686</v>
      </c>
      <c r="N670" s="445">
        <f t="shared" si="134"/>
        <v>160840.88999999998</v>
      </c>
      <c r="O670" s="719"/>
      <c r="P670" s="719">
        <f t="shared" si="133"/>
        <v>510025.82999999996</v>
      </c>
      <c r="Q670" s="423">
        <f>SUMIF('8.Dgia'!E:E,'9.may'!E670,'8.Dgia'!P:P)</f>
        <v>0</v>
      </c>
      <c r="R670" s="429">
        <f t="shared" si="127"/>
        <v>0</v>
      </c>
      <c r="S670" s="301">
        <f t="shared" si="128"/>
        <v>39830.340000000004</v>
      </c>
      <c r="T670" s="430">
        <f t="shared" si="129"/>
        <v>471357.23</v>
      </c>
      <c r="U670" s="2053">
        <v>70873</v>
      </c>
      <c r="V670" s="2053">
        <v>137346</v>
      </c>
      <c r="W670" s="2054">
        <v>270686</v>
      </c>
      <c r="Y670" s="433">
        <f t="shared" si="130"/>
        <v>-200671.22999999998</v>
      </c>
      <c r="Z670" s="433">
        <f t="shared" si="131"/>
        <v>0</v>
      </c>
      <c r="AC670" s="410">
        <f t="shared" si="132"/>
        <v>0</v>
      </c>
    </row>
    <row r="671" spans="1:29" s="410" customFormat="1" ht="17.25" customHeight="1">
      <c r="A671" s="410">
        <v>1</v>
      </c>
      <c r="B671" s="417">
        <f>IF(A671&lt;&gt;0,COUNTA(A$19:$A671),"")</f>
        <v>170</v>
      </c>
      <c r="C671" s="428" t="s">
        <v>1593</v>
      </c>
      <c r="D671" s="428" t="s">
        <v>1594</v>
      </c>
      <c r="E671" s="435" t="s">
        <v>1595</v>
      </c>
      <c r="F671" s="435" t="s">
        <v>4822</v>
      </c>
      <c r="G671" s="419">
        <v>13.5</v>
      </c>
      <c r="H671" s="419"/>
      <c r="I671" s="419"/>
      <c r="J671" s="419"/>
      <c r="K671" s="420">
        <v>1</v>
      </c>
      <c r="L671" s="420">
        <f t="shared" si="125"/>
        <v>137346</v>
      </c>
      <c r="M671" s="420">
        <f t="shared" si="126"/>
        <v>316788</v>
      </c>
      <c r="N671" s="445">
        <f t="shared" si="134"/>
        <v>219328.48636363636</v>
      </c>
      <c r="O671" s="719"/>
      <c r="P671" s="719">
        <f t="shared" si="133"/>
        <v>627985.00636363635</v>
      </c>
      <c r="Q671" s="423">
        <f>SUMIF('8.Dgia'!E:E,'9.may'!E671,'8.Dgia'!P:P)</f>
        <v>0</v>
      </c>
      <c r="R671" s="429">
        <f t="shared" si="127"/>
        <v>0</v>
      </c>
      <c r="S671" s="301">
        <f t="shared" si="128"/>
        <v>39830.340000000004</v>
      </c>
      <c r="T671" s="430">
        <f t="shared" si="129"/>
        <v>575946.82636363641</v>
      </c>
      <c r="U671" s="2053">
        <v>96645</v>
      </c>
      <c r="V671" s="2053">
        <v>137346</v>
      </c>
      <c r="W671" s="2054">
        <v>316788</v>
      </c>
      <c r="Y671" s="433">
        <f t="shared" si="130"/>
        <v>-259158.82636363641</v>
      </c>
      <c r="Z671" s="433">
        <f t="shared" si="131"/>
        <v>0</v>
      </c>
      <c r="AC671" s="410">
        <f t="shared" si="132"/>
        <v>0</v>
      </c>
    </row>
    <row r="672" spans="1:29" s="410" customFormat="1" ht="17.25" hidden="1" customHeight="1">
      <c r="B672" s="417" t="str">
        <f>IF(A672&lt;&gt;0,COUNTA(A$19:$A672),"")</f>
        <v/>
      </c>
      <c r="C672" s="428" t="s">
        <v>1596</v>
      </c>
      <c r="D672" s="428"/>
      <c r="E672" s="435"/>
      <c r="F672" s="435"/>
      <c r="G672" s="419">
        <v>16.2</v>
      </c>
      <c r="H672" s="419"/>
      <c r="I672" s="419"/>
      <c r="J672" s="419"/>
      <c r="K672" s="420">
        <v>1</v>
      </c>
      <c r="L672" s="420">
        <f t="shared" si="125"/>
        <v>137346</v>
      </c>
      <c r="M672" s="420">
        <f t="shared" si="126"/>
        <v>360673</v>
      </c>
      <c r="N672" s="445">
        <f t="shared" si="134"/>
        <v>263194.1836363636</v>
      </c>
      <c r="O672" s="719"/>
      <c r="P672" s="719">
        <f t="shared" si="133"/>
        <v>728462.35363636364</v>
      </c>
      <c r="Q672" s="423">
        <f>SUMIF('8.Dgia'!E:E,'9.may'!E672,'8.Dgia'!P:P)</f>
        <v>0</v>
      </c>
      <c r="R672" s="429">
        <f t="shared" si="127"/>
        <v>0</v>
      </c>
      <c r="S672" s="301">
        <f t="shared" si="128"/>
        <v>39830.340000000004</v>
      </c>
      <c r="T672" s="430">
        <f t="shared" si="129"/>
        <v>663697.52363636368</v>
      </c>
      <c r="U672" s="431">
        <v>115974</v>
      </c>
      <c r="V672" s="431">
        <v>137346</v>
      </c>
      <c r="W672" s="432">
        <v>360673</v>
      </c>
      <c r="Y672" s="433">
        <f t="shared" si="130"/>
        <v>-303024.52363636368</v>
      </c>
      <c r="Z672" s="433">
        <f t="shared" si="131"/>
        <v>0</v>
      </c>
      <c r="AC672" s="410">
        <f t="shared" si="132"/>
        <v>0</v>
      </c>
    </row>
    <row r="673" spans="1:29" s="410" customFormat="1" ht="17.25" customHeight="1">
      <c r="A673" s="410">
        <v>1</v>
      </c>
      <c r="B673" s="417">
        <f>IF(A673&lt;&gt;0,COUNTA(A$19:$A673),"")</f>
        <v>171</v>
      </c>
      <c r="C673" s="428" t="s">
        <v>1597</v>
      </c>
      <c r="D673" s="428" t="s">
        <v>1598</v>
      </c>
      <c r="E673" s="435" t="s">
        <v>1599</v>
      </c>
      <c r="F673" s="435" t="s">
        <v>4823</v>
      </c>
      <c r="G673" s="419">
        <v>18</v>
      </c>
      <c r="H673" s="419"/>
      <c r="I673" s="419"/>
      <c r="J673" s="419"/>
      <c r="K673" s="420">
        <v>1</v>
      </c>
      <c r="L673" s="420">
        <f t="shared" si="125"/>
        <v>137346</v>
      </c>
      <c r="M673" s="420">
        <f t="shared" si="126"/>
        <v>399330</v>
      </c>
      <c r="N673" s="445">
        <f t="shared" si="134"/>
        <v>292437.98181818175</v>
      </c>
      <c r="O673" s="719"/>
      <c r="P673" s="719">
        <f t="shared" si="133"/>
        <v>807573.68181818177</v>
      </c>
      <c r="Q673" s="423" t="e">
        <f>SUMIF('8.Dgia'!E:E,'9.may'!E673,'8.Dgia'!P:P)</f>
        <v>#REF!</v>
      </c>
      <c r="R673" s="429" t="e">
        <f t="shared" si="127"/>
        <v>#REF!</v>
      </c>
      <c r="S673" s="301">
        <f t="shared" si="128"/>
        <v>39830.340000000004</v>
      </c>
      <c r="T673" s="430">
        <f t="shared" si="129"/>
        <v>731598.32181818178</v>
      </c>
      <c r="U673" s="2053">
        <v>128860</v>
      </c>
      <c r="V673" s="2053">
        <v>137346</v>
      </c>
      <c r="W673" s="2054">
        <v>399330</v>
      </c>
      <c r="Y673" s="433">
        <f t="shared" si="130"/>
        <v>-332268.32181818178</v>
      </c>
      <c r="Z673" s="433">
        <f t="shared" si="131"/>
        <v>0</v>
      </c>
      <c r="AC673" s="410" t="e">
        <f t="shared" si="132"/>
        <v>#REF!</v>
      </c>
    </row>
    <row r="674" spans="1:29" s="410" customFormat="1" ht="17.25" hidden="1" customHeight="1">
      <c r="B674" s="417" t="str">
        <f>IF(A674&lt;&gt;0,COUNTA(A$19:$A674),"")</f>
        <v/>
      </c>
      <c r="C674" s="418" t="s">
        <v>1600</v>
      </c>
      <c r="D674" s="418"/>
      <c r="E674" s="435"/>
      <c r="F674" s="435"/>
      <c r="G674" s="419"/>
      <c r="H674" s="419"/>
      <c r="I674" s="419"/>
      <c r="J674" s="419"/>
      <c r="K674" s="420"/>
      <c r="L674" s="420">
        <f t="shared" si="125"/>
        <v>0</v>
      </c>
      <c r="M674" s="420">
        <f t="shared" si="126"/>
        <v>0</v>
      </c>
      <c r="N674" s="445"/>
      <c r="O674" s="719"/>
      <c r="P674" s="719">
        <f t="shared" si="133"/>
        <v>0</v>
      </c>
      <c r="Q674" s="423">
        <f>SUMIF('8.Dgia'!E:E,'9.may'!E674,'8.Dgia'!P:P)</f>
        <v>0</v>
      </c>
      <c r="R674" s="429">
        <f t="shared" si="127"/>
        <v>0</v>
      </c>
      <c r="S674" s="301">
        <f t="shared" si="128"/>
        <v>0</v>
      </c>
      <c r="T674" s="430">
        <f t="shared" si="129"/>
        <v>0</v>
      </c>
      <c r="U674" s="436"/>
      <c r="V674" s="436"/>
      <c r="W674" s="432"/>
      <c r="Y674" s="433">
        <f t="shared" si="130"/>
        <v>0</v>
      </c>
      <c r="Z674" s="433">
        <f t="shared" si="131"/>
        <v>0</v>
      </c>
      <c r="AC674" s="410">
        <f t="shared" si="132"/>
        <v>0</v>
      </c>
    </row>
    <row r="675" spans="1:29" s="410" customFormat="1" ht="17.25" customHeight="1">
      <c r="A675" s="410">
        <v>1</v>
      </c>
      <c r="B675" s="417">
        <f>IF(A675&lt;&gt;0,COUNTA(A$19:$A675),"")</f>
        <v>172</v>
      </c>
      <c r="C675" s="428" t="s">
        <v>1593</v>
      </c>
      <c r="D675" s="428" t="s">
        <v>1601</v>
      </c>
      <c r="E675" s="435" t="s">
        <v>1989</v>
      </c>
      <c r="F675" s="435" t="s">
        <v>4824</v>
      </c>
      <c r="G675" s="419">
        <v>68.25</v>
      </c>
      <c r="H675" s="419"/>
      <c r="I675" s="419"/>
      <c r="J675" s="419"/>
      <c r="K675" s="420">
        <v>1</v>
      </c>
      <c r="L675" s="420">
        <f t="shared" si="125"/>
        <v>288578</v>
      </c>
      <c r="M675" s="420">
        <f t="shared" si="126"/>
        <v>893891</v>
      </c>
      <c r="N675" s="445">
        <f>SUMPRODUCT(G675:J675,$G$12:$J$12,$G$9:$J$9)</f>
        <v>1108827.3477272724</v>
      </c>
      <c r="O675" s="719"/>
      <c r="P675" s="719">
        <f t="shared" si="133"/>
        <v>2261946.7377272723</v>
      </c>
      <c r="Q675" s="423">
        <f>SUMIF('8.Dgia'!E:E,'9.may'!E675,'8.Dgia'!P:P)</f>
        <v>0</v>
      </c>
      <c r="R675" s="429">
        <f t="shared" si="127"/>
        <v>0</v>
      </c>
      <c r="S675" s="301">
        <f t="shared" si="128"/>
        <v>83687.62000000001</v>
      </c>
      <c r="T675" s="430">
        <f t="shared" si="129"/>
        <v>2086405.9677272725</v>
      </c>
      <c r="U675" s="2053">
        <v>488595</v>
      </c>
      <c r="V675" s="2053">
        <v>288578</v>
      </c>
      <c r="W675" s="2054">
        <v>893891</v>
      </c>
      <c r="Y675" s="433">
        <f t="shared" si="130"/>
        <v>-1192514.9677272725</v>
      </c>
      <c r="Z675" s="433">
        <f t="shared" si="131"/>
        <v>0</v>
      </c>
      <c r="AC675" s="410">
        <f t="shared" si="132"/>
        <v>0</v>
      </c>
    </row>
    <row r="676" spans="1:29" s="410" customFormat="1" ht="17.25" customHeight="1">
      <c r="A676" s="410">
        <v>1</v>
      </c>
      <c r="B676" s="417">
        <f>IF(A676&lt;&gt;0,COUNTA(A$19:$A676),"")</f>
        <v>173</v>
      </c>
      <c r="C676" s="428" t="s">
        <v>1602</v>
      </c>
      <c r="D676" s="428" t="s">
        <v>1603</v>
      </c>
      <c r="E676" s="435" t="s">
        <v>1604</v>
      </c>
      <c r="F676" s="435" t="s">
        <v>4825</v>
      </c>
      <c r="G676" s="419">
        <v>94.5</v>
      </c>
      <c r="H676" s="419"/>
      <c r="I676" s="419"/>
      <c r="J676" s="419"/>
      <c r="K676" s="420">
        <v>1</v>
      </c>
      <c r="L676" s="420">
        <f t="shared" si="125"/>
        <v>465613</v>
      </c>
      <c r="M676" s="420">
        <f t="shared" si="126"/>
        <v>1390980</v>
      </c>
      <c r="N676" s="445">
        <f>SUMPRODUCT(G676:J676,$G$12:$J$12,$G$9:$J$9)</f>
        <v>1535299.4045454545</v>
      </c>
      <c r="O676" s="719"/>
      <c r="P676" s="719">
        <f t="shared" si="133"/>
        <v>3329663.6045454545</v>
      </c>
      <c r="Q676" s="423" t="e">
        <f>SUMIF('8.Dgia'!E:E,'9.may'!E676,'8.Dgia'!P:P)</f>
        <v>#REF!</v>
      </c>
      <c r="R676" s="429" t="e">
        <f t="shared" si="127"/>
        <v>#REF!</v>
      </c>
      <c r="S676" s="301">
        <f t="shared" si="128"/>
        <v>135027.77000000002</v>
      </c>
      <c r="T676" s="430">
        <f t="shared" si="129"/>
        <v>3061307.1745454548</v>
      </c>
      <c r="U676" s="2053">
        <v>676516</v>
      </c>
      <c r="V676" s="2053">
        <v>465613</v>
      </c>
      <c r="W676" s="2054">
        <v>1390980</v>
      </c>
      <c r="Y676" s="433">
        <f t="shared" si="130"/>
        <v>-1670327.1745454548</v>
      </c>
      <c r="Z676" s="433">
        <f t="shared" si="131"/>
        <v>0</v>
      </c>
      <c r="AC676" s="410" t="e">
        <f t="shared" si="132"/>
        <v>#REF!</v>
      </c>
    </row>
    <row r="677" spans="1:29" s="410" customFormat="1" ht="17.25" customHeight="1">
      <c r="A677" s="410">
        <v>1</v>
      </c>
      <c r="B677" s="417">
        <f>IF(A677&lt;&gt;0,COUNTA(A$19:$A677),"")</f>
        <v>174</v>
      </c>
      <c r="C677" s="428" t="s">
        <v>1605</v>
      </c>
      <c r="D677" s="428" t="s">
        <v>1606</v>
      </c>
      <c r="E677" s="435" t="s">
        <v>1607</v>
      </c>
      <c r="F677" s="435" t="s">
        <v>4826</v>
      </c>
      <c r="G677" s="419">
        <v>201.6</v>
      </c>
      <c r="H677" s="419"/>
      <c r="I677" s="419"/>
      <c r="J677" s="419"/>
      <c r="K677" s="420">
        <v>1</v>
      </c>
      <c r="L677" s="420">
        <f t="shared" si="125"/>
        <v>465613</v>
      </c>
      <c r="M677" s="420">
        <f t="shared" si="126"/>
        <v>2293982</v>
      </c>
      <c r="N677" s="445">
        <f>SUMPRODUCT(G677:J677,$G$12:$J$12,$G$9:$J$9)</f>
        <v>3275305.396363636</v>
      </c>
      <c r="O677" s="719"/>
      <c r="P677" s="719">
        <f t="shared" si="133"/>
        <v>6234542.1763636358</v>
      </c>
      <c r="Q677" s="423">
        <f>SUMIF('8.Dgia'!E:E,'9.may'!E677,'8.Dgia'!P:P)</f>
        <v>0</v>
      </c>
      <c r="R677" s="429">
        <f t="shared" si="127"/>
        <v>0</v>
      </c>
      <c r="S677" s="301">
        <f t="shared" si="128"/>
        <v>135027.77000000002</v>
      </c>
      <c r="T677" s="430">
        <f t="shared" si="129"/>
        <v>5704315.166363636</v>
      </c>
      <c r="U677" s="2053">
        <v>1443234</v>
      </c>
      <c r="V677" s="2053">
        <v>465613</v>
      </c>
      <c r="W677" s="2054">
        <v>2293982</v>
      </c>
      <c r="Y677" s="433">
        <f t="shared" si="130"/>
        <v>-3410333.166363636</v>
      </c>
      <c r="Z677" s="433">
        <f t="shared" si="131"/>
        <v>0</v>
      </c>
      <c r="AC677" s="410">
        <f t="shared" si="132"/>
        <v>0</v>
      </c>
    </row>
    <row r="678" spans="1:29" s="410" customFormat="1" ht="17.25" customHeight="1">
      <c r="A678" s="410">
        <v>1</v>
      </c>
      <c r="B678" s="417">
        <f>IF(A678&lt;&gt;0,COUNTA(A$19:$A678),"")</f>
        <v>175</v>
      </c>
      <c r="C678" s="428" t="s">
        <v>1608</v>
      </c>
      <c r="D678" s="428" t="s">
        <v>1609</v>
      </c>
      <c r="E678" s="435" t="s">
        <v>1610</v>
      </c>
      <c r="F678" s="435" t="s">
        <v>4827</v>
      </c>
      <c r="G678" s="419">
        <v>315</v>
      </c>
      <c r="H678" s="419"/>
      <c r="I678" s="419"/>
      <c r="J678" s="419"/>
      <c r="K678" s="420">
        <v>1</v>
      </c>
      <c r="L678" s="420">
        <f t="shared" si="125"/>
        <v>660437</v>
      </c>
      <c r="M678" s="420">
        <f t="shared" si="126"/>
        <v>3477879</v>
      </c>
      <c r="N678" s="445">
        <f>SUMPRODUCT(G678:J678,$G$12:$J$12,$G$9:$J$9)</f>
        <v>5117664.6818181807</v>
      </c>
      <c r="O678" s="719"/>
      <c r="P678" s="719">
        <f t="shared" si="133"/>
        <v>9604128.5918181799</v>
      </c>
      <c r="Q678" s="423">
        <f>SUMIF('8.Dgia'!E:E,'9.may'!E678,'8.Dgia'!P:P)</f>
        <v>0</v>
      </c>
      <c r="R678" s="429">
        <f t="shared" si="127"/>
        <v>0</v>
      </c>
      <c r="S678" s="301">
        <f t="shared" si="128"/>
        <v>191526.73</v>
      </c>
      <c r="T678" s="430">
        <f t="shared" si="129"/>
        <v>8787070.4118181802</v>
      </c>
      <c r="U678" s="2053">
        <v>2255054</v>
      </c>
      <c r="V678" s="2053">
        <v>660437</v>
      </c>
      <c r="W678" s="2054">
        <v>3477879</v>
      </c>
      <c r="Y678" s="433">
        <f t="shared" si="130"/>
        <v>-5309191.4118181802</v>
      </c>
      <c r="Z678" s="433">
        <f t="shared" si="131"/>
        <v>0</v>
      </c>
      <c r="AC678" s="410">
        <f t="shared" si="132"/>
        <v>0</v>
      </c>
    </row>
    <row r="679" spans="1:29" s="410" customFormat="1" ht="17.25" customHeight="1">
      <c r="A679" s="410">
        <v>1</v>
      </c>
      <c r="B679" s="417">
        <f>IF(A679&lt;&gt;0,COUNTA(A$19:$A679),"")</f>
        <v>176</v>
      </c>
      <c r="C679" s="428" t="s">
        <v>1611</v>
      </c>
      <c r="D679" s="428" t="s">
        <v>1612</v>
      </c>
      <c r="E679" s="435" t="s">
        <v>1613</v>
      </c>
      <c r="F679" s="435" t="s">
        <v>4828</v>
      </c>
      <c r="G679" s="419">
        <v>714</v>
      </c>
      <c r="H679" s="419"/>
      <c r="I679" s="419"/>
      <c r="J679" s="419"/>
      <c r="K679" s="420">
        <v>1</v>
      </c>
      <c r="L679" s="420">
        <f t="shared" si="125"/>
        <v>660437</v>
      </c>
      <c r="M679" s="420">
        <f t="shared" si="126"/>
        <v>9671652</v>
      </c>
      <c r="N679" s="445">
        <f>SUMPRODUCT(G679:J679,$G$12:$J$12,$G$9:$J$9)</f>
        <v>11600039.945454545</v>
      </c>
      <c r="O679" s="719"/>
      <c r="P679" s="719">
        <f t="shared" si="133"/>
        <v>24076471.025454544</v>
      </c>
      <c r="Q679" s="423">
        <f>SUMIF('8.Dgia'!E:E,'9.may'!E679,'8.Dgia'!P:P)</f>
        <v>0</v>
      </c>
      <c r="R679" s="429">
        <f t="shared" si="127"/>
        <v>0</v>
      </c>
      <c r="S679" s="301">
        <f t="shared" si="128"/>
        <v>191526.73</v>
      </c>
      <c r="T679" s="430">
        <f t="shared" si="129"/>
        <v>21463218.675454546</v>
      </c>
      <c r="U679" s="2053">
        <v>5111455</v>
      </c>
      <c r="V679" s="2053">
        <v>660437</v>
      </c>
      <c r="W679" s="2054">
        <v>9671652</v>
      </c>
      <c r="Y679" s="433">
        <f t="shared" si="130"/>
        <v>-11791566.675454546</v>
      </c>
      <c r="Z679" s="433">
        <f t="shared" si="131"/>
        <v>0</v>
      </c>
      <c r="AC679" s="410">
        <f t="shared" si="132"/>
        <v>0</v>
      </c>
    </row>
    <row r="680" spans="1:29" s="410" customFormat="1" ht="17.25" hidden="1" customHeight="1">
      <c r="B680" s="417" t="str">
        <f>IF(A680&lt;&gt;0,COUNTA(A$19:$A680),"")</f>
        <v/>
      </c>
      <c r="C680" s="418" t="s">
        <v>1614</v>
      </c>
      <c r="D680" s="418"/>
      <c r="E680" s="435"/>
      <c r="F680" s="435"/>
      <c r="G680" s="419"/>
      <c r="H680" s="419"/>
      <c r="I680" s="419"/>
      <c r="J680" s="419"/>
      <c r="K680" s="420"/>
      <c r="L680" s="420">
        <f t="shared" si="125"/>
        <v>0</v>
      </c>
      <c r="M680" s="420">
        <f t="shared" si="126"/>
        <v>0</v>
      </c>
      <c r="N680" s="445"/>
      <c r="O680" s="719"/>
      <c r="P680" s="719">
        <f t="shared" si="133"/>
        <v>0</v>
      </c>
      <c r="Q680" s="423">
        <f>SUMIF('8.Dgia'!E:E,'9.may'!E680,'8.Dgia'!P:P)</f>
        <v>0</v>
      </c>
      <c r="R680" s="429">
        <f t="shared" si="127"/>
        <v>0</v>
      </c>
      <c r="S680" s="301">
        <f t="shared" si="128"/>
        <v>0</v>
      </c>
      <c r="T680" s="430">
        <f t="shared" si="129"/>
        <v>0</v>
      </c>
      <c r="U680" s="436"/>
      <c r="V680" s="436"/>
      <c r="W680" s="432"/>
      <c r="Y680" s="433">
        <f t="shared" si="130"/>
        <v>0</v>
      </c>
      <c r="Z680" s="433">
        <f t="shared" si="131"/>
        <v>0</v>
      </c>
      <c r="AC680" s="410">
        <f t="shared" si="132"/>
        <v>0</v>
      </c>
    </row>
    <row r="681" spans="1:29" s="410" customFormat="1" ht="17.25" hidden="1" customHeight="1">
      <c r="B681" s="417" t="str">
        <f>IF(A681&lt;&gt;0,COUNTA(A$19:$A681),"")</f>
        <v/>
      </c>
      <c r="C681" s="428" t="s">
        <v>1615</v>
      </c>
      <c r="D681" s="428"/>
      <c r="E681" s="435"/>
      <c r="F681" s="435"/>
      <c r="G681" s="419">
        <v>25.2</v>
      </c>
      <c r="H681" s="419"/>
      <c r="I681" s="419"/>
      <c r="J681" s="419"/>
      <c r="K681" s="420">
        <v>1</v>
      </c>
      <c r="L681" s="420">
        <f t="shared" si="125"/>
        <v>106306</v>
      </c>
      <c r="M681" s="420">
        <f t="shared" si="126"/>
        <v>495296</v>
      </c>
      <c r="N681" s="445">
        <f>SUMPRODUCT(G681:J681,$G$12:$J$12,$G$9:$J$9)</f>
        <v>409413.1745454545</v>
      </c>
      <c r="O681" s="719"/>
      <c r="P681" s="719">
        <f t="shared" si="133"/>
        <v>1048345.0145454544</v>
      </c>
      <c r="Q681" s="423">
        <f>SUMIF('8.Dgia'!E:E,'9.may'!E681,'8.Dgia'!P:P)</f>
        <v>0</v>
      </c>
      <c r="R681" s="429">
        <f t="shared" si="127"/>
        <v>0</v>
      </c>
      <c r="S681" s="301">
        <f t="shared" si="128"/>
        <v>30828.740000000005</v>
      </c>
      <c r="T681" s="430">
        <f t="shared" si="129"/>
        <v>935537.91454545455</v>
      </c>
      <c r="U681" s="431">
        <v>180404</v>
      </c>
      <c r="V681" s="431">
        <v>106306</v>
      </c>
      <c r="W681" s="432">
        <v>495296</v>
      </c>
      <c r="Y681" s="433">
        <f t="shared" si="130"/>
        <v>-440241.91454545455</v>
      </c>
      <c r="Z681" s="433">
        <f t="shared" si="131"/>
        <v>0</v>
      </c>
      <c r="AC681" s="410">
        <f t="shared" si="132"/>
        <v>0</v>
      </c>
    </row>
    <row r="682" spans="1:29" s="410" customFormat="1" ht="17.25" customHeight="1">
      <c r="B682" s="417" t="str">
        <f>IF(A682&lt;&gt;0,COUNTA(A$19:$A682),"")</f>
        <v/>
      </c>
      <c r="C682" s="428" t="s">
        <v>1616</v>
      </c>
      <c r="D682" s="428"/>
      <c r="E682" s="1467" t="s">
        <v>5807</v>
      </c>
      <c r="F682" s="435"/>
      <c r="G682" s="419">
        <v>29.4</v>
      </c>
      <c r="H682" s="419"/>
      <c r="I682" s="419"/>
      <c r="J682" s="419"/>
      <c r="K682" s="420">
        <v>1</v>
      </c>
      <c r="L682" s="420">
        <f t="shared" si="125"/>
        <v>106306</v>
      </c>
      <c r="M682" s="420">
        <f t="shared" si="126"/>
        <v>650108</v>
      </c>
      <c r="N682" s="445">
        <f>SUMPRODUCT(G682:J682,$G$12:$J$12,$G$9:$J$9)</f>
        <v>477648.70363636356</v>
      </c>
      <c r="O682" s="719"/>
      <c r="P682" s="719">
        <f t="shared" si="133"/>
        <v>1316288.0236363637</v>
      </c>
      <c r="Q682" s="423">
        <f>SUMIF('8.Dgia'!E:E,'9.may'!E682,'8.Dgia'!P:P)</f>
        <v>0</v>
      </c>
      <c r="R682" s="429">
        <f t="shared" si="127"/>
        <v>0</v>
      </c>
      <c r="S682" s="301">
        <f t="shared" si="128"/>
        <v>30828.740000000005</v>
      </c>
      <c r="T682" s="430">
        <f t="shared" si="129"/>
        <v>1158585.4436363636</v>
      </c>
      <c r="U682" s="2053">
        <v>210472</v>
      </c>
      <c r="V682" s="2053">
        <v>106306</v>
      </c>
      <c r="W682" s="2054">
        <v>650108</v>
      </c>
      <c r="Y682" s="433">
        <f t="shared" si="130"/>
        <v>-508477.44363636361</v>
      </c>
      <c r="Z682" s="433">
        <f t="shared" si="131"/>
        <v>0</v>
      </c>
      <c r="AC682" s="410">
        <f t="shared" si="132"/>
        <v>0</v>
      </c>
    </row>
    <row r="683" spans="1:29" s="410" customFormat="1" ht="17.25" hidden="1" customHeight="1">
      <c r="B683" s="417" t="str">
        <f>IF(A683&lt;&gt;0,COUNTA(A$19:$A683),"")</f>
        <v/>
      </c>
      <c r="C683" s="428" t="s">
        <v>1617</v>
      </c>
      <c r="D683" s="428"/>
      <c r="E683" s="435"/>
      <c r="F683" s="435"/>
      <c r="G683" s="419">
        <v>32.549999999999997</v>
      </c>
      <c r="H683" s="419"/>
      <c r="I683" s="419"/>
      <c r="J683" s="419"/>
      <c r="K683" s="420">
        <v>1</v>
      </c>
      <c r="L683" s="420">
        <f t="shared" si="125"/>
        <v>106306</v>
      </c>
      <c r="M683" s="420">
        <f t="shared" si="126"/>
        <v>809353</v>
      </c>
      <c r="N683" s="445">
        <f>SUMPRODUCT(G683:J683,$G$12:$J$12,$G$9:$J$9)</f>
        <v>528825.35045454535</v>
      </c>
      <c r="O683" s="719"/>
      <c r="P683" s="719">
        <f t="shared" si="133"/>
        <v>1572890.7204545452</v>
      </c>
      <c r="Q683" s="423">
        <f>SUMIF('8.Dgia'!E:E,'9.may'!E683,'8.Dgia'!P:P)</f>
        <v>0</v>
      </c>
      <c r="R683" s="429">
        <f t="shared" si="127"/>
        <v>0</v>
      </c>
      <c r="S683" s="301">
        <f t="shared" si="128"/>
        <v>30828.740000000005</v>
      </c>
      <c r="T683" s="430">
        <f t="shared" si="129"/>
        <v>1369007.0904545453</v>
      </c>
      <c r="U683" s="431">
        <v>233022</v>
      </c>
      <c r="V683" s="431">
        <v>106306</v>
      </c>
      <c r="W683" s="432">
        <v>809353</v>
      </c>
      <c r="Y683" s="433">
        <f t="shared" si="130"/>
        <v>-559654.09045454534</v>
      </c>
      <c r="Z683" s="433">
        <f t="shared" si="131"/>
        <v>0</v>
      </c>
      <c r="AC683" s="410">
        <f t="shared" si="132"/>
        <v>0</v>
      </c>
    </row>
    <row r="684" spans="1:29" s="410" customFormat="1" ht="17.25" hidden="1" customHeight="1">
      <c r="B684" s="417" t="str">
        <f>IF(A684&lt;&gt;0,COUNTA(A$19:$A684),"")</f>
        <v/>
      </c>
      <c r="C684" s="418" t="s">
        <v>1618</v>
      </c>
      <c r="D684" s="418"/>
      <c r="E684" s="435"/>
      <c r="F684" s="435"/>
      <c r="G684" s="419"/>
      <c r="H684" s="419"/>
      <c r="I684" s="419"/>
      <c r="J684" s="419"/>
      <c r="K684" s="420"/>
      <c r="L684" s="420">
        <f t="shared" si="125"/>
        <v>0</v>
      </c>
      <c r="M684" s="420">
        <f t="shared" si="126"/>
        <v>0</v>
      </c>
      <c r="N684" s="445"/>
      <c r="O684" s="719"/>
      <c r="P684" s="719">
        <f t="shared" si="133"/>
        <v>0</v>
      </c>
      <c r="Q684" s="423">
        <f>SUMIF('8.Dgia'!E:E,'9.may'!E684,'8.Dgia'!P:P)</f>
        <v>0</v>
      </c>
      <c r="R684" s="429">
        <f t="shared" si="127"/>
        <v>0</v>
      </c>
      <c r="S684" s="301">
        <f t="shared" si="128"/>
        <v>0</v>
      </c>
      <c r="T684" s="430">
        <f t="shared" si="129"/>
        <v>0</v>
      </c>
      <c r="U684" s="436"/>
      <c r="V684" s="436"/>
      <c r="W684" s="432"/>
      <c r="Y684" s="433">
        <f t="shared" si="130"/>
        <v>0</v>
      </c>
      <c r="Z684" s="433">
        <f t="shared" si="131"/>
        <v>0</v>
      </c>
      <c r="AC684" s="410">
        <f t="shared" si="132"/>
        <v>0</v>
      </c>
    </row>
    <row r="685" spans="1:29" s="410" customFormat="1" ht="17.25" hidden="1" customHeight="1">
      <c r="B685" s="417" t="str">
        <f>IF(A685&lt;&gt;0,COUNTA(A$19:$A685),"")</f>
        <v/>
      </c>
      <c r="C685" s="428" t="s">
        <v>1619</v>
      </c>
      <c r="D685" s="428"/>
      <c r="E685" s="435"/>
      <c r="F685" s="435"/>
      <c r="G685" s="419">
        <v>25.2</v>
      </c>
      <c r="H685" s="419"/>
      <c r="I685" s="419"/>
      <c r="J685" s="419"/>
      <c r="K685" s="420">
        <v>1</v>
      </c>
      <c r="L685" s="420">
        <f t="shared" si="125"/>
        <v>106306</v>
      </c>
      <c r="M685" s="420">
        <f t="shared" si="126"/>
        <v>640307</v>
      </c>
      <c r="N685" s="445">
        <f>SUMPRODUCT(G685:J685,$G$12:$J$12,$G$9:$J$9)</f>
        <v>409413.1745454545</v>
      </c>
      <c r="O685" s="719"/>
      <c r="P685" s="719">
        <f t="shared" si="133"/>
        <v>1235409.2045454546</v>
      </c>
      <c r="Q685" s="423">
        <f>SUMIF('8.Dgia'!E:E,'9.may'!E685,'8.Dgia'!P:P)</f>
        <v>0</v>
      </c>
      <c r="R685" s="429">
        <f t="shared" si="127"/>
        <v>0</v>
      </c>
      <c r="S685" s="301">
        <f t="shared" si="128"/>
        <v>30828.740000000005</v>
      </c>
      <c r="T685" s="430">
        <f t="shared" si="129"/>
        <v>1080548.9145454546</v>
      </c>
      <c r="U685" s="431">
        <v>180404</v>
      </c>
      <c r="V685" s="431">
        <v>106306</v>
      </c>
      <c r="W685" s="432">
        <v>640307</v>
      </c>
      <c r="Y685" s="433">
        <f t="shared" si="130"/>
        <v>-440241.91454545455</v>
      </c>
      <c r="Z685" s="433">
        <f t="shared" si="131"/>
        <v>0</v>
      </c>
      <c r="AC685" s="410">
        <f t="shared" si="132"/>
        <v>0</v>
      </c>
    </row>
    <row r="686" spans="1:29" s="410" customFormat="1" ht="17.25" hidden="1" customHeight="1">
      <c r="B686" s="417" t="str">
        <f>IF(A686&lt;&gt;0,COUNTA(A$19:$A686),"")</f>
        <v/>
      </c>
      <c r="C686" s="428" t="s">
        <v>1615</v>
      </c>
      <c r="D686" s="428"/>
      <c r="E686" s="435"/>
      <c r="F686" s="435"/>
      <c r="G686" s="419">
        <v>29.4</v>
      </c>
      <c r="H686" s="419"/>
      <c r="I686" s="419"/>
      <c r="J686" s="419"/>
      <c r="K686" s="420">
        <v>1</v>
      </c>
      <c r="L686" s="420">
        <f t="shared" si="125"/>
        <v>106306</v>
      </c>
      <c r="M686" s="420">
        <f t="shared" si="126"/>
        <v>840423</v>
      </c>
      <c r="N686" s="445">
        <f>SUMPRODUCT(G686:J686,$G$12:$J$12,$G$9:$J$9)</f>
        <v>477648.70363636356</v>
      </c>
      <c r="O686" s="719"/>
      <c r="P686" s="719">
        <f t="shared" si="133"/>
        <v>1561794.3736363635</v>
      </c>
      <c r="Q686" s="423">
        <f>SUMIF('8.Dgia'!E:E,'9.may'!E686,'8.Dgia'!P:P)</f>
        <v>0</v>
      </c>
      <c r="R686" s="429">
        <f t="shared" si="127"/>
        <v>0</v>
      </c>
      <c r="S686" s="301">
        <f t="shared" si="128"/>
        <v>30828.740000000005</v>
      </c>
      <c r="T686" s="430">
        <f t="shared" si="129"/>
        <v>1348900.4436363636</v>
      </c>
      <c r="U686" s="431">
        <v>210472</v>
      </c>
      <c r="V686" s="431">
        <v>106306</v>
      </c>
      <c r="W686" s="432">
        <v>840423</v>
      </c>
      <c r="Y686" s="433">
        <f t="shared" si="130"/>
        <v>-508477.44363636361</v>
      </c>
      <c r="Z686" s="433">
        <f t="shared" si="131"/>
        <v>0</v>
      </c>
      <c r="AC686" s="410">
        <f t="shared" si="132"/>
        <v>0</v>
      </c>
    </row>
    <row r="687" spans="1:29" s="410" customFormat="1" ht="17.25" hidden="1" customHeight="1">
      <c r="B687" s="417" t="str">
        <f>IF(A687&lt;&gt;0,COUNTA(A$19:$A687),"")</f>
        <v/>
      </c>
      <c r="C687" s="428" t="s">
        <v>1616</v>
      </c>
      <c r="D687" s="428"/>
      <c r="E687" s="1467"/>
      <c r="F687" s="435"/>
      <c r="G687" s="419">
        <v>32.549999999999997</v>
      </c>
      <c r="H687" s="419"/>
      <c r="I687" s="419"/>
      <c r="J687" s="419"/>
      <c r="K687" s="420">
        <v>1</v>
      </c>
      <c r="L687" s="420">
        <f t="shared" si="125"/>
        <v>106306</v>
      </c>
      <c r="M687" s="420">
        <f t="shared" si="126"/>
        <v>1021262</v>
      </c>
      <c r="N687" s="445">
        <f>SUMPRODUCT(G687:J687,$G$12:$J$12,$G$9:$J$9)</f>
        <v>528825.35045454535</v>
      </c>
      <c r="O687" s="719"/>
      <c r="P687" s="719">
        <f t="shared" si="133"/>
        <v>1846253.3304545453</v>
      </c>
      <c r="Q687" s="423">
        <f>SUMIF('8.Dgia'!E:E,'9.may'!E687,'8.Dgia'!P:P)</f>
        <v>0</v>
      </c>
      <c r="R687" s="429">
        <f t="shared" si="127"/>
        <v>0</v>
      </c>
      <c r="S687" s="301">
        <f t="shared" si="128"/>
        <v>30828.740000000005</v>
      </c>
      <c r="T687" s="430">
        <f t="shared" si="129"/>
        <v>1580916.0904545453</v>
      </c>
      <c r="U687" s="431">
        <v>233022</v>
      </c>
      <c r="V687" s="431">
        <v>106306</v>
      </c>
      <c r="W687" s="432">
        <v>1021262</v>
      </c>
      <c r="Y687" s="433">
        <f t="shared" si="130"/>
        <v>-559654.09045454534</v>
      </c>
      <c r="Z687" s="433">
        <f t="shared" si="131"/>
        <v>0</v>
      </c>
      <c r="AC687" s="410">
        <f t="shared" si="132"/>
        <v>0</v>
      </c>
    </row>
    <row r="688" spans="1:29" s="410" customFormat="1" ht="17.25" hidden="1" customHeight="1">
      <c r="B688" s="417" t="str">
        <f>IF(A688&lt;&gt;0,COUNTA(A$19:$A688),"")</f>
        <v/>
      </c>
      <c r="C688" s="418" t="s">
        <v>1620</v>
      </c>
      <c r="D688" s="418"/>
      <c r="E688" s="435"/>
      <c r="F688" s="435"/>
      <c r="G688" s="419"/>
      <c r="H688" s="419"/>
      <c r="I688" s="419"/>
      <c r="J688" s="419"/>
      <c r="K688" s="437"/>
      <c r="L688" s="420">
        <f t="shared" si="125"/>
        <v>0</v>
      </c>
      <c r="M688" s="420">
        <f t="shared" si="126"/>
        <v>0</v>
      </c>
      <c r="N688" s="445"/>
      <c r="O688" s="719"/>
      <c r="P688" s="719">
        <f t="shared" si="133"/>
        <v>0</v>
      </c>
      <c r="Q688" s="423">
        <f>SUMIF('8.Dgia'!E:E,'9.may'!E688,'8.Dgia'!P:P)</f>
        <v>0</v>
      </c>
      <c r="R688" s="429">
        <f t="shared" si="127"/>
        <v>0</v>
      </c>
      <c r="S688" s="301">
        <f t="shared" si="128"/>
        <v>0</v>
      </c>
      <c r="T688" s="430">
        <f t="shared" si="129"/>
        <v>0</v>
      </c>
      <c r="U688" s="436"/>
      <c r="V688" s="436"/>
      <c r="W688" s="432"/>
      <c r="Y688" s="433">
        <f t="shared" si="130"/>
        <v>0</v>
      </c>
      <c r="Z688" s="433">
        <f t="shared" si="131"/>
        <v>0</v>
      </c>
      <c r="AC688" s="410">
        <f t="shared" si="132"/>
        <v>0</v>
      </c>
    </row>
    <row r="689" spans="2:29" s="410" customFormat="1" ht="17.25" hidden="1" customHeight="1">
      <c r="B689" s="417" t="str">
        <f>IF(A689&lt;&gt;0,COUNTA(A$19:$A689),"")</f>
        <v/>
      </c>
      <c r="C689" s="428" t="s">
        <v>1621</v>
      </c>
      <c r="D689" s="428"/>
      <c r="E689" s="435"/>
      <c r="F689" s="435"/>
      <c r="G689" s="419"/>
      <c r="H689" s="419"/>
      <c r="I689" s="419"/>
      <c r="J689" s="419"/>
      <c r="K689" s="420">
        <v>1</v>
      </c>
      <c r="L689" s="420">
        <f t="shared" si="125"/>
        <v>0</v>
      </c>
      <c r="M689" s="420">
        <f t="shared" si="126"/>
        <v>89980</v>
      </c>
      <c r="N689" s="445">
        <f>SUMPRODUCT(G689:J689,$G$12:$J$12,$G$9:$J$9)</f>
        <v>0</v>
      </c>
      <c r="O689" s="719"/>
      <c r="P689" s="719">
        <f t="shared" si="133"/>
        <v>116074.2</v>
      </c>
      <c r="Q689" s="423">
        <f>SUMIF('8.Dgia'!E:E,'9.may'!E689,'8.Dgia'!P:P)</f>
        <v>0</v>
      </c>
      <c r="R689" s="429">
        <f t="shared" si="127"/>
        <v>0</v>
      </c>
      <c r="S689" s="301">
        <f t="shared" si="128"/>
        <v>0</v>
      </c>
      <c r="T689" s="430">
        <f t="shared" si="129"/>
        <v>89980</v>
      </c>
      <c r="U689" s="431"/>
      <c r="V689" s="431"/>
      <c r="W689" s="432">
        <v>89980</v>
      </c>
      <c r="Y689" s="433">
        <f t="shared" si="130"/>
        <v>0</v>
      </c>
      <c r="Z689" s="433">
        <f t="shared" si="131"/>
        <v>0</v>
      </c>
      <c r="AC689" s="410">
        <f t="shared" si="132"/>
        <v>0</v>
      </c>
    </row>
    <row r="690" spans="2:29" s="410" customFormat="1" ht="17.25" hidden="1" customHeight="1">
      <c r="B690" s="417" t="str">
        <f>IF(A690&lt;&gt;0,COUNTA(A$19:$A690),"")</f>
        <v/>
      </c>
      <c r="C690" s="428" t="s">
        <v>1622</v>
      </c>
      <c r="D690" s="428"/>
      <c r="E690" s="435"/>
      <c r="F690" s="435"/>
      <c r="G690" s="419"/>
      <c r="H690" s="419"/>
      <c r="I690" s="419"/>
      <c r="J690" s="419"/>
      <c r="K690" s="420">
        <v>1</v>
      </c>
      <c r="L690" s="420">
        <f t="shared" si="125"/>
        <v>0</v>
      </c>
      <c r="M690" s="420">
        <f t="shared" si="126"/>
        <v>129872</v>
      </c>
      <c r="N690" s="445">
        <f>SUMPRODUCT(G690:J690,$G$12:$J$12,$G$9:$J$9)</f>
        <v>0</v>
      </c>
      <c r="O690" s="719"/>
      <c r="P690" s="719">
        <f t="shared" si="133"/>
        <v>167534.88</v>
      </c>
      <c r="Q690" s="423">
        <f>SUMIF('8.Dgia'!E:E,'9.may'!E690,'8.Dgia'!P:P)</f>
        <v>0</v>
      </c>
      <c r="R690" s="429">
        <f t="shared" si="127"/>
        <v>0</v>
      </c>
      <c r="S690" s="301">
        <f t="shared" si="128"/>
        <v>0</v>
      </c>
      <c r="T690" s="430">
        <f t="shared" si="129"/>
        <v>129872</v>
      </c>
      <c r="U690" s="431"/>
      <c r="V690" s="431"/>
      <c r="W690" s="432">
        <v>129872</v>
      </c>
      <c r="Y690" s="433">
        <f t="shared" si="130"/>
        <v>0</v>
      </c>
      <c r="Z690" s="433">
        <f t="shared" si="131"/>
        <v>0</v>
      </c>
      <c r="AC690" s="410">
        <f t="shared" si="132"/>
        <v>0</v>
      </c>
    </row>
    <row r="691" spans="2:29" s="410" customFormat="1" ht="17.25" hidden="1" customHeight="1">
      <c r="B691" s="417" t="str">
        <f>IF(A691&lt;&gt;0,COUNTA(A$19:$A691),"")</f>
        <v/>
      </c>
      <c r="C691" s="428" t="s">
        <v>1623</v>
      </c>
      <c r="D691" s="428"/>
      <c r="E691" s="435"/>
      <c r="F691" s="435"/>
      <c r="G691" s="419"/>
      <c r="H691" s="419"/>
      <c r="I691" s="419"/>
      <c r="J691" s="419"/>
      <c r="K691" s="420">
        <v>1</v>
      </c>
      <c r="L691" s="420">
        <f t="shared" si="125"/>
        <v>0</v>
      </c>
      <c r="M691" s="420">
        <f t="shared" si="126"/>
        <v>179738</v>
      </c>
      <c r="N691" s="445">
        <f>SUMPRODUCT(G691:J691,$G$12:$J$12,$G$9:$J$9)</f>
        <v>0</v>
      </c>
      <c r="O691" s="719"/>
      <c r="P691" s="719">
        <f t="shared" si="133"/>
        <v>231862.02000000002</v>
      </c>
      <c r="Q691" s="423">
        <f>SUMIF('8.Dgia'!E:E,'9.may'!E691,'8.Dgia'!P:P)</f>
        <v>0</v>
      </c>
      <c r="R691" s="429">
        <f t="shared" si="127"/>
        <v>0</v>
      </c>
      <c r="S691" s="301">
        <f t="shared" si="128"/>
        <v>0</v>
      </c>
      <c r="T691" s="430">
        <f t="shared" si="129"/>
        <v>179738</v>
      </c>
      <c r="U691" s="431"/>
      <c r="V691" s="431"/>
      <c r="W691" s="432">
        <v>179738</v>
      </c>
      <c r="Y691" s="433">
        <f t="shared" si="130"/>
        <v>0</v>
      </c>
      <c r="Z691" s="433">
        <f t="shared" si="131"/>
        <v>0</v>
      </c>
      <c r="AC691" s="410">
        <f t="shared" si="132"/>
        <v>0</v>
      </c>
    </row>
    <row r="692" spans="2:29" s="410" customFormat="1" ht="17.25" hidden="1" customHeight="1">
      <c r="B692" s="417" t="str">
        <f>IF(A692&lt;&gt;0,COUNTA(A$19:$A692),"")</f>
        <v/>
      </c>
      <c r="C692" s="418" t="s">
        <v>1624</v>
      </c>
      <c r="D692" s="418"/>
      <c r="E692" s="435"/>
      <c r="F692" s="435"/>
      <c r="G692" s="419"/>
      <c r="H692" s="419"/>
      <c r="I692" s="419"/>
      <c r="J692" s="419"/>
      <c r="K692" s="420"/>
      <c r="L692" s="420">
        <f t="shared" si="125"/>
        <v>0</v>
      </c>
      <c r="M692" s="420">
        <f t="shared" si="126"/>
        <v>0</v>
      </c>
      <c r="N692" s="445"/>
      <c r="O692" s="719"/>
      <c r="P692" s="719">
        <f t="shared" si="133"/>
        <v>0</v>
      </c>
      <c r="Q692" s="423">
        <f>SUMIF('8.Dgia'!E:E,'9.may'!E692,'8.Dgia'!P:P)</f>
        <v>0</v>
      </c>
      <c r="R692" s="429">
        <f t="shared" si="127"/>
        <v>0</v>
      </c>
      <c r="S692" s="301">
        <f t="shared" si="128"/>
        <v>0</v>
      </c>
      <c r="T692" s="430">
        <f t="shared" si="129"/>
        <v>0</v>
      </c>
      <c r="U692" s="436"/>
      <c r="V692" s="436"/>
      <c r="W692" s="432"/>
      <c r="Y692" s="433">
        <f t="shared" si="130"/>
        <v>0</v>
      </c>
      <c r="Z692" s="433">
        <f t="shared" si="131"/>
        <v>0</v>
      </c>
      <c r="AC692" s="410">
        <f t="shared" si="132"/>
        <v>0</v>
      </c>
    </row>
    <row r="693" spans="2:29" s="410" customFormat="1" ht="17.25" hidden="1" customHeight="1">
      <c r="B693" s="417" t="str">
        <f>IF(A693&lt;&gt;0,COUNTA(A$19:$A693),"")</f>
        <v/>
      </c>
      <c r="C693" s="428" t="s">
        <v>1625</v>
      </c>
      <c r="D693" s="428" t="s">
        <v>1626</v>
      </c>
      <c r="E693" s="435"/>
      <c r="F693" s="435"/>
      <c r="G693" s="419">
        <v>519.75</v>
      </c>
      <c r="H693" s="419"/>
      <c r="I693" s="419"/>
      <c r="J693" s="419"/>
      <c r="K693" s="420">
        <v>1</v>
      </c>
      <c r="L693" s="420">
        <f t="shared" si="125"/>
        <v>1052928</v>
      </c>
      <c r="M693" s="420">
        <f t="shared" si="126"/>
        <v>8257860</v>
      </c>
      <c r="N693" s="445">
        <f>SUMPRODUCT(G693:J693,$G$12:$J$12,$G$9:$J$9)</f>
        <v>8444146.7249999996</v>
      </c>
      <c r="O693" s="719"/>
      <c r="P693" s="719">
        <f t="shared" si="133"/>
        <v>19096786.125</v>
      </c>
      <c r="Q693" s="423">
        <f>SUMIF('8.Dgia'!E:E,'9.may'!E693,'8.Dgia'!P:P)</f>
        <v>0</v>
      </c>
      <c r="R693" s="429">
        <f t="shared" si="127"/>
        <v>0</v>
      </c>
      <c r="S693" s="301">
        <f t="shared" si="128"/>
        <v>305349.12000000005</v>
      </c>
      <c r="T693" s="430">
        <f t="shared" si="129"/>
        <v>17007355.844999999</v>
      </c>
      <c r="U693" s="431">
        <v>3720838</v>
      </c>
      <c r="V693" s="431">
        <v>1052928</v>
      </c>
      <c r="W693" s="432">
        <v>8257860</v>
      </c>
      <c r="Y693" s="433">
        <f t="shared" si="130"/>
        <v>-8749495.8449999988</v>
      </c>
      <c r="Z693" s="433">
        <f t="shared" si="131"/>
        <v>0</v>
      </c>
      <c r="AC693" s="410">
        <f t="shared" si="132"/>
        <v>0</v>
      </c>
    </row>
    <row r="694" spans="2:29" s="410" customFormat="1" ht="17.25" hidden="1" customHeight="1">
      <c r="B694" s="417" t="str">
        <f>IF(A694&lt;&gt;0,COUNTA(A$19:$A694),"")</f>
        <v/>
      </c>
      <c r="C694" s="418" t="s">
        <v>1627</v>
      </c>
      <c r="D694" s="418"/>
      <c r="E694" s="435"/>
      <c r="F694" s="435"/>
      <c r="G694" s="419"/>
      <c r="H694" s="419"/>
      <c r="I694" s="419"/>
      <c r="J694" s="419"/>
      <c r="K694" s="420"/>
      <c r="L694" s="420">
        <f t="shared" si="125"/>
        <v>0</v>
      </c>
      <c r="M694" s="420">
        <f t="shared" si="126"/>
        <v>0</v>
      </c>
      <c r="N694" s="445"/>
      <c r="O694" s="719"/>
      <c r="P694" s="719">
        <f t="shared" si="133"/>
        <v>0</v>
      </c>
      <c r="Q694" s="423">
        <f>SUMIF('8.Dgia'!E:E,'9.may'!E694,'8.Dgia'!P:P)</f>
        <v>0</v>
      </c>
      <c r="R694" s="429">
        <f t="shared" si="127"/>
        <v>0</v>
      </c>
      <c r="S694" s="301">
        <f t="shared" si="128"/>
        <v>0</v>
      </c>
      <c r="T694" s="430">
        <f t="shared" si="129"/>
        <v>0</v>
      </c>
      <c r="U694" s="436"/>
      <c r="V694" s="436"/>
      <c r="W694" s="432"/>
      <c r="Y694" s="433">
        <f t="shared" si="130"/>
        <v>0</v>
      </c>
      <c r="Z694" s="433">
        <f t="shared" si="131"/>
        <v>0</v>
      </c>
      <c r="AC694" s="410">
        <f t="shared" si="132"/>
        <v>0</v>
      </c>
    </row>
    <row r="695" spans="2:29" s="410" customFormat="1" ht="17.25" hidden="1" customHeight="1">
      <c r="B695" s="417" t="str">
        <f>IF(A695&lt;&gt;0,COUNTA(A$19:$A695),"")</f>
        <v/>
      </c>
      <c r="C695" s="428" t="s">
        <v>1628</v>
      </c>
      <c r="D695" s="428" t="s">
        <v>1629</v>
      </c>
      <c r="E695" s="435"/>
      <c r="F695" s="435"/>
      <c r="G695" s="419">
        <v>1751.4</v>
      </c>
      <c r="H695" s="419"/>
      <c r="I695" s="419"/>
      <c r="J695" s="419"/>
      <c r="K695" s="420">
        <v>1</v>
      </c>
      <c r="L695" s="420">
        <f t="shared" si="125"/>
        <v>1139978</v>
      </c>
      <c r="M695" s="420">
        <f t="shared" si="126"/>
        <v>24133751</v>
      </c>
      <c r="N695" s="445">
        <f>SUMPRODUCT(G695:J695,$G$12:$J$12,$G$9:$J$9)</f>
        <v>28454215.630909085</v>
      </c>
      <c r="O695" s="719"/>
      <c r="P695" s="719">
        <f t="shared" si="133"/>
        <v>59586754.420909084</v>
      </c>
      <c r="Q695" s="423">
        <f>SUMIF('8.Dgia'!E:E,'9.may'!E695,'8.Dgia'!P:P)</f>
        <v>0</v>
      </c>
      <c r="R695" s="429">
        <f t="shared" si="127"/>
        <v>0</v>
      </c>
      <c r="S695" s="301">
        <f t="shared" si="128"/>
        <v>330593.62000000005</v>
      </c>
      <c r="T695" s="430">
        <f t="shared" si="129"/>
        <v>52918560.25090909</v>
      </c>
      <c r="U695" s="431">
        <v>12538097</v>
      </c>
      <c r="V695" s="431">
        <v>1139978</v>
      </c>
      <c r="W695" s="432">
        <v>24133751</v>
      </c>
      <c r="Y695" s="433">
        <f t="shared" si="130"/>
        <v>-28784809.25090909</v>
      </c>
      <c r="Z695" s="433">
        <f t="shared" si="131"/>
        <v>0</v>
      </c>
      <c r="AC695" s="410">
        <f t="shared" si="132"/>
        <v>0</v>
      </c>
    </row>
    <row r="696" spans="2:29" s="410" customFormat="1" ht="17.25" hidden="1" customHeight="1">
      <c r="B696" s="417" t="str">
        <f>IF(A696&lt;&gt;0,COUNTA(A$19:$A696),"")</f>
        <v/>
      </c>
      <c r="C696" s="418" t="s">
        <v>1630</v>
      </c>
      <c r="D696" s="418"/>
      <c r="E696" s="435"/>
      <c r="F696" s="435"/>
      <c r="G696" s="419"/>
      <c r="H696" s="419"/>
      <c r="I696" s="419"/>
      <c r="J696" s="419"/>
      <c r="K696" s="420"/>
      <c r="L696" s="420">
        <f t="shared" si="125"/>
        <v>0</v>
      </c>
      <c r="M696" s="420">
        <f t="shared" si="126"/>
        <v>0</v>
      </c>
      <c r="N696" s="445"/>
      <c r="O696" s="719"/>
      <c r="P696" s="719">
        <f t="shared" si="133"/>
        <v>0</v>
      </c>
      <c r="Q696" s="423">
        <f>SUMIF('8.Dgia'!E:E,'9.may'!E696,'8.Dgia'!P:P)</f>
        <v>0</v>
      </c>
      <c r="R696" s="429">
        <f t="shared" si="127"/>
        <v>0</v>
      </c>
      <c r="S696" s="301">
        <f t="shared" si="128"/>
        <v>0</v>
      </c>
      <c r="T696" s="430">
        <f t="shared" si="129"/>
        <v>0</v>
      </c>
      <c r="U696" s="436"/>
      <c r="V696" s="436"/>
      <c r="W696" s="432"/>
      <c r="Y696" s="433">
        <f t="shared" si="130"/>
        <v>0</v>
      </c>
      <c r="Z696" s="433">
        <f t="shared" si="131"/>
        <v>0</v>
      </c>
      <c r="AC696" s="410">
        <f t="shared" si="132"/>
        <v>0</v>
      </c>
    </row>
    <row r="697" spans="2:29" s="410" customFormat="1" ht="17.25" hidden="1" customHeight="1">
      <c r="B697" s="417" t="str">
        <f>IF(A697&lt;&gt;0,COUNTA(A$19:$A697),"")</f>
        <v/>
      </c>
      <c r="C697" s="428" t="s">
        <v>1602</v>
      </c>
      <c r="D697" s="428"/>
      <c r="E697" s="435"/>
      <c r="F697" s="435"/>
      <c r="G697" s="419">
        <v>157.5</v>
      </c>
      <c r="H697" s="419"/>
      <c r="I697" s="419"/>
      <c r="J697" s="419"/>
      <c r="K697" s="420">
        <v>1</v>
      </c>
      <c r="L697" s="420">
        <f t="shared" si="125"/>
        <v>471358</v>
      </c>
      <c r="M697" s="420">
        <f t="shared" si="126"/>
        <v>2277899</v>
      </c>
      <c r="N697" s="445">
        <f t="shared" ref="N697:N702" si="135">SUMPRODUCT(G697:J697,$G$12:$J$12,$G$9:$J$9)</f>
        <v>2558832.3409090904</v>
      </c>
      <c r="O697" s="719"/>
      <c r="P697" s="719">
        <f t="shared" si="133"/>
        <v>5497322.0509090908</v>
      </c>
      <c r="Q697" s="423">
        <f>SUMIF('8.Dgia'!E:E,'9.may'!E697,'8.Dgia'!P:P)</f>
        <v>0</v>
      </c>
      <c r="R697" s="429">
        <f t="shared" si="127"/>
        <v>0</v>
      </c>
      <c r="S697" s="301">
        <f t="shared" si="128"/>
        <v>136693.82</v>
      </c>
      <c r="T697" s="430">
        <f t="shared" si="129"/>
        <v>4973425.1609090902</v>
      </c>
      <c r="U697" s="431">
        <v>1127527</v>
      </c>
      <c r="V697" s="431">
        <v>471358</v>
      </c>
      <c r="W697" s="432">
        <v>2277899</v>
      </c>
      <c r="Y697" s="433">
        <f t="shared" si="130"/>
        <v>-2695526.1609090902</v>
      </c>
      <c r="Z697" s="433">
        <f t="shared" si="131"/>
        <v>0</v>
      </c>
      <c r="AC697" s="410">
        <f t="shared" si="132"/>
        <v>0</v>
      </c>
    </row>
    <row r="698" spans="2:29" s="410" customFormat="1" ht="17.25" hidden="1" customHeight="1">
      <c r="B698" s="417" t="str">
        <f>IF(A698&lt;&gt;0,COUNTA(A$19:$A698),"")</f>
        <v/>
      </c>
      <c r="C698" s="428" t="s">
        <v>1631</v>
      </c>
      <c r="D698" s="428"/>
      <c r="E698" s="435"/>
      <c r="F698" s="435"/>
      <c r="G698" s="419">
        <v>304.5</v>
      </c>
      <c r="H698" s="419"/>
      <c r="I698" s="419"/>
      <c r="J698" s="419"/>
      <c r="K698" s="420">
        <v>1</v>
      </c>
      <c r="L698" s="420">
        <f t="shared" si="125"/>
        <v>558880</v>
      </c>
      <c r="M698" s="420">
        <f t="shared" si="126"/>
        <v>3734700</v>
      </c>
      <c r="N698" s="445">
        <f t="shared" si="135"/>
        <v>4947075.8590909084</v>
      </c>
      <c r="O698" s="719"/>
      <c r="P698" s="719">
        <f t="shared" si="133"/>
        <v>9764838.8590909094</v>
      </c>
      <c r="Q698" s="423">
        <f>SUMIF('8.Dgia'!E:E,'9.may'!E698,'8.Dgia'!P:P)</f>
        <v>0</v>
      </c>
      <c r="R698" s="429">
        <f t="shared" si="127"/>
        <v>0</v>
      </c>
      <c r="S698" s="301">
        <f t="shared" si="128"/>
        <v>162075.20000000001</v>
      </c>
      <c r="T698" s="430">
        <f t="shared" si="129"/>
        <v>8843851.0590909086</v>
      </c>
      <c r="U698" s="431">
        <v>2179885</v>
      </c>
      <c r="V698" s="431">
        <v>558880</v>
      </c>
      <c r="W698" s="432">
        <v>3734700</v>
      </c>
      <c r="Y698" s="433">
        <f t="shared" si="130"/>
        <v>-5109151.0590909086</v>
      </c>
      <c r="Z698" s="433">
        <f t="shared" si="131"/>
        <v>0</v>
      </c>
      <c r="AC698" s="410">
        <f t="shared" si="132"/>
        <v>0</v>
      </c>
    </row>
    <row r="699" spans="2:29" s="410" customFormat="1" ht="17.25" hidden="1" customHeight="1">
      <c r="B699" s="417" t="str">
        <f>IF(A699&lt;&gt;0,COUNTA(A$19:$A699),"")</f>
        <v/>
      </c>
      <c r="C699" s="428" t="s">
        <v>1632</v>
      </c>
      <c r="D699" s="428" t="s">
        <v>1633</v>
      </c>
      <c r="E699" s="435"/>
      <c r="F699" s="435"/>
      <c r="G699" s="419">
        <v>573.29999999999995</v>
      </c>
      <c r="H699" s="419"/>
      <c r="I699" s="419"/>
      <c r="J699" s="419"/>
      <c r="K699" s="420">
        <v>1</v>
      </c>
      <c r="L699" s="420">
        <f t="shared" si="125"/>
        <v>877332</v>
      </c>
      <c r="M699" s="420">
        <f t="shared" si="126"/>
        <v>8343496</v>
      </c>
      <c r="N699" s="445">
        <f t="shared" si="135"/>
        <v>9314149.7209090889</v>
      </c>
      <c r="O699" s="719"/>
      <c r="P699" s="719">
        <f t="shared" si="133"/>
        <v>20077259.560909089</v>
      </c>
      <c r="Q699" s="423">
        <f>SUMIF('8.Dgia'!E:E,'9.may'!E699,'8.Dgia'!P:P)</f>
        <v>0</v>
      </c>
      <c r="R699" s="429">
        <f t="shared" si="127"/>
        <v>0</v>
      </c>
      <c r="S699" s="301">
        <f t="shared" si="128"/>
        <v>254426.28000000003</v>
      </c>
      <c r="T699" s="430">
        <f t="shared" si="129"/>
        <v>17912072.00090909</v>
      </c>
      <c r="U699" s="431">
        <v>4104197</v>
      </c>
      <c r="V699" s="431">
        <v>877332</v>
      </c>
      <c r="W699" s="432">
        <v>8343496</v>
      </c>
      <c r="Y699" s="433">
        <f t="shared" si="130"/>
        <v>-9568576.00090909</v>
      </c>
      <c r="Z699" s="433">
        <f t="shared" si="131"/>
        <v>0</v>
      </c>
      <c r="AC699" s="410">
        <f t="shared" si="132"/>
        <v>0</v>
      </c>
    </row>
    <row r="700" spans="2:29" s="410" customFormat="1" ht="17.25" hidden="1" customHeight="1">
      <c r="B700" s="417" t="str">
        <f>IF(A700&lt;&gt;0,COUNTA(A$19:$A700),"")</f>
        <v/>
      </c>
      <c r="C700" s="428" t="s">
        <v>1634</v>
      </c>
      <c r="D700" s="428"/>
      <c r="E700" s="435"/>
      <c r="F700" s="435"/>
      <c r="G700" s="419">
        <v>756</v>
      </c>
      <c r="H700" s="419"/>
      <c r="I700" s="419"/>
      <c r="J700" s="419"/>
      <c r="K700" s="420">
        <v>1</v>
      </c>
      <c r="L700" s="420">
        <f t="shared" si="125"/>
        <v>877332</v>
      </c>
      <c r="M700" s="420">
        <f t="shared" si="126"/>
        <v>10411032</v>
      </c>
      <c r="N700" s="445">
        <f t="shared" si="135"/>
        <v>12282395.236363636</v>
      </c>
      <c r="O700" s="719"/>
      <c r="P700" s="719">
        <f t="shared" si="133"/>
        <v>25712626.516363636</v>
      </c>
      <c r="Q700" s="423">
        <f>SUMIF('8.Dgia'!E:E,'9.may'!E700,'8.Dgia'!P:P)</f>
        <v>0</v>
      </c>
      <c r="R700" s="429">
        <f t="shared" si="127"/>
        <v>0</v>
      </c>
      <c r="S700" s="301">
        <f t="shared" si="128"/>
        <v>254426.28000000003</v>
      </c>
      <c r="T700" s="430">
        <f t="shared" si="129"/>
        <v>22947853.516363636</v>
      </c>
      <c r="U700" s="431">
        <v>5412128</v>
      </c>
      <c r="V700" s="431">
        <v>877332</v>
      </c>
      <c r="W700" s="432">
        <v>10411032</v>
      </c>
      <c r="Y700" s="433">
        <f t="shared" si="130"/>
        <v>-12536821.516363636</v>
      </c>
      <c r="Z700" s="433">
        <f t="shared" si="131"/>
        <v>0</v>
      </c>
      <c r="AC700" s="410">
        <f t="shared" si="132"/>
        <v>0</v>
      </c>
    </row>
    <row r="701" spans="2:29" s="410" customFormat="1" ht="17.25" hidden="1" customHeight="1">
      <c r="B701" s="417" t="str">
        <f>IF(A701&lt;&gt;0,COUNTA(A$19:$A701),"")</f>
        <v/>
      </c>
      <c r="C701" s="428" t="s">
        <v>1635</v>
      </c>
      <c r="D701" s="428" t="s">
        <v>1636</v>
      </c>
      <c r="E701" s="435"/>
      <c r="F701" s="435"/>
      <c r="G701" s="419">
        <v>1008</v>
      </c>
      <c r="H701" s="419"/>
      <c r="I701" s="419"/>
      <c r="J701" s="419"/>
      <c r="K701" s="420">
        <v>1</v>
      </c>
      <c r="L701" s="420">
        <f t="shared" si="125"/>
        <v>1063333</v>
      </c>
      <c r="M701" s="420">
        <f t="shared" si="126"/>
        <v>17150613</v>
      </c>
      <c r="N701" s="445">
        <f t="shared" si="135"/>
        <v>16376526.981818181</v>
      </c>
      <c r="O701" s="719"/>
      <c r="P701" s="719">
        <f t="shared" si="133"/>
        <v>38500817.75181818</v>
      </c>
      <c r="Q701" s="423">
        <f>SUMIF('8.Dgia'!E:E,'9.may'!E701,'8.Dgia'!P:P)</f>
        <v>0</v>
      </c>
      <c r="R701" s="429">
        <f t="shared" si="127"/>
        <v>0</v>
      </c>
      <c r="S701" s="301">
        <f t="shared" si="128"/>
        <v>308366.57000000007</v>
      </c>
      <c r="T701" s="430">
        <f t="shared" si="129"/>
        <v>33835506.551818177</v>
      </c>
      <c r="U701" s="431">
        <v>7216171</v>
      </c>
      <c r="V701" s="431">
        <v>1063333</v>
      </c>
      <c r="W701" s="432">
        <v>17150613</v>
      </c>
      <c r="Y701" s="433">
        <f t="shared" si="130"/>
        <v>-16684893.551818177</v>
      </c>
      <c r="Z701" s="433">
        <f t="shared" si="131"/>
        <v>0</v>
      </c>
      <c r="AC701" s="410">
        <f t="shared" si="132"/>
        <v>0</v>
      </c>
    </row>
    <row r="702" spans="2:29" s="410" customFormat="1" ht="17.25" hidden="1" customHeight="1">
      <c r="B702" s="417" t="str">
        <f>IF(A702&lt;&gt;0,COUNTA(A$19:$A702),"")</f>
        <v/>
      </c>
      <c r="C702" s="428" t="s">
        <v>1637</v>
      </c>
      <c r="D702" s="428" t="s">
        <v>1638</v>
      </c>
      <c r="E702" s="435"/>
      <c r="F702" s="435"/>
      <c r="G702" s="419">
        <v>3210.9</v>
      </c>
      <c r="H702" s="419"/>
      <c r="I702" s="419"/>
      <c r="J702" s="419"/>
      <c r="K702" s="420">
        <v>1</v>
      </c>
      <c r="L702" s="420">
        <f t="shared" si="125"/>
        <v>1373983</v>
      </c>
      <c r="M702" s="420">
        <f t="shared" si="126"/>
        <v>61106523</v>
      </c>
      <c r="N702" s="445">
        <f t="shared" si="135"/>
        <v>52166061.989999995</v>
      </c>
      <c r="O702" s="719"/>
      <c r="P702" s="719">
        <f t="shared" si="133"/>
        <v>130993476.66</v>
      </c>
      <c r="Q702" s="423">
        <f>SUMIF('8.Dgia'!E:E,'9.may'!E702,'8.Dgia'!P:P)</f>
        <v>0</v>
      </c>
      <c r="R702" s="429">
        <f t="shared" si="127"/>
        <v>0</v>
      </c>
      <c r="S702" s="301">
        <f t="shared" si="128"/>
        <v>398455.07000000007</v>
      </c>
      <c r="T702" s="430">
        <f t="shared" si="129"/>
        <v>113671040.06</v>
      </c>
      <c r="U702" s="431">
        <v>22986512</v>
      </c>
      <c r="V702" s="431">
        <v>1373983</v>
      </c>
      <c r="W702" s="432">
        <v>61106523</v>
      </c>
      <c r="Y702" s="433">
        <f t="shared" si="130"/>
        <v>-52564517.060000002</v>
      </c>
      <c r="Z702" s="433">
        <f t="shared" si="131"/>
        <v>0</v>
      </c>
      <c r="AC702" s="410">
        <f t="shared" si="132"/>
        <v>0</v>
      </c>
    </row>
    <row r="703" spans="2:29" s="410" customFormat="1" ht="17.25" hidden="1" customHeight="1">
      <c r="B703" s="417" t="str">
        <f>IF(A703&lt;&gt;0,COUNTA(A$19:$A703),"")</f>
        <v/>
      </c>
      <c r="C703" s="418" t="s">
        <v>1639</v>
      </c>
      <c r="D703" s="418"/>
      <c r="E703" s="435"/>
      <c r="F703" s="435"/>
      <c r="G703" s="419"/>
      <c r="H703" s="419"/>
      <c r="I703" s="419"/>
      <c r="J703" s="419"/>
      <c r="K703" s="420"/>
      <c r="L703" s="420">
        <f t="shared" si="125"/>
        <v>0</v>
      </c>
      <c r="M703" s="420">
        <f t="shared" si="126"/>
        <v>0</v>
      </c>
      <c r="N703" s="445"/>
      <c r="O703" s="719"/>
      <c r="P703" s="719">
        <f t="shared" si="133"/>
        <v>0</v>
      </c>
      <c r="Q703" s="423">
        <f>SUMIF('8.Dgia'!E:E,'9.may'!E703,'8.Dgia'!P:P)</f>
        <v>0</v>
      </c>
      <c r="R703" s="429">
        <f t="shared" si="127"/>
        <v>0</v>
      </c>
      <c r="S703" s="301">
        <f t="shared" si="128"/>
        <v>0</v>
      </c>
      <c r="T703" s="430">
        <f t="shared" si="129"/>
        <v>0</v>
      </c>
      <c r="U703" s="436"/>
      <c r="V703" s="436"/>
      <c r="W703" s="432"/>
      <c r="Y703" s="433">
        <f t="shared" si="130"/>
        <v>0</v>
      </c>
      <c r="Z703" s="433">
        <f t="shared" si="131"/>
        <v>0</v>
      </c>
      <c r="AC703" s="410">
        <f t="shared" si="132"/>
        <v>0</v>
      </c>
    </row>
    <row r="704" spans="2:29" s="410" customFormat="1" ht="17.25" hidden="1" customHeight="1">
      <c r="B704" s="417" t="str">
        <f>IF(A704&lt;&gt;0,COUNTA(A$19:$A704),"")</f>
        <v/>
      </c>
      <c r="C704" s="428" t="s">
        <v>1640</v>
      </c>
      <c r="D704" s="428" t="s">
        <v>1641</v>
      </c>
      <c r="E704" s="435"/>
      <c r="F704" s="435"/>
      <c r="G704" s="419">
        <v>1445.6</v>
      </c>
      <c r="H704" s="419"/>
      <c r="I704" s="419"/>
      <c r="J704" s="419"/>
      <c r="K704" s="420">
        <v>1</v>
      </c>
      <c r="L704" s="420">
        <f t="shared" si="125"/>
        <v>869190</v>
      </c>
      <c r="M704" s="420">
        <f t="shared" si="126"/>
        <v>15816697</v>
      </c>
      <c r="N704" s="445">
        <f>SUMPRODUCT(G704:J704,$G$12:$J$12,$G$9:$J$9)</f>
        <v>23486019.250909086</v>
      </c>
      <c r="O704" s="719"/>
      <c r="P704" s="719">
        <f t="shared" si="133"/>
        <v>43889558.380909085</v>
      </c>
      <c r="Q704" s="423">
        <f>SUMIF('8.Dgia'!E:E,'9.may'!E704,'8.Dgia'!P:P)</f>
        <v>0</v>
      </c>
      <c r="R704" s="429">
        <f t="shared" si="127"/>
        <v>0</v>
      </c>
      <c r="S704" s="301">
        <f t="shared" si="128"/>
        <v>252065.10000000003</v>
      </c>
      <c r="T704" s="430">
        <f t="shared" si="129"/>
        <v>39554781.350909084</v>
      </c>
      <c r="U704" s="431">
        <v>10348906</v>
      </c>
      <c r="V704" s="431">
        <v>869190</v>
      </c>
      <c r="W704" s="432">
        <v>15816697</v>
      </c>
      <c r="Y704" s="433">
        <f t="shared" si="130"/>
        <v>-23738084.350909084</v>
      </c>
      <c r="Z704" s="433">
        <f t="shared" si="131"/>
        <v>0</v>
      </c>
      <c r="AC704" s="410">
        <f t="shared" si="132"/>
        <v>0</v>
      </c>
    </row>
    <row r="705" spans="1:29" s="410" customFormat="1" ht="17.25" hidden="1" customHeight="1">
      <c r="B705" s="417" t="str">
        <f>IF(A705&lt;&gt;0,COUNTA(A$19:$A705),"")</f>
        <v/>
      </c>
      <c r="C705" s="428" t="s">
        <v>1642</v>
      </c>
      <c r="D705" s="428" t="s">
        <v>1643</v>
      </c>
      <c r="E705" s="435"/>
      <c r="F705" s="435"/>
      <c r="G705" s="419">
        <v>5231.6000000000004</v>
      </c>
      <c r="H705" s="419"/>
      <c r="I705" s="419"/>
      <c r="J705" s="419"/>
      <c r="K705" s="420">
        <v>1</v>
      </c>
      <c r="L705" s="420">
        <f t="shared" si="125"/>
        <v>982811</v>
      </c>
      <c r="M705" s="420">
        <f t="shared" si="126"/>
        <v>73768069</v>
      </c>
      <c r="N705" s="445">
        <f>SUMPRODUCT(G705:J705,$G$12:$J$12,$G$9:$J$9)</f>
        <v>84995474.75999999</v>
      </c>
      <c r="O705" s="719"/>
      <c r="P705" s="719">
        <f t="shared" si="133"/>
        <v>180156283.76999998</v>
      </c>
      <c r="Q705" s="423">
        <f>SUMIF('8.Dgia'!E:E,'9.may'!E705,'8.Dgia'!P:P)</f>
        <v>0</v>
      </c>
      <c r="R705" s="429">
        <f t="shared" si="127"/>
        <v>0</v>
      </c>
      <c r="S705" s="301">
        <f t="shared" si="128"/>
        <v>285015.19000000006</v>
      </c>
      <c r="T705" s="430">
        <f t="shared" si="129"/>
        <v>159048558.94999999</v>
      </c>
      <c r="U705" s="431">
        <v>37452501</v>
      </c>
      <c r="V705" s="431">
        <v>982811</v>
      </c>
      <c r="W705" s="432">
        <v>73768069</v>
      </c>
      <c r="Y705" s="433">
        <f t="shared" si="130"/>
        <v>-85280489.949999988</v>
      </c>
      <c r="Z705" s="433">
        <f t="shared" si="131"/>
        <v>0</v>
      </c>
      <c r="AC705" s="410">
        <f t="shared" si="132"/>
        <v>0</v>
      </c>
    </row>
    <row r="706" spans="1:29" s="410" customFormat="1" ht="17.25" hidden="1" customHeight="1">
      <c r="B706" s="417" t="str">
        <f>IF(A706&lt;&gt;0,COUNTA(A$19:$A706),"")</f>
        <v/>
      </c>
      <c r="C706" s="418" t="s">
        <v>1644</v>
      </c>
      <c r="D706" s="418"/>
      <c r="E706" s="435"/>
      <c r="F706" s="435"/>
      <c r="G706" s="419"/>
      <c r="H706" s="419"/>
      <c r="I706" s="419"/>
      <c r="J706" s="419"/>
      <c r="K706" s="420"/>
      <c r="L706" s="420">
        <f t="shared" si="125"/>
        <v>0</v>
      </c>
      <c r="M706" s="420">
        <f t="shared" si="126"/>
        <v>0</v>
      </c>
      <c r="N706" s="445"/>
      <c r="O706" s="719"/>
      <c r="P706" s="719">
        <f t="shared" si="133"/>
        <v>0</v>
      </c>
      <c r="Q706" s="423">
        <f>SUMIF('8.Dgia'!E:E,'9.may'!E706,'8.Dgia'!P:P)</f>
        <v>0</v>
      </c>
      <c r="R706" s="429">
        <f t="shared" si="127"/>
        <v>0</v>
      </c>
      <c r="S706" s="301">
        <f t="shared" si="128"/>
        <v>0</v>
      </c>
      <c r="T706" s="430">
        <f t="shared" si="129"/>
        <v>0</v>
      </c>
      <c r="U706" s="436"/>
      <c r="V706" s="436"/>
      <c r="W706" s="432"/>
      <c r="Y706" s="433">
        <f t="shared" si="130"/>
        <v>0</v>
      </c>
      <c r="Z706" s="433">
        <f t="shared" si="131"/>
        <v>0</v>
      </c>
      <c r="AC706" s="410">
        <f t="shared" si="132"/>
        <v>0</v>
      </c>
    </row>
    <row r="707" spans="1:29" s="410" customFormat="1" ht="17.25" hidden="1" customHeight="1">
      <c r="B707" s="417" t="str">
        <f>IF(A707&lt;&gt;0,COUNTA(A$19:$A707),"")</f>
        <v/>
      </c>
      <c r="C707" s="428" t="s">
        <v>1645</v>
      </c>
      <c r="D707" s="428" t="s">
        <v>1646</v>
      </c>
      <c r="E707" s="435"/>
      <c r="F707" s="435"/>
      <c r="G707" s="419">
        <v>2662.8</v>
      </c>
      <c r="H707" s="419"/>
      <c r="I707" s="419"/>
      <c r="J707" s="419"/>
      <c r="K707" s="420">
        <v>1</v>
      </c>
      <c r="L707" s="420">
        <f t="shared" si="125"/>
        <v>1133533</v>
      </c>
      <c r="M707" s="420">
        <f t="shared" si="126"/>
        <v>39342212</v>
      </c>
      <c r="N707" s="445">
        <f>SUMPRODUCT(G707:J707,$G$12:$J$12,$G$9:$J$9)</f>
        <v>43261325.443636358</v>
      </c>
      <c r="O707" s="719"/>
      <c r="P707" s="719">
        <f t="shared" si="133"/>
        <v>94012778.923636362</v>
      </c>
      <c r="Q707" s="423">
        <f>SUMIF('8.Dgia'!E:E,'9.may'!E707,'8.Dgia'!P:P)</f>
        <v>0</v>
      </c>
      <c r="R707" s="429">
        <f t="shared" si="127"/>
        <v>0</v>
      </c>
      <c r="S707" s="301">
        <f t="shared" si="128"/>
        <v>328724.57000000007</v>
      </c>
      <c r="T707" s="430">
        <f t="shared" si="129"/>
        <v>82932262.013636351</v>
      </c>
      <c r="U707" s="431">
        <v>19062719</v>
      </c>
      <c r="V707" s="431">
        <v>1133533</v>
      </c>
      <c r="W707" s="432">
        <v>39342212</v>
      </c>
      <c r="Y707" s="433">
        <f t="shared" si="130"/>
        <v>-43590050.013636351</v>
      </c>
      <c r="Z707" s="433">
        <f t="shared" si="131"/>
        <v>0</v>
      </c>
      <c r="AC707" s="410">
        <f t="shared" si="132"/>
        <v>0</v>
      </c>
    </row>
    <row r="708" spans="1:29" s="410" customFormat="1" ht="17.25" hidden="1" customHeight="1">
      <c r="B708" s="417" t="str">
        <f>IF(A708&lt;&gt;0,COUNTA(A$19:$A708),"")</f>
        <v/>
      </c>
      <c r="C708" s="418" t="s">
        <v>1647</v>
      </c>
      <c r="D708" s="418"/>
      <c r="E708" s="435"/>
      <c r="F708" s="435"/>
      <c r="G708" s="419"/>
      <c r="H708" s="419"/>
      <c r="I708" s="419"/>
      <c r="J708" s="419"/>
      <c r="K708" s="420"/>
      <c r="L708" s="420">
        <f t="shared" si="125"/>
        <v>0</v>
      </c>
      <c r="M708" s="420">
        <f t="shared" si="126"/>
        <v>0</v>
      </c>
      <c r="N708" s="445"/>
      <c r="O708" s="719"/>
      <c r="P708" s="719">
        <f t="shared" si="133"/>
        <v>0</v>
      </c>
      <c r="Q708" s="423">
        <f>SUMIF('8.Dgia'!E:E,'9.may'!E708,'8.Dgia'!P:P)</f>
        <v>0</v>
      </c>
      <c r="R708" s="429">
        <f t="shared" si="127"/>
        <v>0</v>
      </c>
      <c r="S708" s="301">
        <f t="shared" si="128"/>
        <v>0</v>
      </c>
      <c r="T708" s="430">
        <f t="shared" si="129"/>
        <v>0</v>
      </c>
      <c r="U708" s="436"/>
      <c r="V708" s="436"/>
      <c r="W708" s="432"/>
      <c r="Y708" s="433">
        <f t="shared" si="130"/>
        <v>0</v>
      </c>
      <c r="Z708" s="433">
        <f t="shared" si="131"/>
        <v>0</v>
      </c>
      <c r="AC708" s="410">
        <f t="shared" si="132"/>
        <v>0</v>
      </c>
    </row>
    <row r="709" spans="1:29" s="410" customFormat="1" ht="17.25" hidden="1" customHeight="1">
      <c r="B709" s="417" t="str">
        <f>IF(A709&lt;&gt;0,COUNTA(A$19:$A709),"")</f>
        <v/>
      </c>
      <c r="C709" s="428" t="s">
        <v>1648</v>
      </c>
      <c r="D709" s="428"/>
      <c r="E709" s="435"/>
      <c r="F709" s="435"/>
      <c r="G709" s="419">
        <v>45.9</v>
      </c>
      <c r="H709" s="419"/>
      <c r="I709" s="419"/>
      <c r="J709" s="419"/>
      <c r="K709" s="420">
        <v>1</v>
      </c>
      <c r="L709" s="420">
        <f t="shared" si="125"/>
        <v>189204</v>
      </c>
      <c r="M709" s="420">
        <f t="shared" si="126"/>
        <v>1065419</v>
      </c>
      <c r="N709" s="445">
        <f>SUMPRODUCT(G709:J709,$G$12:$J$12,$G$9:$J$9)</f>
        <v>745716.85363636352</v>
      </c>
      <c r="O709" s="719"/>
      <c r="P709" s="719">
        <f t="shared" si="133"/>
        <v>2120107.3636363633</v>
      </c>
      <c r="Q709" s="423">
        <f>SUMIF('8.Dgia'!E:E,'9.may'!E709,'8.Dgia'!P:P)</f>
        <v>0</v>
      </c>
      <c r="R709" s="429">
        <f t="shared" si="127"/>
        <v>0</v>
      </c>
      <c r="S709" s="301">
        <f t="shared" si="128"/>
        <v>54869.16</v>
      </c>
      <c r="T709" s="430">
        <f t="shared" si="129"/>
        <v>1866005.0136363637</v>
      </c>
      <c r="U709" s="431">
        <v>328594</v>
      </c>
      <c r="V709" s="431">
        <v>189204</v>
      </c>
      <c r="W709" s="432">
        <v>1065419</v>
      </c>
      <c r="Y709" s="433">
        <f t="shared" si="130"/>
        <v>-800586.01363636367</v>
      </c>
      <c r="Z709" s="433">
        <f t="shared" si="131"/>
        <v>0</v>
      </c>
      <c r="AC709" s="410">
        <f t="shared" si="132"/>
        <v>0</v>
      </c>
    </row>
    <row r="710" spans="1:29" s="410" customFormat="1" ht="17.25" hidden="1" customHeight="1">
      <c r="B710" s="417" t="str">
        <f>IF(A710&lt;&gt;0,COUNTA(A$19:$A710),"")</f>
        <v/>
      </c>
      <c r="C710" s="428" t="s">
        <v>1649</v>
      </c>
      <c r="D710" s="428"/>
      <c r="E710" s="435"/>
      <c r="F710" s="435"/>
      <c r="G710" s="419">
        <v>62.1</v>
      </c>
      <c r="H710" s="419"/>
      <c r="I710" s="419"/>
      <c r="J710" s="419"/>
      <c r="K710" s="420">
        <v>1</v>
      </c>
      <c r="L710" s="420">
        <f t="shared" si="125"/>
        <v>198532</v>
      </c>
      <c r="M710" s="420">
        <f t="shared" si="126"/>
        <v>1274010</v>
      </c>
      <c r="N710" s="445">
        <f>SUMPRODUCT(G710:J710,$G$12:$J$12,$G$9:$J$9)</f>
        <v>1008911.0372727272</v>
      </c>
      <c r="O710" s="719"/>
      <c r="P710" s="719">
        <f t="shared" si="133"/>
        <v>2652383.9372727275</v>
      </c>
      <c r="Q710" s="423">
        <f>SUMIF('8.Dgia'!E:E,'9.may'!E710,'8.Dgia'!P:P)</f>
        <v>0</v>
      </c>
      <c r="R710" s="429">
        <f t="shared" si="127"/>
        <v>0</v>
      </c>
      <c r="S710" s="301">
        <f t="shared" si="128"/>
        <v>57574.280000000006</v>
      </c>
      <c r="T710" s="430">
        <f t="shared" si="129"/>
        <v>2340495.3172727274</v>
      </c>
      <c r="U710" s="431">
        <v>444568</v>
      </c>
      <c r="V710" s="431">
        <v>198532</v>
      </c>
      <c r="W710" s="432">
        <v>1274010</v>
      </c>
      <c r="Y710" s="433">
        <f t="shared" si="130"/>
        <v>-1066485.3172727274</v>
      </c>
      <c r="Z710" s="433">
        <f t="shared" si="131"/>
        <v>0</v>
      </c>
      <c r="AC710" s="410">
        <f t="shared" si="132"/>
        <v>0</v>
      </c>
    </row>
    <row r="711" spans="1:29" s="410" customFormat="1" ht="17.25" customHeight="1">
      <c r="A711" s="410">
        <v>1</v>
      </c>
      <c r="B711" s="417">
        <f>IF(A711&lt;&gt;0,COUNTA(A$19:$A711),"")</f>
        <v>177</v>
      </c>
      <c r="C711" s="428" t="s">
        <v>1650</v>
      </c>
      <c r="D711" s="428" t="s">
        <v>1651</v>
      </c>
      <c r="E711" s="435" t="s">
        <v>1652</v>
      </c>
      <c r="F711" s="435"/>
      <c r="G711" s="419">
        <v>70.2</v>
      </c>
      <c r="H711" s="419"/>
      <c r="I711" s="419"/>
      <c r="J711" s="419"/>
      <c r="K711" s="420">
        <v>1</v>
      </c>
      <c r="L711" s="420">
        <f t="shared" si="125"/>
        <v>198532</v>
      </c>
      <c r="M711" s="420">
        <f t="shared" si="126"/>
        <v>1464687</v>
      </c>
      <c r="N711" s="445">
        <f>SUMPRODUCT(G711:J711,$G$12:$J$12,$G$9:$J$9)</f>
        <v>1140508.1290909089</v>
      </c>
      <c r="O711" s="719"/>
      <c r="P711" s="719">
        <f t="shared" si="133"/>
        <v>3029954.3590909089</v>
      </c>
      <c r="Q711" s="423">
        <f>SUMIF('8.Dgia'!E:E,'9.may'!E711,'8.Dgia'!P:P)</f>
        <v>0</v>
      </c>
      <c r="R711" s="429">
        <f t="shared" si="127"/>
        <v>0</v>
      </c>
      <c r="S711" s="301">
        <f t="shared" si="128"/>
        <v>57574.280000000006</v>
      </c>
      <c r="T711" s="430">
        <f t="shared" si="129"/>
        <v>2662769.4090909092</v>
      </c>
      <c r="U711" s="2053">
        <v>502555</v>
      </c>
      <c r="V711" s="2053">
        <v>198532</v>
      </c>
      <c r="W711" s="2054">
        <v>1464687</v>
      </c>
      <c r="Y711" s="433">
        <f t="shared" si="130"/>
        <v>-1198082.4090909092</v>
      </c>
      <c r="Z711" s="433">
        <f t="shared" si="131"/>
        <v>0</v>
      </c>
      <c r="AC711" s="410">
        <f t="shared" si="132"/>
        <v>0</v>
      </c>
    </row>
    <row r="712" spans="1:29" s="410" customFormat="1" ht="17.25" hidden="1" customHeight="1">
      <c r="B712" s="417" t="str">
        <f>IF(A712&lt;&gt;0,COUNTA(A$19:$A712),"")</f>
        <v/>
      </c>
      <c r="C712" s="435"/>
      <c r="D712" s="435"/>
      <c r="E712" s="435"/>
      <c r="F712" s="435"/>
      <c r="G712" s="419"/>
      <c r="H712" s="419"/>
      <c r="I712" s="419"/>
      <c r="J712" s="419"/>
      <c r="K712" s="420"/>
      <c r="L712" s="420">
        <f t="shared" si="125"/>
        <v>0</v>
      </c>
      <c r="M712" s="420">
        <f t="shared" si="126"/>
        <v>0</v>
      </c>
      <c r="N712" s="445"/>
      <c r="O712" s="719"/>
      <c r="P712" s="719">
        <f t="shared" si="133"/>
        <v>0</v>
      </c>
      <c r="Q712" s="423">
        <f>SUMIF('8.Dgia'!E:E,'9.may'!E712,'8.Dgia'!P:P)</f>
        <v>0</v>
      </c>
      <c r="R712" s="429">
        <f t="shared" si="127"/>
        <v>0</v>
      </c>
      <c r="S712" s="301">
        <f t="shared" si="128"/>
        <v>0</v>
      </c>
      <c r="T712" s="430">
        <f t="shared" si="129"/>
        <v>0</v>
      </c>
      <c r="U712" s="436"/>
      <c r="V712" s="436"/>
      <c r="W712" s="432"/>
      <c r="Y712" s="433">
        <f t="shared" si="130"/>
        <v>0</v>
      </c>
      <c r="Z712" s="433">
        <f t="shared" si="131"/>
        <v>0</v>
      </c>
      <c r="AC712" s="410">
        <f t="shared" si="132"/>
        <v>0</v>
      </c>
    </row>
    <row r="713" spans="1:29" s="410" customFormat="1" ht="17.25" hidden="1" customHeight="1">
      <c r="B713" s="417" t="str">
        <f>IF(A713&lt;&gt;0,COUNTA(A$19:$A713),"")</f>
        <v/>
      </c>
      <c r="C713" s="444" t="s">
        <v>1653</v>
      </c>
      <c r="D713" s="444"/>
      <c r="E713" s="435"/>
      <c r="F713" s="435"/>
      <c r="G713" s="419"/>
      <c r="H713" s="419"/>
      <c r="I713" s="419"/>
      <c r="J713" s="419"/>
      <c r="K713" s="420"/>
      <c r="L713" s="420">
        <f t="shared" si="125"/>
        <v>0</v>
      </c>
      <c r="M713" s="420">
        <f t="shared" si="126"/>
        <v>0</v>
      </c>
      <c r="N713" s="445"/>
      <c r="O713" s="719"/>
      <c r="P713" s="719">
        <f t="shared" si="133"/>
        <v>0</v>
      </c>
      <c r="Q713" s="423">
        <f>SUMIF('8.Dgia'!E:E,'9.may'!E713,'8.Dgia'!P:P)</f>
        <v>0</v>
      </c>
      <c r="R713" s="429">
        <f t="shared" si="127"/>
        <v>0</v>
      </c>
      <c r="S713" s="301">
        <f t="shared" si="128"/>
        <v>0</v>
      </c>
      <c r="T713" s="430">
        <f t="shared" si="129"/>
        <v>0</v>
      </c>
      <c r="U713" s="436"/>
      <c r="V713" s="436"/>
      <c r="W713" s="432"/>
      <c r="Y713" s="433">
        <f t="shared" si="130"/>
        <v>0</v>
      </c>
      <c r="Z713" s="433">
        <f t="shared" si="131"/>
        <v>0</v>
      </c>
      <c r="AC713" s="410">
        <f t="shared" si="132"/>
        <v>0</v>
      </c>
    </row>
    <row r="714" spans="1:29" s="446" customFormat="1" ht="17.25" customHeight="1">
      <c r="A714" s="410">
        <v>1</v>
      </c>
      <c r="B714" s="417">
        <f>IF(A714&lt;&gt;0,COUNTA(A$19:$A714),"")</f>
        <v>178</v>
      </c>
      <c r="C714" s="428" t="s">
        <v>762</v>
      </c>
      <c r="D714" s="428" t="s">
        <v>1654</v>
      </c>
      <c r="E714" s="435" t="s">
        <v>1655</v>
      </c>
      <c r="F714" s="435" t="s">
        <v>4829</v>
      </c>
      <c r="G714" s="419">
        <v>59.4</v>
      </c>
      <c r="H714" s="419"/>
      <c r="I714" s="419"/>
      <c r="J714" s="419"/>
      <c r="K714" s="420">
        <v>1</v>
      </c>
      <c r="L714" s="420">
        <f t="shared" si="125"/>
        <v>98673</v>
      </c>
      <c r="M714" s="420">
        <f t="shared" si="126"/>
        <v>978596</v>
      </c>
      <c r="N714" s="445">
        <f t="shared" ref="N714:N719" si="136">SUMPRODUCT(G714:J714,$G$12:$J$12,$G$9:$J$9)</f>
        <v>965045.33999999985</v>
      </c>
      <c r="O714" s="719"/>
      <c r="P714" s="719">
        <f t="shared" si="133"/>
        <v>2227434.1799999997</v>
      </c>
      <c r="Q714" s="423">
        <f>SUMIF('8.Dgia'!E:E,'9.may'!E714,'8.Dgia'!P:P)</f>
        <v>0</v>
      </c>
      <c r="R714" s="429">
        <f t="shared" si="127"/>
        <v>0</v>
      </c>
      <c r="S714" s="301">
        <f t="shared" si="128"/>
        <v>28615.170000000002</v>
      </c>
      <c r="T714" s="430">
        <f t="shared" si="129"/>
        <v>1972256.5099999998</v>
      </c>
      <c r="U714" s="2053">
        <v>425239</v>
      </c>
      <c r="V714" s="2053">
        <v>98673</v>
      </c>
      <c r="W714" s="2054">
        <v>978596</v>
      </c>
      <c r="Y714" s="433">
        <f t="shared" si="130"/>
        <v>-993660.50999999978</v>
      </c>
      <c r="Z714" s="433">
        <f t="shared" si="131"/>
        <v>0</v>
      </c>
      <c r="AC714" s="410">
        <f t="shared" si="132"/>
        <v>0</v>
      </c>
    </row>
    <row r="715" spans="1:29" s="410" customFormat="1" ht="17.25" customHeight="1">
      <c r="A715" s="410">
        <v>1</v>
      </c>
      <c r="B715" s="417">
        <f>IF(A715&lt;&gt;0,COUNTA(A$19:$A715),"")</f>
        <v>179</v>
      </c>
      <c r="C715" s="428" t="s">
        <v>768</v>
      </c>
      <c r="D715" s="428" t="s">
        <v>1656</v>
      </c>
      <c r="E715" s="435" t="s">
        <v>1657</v>
      </c>
      <c r="F715" s="435" t="s">
        <v>4830</v>
      </c>
      <c r="G715" s="419">
        <v>64.8</v>
      </c>
      <c r="H715" s="419"/>
      <c r="I715" s="419"/>
      <c r="J715" s="419"/>
      <c r="K715" s="420">
        <v>1</v>
      </c>
      <c r="L715" s="420">
        <f t="shared" si="125"/>
        <v>98673</v>
      </c>
      <c r="M715" s="420">
        <f t="shared" si="126"/>
        <v>1062521</v>
      </c>
      <c r="N715" s="445">
        <f t="shared" si="136"/>
        <v>1052776.7345454544</v>
      </c>
      <c r="O715" s="719"/>
      <c r="P715" s="719">
        <f t="shared" si="133"/>
        <v>2423428.8245454542</v>
      </c>
      <c r="Q715" s="423">
        <f>SUMIF('8.Dgia'!E:E,'9.may'!E715,'8.Dgia'!P:P)</f>
        <v>0</v>
      </c>
      <c r="R715" s="429">
        <f t="shared" si="127"/>
        <v>0</v>
      </c>
      <c r="S715" s="301">
        <f t="shared" si="128"/>
        <v>28615.170000000002</v>
      </c>
      <c r="T715" s="430">
        <f t="shared" si="129"/>
        <v>2143912.9045454543</v>
      </c>
      <c r="U715" s="2053">
        <v>463897</v>
      </c>
      <c r="V715" s="2053">
        <v>98673</v>
      </c>
      <c r="W715" s="2054">
        <v>1062521</v>
      </c>
      <c r="Y715" s="433">
        <f t="shared" si="130"/>
        <v>-1081391.9045454543</v>
      </c>
      <c r="Z715" s="433">
        <f t="shared" si="131"/>
        <v>0</v>
      </c>
      <c r="AC715" s="410">
        <f t="shared" si="132"/>
        <v>0</v>
      </c>
    </row>
    <row r="716" spans="1:29" s="410" customFormat="1" ht="17.25" customHeight="1">
      <c r="A716" s="410">
        <v>1</v>
      </c>
      <c r="B716" s="417">
        <f>IF(A716&lt;&gt;0,COUNTA(A$19:$A716),"")</f>
        <v>180</v>
      </c>
      <c r="C716" s="428" t="s">
        <v>774</v>
      </c>
      <c r="D716" s="428" t="s">
        <v>1658</v>
      </c>
      <c r="E716" s="435" t="s">
        <v>1659</v>
      </c>
      <c r="F716" s="435" t="s">
        <v>4831</v>
      </c>
      <c r="G716" s="419">
        <v>82.6</v>
      </c>
      <c r="H716" s="419"/>
      <c r="I716" s="419"/>
      <c r="J716" s="419"/>
      <c r="K716" s="420">
        <v>1</v>
      </c>
      <c r="L716" s="420">
        <f t="shared" si="125"/>
        <v>114786</v>
      </c>
      <c r="M716" s="420">
        <f t="shared" si="126"/>
        <v>1470729</v>
      </c>
      <c r="N716" s="445">
        <f t="shared" si="136"/>
        <v>1341965.405454545</v>
      </c>
      <c r="O716" s="719"/>
      <c r="P716" s="719">
        <f t="shared" si="133"/>
        <v>3239205.8154545454</v>
      </c>
      <c r="Q716" s="423">
        <f>SUMIF('8.Dgia'!E:E,'9.may'!E716,'8.Dgia'!P:P)</f>
        <v>0</v>
      </c>
      <c r="R716" s="429">
        <f t="shared" si="127"/>
        <v>0</v>
      </c>
      <c r="S716" s="301">
        <f t="shared" si="128"/>
        <v>33287.94</v>
      </c>
      <c r="T716" s="430">
        <f t="shared" si="129"/>
        <v>2845982.3454545448</v>
      </c>
      <c r="U716" s="2053">
        <v>591325</v>
      </c>
      <c r="V716" s="2053">
        <v>114786</v>
      </c>
      <c r="W716" s="2054">
        <v>1470729</v>
      </c>
      <c r="Y716" s="433">
        <f t="shared" si="130"/>
        <v>-1375253.3454545448</v>
      </c>
      <c r="Z716" s="433">
        <f t="shared" si="131"/>
        <v>0</v>
      </c>
      <c r="AC716" s="410">
        <f t="shared" si="132"/>
        <v>0</v>
      </c>
    </row>
    <row r="717" spans="1:29" s="427" customFormat="1" ht="17.25" customHeight="1">
      <c r="A717" s="410">
        <v>1</v>
      </c>
      <c r="B717" s="417">
        <f>IF(A717&lt;&gt;0,COUNTA(A$19:$A717),"")</f>
        <v>181</v>
      </c>
      <c r="C717" s="428" t="s">
        <v>775</v>
      </c>
      <c r="D717" s="428" t="s">
        <v>1660</v>
      </c>
      <c r="E717" s="435" t="s">
        <v>1661</v>
      </c>
      <c r="F717" s="435" t="s">
        <v>4832</v>
      </c>
      <c r="G717" s="419">
        <v>113.2</v>
      </c>
      <c r="H717" s="419"/>
      <c r="I717" s="419"/>
      <c r="J717" s="419"/>
      <c r="K717" s="420">
        <v>1</v>
      </c>
      <c r="L717" s="420">
        <f t="shared" si="125"/>
        <v>114786</v>
      </c>
      <c r="M717" s="420">
        <f t="shared" si="126"/>
        <v>1810837</v>
      </c>
      <c r="N717" s="445">
        <f t="shared" si="136"/>
        <v>1839109.9745454544</v>
      </c>
      <c r="O717" s="719"/>
      <c r="P717" s="719">
        <f t="shared" si="133"/>
        <v>4175089.7045454541</v>
      </c>
      <c r="Q717" s="423">
        <f>SUMIF('8.Dgia'!E:E,'9.may'!E717,'8.Dgia'!P:P)</f>
        <v>0</v>
      </c>
      <c r="R717" s="429">
        <f t="shared" si="127"/>
        <v>0</v>
      </c>
      <c r="S717" s="301">
        <f t="shared" si="128"/>
        <v>33287.94</v>
      </c>
      <c r="T717" s="430">
        <f t="shared" si="129"/>
        <v>3683234.9145454541</v>
      </c>
      <c r="U717" s="2053">
        <v>810387</v>
      </c>
      <c r="V717" s="2053">
        <v>114786</v>
      </c>
      <c r="W717" s="2054">
        <v>1810837</v>
      </c>
      <c r="Y717" s="433">
        <f t="shared" si="130"/>
        <v>-1872397.9145454541</v>
      </c>
      <c r="Z717" s="433">
        <f t="shared" si="131"/>
        <v>0</v>
      </c>
      <c r="AC717" s="410">
        <f t="shared" si="132"/>
        <v>0</v>
      </c>
    </row>
    <row r="718" spans="1:29" s="427" customFormat="1" ht="17.25" customHeight="1">
      <c r="A718" s="410">
        <v>1</v>
      </c>
      <c r="B718" s="417">
        <f>IF(A718&lt;&gt;0,COUNTA(A$19:$A718),"")</f>
        <v>182</v>
      </c>
      <c r="C718" s="428" t="s">
        <v>778</v>
      </c>
      <c r="D718" s="428" t="s">
        <v>1662</v>
      </c>
      <c r="E718" s="435" t="s">
        <v>1663</v>
      </c>
      <c r="F718" s="435"/>
      <c r="G718" s="419">
        <v>127.5</v>
      </c>
      <c r="H718" s="419"/>
      <c r="I718" s="419"/>
      <c r="J718" s="419"/>
      <c r="K718" s="420">
        <v>1</v>
      </c>
      <c r="L718" s="420">
        <f t="shared" si="125"/>
        <v>125981</v>
      </c>
      <c r="M718" s="420">
        <f t="shared" si="126"/>
        <v>2158185</v>
      </c>
      <c r="N718" s="445">
        <f t="shared" si="136"/>
        <v>2071435.7045454541</v>
      </c>
      <c r="O718" s="719"/>
      <c r="P718" s="719">
        <f t="shared" si="133"/>
        <v>4855494.3545454536</v>
      </c>
      <c r="Q718" s="423">
        <f>SUMIF('8.Dgia'!E:E,'9.may'!E718,'8.Dgia'!P:P)</f>
        <v>0</v>
      </c>
      <c r="R718" s="429">
        <f t="shared" si="127"/>
        <v>0</v>
      </c>
      <c r="S718" s="301">
        <f t="shared" si="128"/>
        <v>36534.490000000005</v>
      </c>
      <c r="T718" s="430">
        <f t="shared" si="129"/>
        <v>4266155.1945454543</v>
      </c>
      <c r="U718" s="2053">
        <v>912760</v>
      </c>
      <c r="V718" s="2053">
        <v>125981</v>
      </c>
      <c r="W718" s="2054">
        <v>2158185</v>
      </c>
      <c r="Y718" s="433">
        <f t="shared" si="130"/>
        <v>-2107970.1945454543</v>
      </c>
      <c r="Z718" s="433">
        <f t="shared" si="131"/>
        <v>0</v>
      </c>
      <c r="AC718" s="410">
        <f t="shared" si="132"/>
        <v>0</v>
      </c>
    </row>
    <row r="719" spans="1:29" s="427" customFormat="1" ht="17.25" customHeight="1">
      <c r="A719" s="410">
        <v>1</v>
      </c>
      <c r="B719" s="417">
        <f>IF(A719&lt;&gt;0,COUNTA(A$19:$A719),"")</f>
        <v>183</v>
      </c>
      <c r="C719" s="428" t="s">
        <v>782</v>
      </c>
      <c r="D719" s="428" t="s">
        <v>1664</v>
      </c>
      <c r="E719" s="435" t="s">
        <v>278</v>
      </c>
      <c r="F719" s="435"/>
      <c r="G719" s="419">
        <v>163.69999999999999</v>
      </c>
      <c r="H719" s="419"/>
      <c r="I719" s="419"/>
      <c r="J719" s="419"/>
      <c r="K719" s="420">
        <v>1</v>
      </c>
      <c r="L719" s="420">
        <f t="shared" si="125"/>
        <v>125981</v>
      </c>
      <c r="M719" s="420">
        <f t="shared" si="126"/>
        <v>2784367</v>
      </c>
      <c r="N719" s="445">
        <f t="shared" si="136"/>
        <v>2659560.979090909</v>
      </c>
      <c r="O719" s="719"/>
      <c r="P719" s="719">
        <f t="shared" si="133"/>
        <v>6251394.4090909092</v>
      </c>
      <c r="Q719" s="423">
        <f>SUMIF('8.Dgia'!E:E,'9.may'!E719,'8.Dgia'!P:P)</f>
        <v>0</v>
      </c>
      <c r="R719" s="429">
        <f t="shared" si="127"/>
        <v>0</v>
      </c>
      <c r="S719" s="301">
        <f t="shared" si="128"/>
        <v>36534.490000000005</v>
      </c>
      <c r="T719" s="430">
        <f t="shared" si="129"/>
        <v>5480462.4690909088</v>
      </c>
      <c r="U719" s="2053">
        <v>1171912</v>
      </c>
      <c r="V719" s="2053">
        <v>125981</v>
      </c>
      <c r="W719" s="2054">
        <v>2784367</v>
      </c>
      <c r="Y719" s="433">
        <f t="shared" si="130"/>
        <v>-2696095.4690909088</v>
      </c>
      <c r="Z719" s="433">
        <f t="shared" si="131"/>
        <v>0</v>
      </c>
      <c r="AC719" s="410">
        <f t="shared" si="132"/>
        <v>0</v>
      </c>
    </row>
    <row r="720" spans="1:29" s="427" customFormat="1" ht="17.25" hidden="1" customHeight="1">
      <c r="B720" s="417" t="str">
        <f>IF(A720&lt;&gt;0,COUNTA(A$19:$A720),"")</f>
        <v/>
      </c>
      <c r="C720" s="444" t="s">
        <v>802</v>
      </c>
      <c r="D720" s="444"/>
      <c r="E720" s="435"/>
      <c r="F720" s="435"/>
      <c r="G720" s="419"/>
      <c r="H720" s="419"/>
      <c r="I720" s="419"/>
      <c r="J720" s="419"/>
      <c r="K720" s="420"/>
      <c r="L720" s="420">
        <f t="shared" si="125"/>
        <v>0</v>
      </c>
      <c r="M720" s="420">
        <f t="shared" si="126"/>
        <v>0</v>
      </c>
      <c r="N720" s="445"/>
      <c r="O720" s="719"/>
      <c r="P720" s="719">
        <f t="shared" si="133"/>
        <v>0</v>
      </c>
      <c r="Q720" s="423">
        <f>SUMIF('8.Dgia'!E:E,'9.may'!E720,'8.Dgia'!P:P)</f>
        <v>0</v>
      </c>
      <c r="R720" s="429">
        <f t="shared" si="127"/>
        <v>0</v>
      </c>
      <c r="S720" s="301">
        <f t="shared" si="128"/>
        <v>0</v>
      </c>
      <c r="T720" s="430">
        <f t="shared" si="129"/>
        <v>0</v>
      </c>
      <c r="U720" s="436"/>
      <c r="V720" s="436"/>
      <c r="W720" s="432"/>
      <c r="Y720" s="433">
        <f t="shared" si="130"/>
        <v>0</v>
      </c>
      <c r="Z720" s="433">
        <f t="shared" si="131"/>
        <v>0</v>
      </c>
      <c r="AC720" s="410">
        <f t="shared" si="132"/>
        <v>0</v>
      </c>
    </row>
    <row r="721" spans="1:29" s="427" customFormat="1" ht="17.25" hidden="1" customHeight="1">
      <c r="B721" s="417" t="str">
        <f>IF(A721&lt;&gt;0,COUNTA(A$19:$A721),"")</f>
        <v/>
      </c>
      <c r="C721" s="428" t="s">
        <v>1665</v>
      </c>
      <c r="D721" s="428"/>
      <c r="E721" s="435"/>
      <c r="F721" s="435"/>
      <c r="G721" s="419">
        <v>29.1</v>
      </c>
      <c r="H721" s="419"/>
      <c r="I721" s="419"/>
      <c r="J721" s="419"/>
      <c r="K721" s="420">
        <v>1</v>
      </c>
      <c r="L721" s="420">
        <f t="shared" si="125"/>
        <v>48658</v>
      </c>
      <c r="M721" s="420">
        <f t="shared" si="126"/>
        <v>567033</v>
      </c>
      <c r="N721" s="445">
        <f>SUMPRODUCT(G721:J721,$G$12:$J$12,$G$9:$J$9)</f>
        <v>472774.73727272724</v>
      </c>
      <c r="O721" s="719"/>
      <c r="P721" s="719">
        <f t="shared" si="133"/>
        <v>1204247.3072727274</v>
      </c>
      <c r="Q721" s="423">
        <f>SUMIF('8.Dgia'!E:E,'9.may'!E721,'8.Dgia'!P:P)</f>
        <v>0</v>
      </c>
      <c r="R721" s="429">
        <f t="shared" si="127"/>
        <v>0</v>
      </c>
      <c r="S721" s="301">
        <f t="shared" si="128"/>
        <v>14110.820000000002</v>
      </c>
      <c r="T721" s="430">
        <f t="shared" si="129"/>
        <v>1053918.5572727271</v>
      </c>
      <c r="U721" s="431">
        <v>208324</v>
      </c>
      <c r="V721" s="431">
        <v>48658</v>
      </c>
      <c r="W721" s="432">
        <v>567033</v>
      </c>
      <c r="Y721" s="433">
        <f t="shared" si="130"/>
        <v>-486885.55727272714</v>
      </c>
      <c r="Z721" s="433">
        <f t="shared" si="131"/>
        <v>0</v>
      </c>
      <c r="AC721" s="410">
        <f t="shared" si="132"/>
        <v>0</v>
      </c>
    </row>
    <row r="722" spans="1:29" s="427" customFormat="1" ht="17.25" customHeight="1">
      <c r="A722" s="410">
        <v>1</v>
      </c>
      <c r="B722" s="417">
        <f>IF(A722&lt;&gt;0,COUNTA(A$19:$A722),"")</f>
        <v>184</v>
      </c>
      <c r="C722" s="428" t="s">
        <v>776</v>
      </c>
      <c r="D722" s="428"/>
      <c r="E722" s="435" t="s">
        <v>5473</v>
      </c>
      <c r="F722" s="435" t="s">
        <v>4661</v>
      </c>
      <c r="G722" s="419">
        <v>46.5</v>
      </c>
      <c r="H722" s="419"/>
      <c r="I722" s="419"/>
      <c r="J722" s="419"/>
      <c r="K722" s="420">
        <v>1</v>
      </c>
      <c r="L722" s="420">
        <f t="shared" si="125"/>
        <v>98673</v>
      </c>
      <c r="M722" s="420">
        <f t="shared" si="126"/>
        <v>919051</v>
      </c>
      <c r="N722" s="445">
        <f>SUMPRODUCT(G722:J722,$G$12:$J$12,$G$9:$J$9)</f>
        <v>755464.78636363626</v>
      </c>
      <c r="O722" s="719"/>
      <c r="P722" s="719">
        <f t="shared" si="133"/>
        <v>1941040.5763636362</v>
      </c>
      <c r="Q722" s="423" t="e">
        <f>SUMIF('8.Dgia'!E:E,'9.may'!E722,'8.Dgia'!P:P)</f>
        <v>#REF!</v>
      </c>
      <c r="R722" s="429" t="e">
        <f t="shared" si="127"/>
        <v>#REF!</v>
      </c>
      <c r="S722" s="301">
        <f t="shared" si="128"/>
        <v>28615.170000000002</v>
      </c>
      <c r="T722" s="430">
        <f t="shared" si="129"/>
        <v>1703130.9563636363</v>
      </c>
      <c r="U722" s="2053">
        <v>208324</v>
      </c>
      <c r="V722" s="2053">
        <v>98673</v>
      </c>
      <c r="W722" s="2054">
        <v>919051</v>
      </c>
      <c r="Y722" s="433">
        <f t="shared" si="130"/>
        <v>-784079.9563636363</v>
      </c>
      <c r="Z722" s="433">
        <f t="shared" si="131"/>
        <v>0</v>
      </c>
      <c r="AC722" s="410" t="e">
        <f t="shared" si="132"/>
        <v>#REF!</v>
      </c>
    </row>
    <row r="723" spans="1:29" s="427" customFormat="1" ht="17.25" hidden="1" customHeight="1">
      <c r="B723" s="417" t="str">
        <f>IF(A723&lt;&gt;0,COUNTA(A$19:$A723),"")</f>
        <v/>
      </c>
      <c r="C723" s="428" t="s">
        <v>782</v>
      </c>
      <c r="D723" s="428"/>
      <c r="E723" s="435"/>
      <c r="F723" s="435" t="s">
        <v>4663</v>
      </c>
      <c r="G723" s="419">
        <v>94.65</v>
      </c>
      <c r="H723" s="419"/>
      <c r="I723" s="419"/>
      <c r="J723" s="419"/>
      <c r="K723" s="420">
        <v>1</v>
      </c>
      <c r="L723" s="420">
        <f t="shared" si="125"/>
        <v>114786</v>
      </c>
      <c r="M723" s="420">
        <f t="shared" si="126"/>
        <v>1500762</v>
      </c>
      <c r="N723" s="445">
        <f>SUMPRODUCT(G723:J723,$G$12:$J$12,$G$9:$J$9)</f>
        <v>1537736.3877272725</v>
      </c>
      <c r="O723" s="719"/>
      <c r="P723" s="719">
        <f t="shared" si="133"/>
        <v>3473719.3677272722</v>
      </c>
      <c r="Q723" s="423">
        <f>SUMIF('8.Dgia'!E:E,'9.may'!E723,'8.Dgia'!P:P)</f>
        <v>0</v>
      </c>
      <c r="R723" s="429">
        <f t="shared" si="127"/>
        <v>0</v>
      </c>
      <c r="S723" s="301">
        <f t="shared" si="128"/>
        <v>33287.94</v>
      </c>
      <c r="T723" s="430">
        <f t="shared" si="129"/>
        <v>3071786.3277272722</v>
      </c>
      <c r="U723" s="431">
        <v>677590</v>
      </c>
      <c r="V723" s="431">
        <v>114786</v>
      </c>
      <c r="W723" s="432">
        <v>1500762</v>
      </c>
      <c r="Y723" s="433">
        <f t="shared" si="130"/>
        <v>-1571024.3277272722</v>
      </c>
      <c r="Z723" s="433">
        <f t="shared" si="131"/>
        <v>0</v>
      </c>
      <c r="AC723" s="410">
        <f t="shared" si="132"/>
        <v>0</v>
      </c>
    </row>
    <row r="724" spans="1:29" s="427" customFormat="1" ht="17.25" customHeight="1">
      <c r="A724" s="410">
        <v>1</v>
      </c>
      <c r="B724" s="417">
        <f>IF(A724&lt;&gt;0,COUNTA(A$19:$A724),"")</f>
        <v>185</v>
      </c>
      <c r="C724" s="441" t="s">
        <v>1666</v>
      </c>
      <c r="D724" s="441" t="s">
        <v>1667</v>
      </c>
      <c r="E724" s="435" t="s">
        <v>1668</v>
      </c>
      <c r="F724" s="435"/>
      <c r="G724" s="419"/>
      <c r="H724" s="419"/>
      <c r="I724" s="419"/>
      <c r="J724" s="419"/>
      <c r="K724" s="420">
        <v>1</v>
      </c>
      <c r="L724" s="420">
        <f t="shared" ref="L724:L787" si="137">+V724</f>
        <v>0</v>
      </c>
      <c r="M724" s="420">
        <f t="shared" ref="M724:M787" si="138">+W724</f>
        <v>136620</v>
      </c>
      <c r="N724" s="445">
        <f>SUMPRODUCT(G724:J724,$G$12:$J$12,$G$9:$J$9)</f>
        <v>0</v>
      </c>
      <c r="O724" s="719"/>
      <c r="P724" s="719">
        <f t="shared" si="133"/>
        <v>176239.80000000002</v>
      </c>
      <c r="Q724" s="423">
        <f>SUMIF('8.Dgia'!E:E,'9.may'!E724,'8.Dgia'!P:P)</f>
        <v>0</v>
      </c>
      <c r="R724" s="429">
        <f t="shared" ref="R724:R787" si="139">N724*Q724</f>
        <v>0</v>
      </c>
      <c r="S724" s="301">
        <f t="shared" ref="S724:S787" si="140">L724*($G$13-1)</f>
        <v>0</v>
      </c>
      <c r="T724" s="430">
        <f t="shared" ref="T724:T787" si="141">S724+N724+M724</f>
        <v>136620</v>
      </c>
      <c r="U724" s="2053"/>
      <c r="V724" s="2053"/>
      <c r="W724" s="2054">
        <v>136620</v>
      </c>
      <c r="Y724" s="433">
        <f t="shared" ref="Y724:Y787" si="142">W724-T724</f>
        <v>0</v>
      </c>
      <c r="Z724" s="433">
        <f t="shared" ref="Z724:Z787" si="143">W724-M724</f>
        <v>0</v>
      </c>
      <c r="AC724" s="410">
        <f t="shared" ref="AC724:AC787" si="144">+P724*Q724</f>
        <v>0</v>
      </c>
    </row>
    <row r="725" spans="1:29" s="427" customFormat="1" ht="17.25" hidden="1" customHeight="1">
      <c r="B725" s="417" t="str">
        <f>IF(A725&lt;&gt;0,COUNTA(A$19:$A725),"")</f>
        <v/>
      </c>
      <c r="C725" s="444" t="s">
        <v>872</v>
      </c>
      <c r="D725" s="444"/>
      <c r="E725" s="435"/>
      <c r="F725" s="435"/>
      <c r="G725" s="419"/>
      <c r="H725" s="419"/>
      <c r="I725" s="419"/>
      <c r="J725" s="419"/>
      <c r="K725" s="420"/>
      <c r="L725" s="420">
        <f t="shared" si="137"/>
        <v>0</v>
      </c>
      <c r="M725" s="420">
        <f t="shared" si="138"/>
        <v>0</v>
      </c>
      <c r="N725" s="445"/>
      <c r="O725" s="719"/>
      <c r="P725" s="719">
        <f t="shared" ref="P725:P788" si="145">+N725+M725*$G$13</f>
        <v>0</v>
      </c>
      <c r="Q725" s="423">
        <f>SUMIF('8.Dgia'!E:E,'9.may'!E725,'8.Dgia'!P:P)</f>
        <v>0</v>
      </c>
      <c r="R725" s="429">
        <f t="shared" si="139"/>
        <v>0</v>
      </c>
      <c r="S725" s="301">
        <f t="shared" si="140"/>
        <v>0</v>
      </c>
      <c r="T725" s="430">
        <f t="shared" si="141"/>
        <v>0</v>
      </c>
      <c r="U725" s="436"/>
      <c r="V725" s="436"/>
      <c r="W725" s="432"/>
      <c r="Y725" s="433">
        <f t="shared" si="142"/>
        <v>0</v>
      </c>
      <c r="Z725" s="433">
        <f t="shared" si="143"/>
        <v>0</v>
      </c>
      <c r="AC725" s="410">
        <f t="shared" si="144"/>
        <v>0</v>
      </c>
    </row>
    <row r="726" spans="1:29" s="427" customFormat="1" ht="17.25" customHeight="1">
      <c r="A726" s="410">
        <v>1</v>
      </c>
      <c r="B726" s="417">
        <f>IF(A726&lt;&gt;0,COUNTA(A$19:$A726),"")</f>
        <v>186</v>
      </c>
      <c r="C726" s="428" t="s">
        <v>1669</v>
      </c>
      <c r="D726" s="428" t="s">
        <v>1670</v>
      </c>
      <c r="E726" s="435" t="s">
        <v>449</v>
      </c>
      <c r="F726" s="435" t="s">
        <v>4833</v>
      </c>
      <c r="G726" s="419">
        <v>34</v>
      </c>
      <c r="H726" s="419"/>
      <c r="I726" s="419"/>
      <c r="J726" s="419"/>
      <c r="K726" s="420">
        <v>1</v>
      </c>
      <c r="L726" s="420">
        <f t="shared" si="137"/>
        <v>56800</v>
      </c>
      <c r="M726" s="420">
        <f t="shared" si="138"/>
        <v>846987</v>
      </c>
      <c r="N726" s="445">
        <f>SUMPRODUCT(G726:J726,$G$12:$J$12,$G$9:$J$9)</f>
        <v>552382.85454545438</v>
      </c>
      <c r="O726" s="719"/>
      <c r="P726" s="719">
        <f t="shared" si="145"/>
        <v>1644996.0845454545</v>
      </c>
      <c r="Q726" s="423" t="e">
        <f>SUMIF('8.Dgia'!E:E,'9.may'!E726,'8.Dgia'!P:P)</f>
        <v>#REF!</v>
      </c>
      <c r="R726" s="429" t="e">
        <f t="shared" si="139"/>
        <v>#REF!</v>
      </c>
      <c r="S726" s="301">
        <f t="shared" si="140"/>
        <v>16472.000000000004</v>
      </c>
      <c r="T726" s="430">
        <f t="shared" si="141"/>
        <v>1415841.8545454545</v>
      </c>
      <c r="U726" s="2053">
        <v>243403</v>
      </c>
      <c r="V726" s="2053">
        <v>56800</v>
      </c>
      <c r="W726" s="2055">
        <v>846987</v>
      </c>
      <c r="Y726" s="433">
        <f t="shared" si="142"/>
        <v>-568854.85454545449</v>
      </c>
      <c r="Z726" s="433">
        <f t="shared" si="143"/>
        <v>0</v>
      </c>
      <c r="AC726" s="410" t="e">
        <f t="shared" si="144"/>
        <v>#REF!</v>
      </c>
    </row>
    <row r="727" spans="1:29" s="427" customFormat="1" ht="17.25" hidden="1" customHeight="1">
      <c r="B727" s="417" t="str">
        <f>IF(A727&lt;&gt;0,COUNTA(A$19:$A727),"")</f>
        <v/>
      </c>
      <c r="C727" s="444" t="s">
        <v>1093</v>
      </c>
      <c r="D727" s="444"/>
      <c r="E727" s="435"/>
      <c r="F727" s="435"/>
      <c r="G727" s="419"/>
      <c r="H727" s="419"/>
      <c r="I727" s="419"/>
      <c r="J727" s="419"/>
      <c r="K727" s="420"/>
      <c r="L727" s="420">
        <f t="shared" si="137"/>
        <v>0</v>
      </c>
      <c r="M727" s="420">
        <f t="shared" si="138"/>
        <v>0</v>
      </c>
      <c r="N727" s="445"/>
      <c r="O727" s="719"/>
      <c r="P727" s="719">
        <f t="shared" si="145"/>
        <v>0</v>
      </c>
      <c r="Q727" s="423">
        <f>SUMIF('8.Dgia'!E:E,'9.may'!E727,'8.Dgia'!P:P)</f>
        <v>0</v>
      </c>
      <c r="R727" s="429">
        <f t="shared" si="139"/>
        <v>0</v>
      </c>
      <c r="S727" s="301">
        <f t="shared" si="140"/>
        <v>0</v>
      </c>
      <c r="T727" s="430">
        <f t="shared" si="141"/>
        <v>0</v>
      </c>
      <c r="U727" s="436"/>
      <c r="V727" s="436"/>
      <c r="W727" s="432"/>
      <c r="Y727" s="433">
        <f t="shared" si="142"/>
        <v>0</v>
      </c>
      <c r="Z727" s="433">
        <f t="shared" si="143"/>
        <v>0</v>
      </c>
      <c r="AC727" s="410">
        <f t="shared" si="144"/>
        <v>0</v>
      </c>
    </row>
    <row r="728" spans="1:29" s="427" customFormat="1" ht="17.25" hidden="1" customHeight="1">
      <c r="B728" s="417" t="str">
        <f>IF(A728&lt;&gt;0,COUNTA(A$19:$A728),"")</f>
        <v/>
      </c>
      <c r="C728" s="428" t="s">
        <v>1671</v>
      </c>
      <c r="D728" s="428"/>
      <c r="E728" s="435"/>
      <c r="F728" s="435"/>
      <c r="G728" s="419"/>
      <c r="H728" s="419">
        <v>39.4</v>
      </c>
      <c r="I728" s="419"/>
      <c r="J728" s="419"/>
      <c r="K728" s="420">
        <v>1</v>
      </c>
      <c r="L728" s="420">
        <f t="shared" si="137"/>
        <v>41873</v>
      </c>
      <c r="M728" s="420">
        <f t="shared" si="138"/>
        <v>181347</v>
      </c>
      <c r="N728" s="445">
        <f>SUMPRODUCT(G728:J728,$G$12:$J$12,$G$9:$J$9)</f>
        <v>25084.010000000002</v>
      </c>
      <c r="O728" s="719"/>
      <c r="P728" s="719">
        <f t="shared" si="145"/>
        <v>259021.64</v>
      </c>
      <c r="Q728" s="423">
        <f>SUMIF('8.Dgia'!E:E,'9.may'!E728,'8.Dgia'!P:P)</f>
        <v>0</v>
      </c>
      <c r="R728" s="429">
        <f t="shared" si="139"/>
        <v>0</v>
      </c>
      <c r="S728" s="301">
        <f t="shared" si="140"/>
        <v>12143.170000000002</v>
      </c>
      <c r="T728" s="430">
        <f t="shared" si="141"/>
        <v>218574.18</v>
      </c>
      <c r="U728" s="431">
        <v>37731</v>
      </c>
      <c r="V728" s="431">
        <v>41873</v>
      </c>
      <c r="W728" s="432">
        <v>181347</v>
      </c>
      <c r="Y728" s="433">
        <f t="shared" si="142"/>
        <v>-37227.179999999993</v>
      </c>
      <c r="Z728" s="433">
        <f t="shared" si="143"/>
        <v>0</v>
      </c>
      <c r="AC728" s="410">
        <f t="shared" si="144"/>
        <v>0</v>
      </c>
    </row>
    <row r="729" spans="1:29" s="427" customFormat="1" ht="17.25" hidden="1" customHeight="1">
      <c r="B729" s="417" t="str">
        <f>IF(A729&lt;&gt;0,COUNTA(A$19:$A729),"")</f>
        <v/>
      </c>
      <c r="C729" s="444" t="s">
        <v>1672</v>
      </c>
      <c r="D729" s="444"/>
      <c r="E729" s="435"/>
      <c r="F729" s="435"/>
      <c r="G729" s="419"/>
      <c r="H729" s="419"/>
      <c r="I729" s="419"/>
      <c r="J729" s="419"/>
      <c r="K729" s="420"/>
      <c r="L729" s="420">
        <f t="shared" si="137"/>
        <v>0</v>
      </c>
      <c r="M729" s="420">
        <f t="shared" si="138"/>
        <v>0</v>
      </c>
      <c r="N729" s="445"/>
      <c r="O729" s="719"/>
      <c r="P729" s="719">
        <f t="shared" si="145"/>
        <v>0</v>
      </c>
      <c r="Q729" s="423">
        <f>SUMIF('8.Dgia'!E:E,'9.may'!E729,'8.Dgia'!P:P)</f>
        <v>0</v>
      </c>
      <c r="R729" s="429">
        <f t="shared" si="139"/>
        <v>0</v>
      </c>
      <c r="S729" s="301">
        <f t="shared" si="140"/>
        <v>0</v>
      </c>
      <c r="T729" s="430">
        <f t="shared" si="141"/>
        <v>0</v>
      </c>
      <c r="U729" s="436"/>
      <c r="V729" s="436"/>
      <c r="W729" s="432"/>
      <c r="Y729" s="433">
        <f t="shared" si="142"/>
        <v>0</v>
      </c>
      <c r="Z729" s="433">
        <f t="shared" si="143"/>
        <v>0</v>
      </c>
      <c r="AC729" s="410">
        <f t="shared" si="144"/>
        <v>0</v>
      </c>
    </row>
    <row r="730" spans="1:29" s="427" customFormat="1" ht="17.25" customHeight="1">
      <c r="A730" s="410">
        <v>1</v>
      </c>
      <c r="B730" s="417">
        <f>IF(A730&lt;&gt;0,COUNTA(A$19:$A730),"")</f>
        <v>187</v>
      </c>
      <c r="C730" s="428" t="s">
        <v>1671</v>
      </c>
      <c r="D730" s="428" t="s">
        <v>1673</v>
      </c>
      <c r="E730" s="435" t="s">
        <v>1674</v>
      </c>
      <c r="F730" s="435" t="s">
        <v>4834</v>
      </c>
      <c r="G730" s="419"/>
      <c r="H730" s="419">
        <v>47.3</v>
      </c>
      <c r="I730" s="419"/>
      <c r="J730" s="419"/>
      <c r="K730" s="420">
        <v>1</v>
      </c>
      <c r="L730" s="420">
        <f t="shared" si="137"/>
        <v>41873</v>
      </c>
      <c r="M730" s="420">
        <f t="shared" si="138"/>
        <v>258191</v>
      </c>
      <c r="N730" s="445">
        <f>SUMPRODUCT(G730:J730,$G$12:$J$12,$G$9:$J$9)</f>
        <v>30113.545000000002</v>
      </c>
      <c r="O730" s="719"/>
      <c r="P730" s="719">
        <f t="shared" si="145"/>
        <v>363179.935</v>
      </c>
      <c r="Q730" s="423">
        <f>SUMIF('8.Dgia'!E:E,'9.may'!E730,'8.Dgia'!P:P)</f>
        <v>0</v>
      </c>
      <c r="R730" s="429">
        <f t="shared" si="139"/>
        <v>0</v>
      </c>
      <c r="S730" s="301">
        <f t="shared" si="140"/>
        <v>12143.170000000002</v>
      </c>
      <c r="T730" s="430">
        <f t="shared" si="141"/>
        <v>300447.71500000003</v>
      </c>
      <c r="U730" s="2053">
        <v>45297</v>
      </c>
      <c r="V730" s="2053">
        <v>41873</v>
      </c>
      <c r="W730" s="2054">
        <v>258191</v>
      </c>
      <c r="Y730" s="433">
        <f t="shared" si="142"/>
        <v>-42256.715000000026</v>
      </c>
      <c r="Z730" s="433">
        <f t="shared" si="143"/>
        <v>0</v>
      </c>
      <c r="AC730" s="410">
        <f t="shared" si="144"/>
        <v>0</v>
      </c>
    </row>
    <row r="731" spans="1:29" s="427" customFormat="1" ht="17.25" hidden="1" customHeight="1">
      <c r="B731" s="417" t="str">
        <f>IF(A731&lt;&gt;0,COUNTA(A$19:$A731),"")</f>
        <v/>
      </c>
      <c r="C731" s="444" t="s">
        <v>1102</v>
      </c>
      <c r="D731" s="444"/>
      <c r="E731" s="435"/>
      <c r="F731" s="435"/>
      <c r="G731" s="419"/>
      <c r="H731" s="419"/>
      <c r="I731" s="419"/>
      <c r="J731" s="419"/>
      <c r="K731" s="420"/>
      <c r="L731" s="420">
        <f t="shared" si="137"/>
        <v>0</v>
      </c>
      <c r="M731" s="420">
        <f t="shared" si="138"/>
        <v>0</v>
      </c>
      <c r="N731" s="445"/>
      <c r="O731" s="719"/>
      <c r="P731" s="719">
        <f t="shared" si="145"/>
        <v>0</v>
      </c>
      <c r="Q731" s="423">
        <f>SUMIF('8.Dgia'!E:E,'9.may'!E731,'8.Dgia'!P:P)</f>
        <v>0</v>
      </c>
      <c r="R731" s="429">
        <f t="shared" si="139"/>
        <v>0</v>
      </c>
      <c r="S731" s="301">
        <f t="shared" si="140"/>
        <v>0</v>
      </c>
      <c r="T731" s="430">
        <f t="shared" si="141"/>
        <v>0</v>
      </c>
      <c r="U731" s="436"/>
      <c r="V731" s="436"/>
      <c r="W731" s="432"/>
      <c r="Y731" s="433">
        <f t="shared" si="142"/>
        <v>0</v>
      </c>
      <c r="Z731" s="433">
        <f t="shared" si="143"/>
        <v>0</v>
      </c>
      <c r="AC731" s="410">
        <f t="shared" si="144"/>
        <v>0</v>
      </c>
    </row>
    <row r="732" spans="1:29" s="427" customFormat="1" ht="17.25" hidden="1" customHeight="1">
      <c r="B732" s="417" t="str">
        <f>IF(A732&lt;&gt;0,COUNTA(A$19:$A732),"")</f>
        <v/>
      </c>
      <c r="C732" s="428" t="s">
        <v>1128</v>
      </c>
      <c r="D732" s="428" t="s">
        <v>1675</v>
      </c>
      <c r="E732" s="435"/>
      <c r="F732" s="435" t="s">
        <v>4835</v>
      </c>
      <c r="G732" s="419"/>
      <c r="H732" s="419">
        <v>11.3</v>
      </c>
      <c r="I732" s="419"/>
      <c r="J732" s="419"/>
      <c r="K732" s="420">
        <v>1</v>
      </c>
      <c r="L732" s="420">
        <f t="shared" si="137"/>
        <v>41873</v>
      </c>
      <c r="M732" s="420">
        <f t="shared" si="138"/>
        <v>79487</v>
      </c>
      <c r="N732" s="445">
        <f>SUMPRODUCT(G732:J732,$G$12:$J$12,$G$9:$J$9)</f>
        <v>7194.1450000000004</v>
      </c>
      <c r="O732" s="719"/>
      <c r="P732" s="719">
        <f t="shared" si="145"/>
        <v>109732.375</v>
      </c>
      <c r="Q732" s="423">
        <f>SUMIF('8.Dgia'!E:E,'9.may'!E732,'8.Dgia'!P:P)</f>
        <v>0</v>
      </c>
      <c r="R732" s="429">
        <f t="shared" si="139"/>
        <v>0</v>
      </c>
      <c r="S732" s="301">
        <f t="shared" si="140"/>
        <v>12143.170000000002</v>
      </c>
      <c r="T732" s="430">
        <f t="shared" si="141"/>
        <v>98824.315000000002</v>
      </c>
      <c r="U732" s="431">
        <v>10821</v>
      </c>
      <c r="V732" s="431">
        <v>41873</v>
      </c>
      <c r="W732" s="432">
        <v>79487</v>
      </c>
      <c r="Y732" s="433">
        <f t="shared" si="142"/>
        <v>-19337.315000000002</v>
      </c>
      <c r="Z732" s="433">
        <f t="shared" si="143"/>
        <v>0</v>
      </c>
      <c r="AC732" s="410">
        <f t="shared" si="144"/>
        <v>0</v>
      </c>
    </row>
    <row r="733" spans="1:29" s="410" customFormat="1" ht="17.25" hidden="1" customHeight="1">
      <c r="B733" s="417" t="str">
        <f>IF(A733&lt;&gt;0,COUNTA(A$19:$A733),"")</f>
        <v/>
      </c>
      <c r="C733" s="444" t="s">
        <v>1676</v>
      </c>
      <c r="D733" s="444"/>
      <c r="E733" s="435"/>
      <c r="F733" s="435"/>
      <c r="G733" s="419"/>
      <c r="H733" s="419"/>
      <c r="I733" s="419"/>
      <c r="J733" s="419"/>
      <c r="K733" s="420"/>
      <c r="L733" s="420">
        <f t="shared" si="137"/>
        <v>0</v>
      </c>
      <c r="M733" s="420">
        <f t="shared" si="138"/>
        <v>0</v>
      </c>
      <c r="N733" s="445"/>
      <c r="O733" s="719"/>
      <c r="P733" s="719">
        <f t="shared" si="145"/>
        <v>0</v>
      </c>
      <c r="Q733" s="423">
        <f>SUMIF('8.Dgia'!E:E,'9.may'!E733,'8.Dgia'!P:P)</f>
        <v>0</v>
      </c>
      <c r="R733" s="429">
        <f t="shared" si="139"/>
        <v>0</v>
      </c>
      <c r="S733" s="301">
        <f t="shared" si="140"/>
        <v>0</v>
      </c>
      <c r="T733" s="430">
        <f t="shared" si="141"/>
        <v>0</v>
      </c>
      <c r="U733" s="436"/>
      <c r="V733" s="436"/>
      <c r="W733" s="432"/>
      <c r="Y733" s="433">
        <f t="shared" si="142"/>
        <v>0</v>
      </c>
      <c r="Z733" s="433">
        <f t="shared" si="143"/>
        <v>0</v>
      </c>
      <c r="AC733" s="410">
        <f t="shared" si="144"/>
        <v>0</v>
      </c>
    </row>
    <row r="734" spans="1:29" s="410" customFormat="1" ht="17.25" customHeight="1">
      <c r="A734" s="410">
        <v>1</v>
      </c>
      <c r="B734" s="417">
        <f>IF(A734&lt;&gt;0,COUNTA(A$19:$A734),"")</f>
        <v>188</v>
      </c>
      <c r="C734" s="428" t="s">
        <v>1003</v>
      </c>
      <c r="D734" s="428" t="s">
        <v>1677</v>
      </c>
      <c r="E734" s="435" t="s">
        <v>1678</v>
      </c>
      <c r="F734" s="435" t="s">
        <v>4836</v>
      </c>
      <c r="G734" s="419"/>
      <c r="H734" s="419"/>
      <c r="I734" s="419"/>
      <c r="J734" s="419"/>
      <c r="K734" s="420">
        <v>1</v>
      </c>
      <c r="L734" s="420">
        <f t="shared" si="137"/>
        <v>41873</v>
      </c>
      <c r="M734" s="420">
        <f t="shared" si="138"/>
        <v>46134</v>
      </c>
      <c r="N734" s="445">
        <f>SUMPRODUCT(G734:J734,$G$12:$J$12,$G$9:$J$9)</f>
        <v>0</v>
      </c>
      <c r="O734" s="719"/>
      <c r="P734" s="719">
        <f t="shared" si="145"/>
        <v>59512.86</v>
      </c>
      <c r="Q734" s="423" t="e">
        <f>SUMIF('8.Dgia'!E:E,'9.may'!E734,'8.Dgia'!P:P)</f>
        <v>#REF!</v>
      </c>
      <c r="R734" s="429" t="e">
        <f t="shared" si="139"/>
        <v>#REF!</v>
      </c>
      <c r="S734" s="301">
        <f t="shared" si="140"/>
        <v>12143.170000000002</v>
      </c>
      <c r="T734" s="430">
        <f t="shared" si="141"/>
        <v>58277.17</v>
      </c>
      <c r="U734" s="2053"/>
      <c r="V734" s="2053">
        <v>41873</v>
      </c>
      <c r="W734" s="2054">
        <v>46134</v>
      </c>
      <c r="Y734" s="433">
        <f t="shared" si="142"/>
        <v>-12143.169999999998</v>
      </c>
      <c r="Z734" s="433">
        <f t="shared" si="143"/>
        <v>0</v>
      </c>
      <c r="AC734" s="410" t="e">
        <f t="shared" si="144"/>
        <v>#REF!</v>
      </c>
    </row>
    <row r="735" spans="1:29" s="410" customFormat="1" ht="17.25" customHeight="1">
      <c r="A735" s="410">
        <v>1</v>
      </c>
      <c r="B735" s="417">
        <f>IF(A735&lt;&gt;0,COUNTA(A$19:$A735),"")</f>
        <v>189</v>
      </c>
      <c r="C735" s="428" t="s">
        <v>997</v>
      </c>
      <c r="D735" s="428" t="s">
        <v>1679</v>
      </c>
      <c r="E735" s="435" t="s">
        <v>1680</v>
      </c>
      <c r="F735" s="435" t="s">
        <v>4837</v>
      </c>
      <c r="G735" s="419"/>
      <c r="H735" s="419"/>
      <c r="I735" s="419"/>
      <c r="J735" s="419"/>
      <c r="K735" s="420">
        <v>1</v>
      </c>
      <c r="L735" s="420">
        <f t="shared" si="137"/>
        <v>41873</v>
      </c>
      <c r="M735" s="420">
        <f t="shared" si="138"/>
        <v>47272</v>
      </c>
      <c r="N735" s="445">
        <f>SUMPRODUCT(G735:J735,$G$12:$J$12,$G$9:$J$9)</f>
        <v>0</v>
      </c>
      <c r="O735" s="719"/>
      <c r="P735" s="719">
        <f t="shared" si="145"/>
        <v>60980.880000000005</v>
      </c>
      <c r="Q735" s="423" t="e">
        <f>SUMIF('8.Dgia'!E:E,'9.may'!E735,'8.Dgia'!P:P)</f>
        <v>#REF!</v>
      </c>
      <c r="R735" s="429" t="e">
        <f t="shared" si="139"/>
        <v>#REF!</v>
      </c>
      <c r="S735" s="301">
        <f t="shared" si="140"/>
        <v>12143.170000000002</v>
      </c>
      <c r="T735" s="430">
        <f t="shared" si="141"/>
        <v>59415.17</v>
      </c>
      <c r="U735" s="2053"/>
      <c r="V735" s="2053">
        <v>41873</v>
      </c>
      <c r="W735" s="2054">
        <v>47272</v>
      </c>
      <c r="Y735" s="433">
        <f t="shared" si="142"/>
        <v>-12143.169999999998</v>
      </c>
      <c r="Z735" s="433">
        <f t="shared" si="143"/>
        <v>0</v>
      </c>
      <c r="AC735" s="410" t="e">
        <f t="shared" si="144"/>
        <v>#REF!</v>
      </c>
    </row>
    <row r="736" spans="1:29" s="410" customFormat="1" ht="17.25" hidden="1" customHeight="1">
      <c r="B736" s="417" t="str">
        <f>IF(A736&lt;&gt;0,COUNTA(A$19:$A736),"")</f>
        <v/>
      </c>
      <c r="C736" s="444" t="s">
        <v>1681</v>
      </c>
      <c r="D736" s="444"/>
      <c r="E736" s="435"/>
      <c r="F736" s="435"/>
      <c r="G736" s="419"/>
      <c r="H736" s="419"/>
      <c r="I736" s="419"/>
      <c r="J736" s="419"/>
      <c r="K736" s="420"/>
      <c r="L736" s="420">
        <f t="shared" si="137"/>
        <v>0</v>
      </c>
      <c r="M736" s="420">
        <f t="shared" si="138"/>
        <v>0</v>
      </c>
      <c r="N736" s="445"/>
      <c r="O736" s="719"/>
      <c r="P736" s="719">
        <f t="shared" si="145"/>
        <v>0</v>
      </c>
      <c r="Q736" s="423">
        <f>SUMIF('8.Dgia'!E:E,'9.may'!E736,'8.Dgia'!P:P)</f>
        <v>0</v>
      </c>
      <c r="R736" s="429">
        <f t="shared" si="139"/>
        <v>0</v>
      </c>
      <c r="S736" s="301">
        <f t="shared" si="140"/>
        <v>0</v>
      </c>
      <c r="T736" s="430">
        <f t="shared" si="141"/>
        <v>0</v>
      </c>
      <c r="U736" s="436"/>
      <c r="V736" s="436"/>
      <c r="W736" s="432"/>
      <c r="Y736" s="433">
        <f t="shared" si="142"/>
        <v>0</v>
      </c>
      <c r="Z736" s="433">
        <f t="shared" si="143"/>
        <v>0</v>
      </c>
      <c r="AC736" s="410">
        <f t="shared" si="144"/>
        <v>0</v>
      </c>
    </row>
    <row r="737" spans="1:29" s="410" customFormat="1" ht="17.25" hidden="1" customHeight="1">
      <c r="B737" s="417" t="str">
        <f>IF(A737&lt;&gt;0,COUNTA(A$19:$A737),"")</f>
        <v/>
      </c>
      <c r="C737" s="428" t="s">
        <v>1682</v>
      </c>
      <c r="D737" s="428" t="s">
        <v>1682</v>
      </c>
      <c r="E737" s="435"/>
      <c r="F737" s="435"/>
      <c r="G737" s="419"/>
      <c r="H737" s="419">
        <v>64.599999999999994</v>
      </c>
      <c r="I737" s="419"/>
      <c r="J737" s="419"/>
      <c r="K737" s="420">
        <v>1</v>
      </c>
      <c r="L737" s="420">
        <f t="shared" si="137"/>
        <v>231439</v>
      </c>
      <c r="M737" s="420">
        <f t="shared" si="138"/>
        <v>663619</v>
      </c>
      <c r="N737" s="445">
        <f>SUMPRODUCT(G737:J737,$G$12:$J$12,$G$9:$J$9)</f>
        <v>41127.590000000004</v>
      </c>
      <c r="O737" s="719"/>
      <c r="P737" s="719">
        <f t="shared" si="145"/>
        <v>897196.1</v>
      </c>
      <c r="Q737" s="423">
        <f>SUMIF('8.Dgia'!E:E,'9.may'!E737,'8.Dgia'!P:P)</f>
        <v>0</v>
      </c>
      <c r="R737" s="429">
        <f t="shared" si="139"/>
        <v>0</v>
      </c>
      <c r="S737" s="301">
        <f t="shared" si="140"/>
        <v>67117.310000000012</v>
      </c>
      <c r="T737" s="430">
        <f t="shared" si="141"/>
        <v>771863.9</v>
      </c>
      <c r="U737" s="431">
        <v>61864</v>
      </c>
      <c r="V737" s="431">
        <v>231439</v>
      </c>
      <c r="W737" s="432">
        <v>663619</v>
      </c>
      <c r="Y737" s="433">
        <f t="shared" si="142"/>
        <v>-108244.90000000002</v>
      </c>
      <c r="Z737" s="433">
        <f t="shared" si="143"/>
        <v>0</v>
      </c>
      <c r="AC737" s="410">
        <f t="shared" si="144"/>
        <v>0</v>
      </c>
    </row>
    <row r="738" spans="1:29" s="410" customFormat="1" ht="17.25" customHeight="1">
      <c r="A738" s="410">
        <v>1</v>
      </c>
      <c r="B738" s="417">
        <f>IF(A738&lt;&gt;0,COUNTA(A$19:$A738),"")</f>
        <v>190</v>
      </c>
      <c r="C738" s="428" t="s">
        <v>1683</v>
      </c>
      <c r="D738" s="428" t="s">
        <v>1684</v>
      </c>
      <c r="E738" s="435" t="s">
        <v>612</v>
      </c>
      <c r="F738" s="435" t="s">
        <v>4146</v>
      </c>
      <c r="G738" s="419"/>
      <c r="H738" s="419">
        <v>14.1</v>
      </c>
      <c r="I738" s="419"/>
      <c r="J738" s="419"/>
      <c r="K738" s="420">
        <v>1</v>
      </c>
      <c r="L738" s="420">
        <f t="shared" si="137"/>
        <v>97316</v>
      </c>
      <c r="M738" s="420">
        <f t="shared" si="138"/>
        <v>155738</v>
      </c>
      <c r="N738" s="445">
        <f>SUMPRODUCT(G738:J738,$G$12:$J$12,$G$9:$J$9)</f>
        <v>8976.7650000000012</v>
      </c>
      <c r="O738" s="719"/>
      <c r="P738" s="719">
        <f t="shared" si="145"/>
        <v>209878.78500000003</v>
      </c>
      <c r="Q738" s="423" t="e">
        <f>SUMIF('8.Dgia'!E:E,'9.may'!E738,'8.Dgia'!P:P)</f>
        <v>#REF!</v>
      </c>
      <c r="R738" s="429" t="e">
        <f t="shared" si="139"/>
        <v>#REF!</v>
      </c>
      <c r="S738" s="301">
        <f t="shared" si="140"/>
        <v>28221.640000000003</v>
      </c>
      <c r="T738" s="430">
        <f t="shared" si="141"/>
        <v>192936.405</v>
      </c>
      <c r="U738" s="2053">
        <v>13503</v>
      </c>
      <c r="V738" s="2053">
        <v>97316</v>
      </c>
      <c r="W738" s="2054">
        <v>155738</v>
      </c>
      <c r="Y738" s="433">
        <f t="shared" si="142"/>
        <v>-37198.404999999999</v>
      </c>
      <c r="Z738" s="433">
        <f t="shared" si="143"/>
        <v>0</v>
      </c>
      <c r="AC738" s="410" t="e">
        <f t="shared" si="144"/>
        <v>#REF!</v>
      </c>
    </row>
    <row r="739" spans="1:29" s="410" customFormat="1" ht="17.25" customHeight="1">
      <c r="A739" s="410">
        <v>1</v>
      </c>
      <c r="B739" s="417">
        <f>IF(A739&lt;&gt;0,COUNTA(A$19:$A739),"")</f>
        <v>191</v>
      </c>
      <c r="C739" s="447"/>
      <c r="D739" s="447" t="s">
        <v>1685</v>
      </c>
      <c r="E739" s="435" t="s">
        <v>613</v>
      </c>
      <c r="F739" s="435" t="s">
        <v>4838</v>
      </c>
      <c r="G739" s="419"/>
      <c r="H739" s="419"/>
      <c r="I739" s="419"/>
      <c r="J739" s="419"/>
      <c r="K739" s="420"/>
      <c r="L739" s="420">
        <f t="shared" si="137"/>
        <v>0</v>
      </c>
      <c r="M739" s="420">
        <f t="shared" si="138"/>
        <v>0</v>
      </c>
      <c r="N739" s="445"/>
      <c r="O739" s="719"/>
      <c r="P739" s="719">
        <f t="shared" si="145"/>
        <v>0</v>
      </c>
      <c r="Q739" s="423">
        <f>SUMIF('8.Dgia'!E:E,'9.may'!E739,'8.Dgia'!P:P)</f>
        <v>0</v>
      </c>
      <c r="R739" s="429">
        <f t="shared" si="139"/>
        <v>0</v>
      </c>
      <c r="S739" s="301">
        <f t="shared" si="140"/>
        <v>0</v>
      </c>
      <c r="T739" s="430">
        <f t="shared" si="141"/>
        <v>0</v>
      </c>
      <c r="U739" s="2053"/>
      <c r="V739" s="2053"/>
      <c r="W739" s="2054"/>
      <c r="Y739" s="433">
        <f t="shared" si="142"/>
        <v>0</v>
      </c>
      <c r="Z739" s="433">
        <f t="shared" si="143"/>
        <v>0</v>
      </c>
      <c r="AC739" s="410">
        <f t="shared" si="144"/>
        <v>0</v>
      </c>
    </row>
    <row r="740" spans="1:29" s="410" customFormat="1" ht="17.25" hidden="1" customHeight="1">
      <c r="B740" s="417" t="str">
        <f>IF(A740&lt;&gt;0,COUNTA(A$19:$A740),"")</f>
        <v/>
      </c>
      <c r="C740" s="447"/>
      <c r="D740" s="447"/>
      <c r="E740" s="435"/>
      <c r="F740" s="435"/>
      <c r="G740" s="419"/>
      <c r="H740" s="419"/>
      <c r="I740" s="419"/>
      <c r="J740" s="419"/>
      <c r="K740" s="420"/>
      <c r="L740" s="420">
        <f t="shared" si="137"/>
        <v>0</v>
      </c>
      <c r="M740" s="420">
        <f t="shared" si="138"/>
        <v>0</v>
      </c>
      <c r="N740" s="445"/>
      <c r="O740" s="719"/>
      <c r="P740" s="719">
        <f t="shared" si="145"/>
        <v>0</v>
      </c>
      <c r="Q740" s="423">
        <f>SUMIF('8.Dgia'!E:E,'9.may'!E740,'8.Dgia'!P:P)</f>
        <v>0</v>
      </c>
      <c r="R740" s="429">
        <f t="shared" si="139"/>
        <v>0</v>
      </c>
      <c r="S740" s="301">
        <f t="shared" si="140"/>
        <v>0</v>
      </c>
      <c r="T740" s="430">
        <f t="shared" si="141"/>
        <v>0</v>
      </c>
      <c r="U740" s="431"/>
      <c r="V740" s="431"/>
      <c r="W740" s="432"/>
      <c r="Y740" s="433">
        <f t="shared" si="142"/>
        <v>0</v>
      </c>
      <c r="Z740" s="433">
        <f t="shared" si="143"/>
        <v>0</v>
      </c>
      <c r="AC740" s="410">
        <f t="shared" si="144"/>
        <v>0</v>
      </c>
    </row>
    <row r="741" spans="1:29" s="410" customFormat="1" ht="17.25" customHeight="1">
      <c r="A741" s="410">
        <v>1</v>
      </c>
      <c r="B741" s="417">
        <f>IF(A741&lt;&gt;0,COUNTA(A$19:$A741),"")</f>
        <v>192</v>
      </c>
      <c r="C741" s="428" t="s">
        <v>1686</v>
      </c>
      <c r="D741" s="428" t="s">
        <v>1687</v>
      </c>
      <c r="E741" s="435" t="s">
        <v>1687</v>
      </c>
      <c r="F741" s="435"/>
      <c r="G741" s="419"/>
      <c r="H741" s="419"/>
      <c r="I741" s="419"/>
      <c r="J741" s="419"/>
      <c r="K741" s="420">
        <v>1</v>
      </c>
      <c r="L741" s="420">
        <f t="shared" si="137"/>
        <v>48658</v>
      </c>
      <c r="M741" s="420">
        <f t="shared" si="138"/>
        <v>51255</v>
      </c>
      <c r="N741" s="445">
        <f t="shared" ref="N741:N747" si="146">SUMPRODUCT(G741:J741,$G$12:$J$12,$G$9:$J$9)</f>
        <v>0</v>
      </c>
      <c r="O741" s="719"/>
      <c r="P741" s="719">
        <f t="shared" si="145"/>
        <v>66118.95</v>
      </c>
      <c r="Q741" s="423">
        <f>SUMIF('8.Dgia'!E:E,'9.may'!E741,'8.Dgia'!P:P)</f>
        <v>0</v>
      </c>
      <c r="R741" s="429">
        <f t="shared" si="139"/>
        <v>0</v>
      </c>
      <c r="S741" s="301">
        <f t="shared" si="140"/>
        <v>14110.820000000002</v>
      </c>
      <c r="T741" s="430">
        <f t="shared" si="141"/>
        <v>65365.82</v>
      </c>
      <c r="U741" s="2053"/>
      <c r="V741" s="2053">
        <v>48658</v>
      </c>
      <c r="W741" s="2054">
        <v>51255</v>
      </c>
      <c r="Y741" s="433">
        <f t="shared" si="142"/>
        <v>-14110.82</v>
      </c>
      <c r="Z741" s="433">
        <f t="shared" si="143"/>
        <v>0</v>
      </c>
      <c r="AC741" s="410">
        <f t="shared" si="144"/>
        <v>0</v>
      </c>
    </row>
    <row r="742" spans="1:29" s="410" customFormat="1" ht="17.25" customHeight="1">
      <c r="A742" s="410">
        <v>1</v>
      </c>
      <c r="B742" s="417">
        <f>IF(A742&lt;&gt;0,COUNTA(A$19:$A742),"")</f>
        <v>193</v>
      </c>
      <c r="C742" s="428" t="s">
        <v>1688</v>
      </c>
      <c r="D742" s="428" t="s">
        <v>1689</v>
      </c>
      <c r="E742" s="435" t="s">
        <v>325</v>
      </c>
      <c r="F742" s="435" t="s">
        <v>4146</v>
      </c>
      <c r="G742" s="419"/>
      <c r="H742" s="419"/>
      <c r="I742" s="419"/>
      <c r="J742" s="419"/>
      <c r="K742" s="420">
        <v>1</v>
      </c>
      <c r="L742" s="420">
        <f t="shared" si="137"/>
        <v>48658</v>
      </c>
      <c r="M742" s="420">
        <f t="shared" si="138"/>
        <v>51938</v>
      </c>
      <c r="N742" s="445">
        <f t="shared" si="146"/>
        <v>0</v>
      </c>
      <c r="O742" s="719"/>
      <c r="P742" s="719">
        <f t="shared" si="145"/>
        <v>67000.02</v>
      </c>
      <c r="Q742" s="423">
        <f>SUMIF('8.Dgia'!E:E,'9.may'!E742,'8.Dgia'!P:P)</f>
        <v>0</v>
      </c>
      <c r="R742" s="429">
        <f t="shared" si="139"/>
        <v>0</v>
      </c>
      <c r="S742" s="301">
        <f t="shared" si="140"/>
        <v>14110.820000000002</v>
      </c>
      <c r="T742" s="430">
        <f t="shared" si="141"/>
        <v>66048.820000000007</v>
      </c>
      <c r="U742" s="2053"/>
      <c r="V742" s="2053">
        <v>48658</v>
      </c>
      <c r="W742" s="2054">
        <v>51938</v>
      </c>
      <c r="Y742" s="433">
        <f t="shared" si="142"/>
        <v>-14110.820000000007</v>
      </c>
      <c r="Z742" s="433">
        <f t="shared" si="143"/>
        <v>0</v>
      </c>
      <c r="AC742" s="410">
        <f t="shared" si="144"/>
        <v>0</v>
      </c>
    </row>
    <row r="743" spans="1:29" s="410" customFormat="1" ht="17.25" customHeight="1">
      <c r="A743" s="410">
        <v>1</v>
      </c>
      <c r="B743" s="417">
        <f>IF(A743&lt;&gt;0,COUNTA(A$19:$A743),"")</f>
        <v>194</v>
      </c>
      <c r="C743" s="428" t="s">
        <v>1691</v>
      </c>
      <c r="D743" s="428"/>
      <c r="E743" s="435" t="s">
        <v>1690</v>
      </c>
      <c r="F743" s="435"/>
      <c r="G743" s="419"/>
      <c r="H743" s="419"/>
      <c r="I743" s="419"/>
      <c r="J743" s="419"/>
      <c r="K743" s="420">
        <v>1</v>
      </c>
      <c r="L743" s="420">
        <f t="shared" si="137"/>
        <v>48658</v>
      </c>
      <c r="M743" s="420">
        <f t="shared" si="138"/>
        <v>54261</v>
      </c>
      <c r="N743" s="445">
        <f t="shared" si="146"/>
        <v>0</v>
      </c>
      <c r="O743" s="719"/>
      <c r="P743" s="719">
        <f t="shared" si="145"/>
        <v>69996.69</v>
      </c>
      <c r="Q743" s="423">
        <f>SUMIF('8.Dgia'!E:E,'9.may'!E743,'8.Dgia'!P:P)</f>
        <v>0</v>
      </c>
      <c r="R743" s="429">
        <f t="shared" si="139"/>
        <v>0</v>
      </c>
      <c r="S743" s="301">
        <f t="shared" si="140"/>
        <v>14110.820000000002</v>
      </c>
      <c r="T743" s="430">
        <f t="shared" si="141"/>
        <v>68371.820000000007</v>
      </c>
      <c r="U743" s="2053"/>
      <c r="V743" s="2053">
        <v>48658</v>
      </c>
      <c r="W743" s="2054">
        <v>54261</v>
      </c>
      <c r="Y743" s="433">
        <f t="shared" si="142"/>
        <v>-14110.820000000007</v>
      </c>
      <c r="Z743" s="433">
        <f t="shared" si="143"/>
        <v>0</v>
      </c>
      <c r="AC743" s="410">
        <f t="shared" si="144"/>
        <v>0</v>
      </c>
    </row>
    <row r="744" spans="1:29" s="410" customFormat="1" ht="17.25" hidden="1" customHeight="1">
      <c r="B744" s="417" t="str">
        <f>IF(A744&lt;&gt;0,COUNTA(A$19:$A744),"")</f>
        <v/>
      </c>
      <c r="C744" s="428" t="s">
        <v>1692</v>
      </c>
      <c r="D744" s="428"/>
      <c r="E744" s="435"/>
      <c r="F744" s="435"/>
      <c r="G744" s="419"/>
      <c r="H744" s="419"/>
      <c r="I744" s="419"/>
      <c r="J744" s="419"/>
      <c r="K744" s="420">
        <v>1</v>
      </c>
      <c r="L744" s="420">
        <f t="shared" si="137"/>
        <v>48658</v>
      </c>
      <c r="M744" s="420">
        <f t="shared" si="138"/>
        <v>59455</v>
      </c>
      <c r="N744" s="445">
        <f t="shared" si="146"/>
        <v>0</v>
      </c>
      <c r="O744" s="719"/>
      <c r="P744" s="719">
        <f t="shared" si="145"/>
        <v>76696.95</v>
      </c>
      <c r="Q744" s="423">
        <f>SUMIF('8.Dgia'!E:E,'9.may'!E744,'8.Dgia'!P:P)</f>
        <v>0</v>
      </c>
      <c r="R744" s="429">
        <f t="shared" si="139"/>
        <v>0</v>
      </c>
      <c r="S744" s="301">
        <f t="shared" si="140"/>
        <v>14110.820000000002</v>
      </c>
      <c r="T744" s="430">
        <f t="shared" si="141"/>
        <v>73565.820000000007</v>
      </c>
      <c r="U744" s="431"/>
      <c r="V744" s="431">
        <v>48658</v>
      </c>
      <c r="W744" s="432">
        <v>59455</v>
      </c>
      <c r="Y744" s="433">
        <f t="shared" si="142"/>
        <v>-14110.820000000007</v>
      </c>
      <c r="Z744" s="433">
        <f t="shared" si="143"/>
        <v>0</v>
      </c>
      <c r="AC744" s="410">
        <f t="shared" si="144"/>
        <v>0</v>
      </c>
    </row>
    <row r="745" spans="1:29" s="410" customFormat="1" ht="17.25" hidden="1" customHeight="1">
      <c r="B745" s="417" t="str">
        <f>IF(A745&lt;&gt;0,COUNTA(A$19:$A745),"")</f>
        <v/>
      </c>
      <c r="C745" s="428" t="s">
        <v>1693</v>
      </c>
      <c r="D745" s="428"/>
      <c r="E745" s="435"/>
      <c r="F745" s="435"/>
      <c r="G745" s="419"/>
      <c r="H745" s="419"/>
      <c r="I745" s="419"/>
      <c r="J745" s="419"/>
      <c r="K745" s="420">
        <v>1</v>
      </c>
      <c r="L745" s="420">
        <f t="shared" si="137"/>
        <v>48658</v>
      </c>
      <c r="M745" s="420">
        <f t="shared" si="138"/>
        <v>64238</v>
      </c>
      <c r="N745" s="445">
        <f t="shared" si="146"/>
        <v>0</v>
      </c>
      <c r="O745" s="719"/>
      <c r="P745" s="719">
        <f t="shared" si="145"/>
        <v>82867.02</v>
      </c>
      <c r="Q745" s="423">
        <f>SUMIF('8.Dgia'!E:E,'9.may'!E745,'8.Dgia'!P:P)</f>
        <v>0</v>
      </c>
      <c r="R745" s="429">
        <f t="shared" si="139"/>
        <v>0</v>
      </c>
      <c r="S745" s="301">
        <f t="shared" si="140"/>
        <v>14110.820000000002</v>
      </c>
      <c r="T745" s="430">
        <f t="shared" si="141"/>
        <v>78348.820000000007</v>
      </c>
      <c r="U745" s="431"/>
      <c r="V745" s="431">
        <v>48658</v>
      </c>
      <c r="W745" s="432">
        <v>64238</v>
      </c>
      <c r="Y745" s="433">
        <f t="shared" si="142"/>
        <v>-14110.820000000007</v>
      </c>
      <c r="Z745" s="433">
        <f t="shared" si="143"/>
        <v>0</v>
      </c>
      <c r="AC745" s="410">
        <f t="shared" si="144"/>
        <v>0</v>
      </c>
    </row>
    <row r="746" spans="1:29" s="410" customFormat="1" ht="17.25" customHeight="1">
      <c r="A746" s="410">
        <v>1</v>
      </c>
      <c r="B746" s="417">
        <f>IF(A746&lt;&gt;0,COUNTA(A$19:$A746),"")</f>
        <v>195</v>
      </c>
      <c r="C746" s="428" t="s">
        <v>1694</v>
      </c>
      <c r="D746" s="428" t="s">
        <v>1695</v>
      </c>
      <c r="E746" s="435" t="s">
        <v>619</v>
      </c>
      <c r="F746" s="435" t="s">
        <v>4839</v>
      </c>
      <c r="G746" s="419"/>
      <c r="H746" s="419"/>
      <c r="I746" s="419"/>
      <c r="J746" s="419"/>
      <c r="K746" s="420">
        <v>1</v>
      </c>
      <c r="L746" s="420">
        <f t="shared" si="137"/>
        <v>48658</v>
      </c>
      <c r="M746" s="420">
        <f t="shared" si="138"/>
        <v>73736</v>
      </c>
      <c r="N746" s="445">
        <f t="shared" si="146"/>
        <v>0</v>
      </c>
      <c r="O746" s="719"/>
      <c r="P746" s="719">
        <f t="shared" si="145"/>
        <v>95119.44</v>
      </c>
      <c r="Q746" s="423" t="e">
        <f>SUMIF('8.Dgia'!E:E,'9.may'!E746,'8.Dgia'!P:P)</f>
        <v>#REF!</v>
      </c>
      <c r="R746" s="429" t="e">
        <f t="shared" si="139"/>
        <v>#REF!</v>
      </c>
      <c r="S746" s="301">
        <f t="shared" si="140"/>
        <v>14110.820000000002</v>
      </c>
      <c r="T746" s="430">
        <f t="shared" si="141"/>
        <v>87846.82</v>
      </c>
      <c r="U746" s="2053"/>
      <c r="V746" s="2053">
        <v>48658</v>
      </c>
      <c r="W746" s="2054">
        <v>73736</v>
      </c>
      <c r="Y746" s="433">
        <f t="shared" si="142"/>
        <v>-14110.820000000007</v>
      </c>
      <c r="Z746" s="433">
        <f t="shared" si="143"/>
        <v>0</v>
      </c>
      <c r="AC746" s="410" t="e">
        <f t="shared" si="144"/>
        <v>#REF!</v>
      </c>
    </row>
    <row r="747" spans="1:29" s="410" customFormat="1" ht="17.25" customHeight="1">
      <c r="A747" s="410">
        <v>1</v>
      </c>
      <c r="B747" s="417">
        <f>IF(A747&lt;&gt;0,COUNTA(A$19:$A747),"")</f>
        <v>196</v>
      </c>
      <c r="C747" s="428" t="s">
        <v>1696</v>
      </c>
      <c r="D747" s="428" t="s">
        <v>1697</v>
      </c>
      <c r="E747" s="435" t="s">
        <v>663</v>
      </c>
      <c r="F747" s="435" t="s">
        <v>4840</v>
      </c>
      <c r="G747" s="419"/>
      <c r="H747" s="419"/>
      <c r="I747" s="419"/>
      <c r="J747" s="419"/>
      <c r="K747" s="420">
        <v>1</v>
      </c>
      <c r="L747" s="420">
        <f t="shared" si="137"/>
        <v>48658</v>
      </c>
      <c r="M747" s="420">
        <f t="shared" si="138"/>
        <v>103051</v>
      </c>
      <c r="N747" s="445">
        <f t="shared" si="146"/>
        <v>0</v>
      </c>
      <c r="O747" s="719"/>
      <c r="P747" s="719">
        <f t="shared" si="145"/>
        <v>132935.79</v>
      </c>
      <c r="Q747" s="423" t="e">
        <f>SUMIF('8.Dgia'!E:E,'9.may'!E747,'8.Dgia'!P:P)</f>
        <v>#REF!</v>
      </c>
      <c r="R747" s="429" t="e">
        <f t="shared" si="139"/>
        <v>#REF!</v>
      </c>
      <c r="S747" s="301">
        <f t="shared" si="140"/>
        <v>14110.820000000002</v>
      </c>
      <c r="T747" s="430">
        <f t="shared" si="141"/>
        <v>117161.82</v>
      </c>
      <c r="U747" s="2053"/>
      <c r="V747" s="2053">
        <v>48658</v>
      </c>
      <c r="W747" s="2054">
        <v>103051</v>
      </c>
      <c r="Y747" s="433">
        <f t="shared" si="142"/>
        <v>-14110.820000000007</v>
      </c>
      <c r="Z747" s="433">
        <f t="shared" si="143"/>
        <v>0</v>
      </c>
      <c r="AC747" s="410" t="e">
        <f t="shared" si="144"/>
        <v>#REF!</v>
      </c>
    </row>
    <row r="748" spans="1:29" s="410" customFormat="1" ht="17.25" hidden="1" customHeight="1">
      <c r="B748" s="417" t="str">
        <f>IF(A748&lt;&gt;0,COUNTA(A$19:$A748),"")</f>
        <v/>
      </c>
      <c r="C748" s="444" t="s">
        <v>1150</v>
      </c>
      <c r="D748" s="444"/>
      <c r="E748" s="435"/>
      <c r="F748" s="435"/>
      <c r="G748" s="419"/>
      <c r="H748" s="419"/>
      <c r="I748" s="419"/>
      <c r="J748" s="419"/>
      <c r="K748" s="420"/>
      <c r="L748" s="420">
        <f t="shared" si="137"/>
        <v>0</v>
      </c>
      <c r="M748" s="420">
        <f t="shared" si="138"/>
        <v>0</v>
      </c>
      <c r="N748" s="445"/>
      <c r="O748" s="719"/>
      <c r="P748" s="719">
        <f t="shared" si="145"/>
        <v>0</v>
      </c>
      <c r="Q748" s="423">
        <f>SUMIF('8.Dgia'!E:E,'9.may'!E748,'8.Dgia'!P:P)</f>
        <v>0</v>
      </c>
      <c r="R748" s="429">
        <f t="shared" si="139"/>
        <v>0</v>
      </c>
      <c r="S748" s="301">
        <f t="shared" si="140"/>
        <v>0</v>
      </c>
      <c r="T748" s="430">
        <f t="shared" si="141"/>
        <v>0</v>
      </c>
      <c r="U748" s="436"/>
      <c r="V748" s="436"/>
      <c r="W748" s="432"/>
      <c r="Y748" s="433">
        <f t="shared" si="142"/>
        <v>0</v>
      </c>
      <c r="Z748" s="433">
        <f t="shared" si="143"/>
        <v>0</v>
      </c>
      <c r="AC748" s="410">
        <f t="shared" si="144"/>
        <v>0</v>
      </c>
    </row>
    <row r="749" spans="1:29" s="410" customFormat="1" ht="17.25" customHeight="1">
      <c r="A749" s="410">
        <v>1</v>
      </c>
      <c r="B749" s="417">
        <f>IF(A749&lt;&gt;0,COUNTA(A$19:$A749),"")</f>
        <v>197</v>
      </c>
      <c r="C749" s="428" t="s">
        <v>1698</v>
      </c>
      <c r="D749" s="428" t="s">
        <v>1699</v>
      </c>
      <c r="E749" s="435" t="s">
        <v>1700</v>
      </c>
      <c r="F749" s="435" t="s">
        <v>4841</v>
      </c>
      <c r="G749" s="419"/>
      <c r="H749" s="419">
        <v>92.4</v>
      </c>
      <c r="I749" s="419"/>
      <c r="J749" s="419"/>
      <c r="K749" s="420">
        <v>1</v>
      </c>
      <c r="L749" s="420">
        <f t="shared" si="137"/>
        <v>98673</v>
      </c>
      <c r="M749" s="420">
        <f t="shared" si="138"/>
        <v>726094</v>
      </c>
      <c r="N749" s="445">
        <f>SUMPRODUCT(G749:J749,$G$12:$J$12,$G$9:$J$9)</f>
        <v>58826.460000000006</v>
      </c>
      <c r="O749" s="719"/>
      <c r="P749" s="719">
        <f t="shared" si="145"/>
        <v>995487.72</v>
      </c>
      <c r="Q749" s="423">
        <f>SUMIF('8.Dgia'!E:E,'9.may'!E749,'8.Dgia'!P:P)</f>
        <v>0</v>
      </c>
      <c r="R749" s="429">
        <f t="shared" si="139"/>
        <v>0</v>
      </c>
      <c r="S749" s="301">
        <f t="shared" si="140"/>
        <v>28615.170000000002</v>
      </c>
      <c r="T749" s="430">
        <f t="shared" si="141"/>
        <v>813535.63</v>
      </c>
      <c r="U749" s="2053">
        <v>88487</v>
      </c>
      <c r="V749" s="2053">
        <v>98673</v>
      </c>
      <c r="W749" s="2054">
        <v>726094</v>
      </c>
      <c r="Y749" s="433">
        <f t="shared" si="142"/>
        <v>-87441.63</v>
      </c>
      <c r="Z749" s="433">
        <f t="shared" si="143"/>
        <v>0</v>
      </c>
      <c r="AC749" s="410">
        <f t="shared" si="144"/>
        <v>0</v>
      </c>
    </row>
    <row r="750" spans="1:29" s="410" customFormat="1" ht="17.25" customHeight="1">
      <c r="A750" s="410">
        <v>1</v>
      </c>
      <c r="B750" s="417">
        <f>IF(A750&lt;&gt;0,COUNTA(A$19:$A750),"")</f>
        <v>198</v>
      </c>
      <c r="C750" s="428" t="s">
        <v>1701</v>
      </c>
      <c r="D750" s="428" t="s">
        <v>1702</v>
      </c>
      <c r="E750" s="435" t="s">
        <v>1703</v>
      </c>
      <c r="F750" s="435" t="s">
        <v>4842</v>
      </c>
      <c r="G750" s="419"/>
      <c r="H750" s="419">
        <v>553.1</v>
      </c>
      <c r="I750" s="419"/>
      <c r="J750" s="419"/>
      <c r="K750" s="420">
        <v>1</v>
      </c>
      <c r="L750" s="420">
        <f t="shared" si="137"/>
        <v>240405</v>
      </c>
      <c r="M750" s="420">
        <f t="shared" si="138"/>
        <v>4733101</v>
      </c>
      <c r="N750" s="445">
        <f>SUMPRODUCT(G750:J750,$G$12:$J$12,$G$9:$J$9)</f>
        <v>352131.11500000005</v>
      </c>
      <c r="O750" s="719"/>
      <c r="P750" s="719">
        <f t="shared" si="145"/>
        <v>6457831.4050000003</v>
      </c>
      <c r="Q750" s="423">
        <f>SUMIF('8.Dgia'!E:E,'9.may'!E750,'8.Dgia'!P:P)</f>
        <v>0</v>
      </c>
      <c r="R750" s="429">
        <f t="shared" si="139"/>
        <v>0</v>
      </c>
      <c r="S750" s="301">
        <f t="shared" si="140"/>
        <v>69717.450000000012</v>
      </c>
      <c r="T750" s="430">
        <f t="shared" si="141"/>
        <v>5154949.5650000004</v>
      </c>
      <c r="U750" s="2053">
        <v>529676</v>
      </c>
      <c r="V750" s="2053">
        <v>240405</v>
      </c>
      <c r="W750" s="2054">
        <v>4733101</v>
      </c>
      <c r="Y750" s="433">
        <f t="shared" si="142"/>
        <v>-421848.56500000041</v>
      </c>
      <c r="Z750" s="433">
        <f t="shared" si="143"/>
        <v>0</v>
      </c>
      <c r="AC750" s="410">
        <f t="shared" si="144"/>
        <v>0</v>
      </c>
    </row>
    <row r="751" spans="1:29" s="410" customFormat="1" ht="17.25" hidden="1" customHeight="1">
      <c r="B751" s="417" t="str">
        <f>IF(A751&lt;&gt;0,COUNTA(A$19:$A751),"")</f>
        <v/>
      </c>
      <c r="C751" s="444" t="s">
        <v>1704</v>
      </c>
      <c r="D751" s="444"/>
      <c r="E751" s="435"/>
      <c r="F751" s="435"/>
      <c r="G751" s="419"/>
      <c r="H751" s="419"/>
      <c r="I751" s="419"/>
      <c r="J751" s="419"/>
      <c r="K751" s="420"/>
      <c r="L751" s="420">
        <f t="shared" si="137"/>
        <v>0</v>
      </c>
      <c r="M751" s="420">
        <f t="shared" si="138"/>
        <v>0</v>
      </c>
      <c r="N751" s="445"/>
      <c r="O751" s="719"/>
      <c r="P751" s="719">
        <f t="shared" si="145"/>
        <v>0</v>
      </c>
      <c r="Q751" s="423">
        <f>SUMIF('8.Dgia'!E:E,'9.may'!E751,'8.Dgia'!P:P)</f>
        <v>0</v>
      </c>
      <c r="R751" s="429">
        <f t="shared" si="139"/>
        <v>0</v>
      </c>
      <c r="S751" s="301">
        <f t="shared" si="140"/>
        <v>0</v>
      </c>
      <c r="T751" s="430">
        <f t="shared" si="141"/>
        <v>0</v>
      </c>
      <c r="U751" s="436"/>
      <c r="V751" s="436"/>
      <c r="W751" s="432"/>
      <c r="Y751" s="433">
        <f t="shared" si="142"/>
        <v>0</v>
      </c>
      <c r="Z751" s="433">
        <f t="shared" si="143"/>
        <v>0</v>
      </c>
      <c r="AC751" s="410">
        <f t="shared" si="144"/>
        <v>0</v>
      </c>
    </row>
    <row r="752" spans="1:29" s="410" customFormat="1" ht="17.25" customHeight="1">
      <c r="A752" s="410">
        <v>1</v>
      </c>
      <c r="B752" s="417">
        <f>IF(A752&lt;&gt;0,COUNTA(A$19:$A752),"")</f>
        <v>199</v>
      </c>
      <c r="C752" s="428" t="s">
        <v>1705</v>
      </c>
      <c r="D752" s="428" t="s">
        <v>1706</v>
      </c>
      <c r="E752" s="435" t="s">
        <v>1707</v>
      </c>
      <c r="F752" s="435" t="s">
        <v>4843</v>
      </c>
      <c r="G752" s="419">
        <v>63</v>
      </c>
      <c r="H752" s="419"/>
      <c r="I752" s="419"/>
      <c r="J752" s="419"/>
      <c r="K752" s="420">
        <v>1</v>
      </c>
      <c r="L752" s="420">
        <f t="shared" si="137"/>
        <v>98673</v>
      </c>
      <c r="M752" s="420">
        <f t="shared" si="138"/>
        <v>2580738</v>
      </c>
      <c r="N752" s="445">
        <f>SUMPRODUCT(G752:J752,$G$12:$J$12,$G$9:$J$9)</f>
        <v>1023532.9363636363</v>
      </c>
      <c r="O752" s="719"/>
      <c r="P752" s="719">
        <f t="shared" si="145"/>
        <v>4352684.9563636361</v>
      </c>
      <c r="Q752" s="423" t="e">
        <f>SUMIF('8.Dgia'!E:E,'9.may'!E752,'8.Dgia'!P:P)</f>
        <v>#REF!</v>
      </c>
      <c r="R752" s="429" t="e">
        <f t="shared" si="139"/>
        <v>#REF!</v>
      </c>
      <c r="S752" s="301">
        <f t="shared" si="140"/>
        <v>28615.170000000002</v>
      </c>
      <c r="T752" s="430">
        <f t="shared" si="141"/>
        <v>3632886.1063636364</v>
      </c>
      <c r="U752" s="2053">
        <v>451011</v>
      </c>
      <c r="V752" s="2053">
        <v>98673</v>
      </c>
      <c r="W752" s="2054">
        <v>2580738</v>
      </c>
      <c r="Y752" s="433">
        <f t="shared" si="142"/>
        <v>-1052148.1063636364</v>
      </c>
      <c r="Z752" s="433">
        <f t="shared" si="143"/>
        <v>0</v>
      </c>
      <c r="AC752" s="410" t="e">
        <f t="shared" si="144"/>
        <v>#REF!</v>
      </c>
    </row>
    <row r="753" spans="1:29" s="410" customFormat="1" ht="17.25" hidden="1" customHeight="1">
      <c r="B753" s="417" t="str">
        <f>IF(A753&lt;&gt;0,COUNTA(A$19:$A753),"")</f>
        <v/>
      </c>
      <c r="C753" s="444" t="s">
        <v>1708</v>
      </c>
      <c r="D753" s="444"/>
      <c r="E753" s="435"/>
      <c r="F753" s="435"/>
      <c r="G753" s="419"/>
      <c r="H753" s="419"/>
      <c r="I753" s="419"/>
      <c r="J753" s="419"/>
      <c r="K753" s="420"/>
      <c r="L753" s="420">
        <f t="shared" si="137"/>
        <v>0</v>
      </c>
      <c r="M753" s="420">
        <f t="shared" si="138"/>
        <v>0</v>
      </c>
      <c r="N753" s="445"/>
      <c r="O753" s="719"/>
      <c r="P753" s="719">
        <f t="shared" si="145"/>
        <v>0</v>
      </c>
      <c r="Q753" s="423">
        <f>SUMIF('8.Dgia'!E:E,'9.may'!E753,'8.Dgia'!P:P)</f>
        <v>0</v>
      </c>
      <c r="R753" s="429">
        <f t="shared" si="139"/>
        <v>0</v>
      </c>
      <c r="S753" s="301">
        <f t="shared" si="140"/>
        <v>0</v>
      </c>
      <c r="T753" s="430">
        <f t="shared" si="141"/>
        <v>0</v>
      </c>
      <c r="U753" s="436"/>
      <c r="V753" s="436"/>
      <c r="W753" s="432"/>
      <c r="Y753" s="433">
        <f t="shared" si="142"/>
        <v>0</v>
      </c>
      <c r="Z753" s="433">
        <f t="shared" si="143"/>
        <v>0</v>
      </c>
      <c r="AC753" s="410">
        <f t="shared" si="144"/>
        <v>0</v>
      </c>
    </row>
    <row r="754" spans="1:29" s="410" customFormat="1" ht="17.25" customHeight="1">
      <c r="A754" s="410">
        <v>1</v>
      </c>
      <c r="B754" s="417">
        <f>IF(A754&lt;&gt;0,COUNTA(A$19:$A754),"")</f>
        <v>200</v>
      </c>
      <c r="C754" s="428" t="s">
        <v>1709</v>
      </c>
      <c r="D754" s="428" t="s">
        <v>1710</v>
      </c>
      <c r="E754" s="435" t="s">
        <v>366</v>
      </c>
      <c r="F754" s="435" t="s">
        <v>4844</v>
      </c>
      <c r="G754" s="419">
        <v>47.9</v>
      </c>
      <c r="H754" s="419"/>
      <c r="I754" s="419"/>
      <c r="J754" s="419"/>
      <c r="K754" s="420">
        <v>1</v>
      </c>
      <c r="L754" s="420">
        <f t="shared" si="137"/>
        <v>98673</v>
      </c>
      <c r="M754" s="420">
        <f t="shared" si="138"/>
        <v>1769269</v>
      </c>
      <c r="N754" s="445">
        <f>SUMPRODUCT(G754:J754,$G$12:$J$12,$G$9:$J$9)</f>
        <v>778209.96272727265</v>
      </c>
      <c r="O754" s="719"/>
      <c r="P754" s="719">
        <f>+N754+M754*$G$13</f>
        <v>3060566.9727272727</v>
      </c>
      <c r="Q754" s="423" t="e">
        <f>SUMIF('8.Dgia'!E:E,'9.may'!E754,'8.Dgia'!P:P)</f>
        <v>#REF!</v>
      </c>
      <c r="R754" s="429" t="e">
        <f t="shared" si="139"/>
        <v>#REF!</v>
      </c>
      <c r="S754" s="301">
        <f t="shared" si="140"/>
        <v>28615.170000000002</v>
      </c>
      <c r="T754" s="430">
        <f t="shared" si="141"/>
        <v>2576094.1327272728</v>
      </c>
      <c r="U754" s="2053">
        <v>342911</v>
      </c>
      <c r="V754" s="2053">
        <v>98673</v>
      </c>
      <c r="W754" s="2054">
        <v>1769269</v>
      </c>
      <c r="Y754" s="433">
        <f t="shared" si="142"/>
        <v>-806825.13272727281</v>
      </c>
      <c r="Z754" s="433">
        <f t="shared" si="143"/>
        <v>0</v>
      </c>
      <c r="AC754" s="410" t="e">
        <f t="shared" si="144"/>
        <v>#REF!</v>
      </c>
    </row>
    <row r="755" spans="1:29" s="410" customFormat="1" ht="17.25" customHeight="1">
      <c r="A755" s="410">
        <v>1</v>
      </c>
      <c r="B755" s="417">
        <f>IF(A755&lt;&gt;0,COUNTA(A$19:$A755),"")</f>
        <v>201</v>
      </c>
      <c r="C755" s="441" t="s">
        <v>1711</v>
      </c>
      <c r="D755" s="441" t="s">
        <v>1712</v>
      </c>
      <c r="E755" s="435" t="s">
        <v>1713</v>
      </c>
      <c r="F755" s="435"/>
      <c r="G755" s="419"/>
      <c r="H755" s="419"/>
      <c r="I755" s="419">
        <v>3.7</v>
      </c>
      <c r="J755" s="419"/>
      <c r="K755" s="420">
        <v>1</v>
      </c>
      <c r="L755" s="420">
        <f t="shared" si="137"/>
        <v>48658</v>
      </c>
      <c r="M755" s="420">
        <f t="shared" si="138"/>
        <v>111968</v>
      </c>
      <c r="N755" s="445">
        <f>SUMPRODUCT(G755:J755,$G$12:$J$12,$G$9:$J$9)</f>
        <v>55257.767727272723</v>
      </c>
      <c r="O755" s="719"/>
      <c r="P755" s="719">
        <f t="shared" si="145"/>
        <v>199696.48772727273</v>
      </c>
      <c r="Q755" s="423">
        <f>SUMIF('8.Dgia'!E:E,'9.may'!E755,'8.Dgia'!P:P)</f>
        <v>0</v>
      </c>
      <c r="R755" s="429">
        <f t="shared" si="139"/>
        <v>0</v>
      </c>
      <c r="S755" s="301">
        <f t="shared" si="140"/>
        <v>14110.820000000002</v>
      </c>
      <c r="T755" s="430">
        <f t="shared" si="141"/>
        <v>181336.58772727271</v>
      </c>
      <c r="U755" s="2053">
        <v>32222</v>
      </c>
      <c r="V755" s="2053">
        <v>48658</v>
      </c>
      <c r="W755" s="2054">
        <v>111968</v>
      </c>
      <c r="Y755" s="433">
        <f t="shared" si="142"/>
        <v>-69368.587727272708</v>
      </c>
      <c r="Z755" s="433">
        <f t="shared" si="143"/>
        <v>0</v>
      </c>
      <c r="AC755" s="410">
        <f t="shared" si="144"/>
        <v>0</v>
      </c>
    </row>
    <row r="756" spans="1:29" s="410" customFormat="1" ht="17.25" hidden="1" customHeight="1">
      <c r="B756" s="417" t="str">
        <f>IF(A756&lt;&gt;0,COUNTA(A$19:$A756),"")</f>
        <v/>
      </c>
      <c r="C756" s="444" t="s">
        <v>1381</v>
      </c>
      <c r="D756" s="444"/>
      <c r="E756" s="435"/>
      <c r="F756" s="435"/>
      <c r="G756" s="419"/>
      <c r="H756" s="419"/>
      <c r="I756" s="419"/>
      <c r="J756" s="419"/>
      <c r="K756" s="420"/>
      <c r="L756" s="420">
        <f t="shared" si="137"/>
        <v>0</v>
      </c>
      <c r="M756" s="420">
        <f t="shared" si="138"/>
        <v>0</v>
      </c>
      <c r="N756" s="445"/>
      <c r="O756" s="719"/>
      <c r="P756" s="719">
        <f t="shared" si="145"/>
        <v>0</v>
      </c>
      <c r="Q756" s="423">
        <f>SUMIF('8.Dgia'!E:E,'9.may'!E756,'8.Dgia'!P:P)</f>
        <v>0</v>
      </c>
      <c r="R756" s="429">
        <f t="shared" si="139"/>
        <v>0</v>
      </c>
      <c r="S756" s="301">
        <f t="shared" si="140"/>
        <v>0</v>
      </c>
      <c r="T756" s="430">
        <f t="shared" si="141"/>
        <v>0</v>
      </c>
      <c r="U756" s="436"/>
      <c r="V756" s="436"/>
      <c r="W756" s="432"/>
      <c r="Y756" s="433">
        <f t="shared" si="142"/>
        <v>0</v>
      </c>
      <c r="Z756" s="433">
        <f t="shared" si="143"/>
        <v>0</v>
      </c>
      <c r="AC756" s="410">
        <f t="shared" si="144"/>
        <v>0</v>
      </c>
    </row>
    <row r="757" spans="1:29" s="410" customFormat="1" ht="17.25" customHeight="1">
      <c r="A757" s="410">
        <v>1</v>
      </c>
      <c r="B757" s="417">
        <f>IF(A757&lt;&gt;0,COUNTA(A$19:$A757),"")</f>
        <v>202</v>
      </c>
      <c r="C757" s="428" t="s">
        <v>1714</v>
      </c>
      <c r="D757" s="428" t="s">
        <v>1715</v>
      </c>
      <c r="E757" s="435" t="s">
        <v>1716</v>
      </c>
      <c r="F757" s="435" t="s">
        <v>4845</v>
      </c>
      <c r="G757" s="419"/>
      <c r="H757" s="419">
        <v>5.3</v>
      </c>
      <c r="I757" s="419"/>
      <c r="J757" s="419"/>
      <c r="K757" s="420">
        <v>1</v>
      </c>
      <c r="L757" s="420">
        <f t="shared" si="137"/>
        <v>41873</v>
      </c>
      <c r="M757" s="420">
        <f t="shared" si="138"/>
        <v>67960</v>
      </c>
      <c r="N757" s="445">
        <f>SUMPRODUCT(G757:J757,$G$12:$J$12,$G$9:$J$9)</f>
        <v>3374.2450000000003</v>
      </c>
      <c r="O757" s="719"/>
      <c r="P757" s="719">
        <f t="shared" si="145"/>
        <v>91042.645000000004</v>
      </c>
      <c r="Q757" s="423" t="e">
        <f>SUMIF('8.Dgia'!E:E,'9.may'!E757,'8.Dgia'!P:P)</f>
        <v>#REF!</v>
      </c>
      <c r="R757" s="429" t="e">
        <f t="shared" si="139"/>
        <v>#REF!</v>
      </c>
      <c r="S757" s="301">
        <f t="shared" si="140"/>
        <v>12143.170000000002</v>
      </c>
      <c r="T757" s="430">
        <f t="shared" si="141"/>
        <v>83477.415000000008</v>
      </c>
      <c r="U757" s="2053">
        <v>5076</v>
      </c>
      <c r="V757" s="2053">
        <v>41873</v>
      </c>
      <c r="W757" s="2054">
        <v>67960</v>
      </c>
      <c r="Y757" s="433">
        <f t="shared" si="142"/>
        <v>-15517.415000000008</v>
      </c>
      <c r="Z757" s="433">
        <f t="shared" si="143"/>
        <v>0</v>
      </c>
      <c r="AC757" s="410" t="e">
        <f t="shared" si="144"/>
        <v>#REF!</v>
      </c>
    </row>
    <row r="758" spans="1:29" s="410" customFormat="1" ht="17.25" hidden="1" customHeight="1">
      <c r="B758" s="417" t="str">
        <f>IF(A758&lt;&gt;0,COUNTA(A$19:$A758),"")</f>
        <v/>
      </c>
      <c r="C758" s="444" t="s">
        <v>1387</v>
      </c>
      <c r="D758" s="444"/>
      <c r="E758" s="435"/>
      <c r="F758" s="435"/>
      <c r="G758" s="419"/>
      <c r="H758" s="419"/>
      <c r="I758" s="419"/>
      <c r="J758" s="419"/>
      <c r="K758" s="420"/>
      <c r="L758" s="420">
        <f t="shared" si="137"/>
        <v>0</v>
      </c>
      <c r="M758" s="420">
        <f t="shared" si="138"/>
        <v>0</v>
      </c>
      <c r="N758" s="445"/>
      <c r="O758" s="719"/>
      <c r="P758" s="719">
        <f t="shared" si="145"/>
        <v>0</v>
      </c>
      <c r="Q758" s="423">
        <f>SUMIF('8.Dgia'!E:E,'9.may'!E758,'8.Dgia'!P:P)</f>
        <v>0</v>
      </c>
      <c r="R758" s="429">
        <f t="shared" si="139"/>
        <v>0</v>
      </c>
      <c r="S758" s="301">
        <f t="shared" si="140"/>
        <v>0</v>
      </c>
      <c r="T758" s="430">
        <f t="shared" si="141"/>
        <v>0</v>
      </c>
      <c r="U758" s="436"/>
      <c r="V758" s="436"/>
      <c r="W758" s="432"/>
      <c r="Y758" s="433">
        <f t="shared" si="142"/>
        <v>0</v>
      </c>
      <c r="Z758" s="433">
        <f t="shared" si="143"/>
        <v>0</v>
      </c>
      <c r="AC758" s="410">
        <f t="shared" si="144"/>
        <v>0</v>
      </c>
    </row>
    <row r="759" spans="1:29" s="410" customFormat="1" ht="17.25" hidden="1" customHeight="1">
      <c r="B759" s="417" t="str">
        <f>IF(A759&lt;&gt;0,COUNTA(A$19:$A759),"")</f>
        <v/>
      </c>
      <c r="C759" s="428" t="s">
        <v>1717</v>
      </c>
      <c r="D759" s="428"/>
      <c r="E759" s="435"/>
      <c r="F759" s="435"/>
      <c r="G759" s="419"/>
      <c r="H759" s="419">
        <v>3.2</v>
      </c>
      <c r="I759" s="419"/>
      <c r="J759" s="419"/>
      <c r="K759" s="420">
        <v>1</v>
      </c>
      <c r="L759" s="420">
        <f t="shared" si="137"/>
        <v>41873</v>
      </c>
      <c r="M759" s="420">
        <f t="shared" si="138"/>
        <v>54697</v>
      </c>
      <c r="N759" s="445">
        <f>SUMPRODUCT(G759:J759,$G$12:$J$12,$G$9:$J$9)</f>
        <v>2037.2800000000002</v>
      </c>
      <c r="O759" s="719"/>
      <c r="P759" s="719">
        <f t="shared" si="145"/>
        <v>72596.41</v>
      </c>
      <c r="Q759" s="423">
        <f>SUMIF('8.Dgia'!E:E,'9.may'!E759,'8.Dgia'!P:P)</f>
        <v>0</v>
      </c>
      <c r="R759" s="429">
        <f t="shared" si="139"/>
        <v>0</v>
      </c>
      <c r="S759" s="301">
        <f t="shared" si="140"/>
        <v>12143.170000000002</v>
      </c>
      <c r="T759" s="430">
        <f t="shared" si="141"/>
        <v>68877.45</v>
      </c>
      <c r="U759" s="431">
        <v>3064</v>
      </c>
      <c r="V759" s="431">
        <v>41873</v>
      </c>
      <c r="W759" s="432">
        <v>54697</v>
      </c>
      <c r="Y759" s="433">
        <f t="shared" si="142"/>
        <v>-14180.449999999997</v>
      </c>
      <c r="Z759" s="433">
        <f t="shared" si="143"/>
        <v>0</v>
      </c>
      <c r="AC759" s="410">
        <f t="shared" si="144"/>
        <v>0</v>
      </c>
    </row>
    <row r="760" spans="1:29" s="410" customFormat="1" ht="17.25" hidden="1" customHeight="1">
      <c r="B760" s="417" t="str">
        <f>IF(A760&lt;&gt;0,COUNTA(A$19:$A760),"")</f>
        <v/>
      </c>
      <c r="C760" s="444" t="s">
        <v>1401</v>
      </c>
      <c r="D760" s="444"/>
      <c r="E760" s="435"/>
      <c r="F760" s="435"/>
      <c r="G760" s="419"/>
      <c r="H760" s="419"/>
      <c r="I760" s="419"/>
      <c r="J760" s="419"/>
      <c r="K760" s="420"/>
      <c r="L760" s="420">
        <f t="shared" si="137"/>
        <v>0</v>
      </c>
      <c r="M760" s="420">
        <f t="shared" si="138"/>
        <v>0</v>
      </c>
      <c r="N760" s="445"/>
      <c r="O760" s="719"/>
      <c r="P760" s="719">
        <f t="shared" si="145"/>
        <v>0</v>
      </c>
      <c r="Q760" s="423">
        <f>SUMIF('8.Dgia'!E:E,'9.may'!E760,'8.Dgia'!P:P)</f>
        <v>0</v>
      </c>
      <c r="R760" s="429">
        <f t="shared" si="139"/>
        <v>0</v>
      </c>
      <c r="S760" s="301">
        <f t="shared" si="140"/>
        <v>0</v>
      </c>
      <c r="T760" s="430">
        <f t="shared" si="141"/>
        <v>0</v>
      </c>
      <c r="U760" s="436"/>
      <c r="V760" s="436"/>
      <c r="W760" s="432"/>
      <c r="Y760" s="433">
        <f t="shared" si="142"/>
        <v>0</v>
      </c>
      <c r="Z760" s="433">
        <f t="shared" si="143"/>
        <v>0</v>
      </c>
      <c r="AC760" s="410">
        <f t="shared" si="144"/>
        <v>0</v>
      </c>
    </row>
    <row r="761" spans="1:29" s="410" customFormat="1" ht="17.25" customHeight="1">
      <c r="A761" s="410">
        <v>1</v>
      </c>
      <c r="B761" s="417">
        <f>IF(A761&lt;&gt;0,COUNTA(A$19:$A761),"")</f>
        <v>203</v>
      </c>
      <c r="C761" s="428" t="s">
        <v>1718</v>
      </c>
      <c r="D761" s="428" t="s">
        <v>1719</v>
      </c>
      <c r="E761" s="435" t="s">
        <v>1720</v>
      </c>
      <c r="F761" s="435" t="s">
        <v>4846</v>
      </c>
      <c r="G761" s="419"/>
      <c r="H761" s="419">
        <v>10.8</v>
      </c>
      <c r="I761" s="419"/>
      <c r="J761" s="419"/>
      <c r="K761" s="420">
        <v>1</v>
      </c>
      <c r="L761" s="420">
        <f t="shared" si="137"/>
        <v>41873</v>
      </c>
      <c r="M761" s="420">
        <f t="shared" si="138"/>
        <v>76343</v>
      </c>
      <c r="N761" s="445">
        <f>SUMPRODUCT(G761:J761,$G$12:$J$12,$G$9:$J$9)</f>
        <v>6875.8200000000006</v>
      </c>
      <c r="O761" s="719"/>
      <c r="P761" s="719">
        <f t="shared" si="145"/>
        <v>105358.29000000001</v>
      </c>
      <c r="Q761" s="423">
        <f>SUMIF('8.Dgia'!E:E,'9.may'!E761,'8.Dgia'!P:P)</f>
        <v>0</v>
      </c>
      <c r="R761" s="429">
        <f t="shared" si="139"/>
        <v>0</v>
      </c>
      <c r="S761" s="301">
        <f t="shared" si="140"/>
        <v>12143.170000000002</v>
      </c>
      <c r="T761" s="430">
        <f t="shared" si="141"/>
        <v>95361.99</v>
      </c>
      <c r="U761" s="2053">
        <v>10343</v>
      </c>
      <c r="V761" s="2053">
        <v>41873</v>
      </c>
      <c r="W761" s="2054">
        <v>76343</v>
      </c>
      <c r="Y761" s="433">
        <f t="shared" si="142"/>
        <v>-19018.990000000005</v>
      </c>
      <c r="Z761" s="433">
        <f t="shared" si="143"/>
        <v>0</v>
      </c>
      <c r="AC761" s="410">
        <f t="shared" si="144"/>
        <v>0</v>
      </c>
    </row>
    <row r="762" spans="1:29" s="410" customFormat="1" ht="17.25" hidden="1" customHeight="1">
      <c r="B762" s="417" t="str">
        <f>IF(A762&lt;&gt;0,COUNTA(A$19:$A762),"")</f>
        <v/>
      </c>
      <c r="C762" s="444" t="s">
        <v>1415</v>
      </c>
      <c r="D762" s="444"/>
      <c r="E762" s="435"/>
      <c r="F762" s="435"/>
      <c r="G762" s="419"/>
      <c r="H762" s="419"/>
      <c r="I762" s="419"/>
      <c r="J762" s="419"/>
      <c r="K762" s="420"/>
      <c r="L762" s="420">
        <f t="shared" si="137"/>
        <v>0</v>
      </c>
      <c r="M762" s="420">
        <f t="shared" si="138"/>
        <v>0</v>
      </c>
      <c r="N762" s="445"/>
      <c r="O762" s="719"/>
      <c r="P762" s="719">
        <f t="shared" si="145"/>
        <v>0</v>
      </c>
      <c r="Q762" s="423">
        <f>SUMIF('8.Dgia'!E:E,'9.may'!E762,'8.Dgia'!P:P)</f>
        <v>0</v>
      </c>
      <c r="R762" s="429">
        <f t="shared" si="139"/>
        <v>0</v>
      </c>
      <c r="S762" s="301">
        <f t="shared" si="140"/>
        <v>0</v>
      </c>
      <c r="T762" s="430">
        <f t="shared" si="141"/>
        <v>0</v>
      </c>
      <c r="U762" s="436"/>
      <c r="V762" s="436"/>
      <c r="W762" s="432"/>
      <c r="Y762" s="433">
        <f t="shared" si="142"/>
        <v>0</v>
      </c>
      <c r="Z762" s="433">
        <f t="shared" si="143"/>
        <v>0</v>
      </c>
      <c r="AC762" s="410">
        <f t="shared" si="144"/>
        <v>0</v>
      </c>
    </row>
    <row r="763" spans="1:29" s="410" customFormat="1" ht="17.25" hidden="1" customHeight="1">
      <c r="B763" s="417" t="str">
        <f>IF(A763&lt;&gt;0,COUNTA(A$19:$A763),"")</f>
        <v/>
      </c>
      <c r="C763" s="428" t="s">
        <v>1414</v>
      </c>
      <c r="D763" s="428"/>
      <c r="E763" s="435"/>
      <c r="F763" s="435"/>
      <c r="G763" s="419"/>
      <c r="H763" s="419">
        <v>9.9</v>
      </c>
      <c r="I763" s="419"/>
      <c r="J763" s="419"/>
      <c r="K763" s="420">
        <v>1</v>
      </c>
      <c r="L763" s="420">
        <f t="shared" si="137"/>
        <v>41873</v>
      </c>
      <c r="M763" s="420">
        <f t="shared" si="138"/>
        <v>60105</v>
      </c>
      <c r="N763" s="445">
        <f>SUMPRODUCT(G763:J763,$G$12:$J$12,$G$9:$J$9)</f>
        <v>6302.835</v>
      </c>
      <c r="O763" s="719"/>
      <c r="P763" s="719">
        <f t="shared" si="145"/>
        <v>83838.285000000003</v>
      </c>
      <c r="Q763" s="423">
        <f>SUMIF('8.Dgia'!E:E,'9.may'!E763,'8.Dgia'!P:P)</f>
        <v>0</v>
      </c>
      <c r="R763" s="429">
        <f t="shared" si="139"/>
        <v>0</v>
      </c>
      <c r="S763" s="301">
        <f t="shared" si="140"/>
        <v>12143.170000000002</v>
      </c>
      <c r="T763" s="430">
        <f t="shared" si="141"/>
        <v>78551.005000000005</v>
      </c>
      <c r="U763" s="431">
        <v>9481</v>
      </c>
      <c r="V763" s="431">
        <v>41873</v>
      </c>
      <c r="W763" s="432">
        <v>60105</v>
      </c>
      <c r="Y763" s="433">
        <f t="shared" si="142"/>
        <v>-18446.005000000005</v>
      </c>
      <c r="Z763" s="433">
        <f t="shared" si="143"/>
        <v>0</v>
      </c>
      <c r="AC763" s="410">
        <f t="shared" si="144"/>
        <v>0</v>
      </c>
    </row>
    <row r="764" spans="1:29" s="410" customFormat="1" ht="17.25" customHeight="1">
      <c r="A764" s="410">
        <v>1</v>
      </c>
      <c r="B764" s="417">
        <f>IF(A764&lt;&gt;0,COUNTA(A$19:$A764),"")</f>
        <v>204</v>
      </c>
      <c r="C764" s="428" t="s">
        <v>1721</v>
      </c>
      <c r="D764" s="428" t="s">
        <v>1722</v>
      </c>
      <c r="E764" s="435" t="s">
        <v>748</v>
      </c>
      <c r="F764" s="435" t="s">
        <v>4847</v>
      </c>
      <c r="G764" s="419"/>
      <c r="H764" s="419">
        <v>12.6</v>
      </c>
      <c r="I764" s="419"/>
      <c r="J764" s="419"/>
      <c r="K764" s="420">
        <v>1</v>
      </c>
      <c r="L764" s="420">
        <f t="shared" si="137"/>
        <v>41873</v>
      </c>
      <c r="M764" s="420">
        <f t="shared" si="138"/>
        <v>83382</v>
      </c>
      <c r="N764" s="445">
        <f>SUMPRODUCT(G764:J764,$G$12:$J$12,$G$9:$J$9)</f>
        <v>8021.7900000000009</v>
      </c>
      <c r="O764" s="719"/>
      <c r="P764" s="719">
        <f t="shared" si="145"/>
        <v>115584.57</v>
      </c>
      <c r="Q764" s="423" t="e">
        <f>SUMIF('8.Dgia'!E:E,'9.may'!E764,'8.Dgia'!P:P)</f>
        <v>#REF!</v>
      </c>
      <c r="R764" s="429" t="e">
        <f t="shared" si="139"/>
        <v>#REF!</v>
      </c>
      <c r="S764" s="301">
        <f t="shared" si="140"/>
        <v>12143.170000000002</v>
      </c>
      <c r="T764" s="430">
        <f t="shared" si="141"/>
        <v>103546.96</v>
      </c>
      <c r="U764" s="2053">
        <v>12066</v>
      </c>
      <c r="V764" s="2053">
        <v>41873</v>
      </c>
      <c r="W764" s="2054">
        <v>83382</v>
      </c>
      <c r="Y764" s="433">
        <f t="shared" si="142"/>
        <v>-20164.960000000006</v>
      </c>
      <c r="Z764" s="433">
        <f t="shared" si="143"/>
        <v>0</v>
      </c>
      <c r="AC764" s="410" t="e">
        <f t="shared" si="144"/>
        <v>#REF!</v>
      </c>
    </row>
    <row r="765" spans="1:29" s="427" customFormat="1" ht="17.25" hidden="1" customHeight="1">
      <c r="B765" s="417" t="str">
        <f>IF(A765&lt;&gt;0,COUNTA(A$19:$A765),"")</f>
        <v/>
      </c>
      <c r="C765" s="444" t="s">
        <v>1723</v>
      </c>
      <c r="D765" s="444"/>
      <c r="E765" s="435"/>
      <c r="F765" s="435"/>
      <c r="G765" s="419"/>
      <c r="H765" s="419"/>
      <c r="I765" s="419"/>
      <c r="J765" s="419"/>
      <c r="K765" s="420"/>
      <c r="L765" s="420">
        <f t="shared" si="137"/>
        <v>0</v>
      </c>
      <c r="M765" s="420">
        <f t="shared" si="138"/>
        <v>0</v>
      </c>
      <c r="N765" s="445"/>
      <c r="O765" s="719"/>
      <c r="P765" s="719">
        <f t="shared" si="145"/>
        <v>0</v>
      </c>
      <c r="Q765" s="423">
        <f>SUMIF('8.Dgia'!E:E,'9.may'!E765,'8.Dgia'!P:P)</f>
        <v>0</v>
      </c>
      <c r="R765" s="429">
        <f t="shared" si="139"/>
        <v>0</v>
      </c>
      <c r="S765" s="301">
        <f t="shared" si="140"/>
        <v>0</v>
      </c>
      <c r="T765" s="430">
        <f t="shared" si="141"/>
        <v>0</v>
      </c>
      <c r="U765" s="436"/>
      <c r="V765" s="436"/>
      <c r="W765" s="432"/>
      <c r="Y765" s="433">
        <f t="shared" si="142"/>
        <v>0</v>
      </c>
      <c r="Z765" s="433">
        <f t="shared" si="143"/>
        <v>0</v>
      </c>
      <c r="AC765" s="410">
        <f t="shared" si="144"/>
        <v>0</v>
      </c>
    </row>
    <row r="766" spans="1:29" s="427" customFormat="1" ht="17.25" hidden="1" customHeight="1">
      <c r="B766" s="417" t="str">
        <f>IF(A766&lt;&gt;0,COUNTA(A$19:$A766),"")</f>
        <v/>
      </c>
      <c r="C766" s="428" t="s">
        <v>1414</v>
      </c>
      <c r="D766" s="428" t="s">
        <v>1724</v>
      </c>
      <c r="E766" s="435"/>
      <c r="F766" s="435" t="s">
        <v>4848</v>
      </c>
      <c r="G766" s="419"/>
      <c r="H766" s="419">
        <v>9.9</v>
      </c>
      <c r="I766" s="419"/>
      <c r="J766" s="419"/>
      <c r="K766" s="420">
        <v>1</v>
      </c>
      <c r="L766" s="420">
        <f t="shared" si="137"/>
        <v>41873</v>
      </c>
      <c r="M766" s="420">
        <f t="shared" si="138"/>
        <v>74844</v>
      </c>
      <c r="N766" s="445">
        <f>SUMPRODUCT(G766:J766,$G$12:$J$12,$G$9:$J$9)</f>
        <v>6302.835</v>
      </c>
      <c r="O766" s="719"/>
      <c r="P766" s="719">
        <f t="shared" si="145"/>
        <v>102851.59500000002</v>
      </c>
      <c r="Q766" s="423">
        <f>SUMIF('8.Dgia'!E:E,'9.may'!E766,'8.Dgia'!P:P)</f>
        <v>0</v>
      </c>
      <c r="R766" s="429">
        <f t="shared" si="139"/>
        <v>0</v>
      </c>
      <c r="S766" s="301">
        <f t="shared" si="140"/>
        <v>12143.170000000002</v>
      </c>
      <c r="T766" s="430">
        <f t="shared" si="141"/>
        <v>93290.005000000005</v>
      </c>
      <c r="U766" s="431">
        <v>9481</v>
      </c>
      <c r="V766" s="431">
        <v>41873</v>
      </c>
      <c r="W766" s="432">
        <v>74844</v>
      </c>
      <c r="Y766" s="433">
        <f t="shared" si="142"/>
        <v>-18446.005000000005</v>
      </c>
      <c r="Z766" s="433">
        <f t="shared" si="143"/>
        <v>0</v>
      </c>
      <c r="AC766" s="410">
        <f t="shared" si="144"/>
        <v>0</v>
      </c>
    </row>
    <row r="767" spans="1:29" s="427" customFormat="1" ht="17.25" hidden="1" customHeight="1">
      <c r="B767" s="417" t="str">
        <f>IF(A767&lt;&gt;0,COUNTA(A$19:$A767),"")</f>
        <v/>
      </c>
      <c r="C767" s="444" t="s">
        <v>1425</v>
      </c>
      <c r="D767" s="444"/>
      <c r="E767" s="435"/>
      <c r="F767" s="435"/>
      <c r="G767" s="419"/>
      <c r="H767" s="419"/>
      <c r="I767" s="419"/>
      <c r="J767" s="419"/>
      <c r="K767" s="420"/>
      <c r="L767" s="420">
        <f t="shared" si="137"/>
        <v>0</v>
      </c>
      <c r="M767" s="420">
        <f t="shared" si="138"/>
        <v>0</v>
      </c>
      <c r="N767" s="445"/>
      <c r="O767" s="719"/>
      <c r="P767" s="719">
        <f t="shared" si="145"/>
        <v>0</v>
      </c>
      <c r="Q767" s="423">
        <f>SUMIF('8.Dgia'!E:E,'9.may'!E767,'8.Dgia'!P:P)</f>
        <v>0</v>
      </c>
      <c r="R767" s="429">
        <f t="shared" si="139"/>
        <v>0</v>
      </c>
      <c r="S767" s="301">
        <f t="shared" si="140"/>
        <v>0</v>
      </c>
      <c r="T767" s="430">
        <f t="shared" si="141"/>
        <v>0</v>
      </c>
      <c r="U767" s="436"/>
      <c r="V767" s="436"/>
      <c r="W767" s="432"/>
      <c r="Y767" s="433">
        <f t="shared" si="142"/>
        <v>0</v>
      </c>
      <c r="Z767" s="433">
        <f t="shared" si="143"/>
        <v>0</v>
      </c>
      <c r="AC767" s="410">
        <f t="shared" si="144"/>
        <v>0</v>
      </c>
    </row>
    <row r="768" spans="1:29" s="427" customFormat="1" ht="17.25" customHeight="1">
      <c r="A768" s="410">
        <v>1</v>
      </c>
      <c r="B768" s="417">
        <f>IF(A768&lt;&gt;0,COUNTA(A$19:$A768),"")</f>
        <v>205</v>
      </c>
      <c r="C768" s="428" t="s">
        <v>1725</v>
      </c>
      <c r="D768" s="428" t="s">
        <v>1726</v>
      </c>
      <c r="E768" s="435" t="s">
        <v>1727</v>
      </c>
      <c r="F768" s="435" t="s">
        <v>4849</v>
      </c>
      <c r="G768" s="419"/>
      <c r="H768" s="419">
        <v>5.7</v>
      </c>
      <c r="I768" s="419"/>
      <c r="J768" s="419"/>
      <c r="K768" s="420">
        <v>1</v>
      </c>
      <c r="L768" s="420">
        <f t="shared" si="137"/>
        <v>41873</v>
      </c>
      <c r="M768" s="420">
        <f t="shared" si="138"/>
        <v>59761</v>
      </c>
      <c r="N768" s="445">
        <f>SUMPRODUCT(G768:J768,$G$12:$J$12,$G$9:$J$9)</f>
        <v>3628.9050000000002</v>
      </c>
      <c r="O768" s="719"/>
      <c r="P768" s="719">
        <f t="shared" si="145"/>
        <v>80720.595000000001</v>
      </c>
      <c r="Q768" s="423" t="e">
        <f>SUMIF('8.Dgia'!E:E,'9.may'!E768,'8.Dgia'!P:P)</f>
        <v>#REF!</v>
      </c>
      <c r="R768" s="429" t="e">
        <f t="shared" si="139"/>
        <v>#REF!</v>
      </c>
      <c r="S768" s="301">
        <f t="shared" si="140"/>
        <v>12143.170000000002</v>
      </c>
      <c r="T768" s="430">
        <f t="shared" si="141"/>
        <v>75533.074999999997</v>
      </c>
      <c r="U768" s="2053">
        <v>5459</v>
      </c>
      <c r="V768" s="2053">
        <v>41873</v>
      </c>
      <c r="W768" s="2054">
        <v>59761</v>
      </c>
      <c r="Y768" s="433">
        <f t="shared" si="142"/>
        <v>-15772.074999999997</v>
      </c>
      <c r="Z768" s="433">
        <f t="shared" si="143"/>
        <v>0</v>
      </c>
      <c r="AC768" s="410" t="e">
        <f t="shared" si="144"/>
        <v>#REF!</v>
      </c>
    </row>
    <row r="769" spans="1:29" s="427" customFormat="1" ht="17.25" hidden="1" customHeight="1">
      <c r="B769" s="417" t="str">
        <f>IF(A769&lt;&gt;0,COUNTA(A$19:$A769),"")</f>
        <v/>
      </c>
      <c r="C769" s="444" t="s">
        <v>1429</v>
      </c>
      <c r="D769" s="444"/>
      <c r="E769" s="435"/>
      <c r="F769" s="435"/>
      <c r="G769" s="419"/>
      <c r="H769" s="419"/>
      <c r="I769" s="419"/>
      <c r="J769" s="419"/>
      <c r="K769" s="420"/>
      <c r="L769" s="420">
        <f t="shared" si="137"/>
        <v>0</v>
      </c>
      <c r="M769" s="420">
        <f t="shared" si="138"/>
        <v>0</v>
      </c>
      <c r="N769" s="445"/>
      <c r="O769" s="719"/>
      <c r="P769" s="719">
        <f t="shared" si="145"/>
        <v>0</v>
      </c>
      <c r="Q769" s="423">
        <f>SUMIF('8.Dgia'!E:E,'9.may'!E769,'8.Dgia'!P:P)</f>
        <v>0</v>
      </c>
      <c r="R769" s="429">
        <f t="shared" si="139"/>
        <v>0</v>
      </c>
      <c r="S769" s="301">
        <f t="shared" si="140"/>
        <v>0</v>
      </c>
      <c r="T769" s="430">
        <f t="shared" si="141"/>
        <v>0</v>
      </c>
      <c r="U769" s="436"/>
      <c r="V769" s="436"/>
      <c r="W769" s="432"/>
      <c r="Y769" s="433">
        <f t="shared" si="142"/>
        <v>0</v>
      </c>
      <c r="Z769" s="433">
        <f t="shared" si="143"/>
        <v>0</v>
      </c>
      <c r="AC769" s="410">
        <f t="shared" si="144"/>
        <v>0</v>
      </c>
    </row>
    <row r="770" spans="1:29" s="427" customFormat="1" ht="17.25" hidden="1" customHeight="1">
      <c r="B770" s="417" t="str">
        <f>IF(A770&lt;&gt;0,COUNTA(A$19:$A770),"")</f>
        <v/>
      </c>
      <c r="C770" s="428" t="s">
        <v>1728</v>
      </c>
      <c r="D770" s="428" t="s">
        <v>1729</v>
      </c>
      <c r="E770" s="435"/>
      <c r="F770" s="435"/>
      <c r="G770" s="419"/>
      <c r="H770" s="419">
        <v>18.899999999999999</v>
      </c>
      <c r="I770" s="419"/>
      <c r="J770" s="419"/>
      <c r="K770" s="420">
        <v>1</v>
      </c>
      <c r="L770" s="420">
        <f t="shared" si="137"/>
        <v>41873</v>
      </c>
      <c r="M770" s="420">
        <f t="shared" si="138"/>
        <v>110246</v>
      </c>
      <c r="N770" s="445">
        <f>SUMPRODUCT(G770:J770,$G$12:$J$12,$G$9:$J$9)</f>
        <v>12032.685000000001</v>
      </c>
      <c r="O770" s="719"/>
      <c r="P770" s="719">
        <f t="shared" si="145"/>
        <v>154250.02499999999</v>
      </c>
      <c r="Q770" s="423">
        <f>SUMIF('8.Dgia'!E:E,'9.may'!E770,'8.Dgia'!P:P)</f>
        <v>0</v>
      </c>
      <c r="R770" s="429">
        <f t="shared" si="139"/>
        <v>0</v>
      </c>
      <c r="S770" s="301">
        <f t="shared" si="140"/>
        <v>12143.170000000002</v>
      </c>
      <c r="T770" s="430">
        <f t="shared" si="141"/>
        <v>134421.85500000001</v>
      </c>
      <c r="U770" s="431">
        <v>18100</v>
      </c>
      <c r="V770" s="431">
        <v>41873</v>
      </c>
      <c r="W770" s="432">
        <v>110246</v>
      </c>
      <c r="Y770" s="433">
        <f t="shared" si="142"/>
        <v>-24175.85500000001</v>
      </c>
      <c r="Z770" s="433">
        <f t="shared" si="143"/>
        <v>0</v>
      </c>
      <c r="AC770" s="410">
        <f t="shared" si="144"/>
        <v>0</v>
      </c>
    </row>
    <row r="771" spans="1:29" s="427" customFormat="1" ht="17.25" hidden="1" customHeight="1">
      <c r="B771" s="417" t="str">
        <f>IF(A771&lt;&gt;0,COUNTA(A$19:$A771),"")</f>
        <v/>
      </c>
      <c r="C771" s="444" t="s">
        <v>1730</v>
      </c>
      <c r="D771" s="444"/>
      <c r="E771" s="435"/>
      <c r="F771" s="435"/>
      <c r="G771" s="419"/>
      <c r="H771" s="419"/>
      <c r="I771" s="419"/>
      <c r="J771" s="419"/>
      <c r="K771" s="420"/>
      <c r="L771" s="420">
        <f t="shared" si="137"/>
        <v>0</v>
      </c>
      <c r="M771" s="420">
        <f t="shared" si="138"/>
        <v>0</v>
      </c>
      <c r="N771" s="445"/>
      <c r="O771" s="719"/>
      <c r="P771" s="719">
        <f t="shared" si="145"/>
        <v>0</v>
      </c>
      <c r="Q771" s="423">
        <f>SUMIF('8.Dgia'!E:E,'9.may'!E771,'8.Dgia'!P:P)</f>
        <v>0</v>
      </c>
      <c r="R771" s="429">
        <f t="shared" si="139"/>
        <v>0</v>
      </c>
      <c r="S771" s="301">
        <f t="shared" si="140"/>
        <v>0</v>
      </c>
      <c r="T771" s="430">
        <f t="shared" si="141"/>
        <v>0</v>
      </c>
      <c r="U771" s="436"/>
      <c r="V771" s="436"/>
      <c r="W771" s="432"/>
      <c r="Y771" s="433">
        <f t="shared" si="142"/>
        <v>0</v>
      </c>
      <c r="Z771" s="433">
        <f t="shared" si="143"/>
        <v>0</v>
      </c>
      <c r="AC771" s="410">
        <f t="shared" si="144"/>
        <v>0</v>
      </c>
    </row>
    <row r="772" spans="1:29" s="427" customFormat="1" ht="17.25" customHeight="1">
      <c r="A772" s="410">
        <v>1</v>
      </c>
      <c r="B772" s="417">
        <f>IF(A772&lt;&gt;0,COUNTA(A$19:$A772),"")</f>
        <v>206</v>
      </c>
      <c r="C772" s="428" t="s">
        <v>1731</v>
      </c>
      <c r="D772" s="428" t="s">
        <v>1732</v>
      </c>
      <c r="E772" s="435" t="s">
        <v>1733</v>
      </c>
      <c r="F772" s="435" t="s">
        <v>4415</v>
      </c>
      <c r="G772" s="419"/>
      <c r="H772" s="419">
        <v>15.8</v>
      </c>
      <c r="I772" s="419"/>
      <c r="J772" s="419"/>
      <c r="K772" s="420">
        <v>1</v>
      </c>
      <c r="L772" s="420">
        <f t="shared" si="137"/>
        <v>41873</v>
      </c>
      <c r="M772" s="420">
        <f t="shared" si="138"/>
        <v>90295</v>
      </c>
      <c r="N772" s="445">
        <f>SUMPRODUCT(G772:J772,$G$12:$J$12,$G$9:$J$9)</f>
        <v>10059.07</v>
      </c>
      <c r="O772" s="719"/>
      <c r="P772" s="719">
        <f t="shared" si="145"/>
        <v>126539.62</v>
      </c>
      <c r="Q772" s="423" t="e">
        <f>SUMIF('8.Dgia'!E:E,'9.may'!E772,'8.Dgia'!P:P)</f>
        <v>#REF!</v>
      </c>
      <c r="R772" s="429" t="e">
        <f t="shared" si="139"/>
        <v>#REF!</v>
      </c>
      <c r="S772" s="301">
        <f t="shared" si="140"/>
        <v>12143.170000000002</v>
      </c>
      <c r="T772" s="430">
        <f t="shared" si="141"/>
        <v>112497.24</v>
      </c>
      <c r="U772" s="2053">
        <v>15131</v>
      </c>
      <c r="V772" s="2053">
        <v>41873</v>
      </c>
      <c r="W772" s="2054">
        <v>90295</v>
      </c>
      <c r="Y772" s="433">
        <f t="shared" si="142"/>
        <v>-22202.240000000005</v>
      </c>
      <c r="Z772" s="433">
        <f t="shared" si="143"/>
        <v>0</v>
      </c>
      <c r="AC772" s="410" t="e">
        <f t="shared" si="144"/>
        <v>#REF!</v>
      </c>
    </row>
    <row r="773" spans="1:29" s="427" customFormat="1" ht="17.25" hidden="1" customHeight="1">
      <c r="B773" s="417" t="str">
        <f>IF(A773&lt;&gt;0,COUNTA(A$19:$A773),"")</f>
        <v/>
      </c>
      <c r="C773" s="444" t="s">
        <v>1734</v>
      </c>
      <c r="D773" s="444"/>
      <c r="E773" s="435"/>
      <c r="F773" s="435"/>
      <c r="G773" s="419"/>
      <c r="H773" s="419"/>
      <c r="I773" s="419"/>
      <c r="J773" s="419"/>
      <c r="K773" s="420"/>
      <c r="L773" s="420">
        <f t="shared" si="137"/>
        <v>0</v>
      </c>
      <c r="M773" s="420">
        <f t="shared" si="138"/>
        <v>0</v>
      </c>
      <c r="N773" s="445"/>
      <c r="O773" s="719"/>
      <c r="P773" s="719">
        <f t="shared" si="145"/>
        <v>0</v>
      </c>
      <c r="Q773" s="423">
        <f>SUMIF('8.Dgia'!E:E,'9.may'!E773,'8.Dgia'!P:P)</f>
        <v>0</v>
      </c>
      <c r="R773" s="429">
        <f t="shared" si="139"/>
        <v>0</v>
      </c>
      <c r="S773" s="301">
        <f t="shared" si="140"/>
        <v>0</v>
      </c>
      <c r="T773" s="430">
        <f t="shared" si="141"/>
        <v>0</v>
      </c>
      <c r="U773" s="436"/>
      <c r="V773" s="436"/>
      <c r="W773" s="432"/>
      <c r="Y773" s="433">
        <f t="shared" si="142"/>
        <v>0</v>
      </c>
      <c r="Z773" s="433">
        <f t="shared" si="143"/>
        <v>0</v>
      </c>
      <c r="AC773" s="410">
        <f t="shared" si="144"/>
        <v>0</v>
      </c>
    </row>
    <row r="774" spans="1:29" s="427" customFormat="1" ht="17.25" customHeight="1">
      <c r="A774" s="410">
        <v>1</v>
      </c>
      <c r="B774" s="417">
        <f>IF(A774&lt;&gt;0,COUNTA(A$19:$A774),"")</f>
        <v>207</v>
      </c>
      <c r="C774" s="428" t="s">
        <v>1357</v>
      </c>
      <c r="D774" s="428" t="s">
        <v>1735</v>
      </c>
      <c r="E774" s="435" t="s">
        <v>1736</v>
      </c>
      <c r="F774" s="435" t="s">
        <v>4850</v>
      </c>
      <c r="G774" s="419"/>
      <c r="H774" s="419">
        <v>14.7</v>
      </c>
      <c r="I774" s="419"/>
      <c r="J774" s="419"/>
      <c r="K774" s="420">
        <v>1</v>
      </c>
      <c r="L774" s="420">
        <f t="shared" si="137"/>
        <v>41873</v>
      </c>
      <c r="M774" s="420">
        <f t="shared" si="138"/>
        <v>96122</v>
      </c>
      <c r="N774" s="445">
        <f>SUMPRODUCT(G774:J774,$G$12:$J$12,$G$9:$J$9)</f>
        <v>9358.755000000001</v>
      </c>
      <c r="O774" s="719"/>
      <c r="P774" s="719">
        <f t="shared" si="145"/>
        <v>133356.13500000001</v>
      </c>
      <c r="Q774" s="423">
        <f>SUMIF('8.Dgia'!E:E,'9.may'!E774,'8.Dgia'!P:P)</f>
        <v>0</v>
      </c>
      <c r="R774" s="429">
        <f t="shared" si="139"/>
        <v>0</v>
      </c>
      <c r="S774" s="301">
        <f t="shared" si="140"/>
        <v>12143.170000000002</v>
      </c>
      <c r="T774" s="430">
        <f t="shared" si="141"/>
        <v>117623.925</v>
      </c>
      <c r="U774" s="2053">
        <v>14077</v>
      </c>
      <c r="V774" s="2053">
        <v>41873</v>
      </c>
      <c r="W774" s="2054">
        <v>96122</v>
      </c>
      <c r="Y774" s="433">
        <f t="shared" si="142"/>
        <v>-21501.925000000003</v>
      </c>
      <c r="Z774" s="433">
        <f t="shared" si="143"/>
        <v>0</v>
      </c>
      <c r="AC774" s="410">
        <f t="shared" si="144"/>
        <v>0</v>
      </c>
    </row>
    <row r="775" spans="1:29" s="427" customFormat="1" ht="17.25" hidden="1" customHeight="1">
      <c r="B775" s="417" t="str">
        <f>IF(A775&lt;&gt;0,COUNTA(A$19:$A775),"")</f>
        <v/>
      </c>
      <c r="C775" s="444" t="s">
        <v>1737</v>
      </c>
      <c r="D775" s="444"/>
      <c r="E775" s="435"/>
      <c r="F775" s="435"/>
      <c r="G775" s="419"/>
      <c r="H775" s="419"/>
      <c r="I775" s="419"/>
      <c r="J775" s="419"/>
      <c r="K775" s="420"/>
      <c r="L775" s="420">
        <f t="shared" si="137"/>
        <v>0</v>
      </c>
      <c r="M775" s="420">
        <f t="shared" si="138"/>
        <v>0</v>
      </c>
      <c r="N775" s="445"/>
      <c r="O775" s="719"/>
      <c r="P775" s="719">
        <f t="shared" si="145"/>
        <v>0</v>
      </c>
      <c r="Q775" s="423">
        <f>SUMIF('8.Dgia'!E:E,'9.may'!E775,'8.Dgia'!P:P)</f>
        <v>0</v>
      </c>
      <c r="R775" s="429">
        <f t="shared" si="139"/>
        <v>0</v>
      </c>
      <c r="S775" s="301">
        <f t="shared" si="140"/>
        <v>0</v>
      </c>
      <c r="T775" s="430">
        <f t="shared" si="141"/>
        <v>0</v>
      </c>
      <c r="U775" s="436"/>
      <c r="V775" s="436"/>
      <c r="W775" s="432"/>
      <c r="Y775" s="433">
        <f t="shared" si="142"/>
        <v>0</v>
      </c>
      <c r="Z775" s="433">
        <f t="shared" si="143"/>
        <v>0</v>
      </c>
      <c r="AC775" s="410">
        <f t="shared" si="144"/>
        <v>0</v>
      </c>
    </row>
    <row r="776" spans="1:29" s="427" customFormat="1" ht="17.25" hidden="1" customHeight="1">
      <c r="B776" s="417" t="str">
        <f>IF(A776&lt;&gt;0,COUNTA(A$19:$A776),"")</f>
        <v/>
      </c>
      <c r="C776" s="428" t="s">
        <v>1738</v>
      </c>
      <c r="D776" s="428" t="s">
        <v>1739</v>
      </c>
      <c r="E776" s="435"/>
      <c r="F776" s="435"/>
      <c r="G776" s="419"/>
      <c r="H776" s="419">
        <v>2.2999999999999998</v>
      </c>
      <c r="I776" s="419"/>
      <c r="J776" s="419"/>
      <c r="K776" s="420">
        <v>1</v>
      </c>
      <c r="L776" s="420">
        <f t="shared" si="137"/>
        <v>48658</v>
      </c>
      <c r="M776" s="420">
        <f t="shared" si="138"/>
        <v>54008</v>
      </c>
      <c r="N776" s="445">
        <f>SUMPRODUCT(G776:J776,$G$12:$J$12,$G$9:$J$9)</f>
        <v>1464.2950000000001</v>
      </c>
      <c r="O776" s="719"/>
      <c r="P776" s="719">
        <f t="shared" si="145"/>
        <v>71134.615000000005</v>
      </c>
      <c r="Q776" s="423">
        <f>SUMIF('8.Dgia'!E:E,'9.may'!E776,'8.Dgia'!P:P)</f>
        <v>0</v>
      </c>
      <c r="R776" s="429">
        <f t="shared" si="139"/>
        <v>0</v>
      </c>
      <c r="S776" s="301">
        <f t="shared" si="140"/>
        <v>14110.820000000002</v>
      </c>
      <c r="T776" s="430">
        <f t="shared" si="141"/>
        <v>69583.115000000005</v>
      </c>
      <c r="U776" s="431">
        <v>2203</v>
      </c>
      <c r="V776" s="431">
        <v>48658</v>
      </c>
      <c r="W776" s="432">
        <v>54008</v>
      </c>
      <c r="Y776" s="433">
        <f t="shared" si="142"/>
        <v>-15575.115000000005</v>
      </c>
      <c r="Z776" s="433">
        <f t="shared" si="143"/>
        <v>0</v>
      </c>
      <c r="AC776" s="410">
        <f t="shared" si="144"/>
        <v>0</v>
      </c>
    </row>
    <row r="777" spans="1:29" s="427" customFormat="1" ht="17.25" hidden="1" customHeight="1">
      <c r="B777" s="417" t="str">
        <f>IF(A777&lt;&gt;0,COUNTA(A$19:$A777),"")</f>
        <v/>
      </c>
      <c r="C777" s="444" t="s">
        <v>1740</v>
      </c>
      <c r="D777" s="444"/>
      <c r="E777" s="435"/>
      <c r="F777" s="435"/>
      <c r="G777" s="419"/>
      <c r="H777" s="419"/>
      <c r="I777" s="419"/>
      <c r="J777" s="419"/>
      <c r="K777" s="420"/>
      <c r="L777" s="420">
        <f t="shared" si="137"/>
        <v>0</v>
      </c>
      <c r="M777" s="420">
        <f t="shared" si="138"/>
        <v>0</v>
      </c>
      <c r="N777" s="445"/>
      <c r="O777" s="719"/>
      <c r="P777" s="719">
        <f t="shared" si="145"/>
        <v>0</v>
      </c>
      <c r="Q777" s="423">
        <f>SUMIF('8.Dgia'!E:E,'9.may'!E777,'8.Dgia'!P:P)</f>
        <v>0</v>
      </c>
      <c r="R777" s="429">
        <f t="shared" si="139"/>
        <v>0</v>
      </c>
      <c r="S777" s="301">
        <f t="shared" si="140"/>
        <v>0</v>
      </c>
      <c r="T777" s="430">
        <f t="shared" si="141"/>
        <v>0</v>
      </c>
      <c r="U777" s="436"/>
      <c r="V777" s="436"/>
      <c r="W777" s="432"/>
      <c r="Y777" s="433">
        <f t="shared" si="142"/>
        <v>0</v>
      </c>
      <c r="Z777" s="433">
        <f t="shared" si="143"/>
        <v>0</v>
      </c>
      <c r="AC777" s="410">
        <f t="shared" si="144"/>
        <v>0</v>
      </c>
    </row>
    <row r="778" spans="1:29" s="427" customFormat="1" ht="17.25" hidden="1" customHeight="1">
      <c r="B778" s="417" t="str">
        <f>IF(A778&lt;&gt;0,COUNTA(A$19:$A778),"")</f>
        <v/>
      </c>
      <c r="C778" s="428" t="s">
        <v>1199</v>
      </c>
      <c r="D778" s="428"/>
      <c r="E778" s="435"/>
      <c r="F778" s="435"/>
      <c r="G778" s="419"/>
      <c r="H778" s="419">
        <v>1.8</v>
      </c>
      <c r="I778" s="419"/>
      <c r="J778" s="419"/>
      <c r="K778" s="420">
        <v>1</v>
      </c>
      <c r="L778" s="420">
        <f t="shared" si="137"/>
        <v>41873</v>
      </c>
      <c r="M778" s="420">
        <f t="shared" si="138"/>
        <v>46584</v>
      </c>
      <c r="N778" s="445">
        <f>SUMPRODUCT(G778:J778,$G$12:$J$12,$G$9:$J$9)</f>
        <v>1145.97</v>
      </c>
      <c r="O778" s="719"/>
      <c r="P778" s="719">
        <f t="shared" si="145"/>
        <v>61239.33</v>
      </c>
      <c r="Q778" s="423">
        <f>SUMIF('8.Dgia'!E:E,'9.may'!E778,'8.Dgia'!P:P)</f>
        <v>0</v>
      </c>
      <c r="R778" s="429">
        <f t="shared" si="139"/>
        <v>0</v>
      </c>
      <c r="S778" s="301">
        <f t="shared" si="140"/>
        <v>12143.170000000002</v>
      </c>
      <c r="T778" s="430">
        <f t="shared" si="141"/>
        <v>59873.14</v>
      </c>
      <c r="U778" s="431">
        <v>1724</v>
      </c>
      <c r="V778" s="431">
        <v>41873</v>
      </c>
      <c r="W778" s="432">
        <v>46584</v>
      </c>
      <c r="Y778" s="433">
        <f t="shared" si="142"/>
        <v>-13289.14</v>
      </c>
      <c r="Z778" s="433">
        <f t="shared" si="143"/>
        <v>0</v>
      </c>
      <c r="AC778" s="410">
        <f t="shared" si="144"/>
        <v>0</v>
      </c>
    </row>
    <row r="779" spans="1:29" s="427" customFormat="1" ht="17.25" customHeight="1">
      <c r="A779" s="410">
        <v>1</v>
      </c>
      <c r="B779" s="417">
        <f>IF(A779&lt;&gt;0,COUNTA(A$19:$A779),"")</f>
        <v>208</v>
      </c>
      <c r="C779" s="428" t="s">
        <v>1296</v>
      </c>
      <c r="D779" s="428" t="s">
        <v>1741</v>
      </c>
      <c r="E779" s="435" t="s">
        <v>1742</v>
      </c>
      <c r="F779" s="435" t="s">
        <v>4851</v>
      </c>
      <c r="G779" s="419"/>
      <c r="H779" s="419">
        <v>12.6</v>
      </c>
      <c r="I779" s="419"/>
      <c r="J779" s="419"/>
      <c r="K779" s="420">
        <v>1</v>
      </c>
      <c r="L779" s="420">
        <f t="shared" si="137"/>
        <v>41873</v>
      </c>
      <c r="M779" s="420">
        <f t="shared" si="138"/>
        <v>66587</v>
      </c>
      <c r="N779" s="445">
        <f>SUMPRODUCT(G779:J779,$G$12:$J$12,$G$9:$J$9)</f>
        <v>8021.7900000000009</v>
      </c>
      <c r="O779" s="719"/>
      <c r="P779" s="719">
        <f t="shared" si="145"/>
        <v>93919.01999999999</v>
      </c>
      <c r="Q779" s="423" t="e">
        <f>SUMIF('8.Dgia'!E:E,'9.may'!E779,'8.Dgia'!P:P)</f>
        <v>#REF!</v>
      </c>
      <c r="R779" s="429" t="e">
        <f t="shared" si="139"/>
        <v>#REF!</v>
      </c>
      <c r="S779" s="301">
        <f t="shared" si="140"/>
        <v>12143.170000000002</v>
      </c>
      <c r="T779" s="430">
        <f t="shared" si="141"/>
        <v>86751.96</v>
      </c>
      <c r="U779" s="2053">
        <v>12066</v>
      </c>
      <c r="V779" s="2053">
        <v>41873</v>
      </c>
      <c r="W779" s="2054">
        <v>66587</v>
      </c>
      <c r="Y779" s="433">
        <f t="shared" si="142"/>
        <v>-20164.960000000006</v>
      </c>
      <c r="Z779" s="433">
        <f t="shared" si="143"/>
        <v>0</v>
      </c>
      <c r="AC779" s="410" t="e">
        <f t="shared" si="144"/>
        <v>#REF!</v>
      </c>
    </row>
    <row r="780" spans="1:29" s="427" customFormat="1" ht="17.25" hidden="1" customHeight="1">
      <c r="B780" s="417" t="str">
        <f>IF(A780&lt;&gt;0,COUNTA(A$19:$A780),"")</f>
        <v/>
      </c>
      <c r="C780" s="444" t="s">
        <v>1743</v>
      </c>
      <c r="D780" s="444"/>
      <c r="E780" s="435"/>
      <c r="F780" s="435"/>
      <c r="G780" s="419"/>
      <c r="H780" s="419"/>
      <c r="I780" s="419"/>
      <c r="J780" s="419"/>
      <c r="K780" s="420"/>
      <c r="L780" s="420">
        <f t="shared" si="137"/>
        <v>0</v>
      </c>
      <c r="M780" s="420">
        <f t="shared" si="138"/>
        <v>0</v>
      </c>
      <c r="N780" s="445"/>
      <c r="O780" s="719"/>
      <c r="P780" s="719">
        <f t="shared" si="145"/>
        <v>0</v>
      </c>
      <c r="Q780" s="423">
        <f>SUMIF('8.Dgia'!E:E,'9.may'!E780,'8.Dgia'!P:P)</f>
        <v>0</v>
      </c>
      <c r="R780" s="429">
        <f t="shared" si="139"/>
        <v>0</v>
      </c>
      <c r="S780" s="301">
        <f t="shared" si="140"/>
        <v>0</v>
      </c>
      <c r="T780" s="430">
        <f t="shared" si="141"/>
        <v>0</v>
      </c>
      <c r="U780" s="436"/>
      <c r="V780" s="436"/>
      <c r="W780" s="432"/>
      <c r="Y780" s="433">
        <f t="shared" si="142"/>
        <v>0</v>
      </c>
      <c r="Z780" s="433">
        <f t="shared" si="143"/>
        <v>0</v>
      </c>
      <c r="AC780" s="410">
        <f t="shared" si="144"/>
        <v>0</v>
      </c>
    </row>
    <row r="781" spans="1:29" s="410" customFormat="1" ht="17.25" hidden="1" customHeight="1">
      <c r="B781" s="417" t="str">
        <f>IF(A781&lt;&gt;0,COUNTA(A$19:$A781),"")</f>
        <v/>
      </c>
      <c r="C781" s="428" t="s">
        <v>1744</v>
      </c>
      <c r="D781" s="428"/>
      <c r="E781" s="435"/>
      <c r="F781" s="435"/>
      <c r="G781" s="419">
        <v>2.2999999999999998</v>
      </c>
      <c r="H781" s="419"/>
      <c r="I781" s="419"/>
      <c r="J781" s="419"/>
      <c r="K781" s="420">
        <v>1</v>
      </c>
      <c r="L781" s="420">
        <f t="shared" si="137"/>
        <v>41873</v>
      </c>
      <c r="M781" s="420">
        <f t="shared" si="138"/>
        <v>65798</v>
      </c>
      <c r="N781" s="445">
        <f>SUMPRODUCT(G781:J781,$G$12:$J$12,$G$9:$J$9)</f>
        <v>37367.075454545447</v>
      </c>
      <c r="O781" s="719"/>
      <c r="P781" s="719">
        <f t="shared" si="145"/>
        <v>122246.49545454545</v>
      </c>
      <c r="Q781" s="423">
        <f>SUMIF('8.Dgia'!E:E,'9.may'!E781,'8.Dgia'!P:P)</f>
        <v>0</v>
      </c>
      <c r="R781" s="429">
        <f t="shared" si="139"/>
        <v>0</v>
      </c>
      <c r="S781" s="301">
        <f t="shared" si="140"/>
        <v>12143.170000000002</v>
      </c>
      <c r="T781" s="430">
        <f t="shared" si="141"/>
        <v>115308.24545454545</v>
      </c>
      <c r="U781" s="431">
        <v>16465</v>
      </c>
      <c r="V781" s="431">
        <v>41873</v>
      </c>
      <c r="W781" s="432">
        <v>65798</v>
      </c>
      <c r="Y781" s="433">
        <f t="shared" si="142"/>
        <v>-49510.245454545453</v>
      </c>
      <c r="Z781" s="433">
        <f t="shared" si="143"/>
        <v>0</v>
      </c>
      <c r="AC781" s="410">
        <f t="shared" si="144"/>
        <v>0</v>
      </c>
    </row>
    <row r="782" spans="1:29" s="410" customFormat="1" ht="17.25" hidden="1" customHeight="1">
      <c r="B782" s="417" t="str">
        <f>IF(A782&lt;&gt;0,COUNTA(A$19:$A782),"")</f>
        <v/>
      </c>
      <c r="C782" s="444" t="s">
        <v>1745</v>
      </c>
      <c r="D782" s="444"/>
      <c r="E782" s="435"/>
      <c r="F782" s="435"/>
      <c r="G782" s="419"/>
      <c r="H782" s="419"/>
      <c r="I782" s="419"/>
      <c r="J782" s="419"/>
      <c r="K782" s="420"/>
      <c r="L782" s="420">
        <f t="shared" si="137"/>
        <v>0</v>
      </c>
      <c r="M782" s="420">
        <f t="shared" si="138"/>
        <v>0</v>
      </c>
      <c r="N782" s="445"/>
      <c r="O782" s="719"/>
      <c r="P782" s="719">
        <f t="shared" si="145"/>
        <v>0</v>
      </c>
      <c r="Q782" s="423">
        <f>SUMIF('8.Dgia'!E:E,'9.may'!E782,'8.Dgia'!P:P)</f>
        <v>0</v>
      </c>
      <c r="R782" s="429">
        <f t="shared" si="139"/>
        <v>0</v>
      </c>
      <c r="S782" s="301">
        <f t="shared" si="140"/>
        <v>0</v>
      </c>
      <c r="T782" s="430">
        <f t="shared" si="141"/>
        <v>0</v>
      </c>
      <c r="U782" s="436"/>
      <c r="V782" s="436"/>
      <c r="W782" s="432"/>
      <c r="Y782" s="433">
        <f t="shared" si="142"/>
        <v>0</v>
      </c>
      <c r="Z782" s="433">
        <f t="shared" si="143"/>
        <v>0</v>
      </c>
      <c r="AC782" s="410">
        <f t="shared" si="144"/>
        <v>0</v>
      </c>
    </row>
    <row r="783" spans="1:29" s="410" customFormat="1" ht="17.25" hidden="1" customHeight="1">
      <c r="B783" s="417" t="str">
        <f>IF(A783&lt;&gt;0,COUNTA(A$19:$A783),"")</f>
        <v/>
      </c>
      <c r="C783" s="428" t="s">
        <v>1746</v>
      </c>
      <c r="D783" s="428"/>
      <c r="E783" s="435"/>
      <c r="F783" s="435"/>
      <c r="G783" s="419"/>
      <c r="H783" s="419">
        <v>15.8</v>
      </c>
      <c r="I783" s="419"/>
      <c r="J783" s="419"/>
      <c r="K783" s="420">
        <v>1</v>
      </c>
      <c r="L783" s="420">
        <f t="shared" si="137"/>
        <v>48658</v>
      </c>
      <c r="M783" s="420">
        <f t="shared" si="138"/>
        <v>68824</v>
      </c>
      <c r="N783" s="445">
        <f>SUMPRODUCT(G783:J783,$G$12:$J$12,$G$9:$J$9)</f>
        <v>10059.07</v>
      </c>
      <c r="O783" s="719"/>
      <c r="P783" s="719">
        <f t="shared" si="145"/>
        <v>98842.03</v>
      </c>
      <c r="Q783" s="423">
        <f>SUMIF('8.Dgia'!E:E,'9.may'!E783,'8.Dgia'!P:P)</f>
        <v>0</v>
      </c>
      <c r="R783" s="429">
        <f t="shared" si="139"/>
        <v>0</v>
      </c>
      <c r="S783" s="301">
        <f t="shared" si="140"/>
        <v>14110.820000000002</v>
      </c>
      <c r="T783" s="430">
        <f t="shared" si="141"/>
        <v>92993.89</v>
      </c>
      <c r="U783" s="431">
        <v>15131</v>
      </c>
      <c r="V783" s="431">
        <v>48658</v>
      </c>
      <c r="W783" s="432">
        <v>68824</v>
      </c>
      <c r="Y783" s="433">
        <f t="shared" si="142"/>
        <v>-24169.89</v>
      </c>
      <c r="Z783" s="433">
        <f t="shared" si="143"/>
        <v>0</v>
      </c>
      <c r="AC783" s="410">
        <f t="shared" si="144"/>
        <v>0</v>
      </c>
    </row>
    <row r="784" spans="1:29" s="410" customFormat="1" ht="17.25" hidden="1" customHeight="1">
      <c r="B784" s="417" t="str">
        <f>IF(A784&lt;&gt;0,COUNTA(A$19:$A784),"")</f>
        <v/>
      </c>
      <c r="C784" s="444" t="s">
        <v>1747</v>
      </c>
      <c r="D784" s="444"/>
      <c r="E784" s="435"/>
      <c r="F784" s="435"/>
      <c r="G784" s="419"/>
      <c r="H784" s="419"/>
      <c r="I784" s="419"/>
      <c r="J784" s="419"/>
      <c r="K784" s="420"/>
      <c r="L784" s="420">
        <f t="shared" si="137"/>
        <v>0</v>
      </c>
      <c r="M784" s="420">
        <f t="shared" si="138"/>
        <v>0</v>
      </c>
      <c r="N784" s="445"/>
      <c r="O784" s="719"/>
      <c r="P784" s="719">
        <f t="shared" si="145"/>
        <v>0</v>
      </c>
      <c r="Q784" s="423">
        <f>SUMIF('8.Dgia'!E:E,'9.may'!E784,'8.Dgia'!P:P)</f>
        <v>0</v>
      </c>
      <c r="R784" s="429">
        <f t="shared" si="139"/>
        <v>0</v>
      </c>
      <c r="S784" s="301">
        <f t="shared" si="140"/>
        <v>0</v>
      </c>
      <c r="T784" s="430">
        <f t="shared" si="141"/>
        <v>0</v>
      </c>
      <c r="U784" s="436"/>
      <c r="V784" s="436"/>
      <c r="W784" s="432"/>
      <c r="Y784" s="433">
        <f t="shared" si="142"/>
        <v>0</v>
      </c>
      <c r="Z784" s="433">
        <f t="shared" si="143"/>
        <v>0</v>
      </c>
      <c r="AC784" s="410">
        <f t="shared" si="144"/>
        <v>0</v>
      </c>
    </row>
    <row r="785" spans="1:29" s="410" customFormat="1" ht="17.25" hidden="1" customHeight="1">
      <c r="B785" s="417" t="str">
        <f>IF(A785&lt;&gt;0,COUNTA(A$19:$A785),"")</f>
        <v/>
      </c>
      <c r="C785" s="428" t="s">
        <v>1748</v>
      </c>
      <c r="D785" s="428" t="s">
        <v>1749</v>
      </c>
      <c r="E785" s="435"/>
      <c r="F785" s="435"/>
      <c r="G785" s="419"/>
      <c r="H785" s="419">
        <v>201</v>
      </c>
      <c r="I785" s="419"/>
      <c r="J785" s="419"/>
      <c r="K785" s="420">
        <v>1</v>
      </c>
      <c r="L785" s="420">
        <f t="shared" si="137"/>
        <v>125981</v>
      </c>
      <c r="M785" s="420">
        <f t="shared" si="138"/>
        <v>2239319</v>
      </c>
      <c r="N785" s="445">
        <f>SUMPRODUCT(G785:J785,$G$12:$J$12,$G$9:$J$9)</f>
        <v>127966.65000000001</v>
      </c>
      <c r="O785" s="719"/>
      <c r="P785" s="719">
        <f t="shared" si="145"/>
        <v>3016688.16</v>
      </c>
      <c r="Q785" s="423">
        <f>SUMIF('8.Dgia'!E:E,'9.may'!E785,'8.Dgia'!P:P)</f>
        <v>0</v>
      </c>
      <c r="R785" s="429">
        <f t="shared" si="139"/>
        <v>0</v>
      </c>
      <c r="S785" s="301">
        <f t="shared" si="140"/>
        <v>36534.490000000005</v>
      </c>
      <c r="T785" s="430">
        <f t="shared" si="141"/>
        <v>2403820.14</v>
      </c>
      <c r="U785" s="431">
        <v>192488</v>
      </c>
      <c r="V785" s="431">
        <v>125981</v>
      </c>
      <c r="W785" s="432">
        <v>2239319</v>
      </c>
      <c r="Y785" s="433">
        <f t="shared" si="142"/>
        <v>-164501.14000000013</v>
      </c>
      <c r="Z785" s="433">
        <f t="shared" si="143"/>
        <v>0</v>
      </c>
      <c r="AC785" s="410">
        <f t="shared" si="144"/>
        <v>0</v>
      </c>
    </row>
    <row r="786" spans="1:29" s="410" customFormat="1" ht="17.25" customHeight="1">
      <c r="A786" s="410">
        <v>1</v>
      </c>
      <c r="B786" s="417">
        <f>IF(A786&lt;&gt;0,COUNTA(A$19:$A786),"")</f>
        <v>209</v>
      </c>
      <c r="C786" s="428" t="s">
        <v>1750</v>
      </c>
      <c r="D786" s="428" t="s">
        <v>1751</v>
      </c>
      <c r="E786" s="435" t="s">
        <v>1752</v>
      </c>
      <c r="F786" s="435" t="s">
        <v>4852</v>
      </c>
      <c r="G786" s="419"/>
      <c r="H786" s="419">
        <v>1.6</v>
      </c>
      <c r="I786" s="419"/>
      <c r="J786" s="419"/>
      <c r="K786" s="420">
        <v>1</v>
      </c>
      <c r="L786" s="420">
        <f t="shared" si="137"/>
        <v>114786</v>
      </c>
      <c r="M786" s="420">
        <f t="shared" si="138"/>
        <v>1282227</v>
      </c>
      <c r="N786" s="445">
        <f>SUMPRODUCT(G786:J786,$G$12:$J$12,$G$9:$J$9)</f>
        <v>1018.6400000000001</v>
      </c>
      <c r="O786" s="719"/>
      <c r="P786" s="719">
        <f t="shared" si="145"/>
        <v>1655091.47</v>
      </c>
      <c r="Q786" s="423">
        <f>SUMIF('8.Dgia'!E:E,'9.may'!E786,'8.Dgia'!P:P)</f>
        <v>0</v>
      </c>
      <c r="R786" s="429">
        <f t="shared" si="139"/>
        <v>0</v>
      </c>
      <c r="S786" s="301">
        <f t="shared" si="140"/>
        <v>33287.94</v>
      </c>
      <c r="T786" s="430">
        <f t="shared" si="141"/>
        <v>1316533.58</v>
      </c>
      <c r="U786" s="2053">
        <v>1532</v>
      </c>
      <c r="V786" s="2053">
        <v>114786</v>
      </c>
      <c r="W786" s="2054">
        <v>1282227</v>
      </c>
      <c r="Y786" s="433">
        <f t="shared" si="142"/>
        <v>-34306.580000000075</v>
      </c>
      <c r="Z786" s="433">
        <f t="shared" si="143"/>
        <v>0</v>
      </c>
      <c r="AC786" s="410">
        <f t="shared" si="144"/>
        <v>0</v>
      </c>
    </row>
    <row r="787" spans="1:29" s="410" customFormat="1" ht="17.25" hidden="1" customHeight="1">
      <c r="B787" s="417" t="str">
        <f>IF(A787&lt;&gt;0,COUNTA(A$19:$A787),"")</f>
        <v/>
      </c>
      <c r="C787" s="444" t="s">
        <v>1753</v>
      </c>
      <c r="D787" s="444"/>
      <c r="E787" s="435"/>
      <c r="F787" s="435"/>
      <c r="G787" s="419"/>
      <c r="H787" s="419"/>
      <c r="I787" s="419"/>
      <c r="J787" s="419"/>
      <c r="K787" s="420"/>
      <c r="L787" s="420">
        <f t="shared" si="137"/>
        <v>0</v>
      </c>
      <c r="M787" s="420">
        <f t="shared" si="138"/>
        <v>0</v>
      </c>
      <c r="N787" s="445"/>
      <c r="O787" s="719"/>
      <c r="P787" s="719">
        <f t="shared" si="145"/>
        <v>0</v>
      </c>
      <c r="Q787" s="423">
        <f>SUMIF('8.Dgia'!E:E,'9.may'!E787,'8.Dgia'!P:P)</f>
        <v>0</v>
      </c>
      <c r="R787" s="429">
        <f t="shared" si="139"/>
        <v>0</v>
      </c>
      <c r="S787" s="301">
        <f t="shared" si="140"/>
        <v>0</v>
      </c>
      <c r="T787" s="430">
        <f t="shared" si="141"/>
        <v>0</v>
      </c>
      <c r="U787" s="431"/>
      <c r="V787" s="431"/>
      <c r="W787" s="432"/>
      <c r="Y787" s="433">
        <f t="shared" si="142"/>
        <v>0</v>
      </c>
      <c r="Z787" s="433">
        <f t="shared" si="143"/>
        <v>0</v>
      </c>
      <c r="AC787" s="410">
        <f t="shared" si="144"/>
        <v>0</v>
      </c>
    </row>
    <row r="788" spans="1:29" s="410" customFormat="1" ht="17.25" hidden="1" customHeight="1">
      <c r="B788" s="417" t="str">
        <f>IF(A788&lt;&gt;0,COUNTA(A$19:$A788),"")</f>
        <v/>
      </c>
      <c r="C788" s="428" t="s">
        <v>1754</v>
      </c>
      <c r="D788" s="428"/>
      <c r="E788" s="435"/>
      <c r="F788" s="435"/>
      <c r="G788" s="419">
        <v>107.1</v>
      </c>
      <c r="H788" s="419"/>
      <c r="I788" s="419">
        <v>19.7</v>
      </c>
      <c r="J788" s="419"/>
      <c r="K788" s="420">
        <v>1</v>
      </c>
      <c r="L788" s="420">
        <f t="shared" ref="L788:L851" si="147">+V788</f>
        <v>808231</v>
      </c>
      <c r="M788" s="420">
        <f t="shared" ref="M788:M851" si="148">+W788</f>
        <v>4439842</v>
      </c>
      <c r="N788" s="445">
        <f>SUMPRODUCT(G788:J788,$G$12:$J$12,$G$9:$J$9)</f>
        <v>2034216.2686363633</v>
      </c>
      <c r="O788" s="719"/>
      <c r="P788" s="719">
        <f t="shared" si="145"/>
        <v>7761612.4486363633</v>
      </c>
      <c r="Q788" s="423">
        <f>SUMIF('8.Dgia'!E:E,'9.may'!E788,'8.Dgia'!P:P)</f>
        <v>0</v>
      </c>
      <c r="R788" s="429">
        <f t="shared" ref="R788:R851" si="149">N788*Q788</f>
        <v>0</v>
      </c>
      <c r="S788" s="301">
        <f t="shared" ref="S788:S851" si="150">L788*($G$13-1)</f>
        <v>234386.99000000002</v>
      </c>
      <c r="T788" s="430">
        <f t="shared" ref="T788:T851" si="151">S788+N788+M788</f>
        <v>6708445.2586363629</v>
      </c>
      <c r="U788" s="431">
        <v>938279</v>
      </c>
      <c r="V788" s="431">
        <v>808231</v>
      </c>
      <c r="W788" s="432">
        <v>4439842</v>
      </c>
      <c r="Y788" s="433">
        <f t="shared" ref="Y788:Y851" si="152">W788-T788</f>
        <v>-2268603.2586363629</v>
      </c>
      <c r="Z788" s="433">
        <f t="shared" ref="Z788:Z851" si="153">W788-M788</f>
        <v>0</v>
      </c>
      <c r="AC788" s="410">
        <f t="shared" ref="AC788:AC851" si="154">+P788*Q788</f>
        <v>0</v>
      </c>
    </row>
    <row r="789" spans="1:29" s="410" customFormat="1" ht="17.25" hidden="1" customHeight="1">
      <c r="B789" s="417" t="str">
        <f>IF(A789&lt;&gt;0,COUNTA(A$19:$A789),"")</f>
        <v/>
      </c>
      <c r="C789" s="428" t="s">
        <v>1755</v>
      </c>
      <c r="D789" s="428" t="s">
        <v>1756</v>
      </c>
      <c r="E789" s="435"/>
      <c r="F789" s="435"/>
      <c r="G789" s="419"/>
      <c r="H789" s="419"/>
      <c r="I789" s="419">
        <v>32.9</v>
      </c>
      <c r="J789" s="419"/>
      <c r="K789" s="420">
        <v>1</v>
      </c>
      <c r="L789" s="420">
        <f t="shared" si="147"/>
        <v>432514</v>
      </c>
      <c r="M789" s="420">
        <f t="shared" si="148"/>
        <v>1094615</v>
      </c>
      <c r="N789" s="445">
        <f>SUMPRODUCT(G789:J789,$G$12:$J$12,$G$9:$J$9)</f>
        <v>491346.09681818174</v>
      </c>
      <c r="O789" s="719"/>
      <c r="P789" s="719">
        <f t="shared" ref="P789:P852" si="155">+N789+M789*$G$13</f>
        <v>1903399.4468181818</v>
      </c>
      <c r="Q789" s="423">
        <f>SUMIF('8.Dgia'!E:E,'9.may'!E789,'8.Dgia'!P:P)</f>
        <v>0</v>
      </c>
      <c r="R789" s="429">
        <f t="shared" si="149"/>
        <v>0</v>
      </c>
      <c r="S789" s="301">
        <f t="shared" si="150"/>
        <v>125429.06000000001</v>
      </c>
      <c r="T789" s="430">
        <f t="shared" si="151"/>
        <v>1711390.1568181817</v>
      </c>
      <c r="U789" s="431">
        <v>286515</v>
      </c>
      <c r="V789" s="431">
        <v>432514</v>
      </c>
      <c r="W789" s="432">
        <v>1094615</v>
      </c>
      <c r="Y789" s="433">
        <f t="shared" si="152"/>
        <v>-616775.15681818174</v>
      </c>
      <c r="Z789" s="433">
        <f t="shared" si="153"/>
        <v>0</v>
      </c>
      <c r="AC789" s="410">
        <f t="shared" si="154"/>
        <v>0</v>
      </c>
    </row>
    <row r="790" spans="1:29" s="410" customFormat="1" ht="17.25" hidden="1" customHeight="1">
      <c r="B790" s="417" t="str">
        <f>IF(A790&lt;&gt;0,COUNTA(A$19:$A790),"")</f>
        <v/>
      </c>
      <c r="C790" s="444" t="s">
        <v>1757</v>
      </c>
      <c r="D790" s="444"/>
      <c r="E790" s="435"/>
      <c r="F790" s="435"/>
      <c r="G790" s="419"/>
      <c r="H790" s="419"/>
      <c r="I790" s="419"/>
      <c r="J790" s="419"/>
      <c r="K790" s="420"/>
      <c r="L790" s="420">
        <f t="shared" si="147"/>
        <v>0</v>
      </c>
      <c r="M790" s="420">
        <f t="shared" si="148"/>
        <v>0</v>
      </c>
      <c r="N790" s="445"/>
      <c r="O790" s="719"/>
      <c r="P790" s="719">
        <f t="shared" si="155"/>
        <v>0</v>
      </c>
      <c r="Q790" s="423">
        <f>SUMIF('8.Dgia'!E:E,'9.may'!E790,'8.Dgia'!P:P)</f>
        <v>0</v>
      </c>
      <c r="R790" s="429">
        <f t="shared" si="149"/>
        <v>0</v>
      </c>
      <c r="S790" s="301">
        <f t="shared" si="150"/>
        <v>0</v>
      </c>
      <c r="T790" s="430">
        <f t="shared" si="151"/>
        <v>0</v>
      </c>
      <c r="U790" s="436"/>
      <c r="V790" s="436"/>
      <c r="W790" s="432"/>
      <c r="Y790" s="433">
        <f t="shared" si="152"/>
        <v>0</v>
      </c>
      <c r="Z790" s="433">
        <f t="shared" si="153"/>
        <v>0</v>
      </c>
      <c r="AC790" s="410">
        <f t="shared" si="154"/>
        <v>0</v>
      </c>
    </row>
    <row r="791" spans="1:29" s="410" customFormat="1" ht="17.25" hidden="1" customHeight="1">
      <c r="B791" s="417" t="str">
        <f>IF(A791&lt;&gt;0,COUNTA(A$19:$A791),"")</f>
        <v/>
      </c>
      <c r="C791" s="428" t="s">
        <v>1758</v>
      </c>
      <c r="D791" s="428" t="s">
        <v>1759</v>
      </c>
      <c r="E791" s="435"/>
      <c r="F791" s="435"/>
      <c r="G791" s="419">
        <v>28.4</v>
      </c>
      <c r="H791" s="419"/>
      <c r="I791" s="419"/>
      <c r="J791" s="419"/>
      <c r="K791" s="420">
        <v>1</v>
      </c>
      <c r="L791" s="420">
        <f t="shared" si="147"/>
        <v>132404</v>
      </c>
      <c r="M791" s="420">
        <f t="shared" si="148"/>
        <v>697412</v>
      </c>
      <c r="N791" s="445">
        <f>SUMPRODUCT(G791:J791,$G$12:$J$12,$G$9:$J$9)</f>
        <v>461402.14909090905</v>
      </c>
      <c r="O791" s="719"/>
      <c r="P791" s="719">
        <f t="shared" si="155"/>
        <v>1361063.6290909089</v>
      </c>
      <c r="Q791" s="423">
        <f>SUMIF('8.Dgia'!E:E,'9.may'!E791,'8.Dgia'!P:P)</f>
        <v>0</v>
      </c>
      <c r="R791" s="429">
        <f t="shared" si="149"/>
        <v>0</v>
      </c>
      <c r="S791" s="301">
        <f t="shared" si="150"/>
        <v>38397.160000000003</v>
      </c>
      <c r="T791" s="430">
        <f t="shared" si="151"/>
        <v>1197211.3090909091</v>
      </c>
      <c r="U791" s="431">
        <v>203313</v>
      </c>
      <c r="V791" s="431">
        <v>132404</v>
      </c>
      <c r="W791" s="432">
        <v>697412</v>
      </c>
      <c r="Y791" s="433">
        <f t="shared" si="152"/>
        <v>-499799.30909090908</v>
      </c>
      <c r="Z791" s="433">
        <f t="shared" si="153"/>
        <v>0</v>
      </c>
      <c r="AC791" s="410">
        <f t="shared" si="154"/>
        <v>0</v>
      </c>
    </row>
    <row r="792" spans="1:29" s="410" customFormat="1" ht="17.25" customHeight="1">
      <c r="A792" s="410">
        <v>1</v>
      </c>
      <c r="B792" s="417">
        <f>IF(A792&lt;&gt;0,COUNTA(A$19:$A792),"")</f>
        <v>210</v>
      </c>
      <c r="C792" s="444" t="s">
        <v>1760</v>
      </c>
      <c r="D792" s="444" t="s">
        <v>1761</v>
      </c>
      <c r="E792" s="435" t="s">
        <v>1762</v>
      </c>
      <c r="F792" s="435"/>
      <c r="G792" s="419"/>
      <c r="H792" s="419"/>
      <c r="I792" s="419"/>
      <c r="J792" s="419"/>
      <c r="K792" s="420"/>
      <c r="L792" s="420">
        <f t="shared" si="147"/>
        <v>0</v>
      </c>
      <c r="M792" s="420">
        <f t="shared" si="148"/>
        <v>0</v>
      </c>
      <c r="N792" s="445"/>
      <c r="O792" s="719"/>
      <c r="P792" s="719">
        <f t="shared" si="155"/>
        <v>0</v>
      </c>
      <c r="Q792" s="423">
        <f>SUMIF('8.Dgia'!E:E,'9.may'!E792,'8.Dgia'!P:P)</f>
        <v>0</v>
      </c>
      <c r="R792" s="429">
        <f t="shared" si="149"/>
        <v>0</v>
      </c>
      <c r="S792" s="301">
        <f t="shared" si="150"/>
        <v>0</v>
      </c>
      <c r="T792" s="430">
        <f t="shared" si="151"/>
        <v>0</v>
      </c>
      <c r="U792" s="2059"/>
      <c r="V792" s="2059"/>
      <c r="W792" s="2054"/>
      <c r="Y792" s="433">
        <f t="shared" si="152"/>
        <v>0</v>
      </c>
      <c r="Z792" s="433">
        <f t="shared" si="153"/>
        <v>0</v>
      </c>
      <c r="AC792" s="410">
        <f t="shared" si="154"/>
        <v>0</v>
      </c>
    </row>
    <row r="793" spans="1:29" s="410" customFormat="1" ht="17.25" hidden="1" customHeight="1">
      <c r="B793" s="417" t="str">
        <f>IF(A793&lt;&gt;0,COUNTA(A$19:$A793),"")</f>
        <v/>
      </c>
      <c r="C793" s="428" t="s">
        <v>1763</v>
      </c>
      <c r="D793" s="428"/>
      <c r="E793" s="435"/>
      <c r="F793" s="435" t="s">
        <v>4853</v>
      </c>
      <c r="G793" s="419"/>
      <c r="H793" s="419">
        <v>137.69999999999999</v>
      </c>
      <c r="I793" s="419"/>
      <c r="J793" s="419"/>
      <c r="K793" s="420">
        <v>1</v>
      </c>
      <c r="L793" s="420">
        <f t="shared" si="147"/>
        <v>90531</v>
      </c>
      <c r="M793" s="420">
        <f t="shared" si="148"/>
        <v>513964</v>
      </c>
      <c r="N793" s="445">
        <f>SUMPRODUCT(G793:J793,$G$12:$J$12,$G$9:$J$9)</f>
        <v>87666.705000000002</v>
      </c>
      <c r="O793" s="719"/>
      <c r="P793" s="719">
        <f t="shared" si="155"/>
        <v>750680.26500000001</v>
      </c>
      <c r="Q793" s="423">
        <f>SUMIF('8.Dgia'!E:E,'9.may'!E793,'8.Dgia'!P:P)</f>
        <v>0</v>
      </c>
      <c r="R793" s="429">
        <f t="shared" si="149"/>
        <v>0</v>
      </c>
      <c r="S793" s="301">
        <f t="shared" si="150"/>
        <v>26253.99</v>
      </c>
      <c r="T793" s="430">
        <f t="shared" si="151"/>
        <v>627884.69500000007</v>
      </c>
      <c r="U793" s="431">
        <v>131868</v>
      </c>
      <c r="V793" s="431">
        <v>90531</v>
      </c>
      <c r="W793" s="432">
        <v>513964</v>
      </c>
      <c r="Y793" s="433">
        <f t="shared" si="152"/>
        <v>-113920.69500000007</v>
      </c>
      <c r="Z793" s="433">
        <f t="shared" si="153"/>
        <v>0</v>
      </c>
      <c r="AC793" s="410">
        <f t="shared" si="154"/>
        <v>0</v>
      </c>
    </row>
    <row r="794" spans="1:29" s="410" customFormat="1" ht="17.25" hidden="1" customHeight="1">
      <c r="B794" s="417" t="str">
        <f>IF(A794&lt;&gt;0,COUNTA(A$19:$A794),"")</f>
        <v/>
      </c>
      <c r="C794" s="444" t="s">
        <v>1764</v>
      </c>
      <c r="D794" s="444"/>
      <c r="E794" s="435"/>
      <c r="F794" s="435"/>
      <c r="G794" s="419"/>
      <c r="H794" s="419"/>
      <c r="I794" s="419"/>
      <c r="J794" s="419"/>
      <c r="K794" s="420"/>
      <c r="L794" s="420">
        <f t="shared" si="147"/>
        <v>0</v>
      </c>
      <c r="M794" s="420">
        <f t="shared" si="148"/>
        <v>0</v>
      </c>
      <c r="N794" s="445"/>
      <c r="O794" s="719"/>
      <c r="P794" s="719">
        <f t="shared" si="155"/>
        <v>0</v>
      </c>
      <c r="Q794" s="423">
        <f>SUMIF('8.Dgia'!E:E,'9.may'!E794,'8.Dgia'!P:P)</f>
        <v>0</v>
      </c>
      <c r="R794" s="429">
        <f t="shared" si="149"/>
        <v>0</v>
      </c>
      <c r="S794" s="301">
        <f t="shared" si="150"/>
        <v>0</v>
      </c>
      <c r="T794" s="430">
        <f t="shared" si="151"/>
        <v>0</v>
      </c>
      <c r="U794" s="436"/>
      <c r="V794" s="436"/>
      <c r="W794" s="432"/>
      <c r="Y794" s="433">
        <f t="shared" si="152"/>
        <v>0</v>
      </c>
      <c r="Z794" s="433">
        <f t="shared" si="153"/>
        <v>0</v>
      </c>
      <c r="AC794" s="410">
        <f t="shared" si="154"/>
        <v>0</v>
      </c>
    </row>
    <row r="795" spans="1:29" s="410" customFormat="1" ht="21" customHeight="1">
      <c r="A795" s="410">
        <v>1</v>
      </c>
      <c r="B795" s="417">
        <f>IF(A795&lt;&gt;0,COUNTA(A$19:$A795),"")</f>
        <v>211</v>
      </c>
      <c r="C795" s="428" t="s">
        <v>1765</v>
      </c>
      <c r="D795" s="428" t="s">
        <v>1766</v>
      </c>
      <c r="E795" s="435" t="s">
        <v>1767</v>
      </c>
      <c r="F795" s="435" t="s">
        <v>4854</v>
      </c>
      <c r="G795" s="419">
        <v>41.5</v>
      </c>
      <c r="H795" s="419"/>
      <c r="I795" s="419"/>
      <c r="J795" s="419"/>
      <c r="K795" s="420">
        <v>1</v>
      </c>
      <c r="L795" s="420">
        <f t="shared" si="147"/>
        <v>330959</v>
      </c>
      <c r="M795" s="420">
        <f t="shared" si="148"/>
        <v>2535222</v>
      </c>
      <c r="N795" s="445">
        <f>SUMPRODUCT(G795:J795,$G$12:$J$12,$G$9:$J$9)</f>
        <v>674232.01363636355</v>
      </c>
      <c r="O795" s="719"/>
      <c r="P795" s="719">
        <f t="shared" si="155"/>
        <v>3944668.3936363636</v>
      </c>
      <c r="Q795" s="423">
        <f>SUMIF('8.Dgia'!E:E,'9.may'!E795,'8.Dgia'!P:P)</f>
        <v>0</v>
      </c>
      <c r="R795" s="429">
        <f t="shared" si="149"/>
        <v>0</v>
      </c>
      <c r="S795" s="301">
        <f t="shared" si="150"/>
        <v>95978.110000000015</v>
      </c>
      <c r="T795" s="430">
        <f t="shared" si="151"/>
        <v>3305432.1236363635</v>
      </c>
      <c r="U795" s="2053">
        <v>297094</v>
      </c>
      <c r="V795" s="2053">
        <v>330959</v>
      </c>
      <c r="W795" s="2054">
        <v>2535222</v>
      </c>
      <c r="Y795" s="433">
        <f t="shared" si="152"/>
        <v>-770210.12363636354</v>
      </c>
      <c r="Z795" s="433">
        <f t="shared" si="153"/>
        <v>0</v>
      </c>
      <c r="AC795" s="410">
        <f t="shared" si="154"/>
        <v>0</v>
      </c>
    </row>
    <row r="796" spans="1:29" s="410" customFormat="1" ht="21" customHeight="1">
      <c r="A796" s="410">
        <v>1</v>
      </c>
      <c r="B796" s="417">
        <f>IF(A796&lt;&gt;0,COUNTA(A$19:$A796),"")</f>
        <v>212</v>
      </c>
      <c r="C796" s="428" t="s">
        <v>1768</v>
      </c>
      <c r="D796" s="428" t="s">
        <v>1769</v>
      </c>
      <c r="E796" s="435" t="s">
        <v>1770</v>
      </c>
      <c r="F796" s="435" t="s">
        <v>4855</v>
      </c>
      <c r="G796" s="419">
        <v>46.7</v>
      </c>
      <c r="H796" s="419"/>
      <c r="I796" s="419"/>
      <c r="J796" s="419"/>
      <c r="K796" s="420">
        <v>1</v>
      </c>
      <c r="L796" s="420">
        <f t="shared" si="147"/>
        <v>330959</v>
      </c>
      <c r="M796" s="420">
        <f t="shared" si="148"/>
        <v>2642095</v>
      </c>
      <c r="N796" s="445">
        <f>SUMPRODUCT(G796:J796,$G$12:$J$12,$G$9:$J$9)</f>
        <v>758714.09727272729</v>
      </c>
      <c r="O796" s="719"/>
      <c r="P796" s="719">
        <f t="shared" si="155"/>
        <v>4167016.6472727275</v>
      </c>
      <c r="Q796" s="423">
        <f>SUMIF('8.Dgia'!E:E,'9.may'!E796,'8.Dgia'!P:P)</f>
        <v>0</v>
      </c>
      <c r="R796" s="429">
        <f t="shared" si="149"/>
        <v>0</v>
      </c>
      <c r="S796" s="301">
        <f t="shared" si="150"/>
        <v>95978.110000000015</v>
      </c>
      <c r="T796" s="430">
        <f t="shared" si="151"/>
        <v>3496787.207272727</v>
      </c>
      <c r="U796" s="2053">
        <v>334321</v>
      </c>
      <c r="V796" s="2053">
        <v>330959</v>
      </c>
      <c r="W796" s="2054">
        <v>2642095</v>
      </c>
      <c r="Y796" s="433">
        <f t="shared" si="152"/>
        <v>-854692.20727272704</v>
      </c>
      <c r="Z796" s="433">
        <f t="shared" si="153"/>
        <v>0</v>
      </c>
      <c r="AC796" s="410">
        <f t="shared" si="154"/>
        <v>0</v>
      </c>
    </row>
    <row r="797" spans="1:29" s="427" customFormat="1" ht="17.25" hidden="1" customHeight="1">
      <c r="B797" s="417" t="str">
        <f>IF(A797&lt;&gt;0,COUNTA(A$19:$A797),"")</f>
        <v/>
      </c>
      <c r="C797" s="444" t="s">
        <v>1541</v>
      </c>
      <c r="D797" s="444"/>
      <c r="E797" s="435"/>
      <c r="F797" s="435"/>
      <c r="G797" s="419"/>
      <c r="H797" s="419"/>
      <c r="I797" s="419"/>
      <c r="J797" s="419"/>
      <c r="K797" s="420"/>
      <c r="L797" s="420">
        <f t="shared" si="147"/>
        <v>0</v>
      </c>
      <c r="M797" s="420">
        <f t="shared" si="148"/>
        <v>0</v>
      </c>
      <c r="N797" s="445"/>
      <c r="O797" s="719"/>
      <c r="P797" s="719">
        <f t="shared" si="155"/>
        <v>0</v>
      </c>
      <c r="Q797" s="423">
        <f>SUMIF('8.Dgia'!E:E,'9.may'!E797,'8.Dgia'!P:P)</f>
        <v>0</v>
      </c>
      <c r="R797" s="429">
        <f t="shared" si="149"/>
        <v>0</v>
      </c>
      <c r="S797" s="301">
        <f t="shared" si="150"/>
        <v>0</v>
      </c>
      <c r="T797" s="430">
        <f t="shared" si="151"/>
        <v>0</v>
      </c>
      <c r="U797" s="436"/>
      <c r="V797" s="436"/>
      <c r="W797" s="432"/>
      <c r="Y797" s="433">
        <f t="shared" si="152"/>
        <v>0</v>
      </c>
      <c r="Z797" s="433">
        <f t="shared" si="153"/>
        <v>0</v>
      </c>
      <c r="AC797" s="410">
        <f t="shared" si="154"/>
        <v>0</v>
      </c>
    </row>
    <row r="798" spans="1:29" s="427" customFormat="1" ht="17.25" customHeight="1">
      <c r="A798" s="410">
        <v>1</v>
      </c>
      <c r="B798" s="417">
        <f>IF(A798&lt;&gt;0,COUNTA(A$19:$A798),"")</f>
        <v>213</v>
      </c>
      <c r="C798" s="428" t="s">
        <v>1771</v>
      </c>
      <c r="D798" s="428" t="s">
        <v>299</v>
      </c>
      <c r="E798" s="435" t="s">
        <v>299</v>
      </c>
      <c r="F798" s="435" t="s">
        <v>4856</v>
      </c>
      <c r="G798" s="419">
        <v>51.6</v>
      </c>
      <c r="H798" s="419"/>
      <c r="I798" s="419"/>
      <c r="J798" s="419"/>
      <c r="K798" s="420">
        <v>1</v>
      </c>
      <c r="L798" s="420">
        <f t="shared" si="147"/>
        <v>198532</v>
      </c>
      <c r="M798" s="420">
        <f t="shared" si="148"/>
        <v>2862259</v>
      </c>
      <c r="N798" s="445">
        <f>SUMPRODUCT(G798:J798,$G$12:$J$12,$G$9:$J$9)</f>
        <v>838322.21454545448</v>
      </c>
      <c r="O798" s="719"/>
      <c r="P798" s="719">
        <f t="shared" si="155"/>
        <v>4530636.3245454542</v>
      </c>
      <c r="Q798" s="423" t="e">
        <f>SUMIF('8.Dgia'!E:E,'9.may'!E798,'8.Dgia'!P:P)</f>
        <v>#REF!</v>
      </c>
      <c r="R798" s="429" t="e">
        <f t="shared" si="149"/>
        <v>#REF!</v>
      </c>
      <c r="S798" s="301">
        <f t="shared" si="150"/>
        <v>57574.280000000006</v>
      </c>
      <c r="T798" s="430">
        <f t="shared" si="151"/>
        <v>3758155.4945454546</v>
      </c>
      <c r="U798" s="2053">
        <v>369399</v>
      </c>
      <c r="V798" s="2053">
        <v>198532</v>
      </c>
      <c r="W798" s="2054">
        <v>2862259</v>
      </c>
      <c r="Y798" s="433">
        <f t="shared" si="152"/>
        <v>-895896.49454545463</v>
      </c>
      <c r="Z798" s="433">
        <f t="shared" si="153"/>
        <v>0</v>
      </c>
      <c r="AC798" s="410" t="e">
        <f t="shared" si="154"/>
        <v>#REF!</v>
      </c>
    </row>
    <row r="799" spans="1:29" s="427" customFormat="1" ht="23.25" customHeight="1">
      <c r="A799" s="410">
        <v>1</v>
      </c>
      <c r="B799" s="417">
        <f>IF(A799&lt;&gt;0,COUNTA(A$19:$A799),"")</f>
        <v>214</v>
      </c>
      <c r="C799" s="428" t="s">
        <v>1772</v>
      </c>
      <c r="D799" s="428" t="s">
        <v>1773</v>
      </c>
      <c r="E799" s="435" t="s">
        <v>1773</v>
      </c>
      <c r="F799" s="435" t="s">
        <v>4857</v>
      </c>
      <c r="G799" s="419">
        <v>59.3</v>
      </c>
      <c r="H799" s="419"/>
      <c r="I799" s="419"/>
      <c r="J799" s="419"/>
      <c r="K799" s="420">
        <v>1</v>
      </c>
      <c r="L799" s="420">
        <f t="shared" si="147"/>
        <v>198532</v>
      </c>
      <c r="M799" s="420">
        <f t="shared" si="148"/>
        <v>6301379</v>
      </c>
      <c r="N799" s="445">
        <f>SUMPRODUCT(G799:J799,$G$12:$J$12,$G$9:$J$9)</f>
        <v>963420.68454545445</v>
      </c>
      <c r="O799" s="719"/>
      <c r="P799" s="719">
        <f t="shared" si="155"/>
        <v>9092199.5945454538</v>
      </c>
      <c r="Q799" s="423">
        <f>SUMIF('8.Dgia'!E:E,'9.may'!E799,'8.Dgia'!P:P)</f>
        <v>0</v>
      </c>
      <c r="R799" s="429">
        <f t="shared" si="149"/>
        <v>0</v>
      </c>
      <c r="S799" s="301">
        <f t="shared" si="150"/>
        <v>57574.280000000006</v>
      </c>
      <c r="T799" s="430">
        <f t="shared" si="151"/>
        <v>7322373.9645454548</v>
      </c>
      <c r="U799" s="2053">
        <v>424523</v>
      </c>
      <c r="V799" s="2053">
        <v>198532</v>
      </c>
      <c r="W799" s="2054">
        <v>6301379</v>
      </c>
      <c r="Y799" s="433">
        <f t="shared" si="152"/>
        <v>-1020994.9645454548</v>
      </c>
      <c r="Z799" s="433">
        <f t="shared" si="153"/>
        <v>0</v>
      </c>
      <c r="AC799" s="410">
        <f t="shared" si="154"/>
        <v>0</v>
      </c>
    </row>
    <row r="800" spans="1:29" s="427" customFormat="1" ht="17.25" hidden="1" customHeight="1">
      <c r="B800" s="417" t="str">
        <f>IF(A800&lt;&gt;0,COUNTA(A$19:$A800),"")</f>
        <v/>
      </c>
      <c r="C800" s="444" t="s">
        <v>1578</v>
      </c>
      <c r="D800" s="444"/>
      <c r="E800" s="435"/>
      <c r="F800" s="435"/>
      <c r="G800" s="419"/>
      <c r="H800" s="419"/>
      <c r="I800" s="419"/>
      <c r="J800" s="419"/>
      <c r="K800" s="420"/>
      <c r="L800" s="420">
        <f t="shared" si="147"/>
        <v>0</v>
      </c>
      <c r="M800" s="420">
        <f t="shared" si="148"/>
        <v>0</v>
      </c>
      <c r="N800" s="445"/>
      <c r="O800" s="719"/>
      <c r="P800" s="719">
        <f t="shared" si="155"/>
        <v>0</v>
      </c>
      <c r="Q800" s="423">
        <f>SUMIF('8.Dgia'!E:E,'9.may'!E800,'8.Dgia'!P:P)</f>
        <v>0</v>
      </c>
      <c r="R800" s="429">
        <f t="shared" si="149"/>
        <v>0</v>
      </c>
      <c r="S800" s="301">
        <f t="shared" si="150"/>
        <v>0</v>
      </c>
      <c r="T800" s="430">
        <f t="shared" si="151"/>
        <v>0</v>
      </c>
      <c r="U800" s="436"/>
      <c r="V800" s="436"/>
      <c r="W800" s="432"/>
      <c r="Y800" s="433">
        <f t="shared" si="152"/>
        <v>0</v>
      </c>
      <c r="Z800" s="433">
        <f t="shared" si="153"/>
        <v>0</v>
      </c>
      <c r="AC800" s="410">
        <f t="shared" si="154"/>
        <v>0</v>
      </c>
    </row>
    <row r="801" spans="1:29" s="427" customFormat="1" ht="17.25" customHeight="1">
      <c r="A801" s="410">
        <v>1</v>
      </c>
      <c r="B801" s="417">
        <f>IF(A801&lt;&gt;0,COUNTA(A$19:$A801),"")</f>
        <v>215</v>
      </c>
      <c r="C801" s="428" t="s">
        <v>1092</v>
      </c>
      <c r="D801" s="428" t="s">
        <v>1774</v>
      </c>
      <c r="E801" s="435" t="s">
        <v>426</v>
      </c>
      <c r="F801" s="435" t="s">
        <v>4858</v>
      </c>
      <c r="G801" s="419"/>
      <c r="H801" s="419"/>
      <c r="I801" s="419"/>
      <c r="J801" s="419"/>
      <c r="K801" s="420">
        <v>1</v>
      </c>
      <c r="L801" s="420">
        <f t="shared" si="147"/>
        <v>0</v>
      </c>
      <c r="M801" s="420">
        <f t="shared" si="148"/>
        <v>115213</v>
      </c>
      <c r="N801" s="445">
        <f>SUMPRODUCT(G801:J801,$G$12:$J$12,$G$9:$J$9)</f>
        <v>0</v>
      </c>
      <c r="O801" s="719"/>
      <c r="P801" s="719">
        <f t="shared" si="155"/>
        <v>148624.77000000002</v>
      </c>
      <c r="Q801" s="423"/>
      <c r="R801" s="429">
        <f t="shared" si="149"/>
        <v>0</v>
      </c>
      <c r="S801" s="301">
        <f t="shared" si="150"/>
        <v>0</v>
      </c>
      <c r="T801" s="430">
        <f t="shared" si="151"/>
        <v>115213</v>
      </c>
      <c r="U801" s="2053"/>
      <c r="V801" s="2053"/>
      <c r="W801" s="2054">
        <v>115213</v>
      </c>
      <c r="Y801" s="433">
        <f t="shared" si="152"/>
        <v>0</v>
      </c>
      <c r="Z801" s="433">
        <f t="shared" si="153"/>
        <v>0</v>
      </c>
      <c r="AC801" s="410">
        <f t="shared" si="154"/>
        <v>0</v>
      </c>
    </row>
    <row r="802" spans="1:29" s="427" customFormat="1" ht="17.25" hidden="1" customHeight="1">
      <c r="B802" s="417" t="str">
        <f>IF(A802&lt;&gt;0,COUNTA(A$19:$A802),"")</f>
        <v/>
      </c>
      <c r="C802" s="444" t="s">
        <v>1582</v>
      </c>
      <c r="D802" s="444"/>
      <c r="E802" s="435"/>
      <c r="F802" s="435"/>
      <c r="G802" s="419"/>
      <c r="H802" s="419"/>
      <c r="I802" s="419"/>
      <c r="J802" s="419"/>
      <c r="K802" s="420"/>
      <c r="L802" s="420">
        <f t="shared" si="147"/>
        <v>0</v>
      </c>
      <c r="M802" s="420">
        <f t="shared" si="148"/>
        <v>0</v>
      </c>
      <c r="N802" s="445"/>
      <c r="O802" s="719"/>
      <c r="P802" s="719">
        <f t="shared" si="155"/>
        <v>0</v>
      </c>
      <c r="Q802" s="423">
        <f>SUMIF('8.Dgia'!E:E,'9.may'!E802,'8.Dgia'!P:P)</f>
        <v>0</v>
      </c>
      <c r="R802" s="429">
        <f t="shared" si="149"/>
        <v>0</v>
      </c>
      <c r="S802" s="301">
        <f t="shared" si="150"/>
        <v>0</v>
      </c>
      <c r="T802" s="430">
        <f t="shared" si="151"/>
        <v>0</v>
      </c>
      <c r="U802" s="436"/>
      <c r="V802" s="436"/>
      <c r="W802" s="432"/>
      <c r="Y802" s="433">
        <f t="shared" si="152"/>
        <v>0</v>
      </c>
      <c r="Z802" s="433">
        <f t="shared" si="153"/>
        <v>0</v>
      </c>
      <c r="AC802" s="410">
        <f t="shared" si="154"/>
        <v>0</v>
      </c>
    </row>
    <row r="803" spans="1:29" s="427" customFormat="1" ht="17.25" customHeight="1">
      <c r="A803" s="410">
        <v>1</v>
      </c>
      <c r="B803" s="417">
        <f>IF(A803&lt;&gt;0,COUNTA(A$19:$A803),"")</f>
        <v>216</v>
      </c>
      <c r="C803" s="428" t="s">
        <v>1602</v>
      </c>
      <c r="D803" s="428" t="s">
        <v>1775</v>
      </c>
      <c r="E803" s="435" t="s">
        <v>1776</v>
      </c>
      <c r="F803" s="435" t="s">
        <v>4859</v>
      </c>
      <c r="G803" s="419">
        <v>22.5</v>
      </c>
      <c r="H803" s="419"/>
      <c r="I803" s="419"/>
      <c r="J803" s="419"/>
      <c r="K803" s="420">
        <v>1</v>
      </c>
      <c r="L803" s="420">
        <f t="shared" si="147"/>
        <v>223489</v>
      </c>
      <c r="M803" s="420">
        <f t="shared" si="148"/>
        <v>522112</v>
      </c>
      <c r="N803" s="445">
        <f>SUMPRODUCT(G803:J803,$G$12:$J$12,$G$9:$J$9)</f>
        <v>365547.47727272724</v>
      </c>
      <c r="O803" s="719"/>
      <c r="P803" s="719">
        <f t="shared" si="155"/>
        <v>1039071.9572727273</v>
      </c>
      <c r="Q803" s="423" t="e">
        <f>SUMIF('8.Dgia'!E:E,'9.may'!E803,'8.Dgia'!P:P)</f>
        <v>#REF!</v>
      </c>
      <c r="R803" s="429" t="e">
        <f t="shared" si="149"/>
        <v>#REF!</v>
      </c>
      <c r="S803" s="301">
        <f t="shared" si="150"/>
        <v>64811.810000000005</v>
      </c>
      <c r="T803" s="430">
        <f t="shared" si="151"/>
        <v>952471.28727272723</v>
      </c>
      <c r="U803" s="2053">
        <v>161075</v>
      </c>
      <c r="V803" s="2053">
        <v>223489</v>
      </c>
      <c r="W803" s="2054">
        <v>522112</v>
      </c>
      <c r="Y803" s="433">
        <f t="shared" si="152"/>
        <v>-430359.28727272723</v>
      </c>
      <c r="Z803" s="433">
        <f t="shared" si="153"/>
        <v>0</v>
      </c>
      <c r="AC803" s="410" t="e">
        <f t="shared" si="154"/>
        <v>#REF!</v>
      </c>
    </row>
    <row r="804" spans="1:29" s="427" customFormat="1" ht="17.25" hidden="1" customHeight="1">
      <c r="B804" s="417" t="str">
        <f>IF(A804&lt;&gt;0,COUNTA(A$19:$A804),"")</f>
        <v/>
      </c>
      <c r="C804" s="444" t="s">
        <v>1777</v>
      </c>
      <c r="D804" s="444"/>
      <c r="E804" s="435"/>
      <c r="F804" s="435"/>
      <c r="G804" s="419"/>
      <c r="H804" s="419"/>
      <c r="I804" s="419"/>
      <c r="J804" s="419"/>
      <c r="K804" s="420"/>
      <c r="L804" s="420">
        <f t="shared" si="147"/>
        <v>0</v>
      </c>
      <c r="M804" s="420">
        <f t="shared" si="148"/>
        <v>0</v>
      </c>
      <c r="N804" s="445"/>
      <c r="O804" s="719"/>
      <c r="P804" s="719">
        <f t="shared" si="155"/>
        <v>0</v>
      </c>
      <c r="Q804" s="423">
        <f>SUMIF('8.Dgia'!E:E,'9.may'!E804,'8.Dgia'!P:P)</f>
        <v>0</v>
      </c>
      <c r="R804" s="429">
        <f t="shared" si="149"/>
        <v>0</v>
      </c>
      <c r="S804" s="301">
        <f t="shared" si="150"/>
        <v>0</v>
      </c>
      <c r="T804" s="430">
        <f t="shared" si="151"/>
        <v>0</v>
      </c>
      <c r="U804" s="431"/>
      <c r="V804" s="431"/>
      <c r="W804" s="432"/>
      <c r="Y804" s="433">
        <f t="shared" si="152"/>
        <v>0</v>
      </c>
      <c r="Z804" s="433">
        <f t="shared" si="153"/>
        <v>0</v>
      </c>
      <c r="AC804" s="410">
        <f t="shared" si="154"/>
        <v>0</v>
      </c>
    </row>
    <row r="805" spans="1:29" s="427" customFormat="1" ht="17.25" hidden="1" customHeight="1">
      <c r="B805" s="417" t="str">
        <f>IF(A805&lt;&gt;0,COUNTA(A$19:$A805),"")</f>
        <v/>
      </c>
      <c r="C805" s="428" t="s">
        <v>1778</v>
      </c>
      <c r="D805" s="428"/>
      <c r="E805" s="435"/>
      <c r="F805" s="435"/>
      <c r="G805" s="419">
        <v>19.2</v>
      </c>
      <c r="H805" s="419"/>
      <c r="I805" s="419"/>
      <c r="J805" s="419"/>
      <c r="K805" s="420">
        <v>1</v>
      </c>
      <c r="L805" s="420">
        <f t="shared" si="147"/>
        <v>145657</v>
      </c>
      <c r="M805" s="420">
        <f t="shared" si="148"/>
        <v>306355</v>
      </c>
      <c r="N805" s="445">
        <f t="shared" ref="N805:N811" si="156">SUMPRODUCT(G805:J805,$G$12:$J$12,$G$9:$J$9)</f>
        <v>311933.84727272723</v>
      </c>
      <c r="O805" s="719"/>
      <c r="P805" s="719">
        <f t="shared" si="155"/>
        <v>707131.79727272724</v>
      </c>
      <c r="Q805" s="423">
        <f>SUMIF('8.Dgia'!E:E,'9.may'!E805,'8.Dgia'!P:P)</f>
        <v>0</v>
      </c>
      <c r="R805" s="429">
        <f t="shared" si="149"/>
        <v>0</v>
      </c>
      <c r="S805" s="301">
        <f t="shared" si="150"/>
        <v>42240.530000000006</v>
      </c>
      <c r="T805" s="430">
        <f t="shared" si="151"/>
        <v>660529.3772727272</v>
      </c>
      <c r="U805" s="431">
        <v>137451</v>
      </c>
      <c r="V805" s="431">
        <v>145657</v>
      </c>
      <c r="W805" s="432">
        <v>306355</v>
      </c>
      <c r="Y805" s="433">
        <f t="shared" si="152"/>
        <v>-354174.3772727272</v>
      </c>
      <c r="Z805" s="433">
        <f t="shared" si="153"/>
        <v>0</v>
      </c>
      <c r="AC805" s="410">
        <f t="shared" si="154"/>
        <v>0</v>
      </c>
    </row>
    <row r="806" spans="1:29" s="427" customFormat="1" ht="17.25" hidden="1" customHeight="1">
      <c r="B806" s="417" t="str">
        <f>IF(A806&lt;&gt;0,COUNTA(A$19:$A806),"")</f>
        <v/>
      </c>
      <c r="C806" s="428" t="s">
        <v>1779</v>
      </c>
      <c r="D806" s="428"/>
      <c r="E806" s="435"/>
      <c r="F806" s="435"/>
      <c r="G806" s="419">
        <v>39.5</v>
      </c>
      <c r="H806" s="419"/>
      <c r="I806" s="419"/>
      <c r="J806" s="419"/>
      <c r="K806" s="420">
        <v>1</v>
      </c>
      <c r="L806" s="420">
        <f t="shared" si="147"/>
        <v>223489</v>
      </c>
      <c r="M806" s="420">
        <f t="shared" si="148"/>
        <v>731226</v>
      </c>
      <c r="N806" s="445">
        <f t="shared" si="156"/>
        <v>641738.90454545442</v>
      </c>
      <c r="O806" s="719"/>
      <c r="P806" s="719">
        <f t="shared" si="155"/>
        <v>1585020.4445454543</v>
      </c>
      <c r="Q806" s="423">
        <f>SUMIF('8.Dgia'!E:E,'9.may'!E806,'8.Dgia'!P:P)</f>
        <v>0</v>
      </c>
      <c r="R806" s="429">
        <f t="shared" si="149"/>
        <v>0</v>
      </c>
      <c r="S806" s="301">
        <f t="shared" si="150"/>
        <v>64811.810000000005</v>
      </c>
      <c r="T806" s="430">
        <f t="shared" si="151"/>
        <v>1437776.7145454544</v>
      </c>
      <c r="U806" s="431">
        <v>282777</v>
      </c>
      <c r="V806" s="431">
        <v>223489</v>
      </c>
      <c r="W806" s="432">
        <v>731226</v>
      </c>
      <c r="Y806" s="433">
        <f t="shared" si="152"/>
        <v>-706550.71454545436</v>
      </c>
      <c r="Z806" s="433">
        <f t="shared" si="153"/>
        <v>0</v>
      </c>
      <c r="AC806" s="410">
        <f t="shared" si="154"/>
        <v>0</v>
      </c>
    </row>
    <row r="807" spans="1:29" s="427" customFormat="1" ht="17.25" hidden="1" customHeight="1">
      <c r="B807" s="417" t="str">
        <f>IF(A807&lt;&gt;0,COUNTA(A$19:$A807),"")</f>
        <v/>
      </c>
      <c r="C807" s="428" t="s">
        <v>1780</v>
      </c>
      <c r="D807" s="428"/>
      <c r="E807" s="435"/>
      <c r="F807" s="435"/>
      <c r="G807" s="419">
        <v>50.6</v>
      </c>
      <c r="H807" s="419"/>
      <c r="I807" s="419"/>
      <c r="J807" s="419"/>
      <c r="K807" s="420">
        <v>1</v>
      </c>
      <c r="L807" s="420">
        <f t="shared" si="147"/>
        <v>223489</v>
      </c>
      <c r="M807" s="420">
        <f t="shared" si="148"/>
        <v>880065</v>
      </c>
      <c r="N807" s="445">
        <f t="shared" si="156"/>
        <v>822075.65999999992</v>
      </c>
      <c r="O807" s="719"/>
      <c r="P807" s="719">
        <f t="shared" si="155"/>
        <v>1957359.51</v>
      </c>
      <c r="Q807" s="423">
        <f>SUMIF('8.Dgia'!E:E,'9.may'!E807,'8.Dgia'!P:P)</f>
        <v>0</v>
      </c>
      <c r="R807" s="429">
        <f t="shared" si="149"/>
        <v>0</v>
      </c>
      <c r="S807" s="301">
        <f t="shared" si="150"/>
        <v>64811.810000000005</v>
      </c>
      <c r="T807" s="430">
        <f t="shared" si="151"/>
        <v>1766952.47</v>
      </c>
      <c r="U807" s="431">
        <v>362240</v>
      </c>
      <c r="V807" s="431">
        <v>223489</v>
      </c>
      <c r="W807" s="432">
        <v>880065</v>
      </c>
      <c r="Y807" s="433">
        <f t="shared" si="152"/>
        <v>-886887.47</v>
      </c>
      <c r="Z807" s="433">
        <f t="shared" si="153"/>
        <v>0</v>
      </c>
      <c r="AC807" s="410">
        <f t="shared" si="154"/>
        <v>0</v>
      </c>
    </row>
    <row r="808" spans="1:29" s="427" customFormat="1" ht="17.25" hidden="1" customHeight="1">
      <c r="B808" s="417" t="str">
        <f>IF(A808&lt;&gt;0,COUNTA(A$19:$A808),"")</f>
        <v/>
      </c>
      <c r="C808" s="428" t="s">
        <v>1781</v>
      </c>
      <c r="D808" s="428"/>
      <c r="E808" s="435"/>
      <c r="F808" s="435"/>
      <c r="G808" s="419">
        <v>67.5</v>
      </c>
      <c r="H808" s="419"/>
      <c r="I808" s="419"/>
      <c r="J808" s="419"/>
      <c r="K808" s="420">
        <v>1</v>
      </c>
      <c r="L808" s="420">
        <f t="shared" si="147"/>
        <v>223489</v>
      </c>
      <c r="M808" s="420">
        <f t="shared" si="148"/>
        <v>1030888</v>
      </c>
      <c r="N808" s="445">
        <f t="shared" si="156"/>
        <v>1096642.4318181816</v>
      </c>
      <c r="O808" s="719"/>
      <c r="P808" s="719">
        <f t="shared" si="155"/>
        <v>2426487.9518181817</v>
      </c>
      <c r="Q808" s="423">
        <f>SUMIF('8.Dgia'!E:E,'9.may'!E808,'8.Dgia'!P:P)</f>
        <v>0</v>
      </c>
      <c r="R808" s="429">
        <f t="shared" si="149"/>
        <v>0</v>
      </c>
      <c r="S808" s="301">
        <f t="shared" si="150"/>
        <v>64811.810000000005</v>
      </c>
      <c r="T808" s="430">
        <f t="shared" si="151"/>
        <v>2192342.2418181817</v>
      </c>
      <c r="U808" s="431">
        <v>483226</v>
      </c>
      <c r="V808" s="431">
        <v>223489</v>
      </c>
      <c r="W808" s="432">
        <v>1030888</v>
      </c>
      <c r="Y808" s="433">
        <f t="shared" si="152"/>
        <v>-1161454.2418181817</v>
      </c>
      <c r="Z808" s="433">
        <f t="shared" si="153"/>
        <v>0</v>
      </c>
      <c r="AC808" s="410">
        <f t="shared" si="154"/>
        <v>0</v>
      </c>
    </row>
    <row r="809" spans="1:29" s="427" customFormat="1" ht="17.25" hidden="1" customHeight="1">
      <c r="B809" s="417" t="str">
        <f>IF(A809&lt;&gt;0,COUNTA(A$19:$A809),"")</f>
        <v/>
      </c>
      <c r="C809" s="428" t="s">
        <v>1596</v>
      </c>
      <c r="D809" s="428"/>
      <c r="E809" s="435"/>
      <c r="F809" s="435"/>
      <c r="G809" s="419">
        <v>110</v>
      </c>
      <c r="H809" s="419"/>
      <c r="I809" s="419"/>
      <c r="J809" s="419"/>
      <c r="K809" s="420">
        <v>1</v>
      </c>
      <c r="L809" s="420">
        <f t="shared" si="147"/>
        <v>367449</v>
      </c>
      <c r="M809" s="420">
        <f t="shared" si="148"/>
        <v>1532663</v>
      </c>
      <c r="N809" s="445">
        <f t="shared" si="156"/>
        <v>1787120.9999999998</v>
      </c>
      <c r="O809" s="719"/>
      <c r="P809" s="719">
        <f t="shared" si="155"/>
        <v>3764256.2699999996</v>
      </c>
      <c r="Q809" s="423">
        <f>SUMIF('8.Dgia'!E:E,'9.may'!E809,'8.Dgia'!P:P)</f>
        <v>0</v>
      </c>
      <c r="R809" s="429">
        <f t="shared" si="149"/>
        <v>0</v>
      </c>
      <c r="S809" s="301">
        <f t="shared" si="150"/>
        <v>106560.21</v>
      </c>
      <c r="T809" s="430">
        <f t="shared" si="151"/>
        <v>3426344.21</v>
      </c>
      <c r="U809" s="431">
        <v>787479</v>
      </c>
      <c r="V809" s="431">
        <v>367449</v>
      </c>
      <c r="W809" s="432">
        <v>1532663</v>
      </c>
      <c r="Y809" s="433">
        <f t="shared" si="152"/>
        <v>-1893681.21</v>
      </c>
      <c r="Z809" s="433">
        <f t="shared" si="153"/>
        <v>0</v>
      </c>
      <c r="AC809" s="410">
        <f t="shared" si="154"/>
        <v>0</v>
      </c>
    </row>
    <row r="810" spans="1:29" s="427" customFormat="1" ht="17.25" hidden="1" customHeight="1">
      <c r="B810" s="417" t="str">
        <f>IF(A810&lt;&gt;0,COUNTA(A$19:$A810),"")</f>
        <v/>
      </c>
      <c r="C810" s="428" t="s">
        <v>1602</v>
      </c>
      <c r="D810" s="428"/>
      <c r="E810" s="435"/>
      <c r="F810" s="435"/>
      <c r="G810" s="419">
        <v>166.1</v>
      </c>
      <c r="H810" s="419"/>
      <c r="I810" s="419"/>
      <c r="J810" s="419"/>
      <c r="K810" s="420">
        <v>1</v>
      </c>
      <c r="L810" s="420">
        <f t="shared" si="147"/>
        <v>458659</v>
      </c>
      <c r="M810" s="420">
        <f t="shared" si="148"/>
        <v>2253809</v>
      </c>
      <c r="N810" s="445">
        <f t="shared" si="156"/>
        <v>2698552.7099999995</v>
      </c>
      <c r="O810" s="719"/>
      <c r="P810" s="719">
        <f t="shared" si="155"/>
        <v>5605966.3199999994</v>
      </c>
      <c r="Q810" s="423">
        <f>SUMIF('8.Dgia'!E:E,'9.may'!E810,'8.Dgia'!P:P)</f>
        <v>0</v>
      </c>
      <c r="R810" s="429">
        <f t="shared" si="149"/>
        <v>0</v>
      </c>
      <c r="S810" s="301">
        <f t="shared" si="150"/>
        <v>133011.11000000002</v>
      </c>
      <c r="T810" s="430">
        <f t="shared" si="151"/>
        <v>5085372.8199999994</v>
      </c>
      <c r="U810" s="431">
        <v>1189093</v>
      </c>
      <c r="V810" s="431">
        <v>458659</v>
      </c>
      <c r="W810" s="432">
        <v>2253809</v>
      </c>
      <c r="Y810" s="433">
        <f t="shared" si="152"/>
        <v>-2831563.8199999994</v>
      </c>
      <c r="Z810" s="433">
        <f t="shared" si="153"/>
        <v>0</v>
      </c>
      <c r="AC810" s="410">
        <f t="shared" si="154"/>
        <v>0</v>
      </c>
    </row>
    <row r="811" spans="1:29" s="427" customFormat="1" ht="17.25" hidden="1" customHeight="1">
      <c r="B811" s="417" t="str">
        <f>IF(A811&lt;&gt;0,COUNTA(A$19:$A811),"")</f>
        <v/>
      </c>
      <c r="C811" s="428" t="s">
        <v>1231</v>
      </c>
      <c r="D811" s="428"/>
      <c r="E811" s="435"/>
      <c r="F811" s="435"/>
      <c r="G811" s="419">
        <v>216.8</v>
      </c>
      <c r="H811" s="419"/>
      <c r="I811" s="419"/>
      <c r="J811" s="419"/>
      <c r="K811" s="420">
        <v>1</v>
      </c>
      <c r="L811" s="420">
        <f t="shared" si="147"/>
        <v>458659</v>
      </c>
      <c r="M811" s="420">
        <f t="shared" si="148"/>
        <v>3079483</v>
      </c>
      <c r="N811" s="445">
        <f t="shared" si="156"/>
        <v>3522253.0254545449</v>
      </c>
      <c r="O811" s="719"/>
      <c r="P811" s="719">
        <f t="shared" si="155"/>
        <v>7494786.0954545457</v>
      </c>
      <c r="Q811" s="423">
        <f>SUMIF('8.Dgia'!E:E,'9.may'!E811,'8.Dgia'!P:P)</f>
        <v>0</v>
      </c>
      <c r="R811" s="429">
        <f t="shared" si="149"/>
        <v>0</v>
      </c>
      <c r="S811" s="301">
        <f t="shared" si="150"/>
        <v>133011.11000000002</v>
      </c>
      <c r="T811" s="430">
        <f t="shared" si="151"/>
        <v>6734747.1354545448</v>
      </c>
      <c r="U811" s="431">
        <v>1552050</v>
      </c>
      <c r="V811" s="431">
        <v>458659</v>
      </c>
      <c r="W811" s="432">
        <v>3079483</v>
      </c>
      <c r="Y811" s="433">
        <f t="shared" si="152"/>
        <v>-3655264.1354545448</v>
      </c>
      <c r="Z811" s="433">
        <f t="shared" si="153"/>
        <v>0</v>
      </c>
      <c r="AC811" s="410">
        <f t="shared" si="154"/>
        <v>0</v>
      </c>
    </row>
    <row r="812" spans="1:29" s="427" customFormat="1" ht="17.25" hidden="1" customHeight="1">
      <c r="B812" s="417" t="str">
        <f>IF(A812&lt;&gt;0,COUNTA(A$19:$A812),"")</f>
        <v/>
      </c>
      <c r="C812" s="444" t="s">
        <v>1782</v>
      </c>
      <c r="D812" s="444"/>
      <c r="E812" s="435"/>
      <c r="F812" s="435"/>
      <c r="G812" s="419"/>
      <c r="H812" s="419"/>
      <c r="I812" s="419"/>
      <c r="J812" s="419"/>
      <c r="K812" s="420"/>
      <c r="L812" s="420">
        <f t="shared" si="147"/>
        <v>0</v>
      </c>
      <c r="M812" s="420">
        <f t="shared" si="148"/>
        <v>0</v>
      </c>
      <c r="N812" s="445"/>
      <c r="O812" s="719"/>
      <c r="P812" s="719">
        <f t="shared" si="155"/>
        <v>0</v>
      </c>
      <c r="Q812" s="423">
        <f>SUMIF('8.Dgia'!E:E,'9.may'!E812,'8.Dgia'!P:P)</f>
        <v>0</v>
      </c>
      <c r="R812" s="429">
        <f t="shared" si="149"/>
        <v>0</v>
      </c>
      <c r="S812" s="301">
        <f t="shared" si="150"/>
        <v>0</v>
      </c>
      <c r="T812" s="430">
        <f t="shared" si="151"/>
        <v>0</v>
      </c>
      <c r="U812" s="431"/>
      <c r="V812" s="431"/>
      <c r="W812" s="432"/>
      <c r="Y812" s="433">
        <f t="shared" si="152"/>
        <v>0</v>
      </c>
      <c r="Z812" s="433">
        <f t="shared" si="153"/>
        <v>0</v>
      </c>
      <c r="AC812" s="410">
        <f t="shared" si="154"/>
        <v>0</v>
      </c>
    </row>
    <row r="813" spans="1:29" s="427" customFormat="1" ht="17.25" hidden="1" customHeight="1">
      <c r="B813" s="417" t="str">
        <f>IF(A813&lt;&gt;0,COUNTA(A$19:$A813),"")</f>
        <v/>
      </c>
      <c r="C813" s="428" t="s">
        <v>1779</v>
      </c>
      <c r="D813" s="428"/>
      <c r="E813" s="435"/>
      <c r="F813" s="435"/>
      <c r="G813" s="419"/>
      <c r="H813" s="419"/>
      <c r="I813" s="419">
        <v>105</v>
      </c>
      <c r="J813" s="419"/>
      <c r="K813" s="420">
        <v>1</v>
      </c>
      <c r="L813" s="420">
        <f t="shared" si="147"/>
        <v>145657</v>
      </c>
      <c r="M813" s="420">
        <f t="shared" si="148"/>
        <v>1120371</v>
      </c>
      <c r="N813" s="445">
        <f>SUMPRODUCT(G813:J813,$G$12:$J$12,$G$9:$J$9)</f>
        <v>1568125.8409090906</v>
      </c>
      <c r="O813" s="719"/>
      <c r="P813" s="719">
        <f t="shared" si="155"/>
        <v>3013404.4309090907</v>
      </c>
      <c r="Q813" s="423">
        <f>SUMIF('8.Dgia'!E:E,'9.may'!E813,'8.Dgia'!P:P)</f>
        <v>0</v>
      </c>
      <c r="R813" s="429">
        <f t="shared" si="149"/>
        <v>0</v>
      </c>
      <c r="S813" s="301">
        <f t="shared" si="150"/>
        <v>42240.530000000006</v>
      </c>
      <c r="T813" s="430">
        <f t="shared" si="151"/>
        <v>2730737.3709090906</v>
      </c>
      <c r="U813" s="431">
        <v>914408</v>
      </c>
      <c r="V813" s="431">
        <v>145657</v>
      </c>
      <c r="W813" s="432">
        <v>1120371</v>
      </c>
      <c r="Y813" s="433">
        <f t="shared" si="152"/>
        <v>-1610366.3709090906</v>
      </c>
      <c r="Z813" s="433">
        <f t="shared" si="153"/>
        <v>0</v>
      </c>
      <c r="AC813" s="410">
        <f t="shared" si="154"/>
        <v>0</v>
      </c>
    </row>
    <row r="814" spans="1:29" s="427" customFormat="1" ht="17.25" hidden="1" customHeight="1">
      <c r="B814" s="417" t="str">
        <f>IF(A814&lt;&gt;0,COUNTA(A$19:$A814),"")</f>
        <v/>
      </c>
      <c r="C814" s="428" t="s">
        <v>1781</v>
      </c>
      <c r="D814" s="428"/>
      <c r="E814" s="435"/>
      <c r="F814" s="435"/>
      <c r="G814" s="419"/>
      <c r="H814" s="419"/>
      <c r="I814" s="419">
        <v>148</v>
      </c>
      <c r="J814" s="419"/>
      <c r="K814" s="420">
        <v>1</v>
      </c>
      <c r="L814" s="420">
        <f t="shared" si="147"/>
        <v>145657</v>
      </c>
      <c r="M814" s="420">
        <f t="shared" si="148"/>
        <v>1507006</v>
      </c>
      <c r="N814" s="445">
        <f>SUMPRODUCT(G814:J814,$G$12:$J$12,$G$9:$J$9)</f>
        <v>2210310.709090909</v>
      </c>
      <c r="O814" s="719"/>
      <c r="P814" s="719">
        <f t="shared" si="155"/>
        <v>4154348.4490909092</v>
      </c>
      <c r="Q814" s="423">
        <f>SUMIF('8.Dgia'!E:E,'9.may'!E814,'8.Dgia'!P:P)</f>
        <v>0</v>
      </c>
      <c r="R814" s="429">
        <f t="shared" si="149"/>
        <v>0</v>
      </c>
      <c r="S814" s="301">
        <f t="shared" si="150"/>
        <v>42240.530000000006</v>
      </c>
      <c r="T814" s="430">
        <f t="shared" si="151"/>
        <v>3759557.2390909088</v>
      </c>
      <c r="U814" s="431">
        <v>1288880</v>
      </c>
      <c r="V814" s="431">
        <v>145657</v>
      </c>
      <c r="W814" s="432">
        <v>1507006</v>
      </c>
      <c r="Y814" s="433">
        <f t="shared" si="152"/>
        <v>-2252551.2390909088</v>
      </c>
      <c r="Z814" s="433">
        <f t="shared" si="153"/>
        <v>0</v>
      </c>
      <c r="AC814" s="410">
        <f t="shared" si="154"/>
        <v>0</v>
      </c>
    </row>
    <row r="815" spans="1:29" s="427" customFormat="1" ht="17.25" hidden="1" customHeight="1">
      <c r="B815" s="417" t="str">
        <f>IF(A815&lt;&gt;0,COUNTA(A$19:$A815),"")</f>
        <v/>
      </c>
      <c r="C815" s="428" t="s">
        <v>1597</v>
      </c>
      <c r="D815" s="428"/>
      <c r="E815" s="435"/>
      <c r="F815" s="435"/>
      <c r="G815" s="419"/>
      <c r="H815" s="419"/>
      <c r="I815" s="419">
        <v>350</v>
      </c>
      <c r="J815" s="419"/>
      <c r="K815" s="420">
        <v>1</v>
      </c>
      <c r="L815" s="420">
        <f t="shared" si="147"/>
        <v>145657</v>
      </c>
      <c r="M815" s="420">
        <f t="shared" si="148"/>
        <v>3349174</v>
      </c>
      <c r="N815" s="445">
        <f>SUMPRODUCT(G815:J815,$G$12:$J$12,$G$9:$J$9)</f>
        <v>5227086.1363636358</v>
      </c>
      <c r="O815" s="719"/>
      <c r="P815" s="719">
        <f t="shared" si="155"/>
        <v>9547520.5963636357</v>
      </c>
      <c r="Q815" s="423">
        <f>SUMIF('8.Dgia'!E:E,'9.may'!E815,'8.Dgia'!P:P)</f>
        <v>0</v>
      </c>
      <c r="R815" s="429">
        <f t="shared" si="149"/>
        <v>0</v>
      </c>
      <c r="S815" s="301">
        <f t="shared" si="150"/>
        <v>42240.530000000006</v>
      </c>
      <c r="T815" s="430">
        <f t="shared" si="151"/>
        <v>8618500.666363636</v>
      </c>
      <c r="U815" s="431">
        <v>3048028</v>
      </c>
      <c r="V815" s="431">
        <v>145657</v>
      </c>
      <c r="W815" s="432">
        <v>3349174</v>
      </c>
      <c r="Y815" s="433">
        <f t="shared" si="152"/>
        <v>-5269326.666363636</v>
      </c>
      <c r="Z815" s="433">
        <f t="shared" si="153"/>
        <v>0</v>
      </c>
      <c r="AC815" s="410">
        <f t="shared" si="154"/>
        <v>0</v>
      </c>
    </row>
    <row r="816" spans="1:29" s="427" customFormat="1" ht="17.25" hidden="1" customHeight="1">
      <c r="B816" s="417" t="str">
        <f>IF(A816&lt;&gt;0,COUNTA(A$19:$A816),"")</f>
        <v/>
      </c>
      <c r="C816" s="428" t="s">
        <v>1783</v>
      </c>
      <c r="D816" s="428"/>
      <c r="E816" s="435"/>
      <c r="F816" s="435"/>
      <c r="G816" s="419"/>
      <c r="H816" s="419"/>
      <c r="I816" s="419">
        <v>630</v>
      </c>
      <c r="J816" s="419"/>
      <c r="K816" s="420">
        <v>1</v>
      </c>
      <c r="L816" s="420">
        <f t="shared" si="147"/>
        <v>145657</v>
      </c>
      <c r="M816" s="420">
        <f t="shared" si="148"/>
        <v>5941857</v>
      </c>
      <c r="N816" s="445">
        <f>SUMPRODUCT(G816:J816,$G$12:$J$12,$G$9:$J$9)</f>
        <v>9408755.0454545449</v>
      </c>
      <c r="O816" s="719"/>
      <c r="P816" s="719">
        <f t="shared" si="155"/>
        <v>17073750.575454544</v>
      </c>
      <c r="Q816" s="423">
        <f>SUMIF('8.Dgia'!E:E,'9.may'!E816,'8.Dgia'!P:P)</f>
        <v>0</v>
      </c>
      <c r="R816" s="429">
        <f t="shared" si="149"/>
        <v>0</v>
      </c>
      <c r="S816" s="301">
        <f t="shared" si="150"/>
        <v>42240.530000000006</v>
      </c>
      <c r="T816" s="430">
        <f t="shared" si="151"/>
        <v>15392852.575454544</v>
      </c>
      <c r="U816" s="431">
        <v>5486450</v>
      </c>
      <c r="V816" s="431">
        <v>145657</v>
      </c>
      <c r="W816" s="432">
        <v>5941857</v>
      </c>
      <c r="Y816" s="433">
        <f t="shared" si="152"/>
        <v>-9450995.5754545443</v>
      </c>
      <c r="Z816" s="433">
        <f t="shared" si="153"/>
        <v>0</v>
      </c>
      <c r="AC816" s="410">
        <f t="shared" si="154"/>
        <v>0</v>
      </c>
    </row>
    <row r="817" spans="1:29" s="427" customFormat="1" ht="17.25" hidden="1" customHeight="1">
      <c r="B817" s="417" t="str">
        <f>IF(A817&lt;&gt;0,COUNTA(A$19:$A817),"")</f>
        <v/>
      </c>
      <c r="C817" s="444" t="s">
        <v>1784</v>
      </c>
      <c r="D817" s="444"/>
      <c r="E817" s="435"/>
      <c r="F817" s="435"/>
      <c r="G817" s="419"/>
      <c r="H817" s="419"/>
      <c r="I817" s="419"/>
      <c r="J817" s="419"/>
      <c r="K817" s="420"/>
      <c r="L817" s="420">
        <f t="shared" si="147"/>
        <v>0</v>
      </c>
      <c r="M817" s="420">
        <f t="shared" si="148"/>
        <v>0</v>
      </c>
      <c r="N817" s="445"/>
      <c r="O817" s="719"/>
      <c r="P817" s="719">
        <f t="shared" si="155"/>
        <v>0</v>
      </c>
      <c r="Q817" s="423">
        <f>SUMIF('8.Dgia'!E:E,'9.may'!E817,'8.Dgia'!P:P)</f>
        <v>0</v>
      </c>
      <c r="R817" s="429">
        <f t="shared" si="149"/>
        <v>0</v>
      </c>
      <c r="S817" s="301">
        <f t="shared" si="150"/>
        <v>0</v>
      </c>
      <c r="T817" s="430">
        <f t="shared" si="151"/>
        <v>0</v>
      </c>
      <c r="U817" s="436"/>
      <c r="V817" s="436"/>
      <c r="W817" s="432"/>
      <c r="Y817" s="433">
        <f t="shared" si="152"/>
        <v>0</v>
      </c>
      <c r="Z817" s="433">
        <f t="shared" si="153"/>
        <v>0</v>
      </c>
      <c r="AC817" s="410">
        <f t="shared" si="154"/>
        <v>0</v>
      </c>
    </row>
    <row r="818" spans="1:29" s="427" customFormat="1" ht="17.25" hidden="1" customHeight="1">
      <c r="B818" s="417" t="str">
        <f>IF(A818&lt;&gt;0,COUNTA(A$19:$A818),"")</f>
        <v/>
      </c>
      <c r="C818" s="428" t="s">
        <v>1785</v>
      </c>
      <c r="D818" s="428"/>
      <c r="E818" s="435"/>
      <c r="F818" s="435"/>
      <c r="G818" s="419"/>
      <c r="H818" s="419"/>
      <c r="I818" s="419">
        <v>2.7</v>
      </c>
      <c r="J818" s="419"/>
      <c r="K818" s="420">
        <v>1</v>
      </c>
      <c r="L818" s="420">
        <f t="shared" si="147"/>
        <v>90531</v>
      </c>
      <c r="M818" s="420">
        <f t="shared" si="148"/>
        <v>120249</v>
      </c>
      <c r="N818" s="445">
        <f>SUMPRODUCT(G818:J818,$G$12:$J$12,$G$9:$J$9)</f>
        <v>40323.235909090901</v>
      </c>
      <c r="O818" s="719"/>
      <c r="P818" s="719">
        <f t="shared" si="155"/>
        <v>195444.44590909089</v>
      </c>
      <c r="Q818" s="423">
        <f>SUMIF('8.Dgia'!E:E,'9.may'!E818,'8.Dgia'!P:P)</f>
        <v>0</v>
      </c>
      <c r="R818" s="429">
        <f t="shared" si="149"/>
        <v>0</v>
      </c>
      <c r="S818" s="301">
        <f t="shared" si="150"/>
        <v>26253.99</v>
      </c>
      <c r="T818" s="430">
        <f t="shared" si="151"/>
        <v>186826.22590909089</v>
      </c>
      <c r="U818" s="431">
        <v>23513</v>
      </c>
      <c r="V818" s="431">
        <v>90531</v>
      </c>
      <c r="W818" s="432">
        <v>120249</v>
      </c>
      <c r="Y818" s="433">
        <f t="shared" si="152"/>
        <v>-66577.225909090892</v>
      </c>
      <c r="Z818" s="433">
        <f t="shared" si="153"/>
        <v>0</v>
      </c>
      <c r="AC818" s="410">
        <f t="shared" si="154"/>
        <v>0</v>
      </c>
    </row>
    <row r="819" spans="1:29" s="427" customFormat="1" ht="17.25" hidden="1" customHeight="1">
      <c r="B819" s="417" t="str">
        <f>IF(A819&lt;&gt;0,COUNTA(A$19:$A819),"")</f>
        <v/>
      </c>
      <c r="C819" s="428" t="s">
        <v>1786</v>
      </c>
      <c r="D819" s="428"/>
      <c r="E819" s="435"/>
      <c r="F819" s="435"/>
      <c r="G819" s="419"/>
      <c r="H819" s="419"/>
      <c r="I819" s="419">
        <v>11.4</v>
      </c>
      <c r="J819" s="419"/>
      <c r="K819" s="420">
        <v>1</v>
      </c>
      <c r="L819" s="420">
        <f t="shared" si="147"/>
        <v>98673</v>
      </c>
      <c r="M819" s="420">
        <f t="shared" si="148"/>
        <v>240740</v>
      </c>
      <c r="N819" s="445">
        <f>SUMPRODUCT(G819:J819,$G$12:$J$12,$G$9:$J$9)</f>
        <v>170253.66272727269</v>
      </c>
      <c r="O819" s="719"/>
      <c r="P819" s="719">
        <f t="shared" si="155"/>
        <v>480808.2627272727</v>
      </c>
      <c r="Q819" s="423">
        <f>SUMIF('8.Dgia'!E:E,'9.may'!E819,'8.Dgia'!P:P)</f>
        <v>0</v>
      </c>
      <c r="R819" s="429">
        <f t="shared" si="149"/>
        <v>0</v>
      </c>
      <c r="S819" s="301">
        <f t="shared" si="150"/>
        <v>28615.170000000002</v>
      </c>
      <c r="T819" s="430">
        <f t="shared" si="151"/>
        <v>439608.8327272727</v>
      </c>
      <c r="U819" s="431">
        <v>99279</v>
      </c>
      <c r="V819" s="431">
        <v>98673</v>
      </c>
      <c r="W819" s="432">
        <v>240740</v>
      </c>
      <c r="Y819" s="433">
        <f t="shared" si="152"/>
        <v>-198868.8327272727</v>
      </c>
      <c r="Z819" s="433">
        <f t="shared" si="153"/>
        <v>0</v>
      </c>
      <c r="AC819" s="410">
        <f t="shared" si="154"/>
        <v>0</v>
      </c>
    </row>
    <row r="820" spans="1:29" s="427" customFormat="1" ht="17.25" customHeight="1">
      <c r="A820" s="410">
        <v>1</v>
      </c>
      <c r="B820" s="417">
        <f>IF(A820&lt;&gt;0,COUNTA(A$19:$A820),"")</f>
        <v>217</v>
      </c>
      <c r="C820" s="428" t="s">
        <v>1787</v>
      </c>
      <c r="D820" s="428" t="s">
        <v>1787</v>
      </c>
      <c r="E820" s="435" t="s">
        <v>1788</v>
      </c>
      <c r="F820" s="435" t="s">
        <v>4860</v>
      </c>
      <c r="G820" s="419"/>
      <c r="H820" s="419"/>
      <c r="I820" s="419"/>
      <c r="J820" s="419"/>
      <c r="K820" s="420">
        <v>1</v>
      </c>
      <c r="L820" s="420">
        <f t="shared" si="147"/>
        <v>140229</v>
      </c>
      <c r="M820" s="420">
        <f t="shared" si="148"/>
        <v>316596</v>
      </c>
      <c r="N820" s="445">
        <f>SUMPRODUCT(G820:J820,$G$12:$J$12,$G$9:$J$9)</f>
        <v>0</v>
      </c>
      <c r="O820" s="719"/>
      <c r="P820" s="719">
        <f t="shared" si="155"/>
        <v>408408.84</v>
      </c>
      <c r="Q820" s="423">
        <f>SUMIF('8.Dgia'!E:E,'9.may'!E820,'8.Dgia'!P:P)</f>
        <v>0</v>
      </c>
      <c r="R820" s="429">
        <f t="shared" si="149"/>
        <v>0</v>
      </c>
      <c r="S820" s="301">
        <f t="shared" si="150"/>
        <v>40666.410000000003</v>
      </c>
      <c r="T820" s="430">
        <f t="shared" si="151"/>
        <v>357262.41000000003</v>
      </c>
      <c r="U820" s="2053"/>
      <c r="V820" s="2053">
        <v>140229</v>
      </c>
      <c r="W820" s="2054">
        <v>316596</v>
      </c>
      <c r="Y820" s="433">
        <f t="shared" si="152"/>
        <v>-40666.410000000033</v>
      </c>
      <c r="Z820" s="433">
        <f t="shared" si="153"/>
        <v>0</v>
      </c>
      <c r="AC820" s="410">
        <f t="shared" si="154"/>
        <v>0</v>
      </c>
    </row>
    <row r="821" spans="1:29" s="427" customFormat="1" ht="17.25" hidden="1" customHeight="1">
      <c r="B821" s="417" t="str">
        <f>IF(A821&lt;&gt;0,COUNTA(A$19:$A821),"")</f>
        <v/>
      </c>
      <c r="C821" s="444" t="s">
        <v>1789</v>
      </c>
      <c r="D821" s="444"/>
      <c r="E821" s="435"/>
      <c r="F821" s="435"/>
      <c r="G821" s="419"/>
      <c r="H821" s="419"/>
      <c r="I821" s="419"/>
      <c r="J821" s="419"/>
      <c r="K821" s="420"/>
      <c r="L821" s="420">
        <f t="shared" si="147"/>
        <v>0</v>
      </c>
      <c r="M821" s="420">
        <f t="shared" si="148"/>
        <v>0</v>
      </c>
      <c r="N821" s="445"/>
      <c r="O821" s="719"/>
      <c r="P821" s="719">
        <f t="shared" si="155"/>
        <v>0</v>
      </c>
      <c r="Q821" s="423">
        <f>SUMIF('8.Dgia'!E:E,'9.may'!E821,'8.Dgia'!P:P)</f>
        <v>0</v>
      </c>
      <c r="R821" s="429">
        <f t="shared" si="149"/>
        <v>0</v>
      </c>
      <c r="S821" s="301">
        <f t="shared" si="150"/>
        <v>0</v>
      </c>
      <c r="T821" s="430">
        <f t="shared" si="151"/>
        <v>0</v>
      </c>
      <c r="U821" s="436"/>
      <c r="V821" s="436"/>
      <c r="W821" s="432"/>
      <c r="Y821" s="433">
        <f t="shared" si="152"/>
        <v>0</v>
      </c>
      <c r="Z821" s="433">
        <f t="shared" si="153"/>
        <v>0</v>
      </c>
      <c r="AC821" s="410">
        <f t="shared" si="154"/>
        <v>0</v>
      </c>
    </row>
    <row r="822" spans="1:29" s="427" customFormat="1" ht="17.25" hidden="1" customHeight="1">
      <c r="B822" s="417" t="str">
        <f>IF(A822&lt;&gt;0,COUNTA(A$19:$A822),"")</f>
        <v/>
      </c>
      <c r="C822" s="428" t="s">
        <v>1714</v>
      </c>
      <c r="D822" s="428" t="s">
        <v>1790</v>
      </c>
      <c r="E822" s="435"/>
      <c r="F822" s="435"/>
      <c r="G822" s="419"/>
      <c r="H822" s="419">
        <v>16</v>
      </c>
      <c r="I822" s="419"/>
      <c r="J822" s="419"/>
      <c r="K822" s="420">
        <v>1</v>
      </c>
      <c r="L822" s="420">
        <f t="shared" si="147"/>
        <v>41873</v>
      </c>
      <c r="M822" s="420">
        <f t="shared" si="148"/>
        <v>62351</v>
      </c>
      <c r="N822" s="445">
        <f>SUMPRODUCT(G822:J822,$G$12:$J$12,$G$9:$J$9)</f>
        <v>10186.400000000001</v>
      </c>
      <c r="O822" s="719"/>
      <c r="P822" s="719">
        <f t="shared" si="155"/>
        <v>90619.19</v>
      </c>
      <c r="Q822" s="423">
        <f>SUMIF('8.Dgia'!E:E,'9.may'!E822,'8.Dgia'!P:P)</f>
        <v>0</v>
      </c>
      <c r="R822" s="429">
        <f t="shared" si="149"/>
        <v>0</v>
      </c>
      <c r="S822" s="301">
        <f t="shared" si="150"/>
        <v>12143.170000000002</v>
      </c>
      <c r="T822" s="430">
        <f t="shared" si="151"/>
        <v>84680.57</v>
      </c>
      <c r="U822" s="431">
        <v>15322</v>
      </c>
      <c r="V822" s="431">
        <v>41873</v>
      </c>
      <c r="W822" s="432">
        <v>62351</v>
      </c>
      <c r="Y822" s="433">
        <f t="shared" si="152"/>
        <v>-22329.570000000007</v>
      </c>
      <c r="Z822" s="433">
        <f t="shared" si="153"/>
        <v>0</v>
      </c>
      <c r="AC822" s="410">
        <f t="shared" si="154"/>
        <v>0</v>
      </c>
    </row>
    <row r="823" spans="1:29" s="427" customFormat="1" ht="17.25" hidden="1" customHeight="1">
      <c r="B823" s="417" t="str">
        <f>IF(A823&lt;&gt;0,COUNTA(A$19:$A823),"")</f>
        <v/>
      </c>
      <c r="C823" s="428" t="s">
        <v>1791</v>
      </c>
      <c r="D823" s="428"/>
      <c r="E823" s="435"/>
      <c r="F823" s="435"/>
      <c r="G823" s="419"/>
      <c r="H823" s="419">
        <v>28.8</v>
      </c>
      <c r="I823" s="419"/>
      <c r="J823" s="419"/>
      <c r="K823" s="420">
        <v>1</v>
      </c>
      <c r="L823" s="420">
        <f t="shared" si="147"/>
        <v>41873</v>
      </c>
      <c r="M823" s="420">
        <f t="shared" si="148"/>
        <v>80005</v>
      </c>
      <c r="N823" s="445">
        <f>SUMPRODUCT(G823:J823,$G$12:$J$12,$G$9:$J$9)</f>
        <v>18335.52</v>
      </c>
      <c r="O823" s="719"/>
      <c r="P823" s="719">
        <f t="shared" si="155"/>
        <v>121541.97</v>
      </c>
      <c r="Q823" s="423">
        <f>SUMIF('8.Dgia'!E:E,'9.may'!E823,'8.Dgia'!P:P)</f>
        <v>0</v>
      </c>
      <c r="R823" s="429">
        <f t="shared" si="149"/>
        <v>0</v>
      </c>
      <c r="S823" s="301">
        <f t="shared" si="150"/>
        <v>12143.170000000002</v>
      </c>
      <c r="T823" s="430">
        <f t="shared" si="151"/>
        <v>110483.69</v>
      </c>
      <c r="U823" s="431">
        <v>27580</v>
      </c>
      <c r="V823" s="431">
        <v>41873</v>
      </c>
      <c r="W823" s="432">
        <v>80005</v>
      </c>
      <c r="Y823" s="433">
        <f t="shared" si="152"/>
        <v>-30478.690000000002</v>
      </c>
      <c r="Z823" s="433">
        <f t="shared" si="153"/>
        <v>0</v>
      </c>
      <c r="AC823" s="410">
        <f t="shared" si="154"/>
        <v>0</v>
      </c>
    </row>
    <row r="824" spans="1:29" s="427" customFormat="1" ht="17.25" hidden="1" customHeight="1">
      <c r="B824" s="417" t="str">
        <f>IF(A824&lt;&gt;0,COUNTA(A$19:$A824),"")</f>
        <v/>
      </c>
      <c r="C824" s="444" t="s">
        <v>901</v>
      </c>
      <c r="D824" s="444"/>
      <c r="E824" s="435"/>
      <c r="F824" s="435"/>
      <c r="G824" s="419"/>
      <c r="H824" s="419"/>
      <c r="I824" s="419"/>
      <c r="J824" s="419"/>
      <c r="K824" s="420"/>
      <c r="L824" s="420">
        <f t="shared" si="147"/>
        <v>0</v>
      </c>
      <c r="M824" s="420">
        <f t="shared" si="148"/>
        <v>0</v>
      </c>
      <c r="N824" s="445"/>
      <c r="O824" s="719"/>
      <c r="P824" s="719">
        <f t="shared" si="155"/>
        <v>0</v>
      </c>
      <c r="Q824" s="423">
        <f>SUMIF('8.Dgia'!E:E,'9.may'!E824,'8.Dgia'!P:P)</f>
        <v>0</v>
      </c>
      <c r="R824" s="429">
        <f t="shared" si="149"/>
        <v>0</v>
      </c>
      <c r="S824" s="301">
        <f t="shared" si="150"/>
        <v>0</v>
      </c>
      <c r="T824" s="430">
        <f t="shared" si="151"/>
        <v>0</v>
      </c>
      <c r="U824" s="436"/>
      <c r="V824" s="436"/>
      <c r="W824" s="432"/>
      <c r="Y824" s="433">
        <f t="shared" si="152"/>
        <v>0</v>
      </c>
      <c r="Z824" s="433">
        <f t="shared" si="153"/>
        <v>0</v>
      </c>
      <c r="AC824" s="410">
        <f t="shared" si="154"/>
        <v>0</v>
      </c>
    </row>
    <row r="825" spans="1:29" s="427" customFormat="1" ht="17.25" hidden="1" customHeight="1">
      <c r="B825" s="417" t="str">
        <f>IF(A825&lt;&gt;0,COUNTA(A$19:$A825),"")</f>
        <v/>
      </c>
      <c r="C825" s="428" t="s">
        <v>1052</v>
      </c>
      <c r="D825" s="428"/>
      <c r="E825" s="435"/>
      <c r="F825" s="435"/>
      <c r="G825" s="419">
        <v>46.2</v>
      </c>
      <c r="H825" s="419"/>
      <c r="I825" s="419"/>
      <c r="J825" s="419"/>
      <c r="K825" s="420">
        <v>1</v>
      </c>
      <c r="L825" s="420">
        <f t="shared" si="147"/>
        <v>61040</v>
      </c>
      <c r="M825" s="420">
        <f t="shared" si="148"/>
        <v>825976</v>
      </c>
      <c r="N825" s="445">
        <f>SUMPRODUCT(G825:J825,$G$12:$J$12,$G$9:$J$9)</f>
        <v>750590.82</v>
      </c>
      <c r="O825" s="719"/>
      <c r="P825" s="719">
        <f t="shared" si="155"/>
        <v>1816099.8599999999</v>
      </c>
      <c r="Q825" s="423">
        <f>SUMIF('8.Dgia'!E:E,'9.may'!E825,'8.Dgia'!P:P)</f>
        <v>0</v>
      </c>
      <c r="R825" s="429">
        <f t="shared" si="149"/>
        <v>0</v>
      </c>
      <c r="S825" s="301">
        <f t="shared" si="150"/>
        <v>17701.600000000002</v>
      </c>
      <c r="T825" s="430">
        <f t="shared" si="151"/>
        <v>1594268.42</v>
      </c>
      <c r="U825" s="431">
        <v>330741</v>
      </c>
      <c r="V825" s="431">
        <v>61040</v>
      </c>
      <c r="W825" s="432">
        <v>825976</v>
      </c>
      <c r="Y825" s="433">
        <f t="shared" si="152"/>
        <v>-768292.41999999993</v>
      </c>
      <c r="Z825" s="433">
        <f t="shared" si="153"/>
        <v>0</v>
      </c>
      <c r="AC825" s="410">
        <f t="shared" si="154"/>
        <v>0</v>
      </c>
    </row>
    <row r="826" spans="1:29" s="427" customFormat="1" ht="17.25" hidden="1" customHeight="1">
      <c r="B826" s="417" t="str">
        <f>IF(A826&lt;&gt;0,COUNTA(A$19:$A826),"")</f>
        <v/>
      </c>
      <c r="C826" s="444" t="s">
        <v>1792</v>
      </c>
      <c r="D826" s="444"/>
      <c r="E826" s="435"/>
      <c r="F826" s="435"/>
      <c r="G826" s="419"/>
      <c r="H826" s="419"/>
      <c r="I826" s="419"/>
      <c r="J826" s="419"/>
      <c r="K826" s="420"/>
      <c r="L826" s="420">
        <f t="shared" si="147"/>
        <v>0</v>
      </c>
      <c r="M826" s="420">
        <f t="shared" si="148"/>
        <v>0</v>
      </c>
      <c r="N826" s="445"/>
      <c r="O826" s="719"/>
      <c r="P826" s="719">
        <f t="shared" si="155"/>
        <v>0</v>
      </c>
      <c r="Q826" s="423">
        <f>SUMIF('8.Dgia'!E:E,'9.may'!E826,'8.Dgia'!P:P)</f>
        <v>0</v>
      </c>
      <c r="R826" s="429">
        <f t="shared" si="149"/>
        <v>0</v>
      </c>
      <c r="S826" s="301">
        <f t="shared" si="150"/>
        <v>0</v>
      </c>
      <c r="T826" s="430">
        <f t="shared" si="151"/>
        <v>0</v>
      </c>
      <c r="U826" s="431"/>
      <c r="V826" s="431"/>
      <c r="W826" s="432"/>
      <c r="Y826" s="433">
        <f t="shared" si="152"/>
        <v>0</v>
      </c>
      <c r="Z826" s="433">
        <f t="shared" si="153"/>
        <v>0</v>
      </c>
      <c r="AC826" s="410">
        <f t="shared" si="154"/>
        <v>0</v>
      </c>
    </row>
    <row r="827" spans="1:29" s="427" customFormat="1" ht="17.25" hidden="1" customHeight="1">
      <c r="B827" s="417" t="str">
        <f>IF(A827&lt;&gt;0,COUNTA(A$19:$A827),"")</f>
        <v/>
      </c>
      <c r="C827" s="428" t="s">
        <v>1103</v>
      </c>
      <c r="D827" s="428"/>
      <c r="E827" s="435"/>
      <c r="F827" s="435"/>
      <c r="G827" s="419"/>
      <c r="H827" s="419"/>
      <c r="I827" s="419">
        <v>18</v>
      </c>
      <c r="J827" s="419"/>
      <c r="K827" s="420">
        <v>1</v>
      </c>
      <c r="L827" s="420">
        <f t="shared" si="147"/>
        <v>46283</v>
      </c>
      <c r="M827" s="420">
        <f t="shared" si="148"/>
        <v>440840</v>
      </c>
      <c r="N827" s="445">
        <f>SUMPRODUCT(G827:J827,$G$12:$J$12,$G$9:$J$9)</f>
        <v>268821.57272727269</v>
      </c>
      <c r="O827" s="719"/>
      <c r="P827" s="719">
        <f t="shared" si="155"/>
        <v>837505.17272727261</v>
      </c>
      <c r="Q827" s="423">
        <f>SUMIF('8.Dgia'!E:E,'9.may'!E827,'8.Dgia'!P:P)</f>
        <v>0</v>
      </c>
      <c r="R827" s="429">
        <f t="shared" si="149"/>
        <v>0</v>
      </c>
      <c r="S827" s="301">
        <f t="shared" si="150"/>
        <v>13422.070000000002</v>
      </c>
      <c r="T827" s="430">
        <f t="shared" si="151"/>
        <v>723083.6427272727</v>
      </c>
      <c r="U827" s="431">
        <v>156756</v>
      </c>
      <c r="V827" s="431">
        <v>46283</v>
      </c>
      <c r="W827" s="432">
        <v>440840</v>
      </c>
      <c r="Y827" s="433">
        <f t="shared" si="152"/>
        <v>-282243.6427272727</v>
      </c>
      <c r="Z827" s="433">
        <f t="shared" si="153"/>
        <v>0</v>
      </c>
      <c r="AC827" s="410">
        <f t="shared" si="154"/>
        <v>0</v>
      </c>
    </row>
    <row r="828" spans="1:29" s="427" customFormat="1" ht="17.25" hidden="1" customHeight="1">
      <c r="B828" s="417" t="str">
        <f>IF(A828&lt;&gt;0,COUNTA(A$19:$A828),"")</f>
        <v/>
      </c>
      <c r="C828" s="444" t="s">
        <v>958</v>
      </c>
      <c r="D828" s="444"/>
      <c r="E828" s="435"/>
      <c r="F828" s="435"/>
      <c r="G828" s="419"/>
      <c r="H828" s="419"/>
      <c r="I828" s="419"/>
      <c r="J828" s="419"/>
      <c r="K828" s="420"/>
      <c r="L828" s="420">
        <f t="shared" si="147"/>
        <v>0</v>
      </c>
      <c r="M828" s="420">
        <f t="shared" si="148"/>
        <v>0</v>
      </c>
      <c r="N828" s="445"/>
      <c r="O828" s="719"/>
      <c r="P828" s="719">
        <f t="shared" si="155"/>
        <v>0</v>
      </c>
      <c r="Q828" s="423">
        <f>SUMIF('8.Dgia'!E:E,'9.may'!E828,'8.Dgia'!P:P)</f>
        <v>0</v>
      </c>
      <c r="R828" s="429">
        <f t="shared" si="149"/>
        <v>0</v>
      </c>
      <c r="S828" s="301">
        <f t="shared" si="150"/>
        <v>0</v>
      </c>
      <c r="T828" s="430">
        <f t="shared" si="151"/>
        <v>0</v>
      </c>
      <c r="U828" s="436"/>
      <c r="V828" s="436"/>
      <c r="W828" s="432"/>
      <c r="Y828" s="433">
        <f t="shared" si="152"/>
        <v>0</v>
      </c>
      <c r="Z828" s="433">
        <f t="shared" si="153"/>
        <v>0</v>
      </c>
      <c r="AC828" s="410">
        <f t="shared" si="154"/>
        <v>0</v>
      </c>
    </row>
    <row r="829" spans="1:29" s="410" customFormat="1" ht="17.25" hidden="1" customHeight="1">
      <c r="B829" s="417" t="str">
        <f>IF(A829&lt;&gt;0,COUNTA(A$19:$A829),"")</f>
        <v/>
      </c>
      <c r="C829" s="428" t="s">
        <v>1793</v>
      </c>
      <c r="D829" s="428"/>
      <c r="E829" s="435"/>
      <c r="F829" s="435"/>
      <c r="G829" s="419">
        <v>35.1</v>
      </c>
      <c r="H829" s="419"/>
      <c r="I829" s="419"/>
      <c r="J829" s="419"/>
      <c r="K829" s="420">
        <v>1</v>
      </c>
      <c r="L829" s="420">
        <f t="shared" si="147"/>
        <v>61040</v>
      </c>
      <c r="M829" s="420">
        <f t="shared" si="148"/>
        <v>817374</v>
      </c>
      <c r="N829" s="445">
        <f>SUMPRODUCT(G829:J829,$G$12:$J$12,$G$9:$J$9)</f>
        <v>570254.06454545446</v>
      </c>
      <c r="O829" s="719"/>
      <c r="P829" s="719">
        <f t="shared" si="155"/>
        <v>1624666.5245454544</v>
      </c>
      <c r="Q829" s="423">
        <f>SUMIF('8.Dgia'!E:E,'9.may'!E829,'8.Dgia'!P:P)</f>
        <v>0</v>
      </c>
      <c r="R829" s="429">
        <f t="shared" si="149"/>
        <v>0</v>
      </c>
      <c r="S829" s="301">
        <f t="shared" si="150"/>
        <v>17701.600000000002</v>
      </c>
      <c r="T829" s="430">
        <f t="shared" si="151"/>
        <v>1405329.6645454546</v>
      </c>
      <c r="U829" s="431">
        <v>251277</v>
      </c>
      <c r="V829" s="431">
        <v>61040</v>
      </c>
      <c r="W829" s="432">
        <v>817374</v>
      </c>
      <c r="Y829" s="433">
        <f t="shared" si="152"/>
        <v>-587955.66454545455</v>
      </c>
      <c r="Z829" s="433">
        <f t="shared" si="153"/>
        <v>0</v>
      </c>
      <c r="AC829" s="410">
        <f t="shared" si="154"/>
        <v>0</v>
      </c>
    </row>
    <row r="830" spans="1:29" s="410" customFormat="1" ht="17.25" hidden="1" customHeight="1">
      <c r="B830" s="417" t="str">
        <f>IF(A830&lt;&gt;0,COUNTA(A$19:$A830),"")</f>
        <v/>
      </c>
      <c r="C830" s="444" t="s">
        <v>1794</v>
      </c>
      <c r="D830" s="444"/>
      <c r="E830" s="435"/>
      <c r="F830" s="435"/>
      <c r="G830" s="419"/>
      <c r="H830" s="419"/>
      <c r="I830" s="419"/>
      <c r="J830" s="419"/>
      <c r="K830" s="420"/>
      <c r="L830" s="420">
        <f t="shared" si="147"/>
        <v>0</v>
      </c>
      <c r="M830" s="420">
        <f t="shared" si="148"/>
        <v>0</v>
      </c>
      <c r="N830" s="445"/>
      <c r="O830" s="719"/>
      <c r="P830" s="719">
        <f t="shared" si="155"/>
        <v>0</v>
      </c>
      <c r="Q830" s="423">
        <f>SUMIF('8.Dgia'!E:E,'9.may'!E830,'8.Dgia'!P:P)</f>
        <v>0</v>
      </c>
      <c r="R830" s="429">
        <f t="shared" si="149"/>
        <v>0</v>
      </c>
      <c r="S830" s="301">
        <f t="shared" si="150"/>
        <v>0</v>
      </c>
      <c r="T830" s="430">
        <f t="shared" si="151"/>
        <v>0</v>
      </c>
      <c r="U830" s="436"/>
      <c r="V830" s="436"/>
      <c r="W830" s="432"/>
      <c r="Y830" s="433">
        <f t="shared" si="152"/>
        <v>0</v>
      </c>
      <c r="Z830" s="433">
        <f t="shared" si="153"/>
        <v>0</v>
      </c>
      <c r="AC830" s="410">
        <f t="shared" si="154"/>
        <v>0</v>
      </c>
    </row>
    <row r="831" spans="1:29" s="410" customFormat="1" ht="17.25" hidden="1" customHeight="1">
      <c r="B831" s="417" t="str">
        <f>IF(A831&lt;&gt;0,COUNTA(A$19:$A831),"")</f>
        <v/>
      </c>
      <c r="C831" s="428" t="s">
        <v>1795</v>
      </c>
      <c r="D831" s="428"/>
      <c r="E831" s="435"/>
      <c r="F831" s="435"/>
      <c r="G831" s="419">
        <v>18.899999999999999</v>
      </c>
      <c r="H831" s="419"/>
      <c r="I831" s="419"/>
      <c r="J831" s="419"/>
      <c r="K831" s="420">
        <v>1</v>
      </c>
      <c r="L831" s="420">
        <f t="shared" si="147"/>
        <v>49506</v>
      </c>
      <c r="M831" s="420">
        <f t="shared" si="148"/>
        <v>435689</v>
      </c>
      <c r="N831" s="445">
        <f>SUMPRODUCT(G831:J831,$G$12:$J$12,$G$9:$J$9)</f>
        <v>307059.88090909086</v>
      </c>
      <c r="O831" s="719"/>
      <c r="P831" s="719">
        <f t="shared" si="155"/>
        <v>869098.69090909092</v>
      </c>
      <c r="Q831" s="423">
        <f>SUMIF('8.Dgia'!E:E,'9.may'!E831,'8.Dgia'!P:P)</f>
        <v>0</v>
      </c>
      <c r="R831" s="429">
        <f t="shared" si="149"/>
        <v>0</v>
      </c>
      <c r="S831" s="301">
        <f t="shared" si="150"/>
        <v>14356.740000000002</v>
      </c>
      <c r="T831" s="430">
        <f t="shared" si="151"/>
        <v>757105.62090909085</v>
      </c>
      <c r="U831" s="431">
        <v>135303</v>
      </c>
      <c r="V831" s="431">
        <v>49506</v>
      </c>
      <c r="W831" s="432">
        <v>435689</v>
      </c>
      <c r="Y831" s="433">
        <f t="shared" si="152"/>
        <v>-321416.62090909085</v>
      </c>
      <c r="Z831" s="433">
        <f t="shared" si="153"/>
        <v>0</v>
      </c>
      <c r="AC831" s="410">
        <f t="shared" si="154"/>
        <v>0</v>
      </c>
    </row>
    <row r="832" spans="1:29" s="410" customFormat="1" ht="17.25" hidden="1" customHeight="1">
      <c r="B832" s="417" t="str">
        <f>IF(A832&lt;&gt;0,COUNTA(A$19:$A832),"")</f>
        <v/>
      </c>
      <c r="C832" s="428" t="s">
        <v>1796</v>
      </c>
      <c r="D832" s="428" t="s">
        <v>1797</v>
      </c>
      <c r="E832" s="435"/>
      <c r="F832" s="435"/>
      <c r="G832" s="419">
        <v>27</v>
      </c>
      <c r="H832" s="419"/>
      <c r="I832" s="419"/>
      <c r="J832" s="419"/>
      <c r="K832" s="420">
        <v>1</v>
      </c>
      <c r="L832" s="420">
        <f t="shared" si="147"/>
        <v>57817</v>
      </c>
      <c r="M832" s="420">
        <f t="shared" si="148"/>
        <v>626912</v>
      </c>
      <c r="N832" s="445">
        <f>SUMPRODUCT(G832:J832,$G$12:$J$12,$G$9:$J$9)</f>
        <v>438656.97272727272</v>
      </c>
      <c r="O832" s="719"/>
      <c r="P832" s="719">
        <f t="shared" si="155"/>
        <v>1247373.4527272726</v>
      </c>
      <c r="Q832" s="423">
        <f>SUMIF('8.Dgia'!E:E,'9.may'!E832,'8.Dgia'!P:P)</f>
        <v>0</v>
      </c>
      <c r="R832" s="429">
        <f t="shared" si="149"/>
        <v>0</v>
      </c>
      <c r="S832" s="301">
        <f t="shared" si="150"/>
        <v>16766.93</v>
      </c>
      <c r="T832" s="430">
        <f t="shared" si="151"/>
        <v>1082335.9027272728</v>
      </c>
      <c r="U832" s="431">
        <v>193290</v>
      </c>
      <c r="V832" s="431">
        <v>57817</v>
      </c>
      <c r="W832" s="432">
        <v>626912</v>
      </c>
      <c r="Y832" s="433">
        <f t="shared" si="152"/>
        <v>-455423.90272727283</v>
      </c>
      <c r="Z832" s="433">
        <f t="shared" si="153"/>
        <v>0</v>
      </c>
      <c r="AC832" s="410">
        <f t="shared" si="154"/>
        <v>0</v>
      </c>
    </row>
    <row r="833" spans="1:29" s="410" customFormat="1" ht="17.25" hidden="1" customHeight="1">
      <c r="B833" s="417" t="str">
        <f>IF(A833&lt;&gt;0,COUNTA(A$19:$A833),"")</f>
        <v/>
      </c>
      <c r="C833" s="444" t="s">
        <v>1798</v>
      </c>
      <c r="D833" s="444"/>
      <c r="E833" s="435"/>
      <c r="F833" s="435"/>
      <c r="G833" s="419"/>
      <c r="H833" s="419"/>
      <c r="I833" s="419"/>
      <c r="J833" s="419"/>
      <c r="K833" s="420"/>
      <c r="L833" s="420">
        <f t="shared" si="147"/>
        <v>0</v>
      </c>
      <c r="M833" s="420">
        <f t="shared" si="148"/>
        <v>0</v>
      </c>
      <c r="N833" s="445"/>
      <c r="O833" s="719"/>
      <c r="P833" s="719">
        <f t="shared" si="155"/>
        <v>0</v>
      </c>
      <c r="Q833" s="423">
        <f>SUMIF('8.Dgia'!E:E,'9.may'!E833,'8.Dgia'!P:P)</f>
        <v>0</v>
      </c>
      <c r="R833" s="429">
        <f t="shared" si="149"/>
        <v>0</v>
      </c>
      <c r="S833" s="301">
        <f t="shared" si="150"/>
        <v>0</v>
      </c>
      <c r="T833" s="430">
        <f t="shared" si="151"/>
        <v>0</v>
      </c>
      <c r="U833" s="436"/>
      <c r="V833" s="436"/>
      <c r="W833" s="432"/>
      <c r="Y833" s="433">
        <f t="shared" si="152"/>
        <v>0</v>
      </c>
      <c r="Z833" s="433">
        <f t="shared" si="153"/>
        <v>0</v>
      </c>
      <c r="AC833" s="410">
        <f t="shared" si="154"/>
        <v>0</v>
      </c>
    </row>
    <row r="834" spans="1:29" s="410" customFormat="1" ht="17.25" hidden="1" customHeight="1">
      <c r="B834" s="417" t="str">
        <f>IF(A834&lt;&gt;0,COUNTA(A$19:$A834),"")</f>
        <v/>
      </c>
      <c r="C834" s="428" t="s">
        <v>1504</v>
      </c>
      <c r="D834" s="428"/>
      <c r="E834" s="435"/>
      <c r="F834" s="435"/>
      <c r="G834" s="419">
        <v>16.100000000000001</v>
      </c>
      <c r="H834" s="419"/>
      <c r="I834" s="419"/>
      <c r="J834" s="419"/>
      <c r="K834" s="420">
        <v>1</v>
      </c>
      <c r="L834" s="420">
        <f t="shared" si="147"/>
        <v>46283</v>
      </c>
      <c r="M834" s="420">
        <f t="shared" si="148"/>
        <v>348208</v>
      </c>
      <c r="N834" s="445">
        <f t="shared" ref="N834:N842" si="157">SUMPRODUCT(G834:J834,$G$12:$J$12,$G$9:$J$9)</f>
        <v>261569.52818181817</v>
      </c>
      <c r="O834" s="719"/>
      <c r="P834" s="719">
        <f t="shared" si="155"/>
        <v>710757.84818181815</v>
      </c>
      <c r="Q834" s="423">
        <f>SUMIF('8.Dgia'!E:E,'9.may'!E834,'8.Dgia'!P:P)</f>
        <v>0</v>
      </c>
      <c r="R834" s="429">
        <f t="shared" si="149"/>
        <v>0</v>
      </c>
      <c r="S834" s="301">
        <f t="shared" si="150"/>
        <v>13422.070000000002</v>
      </c>
      <c r="T834" s="430">
        <f t="shared" si="151"/>
        <v>623199.59818181815</v>
      </c>
      <c r="U834" s="431">
        <v>115258</v>
      </c>
      <c r="V834" s="431">
        <v>46283</v>
      </c>
      <c r="W834" s="432">
        <v>348208</v>
      </c>
      <c r="Y834" s="433">
        <f t="shared" si="152"/>
        <v>-274991.59818181815</v>
      </c>
      <c r="Z834" s="433">
        <f t="shared" si="153"/>
        <v>0</v>
      </c>
      <c r="AC834" s="410">
        <f t="shared" si="154"/>
        <v>0</v>
      </c>
    </row>
    <row r="835" spans="1:29" s="410" customFormat="1" ht="17.25" hidden="1" customHeight="1">
      <c r="B835" s="417" t="str">
        <f>IF(A835&lt;&gt;0,COUNTA(A$19:$A835),"")</f>
        <v/>
      </c>
      <c r="C835" s="428" t="s">
        <v>1103</v>
      </c>
      <c r="D835" s="428"/>
      <c r="E835" s="435"/>
      <c r="F835" s="435"/>
      <c r="G835" s="419">
        <v>18</v>
      </c>
      <c r="H835" s="419"/>
      <c r="I835" s="419"/>
      <c r="J835" s="419"/>
      <c r="K835" s="420">
        <v>1</v>
      </c>
      <c r="L835" s="420">
        <f t="shared" si="147"/>
        <v>46283</v>
      </c>
      <c r="M835" s="420">
        <f t="shared" si="148"/>
        <v>369597</v>
      </c>
      <c r="N835" s="445">
        <f t="shared" si="157"/>
        <v>292437.98181818175</v>
      </c>
      <c r="O835" s="719"/>
      <c r="P835" s="719">
        <f t="shared" si="155"/>
        <v>769218.11181818182</v>
      </c>
      <c r="Q835" s="423">
        <f>SUMIF('8.Dgia'!E:E,'9.may'!E835,'8.Dgia'!P:P)</f>
        <v>0</v>
      </c>
      <c r="R835" s="429">
        <f t="shared" si="149"/>
        <v>0</v>
      </c>
      <c r="S835" s="301">
        <f t="shared" si="150"/>
        <v>13422.070000000002</v>
      </c>
      <c r="T835" s="430">
        <f t="shared" si="151"/>
        <v>675457.05181818176</v>
      </c>
      <c r="U835" s="431">
        <v>128860</v>
      </c>
      <c r="V835" s="431">
        <v>46283</v>
      </c>
      <c r="W835" s="432">
        <v>369597</v>
      </c>
      <c r="Y835" s="433">
        <f t="shared" si="152"/>
        <v>-305860.05181818176</v>
      </c>
      <c r="Z835" s="433">
        <f t="shared" si="153"/>
        <v>0</v>
      </c>
      <c r="AC835" s="410">
        <f t="shared" si="154"/>
        <v>0</v>
      </c>
    </row>
    <row r="836" spans="1:29" s="410" customFormat="1" ht="17.25" hidden="1" customHeight="1">
      <c r="B836" s="417" t="str">
        <f>IF(A836&lt;&gt;0,COUNTA(A$19:$A836),"")</f>
        <v/>
      </c>
      <c r="C836" s="428" t="s">
        <v>1105</v>
      </c>
      <c r="D836" s="428"/>
      <c r="E836" s="435"/>
      <c r="F836" s="435"/>
      <c r="G836" s="419">
        <v>20.8</v>
      </c>
      <c r="H836" s="419"/>
      <c r="I836" s="419"/>
      <c r="J836" s="419"/>
      <c r="K836" s="420">
        <v>1</v>
      </c>
      <c r="L836" s="420">
        <f t="shared" si="147"/>
        <v>46283</v>
      </c>
      <c r="M836" s="420">
        <f t="shared" si="148"/>
        <v>464480</v>
      </c>
      <c r="N836" s="445">
        <f t="shared" si="157"/>
        <v>337928.33454545448</v>
      </c>
      <c r="O836" s="719"/>
      <c r="P836" s="719">
        <f t="shared" si="155"/>
        <v>937107.53454545455</v>
      </c>
      <c r="Q836" s="423">
        <f>SUMIF('8.Dgia'!E:E,'9.may'!E836,'8.Dgia'!P:P)</f>
        <v>0</v>
      </c>
      <c r="R836" s="429">
        <f t="shared" si="149"/>
        <v>0</v>
      </c>
      <c r="S836" s="301">
        <f t="shared" si="150"/>
        <v>13422.070000000002</v>
      </c>
      <c r="T836" s="430">
        <f t="shared" si="151"/>
        <v>815830.40454545454</v>
      </c>
      <c r="U836" s="431">
        <v>148905</v>
      </c>
      <c r="V836" s="431">
        <v>46283</v>
      </c>
      <c r="W836" s="432">
        <v>464480</v>
      </c>
      <c r="Y836" s="433">
        <f t="shared" si="152"/>
        <v>-351350.40454545454</v>
      </c>
      <c r="Z836" s="433">
        <f t="shared" si="153"/>
        <v>0</v>
      </c>
      <c r="AC836" s="410">
        <f t="shared" si="154"/>
        <v>0</v>
      </c>
    </row>
    <row r="837" spans="1:29" s="410" customFormat="1" ht="17.25" hidden="1" customHeight="1">
      <c r="B837" s="417" t="str">
        <f>IF(A837&lt;&gt;0,COUNTA(A$19:$A837),"")</f>
        <v/>
      </c>
      <c r="C837" s="428" t="s">
        <v>1004</v>
      </c>
      <c r="D837" s="428"/>
      <c r="E837" s="435"/>
      <c r="F837" s="435"/>
      <c r="G837" s="419">
        <v>40.5</v>
      </c>
      <c r="H837" s="419"/>
      <c r="I837" s="419"/>
      <c r="J837" s="419"/>
      <c r="K837" s="420">
        <v>1</v>
      </c>
      <c r="L837" s="420">
        <f t="shared" si="147"/>
        <v>49506</v>
      </c>
      <c r="M837" s="420">
        <f t="shared" si="148"/>
        <v>655302</v>
      </c>
      <c r="N837" s="445">
        <f t="shared" si="157"/>
        <v>657985.45909090911</v>
      </c>
      <c r="O837" s="719"/>
      <c r="P837" s="719">
        <f t="shared" si="155"/>
        <v>1503325.0390909091</v>
      </c>
      <c r="Q837" s="423">
        <f>SUMIF('8.Dgia'!E:E,'9.may'!E837,'8.Dgia'!P:P)</f>
        <v>0</v>
      </c>
      <c r="R837" s="429">
        <f t="shared" si="149"/>
        <v>0</v>
      </c>
      <c r="S837" s="301">
        <f t="shared" si="150"/>
        <v>14356.740000000002</v>
      </c>
      <c r="T837" s="430">
        <f t="shared" si="151"/>
        <v>1327644.1990909092</v>
      </c>
      <c r="U837" s="431">
        <v>289935</v>
      </c>
      <c r="V837" s="431">
        <v>49506</v>
      </c>
      <c r="W837" s="432">
        <v>655302</v>
      </c>
      <c r="Y837" s="433">
        <f t="shared" si="152"/>
        <v>-672342.19909090921</v>
      </c>
      <c r="Z837" s="433">
        <f t="shared" si="153"/>
        <v>0</v>
      </c>
      <c r="AC837" s="410">
        <f t="shared" si="154"/>
        <v>0</v>
      </c>
    </row>
    <row r="838" spans="1:29" s="410" customFormat="1" ht="17.25" hidden="1" customHeight="1">
      <c r="B838" s="417" t="str">
        <f>IF(A838&lt;&gt;0,COUNTA(A$19:$A838),"")</f>
        <v/>
      </c>
      <c r="C838" s="428" t="s">
        <v>999</v>
      </c>
      <c r="D838" s="428"/>
      <c r="E838" s="435"/>
      <c r="F838" s="435"/>
      <c r="G838" s="419">
        <v>51.3</v>
      </c>
      <c r="H838" s="419"/>
      <c r="I838" s="419"/>
      <c r="J838" s="419"/>
      <c r="K838" s="420">
        <v>1</v>
      </c>
      <c r="L838" s="420">
        <f t="shared" si="147"/>
        <v>49506</v>
      </c>
      <c r="M838" s="420">
        <f t="shared" si="148"/>
        <v>773447</v>
      </c>
      <c r="N838" s="445">
        <f t="shared" si="157"/>
        <v>833448.24818181805</v>
      </c>
      <c r="O838" s="719"/>
      <c r="P838" s="719">
        <f t="shared" si="155"/>
        <v>1831194.8781818179</v>
      </c>
      <c r="Q838" s="423">
        <f>SUMIF('8.Dgia'!E:E,'9.may'!E838,'8.Dgia'!P:P)</f>
        <v>0</v>
      </c>
      <c r="R838" s="429">
        <f t="shared" si="149"/>
        <v>0</v>
      </c>
      <c r="S838" s="301">
        <f t="shared" si="150"/>
        <v>14356.740000000002</v>
      </c>
      <c r="T838" s="430">
        <f t="shared" si="151"/>
        <v>1621251.988181818</v>
      </c>
      <c r="U838" s="431">
        <v>367252</v>
      </c>
      <c r="V838" s="431">
        <v>49506</v>
      </c>
      <c r="W838" s="432">
        <v>773447</v>
      </c>
      <c r="Y838" s="433">
        <f t="shared" si="152"/>
        <v>-847804.98818181804</v>
      </c>
      <c r="Z838" s="433">
        <f t="shared" si="153"/>
        <v>0</v>
      </c>
      <c r="AC838" s="410">
        <f t="shared" si="154"/>
        <v>0</v>
      </c>
    </row>
    <row r="839" spans="1:29" s="410" customFormat="1" ht="17.25" hidden="1" customHeight="1">
      <c r="B839" s="417" t="str">
        <f>IF(A839&lt;&gt;0,COUNTA(A$19:$A839),"")</f>
        <v/>
      </c>
      <c r="C839" s="428" t="s">
        <v>1009</v>
      </c>
      <c r="D839" s="428"/>
      <c r="E839" s="435"/>
      <c r="F839" s="435"/>
      <c r="G839" s="419">
        <v>64.8</v>
      </c>
      <c r="H839" s="419"/>
      <c r="I839" s="419"/>
      <c r="J839" s="419"/>
      <c r="K839" s="420">
        <v>1</v>
      </c>
      <c r="L839" s="420">
        <f t="shared" si="147"/>
        <v>61040</v>
      </c>
      <c r="M839" s="420">
        <f t="shared" si="148"/>
        <v>922544</v>
      </c>
      <c r="N839" s="445">
        <f t="shared" si="157"/>
        <v>1052776.7345454544</v>
      </c>
      <c r="O839" s="719"/>
      <c r="P839" s="719">
        <f t="shared" si="155"/>
        <v>2242858.4945454542</v>
      </c>
      <c r="Q839" s="423">
        <f>SUMIF('8.Dgia'!E:E,'9.may'!E839,'8.Dgia'!P:P)</f>
        <v>0</v>
      </c>
      <c r="R839" s="429">
        <f t="shared" si="149"/>
        <v>0</v>
      </c>
      <c r="S839" s="301">
        <f t="shared" si="150"/>
        <v>17701.600000000002</v>
      </c>
      <c r="T839" s="430">
        <f t="shared" si="151"/>
        <v>1993022.3345454545</v>
      </c>
      <c r="U839" s="431">
        <v>463897</v>
      </c>
      <c r="V839" s="431">
        <v>61040</v>
      </c>
      <c r="W839" s="432">
        <v>922544</v>
      </c>
      <c r="Y839" s="433">
        <f t="shared" si="152"/>
        <v>-1070478.3345454545</v>
      </c>
      <c r="Z839" s="433">
        <f t="shared" si="153"/>
        <v>0</v>
      </c>
      <c r="AC839" s="410">
        <f t="shared" si="154"/>
        <v>0</v>
      </c>
    </row>
    <row r="840" spans="1:29" s="410" customFormat="1" ht="17.25" hidden="1" customHeight="1">
      <c r="B840" s="417" t="str">
        <f>IF(A840&lt;&gt;0,COUNTA(A$19:$A840),"")</f>
        <v/>
      </c>
      <c r="C840" s="428" t="s">
        <v>1799</v>
      </c>
      <c r="D840" s="428"/>
      <c r="E840" s="435"/>
      <c r="F840" s="435"/>
      <c r="G840" s="419">
        <v>64.8</v>
      </c>
      <c r="H840" s="419"/>
      <c r="I840" s="419"/>
      <c r="J840" s="419"/>
      <c r="K840" s="420">
        <v>1</v>
      </c>
      <c r="L840" s="420">
        <f t="shared" si="147"/>
        <v>61040</v>
      </c>
      <c r="M840" s="420">
        <f t="shared" si="148"/>
        <v>988824</v>
      </c>
      <c r="N840" s="445">
        <f t="shared" si="157"/>
        <v>1052776.7345454544</v>
      </c>
      <c r="O840" s="719"/>
      <c r="P840" s="719">
        <f t="shared" si="155"/>
        <v>2328359.6945454543</v>
      </c>
      <c r="Q840" s="423">
        <f>SUMIF('8.Dgia'!E:E,'9.may'!E840,'8.Dgia'!P:P)</f>
        <v>0</v>
      </c>
      <c r="R840" s="429">
        <f t="shared" si="149"/>
        <v>0</v>
      </c>
      <c r="S840" s="301">
        <f t="shared" si="150"/>
        <v>17701.600000000002</v>
      </c>
      <c r="T840" s="430">
        <f t="shared" si="151"/>
        <v>2059302.3345454545</v>
      </c>
      <c r="U840" s="448">
        <v>463897</v>
      </c>
      <c r="V840" s="448">
        <v>61040</v>
      </c>
      <c r="W840" s="432">
        <v>988824</v>
      </c>
      <c r="Y840" s="433">
        <f t="shared" si="152"/>
        <v>-1070478.3345454545</v>
      </c>
      <c r="Z840" s="433">
        <f t="shared" si="153"/>
        <v>0</v>
      </c>
      <c r="AC840" s="410">
        <f t="shared" si="154"/>
        <v>0</v>
      </c>
    </row>
    <row r="841" spans="1:29" s="410" customFormat="1" ht="17.25" hidden="1" customHeight="1">
      <c r="B841" s="417" t="str">
        <f>IF(A841&lt;&gt;0,COUNTA(A$19:$A841),"")</f>
        <v/>
      </c>
      <c r="C841" s="428" t="s">
        <v>1800</v>
      </c>
      <c r="D841" s="428"/>
      <c r="E841" s="435"/>
      <c r="F841" s="435"/>
      <c r="G841" s="419">
        <v>20.8</v>
      </c>
      <c r="H841" s="419"/>
      <c r="I841" s="419"/>
      <c r="J841" s="419"/>
      <c r="K841" s="420">
        <v>1</v>
      </c>
      <c r="L841" s="420">
        <f t="shared" si="147"/>
        <v>46283</v>
      </c>
      <c r="M841" s="420">
        <f t="shared" si="148"/>
        <v>384035</v>
      </c>
      <c r="N841" s="445">
        <f t="shared" si="157"/>
        <v>337928.33454545448</v>
      </c>
      <c r="O841" s="719"/>
      <c r="P841" s="719">
        <f t="shared" si="155"/>
        <v>833333.4845454545</v>
      </c>
      <c r="Q841" s="423">
        <f>SUMIF('8.Dgia'!E:E,'9.may'!E841,'8.Dgia'!P:P)</f>
        <v>0</v>
      </c>
      <c r="R841" s="429">
        <f t="shared" si="149"/>
        <v>0</v>
      </c>
      <c r="S841" s="301">
        <f t="shared" si="150"/>
        <v>13422.070000000002</v>
      </c>
      <c r="T841" s="430">
        <f t="shared" si="151"/>
        <v>735385.40454545454</v>
      </c>
      <c r="U841" s="448">
        <v>148905</v>
      </c>
      <c r="V841" s="448">
        <v>46283</v>
      </c>
      <c r="W841" s="432">
        <v>384035</v>
      </c>
      <c r="Y841" s="433">
        <f t="shared" si="152"/>
        <v>-351350.40454545454</v>
      </c>
      <c r="Z841" s="433">
        <f t="shared" si="153"/>
        <v>0</v>
      </c>
      <c r="AC841" s="410">
        <f t="shared" si="154"/>
        <v>0</v>
      </c>
    </row>
    <row r="842" spans="1:29" s="410" customFormat="1" ht="17.25" hidden="1" customHeight="1">
      <c r="B842" s="417" t="str">
        <f>IF(A842&lt;&gt;0,COUNTA(A$19:$A842),"")</f>
        <v/>
      </c>
      <c r="C842" s="428" t="s">
        <v>1801</v>
      </c>
      <c r="D842" s="428"/>
      <c r="E842" s="435"/>
      <c r="F842" s="435"/>
      <c r="G842" s="419">
        <v>15.1</v>
      </c>
      <c r="H842" s="419"/>
      <c r="I842" s="419"/>
      <c r="J842" s="419"/>
      <c r="K842" s="420">
        <v>1</v>
      </c>
      <c r="L842" s="420">
        <f t="shared" si="147"/>
        <v>46283</v>
      </c>
      <c r="M842" s="420">
        <f t="shared" si="148"/>
        <v>682110</v>
      </c>
      <c r="N842" s="445">
        <f t="shared" si="157"/>
        <v>245322.9736363636</v>
      </c>
      <c r="O842" s="719"/>
      <c r="P842" s="719">
        <f t="shared" si="155"/>
        <v>1125244.8736363635</v>
      </c>
      <c r="Q842" s="423">
        <f>SUMIF('8.Dgia'!E:E,'9.may'!E842,'8.Dgia'!P:P)</f>
        <v>0</v>
      </c>
      <c r="R842" s="429">
        <f t="shared" si="149"/>
        <v>0</v>
      </c>
      <c r="S842" s="301">
        <f t="shared" si="150"/>
        <v>13422.070000000002</v>
      </c>
      <c r="T842" s="430">
        <f t="shared" si="151"/>
        <v>940855.04363636358</v>
      </c>
      <c r="U842" s="448">
        <v>108099</v>
      </c>
      <c r="V842" s="448">
        <v>46283</v>
      </c>
      <c r="W842" s="432">
        <v>682110</v>
      </c>
      <c r="Y842" s="433">
        <f t="shared" si="152"/>
        <v>-258745.04363636358</v>
      </c>
      <c r="Z842" s="433">
        <f t="shared" si="153"/>
        <v>0</v>
      </c>
      <c r="AC842" s="410">
        <f t="shared" si="154"/>
        <v>0</v>
      </c>
    </row>
    <row r="843" spans="1:29" s="410" customFormat="1" ht="17.25" hidden="1" customHeight="1">
      <c r="B843" s="417" t="str">
        <f>IF(A843&lt;&gt;0,COUNTA(A$19:$A843),"")</f>
        <v/>
      </c>
      <c r="C843" s="444" t="s">
        <v>1802</v>
      </c>
      <c r="D843" s="444"/>
      <c r="E843" s="435"/>
      <c r="F843" s="435"/>
      <c r="G843" s="419"/>
      <c r="H843" s="419"/>
      <c r="I843" s="419"/>
      <c r="J843" s="419"/>
      <c r="K843" s="420"/>
      <c r="L843" s="420">
        <f t="shared" si="147"/>
        <v>0</v>
      </c>
      <c r="M843" s="420">
        <f t="shared" si="148"/>
        <v>0</v>
      </c>
      <c r="N843" s="445"/>
      <c r="O843" s="719"/>
      <c r="P843" s="719">
        <f t="shared" si="155"/>
        <v>0</v>
      </c>
      <c r="Q843" s="423">
        <f>SUMIF('8.Dgia'!E:E,'9.may'!E843,'8.Dgia'!P:P)</f>
        <v>0</v>
      </c>
      <c r="R843" s="429">
        <f t="shared" si="149"/>
        <v>0</v>
      </c>
      <c r="S843" s="301">
        <f t="shared" si="150"/>
        <v>0</v>
      </c>
      <c r="T843" s="430">
        <f t="shared" si="151"/>
        <v>0</v>
      </c>
      <c r="U843" s="436"/>
      <c r="V843" s="436"/>
      <c r="W843" s="432"/>
      <c r="Y843" s="433">
        <f t="shared" si="152"/>
        <v>0</v>
      </c>
      <c r="Z843" s="433">
        <f t="shared" si="153"/>
        <v>0</v>
      </c>
      <c r="AC843" s="410">
        <f t="shared" si="154"/>
        <v>0</v>
      </c>
    </row>
    <row r="844" spans="1:29" s="410" customFormat="1" ht="17.25" customHeight="1">
      <c r="A844" s="410">
        <v>1</v>
      </c>
      <c r="B844" s="417">
        <f>IF(A844&lt;&gt;0,COUNTA(A$19:$A844),"")</f>
        <v>218</v>
      </c>
      <c r="C844" s="428" t="s">
        <v>1803</v>
      </c>
      <c r="D844" s="428" t="s">
        <v>1804</v>
      </c>
      <c r="E844" s="435" t="s">
        <v>1803</v>
      </c>
      <c r="F844" s="435" t="s">
        <v>4861</v>
      </c>
      <c r="G844" s="419"/>
      <c r="H844" s="419">
        <v>5.6</v>
      </c>
      <c r="I844" s="419"/>
      <c r="J844" s="419"/>
      <c r="K844" s="420">
        <v>1</v>
      </c>
      <c r="L844" s="420">
        <f t="shared" si="147"/>
        <v>48658</v>
      </c>
      <c r="M844" s="420">
        <f t="shared" si="148"/>
        <v>166275</v>
      </c>
      <c r="N844" s="445">
        <f>SUMPRODUCT(G844:J844,$G$12:$J$12,$G$9:$J$9)</f>
        <v>3565.2400000000002</v>
      </c>
      <c r="O844" s="719"/>
      <c r="P844" s="719">
        <f t="shared" si="155"/>
        <v>218059.99</v>
      </c>
      <c r="Q844" s="423">
        <f>SUMIF('8.Dgia'!E:E,'9.may'!E844,'8.Dgia'!P:P)</f>
        <v>0</v>
      </c>
      <c r="R844" s="429">
        <f t="shared" si="149"/>
        <v>0</v>
      </c>
      <c r="S844" s="301">
        <f t="shared" si="150"/>
        <v>14110.820000000002</v>
      </c>
      <c r="T844" s="430">
        <f t="shared" si="151"/>
        <v>183951.06</v>
      </c>
      <c r="U844" s="2053">
        <v>5363</v>
      </c>
      <c r="V844" s="2053">
        <v>48658</v>
      </c>
      <c r="W844" s="2054">
        <v>166275</v>
      </c>
      <c r="Y844" s="433">
        <f t="shared" si="152"/>
        <v>-17676.059999999998</v>
      </c>
      <c r="Z844" s="433">
        <f t="shared" si="153"/>
        <v>0</v>
      </c>
      <c r="AC844" s="410">
        <f t="shared" si="154"/>
        <v>0</v>
      </c>
    </row>
    <row r="845" spans="1:29" s="410" customFormat="1" ht="17.25" hidden="1" customHeight="1">
      <c r="B845" s="417" t="str">
        <f>IF(A845&lt;&gt;0,COUNTA(A$19:$A845),"")</f>
        <v/>
      </c>
      <c r="C845" s="444" t="s">
        <v>1805</v>
      </c>
      <c r="D845" s="444"/>
      <c r="E845" s="435"/>
      <c r="F845" s="435"/>
      <c r="G845" s="419"/>
      <c r="H845" s="419"/>
      <c r="I845" s="419"/>
      <c r="J845" s="419"/>
      <c r="K845" s="420"/>
      <c r="L845" s="420">
        <f t="shared" si="147"/>
        <v>0</v>
      </c>
      <c r="M845" s="420">
        <f t="shared" si="148"/>
        <v>0</v>
      </c>
      <c r="N845" s="445"/>
      <c r="O845" s="719"/>
      <c r="P845" s="719">
        <f t="shared" si="155"/>
        <v>0</v>
      </c>
      <c r="Q845" s="423">
        <f>SUMIF('8.Dgia'!E:E,'9.may'!E845,'8.Dgia'!P:P)</f>
        <v>0</v>
      </c>
      <c r="R845" s="429">
        <f t="shared" si="149"/>
        <v>0</v>
      </c>
      <c r="S845" s="301">
        <f t="shared" si="150"/>
        <v>0</v>
      </c>
      <c r="T845" s="430">
        <f t="shared" si="151"/>
        <v>0</v>
      </c>
      <c r="U845" s="436"/>
      <c r="V845" s="436"/>
      <c r="W845" s="432"/>
      <c r="Y845" s="433">
        <f t="shared" si="152"/>
        <v>0</v>
      </c>
      <c r="Z845" s="433">
        <f t="shared" si="153"/>
        <v>0</v>
      </c>
      <c r="AC845" s="410">
        <f t="shared" si="154"/>
        <v>0</v>
      </c>
    </row>
    <row r="846" spans="1:29" s="410" customFormat="1" ht="17.25" hidden="1" customHeight="1">
      <c r="B846" s="417" t="str">
        <f>IF(A846&lt;&gt;0,COUNTA(A$19:$A846),"")</f>
        <v/>
      </c>
      <c r="C846" s="428" t="s">
        <v>1806</v>
      </c>
      <c r="D846" s="428"/>
      <c r="E846" s="435"/>
      <c r="F846" s="435"/>
      <c r="G846" s="419">
        <v>53.1</v>
      </c>
      <c r="H846" s="419"/>
      <c r="I846" s="419"/>
      <c r="J846" s="419"/>
      <c r="K846" s="420">
        <v>1</v>
      </c>
      <c r="L846" s="420">
        <f t="shared" si="147"/>
        <v>171586</v>
      </c>
      <c r="M846" s="420">
        <f t="shared" si="148"/>
        <v>1435598</v>
      </c>
      <c r="N846" s="445">
        <f>SUMPRODUCT(G846:J846,$G$12:$J$12,$G$9:$J$9)</f>
        <v>862692.04636363639</v>
      </c>
      <c r="O846" s="719"/>
      <c r="P846" s="719">
        <f t="shared" si="155"/>
        <v>2714613.4663636368</v>
      </c>
      <c r="Q846" s="423">
        <f>SUMIF('8.Dgia'!E:E,'9.may'!E846,'8.Dgia'!P:P)</f>
        <v>0</v>
      </c>
      <c r="R846" s="429">
        <f t="shared" si="149"/>
        <v>0</v>
      </c>
      <c r="S846" s="301">
        <f t="shared" si="150"/>
        <v>49759.94000000001</v>
      </c>
      <c r="T846" s="430">
        <f t="shared" si="151"/>
        <v>2348049.9863636363</v>
      </c>
      <c r="U846" s="431">
        <v>380138</v>
      </c>
      <c r="V846" s="431">
        <v>171586</v>
      </c>
      <c r="W846" s="432">
        <v>1435598</v>
      </c>
      <c r="Y846" s="433">
        <f t="shared" si="152"/>
        <v>-912451.98636363633</v>
      </c>
      <c r="Z846" s="433">
        <f t="shared" si="153"/>
        <v>0</v>
      </c>
      <c r="AC846" s="410">
        <f t="shared" si="154"/>
        <v>0</v>
      </c>
    </row>
    <row r="847" spans="1:29" s="410" customFormat="1" ht="17.25" hidden="1" customHeight="1">
      <c r="B847" s="417" t="str">
        <f>IF(A847&lt;&gt;0,COUNTA(A$19:$A847),"")</f>
        <v/>
      </c>
      <c r="C847" s="428" t="s">
        <v>1807</v>
      </c>
      <c r="D847" s="428"/>
      <c r="E847" s="435"/>
      <c r="F847" s="435"/>
      <c r="G847" s="419">
        <v>53.1</v>
      </c>
      <c r="H847" s="419"/>
      <c r="I847" s="419"/>
      <c r="J847" s="419"/>
      <c r="K847" s="420">
        <v>1</v>
      </c>
      <c r="L847" s="420">
        <f t="shared" si="147"/>
        <v>220244</v>
      </c>
      <c r="M847" s="420">
        <f t="shared" si="148"/>
        <v>1015582</v>
      </c>
      <c r="N847" s="445">
        <f>SUMPRODUCT(G847:J847,$G$12:$J$12,$G$9:$J$9)</f>
        <v>862692.04636363639</v>
      </c>
      <c r="O847" s="719"/>
      <c r="P847" s="719">
        <f t="shared" si="155"/>
        <v>2172792.8263636362</v>
      </c>
      <c r="Q847" s="423">
        <f>SUMIF('8.Dgia'!E:E,'9.may'!E847,'8.Dgia'!P:P)</f>
        <v>0</v>
      </c>
      <c r="R847" s="429">
        <f t="shared" si="149"/>
        <v>0</v>
      </c>
      <c r="S847" s="301">
        <f t="shared" si="150"/>
        <v>63870.760000000009</v>
      </c>
      <c r="T847" s="430">
        <f t="shared" si="151"/>
        <v>1942144.8063636364</v>
      </c>
      <c r="U847" s="448">
        <v>380138</v>
      </c>
      <c r="V847" s="448">
        <v>220244</v>
      </c>
      <c r="W847" s="432">
        <v>1015582</v>
      </c>
      <c r="Y847" s="433">
        <f t="shared" si="152"/>
        <v>-926562.80636363639</v>
      </c>
      <c r="Z847" s="433">
        <f t="shared" si="153"/>
        <v>0</v>
      </c>
      <c r="AC847" s="410">
        <f t="shared" si="154"/>
        <v>0</v>
      </c>
    </row>
    <row r="848" spans="1:29" s="410" customFormat="1" ht="17.25" hidden="1" customHeight="1">
      <c r="B848" s="417" t="str">
        <f>IF(A848&lt;&gt;0,COUNTA(A$19:$A848),"")</f>
        <v/>
      </c>
      <c r="C848" s="444" t="s">
        <v>1808</v>
      </c>
      <c r="D848" s="444"/>
      <c r="E848" s="435"/>
      <c r="F848" s="435"/>
      <c r="G848" s="419"/>
      <c r="H848" s="419"/>
      <c r="I848" s="419"/>
      <c r="J848" s="419"/>
      <c r="K848" s="420"/>
      <c r="L848" s="420">
        <f t="shared" si="147"/>
        <v>0</v>
      </c>
      <c r="M848" s="420">
        <f t="shared" si="148"/>
        <v>0</v>
      </c>
      <c r="N848" s="445"/>
      <c r="O848" s="719"/>
      <c r="P848" s="719">
        <f t="shared" si="155"/>
        <v>0</v>
      </c>
      <c r="Q848" s="423">
        <f>SUMIF('8.Dgia'!E:E,'9.may'!E848,'8.Dgia'!P:P)</f>
        <v>0</v>
      </c>
      <c r="R848" s="429">
        <f t="shared" si="149"/>
        <v>0</v>
      </c>
      <c r="S848" s="301">
        <f t="shared" si="150"/>
        <v>0</v>
      </c>
      <c r="T848" s="430">
        <f t="shared" si="151"/>
        <v>0</v>
      </c>
      <c r="U848" s="436"/>
      <c r="V848" s="436"/>
      <c r="W848" s="432"/>
      <c r="Y848" s="433">
        <f t="shared" si="152"/>
        <v>0</v>
      </c>
      <c r="Z848" s="433">
        <f t="shared" si="153"/>
        <v>0</v>
      </c>
      <c r="AC848" s="410">
        <f t="shared" si="154"/>
        <v>0</v>
      </c>
    </row>
    <row r="849" spans="2:29" s="410" customFormat="1" ht="17.25" hidden="1" customHeight="1">
      <c r="B849" s="417" t="str">
        <f>IF(A849&lt;&gt;0,COUNTA(A$19:$A849),"")</f>
        <v/>
      </c>
      <c r="C849" s="428" t="s">
        <v>1809</v>
      </c>
      <c r="D849" s="428"/>
      <c r="E849" s="435"/>
      <c r="F849" s="435"/>
      <c r="G849" s="419">
        <v>123.8</v>
      </c>
      <c r="H849" s="419"/>
      <c r="I849" s="419"/>
      <c r="J849" s="419"/>
      <c r="K849" s="420">
        <v>1</v>
      </c>
      <c r="L849" s="420">
        <f t="shared" si="147"/>
        <v>154116</v>
      </c>
      <c r="M849" s="420">
        <f t="shared" si="148"/>
        <v>1393304</v>
      </c>
      <c r="N849" s="445">
        <f>SUMPRODUCT(G849:J849,$G$12:$J$12,$G$9:$J$9)</f>
        <v>2011323.4527272724</v>
      </c>
      <c r="O849" s="719"/>
      <c r="P849" s="719">
        <f t="shared" si="155"/>
        <v>3808685.6127272723</v>
      </c>
      <c r="Q849" s="423">
        <f>SUMIF('8.Dgia'!E:E,'9.may'!E849,'8.Dgia'!P:P)</f>
        <v>0</v>
      </c>
      <c r="R849" s="429">
        <f t="shared" si="149"/>
        <v>0</v>
      </c>
      <c r="S849" s="301">
        <f t="shared" si="150"/>
        <v>44693.640000000007</v>
      </c>
      <c r="T849" s="430">
        <f t="shared" si="151"/>
        <v>3449321.0927272723</v>
      </c>
      <c r="U849" s="448">
        <v>886272</v>
      </c>
      <c r="V849" s="448">
        <v>154116</v>
      </c>
      <c r="W849" s="432">
        <v>1393304</v>
      </c>
      <c r="Y849" s="433">
        <f t="shared" si="152"/>
        <v>-2056017.0927272723</v>
      </c>
      <c r="Z849" s="433">
        <f t="shared" si="153"/>
        <v>0</v>
      </c>
      <c r="AC849" s="410">
        <f t="shared" si="154"/>
        <v>0</v>
      </c>
    </row>
    <row r="850" spans="2:29" s="410" customFormat="1" ht="17.25" hidden="1" customHeight="1">
      <c r="B850" s="417" t="str">
        <f>IF(A850&lt;&gt;0,COUNTA(A$19:$A850),"")</f>
        <v/>
      </c>
      <c r="C850" s="428" t="s">
        <v>1810</v>
      </c>
      <c r="D850" s="428"/>
      <c r="E850" s="435"/>
      <c r="F850" s="435"/>
      <c r="G850" s="419">
        <v>105.2</v>
      </c>
      <c r="H850" s="419"/>
      <c r="I850" s="419"/>
      <c r="J850" s="419"/>
      <c r="K850" s="420">
        <v>1</v>
      </c>
      <c r="L850" s="420">
        <f t="shared" si="147"/>
        <v>154116</v>
      </c>
      <c r="M850" s="420">
        <f t="shared" si="148"/>
        <v>1207211</v>
      </c>
      <c r="N850" s="445">
        <f>SUMPRODUCT(G850:J850,$G$12:$J$12,$G$9:$J$9)</f>
        <v>1709137.5381818181</v>
      </c>
      <c r="O850" s="719"/>
      <c r="P850" s="719">
        <f t="shared" si="155"/>
        <v>3266439.728181818</v>
      </c>
      <c r="Q850" s="423">
        <f>SUMIF('8.Dgia'!E:E,'9.may'!E850,'8.Dgia'!P:P)</f>
        <v>0</v>
      </c>
      <c r="R850" s="429">
        <f t="shared" si="149"/>
        <v>0</v>
      </c>
      <c r="S850" s="301">
        <f t="shared" si="150"/>
        <v>44693.640000000007</v>
      </c>
      <c r="T850" s="430">
        <f t="shared" si="151"/>
        <v>2961042.1781818178</v>
      </c>
      <c r="U850" s="448">
        <v>753116</v>
      </c>
      <c r="V850" s="448">
        <v>154116</v>
      </c>
      <c r="W850" s="432">
        <v>1207211</v>
      </c>
      <c r="Y850" s="433">
        <f t="shared" si="152"/>
        <v>-1753831.1781818178</v>
      </c>
      <c r="Z850" s="433">
        <f t="shared" si="153"/>
        <v>0</v>
      </c>
      <c r="AC850" s="410">
        <f t="shared" si="154"/>
        <v>0</v>
      </c>
    </row>
    <row r="851" spans="2:29" s="410" customFormat="1" ht="17.25" hidden="1" customHeight="1">
      <c r="B851" s="417" t="str">
        <f>IF(A851&lt;&gt;0,COUNTA(A$19:$A851),"")</f>
        <v/>
      </c>
      <c r="C851" s="428" t="s">
        <v>1811</v>
      </c>
      <c r="D851" s="428"/>
      <c r="E851" s="435"/>
      <c r="F851" s="435"/>
      <c r="G851" s="419"/>
      <c r="H851" s="419"/>
      <c r="I851" s="419">
        <v>67.599999999999994</v>
      </c>
      <c r="J851" s="419"/>
      <c r="K851" s="420">
        <v>1</v>
      </c>
      <c r="L851" s="420">
        <f t="shared" si="147"/>
        <v>105458</v>
      </c>
      <c r="M851" s="420">
        <f t="shared" si="148"/>
        <v>912913</v>
      </c>
      <c r="N851" s="445">
        <f>SUMPRODUCT(G851:J851,$G$12:$J$12,$G$9:$J$9)</f>
        <v>1009574.3509090907</v>
      </c>
      <c r="O851" s="719"/>
      <c r="P851" s="719">
        <f t="shared" si="155"/>
        <v>2187232.1209090906</v>
      </c>
      <c r="Q851" s="423">
        <f>SUMIF('8.Dgia'!E:E,'9.may'!E851,'8.Dgia'!P:P)</f>
        <v>0</v>
      </c>
      <c r="R851" s="429">
        <f t="shared" si="149"/>
        <v>0</v>
      </c>
      <c r="S851" s="301">
        <f t="shared" si="150"/>
        <v>30582.820000000003</v>
      </c>
      <c r="T851" s="430">
        <f t="shared" si="151"/>
        <v>1953070.1709090907</v>
      </c>
      <c r="U851" s="431">
        <v>588705</v>
      </c>
      <c r="V851" s="431">
        <v>105458</v>
      </c>
      <c r="W851" s="432">
        <v>912913</v>
      </c>
      <c r="Y851" s="433">
        <f t="shared" si="152"/>
        <v>-1040157.1709090907</v>
      </c>
      <c r="Z851" s="433">
        <f t="shared" si="153"/>
        <v>0</v>
      </c>
      <c r="AC851" s="410">
        <f t="shared" si="154"/>
        <v>0</v>
      </c>
    </row>
    <row r="852" spans="2:29" s="410" customFormat="1" ht="17.25" hidden="1" customHeight="1">
      <c r="B852" s="417" t="str">
        <f>IF(A852&lt;&gt;0,COUNTA(A$19:$A852),"")</f>
        <v/>
      </c>
      <c r="C852" s="444" t="s">
        <v>1812</v>
      </c>
      <c r="D852" s="444"/>
      <c r="E852" s="435"/>
      <c r="F852" s="435"/>
      <c r="G852" s="419"/>
      <c r="H852" s="419"/>
      <c r="I852" s="419"/>
      <c r="J852" s="419"/>
      <c r="K852" s="420"/>
      <c r="L852" s="420">
        <f t="shared" ref="L852:L915" si="158">+V852</f>
        <v>0</v>
      </c>
      <c r="M852" s="420">
        <f t="shared" ref="M852:M915" si="159">+W852</f>
        <v>0</v>
      </c>
      <c r="N852" s="445"/>
      <c r="O852" s="719"/>
      <c r="P852" s="719">
        <f t="shared" si="155"/>
        <v>0</v>
      </c>
      <c r="Q852" s="423">
        <f>SUMIF('8.Dgia'!E:E,'9.may'!E852,'8.Dgia'!P:P)</f>
        <v>0</v>
      </c>
      <c r="R852" s="429">
        <f t="shared" ref="R852:R915" si="160">N852*Q852</f>
        <v>0</v>
      </c>
      <c r="S852" s="301">
        <f t="shared" ref="S852:S915" si="161">L852*($G$13-1)</f>
        <v>0</v>
      </c>
      <c r="T852" s="430">
        <f t="shared" ref="T852:T915" si="162">S852+N852+M852</f>
        <v>0</v>
      </c>
      <c r="U852" s="436"/>
      <c r="V852" s="436"/>
      <c r="W852" s="432"/>
      <c r="Y852" s="433">
        <f t="shared" ref="Y852:Y915" si="163">W852-T852</f>
        <v>0</v>
      </c>
      <c r="Z852" s="433">
        <f t="shared" ref="Z852:Z915" si="164">W852-M852</f>
        <v>0</v>
      </c>
      <c r="AC852" s="410">
        <f t="shared" ref="AC852:AC915" si="165">+P852*Q852</f>
        <v>0</v>
      </c>
    </row>
    <row r="853" spans="2:29" s="410" customFormat="1" ht="17.25" hidden="1" customHeight="1">
      <c r="B853" s="417" t="str">
        <f>IF(A853&lt;&gt;0,COUNTA(A$19:$A853),"")</f>
        <v/>
      </c>
      <c r="C853" s="428" t="s">
        <v>1813</v>
      </c>
      <c r="D853" s="428"/>
      <c r="E853" s="435"/>
      <c r="F853" s="435"/>
      <c r="G853" s="419"/>
      <c r="H853" s="419"/>
      <c r="I853" s="419">
        <v>32.9</v>
      </c>
      <c r="J853" s="419"/>
      <c r="K853" s="420">
        <v>1</v>
      </c>
      <c r="L853" s="420">
        <f t="shared" si="158"/>
        <v>154116</v>
      </c>
      <c r="M853" s="420">
        <f t="shared" si="159"/>
        <v>489864</v>
      </c>
      <c r="N853" s="445">
        <f>SUMPRODUCT(G853:J853,$G$12:$J$12,$G$9:$J$9)</f>
        <v>491346.09681818174</v>
      </c>
      <c r="O853" s="719"/>
      <c r="P853" s="719">
        <f t="shared" ref="P853:P916" si="166">+N853+M853*$G$13</f>
        <v>1123270.6568181817</v>
      </c>
      <c r="Q853" s="423">
        <f>SUMIF('8.Dgia'!E:E,'9.may'!E853,'8.Dgia'!P:P)</f>
        <v>0</v>
      </c>
      <c r="R853" s="429">
        <f t="shared" si="160"/>
        <v>0</v>
      </c>
      <c r="S853" s="301">
        <f t="shared" si="161"/>
        <v>44693.640000000007</v>
      </c>
      <c r="T853" s="430">
        <f t="shared" si="162"/>
        <v>1025903.7368181817</v>
      </c>
      <c r="U853" s="431">
        <v>286515</v>
      </c>
      <c r="V853" s="431">
        <v>154116</v>
      </c>
      <c r="W853" s="432">
        <v>489864</v>
      </c>
      <c r="Y853" s="433">
        <f t="shared" si="163"/>
        <v>-536039.7368181817</v>
      </c>
      <c r="Z853" s="433">
        <f t="shared" si="164"/>
        <v>0</v>
      </c>
      <c r="AC853" s="410">
        <f t="shared" si="165"/>
        <v>0</v>
      </c>
    </row>
    <row r="854" spans="2:29" s="410" customFormat="1" ht="17.25" hidden="1" customHeight="1">
      <c r="B854" s="417" t="str">
        <f>IF(A854&lt;&gt;0,COUNTA(A$19:$A854),"")</f>
        <v/>
      </c>
      <c r="C854" s="428" t="s">
        <v>1814</v>
      </c>
      <c r="D854" s="428"/>
      <c r="E854" s="435"/>
      <c r="F854" s="435"/>
      <c r="G854" s="419"/>
      <c r="H854" s="419">
        <v>5</v>
      </c>
      <c r="I854" s="419"/>
      <c r="J854" s="419"/>
      <c r="K854" s="420">
        <v>1</v>
      </c>
      <c r="L854" s="420">
        <f t="shared" si="158"/>
        <v>105458</v>
      </c>
      <c r="M854" s="420">
        <f t="shared" si="159"/>
        <v>397246</v>
      </c>
      <c r="N854" s="445">
        <f>SUMPRODUCT(G854:J854,$G$12:$J$12,$G$9:$J$9)</f>
        <v>3183.25</v>
      </c>
      <c r="O854" s="719"/>
      <c r="P854" s="719">
        <f t="shared" si="166"/>
        <v>515630.59</v>
      </c>
      <c r="Q854" s="423">
        <f>SUMIF('8.Dgia'!E:E,'9.may'!E854,'8.Dgia'!P:P)</f>
        <v>0</v>
      </c>
      <c r="R854" s="429">
        <f t="shared" si="160"/>
        <v>0</v>
      </c>
      <c r="S854" s="301">
        <f t="shared" si="161"/>
        <v>30582.820000000003</v>
      </c>
      <c r="T854" s="430">
        <f t="shared" si="162"/>
        <v>431012.07</v>
      </c>
      <c r="U854" s="431">
        <v>4788</v>
      </c>
      <c r="V854" s="431">
        <v>105458</v>
      </c>
      <c r="W854" s="432">
        <v>397246</v>
      </c>
      <c r="Y854" s="433">
        <f t="shared" si="163"/>
        <v>-33766.070000000007</v>
      </c>
      <c r="Z854" s="433">
        <f t="shared" si="164"/>
        <v>0</v>
      </c>
      <c r="AC854" s="410">
        <f t="shared" si="165"/>
        <v>0</v>
      </c>
    </row>
    <row r="855" spans="2:29" s="410" customFormat="1" ht="17.25" hidden="1" customHeight="1">
      <c r="B855" s="417" t="str">
        <f>IF(A855&lt;&gt;0,COUNTA(A$19:$A855),"")</f>
        <v/>
      </c>
      <c r="C855" s="428" t="s">
        <v>1815</v>
      </c>
      <c r="D855" s="428" t="s">
        <v>1816</v>
      </c>
      <c r="E855" s="435"/>
      <c r="F855" s="435"/>
      <c r="G855" s="419"/>
      <c r="H855" s="419"/>
      <c r="I855" s="419"/>
      <c r="J855" s="419"/>
      <c r="K855" s="420">
        <v>1</v>
      </c>
      <c r="L855" s="420">
        <f t="shared" si="158"/>
        <v>0</v>
      </c>
      <c r="M855" s="420">
        <f t="shared" si="159"/>
        <v>2045</v>
      </c>
      <c r="N855" s="445">
        <f>SUMPRODUCT(G855:J855,$G$12:$J$12,$G$9:$J$9)</f>
        <v>0</v>
      </c>
      <c r="O855" s="719"/>
      <c r="P855" s="719">
        <f t="shared" si="166"/>
        <v>2638.05</v>
      </c>
      <c r="Q855" s="423">
        <f>SUMIF('8.Dgia'!E:E,'9.may'!E855,'8.Dgia'!P:P)</f>
        <v>0</v>
      </c>
      <c r="R855" s="429">
        <f t="shared" si="160"/>
        <v>0</v>
      </c>
      <c r="S855" s="301">
        <f t="shared" si="161"/>
        <v>0</v>
      </c>
      <c r="T855" s="430">
        <f t="shared" si="162"/>
        <v>2045</v>
      </c>
      <c r="U855" s="431"/>
      <c r="V855" s="431"/>
      <c r="W855" s="432">
        <v>2045</v>
      </c>
      <c r="Y855" s="433">
        <f t="shared" si="163"/>
        <v>0</v>
      </c>
      <c r="Z855" s="433">
        <f t="shared" si="164"/>
        <v>0</v>
      </c>
      <c r="AC855" s="410">
        <f t="shared" si="165"/>
        <v>0</v>
      </c>
    </row>
    <row r="856" spans="2:29" s="410" customFormat="1" ht="17.25" hidden="1" customHeight="1">
      <c r="B856" s="417" t="str">
        <f>IF(A856&lt;&gt;0,COUNTA(A$19:$A856),"")</f>
        <v/>
      </c>
      <c r="C856" s="444" t="s">
        <v>1817</v>
      </c>
      <c r="D856" s="444"/>
      <c r="E856" s="435"/>
      <c r="F856" s="435"/>
      <c r="G856" s="419"/>
      <c r="H856" s="419"/>
      <c r="I856" s="419"/>
      <c r="J856" s="419"/>
      <c r="K856" s="420"/>
      <c r="L856" s="420">
        <f t="shared" si="158"/>
        <v>0</v>
      </c>
      <c r="M856" s="420">
        <f t="shared" si="159"/>
        <v>0</v>
      </c>
      <c r="N856" s="445"/>
      <c r="O856" s="719"/>
      <c r="P856" s="719">
        <f t="shared" si="166"/>
        <v>0</v>
      </c>
      <c r="Q856" s="423">
        <f>SUMIF('8.Dgia'!E:E,'9.may'!E856,'8.Dgia'!P:P)</f>
        <v>0</v>
      </c>
      <c r="R856" s="429">
        <f t="shared" si="160"/>
        <v>0</v>
      </c>
      <c r="S856" s="301">
        <f t="shared" si="161"/>
        <v>0</v>
      </c>
      <c r="T856" s="430">
        <f t="shared" si="162"/>
        <v>0</v>
      </c>
      <c r="U856" s="436"/>
      <c r="V856" s="436"/>
      <c r="W856" s="432"/>
      <c r="Y856" s="433">
        <f t="shared" si="163"/>
        <v>0</v>
      </c>
      <c r="Z856" s="433">
        <f t="shared" si="164"/>
        <v>0</v>
      </c>
      <c r="AC856" s="410">
        <f t="shared" si="165"/>
        <v>0</v>
      </c>
    </row>
    <row r="857" spans="2:29" s="410" customFormat="1" ht="17.25" hidden="1" customHeight="1">
      <c r="B857" s="417" t="str">
        <f>IF(A857&lt;&gt;0,COUNTA(A$19:$A857),"")</f>
        <v/>
      </c>
      <c r="C857" s="428" t="s">
        <v>1818</v>
      </c>
      <c r="D857" s="428"/>
      <c r="E857" s="435"/>
      <c r="F857" s="435"/>
      <c r="G857" s="419"/>
      <c r="H857" s="419"/>
      <c r="I857" s="419">
        <v>49</v>
      </c>
      <c r="J857" s="419"/>
      <c r="K857" s="420">
        <v>1</v>
      </c>
      <c r="L857" s="420">
        <f t="shared" si="158"/>
        <v>146822</v>
      </c>
      <c r="M857" s="420">
        <f t="shared" si="159"/>
        <v>986779</v>
      </c>
      <c r="N857" s="445">
        <f>SUMPRODUCT(G857:J857,$G$12:$J$12,$G$9:$J$9)</f>
        <v>731792.05909090897</v>
      </c>
      <c r="O857" s="719"/>
      <c r="P857" s="719">
        <f t="shared" si="166"/>
        <v>2004736.9690909092</v>
      </c>
      <c r="Q857" s="423">
        <f>SUMIF('8.Dgia'!E:E,'9.may'!E857,'8.Dgia'!P:P)</f>
        <v>0</v>
      </c>
      <c r="R857" s="429">
        <f t="shared" si="160"/>
        <v>0</v>
      </c>
      <c r="S857" s="301">
        <f t="shared" si="161"/>
        <v>42578.380000000005</v>
      </c>
      <c r="T857" s="430">
        <f t="shared" si="162"/>
        <v>1761149.439090909</v>
      </c>
      <c r="U857" s="431">
        <v>426724</v>
      </c>
      <c r="V857" s="431">
        <v>146822</v>
      </c>
      <c r="W857" s="432">
        <v>986779</v>
      </c>
      <c r="Y857" s="433">
        <f t="shared" si="163"/>
        <v>-774370.43909090897</v>
      </c>
      <c r="Z857" s="433">
        <f t="shared" si="164"/>
        <v>0</v>
      </c>
      <c r="AC857" s="410">
        <f t="shared" si="165"/>
        <v>0</v>
      </c>
    </row>
    <row r="858" spans="2:29" s="410" customFormat="1" ht="17.25" hidden="1" customHeight="1">
      <c r="B858" s="417" t="str">
        <f>IF(A858&lt;&gt;0,COUNTA(A$19:$A858),"")</f>
        <v/>
      </c>
      <c r="C858" s="428" t="s">
        <v>1819</v>
      </c>
      <c r="D858" s="428"/>
      <c r="E858" s="435"/>
      <c r="F858" s="435"/>
      <c r="G858" s="419"/>
      <c r="H858" s="419"/>
      <c r="I858" s="419">
        <v>24.6</v>
      </c>
      <c r="J858" s="419"/>
      <c r="K858" s="420">
        <v>1</v>
      </c>
      <c r="L858" s="420">
        <f t="shared" si="158"/>
        <v>140546</v>
      </c>
      <c r="M858" s="420">
        <f t="shared" si="159"/>
        <v>456139</v>
      </c>
      <c r="N858" s="445">
        <f>SUMPRODUCT(G858:J858,$G$12:$J$12,$G$9:$J$9)</f>
        <v>367389.48272727267</v>
      </c>
      <c r="O858" s="719"/>
      <c r="P858" s="719">
        <f t="shared" si="166"/>
        <v>955808.79272727272</v>
      </c>
      <c r="Q858" s="423">
        <f>SUMIF('8.Dgia'!E:E,'9.may'!E858,'8.Dgia'!P:P)</f>
        <v>0</v>
      </c>
      <c r="R858" s="429">
        <f t="shared" si="160"/>
        <v>0</v>
      </c>
      <c r="S858" s="301">
        <f t="shared" si="161"/>
        <v>40758.340000000004</v>
      </c>
      <c r="T858" s="430">
        <f t="shared" si="162"/>
        <v>864286.82272727275</v>
      </c>
      <c r="U858" s="431">
        <v>214233</v>
      </c>
      <c r="V858" s="431">
        <v>140546</v>
      </c>
      <c r="W858" s="432">
        <v>456139</v>
      </c>
      <c r="Y858" s="433">
        <f t="shared" si="163"/>
        <v>-408147.82272727275</v>
      </c>
      <c r="Z858" s="433">
        <f t="shared" si="164"/>
        <v>0</v>
      </c>
      <c r="AC858" s="410">
        <f t="shared" si="165"/>
        <v>0</v>
      </c>
    </row>
    <row r="859" spans="2:29" s="410" customFormat="1" ht="17.25" hidden="1" customHeight="1">
      <c r="B859" s="417" t="str">
        <f>IF(A859&lt;&gt;0,COUNTA(A$19:$A859),"")</f>
        <v/>
      </c>
      <c r="C859" s="444" t="s">
        <v>1820</v>
      </c>
      <c r="D859" s="444"/>
      <c r="E859" s="435"/>
      <c r="F859" s="435"/>
      <c r="G859" s="419"/>
      <c r="H859" s="419"/>
      <c r="I859" s="419"/>
      <c r="J859" s="419"/>
      <c r="K859" s="420"/>
      <c r="L859" s="420">
        <f t="shared" si="158"/>
        <v>0</v>
      </c>
      <c r="M859" s="420">
        <f t="shared" si="159"/>
        <v>0</v>
      </c>
      <c r="N859" s="445"/>
      <c r="O859" s="719"/>
      <c r="P859" s="719">
        <f t="shared" si="166"/>
        <v>0</v>
      </c>
      <c r="Q859" s="423">
        <f>SUMIF('8.Dgia'!E:E,'9.may'!E859,'8.Dgia'!P:P)</f>
        <v>0</v>
      </c>
      <c r="R859" s="429">
        <f t="shared" si="160"/>
        <v>0</v>
      </c>
      <c r="S859" s="301">
        <f t="shared" si="161"/>
        <v>0</v>
      </c>
      <c r="T859" s="430">
        <f t="shared" si="162"/>
        <v>0</v>
      </c>
      <c r="U859" s="436"/>
      <c r="V859" s="436"/>
      <c r="W859" s="432"/>
      <c r="Y859" s="433">
        <f t="shared" si="163"/>
        <v>0</v>
      </c>
      <c r="Z859" s="433">
        <f t="shared" si="164"/>
        <v>0</v>
      </c>
      <c r="AC859" s="410">
        <f t="shared" si="165"/>
        <v>0</v>
      </c>
    </row>
    <row r="860" spans="2:29" s="410" customFormat="1" ht="17.25" hidden="1" customHeight="1">
      <c r="B860" s="417" t="str">
        <f>IF(A860&lt;&gt;0,COUNTA(A$19:$A860),"")</f>
        <v/>
      </c>
      <c r="C860" s="428" t="s">
        <v>1821</v>
      </c>
      <c r="D860" s="428"/>
      <c r="E860" s="435"/>
      <c r="F860" s="435"/>
      <c r="G860" s="419"/>
      <c r="H860" s="419"/>
      <c r="I860" s="419"/>
      <c r="J860" s="419"/>
      <c r="K860" s="420">
        <v>1</v>
      </c>
      <c r="L860" s="420">
        <f t="shared" si="158"/>
        <v>202774</v>
      </c>
      <c r="M860" s="420">
        <f t="shared" si="159"/>
        <v>4941434</v>
      </c>
      <c r="N860" s="445">
        <f>SUMPRODUCT(G860:J860,$G$12:$J$12,$G$9:$J$9)</f>
        <v>0</v>
      </c>
      <c r="O860" s="719"/>
      <c r="P860" s="719">
        <f t="shared" si="166"/>
        <v>6374449.8600000003</v>
      </c>
      <c r="Q860" s="423">
        <f>SUMIF('8.Dgia'!E:E,'9.may'!E860,'8.Dgia'!P:P)</f>
        <v>0</v>
      </c>
      <c r="R860" s="429">
        <f t="shared" si="160"/>
        <v>0</v>
      </c>
      <c r="S860" s="301">
        <f t="shared" si="161"/>
        <v>58804.460000000006</v>
      </c>
      <c r="T860" s="430">
        <f t="shared" si="162"/>
        <v>5000238.46</v>
      </c>
      <c r="U860" s="431"/>
      <c r="V860" s="431">
        <v>202774</v>
      </c>
      <c r="W860" s="432">
        <v>4941434</v>
      </c>
      <c r="Y860" s="433">
        <f t="shared" si="163"/>
        <v>-58804.459999999963</v>
      </c>
      <c r="Z860" s="433">
        <f t="shared" si="164"/>
        <v>0</v>
      </c>
      <c r="AC860" s="410">
        <f t="shared" si="165"/>
        <v>0</v>
      </c>
    </row>
    <row r="861" spans="2:29" s="410" customFormat="1" ht="17.25" hidden="1" customHeight="1">
      <c r="B861" s="417" t="str">
        <f>IF(A861&lt;&gt;0,COUNTA(A$19:$A861),"")</f>
        <v/>
      </c>
      <c r="C861" s="444" t="s">
        <v>1822</v>
      </c>
      <c r="D861" s="444"/>
      <c r="E861" s="435"/>
      <c r="F861" s="435"/>
      <c r="G861" s="419"/>
      <c r="H861" s="419"/>
      <c r="I861" s="419"/>
      <c r="J861" s="419"/>
      <c r="K861" s="420"/>
      <c r="L861" s="420">
        <f t="shared" si="158"/>
        <v>0</v>
      </c>
      <c r="M861" s="420">
        <f t="shared" si="159"/>
        <v>0</v>
      </c>
      <c r="N861" s="445"/>
      <c r="O861" s="719"/>
      <c r="P861" s="719">
        <f t="shared" si="166"/>
        <v>0</v>
      </c>
      <c r="Q861" s="423">
        <f>SUMIF('8.Dgia'!E:E,'9.may'!E861,'8.Dgia'!P:P)</f>
        <v>0</v>
      </c>
      <c r="R861" s="429">
        <f t="shared" si="160"/>
        <v>0</v>
      </c>
      <c r="S861" s="301">
        <f t="shared" si="161"/>
        <v>0</v>
      </c>
      <c r="T861" s="430">
        <f t="shared" si="162"/>
        <v>0</v>
      </c>
      <c r="U861" s="436"/>
      <c r="V861" s="436"/>
      <c r="W861" s="432"/>
      <c r="Y861" s="433">
        <f t="shared" si="163"/>
        <v>0</v>
      </c>
      <c r="Z861" s="433">
        <f t="shared" si="164"/>
        <v>0</v>
      </c>
      <c r="AC861" s="410">
        <f t="shared" si="165"/>
        <v>0</v>
      </c>
    </row>
    <row r="862" spans="2:29" s="410" customFormat="1" ht="17.25" hidden="1" customHeight="1">
      <c r="B862" s="417" t="str">
        <f>IF(A862&lt;&gt;0,COUNTA(A$19:$A862),"")</f>
        <v/>
      </c>
      <c r="C862" s="428" t="s">
        <v>1823</v>
      </c>
      <c r="D862" s="428"/>
      <c r="E862" s="435"/>
      <c r="F862" s="435"/>
      <c r="G862" s="419"/>
      <c r="H862" s="419"/>
      <c r="I862" s="419"/>
      <c r="J862" s="419"/>
      <c r="K862" s="420">
        <v>1</v>
      </c>
      <c r="L862" s="420">
        <f t="shared" si="158"/>
        <v>0</v>
      </c>
      <c r="M862" s="420">
        <f t="shared" si="159"/>
        <v>35250</v>
      </c>
      <c r="N862" s="445">
        <f t="shared" ref="N862:N874" si="167">SUMPRODUCT(G862:J862,$G$12:$J$12,$G$9:$J$9)</f>
        <v>0</v>
      </c>
      <c r="O862" s="719"/>
      <c r="P862" s="719">
        <f t="shared" si="166"/>
        <v>45472.5</v>
      </c>
      <c r="Q862" s="423">
        <f>SUMIF('8.Dgia'!E:E,'9.may'!E862,'8.Dgia'!P:P)</f>
        <v>0</v>
      </c>
      <c r="R862" s="429">
        <f t="shared" si="160"/>
        <v>0</v>
      </c>
      <c r="S862" s="301">
        <f t="shared" si="161"/>
        <v>0</v>
      </c>
      <c r="T862" s="430">
        <f t="shared" si="162"/>
        <v>35250</v>
      </c>
      <c r="U862" s="431"/>
      <c r="V862" s="431"/>
      <c r="W862" s="432">
        <v>35250</v>
      </c>
      <c r="Y862" s="433">
        <f t="shared" si="163"/>
        <v>0</v>
      </c>
      <c r="Z862" s="433">
        <f t="shared" si="164"/>
        <v>0</v>
      </c>
      <c r="AC862" s="410">
        <f t="shared" si="165"/>
        <v>0</v>
      </c>
    </row>
    <row r="863" spans="2:29" s="410" customFormat="1" ht="17.25" hidden="1" customHeight="1">
      <c r="B863" s="417" t="str">
        <f>IF(A863&lt;&gt;0,COUNTA(A$19:$A863),"")</f>
        <v/>
      </c>
      <c r="C863" s="428" t="s">
        <v>1824</v>
      </c>
      <c r="D863" s="428"/>
      <c r="E863" s="435"/>
      <c r="F863" s="435" t="s">
        <v>4862</v>
      </c>
      <c r="G863" s="419">
        <v>16.399999999999999</v>
      </c>
      <c r="H863" s="419"/>
      <c r="I863" s="419"/>
      <c r="J863" s="419"/>
      <c r="K863" s="420">
        <v>1</v>
      </c>
      <c r="L863" s="420">
        <f t="shared" si="158"/>
        <v>0</v>
      </c>
      <c r="M863" s="420">
        <f t="shared" si="159"/>
        <v>530528</v>
      </c>
      <c r="N863" s="445">
        <f t="shared" si="167"/>
        <v>266443.49454545451</v>
      </c>
      <c r="O863" s="719"/>
      <c r="P863" s="719">
        <f t="shared" si="166"/>
        <v>950824.6145454545</v>
      </c>
      <c r="Q863" s="423">
        <f>SUMIF('8.Dgia'!E:E,'9.may'!E863,'8.Dgia'!P:P)</f>
        <v>0</v>
      </c>
      <c r="R863" s="429">
        <f t="shared" si="160"/>
        <v>0</v>
      </c>
      <c r="S863" s="301">
        <f t="shared" si="161"/>
        <v>0</v>
      </c>
      <c r="T863" s="430">
        <f t="shared" si="162"/>
        <v>796971.49454545451</v>
      </c>
      <c r="U863" s="431">
        <v>117406</v>
      </c>
      <c r="V863" s="431"/>
      <c r="W863" s="432">
        <v>530528</v>
      </c>
      <c r="Y863" s="433">
        <f t="shared" si="163"/>
        <v>-266443.49454545451</v>
      </c>
      <c r="Z863" s="433">
        <f t="shared" si="164"/>
        <v>0</v>
      </c>
      <c r="AC863" s="410">
        <f t="shared" si="165"/>
        <v>0</v>
      </c>
    </row>
    <row r="864" spans="2:29" s="410" customFormat="1" ht="17.25" hidden="1" customHeight="1">
      <c r="B864" s="417" t="str">
        <f>IF(A864&lt;&gt;0,COUNTA(A$19:$A864),"")</f>
        <v/>
      </c>
      <c r="C864" s="428" t="s">
        <v>1825</v>
      </c>
      <c r="D864" s="428"/>
      <c r="E864" s="435"/>
      <c r="F864" s="435"/>
      <c r="G864" s="419">
        <v>4.5</v>
      </c>
      <c r="H864" s="419"/>
      <c r="I864" s="419"/>
      <c r="J864" s="419"/>
      <c r="K864" s="420">
        <v>1</v>
      </c>
      <c r="L864" s="420">
        <f t="shared" si="158"/>
        <v>0</v>
      </c>
      <c r="M864" s="420">
        <f t="shared" si="159"/>
        <v>338200</v>
      </c>
      <c r="N864" s="445">
        <f t="shared" si="167"/>
        <v>73109.495454545438</v>
      </c>
      <c r="O864" s="719"/>
      <c r="P864" s="719">
        <f t="shared" si="166"/>
        <v>509387.49545454542</v>
      </c>
      <c r="Q864" s="423">
        <f>SUMIF('8.Dgia'!E:E,'9.may'!E864,'8.Dgia'!P:P)</f>
        <v>0</v>
      </c>
      <c r="R864" s="429">
        <f t="shared" si="160"/>
        <v>0</v>
      </c>
      <c r="S864" s="301">
        <f t="shared" si="161"/>
        <v>0</v>
      </c>
      <c r="T864" s="430">
        <f t="shared" si="162"/>
        <v>411309.49545454542</v>
      </c>
      <c r="U864" s="431">
        <v>32215</v>
      </c>
      <c r="V864" s="431"/>
      <c r="W864" s="432">
        <v>338200</v>
      </c>
      <c r="Y864" s="433">
        <f t="shared" si="163"/>
        <v>-73109.495454545424</v>
      </c>
      <c r="Z864" s="433">
        <f t="shared" si="164"/>
        <v>0</v>
      </c>
      <c r="AC864" s="410">
        <f t="shared" si="165"/>
        <v>0</v>
      </c>
    </row>
    <row r="865" spans="1:29" s="410" customFormat="1" ht="17.25" hidden="1" customHeight="1">
      <c r="B865" s="417" t="str">
        <f>IF(A865&lt;&gt;0,COUNTA(A$19:$A865),"")</f>
        <v/>
      </c>
      <c r="C865" s="428" t="s">
        <v>1826</v>
      </c>
      <c r="D865" s="428"/>
      <c r="E865" s="435"/>
      <c r="F865" s="435"/>
      <c r="G865" s="419"/>
      <c r="H865" s="419"/>
      <c r="I865" s="419"/>
      <c r="J865" s="419"/>
      <c r="K865" s="420">
        <v>1</v>
      </c>
      <c r="L865" s="420">
        <f t="shared" si="158"/>
        <v>0</v>
      </c>
      <c r="M865" s="420">
        <f t="shared" si="159"/>
        <v>6683</v>
      </c>
      <c r="N865" s="445">
        <f t="shared" si="167"/>
        <v>0</v>
      </c>
      <c r="O865" s="719"/>
      <c r="P865" s="719">
        <f t="shared" si="166"/>
        <v>8621.07</v>
      </c>
      <c r="Q865" s="423">
        <f>SUMIF('8.Dgia'!E:E,'9.may'!E865,'8.Dgia'!P:P)</f>
        <v>0</v>
      </c>
      <c r="R865" s="429">
        <f t="shared" si="160"/>
        <v>0</v>
      </c>
      <c r="S865" s="301">
        <f t="shared" si="161"/>
        <v>0</v>
      </c>
      <c r="T865" s="430">
        <f t="shared" si="162"/>
        <v>6683</v>
      </c>
      <c r="U865" s="431"/>
      <c r="V865" s="431"/>
      <c r="W865" s="432">
        <v>6683</v>
      </c>
      <c r="Y865" s="433">
        <f t="shared" si="163"/>
        <v>0</v>
      </c>
      <c r="Z865" s="433">
        <f t="shared" si="164"/>
        <v>0</v>
      </c>
      <c r="AC865" s="410">
        <f t="shared" si="165"/>
        <v>0</v>
      </c>
    </row>
    <row r="866" spans="1:29" s="410" customFormat="1" ht="17.25" hidden="1" customHeight="1">
      <c r="B866" s="417" t="str">
        <f>IF(A866&lt;&gt;0,COUNTA(A$19:$A866),"")</f>
        <v/>
      </c>
      <c r="C866" s="428" t="s">
        <v>1827</v>
      </c>
      <c r="D866" s="428"/>
      <c r="E866" s="435"/>
      <c r="F866" s="435"/>
      <c r="G866" s="419"/>
      <c r="H866" s="419">
        <v>5.2</v>
      </c>
      <c r="I866" s="419"/>
      <c r="J866" s="419"/>
      <c r="K866" s="420">
        <v>1</v>
      </c>
      <c r="L866" s="420">
        <f t="shared" si="158"/>
        <v>0</v>
      </c>
      <c r="M866" s="420">
        <f t="shared" si="159"/>
        <v>17120</v>
      </c>
      <c r="N866" s="445">
        <f t="shared" si="167"/>
        <v>3310.5800000000004</v>
      </c>
      <c r="O866" s="719"/>
      <c r="P866" s="719">
        <f t="shared" si="166"/>
        <v>25395.38</v>
      </c>
      <c r="Q866" s="423">
        <f>SUMIF('8.Dgia'!E:E,'9.may'!E866,'8.Dgia'!P:P)</f>
        <v>0</v>
      </c>
      <c r="R866" s="429">
        <f t="shared" si="160"/>
        <v>0</v>
      </c>
      <c r="S866" s="301">
        <f t="shared" si="161"/>
        <v>0</v>
      </c>
      <c r="T866" s="430">
        <f t="shared" si="162"/>
        <v>20430.580000000002</v>
      </c>
      <c r="U866" s="431">
        <v>4980</v>
      </c>
      <c r="V866" s="431"/>
      <c r="W866" s="432">
        <v>17120</v>
      </c>
      <c r="Y866" s="433">
        <f t="shared" si="163"/>
        <v>-3310.5800000000017</v>
      </c>
      <c r="Z866" s="433">
        <f t="shared" si="164"/>
        <v>0</v>
      </c>
      <c r="AC866" s="410">
        <f t="shared" si="165"/>
        <v>0</v>
      </c>
    </row>
    <row r="867" spans="1:29" s="410" customFormat="1" ht="17.25" hidden="1" customHeight="1">
      <c r="B867" s="417" t="str">
        <f>IF(A867&lt;&gt;0,COUNTA(A$19:$A867),"")</f>
        <v/>
      </c>
      <c r="C867" s="428" t="s">
        <v>1828</v>
      </c>
      <c r="D867" s="428"/>
      <c r="E867" s="435"/>
      <c r="F867" s="435"/>
      <c r="G867" s="419"/>
      <c r="H867" s="419"/>
      <c r="I867" s="419"/>
      <c r="J867" s="419"/>
      <c r="K867" s="420">
        <v>1</v>
      </c>
      <c r="L867" s="420">
        <f t="shared" si="158"/>
        <v>0</v>
      </c>
      <c r="M867" s="420">
        <f t="shared" si="159"/>
        <v>4980</v>
      </c>
      <c r="N867" s="445">
        <f t="shared" si="167"/>
        <v>0</v>
      </c>
      <c r="O867" s="719"/>
      <c r="P867" s="719">
        <f t="shared" si="166"/>
        <v>6424.2</v>
      </c>
      <c r="Q867" s="423">
        <f>SUMIF('8.Dgia'!E:E,'9.may'!E867,'8.Dgia'!P:P)</f>
        <v>0</v>
      </c>
      <c r="R867" s="429">
        <f t="shared" si="160"/>
        <v>0</v>
      </c>
      <c r="S867" s="301">
        <f t="shared" si="161"/>
        <v>0</v>
      </c>
      <c r="T867" s="430">
        <f t="shared" si="162"/>
        <v>4980</v>
      </c>
      <c r="U867" s="431"/>
      <c r="V867" s="431"/>
      <c r="W867" s="432">
        <v>4980</v>
      </c>
      <c r="Y867" s="433">
        <f t="shared" si="163"/>
        <v>0</v>
      </c>
      <c r="Z867" s="433">
        <f t="shared" si="164"/>
        <v>0</v>
      </c>
      <c r="AC867" s="410">
        <f t="shared" si="165"/>
        <v>0</v>
      </c>
    </row>
    <row r="868" spans="1:29" s="410" customFormat="1" ht="17.25" hidden="1" customHeight="1">
      <c r="B868" s="417" t="str">
        <f>IF(A868&lt;&gt;0,COUNTA(A$19:$A868),"")</f>
        <v/>
      </c>
      <c r="C868" s="428" t="s">
        <v>1829</v>
      </c>
      <c r="D868" s="428"/>
      <c r="E868" s="435"/>
      <c r="F868" s="435"/>
      <c r="G868" s="419">
        <v>27.8</v>
      </c>
      <c r="H868" s="419"/>
      <c r="I868" s="419"/>
      <c r="J868" s="419"/>
      <c r="K868" s="420">
        <v>1</v>
      </c>
      <c r="L868" s="420">
        <f t="shared" si="158"/>
        <v>0</v>
      </c>
      <c r="M868" s="420">
        <f t="shared" si="159"/>
        <v>776002</v>
      </c>
      <c r="N868" s="445">
        <f t="shared" si="167"/>
        <v>451654.21636363631</v>
      </c>
      <c r="O868" s="719"/>
      <c r="P868" s="719">
        <f t="shared" si="166"/>
        <v>1452696.7963636364</v>
      </c>
      <c r="Q868" s="423">
        <f>SUMIF('8.Dgia'!E:E,'9.may'!E868,'8.Dgia'!P:P)</f>
        <v>0</v>
      </c>
      <c r="R868" s="429">
        <f t="shared" si="160"/>
        <v>0</v>
      </c>
      <c r="S868" s="301">
        <f t="shared" si="161"/>
        <v>0</v>
      </c>
      <c r="T868" s="430">
        <f t="shared" si="162"/>
        <v>1227656.2163636363</v>
      </c>
      <c r="U868" s="431">
        <v>199017</v>
      </c>
      <c r="V868" s="431"/>
      <c r="W868" s="432">
        <v>776002</v>
      </c>
      <c r="Y868" s="433">
        <f t="shared" si="163"/>
        <v>-451654.21636363631</v>
      </c>
      <c r="Z868" s="433">
        <f t="shared" si="164"/>
        <v>0</v>
      </c>
      <c r="AC868" s="410">
        <f t="shared" si="165"/>
        <v>0</v>
      </c>
    </row>
    <row r="869" spans="1:29" s="410" customFormat="1" ht="17.25" hidden="1" customHeight="1">
      <c r="B869" s="417" t="str">
        <f>IF(A869&lt;&gt;0,COUNTA(A$19:$A869),"")</f>
        <v/>
      </c>
      <c r="C869" s="428" t="s">
        <v>1830</v>
      </c>
      <c r="D869" s="428"/>
      <c r="E869" s="435"/>
      <c r="F869" s="435"/>
      <c r="G869" s="419"/>
      <c r="H869" s="419"/>
      <c r="I869" s="419"/>
      <c r="J869" s="419"/>
      <c r="K869" s="420">
        <v>1</v>
      </c>
      <c r="L869" s="420">
        <f t="shared" si="158"/>
        <v>0</v>
      </c>
      <c r="M869" s="420">
        <f t="shared" si="159"/>
        <v>46022</v>
      </c>
      <c r="N869" s="445">
        <f t="shared" si="167"/>
        <v>0</v>
      </c>
      <c r="O869" s="719"/>
      <c r="P869" s="719">
        <f t="shared" si="166"/>
        <v>59368.380000000005</v>
      </c>
      <c r="Q869" s="423">
        <f>SUMIF('8.Dgia'!E:E,'9.may'!E869,'8.Dgia'!P:P)</f>
        <v>0</v>
      </c>
      <c r="R869" s="429">
        <f t="shared" si="160"/>
        <v>0</v>
      </c>
      <c r="S869" s="301">
        <f t="shared" si="161"/>
        <v>0</v>
      </c>
      <c r="T869" s="430">
        <f t="shared" si="162"/>
        <v>46022</v>
      </c>
      <c r="U869" s="431"/>
      <c r="V869" s="431"/>
      <c r="W869" s="432">
        <v>46022</v>
      </c>
      <c r="Y869" s="433">
        <f t="shared" si="163"/>
        <v>0</v>
      </c>
      <c r="Z869" s="433">
        <f t="shared" si="164"/>
        <v>0</v>
      </c>
      <c r="AC869" s="410">
        <f t="shared" si="165"/>
        <v>0</v>
      </c>
    </row>
    <row r="870" spans="1:29" s="410" customFormat="1" ht="17.25" hidden="1" customHeight="1">
      <c r="B870" s="417" t="str">
        <f>IF(A870&lt;&gt;0,COUNTA(A$19:$A870),"")</f>
        <v/>
      </c>
      <c r="C870" s="428" t="s">
        <v>1831</v>
      </c>
      <c r="D870" s="428"/>
      <c r="E870" s="435"/>
      <c r="F870" s="435"/>
      <c r="G870" s="419"/>
      <c r="H870" s="419"/>
      <c r="I870" s="419"/>
      <c r="J870" s="419"/>
      <c r="K870" s="420">
        <v>1</v>
      </c>
      <c r="L870" s="420">
        <f t="shared" si="158"/>
        <v>0</v>
      </c>
      <c r="M870" s="420">
        <f t="shared" si="159"/>
        <v>465139</v>
      </c>
      <c r="N870" s="445">
        <f t="shared" si="167"/>
        <v>0</v>
      </c>
      <c r="O870" s="719"/>
      <c r="P870" s="719">
        <f t="shared" si="166"/>
        <v>600029.31000000006</v>
      </c>
      <c r="Q870" s="423">
        <f>SUMIF('8.Dgia'!E:E,'9.may'!E870,'8.Dgia'!P:P)</f>
        <v>0</v>
      </c>
      <c r="R870" s="429">
        <f t="shared" si="160"/>
        <v>0</v>
      </c>
      <c r="S870" s="301">
        <f t="shared" si="161"/>
        <v>0</v>
      </c>
      <c r="T870" s="430">
        <f t="shared" si="162"/>
        <v>465139</v>
      </c>
      <c r="U870" s="431"/>
      <c r="V870" s="431"/>
      <c r="W870" s="432">
        <v>465139</v>
      </c>
      <c r="Y870" s="433">
        <f t="shared" si="163"/>
        <v>0</v>
      </c>
      <c r="Z870" s="433">
        <f t="shared" si="164"/>
        <v>0</v>
      </c>
      <c r="AC870" s="410">
        <f t="shared" si="165"/>
        <v>0</v>
      </c>
    </row>
    <row r="871" spans="1:29" s="410" customFormat="1" ht="17.25" hidden="1" customHeight="1">
      <c r="B871" s="417" t="str">
        <f>IF(A871&lt;&gt;0,COUNTA(A$19:$A871),"")</f>
        <v/>
      </c>
      <c r="C871" s="428" t="s">
        <v>1832</v>
      </c>
      <c r="D871" s="428"/>
      <c r="E871" s="435"/>
      <c r="F871" s="435"/>
      <c r="G871" s="419">
        <v>19.8</v>
      </c>
      <c r="H871" s="419"/>
      <c r="I871" s="419"/>
      <c r="J871" s="419"/>
      <c r="K871" s="420">
        <v>1</v>
      </c>
      <c r="L871" s="420">
        <f t="shared" si="158"/>
        <v>0</v>
      </c>
      <c r="M871" s="420">
        <f t="shared" si="159"/>
        <v>519040</v>
      </c>
      <c r="N871" s="445">
        <f t="shared" si="167"/>
        <v>321681.77999999997</v>
      </c>
      <c r="O871" s="719"/>
      <c r="P871" s="719">
        <f t="shared" si="166"/>
        <v>991243.37999999989</v>
      </c>
      <c r="Q871" s="423">
        <f>SUMIF('8.Dgia'!E:E,'9.may'!E871,'8.Dgia'!P:P)</f>
        <v>0</v>
      </c>
      <c r="R871" s="429">
        <f t="shared" si="160"/>
        <v>0</v>
      </c>
      <c r="S871" s="301">
        <f t="shared" si="161"/>
        <v>0</v>
      </c>
      <c r="T871" s="430">
        <f t="shared" si="162"/>
        <v>840721.78</v>
      </c>
      <c r="U871" s="431">
        <v>141746</v>
      </c>
      <c r="V871" s="431"/>
      <c r="W871" s="432">
        <v>519040</v>
      </c>
      <c r="Y871" s="433">
        <f t="shared" si="163"/>
        <v>-321681.78000000003</v>
      </c>
      <c r="Z871" s="433">
        <f t="shared" si="164"/>
        <v>0</v>
      </c>
      <c r="AC871" s="410">
        <f t="shared" si="165"/>
        <v>0</v>
      </c>
    </row>
    <row r="872" spans="1:29" s="410" customFormat="1" ht="17.25" hidden="1" customHeight="1">
      <c r="B872" s="417" t="str">
        <f>IF(A872&lt;&gt;0,COUNTA(A$19:$A872),"")</f>
        <v/>
      </c>
      <c r="C872" s="428" t="s">
        <v>1833</v>
      </c>
      <c r="D872" s="428"/>
      <c r="E872" s="435"/>
      <c r="F872" s="435"/>
      <c r="G872" s="419"/>
      <c r="H872" s="419"/>
      <c r="I872" s="419"/>
      <c r="J872" s="419"/>
      <c r="K872" s="420">
        <v>1</v>
      </c>
      <c r="L872" s="420">
        <f t="shared" si="158"/>
        <v>0</v>
      </c>
      <c r="M872" s="420">
        <f t="shared" si="159"/>
        <v>182233</v>
      </c>
      <c r="N872" s="445">
        <f t="shared" si="167"/>
        <v>0</v>
      </c>
      <c r="O872" s="719"/>
      <c r="P872" s="719">
        <f t="shared" si="166"/>
        <v>235080.57</v>
      </c>
      <c r="Q872" s="423">
        <f>SUMIF('8.Dgia'!E:E,'9.may'!E872,'8.Dgia'!P:P)</f>
        <v>0</v>
      </c>
      <c r="R872" s="429">
        <f t="shared" si="160"/>
        <v>0</v>
      </c>
      <c r="S872" s="301">
        <f t="shared" si="161"/>
        <v>0</v>
      </c>
      <c r="T872" s="430">
        <f t="shared" si="162"/>
        <v>182233</v>
      </c>
      <c r="U872" s="431"/>
      <c r="V872" s="431"/>
      <c r="W872" s="432">
        <v>182233</v>
      </c>
      <c r="Y872" s="433">
        <f t="shared" si="163"/>
        <v>0</v>
      </c>
      <c r="Z872" s="433">
        <f t="shared" si="164"/>
        <v>0</v>
      </c>
      <c r="AC872" s="410">
        <f t="shared" si="165"/>
        <v>0</v>
      </c>
    </row>
    <row r="873" spans="1:29" s="410" customFormat="1" ht="17.25" hidden="1" customHeight="1">
      <c r="B873" s="417" t="str">
        <f>IF(A873&lt;&gt;0,COUNTA(A$19:$A873),"")</f>
        <v/>
      </c>
      <c r="C873" s="428" t="s">
        <v>1834</v>
      </c>
      <c r="D873" s="428"/>
      <c r="E873" s="435"/>
      <c r="F873" s="435" t="s">
        <v>4863</v>
      </c>
      <c r="G873" s="419"/>
      <c r="H873" s="419"/>
      <c r="I873" s="419"/>
      <c r="J873" s="419"/>
      <c r="K873" s="420">
        <v>1</v>
      </c>
      <c r="L873" s="420">
        <f t="shared" si="158"/>
        <v>0</v>
      </c>
      <c r="M873" s="420">
        <f t="shared" si="159"/>
        <v>6104</v>
      </c>
      <c r="N873" s="445">
        <f t="shared" si="167"/>
        <v>0</v>
      </c>
      <c r="O873" s="719"/>
      <c r="P873" s="719">
        <f t="shared" si="166"/>
        <v>7874.16</v>
      </c>
      <c r="Q873" s="423">
        <f>SUMIF('8.Dgia'!E:E,'9.may'!E873,'8.Dgia'!P:P)</f>
        <v>0</v>
      </c>
      <c r="R873" s="429">
        <f t="shared" si="160"/>
        <v>0</v>
      </c>
      <c r="S873" s="301">
        <f t="shared" si="161"/>
        <v>0</v>
      </c>
      <c r="T873" s="430">
        <f t="shared" si="162"/>
        <v>6104</v>
      </c>
      <c r="U873" s="431"/>
      <c r="V873" s="431"/>
      <c r="W873" s="432">
        <v>6104</v>
      </c>
      <c r="Y873" s="433">
        <f t="shared" si="163"/>
        <v>0</v>
      </c>
      <c r="Z873" s="433">
        <f t="shared" si="164"/>
        <v>0</v>
      </c>
      <c r="AC873" s="410">
        <f t="shared" si="165"/>
        <v>0</v>
      </c>
    </row>
    <row r="874" spans="1:29" s="410" customFormat="1" ht="17.25" hidden="1" customHeight="1">
      <c r="B874" s="417" t="str">
        <f>IF(A874&lt;&gt;0,COUNTA(A$19:$A874),"")</f>
        <v/>
      </c>
      <c r="C874" s="428" t="s">
        <v>1835</v>
      </c>
      <c r="D874" s="428"/>
      <c r="E874" s="435"/>
      <c r="F874" s="435"/>
      <c r="G874" s="419"/>
      <c r="H874" s="419"/>
      <c r="I874" s="419"/>
      <c r="J874" s="419"/>
      <c r="K874" s="420">
        <v>1</v>
      </c>
      <c r="L874" s="420">
        <f t="shared" si="158"/>
        <v>0</v>
      </c>
      <c r="M874" s="420">
        <f t="shared" si="159"/>
        <v>3414</v>
      </c>
      <c r="N874" s="445">
        <f t="shared" si="167"/>
        <v>0</v>
      </c>
      <c r="O874" s="719"/>
      <c r="P874" s="719">
        <f t="shared" si="166"/>
        <v>4404.0600000000004</v>
      </c>
      <c r="Q874" s="423">
        <f>SUMIF('8.Dgia'!E:E,'9.may'!E874,'8.Dgia'!P:P)</f>
        <v>0</v>
      </c>
      <c r="R874" s="429">
        <f t="shared" si="160"/>
        <v>0</v>
      </c>
      <c r="S874" s="301">
        <f t="shared" si="161"/>
        <v>0</v>
      </c>
      <c r="T874" s="430">
        <f t="shared" si="162"/>
        <v>3414</v>
      </c>
      <c r="U874" s="431"/>
      <c r="V874" s="431"/>
      <c r="W874" s="432">
        <v>3414</v>
      </c>
      <c r="Y874" s="433">
        <f t="shared" si="163"/>
        <v>0</v>
      </c>
      <c r="Z874" s="433">
        <f t="shared" si="164"/>
        <v>0</v>
      </c>
      <c r="AC874" s="410">
        <f t="shared" si="165"/>
        <v>0</v>
      </c>
    </row>
    <row r="875" spans="1:29" s="410" customFormat="1" ht="17.25" hidden="1" customHeight="1">
      <c r="B875" s="417" t="str">
        <f>IF(A875&lt;&gt;0,COUNTA(A$19:$A875),"")</f>
        <v/>
      </c>
      <c r="C875" s="444" t="s">
        <v>1836</v>
      </c>
      <c r="D875" s="444"/>
      <c r="E875" s="435"/>
      <c r="F875" s="435"/>
      <c r="G875" s="419"/>
      <c r="H875" s="419"/>
      <c r="I875" s="419"/>
      <c r="J875" s="419"/>
      <c r="K875" s="420"/>
      <c r="L875" s="420">
        <f t="shared" si="158"/>
        <v>0</v>
      </c>
      <c r="M875" s="420">
        <f t="shared" si="159"/>
        <v>0</v>
      </c>
      <c r="N875" s="445"/>
      <c r="O875" s="719"/>
      <c r="P875" s="719">
        <f t="shared" si="166"/>
        <v>0</v>
      </c>
      <c r="Q875" s="423">
        <f>SUMIF('8.Dgia'!E:E,'9.may'!E875,'8.Dgia'!P:P)</f>
        <v>0</v>
      </c>
      <c r="R875" s="429">
        <f t="shared" si="160"/>
        <v>0</v>
      </c>
      <c r="S875" s="301">
        <f t="shared" si="161"/>
        <v>0</v>
      </c>
      <c r="T875" s="430">
        <f t="shared" si="162"/>
        <v>0</v>
      </c>
      <c r="U875" s="436"/>
      <c r="V875" s="436"/>
      <c r="W875" s="432"/>
      <c r="Y875" s="433">
        <f t="shared" si="163"/>
        <v>0</v>
      </c>
      <c r="Z875" s="433">
        <f t="shared" si="164"/>
        <v>0</v>
      </c>
      <c r="AC875" s="410">
        <f t="shared" si="165"/>
        <v>0</v>
      </c>
    </row>
    <row r="876" spans="1:29" s="410" customFormat="1" ht="17.25" hidden="1" customHeight="1">
      <c r="B876" s="417" t="str">
        <f>IF(A876&lt;&gt;0,COUNTA(A$19:$A876),"")</f>
        <v/>
      </c>
      <c r="C876" s="428" t="s">
        <v>1837</v>
      </c>
      <c r="D876" s="428"/>
      <c r="E876" s="435"/>
      <c r="F876" s="435"/>
      <c r="G876" s="419"/>
      <c r="H876" s="419">
        <v>1.3</v>
      </c>
      <c r="I876" s="419"/>
      <c r="J876" s="419"/>
      <c r="K876" s="420">
        <v>1</v>
      </c>
      <c r="L876" s="420">
        <f t="shared" si="158"/>
        <v>41873</v>
      </c>
      <c r="M876" s="420">
        <f t="shared" si="159"/>
        <v>44728</v>
      </c>
      <c r="N876" s="445">
        <f>SUMPRODUCT(G876:J876,$G$12:$J$12,$G$9:$J$9)</f>
        <v>827.6450000000001</v>
      </c>
      <c r="O876" s="719"/>
      <c r="P876" s="719">
        <f t="shared" si="166"/>
        <v>58526.764999999999</v>
      </c>
      <c r="Q876" s="423">
        <f>SUMIF('8.Dgia'!E:E,'9.may'!E876,'8.Dgia'!P:P)</f>
        <v>0</v>
      </c>
      <c r="R876" s="429">
        <f t="shared" si="160"/>
        <v>0</v>
      </c>
      <c r="S876" s="301">
        <f t="shared" si="161"/>
        <v>12143.170000000002</v>
      </c>
      <c r="T876" s="430">
        <f t="shared" si="162"/>
        <v>57698.815000000002</v>
      </c>
      <c r="U876" s="431">
        <v>1245</v>
      </c>
      <c r="V876" s="431">
        <v>41873</v>
      </c>
      <c r="W876" s="432">
        <v>44728</v>
      </c>
      <c r="Y876" s="433">
        <f t="shared" si="163"/>
        <v>-12970.815000000002</v>
      </c>
      <c r="Z876" s="433">
        <f t="shared" si="164"/>
        <v>0</v>
      </c>
      <c r="AC876" s="410">
        <f t="shared" si="165"/>
        <v>0</v>
      </c>
    </row>
    <row r="877" spans="1:29" s="427" customFormat="1" ht="17.25" customHeight="1">
      <c r="A877" s="410">
        <v>1</v>
      </c>
      <c r="B877" s="417">
        <f>IF(A877&lt;&gt;0,COUNTA(A$19:$A877),"")</f>
        <v>219</v>
      </c>
      <c r="C877" s="428" t="s">
        <v>1838</v>
      </c>
      <c r="D877" s="428" t="s">
        <v>1839</v>
      </c>
      <c r="E877" s="435" t="s">
        <v>1840</v>
      </c>
      <c r="F877" s="435" t="s">
        <v>4864</v>
      </c>
      <c r="G877" s="419"/>
      <c r="H877" s="419">
        <v>180</v>
      </c>
      <c r="I877" s="419"/>
      <c r="J877" s="419"/>
      <c r="K877" s="420">
        <v>1</v>
      </c>
      <c r="L877" s="420">
        <f t="shared" si="158"/>
        <v>48658</v>
      </c>
      <c r="M877" s="420">
        <f t="shared" si="159"/>
        <v>317704</v>
      </c>
      <c r="N877" s="445">
        <f>SUMPRODUCT(G877:J877,$G$12:$J$12,$G$9:$J$9)</f>
        <v>114597</v>
      </c>
      <c r="O877" s="719"/>
      <c r="P877" s="719">
        <f t="shared" si="166"/>
        <v>524435.16</v>
      </c>
      <c r="Q877" s="423">
        <f>SUMIF('8.Dgia'!E:E,'9.may'!E877,'8.Dgia'!P:P)</f>
        <v>0</v>
      </c>
      <c r="R877" s="429">
        <f t="shared" si="160"/>
        <v>0</v>
      </c>
      <c r="S877" s="301">
        <f t="shared" si="161"/>
        <v>14110.820000000002</v>
      </c>
      <c r="T877" s="430">
        <f t="shared" si="162"/>
        <v>446411.82</v>
      </c>
      <c r="U877" s="2053">
        <v>172377</v>
      </c>
      <c r="V877" s="2053">
        <v>48658</v>
      </c>
      <c r="W877" s="2054">
        <v>317704</v>
      </c>
      <c r="Y877" s="433">
        <f t="shared" si="163"/>
        <v>-128707.82</v>
      </c>
      <c r="Z877" s="433">
        <f t="shared" si="164"/>
        <v>0</v>
      </c>
      <c r="AC877" s="410">
        <f t="shared" si="165"/>
        <v>0</v>
      </c>
    </row>
    <row r="878" spans="1:29" s="427" customFormat="1" ht="17.25" hidden="1" customHeight="1">
      <c r="B878" s="417" t="str">
        <f>IF(A878&lt;&gt;0,COUNTA(A$19:$A878),"")</f>
        <v/>
      </c>
      <c r="C878" s="428" t="s">
        <v>1841</v>
      </c>
      <c r="D878" s="428"/>
      <c r="E878" s="435"/>
      <c r="F878" s="435" t="s">
        <v>4865</v>
      </c>
      <c r="G878" s="419">
        <v>11</v>
      </c>
      <c r="H878" s="419"/>
      <c r="I878" s="419"/>
      <c r="J878" s="419"/>
      <c r="K878" s="420">
        <v>1</v>
      </c>
      <c r="L878" s="420">
        <f t="shared" si="158"/>
        <v>48658</v>
      </c>
      <c r="M878" s="420">
        <f t="shared" si="159"/>
        <v>191348</v>
      </c>
      <c r="N878" s="445">
        <f>SUMPRODUCT(G878:J878,$G$12:$J$12,$G$9:$J$9)</f>
        <v>178712.09999999998</v>
      </c>
      <c r="O878" s="719"/>
      <c r="P878" s="719">
        <f t="shared" si="166"/>
        <v>425551.02</v>
      </c>
      <c r="Q878" s="423">
        <f>SUMIF('8.Dgia'!E:E,'9.may'!E878,'8.Dgia'!P:P)</f>
        <v>0</v>
      </c>
      <c r="R878" s="429">
        <f t="shared" si="160"/>
        <v>0</v>
      </c>
      <c r="S878" s="301">
        <f t="shared" si="161"/>
        <v>14110.820000000002</v>
      </c>
      <c r="T878" s="430">
        <f t="shared" si="162"/>
        <v>384170.92</v>
      </c>
      <c r="U878" s="431">
        <v>78748</v>
      </c>
      <c r="V878" s="431">
        <v>48658</v>
      </c>
      <c r="W878" s="432">
        <v>191348</v>
      </c>
      <c r="Y878" s="433">
        <f t="shared" si="163"/>
        <v>-192822.91999999998</v>
      </c>
      <c r="Z878" s="433">
        <f t="shared" si="164"/>
        <v>0</v>
      </c>
      <c r="AC878" s="410">
        <f t="shared" si="165"/>
        <v>0</v>
      </c>
    </row>
    <row r="879" spans="1:29" s="427" customFormat="1" ht="17.25" hidden="1" customHeight="1">
      <c r="B879" s="417" t="str">
        <f>IF(A879&lt;&gt;0,COUNTA(A$19:$A879),"")</f>
        <v/>
      </c>
      <c r="C879" s="428" t="s">
        <v>1842</v>
      </c>
      <c r="D879" s="428" t="s">
        <v>1843</v>
      </c>
      <c r="E879" s="435"/>
      <c r="F879" s="435"/>
      <c r="G879" s="419">
        <v>110.9</v>
      </c>
      <c r="H879" s="419"/>
      <c r="I879" s="419"/>
      <c r="J879" s="419"/>
      <c r="K879" s="420">
        <v>1</v>
      </c>
      <c r="L879" s="420">
        <f t="shared" si="158"/>
        <v>105458</v>
      </c>
      <c r="M879" s="420">
        <f t="shared" si="159"/>
        <v>1737287</v>
      </c>
      <c r="N879" s="445">
        <f>SUMPRODUCT(G879:J879,$G$12:$J$12,$G$9:$J$9)</f>
        <v>1801742.8990909089</v>
      </c>
      <c r="O879" s="719"/>
      <c r="P879" s="719">
        <f t="shared" si="166"/>
        <v>4042843.1290909089</v>
      </c>
      <c r="Q879" s="423">
        <f>SUMIF('8.Dgia'!E:E,'9.may'!E879,'8.Dgia'!P:P)</f>
        <v>0</v>
      </c>
      <c r="R879" s="429">
        <f t="shared" si="160"/>
        <v>0</v>
      </c>
      <c r="S879" s="301">
        <f t="shared" si="161"/>
        <v>30582.820000000003</v>
      </c>
      <c r="T879" s="430">
        <f t="shared" si="162"/>
        <v>3569612.7190909088</v>
      </c>
      <c r="U879" s="431">
        <v>793922</v>
      </c>
      <c r="V879" s="431">
        <v>105458</v>
      </c>
      <c r="W879" s="432">
        <v>1737287</v>
      </c>
      <c r="Y879" s="433">
        <f t="shared" si="163"/>
        <v>-1832325.7190909088</v>
      </c>
      <c r="Z879" s="433">
        <f t="shared" si="164"/>
        <v>0</v>
      </c>
      <c r="AC879" s="410">
        <f t="shared" si="165"/>
        <v>0</v>
      </c>
    </row>
    <row r="880" spans="1:29" s="427" customFormat="1" ht="17.25" hidden="1" customHeight="1">
      <c r="B880" s="417" t="str">
        <f>IF(A880&lt;&gt;0,COUNTA(A$19:$A880),"")</f>
        <v/>
      </c>
      <c r="C880" s="444" t="s">
        <v>1844</v>
      </c>
      <c r="D880" s="444"/>
      <c r="E880" s="435"/>
      <c r="F880" s="435"/>
      <c r="G880" s="419"/>
      <c r="H880" s="419"/>
      <c r="I880" s="419"/>
      <c r="J880" s="419"/>
      <c r="K880" s="420"/>
      <c r="L880" s="420">
        <f t="shared" si="158"/>
        <v>0</v>
      </c>
      <c r="M880" s="420">
        <f t="shared" si="159"/>
        <v>0</v>
      </c>
      <c r="N880" s="445"/>
      <c r="O880" s="719"/>
      <c r="P880" s="719">
        <f t="shared" si="166"/>
        <v>0</v>
      </c>
      <c r="Q880" s="423">
        <f>SUMIF('8.Dgia'!E:E,'9.may'!E880,'8.Dgia'!P:P)</f>
        <v>0</v>
      </c>
      <c r="R880" s="429">
        <f t="shared" si="160"/>
        <v>0</v>
      </c>
      <c r="S880" s="301">
        <f t="shared" si="161"/>
        <v>0</v>
      </c>
      <c r="T880" s="430">
        <f t="shared" si="162"/>
        <v>0</v>
      </c>
      <c r="U880" s="436"/>
      <c r="V880" s="436"/>
      <c r="W880" s="432"/>
      <c r="Y880" s="433">
        <f t="shared" si="163"/>
        <v>0</v>
      </c>
      <c r="Z880" s="433">
        <f t="shared" si="164"/>
        <v>0</v>
      </c>
      <c r="AC880" s="410">
        <f t="shared" si="165"/>
        <v>0</v>
      </c>
    </row>
    <row r="881" spans="1:29" s="427" customFormat="1" ht="17.25" hidden="1" customHeight="1">
      <c r="B881" s="417" t="str">
        <f>IF(A881&lt;&gt;0,COUNTA(A$19:$A881),"")</f>
        <v/>
      </c>
      <c r="C881" s="428" t="s">
        <v>1845</v>
      </c>
      <c r="D881" s="428"/>
      <c r="E881" s="435"/>
      <c r="F881" s="435"/>
      <c r="G881" s="419">
        <v>45.6</v>
      </c>
      <c r="H881" s="419"/>
      <c r="I881" s="419"/>
      <c r="J881" s="419"/>
      <c r="K881" s="420">
        <v>1</v>
      </c>
      <c r="L881" s="420">
        <f t="shared" si="158"/>
        <v>48658</v>
      </c>
      <c r="M881" s="420">
        <f t="shared" si="159"/>
        <v>645700</v>
      </c>
      <c r="N881" s="445">
        <f>SUMPRODUCT(G881:J881,$G$12:$J$12,$G$9:$J$9)</f>
        <v>740842.88727272721</v>
      </c>
      <c r="O881" s="719"/>
      <c r="P881" s="719">
        <f t="shared" si="166"/>
        <v>1573795.8872727272</v>
      </c>
      <c r="Q881" s="423">
        <f>SUMIF('8.Dgia'!E:E,'9.may'!E881,'8.Dgia'!P:P)</f>
        <v>0</v>
      </c>
      <c r="R881" s="429">
        <f t="shared" si="160"/>
        <v>0</v>
      </c>
      <c r="S881" s="301">
        <f t="shared" si="161"/>
        <v>14110.820000000002</v>
      </c>
      <c r="T881" s="430">
        <f t="shared" si="162"/>
        <v>1400653.707272727</v>
      </c>
      <c r="U881" s="431">
        <v>326446</v>
      </c>
      <c r="V881" s="431">
        <v>48658</v>
      </c>
      <c r="W881" s="432">
        <v>645700</v>
      </c>
      <c r="Y881" s="433">
        <f t="shared" si="163"/>
        <v>-754953.70727272704</v>
      </c>
      <c r="Z881" s="433">
        <f t="shared" si="164"/>
        <v>0</v>
      </c>
      <c r="AC881" s="410">
        <f t="shared" si="165"/>
        <v>0</v>
      </c>
    </row>
    <row r="882" spans="1:29" s="427" customFormat="1" ht="17.25" hidden="1" customHeight="1">
      <c r="B882" s="417" t="str">
        <f>IF(A882&lt;&gt;0,COUNTA(A$19:$A882),"")</f>
        <v/>
      </c>
      <c r="C882" s="428" t="s">
        <v>1846</v>
      </c>
      <c r="D882" s="428"/>
      <c r="E882" s="435"/>
      <c r="F882" s="435"/>
      <c r="G882" s="419">
        <v>48.6</v>
      </c>
      <c r="H882" s="419"/>
      <c r="I882" s="419"/>
      <c r="J882" s="419"/>
      <c r="K882" s="420">
        <v>1</v>
      </c>
      <c r="L882" s="420">
        <f t="shared" si="158"/>
        <v>48658</v>
      </c>
      <c r="M882" s="420">
        <f t="shared" si="159"/>
        <v>710217</v>
      </c>
      <c r="N882" s="445">
        <f>SUMPRODUCT(G882:J882,$G$12:$J$12,$G$9:$J$9)</f>
        <v>789582.55090909079</v>
      </c>
      <c r="O882" s="719"/>
      <c r="P882" s="719">
        <f t="shared" si="166"/>
        <v>1705762.480909091</v>
      </c>
      <c r="Q882" s="423">
        <f>SUMIF('8.Dgia'!E:E,'9.may'!E882,'8.Dgia'!P:P)</f>
        <v>0</v>
      </c>
      <c r="R882" s="429">
        <f t="shared" si="160"/>
        <v>0</v>
      </c>
      <c r="S882" s="301">
        <f t="shared" si="161"/>
        <v>14110.820000000002</v>
      </c>
      <c r="T882" s="430">
        <f t="shared" si="162"/>
        <v>1513910.3709090906</v>
      </c>
      <c r="U882" s="431">
        <v>347923</v>
      </c>
      <c r="V882" s="431">
        <v>48658</v>
      </c>
      <c r="W882" s="432">
        <v>710217</v>
      </c>
      <c r="Y882" s="433">
        <f t="shared" si="163"/>
        <v>-803693.37090909062</v>
      </c>
      <c r="Z882" s="433">
        <f t="shared" si="164"/>
        <v>0</v>
      </c>
      <c r="AC882" s="410">
        <f t="shared" si="165"/>
        <v>0</v>
      </c>
    </row>
    <row r="883" spans="1:29" s="427" customFormat="1" ht="17.25" hidden="1" customHeight="1">
      <c r="B883" s="417" t="str">
        <f>IF(A883&lt;&gt;0,COUNTA(A$19:$A883),"")</f>
        <v/>
      </c>
      <c r="C883" s="428" t="s">
        <v>1847</v>
      </c>
      <c r="D883" s="428"/>
      <c r="E883" s="435"/>
      <c r="F883" s="435"/>
      <c r="G883" s="419">
        <v>89.3</v>
      </c>
      <c r="H883" s="419"/>
      <c r="I883" s="419"/>
      <c r="J883" s="419"/>
      <c r="K883" s="420">
        <v>1</v>
      </c>
      <c r="L883" s="420">
        <f t="shared" si="158"/>
        <v>56800</v>
      </c>
      <c r="M883" s="420">
        <f t="shared" si="159"/>
        <v>1360892</v>
      </c>
      <c r="N883" s="445">
        <f>SUMPRODUCT(G883:J883,$G$12:$J$12,$G$9:$J$9)</f>
        <v>1450817.3209090906</v>
      </c>
      <c r="O883" s="719"/>
      <c r="P883" s="719">
        <f t="shared" si="166"/>
        <v>3206368.0009090905</v>
      </c>
      <c r="Q883" s="423">
        <f>SUMIF('8.Dgia'!E:E,'9.may'!E883,'8.Dgia'!P:P)</f>
        <v>0</v>
      </c>
      <c r="R883" s="429">
        <f t="shared" si="160"/>
        <v>0</v>
      </c>
      <c r="S883" s="301">
        <f t="shared" si="161"/>
        <v>16472.000000000004</v>
      </c>
      <c r="T883" s="430">
        <f t="shared" si="162"/>
        <v>2828181.3209090903</v>
      </c>
      <c r="U883" s="431">
        <v>639290</v>
      </c>
      <c r="V883" s="431">
        <v>56800</v>
      </c>
      <c r="W883" s="432">
        <v>1360892</v>
      </c>
      <c r="Y883" s="433">
        <f t="shared" si="163"/>
        <v>-1467289.3209090903</v>
      </c>
      <c r="Z883" s="433">
        <f t="shared" si="164"/>
        <v>0</v>
      </c>
      <c r="AC883" s="410">
        <f t="shared" si="165"/>
        <v>0</v>
      </c>
    </row>
    <row r="884" spans="1:29" s="427" customFormat="1" ht="17.25" hidden="1" customHeight="1">
      <c r="B884" s="417" t="str">
        <f>IF(A884&lt;&gt;0,COUNTA(A$19:$A884),"")</f>
        <v/>
      </c>
      <c r="C884" s="444" t="s">
        <v>1848</v>
      </c>
      <c r="D884" s="444"/>
      <c r="E884" s="435"/>
      <c r="F884" s="435"/>
      <c r="G884" s="419"/>
      <c r="H884" s="419"/>
      <c r="I884" s="419"/>
      <c r="J884" s="419"/>
      <c r="K884" s="420"/>
      <c r="L884" s="420">
        <f t="shared" si="158"/>
        <v>0</v>
      </c>
      <c r="M884" s="420">
        <f t="shared" si="159"/>
        <v>0</v>
      </c>
      <c r="N884" s="445"/>
      <c r="O884" s="719"/>
      <c r="P884" s="719">
        <f t="shared" si="166"/>
        <v>0</v>
      </c>
      <c r="Q884" s="423">
        <f>SUMIF('8.Dgia'!E:E,'9.may'!E884,'8.Dgia'!P:P)</f>
        <v>0</v>
      </c>
      <c r="R884" s="429">
        <f t="shared" si="160"/>
        <v>0</v>
      </c>
      <c r="S884" s="301">
        <f t="shared" si="161"/>
        <v>0</v>
      </c>
      <c r="T884" s="430">
        <f t="shared" si="162"/>
        <v>0</v>
      </c>
      <c r="U884" s="436"/>
      <c r="V884" s="436"/>
      <c r="W884" s="432"/>
      <c r="Y884" s="433">
        <f t="shared" si="163"/>
        <v>0</v>
      </c>
      <c r="Z884" s="433">
        <f t="shared" si="164"/>
        <v>0</v>
      </c>
      <c r="AC884" s="410">
        <f t="shared" si="165"/>
        <v>0</v>
      </c>
    </row>
    <row r="885" spans="1:29" s="427" customFormat="1" ht="17.25" hidden="1" customHeight="1">
      <c r="B885" s="417" t="str">
        <f>IF(A885&lt;&gt;0,COUNTA(A$19:$A885),"")</f>
        <v/>
      </c>
      <c r="C885" s="428" t="s">
        <v>1849</v>
      </c>
      <c r="D885" s="428"/>
      <c r="E885" s="435"/>
      <c r="F885" s="435"/>
      <c r="G885" s="419"/>
      <c r="H885" s="419"/>
      <c r="I885" s="419"/>
      <c r="J885" s="419"/>
      <c r="K885" s="420">
        <v>1</v>
      </c>
      <c r="L885" s="420">
        <f t="shared" si="158"/>
        <v>0</v>
      </c>
      <c r="M885" s="420">
        <f t="shared" si="159"/>
        <v>28700</v>
      </c>
      <c r="N885" s="445">
        <f>SUMPRODUCT(G885:J885,$G$12:$J$12,$G$9:$J$9)</f>
        <v>0</v>
      </c>
      <c r="O885" s="719"/>
      <c r="P885" s="719">
        <f t="shared" si="166"/>
        <v>37023</v>
      </c>
      <c r="Q885" s="423">
        <f>SUMIF('8.Dgia'!E:E,'9.may'!E885,'8.Dgia'!P:P)</f>
        <v>0</v>
      </c>
      <c r="R885" s="429">
        <f t="shared" si="160"/>
        <v>0</v>
      </c>
      <c r="S885" s="301">
        <f t="shared" si="161"/>
        <v>0</v>
      </c>
      <c r="T885" s="430">
        <f t="shared" si="162"/>
        <v>28700</v>
      </c>
      <c r="U885" s="431"/>
      <c r="V885" s="431"/>
      <c r="W885" s="432">
        <v>28700</v>
      </c>
      <c r="Y885" s="433">
        <f t="shared" si="163"/>
        <v>0</v>
      </c>
      <c r="Z885" s="433">
        <f t="shared" si="164"/>
        <v>0</v>
      </c>
      <c r="AC885" s="410">
        <f t="shared" si="165"/>
        <v>0</v>
      </c>
    </row>
    <row r="886" spans="1:29" s="427" customFormat="1" ht="17.25" hidden="1" customHeight="1">
      <c r="B886" s="417" t="str">
        <f>IF(A886&lt;&gt;0,COUNTA(A$19:$A886),"")</f>
        <v/>
      </c>
      <c r="C886" s="428" t="s">
        <v>1850</v>
      </c>
      <c r="D886" s="428"/>
      <c r="E886" s="435"/>
      <c r="F886" s="435"/>
      <c r="G886" s="419"/>
      <c r="H886" s="419"/>
      <c r="I886" s="419"/>
      <c r="J886" s="419"/>
      <c r="K886" s="420">
        <v>1</v>
      </c>
      <c r="L886" s="420">
        <f t="shared" si="158"/>
        <v>0</v>
      </c>
      <c r="M886" s="420">
        <f t="shared" si="159"/>
        <v>35533</v>
      </c>
      <c r="N886" s="445">
        <f>SUMPRODUCT(G886:J886,$G$12:$J$12,$G$9:$J$9)</f>
        <v>0</v>
      </c>
      <c r="O886" s="719"/>
      <c r="P886" s="719">
        <f t="shared" si="166"/>
        <v>45837.57</v>
      </c>
      <c r="Q886" s="423">
        <f>SUMIF('8.Dgia'!E:E,'9.may'!E886,'8.Dgia'!P:P)</f>
        <v>0</v>
      </c>
      <c r="R886" s="429">
        <f t="shared" si="160"/>
        <v>0</v>
      </c>
      <c r="S886" s="301">
        <f t="shared" si="161"/>
        <v>0</v>
      </c>
      <c r="T886" s="430">
        <f t="shared" si="162"/>
        <v>35533</v>
      </c>
      <c r="U886" s="431"/>
      <c r="V886" s="431"/>
      <c r="W886" s="432">
        <v>35533</v>
      </c>
      <c r="Y886" s="433">
        <f t="shared" si="163"/>
        <v>0</v>
      </c>
      <c r="Z886" s="433">
        <f t="shared" si="164"/>
        <v>0</v>
      </c>
      <c r="AC886" s="410">
        <f t="shared" si="165"/>
        <v>0</v>
      </c>
    </row>
    <row r="887" spans="1:29" s="427" customFormat="1" ht="17.25" hidden="1" customHeight="1">
      <c r="B887" s="417" t="str">
        <f>IF(A887&lt;&gt;0,COUNTA(A$19:$A887),"")</f>
        <v/>
      </c>
      <c r="C887" s="444" t="s">
        <v>1851</v>
      </c>
      <c r="D887" s="444"/>
      <c r="E887" s="435"/>
      <c r="F887" s="435"/>
      <c r="G887" s="419"/>
      <c r="H887" s="419"/>
      <c r="I887" s="419"/>
      <c r="J887" s="419"/>
      <c r="K887" s="420"/>
      <c r="L887" s="420">
        <f t="shared" si="158"/>
        <v>0</v>
      </c>
      <c r="M887" s="420">
        <f t="shared" si="159"/>
        <v>0</v>
      </c>
      <c r="N887" s="445"/>
      <c r="O887" s="719"/>
      <c r="P887" s="719">
        <f t="shared" si="166"/>
        <v>0</v>
      </c>
      <c r="Q887" s="423">
        <f>SUMIF('8.Dgia'!E:E,'9.may'!E887,'8.Dgia'!P:P)</f>
        <v>0</v>
      </c>
      <c r="R887" s="429">
        <f t="shared" si="160"/>
        <v>0</v>
      </c>
      <c r="S887" s="301">
        <f t="shared" si="161"/>
        <v>0</v>
      </c>
      <c r="T887" s="430">
        <f t="shared" si="162"/>
        <v>0</v>
      </c>
      <c r="U887" s="436"/>
      <c r="V887" s="436"/>
      <c r="W887" s="432"/>
      <c r="Y887" s="433">
        <f t="shared" si="163"/>
        <v>0</v>
      </c>
      <c r="Z887" s="433">
        <f t="shared" si="164"/>
        <v>0</v>
      </c>
      <c r="AC887" s="410">
        <f t="shared" si="165"/>
        <v>0</v>
      </c>
    </row>
    <row r="888" spans="1:29" s="427" customFormat="1" ht="17.25" hidden="1" customHeight="1">
      <c r="B888" s="417" t="str">
        <f>IF(A888&lt;&gt;0,COUNTA(A$19:$A888),"")</f>
        <v/>
      </c>
      <c r="C888" s="428" t="s">
        <v>1852</v>
      </c>
      <c r="D888" s="428"/>
      <c r="E888" s="435"/>
      <c r="F888" s="435"/>
      <c r="G888" s="419"/>
      <c r="H888" s="419"/>
      <c r="I888" s="419"/>
      <c r="J888" s="419"/>
      <c r="K888" s="420">
        <v>1</v>
      </c>
      <c r="L888" s="420">
        <f t="shared" si="158"/>
        <v>0</v>
      </c>
      <c r="M888" s="420">
        <f t="shared" si="159"/>
        <v>13970</v>
      </c>
      <c r="N888" s="445">
        <f t="shared" ref="N888:N898" si="168">SUMPRODUCT(G888:J888,$G$12:$J$12,$G$9:$J$9)</f>
        <v>0</v>
      </c>
      <c r="O888" s="719"/>
      <c r="P888" s="719">
        <f t="shared" si="166"/>
        <v>18021.3</v>
      </c>
      <c r="Q888" s="423">
        <f>SUMIF('8.Dgia'!E:E,'9.may'!E888,'8.Dgia'!P:P)</f>
        <v>0</v>
      </c>
      <c r="R888" s="429">
        <f t="shared" si="160"/>
        <v>0</v>
      </c>
      <c r="S888" s="301">
        <f t="shared" si="161"/>
        <v>0</v>
      </c>
      <c r="T888" s="430">
        <f t="shared" si="162"/>
        <v>13970</v>
      </c>
      <c r="U888" s="431"/>
      <c r="V888" s="431"/>
      <c r="W888" s="432">
        <v>13970</v>
      </c>
      <c r="Y888" s="433">
        <f t="shared" si="163"/>
        <v>0</v>
      </c>
      <c r="Z888" s="433">
        <f t="shared" si="164"/>
        <v>0</v>
      </c>
      <c r="AC888" s="410">
        <f t="shared" si="165"/>
        <v>0</v>
      </c>
    </row>
    <row r="889" spans="1:29" s="427" customFormat="1" ht="17.25" customHeight="1">
      <c r="A889" s="410">
        <v>1</v>
      </c>
      <c r="B889" s="417">
        <f>IF(A889&lt;&gt;0,COUNTA(A$19:$A889),"")</f>
        <v>220</v>
      </c>
      <c r="C889" s="428" t="s">
        <v>1853</v>
      </c>
      <c r="D889" s="428"/>
      <c r="E889" s="818" t="s">
        <v>5518</v>
      </c>
      <c r="F889" s="435" t="s">
        <v>5531</v>
      </c>
      <c r="G889" s="419"/>
      <c r="H889" s="419"/>
      <c r="I889" s="419"/>
      <c r="J889" s="419"/>
      <c r="K889" s="420">
        <v>1</v>
      </c>
      <c r="L889" s="420">
        <f t="shared" si="158"/>
        <v>0</v>
      </c>
      <c r="M889" s="420">
        <f t="shared" si="159"/>
        <v>32067</v>
      </c>
      <c r="N889" s="445">
        <f t="shared" si="168"/>
        <v>0</v>
      </c>
      <c r="O889" s="719"/>
      <c r="P889" s="719">
        <f t="shared" si="166"/>
        <v>41366.43</v>
      </c>
      <c r="Q889" s="423">
        <f>SUMIF('8.Dgia'!E:E,'9.may'!E889,'8.Dgia'!P:P)</f>
        <v>0</v>
      </c>
      <c r="R889" s="429">
        <f t="shared" si="160"/>
        <v>0</v>
      </c>
      <c r="S889" s="301">
        <f t="shared" si="161"/>
        <v>0</v>
      </c>
      <c r="T889" s="430">
        <f t="shared" si="162"/>
        <v>32067</v>
      </c>
      <c r="U889" s="2053"/>
      <c r="V889" s="2053"/>
      <c r="W889" s="2054">
        <v>32067</v>
      </c>
      <c r="Y889" s="433">
        <f t="shared" si="163"/>
        <v>0</v>
      </c>
      <c r="Z889" s="433">
        <f t="shared" si="164"/>
        <v>0</v>
      </c>
      <c r="AC889" s="410">
        <f t="shared" si="165"/>
        <v>0</v>
      </c>
    </row>
    <row r="890" spans="1:29" s="427" customFormat="1" ht="17.25" hidden="1" customHeight="1">
      <c r="B890" s="417" t="str">
        <f>IF(A890&lt;&gt;0,COUNTA(A$19:$A890),"")</f>
        <v/>
      </c>
      <c r="C890" s="428" t="s">
        <v>1854</v>
      </c>
      <c r="D890" s="428"/>
      <c r="E890" s="435"/>
      <c r="F890" s="435"/>
      <c r="G890" s="419"/>
      <c r="H890" s="419"/>
      <c r="I890" s="419"/>
      <c r="J890" s="419"/>
      <c r="K890" s="420">
        <v>1</v>
      </c>
      <c r="L890" s="420">
        <f t="shared" si="158"/>
        <v>0</v>
      </c>
      <c r="M890" s="420">
        <f t="shared" si="159"/>
        <v>52432</v>
      </c>
      <c r="N890" s="445">
        <f t="shared" si="168"/>
        <v>0</v>
      </c>
      <c r="O890" s="719"/>
      <c r="P890" s="719">
        <f t="shared" si="166"/>
        <v>67637.279999999999</v>
      </c>
      <c r="Q890" s="423">
        <f>SUMIF('8.Dgia'!E:E,'9.may'!E890,'8.Dgia'!P:P)</f>
        <v>0</v>
      </c>
      <c r="R890" s="429">
        <f t="shared" si="160"/>
        <v>0</v>
      </c>
      <c r="S890" s="301">
        <f t="shared" si="161"/>
        <v>0</v>
      </c>
      <c r="T890" s="430">
        <f t="shared" si="162"/>
        <v>52432</v>
      </c>
      <c r="U890" s="431"/>
      <c r="V890" s="431"/>
      <c r="W890" s="432">
        <v>52432</v>
      </c>
      <c r="Y890" s="433">
        <f t="shared" si="163"/>
        <v>0</v>
      </c>
      <c r="Z890" s="433">
        <f t="shared" si="164"/>
        <v>0</v>
      </c>
      <c r="AC890" s="410">
        <f t="shared" si="165"/>
        <v>0</v>
      </c>
    </row>
    <row r="891" spans="1:29" s="427" customFormat="1" ht="17.25" hidden="1" customHeight="1">
      <c r="B891" s="417" t="str">
        <f>IF(A891&lt;&gt;0,COUNTA(A$19:$A891),"")</f>
        <v/>
      </c>
      <c r="C891" s="428" t="s">
        <v>1855</v>
      </c>
      <c r="D891" s="428"/>
      <c r="E891" s="435"/>
      <c r="F891" s="435"/>
      <c r="G891" s="419"/>
      <c r="H891" s="419"/>
      <c r="I891" s="419"/>
      <c r="J891" s="419"/>
      <c r="K891" s="420">
        <v>1</v>
      </c>
      <c r="L891" s="420">
        <f t="shared" si="158"/>
        <v>0</v>
      </c>
      <c r="M891" s="420">
        <f t="shared" si="159"/>
        <v>7218</v>
      </c>
      <c r="N891" s="445">
        <f t="shared" si="168"/>
        <v>0</v>
      </c>
      <c r="O891" s="719"/>
      <c r="P891" s="719">
        <f t="shared" si="166"/>
        <v>9311.2200000000012</v>
      </c>
      <c r="Q891" s="423">
        <f>SUMIF('8.Dgia'!E:E,'9.may'!E891,'8.Dgia'!P:P)</f>
        <v>0</v>
      </c>
      <c r="R891" s="429">
        <f t="shared" si="160"/>
        <v>0</v>
      </c>
      <c r="S891" s="301">
        <f t="shared" si="161"/>
        <v>0</v>
      </c>
      <c r="T891" s="430">
        <f t="shared" si="162"/>
        <v>7218</v>
      </c>
      <c r="U891" s="431"/>
      <c r="V891" s="431"/>
      <c r="W891" s="432">
        <v>7218</v>
      </c>
      <c r="Y891" s="433">
        <f t="shared" si="163"/>
        <v>0</v>
      </c>
      <c r="Z891" s="433">
        <f t="shared" si="164"/>
        <v>0</v>
      </c>
      <c r="AC891" s="410">
        <f t="shared" si="165"/>
        <v>0</v>
      </c>
    </row>
    <row r="892" spans="1:29" s="427" customFormat="1" ht="17.25" hidden="1" customHeight="1">
      <c r="B892" s="417" t="str">
        <f>IF(A892&lt;&gt;0,COUNTA(A$19:$A892),"")</f>
        <v/>
      </c>
      <c r="C892" s="428" t="s">
        <v>1856</v>
      </c>
      <c r="D892" s="428"/>
      <c r="E892" s="435"/>
      <c r="F892" s="435"/>
      <c r="G892" s="419"/>
      <c r="H892" s="419"/>
      <c r="I892" s="419"/>
      <c r="J892" s="419"/>
      <c r="K892" s="420">
        <v>1</v>
      </c>
      <c r="L892" s="420">
        <f t="shared" si="158"/>
        <v>0</v>
      </c>
      <c r="M892" s="420">
        <f t="shared" si="159"/>
        <v>10720</v>
      </c>
      <c r="N892" s="445">
        <f t="shared" si="168"/>
        <v>0</v>
      </c>
      <c r="O892" s="719"/>
      <c r="P892" s="719">
        <f t="shared" si="166"/>
        <v>13828.800000000001</v>
      </c>
      <c r="Q892" s="423">
        <f>SUMIF('8.Dgia'!E:E,'9.may'!E892,'8.Dgia'!P:P)</f>
        <v>0</v>
      </c>
      <c r="R892" s="429">
        <f t="shared" si="160"/>
        <v>0</v>
      </c>
      <c r="S892" s="301">
        <f t="shared" si="161"/>
        <v>0</v>
      </c>
      <c r="T892" s="430">
        <f t="shared" si="162"/>
        <v>10720</v>
      </c>
      <c r="U892" s="431"/>
      <c r="V892" s="431"/>
      <c r="W892" s="432">
        <v>10720</v>
      </c>
      <c r="Y892" s="433">
        <f t="shared" si="163"/>
        <v>0</v>
      </c>
      <c r="Z892" s="433">
        <f t="shared" si="164"/>
        <v>0</v>
      </c>
      <c r="AC892" s="410">
        <f t="shared" si="165"/>
        <v>0</v>
      </c>
    </row>
    <row r="893" spans="1:29" s="410" customFormat="1" ht="17.25" hidden="1" customHeight="1">
      <c r="B893" s="417" t="str">
        <f>IF(A893&lt;&gt;0,COUNTA(A$19:$A893),"")</f>
        <v/>
      </c>
      <c r="C893" s="428" t="s">
        <v>1857</v>
      </c>
      <c r="D893" s="428"/>
      <c r="E893" s="435"/>
      <c r="F893" s="435"/>
      <c r="G893" s="419"/>
      <c r="H893" s="419"/>
      <c r="I893" s="419"/>
      <c r="J893" s="419"/>
      <c r="K893" s="420">
        <v>1</v>
      </c>
      <c r="L893" s="420">
        <f t="shared" si="158"/>
        <v>0</v>
      </c>
      <c r="M893" s="420">
        <f t="shared" si="159"/>
        <v>19500</v>
      </c>
      <c r="N893" s="445">
        <f t="shared" si="168"/>
        <v>0</v>
      </c>
      <c r="O893" s="719"/>
      <c r="P893" s="719">
        <f t="shared" si="166"/>
        <v>25155</v>
      </c>
      <c r="Q893" s="423">
        <f>SUMIF('8.Dgia'!E:E,'9.may'!E893,'8.Dgia'!P:P)</f>
        <v>0</v>
      </c>
      <c r="R893" s="429">
        <f t="shared" si="160"/>
        <v>0</v>
      </c>
      <c r="S893" s="301">
        <f t="shared" si="161"/>
        <v>0</v>
      </c>
      <c r="T893" s="430">
        <f t="shared" si="162"/>
        <v>19500</v>
      </c>
      <c r="U893" s="431"/>
      <c r="V893" s="431"/>
      <c r="W893" s="432">
        <v>19500</v>
      </c>
      <c r="Y893" s="433">
        <f t="shared" si="163"/>
        <v>0</v>
      </c>
      <c r="Z893" s="433">
        <f t="shared" si="164"/>
        <v>0</v>
      </c>
      <c r="AC893" s="410">
        <f t="shared" si="165"/>
        <v>0</v>
      </c>
    </row>
    <row r="894" spans="1:29" s="410" customFormat="1" ht="17.25" hidden="1" customHeight="1">
      <c r="B894" s="417" t="str">
        <f>IF(A894&lt;&gt;0,COUNTA(A$19:$A894),"")</f>
        <v/>
      </c>
      <c r="C894" s="428" t="s">
        <v>1858</v>
      </c>
      <c r="D894" s="428"/>
      <c r="E894" s="435"/>
      <c r="F894" s="435"/>
      <c r="G894" s="419"/>
      <c r="H894" s="419"/>
      <c r="I894" s="419"/>
      <c r="J894" s="419"/>
      <c r="K894" s="420">
        <v>1</v>
      </c>
      <c r="L894" s="420">
        <f t="shared" si="158"/>
        <v>0</v>
      </c>
      <c r="M894" s="420">
        <f t="shared" si="159"/>
        <v>1733</v>
      </c>
      <c r="N894" s="445">
        <f t="shared" si="168"/>
        <v>0</v>
      </c>
      <c r="O894" s="719"/>
      <c r="P894" s="719">
        <f t="shared" si="166"/>
        <v>2235.5700000000002</v>
      </c>
      <c r="Q894" s="423">
        <f>SUMIF('8.Dgia'!E:E,'9.may'!E894,'8.Dgia'!P:P)</f>
        <v>0</v>
      </c>
      <c r="R894" s="429">
        <f t="shared" si="160"/>
        <v>0</v>
      </c>
      <c r="S894" s="301">
        <f t="shared" si="161"/>
        <v>0</v>
      </c>
      <c r="T894" s="430">
        <f t="shared" si="162"/>
        <v>1733</v>
      </c>
      <c r="U894" s="431"/>
      <c r="V894" s="431"/>
      <c r="W894" s="432">
        <v>1733</v>
      </c>
      <c r="Y894" s="433">
        <f t="shared" si="163"/>
        <v>0</v>
      </c>
      <c r="Z894" s="433">
        <f t="shared" si="164"/>
        <v>0</v>
      </c>
      <c r="AC894" s="410">
        <f t="shared" si="165"/>
        <v>0</v>
      </c>
    </row>
    <row r="895" spans="1:29" s="410" customFormat="1" ht="17.25" customHeight="1">
      <c r="A895" s="410">
        <v>1</v>
      </c>
      <c r="B895" s="417">
        <f>IF(A895&lt;&gt;0,COUNTA(A$19:$A895),"")</f>
        <v>221</v>
      </c>
      <c r="C895" s="428" t="s">
        <v>1859</v>
      </c>
      <c r="D895" s="428"/>
      <c r="E895" s="435" t="s">
        <v>5498</v>
      </c>
      <c r="F895" s="435" t="s">
        <v>4866</v>
      </c>
      <c r="G895" s="419"/>
      <c r="H895" s="419"/>
      <c r="I895" s="419"/>
      <c r="J895" s="419"/>
      <c r="K895" s="420">
        <v>1</v>
      </c>
      <c r="L895" s="420">
        <f t="shared" si="158"/>
        <v>0</v>
      </c>
      <c r="M895" s="420">
        <f t="shared" si="159"/>
        <v>11837</v>
      </c>
      <c r="N895" s="445">
        <f t="shared" si="168"/>
        <v>0</v>
      </c>
      <c r="O895" s="719"/>
      <c r="P895" s="719">
        <f t="shared" si="166"/>
        <v>15269.73</v>
      </c>
      <c r="Q895" s="423">
        <f>SUMIF('8.Dgia'!E:E,'9.may'!E895,'8.Dgia'!P:P)</f>
        <v>0</v>
      </c>
      <c r="R895" s="429">
        <f t="shared" si="160"/>
        <v>0</v>
      </c>
      <c r="S895" s="301">
        <f t="shared" si="161"/>
        <v>0</v>
      </c>
      <c r="T895" s="430">
        <f t="shared" si="162"/>
        <v>11837</v>
      </c>
      <c r="U895" s="2053"/>
      <c r="V895" s="2053"/>
      <c r="W895" s="2054">
        <v>11837</v>
      </c>
      <c r="Y895" s="433">
        <f t="shared" si="163"/>
        <v>0</v>
      </c>
      <c r="Z895" s="433">
        <f t="shared" si="164"/>
        <v>0</v>
      </c>
      <c r="AC895" s="410">
        <f t="shared" si="165"/>
        <v>0</v>
      </c>
    </row>
    <row r="896" spans="1:29" s="410" customFormat="1" ht="17.25" hidden="1" customHeight="1">
      <c r="B896" s="417" t="str">
        <f>IF(A896&lt;&gt;0,COUNTA(A$19:$A896),"")</f>
        <v/>
      </c>
      <c r="C896" s="428" t="s">
        <v>1860</v>
      </c>
      <c r="D896" s="428" t="s">
        <v>1861</v>
      </c>
      <c r="E896" s="435"/>
      <c r="F896" s="435"/>
      <c r="G896" s="419"/>
      <c r="H896" s="419"/>
      <c r="I896" s="419"/>
      <c r="J896" s="419"/>
      <c r="K896" s="420">
        <v>1</v>
      </c>
      <c r="L896" s="420">
        <f t="shared" si="158"/>
        <v>0</v>
      </c>
      <c r="M896" s="420">
        <f t="shared" si="159"/>
        <v>101867</v>
      </c>
      <c r="N896" s="445">
        <f t="shared" si="168"/>
        <v>0</v>
      </c>
      <c r="O896" s="719"/>
      <c r="P896" s="719">
        <f t="shared" si="166"/>
        <v>131408.43</v>
      </c>
      <c r="Q896" s="423">
        <f>SUMIF('8.Dgia'!E:E,'9.may'!E896,'8.Dgia'!P:P)</f>
        <v>0</v>
      </c>
      <c r="R896" s="429">
        <f t="shared" si="160"/>
        <v>0</v>
      </c>
      <c r="S896" s="301">
        <f t="shared" si="161"/>
        <v>0</v>
      </c>
      <c r="T896" s="430">
        <f t="shared" si="162"/>
        <v>101867</v>
      </c>
      <c r="U896" s="431"/>
      <c r="V896" s="431"/>
      <c r="W896" s="432">
        <v>101867</v>
      </c>
      <c r="Y896" s="433">
        <f t="shared" si="163"/>
        <v>0</v>
      </c>
      <c r="Z896" s="433">
        <f t="shared" si="164"/>
        <v>0</v>
      </c>
      <c r="AC896" s="410">
        <f t="shared" si="165"/>
        <v>0</v>
      </c>
    </row>
    <row r="897" spans="1:29" s="410" customFormat="1" ht="17.25" hidden="1" customHeight="1">
      <c r="B897" s="417" t="str">
        <f>IF(A897&lt;&gt;0,COUNTA(A$19:$A897),"")</f>
        <v/>
      </c>
      <c r="C897" s="428" t="s">
        <v>1862</v>
      </c>
      <c r="D897" s="428"/>
      <c r="E897" s="435"/>
      <c r="F897" s="435"/>
      <c r="G897" s="419"/>
      <c r="H897" s="419"/>
      <c r="I897" s="419"/>
      <c r="J897" s="419"/>
      <c r="K897" s="420">
        <v>1</v>
      </c>
      <c r="L897" s="420">
        <f t="shared" si="158"/>
        <v>0</v>
      </c>
      <c r="M897" s="420">
        <f t="shared" si="159"/>
        <v>376000</v>
      </c>
      <c r="N897" s="445">
        <f t="shared" si="168"/>
        <v>0</v>
      </c>
      <c r="O897" s="719"/>
      <c r="P897" s="719">
        <f t="shared" si="166"/>
        <v>485040</v>
      </c>
      <c r="Q897" s="423">
        <f>SUMIF('8.Dgia'!E:E,'9.may'!E897,'8.Dgia'!P:P)</f>
        <v>0</v>
      </c>
      <c r="R897" s="429">
        <f t="shared" si="160"/>
        <v>0</v>
      </c>
      <c r="S897" s="301">
        <f t="shared" si="161"/>
        <v>0</v>
      </c>
      <c r="T897" s="430">
        <f t="shared" si="162"/>
        <v>376000</v>
      </c>
      <c r="U897" s="431"/>
      <c r="V897" s="431"/>
      <c r="W897" s="432">
        <v>376000</v>
      </c>
      <c r="Y897" s="433">
        <f t="shared" si="163"/>
        <v>0</v>
      </c>
      <c r="Z897" s="433">
        <f t="shared" si="164"/>
        <v>0</v>
      </c>
      <c r="AC897" s="410">
        <f t="shared" si="165"/>
        <v>0</v>
      </c>
    </row>
    <row r="898" spans="1:29" s="410" customFormat="1" ht="17.25" hidden="1" customHeight="1">
      <c r="B898" s="417" t="str">
        <f>IF(A898&lt;&gt;0,COUNTA(A$19:$A898),"")</f>
        <v/>
      </c>
      <c r="C898" s="428" t="s">
        <v>1863</v>
      </c>
      <c r="D898" s="428"/>
      <c r="E898" s="435"/>
      <c r="F898" s="435"/>
      <c r="G898" s="419">
        <v>34</v>
      </c>
      <c r="H898" s="419"/>
      <c r="I898" s="419"/>
      <c r="J898" s="419"/>
      <c r="K898" s="420">
        <v>1</v>
      </c>
      <c r="L898" s="420">
        <f t="shared" si="158"/>
        <v>61040</v>
      </c>
      <c r="M898" s="420">
        <f t="shared" si="159"/>
        <v>779425</v>
      </c>
      <c r="N898" s="445">
        <f t="shared" si="168"/>
        <v>552382.85454545438</v>
      </c>
      <c r="O898" s="719"/>
      <c r="P898" s="719">
        <f t="shared" si="166"/>
        <v>1557841.1045454545</v>
      </c>
      <c r="Q898" s="423">
        <f>SUMIF('8.Dgia'!E:E,'9.may'!E898,'8.Dgia'!P:P)</f>
        <v>0</v>
      </c>
      <c r="R898" s="429">
        <f t="shared" si="160"/>
        <v>0</v>
      </c>
      <c r="S898" s="301">
        <f t="shared" si="161"/>
        <v>17701.600000000002</v>
      </c>
      <c r="T898" s="430">
        <f t="shared" si="162"/>
        <v>1349509.4545454544</v>
      </c>
      <c r="U898" s="431">
        <v>243403</v>
      </c>
      <c r="V898" s="431">
        <v>61040</v>
      </c>
      <c r="W898" s="432">
        <v>779425</v>
      </c>
      <c r="Y898" s="433">
        <f t="shared" si="163"/>
        <v>-570084.45454545435</v>
      </c>
      <c r="Z898" s="433">
        <f t="shared" si="164"/>
        <v>0</v>
      </c>
      <c r="AC898" s="410">
        <f t="shared" si="165"/>
        <v>0</v>
      </c>
    </row>
    <row r="899" spans="1:29" s="410" customFormat="1" ht="17.25" hidden="1" customHeight="1">
      <c r="B899" s="417" t="str">
        <f>IF(A899&lt;&gt;0,COUNTA(A$19:$A899),"")</f>
        <v/>
      </c>
      <c r="C899" s="444" t="s">
        <v>1864</v>
      </c>
      <c r="D899" s="444"/>
      <c r="E899" s="435"/>
      <c r="F899" s="435"/>
      <c r="G899" s="419"/>
      <c r="H899" s="419"/>
      <c r="I899" s="419"/>
      <c r="J899" s="419"/>
      <c r="K899" s="420"/>
      <c r="L899" s="420">
        <f t="shared" si="158"/>
        <v>0</v>
      </c>
      <c r="M899" s="420">
        <f t="shared" si="159"/>
        <v>0</v>
      </c>
      <c r="N899" s="445"/>
      <c r="O899" s="719"/>
      <c r="P899" s="719">
        <f t="shared" si="166"/>
        <v>0</v>
      </c>
      <c r="Q899" s="423">
        <f>SUMIF('8.Dgia'!E:E,'9.may'!E899,'8.Dgia'!P:P)</f>
        <v>0</v>
      </c>
      <c r="R899" s="429">
        <f t="shared" si="160"/>
        <v>0</v>
      </c>
      <c r="S899" s="301">
        <f t="shared" si="161"/>
        <v>0</v>
      </c>
      <c r="T899" s="430">
        <f t="shared" si="162"/>
        <v>0</v>
      </c>
      <c r="U899" s="436"/>
      <c r="V899" s="436"/>
      <c r="W899" s="432"/>
      <c r="Y899" s="433">
        <f t="shared" si="163"/>
        <v>0</v>
      </c>
      <c r="Z899" s="433">
        <f t="shared" si="164"/>
        <v>0</v>
      </c>
      <c r="AC899" s="410">
        <f t="shared" si="165"/>
        <v>0</v>
      </c>
    </row>
    <row r="900" spans="1:29" s="410" customFormat="1" ht="17.25" hidden="1" customHeight="1">
      <c r="B900" s="417" t="str">
        <f>IF(A900&lt;&gt;0,COUNTA(A$19:$A900),"")</f>
        <v/>
      </c>
      <c r="C900" s="428" t="s">
        <v>1865</v>
      </c>
      <c r="D900" s="428"/>
      <c r="E900" s="435"/>
      <c r="F900" s="435"/>
      <c r="G900" s="419"/>
      <c r="H900" s="419"/>
      <c r="I900" s="419"/>
      <c r="J900" s="419"/>
      <c r="K900" s="420">
        <v>1</v>
      </c>
      <c r="L900" s="420">
        <f t="shared" si="158"/>
        <v>0</v>
      </c>
      <c r="M900" s="420">
        <f t="shared" si="159"/>
        <v>858</v>
      </c>
      <c r="N900" s="445">
        <f>SUMPRODUCT(G900:J900,$G$12:$J$12,$G$9:$J$9)</f>
        <v>0</v>
      </c>
      <c r="O900" s="719"/>
      <c r="P900" s="719">
        <f t="shared" si="166"/>
        <v>1106.82</v>
      </c>
      <c r="Q900" s="423">
        <f>SUMIF('8.Dgia'!E:E,'9.may'!E900,'8.Dgia'!P:P)</f>
        <v>0</v>
      </c>
      <c r="R900" s="429">
        <f t="shared" si="160"/>
        <v>0</v>
      </c>
      <c r="S900" s="301">
        <f t="shared" si="161"/>
        <v>0</v>
      </c>
      <c r="T900" s="430">
        <f t="shared" si="162"/>
        <v>858</v>
      </c>
      <c r="U900" s="431"/>
      <c r="V900" s="431"/>
      <c r="W900" s="432">
        <v>858</v>
      </c>
      <c r="Y900" s="433">
        <f t="shared" si="163"/>
        <v>0</v>
      </c>
      <c r="Z900" s="433">
        <f t="shared" si="164"/>
        <v>0</v>
      </c>
      <c r="AC900" s="410">
        <f t="shared" si="165"/>
        <v>0</v>
      </c>
    </row>
    <row r="901" spans="1:29" s="410" customFormat="1" ht="17.25" hidden="1" customHeight="1">
      <c r="B901" s="417" t="str">
        <f>IF(A901&lt;&gt;0,COUNTA(A$19:$A901),"")</f>
        <v/>
      </c>
      <c r="C901" s="428" t="s">
        <v>1866</v>
      </c>
      <c r="D901" s="428"/>
      <c r="E901" s="435"/>
      <c r="F901" s="435"/>
      <c r="G901" s="419"/>
      <c r="H901" s="419"/>
      <c r="I901" s="419"/>
      <c r="J901" s="419"/>
      <c r="K901" s="420">
        <v>1</v>
      </c>
      <c r="L901" s="420">
        <f t="shared" si="158"/>
        <v>0</v>
      </c>
      <c r="M901" s="420">
        <f t="shared" si="159"/>
        <v>5730</v>
      </c>
      <c r="N901" s="445">
        <f>SUMPRODUCT(G901:J901,$G$12:$J$12,$G$9:$J$9)</f>
        <v>0</v>
      </c>
      <c r="O901" s="719"/>
      <c r="P901" s="719">
        <f t="shared" si="166"/>
        <v>7391.7</v>
      </c>
      <c r="Q901" s="423">
        <f>SUMIF('8.Dgia'!E:E,'9.may'!E901,'8.Dgia'!P:P)</f>
        <v>0</v>
      </c>
      <c r="R901" s="429">
        <f t="shared" si="160"/>
        <v>0</v>
      </c>
      <c r="S901" s="301">
        <f t="shared" si="161"/>
        <v>0</v>
      </c>
      <c r="T901" s="430">
        <f t="shared" si="162"/>
        <v>5730</v>
      </c>
      <c r="U901" s="431"/>
      <c r="V901" s="431"/>
      <c r="W901" s="432">
        <v>5730</v>
      </c>
      <c r="Y901" s="433">
        <f t="shared" si="163"/>
        <v>0</v>
      </c>
      <c r="Z901" s="433">
        <f t="shared" si="164"/>
        <v>0</v>
      </c>
      <c r="AC901" s="410">
        <f t="shared" si="165"/>
        <v>0</v>
      </c>
    </row>
    <row r="902" spans="1:29" s="410" customFormat="1" ht="17.25" hidden="1" customHeight="1">
      <c r="B902" s="417" t="str">
        <f>IF(A902&lt;&gt;0,COUNTA(A$19:$A902),"")</f>
        <v/>
      </c>
      <c r="C902" s="428" t="s">
        <v>1867</v>
      </c>
      <c r="D902" s="428"/>
      <c r="E902" s="435"/>
      <c r="F902" s="435"/>
      <c r="G902" s="419"/>
      <c r="H902" s="419"/>
      <c r="I902" s="419"/>
      <c r="J902" s="419"/>
      <c r="K902" s="420">
        <v>1</v>
      </c>
      <c r="L902" s="420">
        <f t="shared" si="158"/>
        <v>0</v>
      </c>
      <c r="M902" s="420">
        <f t="shared" si="159"/>
        <v>2079400</v>
      </c>
      <c r="N902" s="445">
        <f>SUMPRODUCT(G902:J902,$G$12:$J$12,$G$9:$J$9)</f>
        <v>0</v>
      </c>
      <c r="O902" s="719"/>
      <c r="P902" s="719">
        <f t="shared" si="166"/>
        <v>2682426</v>
      </c>
      <c r="Q902" s="423">
        <f>SUMIF('8.Dgia'!E:E,'9.may'!E902,'8.Dgia'!P:P)</f>
        <v>0</v>
      </c>
      <c r="R902" s="429">
        <f t="shared" si="160"/>
        <v>0</v>
      </c>
      <c r="S902" s="301">
        <f t="shared" si="161"/>
        <v>0</v>
      </c>
      <c r="T902" s="430">
        <f t="shared" si="162"/>
        <v>2079400</v>
      </c>
      <c r="U902" s="431"/>
      <c r="V902" s="431"/>
      <c r="W902" s="432">
        <v>2079400</v>
      </c>
      <c r="Y902" s="433">
        <f t="shared" si="163"/>
        <v>0</v>
      </c>
      <c r="Z902" s="433">
        <f t="shared" si="164"/>
        <v>0</v>
      </c>
      <c r="AC902" s="410">
        <f t="shared" si="165"/>
        <v>0</v>
      </c>
    </row>
    <row r="903" spans="1:29" s="410" customFormat="1" ht="17.25" hidden="1" customHeight="1">
      <c r="B903" s="417" t="str">
        <f>IF(A903&lt;&gt;0,COUNTA(A$19:$A903),"")</f>
        <v/>
      </c>
      <c r="C903" s="428" t="s">
        <v>1868</v>
      </c>
      <c r="D903" s="428"/>
      <c r="E903" s="435"/>
      <c r="F903" s="435"/>
      <c r="G903" s="419"/>
      <c r="H903" s="419"/>
      <c r="I903" s="419"/>
      <c r="J903" s="419"/>
      <c r="K903" s="420">
        <v>1</v>
      </c>
      <c r="L903" s="420">
        <f t="shared" si="158"/>
        <v>0</v>
      </c>
      <c r="M903" s="420">
        <f t="shared" si="159"/>
        <v>5134</v>
      </c>
      <c r="N903" s="445">
        <f>SUMPRODUCT(G903:J903,$G$12:$J$12,$G$9:$J$9)</f>
        <v>0</v>
      </c>
      <c r="O903" s="719"/>
      <c r="P903" s="719">
        <f t="shared" si="166"/>
        <v>6622.8600000000006</v>
      </c>
      <c r="Q903" s="423">
        <f>SUMIF('8.Dgia'!E:E,'9.may'!E903,'8.Dgia'!P:P)</f>
        <v>0</v>
      </c>
      <c r="R903" s="429">
        <f t="shared" si="160"/>
        <v>0</v>
      </c>
      <c r="S903" s="301">
        <f t="shared" si="161"/>
        <v>0</v>
      </c>
      <c r="T903" s="430">
        <f t="shared" si="162"/>
        <v>5134</v>
      </c>
      <c r="U903" s="431"/>
      <c r="V903" s="431"/>
      <c r="W903" s="432">
        <v>5134</v>
      </c>
      <c r="Y903" s="433">
        <f t="shared" si="163"/>
        <v>0</v>
      </c>
      <c r="Z903" s="433">
        <f t="shared" si="164"/>
        <v>0</v>
      </c>
      <c r="AC903" s="410">
        <f t="shared" si="165"/>
        <v>0</v>
      </c>
    </row>
    <row r="904" spans="1:29" s="410" customFormat="1" ht="17.25" hidden="1" customHeight="1">
      <c r="B904" s="417" t="str">
        <f>IF(A904&lt;&gt;0,COUNTA(A$19:$A904),"")</f>
        <v/>
      </c>
      <c r="C904" s="444" t="s">
        <v>1869</v>
      </c>
      <c r="D904" s="444"/>
      <c r="E904" s="435"/>
      <c r="F904" s="435"/>
      <c r="G904" s="419"/>
      <c r="H904" s="419"/>
      <c r="I904" s="419"/>
      <c r="J904" s="419"/>
      <c r="K904" s="420"/>
      <c r="L904" s="420">
        <f t="shared" si="158"/>
        <v>0</v>
      </c>
      <c r="M904" s="420">
        <f t="shared" si="159"/>
        <v>0</v>
      </c>
      <c r="N904" s="445"/>
      <c r="O904" s="719"/>
      <c r="P904" s="719">
        <f t="shared" si="166"/>
        <v>0</v>
      </c>
      <c r="Q904" s="423">
        <f>SUMIF('8.Dgia'!E:E,'9.may'!E904,'8.Dgia'!P:P)</f>
        <v>0</v>
      </c>
      <c r="R904" s="429">
        <f t="shared" si="160"/>
        <v>0</v>
      </c>
      <c r="S904" s="301">
        <f t="shared" si="161"/>
        <v>0</v>
      </c>
      <c r="T904" s="430">
        <f t="shared" si="162"/>
        <v>0</v>
      </c>
      <c r="U904" s="436"/>
      <c r="V904" s="436"/>
      <c r="W904" s="432"/>
      <c r="Y904" s="433">
        <f t="shared" si="163"/>
        <v>0</v>
      </c>
      <c r="Z904" s="433">
        <f t="shared" si="164"/>
        <v>0</v>
      </c>
      <c r="AC904" s="410">
        <f t="shared" si="165"/>
        <v>0</v>
      </c>
    </row>
    <row r="905" spans="1:29" s="410" customFormat="1" ht="17.25" hidden="1" customHeight="1">
      <c r="B905" s="417" t="str">
        <f>IF(A905&lt;&gt;0,COUNTA(A$19:$A905),"")</f>
        <v/>
      </c>
      <c r="C905" s="428" t="s">
        <v>1870</v>
      </c>
      <c r="D905" s="428"/>
      <c r="E905" s="435"/>
      <c r="F905" s="435"/>
      <c r="G905" s="419"/>
      <c r="H905" s="419"/>
      <c r="I905" s="419"/>
      <c r="J905" s="419"/>
      <c r="K905" s="420">
        <v>1</v>
      </c>
      <c r="L905" s="420">
        <f t="shared" si="158"/>
        <v>0</v>
      </c>
      <c r="M905" s="420">
        <f t="shared" si="159"/>
        <v>15633</v>
      </c>
      <c r="N905" s="445">
        <f>SUMPRODUCT(G905:J905,$G$12:$J$12,$G$9:$J$9)</f>
        <v>0</v>
      </c>
      <c r="O905" s="719"/>
      <c r="P905" s="719">
        <f t="shared" si="166"/>
        <v>20166.57</v>
      </c>
      <c r="Q905" s="423">
        <f>SUMIF('8.Dgia'!E:E,'9.may'!E905,'8.Dgia'!P:P)</f>
        <v>0</v>
      </c>
      <c r="R905" s="429">
        <f t="shared" si="160"/>
        <v>0</v>
      </c>
      <c r="S905" s="301">
        <f t="shared" si="161"/>
        <v>0</v>
      </c>
      <c r="T905" s="430">
        <f t="shared" si="162"/>
        <v>15633</v>
      </c>
      <c r="U905" s="431"/>
      <c r="V905" s="431"/>
      <c r="W905" s="432">
        <v>15633</v>
      </c>
      <c r="Y905" s="433">
        <f t="shared" si="163"/>
        <v>0</v>
      </c>
      <c r="Z905" s="433">
        <f t="shared" si="164"/>
        <v>0</v>
      </c>
      <c r="AC905" s="410">
        <f t="shared" si="165"/>
        <v>0</v>
      </c>
    </row>
    <row r="906" spans="1:29" s="410" customFormat="1" ht="17.25" hidden="1" customHeight="1">
      <c r="B906" s="417" t="str">
        <f>IF(A906&lt;&gt;0,COUNTA(A$19:$A906),"")</f>
        <v/>
      </c>
      <c r="C906" s="428" t="s">
        <v>1871</v>
      </c>
      <c r="D906" s="428"/>
      <c r="E906" s="435"/>
      <c r="F906" s="435"/>
      <c r="G906" s="419"/>
      <c r="H906" s="419"/>
      <c r="I906" s="419"/>
      <c r="J906" s="419"/>
      <c r="K906" s="420">
        <v>1</v>
      </c>
      <c r="L906" s="420">
        <f t="shared" si="158"/>
        <v>0</v>
      </c>
      <c r="M906" s="420">
        <f t="shared" si="159"/>
        <v>93210</v>
      </c>
      <c r="N906" s="445">
        <f>SUMPRODUCT(G906:J906,$G$12:$J$12,$G$9:$J$9)</f>
        <v>0</v>
      </c>
      <c r="O906" s="719"/>
      <c r="P906" s="719">
        <f t="shared" si="166"/>
        <v>120240.90000000001</v>
      </c>
      <c r="Q906" s="423">
        <f>SUMIF('8.Dgia'!E:E,'9.may'!E906,'8.Dgia'!P:P)</f>
        <v>0</v>
      </c>
      <c r="R906" s="429">
        <f t="shared" si="160"/>
        <v>0</v>
      </c>
      <c r="S906" s="301">
        <f t="shared" si="161"/>
        <v>0</v>
      </c>
      <c r="T906" s="430">
        <f t="shared" si="162"/>
        <v>93210</v>
      </c>
      <c r="U906" s="431"/>
      <c r="V906" s="431"/>
      <c r="W906" s="432">
        <v>93210</v>
      </c>
      <c r="Y906" s="433">
        <f t="shared" si="163"/>
        <v>0</v>
      </c>
      <c r="Z906" s="433">
        <f t="shared" si="164"/>
        <v>0</v>
      </c>
      <c r="AC906" s="410">
        <f t="shared" si="165"/>
        <v>0</v>
      </c>
    </row>
    <row r="907" spans="1:29" s="410" customFormat="1" ht="17.25" hidden="1" customHeight="1">
      <c r="B907" s="417" t="str">
        <f>IF(A907&lt;&gt;0,COUNTA(A$19:$A907),"")</f>
        <v/>
      </c>
      <c r="C907" s="428" t="s">
        <v>1872</v>
      </c>
      <c r="D907" s="428"/>
      <c r="E907" s="435"/>
      <c r="F907" s="435"/>
      <c r="G907" s="419"/>
      <c r="H907" s="419"/>
      <c r="I907" s="419"/>
      <c r="J907" s="419"/>
      <c r="K907" s="420">
        <v>1</v>
      </c>
      <c r="L907" s="420">
        <f t="shared" si="158"/>
        <v>0</v>
      </c>
      <c r="M907" s="420">
        <f t="shared" si="159"/>
        <v>255940</v>
      </c>
      <c r="N907" s="445">
        <f>SUMPRODUCT(G907:J907,$G$12:$J$12,$G$9:$J$9)</f>
        <v>0</v>
      </c>
      <c r="O907" s="719"/>
      <c r="P907" s="719">
        <f t="shared" si="166"/>
        <v>330162.60000000003</v>
      </c>
      <c r="Q907" s="423">
        <f>SUMIF('8.Dgia'!E:E,'9.may'!E907,'8.Dgia'!P:P)</f>
        <v>0</v>
      </c>
      <c r="R907" s="429">
        <f t="shared" si="160"/>
        <v>0</v>
      </c>
      <c r="S907" s="301">
        <f t="shared" si="161"/>
        <v>0</v>
      </c>
      <c r="T907" s="430">
        <f t="shared" si="162"/>
        <v>255940</v>
      </c>
      <c r="U907" s="431"/>
      <c r="V907" s="431"/>
      <c r="W907" s="432">
        <v>255940</v>
      </c>
      <c r="Y907" s="433">
        <f t="shared" si="163"/>
        <v>0</v>
      </c>
      <c r="Z907" s="433">
        <f t="shared" si="164"/>
        <v>0</v>
      </c>
      <c r="AC907" s="410">
        <f t="shared" si="165"/>
        <v>0</v>
      </c>
    </row>
    <row r="908" spans="1:29" s="410" customFormat="1" ht="17.25" hidden="1" customHeight="1">
      <c r="B908" s="417" t="str">
        <f>IF(A908&lt;&gt;0,COUNTA(A$19:$A908),"")</f>
        <v/>
      </c>
      <c r="C908" s="428" t="s">
        <v>1873</v>
      </c>
      <c r="D908" s="428"/>
      <c r="E908" s="435"/>
      <c r="F908" s="435"/>
      <c r="G908" s="419"/>
      <c r="H908" s="419"/>
      <c r="I908" s="419"/>
      <c r="J908" s="419"/>
      <c r="K908" s="420">
        <v>1</v>
      </c>
      <c r="L908" s="420">
        <f t="shared" si="158"/>
        <v>0</v>
      </c>
      <c r="M908" s="420">
        <f t="shared" si="159"/>
        <v>1146933</v>
      </c>
      <c r="N908" s="445">
        <f>SUMPRODUCT(G908:J908,$G$12:$J$12,$G$9:$J$9)</f>
        <v>0</v>
      </c>
      <c r="O908" s="719"/>
      <c r="P908" s="719">
        <f t="shared" si="166"/>
        <v>1479543.57</v>
      </c>
      <c r="Q908" s="423">
        <f>SUMIF('8.Dgia'!E:E,'9.may'!E908,'8.Dgia'!P:P)</f>
        <v>0</v>
      </c>
      <c r="R908" s="429">
        <f t="shared" si="160"/>
        <v>0</v>
      </c>
      <c r="S908" s="301">
        <f t="shared" si="161"/>
        <v>0</v>
      </c>
      <c r="T908" s="430">
        <f t="shared" si="162"/>
        <v>1146933</v>
      </c>
      <c r="U908" s="431"/>
      <c r="V908" s="431"/>
      <c r="W908" s="432">
        <v>1146933</v>
      </c>
      <c r="Y908" s="433">
        <f t="shared" si="163"/>
        <v>0</v>
      </c>
      <c r="Z908" s="433">
        <f t="shared" si="164"/>
        <v>0</v>
      </c>
      <c r="AC908" s="410">
        <f t="shared" si="165"/>
        <v>0</v>
      </c>
    </row>
    <row r="909" spans="1:29" s="410" customFormat="1" ht="17.25" hidden="1" customHeight="1">
      <c r="B909" s="417" t="str">
        <f>IF(A909&lt;&gt;0,COUNTA(A$19:$A909),"")</f>
        <v/>
      </c>
      <c r="C909" s="428" t="s">
        <v>1874</v>
      </c>
      <c r="D909" s="428"/>
      <c r="E909" s="435"/>
      <c r="F909" s="435"/>
      <c r="G909" s="419"/>
      <c r="H909" s="419"/>
      <c r="I909" s="419"/>
      <c r="J909" s="419"/>
      <c r="K909" s="420">
        <v>1</v>
      </c>
      <c r="L909" s="420">
        <f t="shared" si="158"/>
        <v>0</v>
      </c>
      <c r="M909" s="420">
        <f t="shared" si="159"/>
        <v>55938</v>
      </c>
      <c r="N909" s="445">
        <f>SUMPRODUCT(G909:J909,$G$12:$J$12,$G$9:$J$9)</f>
        <v>0</v>
      </c>
      <c r="O909" s="719"/>
      <c r="P909" s="719">
        <f t="shared" si="166"/>
        <v>72160.02</v>
      </c>
      <c r="Q909" s="423">
        <f>SUMIF('8.Dgia'!E:E,'9.may'!E909,'8.Dgia'!P:P)</f>
        <v>0</v>
      </c>
      <c r="R909" s="429">
        <f t="shared" si="160"/>
        <v>0</v>
      </c>
      <c r="S909" s="301">
        <f t="shared" si="161"/>
        <v>0</v>
      </c>
      <c r="T909" s="430">
        <f t="shared" si="162"/>
        <v>55938</v>
      </c>
      <c r="U909" s="431"/>
      <c r="V909" s="431"/>
      <c r="W909" s="432">
        <v>55938</v>
      </c>
      <c r="Y909" s="433">
        <f t="shared" si="163"/>
        <v>0</v>
      </c>
      <c r="Z909" s="433">
        <f t="shared" si="164"/>
        <v>0</v>
      </c>
      <c r="AC909" s="410">
        <f t="shared" si="165"/>
        <v>0</v>
      </c>
    </row>
    <row r="910" spans="1:29" s="410" customFormat="1" ht="17.25" hidden="1" customHeight="1">
      <c r="B910" s="417" t="str">
        <f>IF(A910&lt;&gt;0,COUNTA(A$19:$A910),"")</f>
        <v/>
      </c>
      <c r="C910" s="444" t="s">
        <v>1875</v>
      </c>
      <c r="D910" s="444"/>
      <c r="E910" s="435"/>
      <c r="F910" s="435"/>
      <c r="G910" s="419"/>
      <c r="H910" s="419"/>
      <c r="I910" s="419"/>
      <c r="J910" s="419"/>
      <c r="K910" s="420"/>
      <c r="L910" s="420">
        <f t="shared" si="158"/>
        <v>0</v>
      </c>
      <c r="M910" s="420">
        <f t="shared" si="159"/>
        <v>0</v>
      </c>
      <c r="N910" s="445"/>
      <c r="O910" s="719"/>
      <c r="P910" s="719">
        <f t="shared" si="166"/>
        <v>0</v>
      </c>
      <c r="Q910" s="423">
        <f>SUMIF('8.Dgia'!E:E,'9.may'!E910,'8.Dgia'!P:P)</f>
        <v>0</v>
      </c>
      <c r="R910" s="429">
        <f t="shared" si="160"/>
        <v>0</v>
      </c>
      <c r="S910" s="301">
        <f t="shared" si="161"/>
        <v>0</v>
      </c>
      <c r="T910" s="430">
        <f t="shared" si="162"/>
        <v>0</v>
      </c>
      <c r="U910" s="436"/>
      <c r="V910" s="436"/>
      <c r="W910" s="432"/>
      <c r="Y910" s="433">
        <f t="shared" si="163"/>
        <v>0</v>
      </c>
      <c r="Z910" s="433">
        <f t="shared" si="164"/>
        <v>0</v>
      </c>
      <c r="AC910" s="410">
        <f t="shared" si="165"/>
        <v>0</v>
      </c>
    </row>
    <row r="911" spans="1:29" s="410" customFormat="1" ht="17.25" hidden="1" customHeight="1">
      <c r="B911" s="417" t="str">
        <f>IF(A911&lt;&gt;0,COUNTA(A$19:$A911),"")</f>
        <v/>
      </c>
      <c r="C911" s="428" t="s">
        <v>1876</v>
      </c>
      <c r="D911" s="428"/>
      <c r="E911" s="435"/>
      <c r="F911" s="435"/>
      <c r="G911" s="419"/>
      <c r="H911" s="419">
        <v>1.1000000000000001</v>
      </c>
      <c r="I911" s="419"/>
      <c r="J911" s="419"/>
      <c r="K911" s="420">
        <v>1</v>
      </c>
      <c r="L911" s="420">
        <f t="shared" si="158"/>
        <v>0</v>
      </c>
      <c r="M911" s="420">
        <f t="shared" si="159"/>
        <v>203977</v>
      </c>
      <c r="N911" s="445">
        <f>SUMPRODUCT(G911:J911,$G$12:$J$12,$G$9:$J$9)</f>
        <v>700.31500000000005</v>
      </c>
      <c r="O911" s="719"/>
      <c r="P911" s="719">
        <f t="shared" si="166"/>
        <v>263830.64500000002</v>
      </c>
      <c r="Q911" s="423">
        <f>SUMIF('8.Dgia'!E:E,'9.may'!E911,'8.Dgia'!P:P)</f>
        <v>0</v>
      </c>
      <c r="R911" s="429">
        <f t="shared" si="160"/>
        <v>0</v>
      </c>
      <c r="S911" s="301">
        <f t="shared" si="161"/>
        <v>0</v>
      </c>
      <c r="T911" s="430">
        <f t="shared" si="162"/>
        <v>204677.315</v>
      </c>
      <c r="U911" s="431">
        <v>1053</v>
      </c>
      <c r="V911" s="431"/>
      <c r="W911" s="432">
        <v>203977</v>
      </c>
      <c r="Y911" s="433">
        <f t="shared" si="163"/>
        <v>-700.31500000000233</v>
      </c>
      <c r="Z911" s="433">
        <f t="shared" si="164"/>
        <v>0</v>
      </c>
      <c r="AC911" s="410">
        <f t="shared" si="165"/>
        <v>0</v>
      </c>
    </row>
    <row r="912" spans="1:29" s="410" customFormat="1" ht="17.25" customHeight="1">
      <c r="A912" s="410">
        <v>1</v>
      </c>
      <c r="B912" s="417">
        <f>IF(A912&lt;&gt;0,COUNTA(A$19:$A912),"")</f>
        <v>222</v>
      </c>
      <c r="C912" s="428" t="s">
        <v>1877</v>
      </c>
      <c r="D912" s="428"/>
      <c r="E912" s="818" t="s">
        <v>5517</v>
      </c>
      <c r="F912" s="435" t="s">
        <v>5532</v>
      </c>
      <c r="G912" s="419"/>
      <c r="H912" s="419">
        <v>1.6</v>
      </c>
      <c r="I912" s="419"/>
      <c r="J912" s="419"/>
      <c r="K912" s="420">
        <v>1</v>
      </c>
      <c r="L912" s="420">
        <f t="shared" si="158"/>
        <v>0</v>
      </c>
      <c r="M912" s="420">
        <f t="shared" si="159"/>
        <v>766334</v>
      </c>
      <c r="N912" s="445">
        <f>SUMPRODUCT(G912:J912,$G$12:$J$12,$G$9:$J$9)</f>
        <v>1018.6400000000001</v>
      </c>
      <c r="O912" s="719"/>
      <c r="P912" s="719">
        <f t="shared" si="166"/>
        <v>989589.5</v>
      </c>
      <c r="Q912" s="423">
        <f>SUMIF('8.Dgia'!E:E,'9.may'!E912,'8.Dgia'!P:P)</f>
        <v>0</v>
      </c>
      <c r="R912" s="429">
        <f t="shared" si="160"/>
        <v>0</v>
      </c>
      <c r="S912" s="301">
        <f t="shared" si="161"/>
        <v>0</v>
      </c>
      <c r="T912" s="430">
        <f t="shared" si="162"/>
        <v>767352.64</v>
      </c>
      <c r="U912" s="2053">
        <v>1532</v>
      </c>
      <c r="V912" s="2053"/>
      <c r="W912" s="2054">
        <v>766334</v>
      </c>
      <c r="Y912" s="433">
        <f t="shared" si="163"/>
        <v>-1018.640000000014</v>
      </c>
      <c r="Z912" s="433">
        <f t="shared" si="164"/>
        <v>0</v>
      </c>
      <c r="AC912" s="410">
        <f t="shared" si="165"/>
        <v>0</v>
      </c>
    </row>
    <row r="913" spans="1:29" s="410" customFormat="1" ht="17.25" customHeight="1">
      <c r="A913" s="410">
        <v>1</v>
      </c>
      <c r="B913" s="417">
        <f>IF(A913&lt;&gt;0,COUNTA(A$19:$A913),"")</f>
        <v>223</v>
      </c>
      <c r="C913" s="428" t="s">
        <v>1878</v>
      </c>
      <c r="D913" s="428"/>
      <c r="E913" s="435" t="s">
        <v>3618</v>
      </c>
      <c r="F913" s="435" t="s">
        <v>4867</v>
      </c>
      <c r="G913" s="419"/>
      <c r="H913" s="419">
        <v>1.1000000000000001</v>
      </c>
      <c r="I913" s="419"/>
      <c r="J913" s="419"/>
      <c r="K913" s="420">
        <v>1</v>
      </c>
      <c r="L913" s="420">
        <f t="shared" si="158"/>
        <v>0</v>
      </c>
      <c r="M913" s="420">
        <f t="shared" si="159"/>
        <v>331421</v>
      </c>
      <c r="N913" s="445">
        <f>SUMPRODUCT(G913:J913,$G$12:$J$12,$G$9:$J$9)</f>
        <v>700.31500000000005</v>
      </c>
      <c r="O913" s="719"/>
      <c r="P913" s="719">
        <f t="shared" si="166"/>
        <v>428233.40500000003</v>
      </c>
      <c r="Q913" s="423">
        <f>SUMIF('8.Dgia'!E:E,'9.may'!E913,'8.Dgia'!P:P)</f>
        <v>0</v>
      </c>
      <c r="R913" s="429">
        <f t="shared" si="160"/>
        <v>0</v>
      </c>
      <c r="S913" s="301">
        <f t="shared" si="161"/>
        <v>0</v>
      </c>
      <c r="T913" s="430">
        <f t="shared" si="162"/>
        <v>332121.315</v>
      </c>
      <c r="U913" s="2053">
        <v>1053</v>
      </c>
      <c r="V913" s="2053"/>
      <c r="W913" s="2054">
        <v>331421</v>
      </c>
      <c r="Y913" s="433">
        <f t="shared" si="163"/>
        <v>-700.31500000000233</v>
      </c>
      <c r="Z913" s="433">
        <f t="shared" si="164"/>
        <v>0</v>
      </c>
      <c r="AC913" s="410">
        <f t="shared" si="165"/>
        <v>0</v>
      </c>
    </row>
    <row r="914" spans="1:29" s="410" customFormat="1" ht="17.25" hidden="1" customHeight="1">
      <c r="B914" s="417" t="str">
        <f>IF(A914&lt;&gt;0,COUNTA(A$19:$A914),"")</f>
        <v/>
      </c>
      <c r="C914" s="444" t="s">
        <v>1879</v>
      </c>
      <c r="D914" s="444"/>
      <c r="E914" s="435"/>
      <c r="F914" s="435"/>
      <c r="G914" s="419"/>
      <c r="H914" s="419"/>
      <c r="I914" s="419"/>
      <c r="J914" s="419"/>
      <c r="K914" s="420"/>
      <c r="L914" s="420">
        <f t="shared" si="158"/>
        <v>0</v>
      </c>
      <c r="M914" s="420">
        <f t="shared" si="159"/>
        <v>0</v>
      </c>
      <c r="N914" s="445"/>
      <c r="O914" s="719"/>
      <c r="P914" s="719">
        <f t="shared" si="166"/>
        <v>0</v>
      </c>
      <c r="Q914" s="423">
        <f>SUMIF('8.Dgia'!E:E,'9.may'!E914,'8.Dgia'!P:P)</f>
        <v>0</v>
      </c>
      <c r="R914" s="429">
        <f t="shared" si="160"/>
        <v>0</v>
      </c>
      <c r="S914" s="301">
        <f t="shared" si="161"/>
        <v>0</v>
      </c>
      <c r="T914" s="430">
        <f t="shared" si="162"/>
        <v>0</v>
      </c>
      <c r="U914" s="436"/>
      <c r="V914" s="436"/>
      <c r="W914" s="432"/>
      <c r="Y914" s="433">
        <f t="shared" si="163"/>
        <v>0</v>
      </c>
      <c r="Z914" s="433">
        <f t="shared" si="164"/>
        <v>0</v>
      </c>
      <c r="AC914" s="410">
        <f t="shared" si="165"/>
        <v>0</v>
      </c>
    </row>
    <row r="915" spans="1:29" s="410" customFormat="1" ht="17.25" hidden="1" customHeight="1">
      <c r="B915" s="417" t="str">
        <f>IF(A915&lt;&gt;0,COUNTA(A$19:$A915),"")</f>
        <v/>
      </c>
      <c r="C915" s="428" t="s">
        <v>1880</v>
      </c>
      <c r="D915" s="428"/>
      <c r="E915" s="435"/>
      <c r="F915" s="435"/>
      <c r="G915" s="419"/>
      <c r="H915" s="419"/>
      <c r="I915" s="419"/>
      <c r="J915" s="419"/>
      <c r="K915" s="420">
        <v>1</v>
      </c>
      <c r="L915" s="420">
        <f t="shared" si="158"/>
        <v>0</v>
      </c>
      <c r="M915" s="420">
        <f t="shared" si="159"/>
        <v>85280</v>
      </c>
      <c r="N915" s="445">
        <f>SUMPRODUCT(G915:J915,$G$12:$J$12,$G$9:$J$9)</f>
        <v>0</v>
      </c>
      <c r="O915" s="719"/>
      <c r="P915" s="719">
        <f t="shared" si="166"/>
        <v>110011.2</v>
      </c>
      <c r="Q915" s="423">
        <f>SUMIF('8.Dgia'!E:E,'9.may'!E915,'8.Dgia'!P:P)</f>
        <v>0</v>
      </c>
      <c r="R915" s="429">
        <f t="shared" si="160"/>
        <v>0</v>
      </c>
      <c r="S915" s="301">
        <f t="shared" si="161"/>
        <v>0</v>
      </c>
      <c r="T915" s="430">
        <f t="shared" si="162"/>
        <v>85280</v>
      </c>
      <c r="U915" s="431"/>
      <c r="V915" s="431"/>
      <c r="W915" s="432">
        <v>85280</v>
      </c>
      <c r="Y915" s="433">
        <f t="shared" si="163"/>
        <v>0</v>
      </c>
      <c r="Z915" s="433">
        <f t="shared" si="164"/>
        <v>0</v>
      </c>
      <c r="AC915" s="410">
        <f t="shared" si="165"/>
        <v>0</v>
      </c>
    </row>
    <row r="916" spans="1:29" s="410" customFormat="1" ht="17.25" hidden="1" customHeight="1">
      <c r="B916" s="417" t="str">
        <f>IF(A916&lt;&gt;0,COUNTA(A$19:$A916),"")</f>
        <v/>
      </c>
      <c r="C916" s="428" t="s">
        <v>1881</v>
      </c>
      <c r="D916" s="428"/>
      <c r="E916" s="435"/>
      <c r="F916" s="435"/>
      <c r="G916" s="419"/>
      <c r="H916" s="419"/>
      <c r="I916" s="419"/>
      <c r="J916" s="419"/>
      <c r="K916" s="420">
        <v>1</v>
      </c>
      <c r="L916" s="420">
        <f t="shared" ref="L916:L979" si="169">+V916</f>
        <v>0</v>
      </c>
      <c r="M916" s="420">
        <f t="shared" ref="M916:M979" si="170">+W916</f>
        <v>252187</v>
      </c>
      <c r="N916" s="445">
        <f>SUMPRODUCT(G916:J916,$G$12:$J$12,$G$9:$J$9)</f>
        <v>0</v>
      </c>
      <c r="O916" s="719"/>
      <c r="P916" s="719">
        <f t="shared" si="166"/>
        <v>325321.23</v>
      </c>
      <c r="Q916" s="423">
        <f>SUMIF('8.Dgia'!E:E,'9.may'!E916,'8.Dgia'!P:P)</f>
        <v>0</v>
      </c>
      <c r="R916" s="429">
        <f t="shared" ref="R916:R979" si="171">N916*Q916</f>
        <v>0</v>
      </c>
      <c r="S916" s="301">
        <f t="shared" ref="S916:S979" si="172">L916*($G$13-1)</f>
        <v>0</v>
      </c>
      <c r="T916" s="430">
        <f t="shared" ref="T916:T979" si="173">S916+N916+M916</f>
        <v>252187</v>
      </c>
      <c r="U916" s="431"/>
      <c r="V916" s="431"/>
      <c r="W916" s="432">
        <v>252187</v>
      </c>
      <c r="Y916" s="433">
        <f t="shared" ref="Y916:Y979" si="174">W916-T916</f>
        <v>0</v>
      </c>
      <c r="Z916" s="433">
        <f t="shared" ref="Z916:Z979" si="175">W916-M916</f>
        <v>0</v>
      </c>
      <c r="AC916" s="410">
        <f t="shared" ref="AC916:AC979" si="176">+P916*Q916</f>
        <v>0</v>
      </c>
    </row>
    <row r="917" spans="1:29" s="410" customFormat="1" ht="17.25" hidden="1" customHeight="1">
      <c r="B917" s="417" t="str">
        <f>IF(A917&lt;&gt;0,COUNTA(A$19:$A917),"")</f>
        <v/>
      </c>
      <c r="C917" s="428" t="s">
        <v>1882</v>
      </c>
      <c r="D917" s="428"/>
      <c r="E917" s="435"/>
      <c r="F917" s="435"/>
      <c r="G917" s="419"/>
      <c r="H917" s="419"/>
      <c r="I917" s="419"/>
      <c r="J917" s="419"/>
      <c r="K917" s="420">
        <v>1</v>
      </c>
      <c r="L917" s="420">
        <f t="shared" si="169"/>
        <v>0</v>
      </c>
      <c r="M917" s="420">
        <f t="shared" si="170"/>
        <v>296448</v>
      </c>
      <c r="N917" s="445">
        <f>SUMPRODUCT(G917:J917,$G$12:$J$12,$G$9:$J$9)</f>
        <v>0</v>
      </c>
      <c r="O917" s="719"/>
      <c r="P917" s="719">
        <f t="shared" ref="P917:P980" si="177">+N917+M917*$G$13</f>
        <v>382417.91999999998</v>
      </c>
      <c r="Q917" s="423">
        <f>SUMIF('8.Dgia'!E:E,'9.may'!E917,'8.Dgia'!P:P)</f>
        <v>0</v>
      </c>
      <c r="R917" s="429">
        <f t="shared" si="171"/>
        <v>0</v>
      </c>
      <c r="S917" s="301">
        <f t="shared" si="172"/>
        <v>0</v>
      </c>
      <c r="T917" s="430">
        <f t="shared" si="173"/>
        <v>296448</v>
      </c>
      <c r="U917" s="431"/>
      <c r="V917" s="431"/>
      <c r="W917" s="432">
        <v>296448</v>
      </c>
      <c r="Y917" s="433">
        <f t="shared" si="174"/>
        <v>0</v>
      </c>
      <c r="Z917" s="433">
        <f t="shared" si="175"/>
        <v>0</v>
      </c>
      <c r="AC917" s="410">
        <f t="shared" si="176"/>
        <v>0</v>
      </c>
    </row>
    <row r="918" spans="1:29" s="410" customFormat="1" ht="17.25" hidden="1" customHeight="1">
      <c r="B918" s="417" t="str">
        <f>IF(A918&lt;&gt;0,COUNTA(A$19:$A918),"")</f>
        <v/>
      </c>
      <c r="C918" s="444" t="s">
        <v>1883</v>
      </c>
      <c r="D918" s="444"/>
      <c r="E918" s="435"/>
      <c r="F918" s="435"/>
      <c r="G918" s="419"/>
      <c r="H918" s="419"/>
      <c r="I918" s="419"/>
      <c r="J918" s="419"/>
      <c r="K918" s="420"/>
      <c r="L918" s="420">
        <f t="shared" si="169"/>
        <v>0</v>
      </c>
      <c r="M918" s="420">
        <f t="shared" si="170"/>
        <v>0</v>
      </c>
      <c r="N918" s="445"/>
      <c r="O918" s="719"/>
      <c r="P918" s="719">
        <f t="shared" si="177"/>
        <v>0</v>
      </c>
      <c r="Q918" s="423">
        <f>SUMIF('8.Dgia'!E:E,'9.may'!E918,'8.Dgia'!P:P)</f>
        <v>0</v>
      </c>
      <c r="R918" s="429">
        <f t="shared" si="171"/>
        <v>0</v>
      </c>
      <c r="S918" s="301">
        <f t="shared" si="172"/>
        <v>0</v>
      </c>
      <c r="T918" s="430">
        <f t="shared" si="173"/>
        <v>0</v>
      </c>
      <c r="U918" s="436"/>
      <c r="V918" s="436"/>
      <c r="W918" s="432"/>
      <c r="Y918" s="433">
        <f t="shared" si="174"/>
        <v>0</v>
      </c>
      <c r="Z918" s="433">
        <f t="shared" si="175"/>
        <v>0</v>
      </c>
      <c r="AC918" s="410">
        <f t="shared" si="176"/>
        <v>0</v>
      </c>
    </row>
    <row r="919" spans="1:29" s="410" customFormat="1" ht="17.25" hidden="1" customHeight="1">
      <c r="B919" s="417" t="str">
        <f>IF(A919&lt;&gt;0,COUNTA(A$19:$A919),"")</f>
        <v/>
      </c>
      <c r="C919" s="428" t="s">
        <v>1884</v>
      </c>
      <c r="D919" s="428"/>
      <c r="E919" s="435"/>
      <c r="F919" s="435"/>
      <c r="G919" s="419"/>
      <c r="H919" s="419"/>
      <c r="I919" s="419"/>
      <c r="J919" s="419"/>
      <c r="K919" s="420">
        <v>1</v>
      </c>
      <c r="L919" s="420">
        <f t="shared" si="169"/>
        <v>0</v>
      </c>
      <c r="M919" s="420">
        <f t="shared" si="170"/>
        <v>5253</v>
      </c>
      <c r="N919" s="445">
        <f t="shared" ref="N919:N950" si="178">SUMPRODUCT(G919:J919,$G$12:$J$12,$G$9:$J$9)</f>
        <v>0</v>
      </c>
      <c r="O919" s="719"/>
      <c r="P919" s="719">
        <f t="shared" si="177"/>
        <v>6776.37</v>
      </c>
      <c r="Q919" s="423">
        <f>SUMIF('8.Dgia'!E:E,'9.may'!E919,'8.Dgia'!P:P)</f>
        <v>0</v>
      </c>
      <c r="R919" s="429">
        <f t="shared" si="171"/>
        <v>0</v>
      </c>
      <c r="S919" s="301">
        <f t="shared" si="172"/>
        <v>0</v>
      </c>
      <c r="T919" s="430">
        <f t="shared" si="173"/>
        <v>5253</v>
      </c>
      <c r="U919" s="431"/>
      <c r="V919" s="431"/>
      <c r="W919" s="432">
        <v>5253</v>
      </c>
      <c r="Y919" s="433">
        <f t="shared" si="174"/>
        <v>0</v>
      </c>
      <c r="Z919" s="433">
        <f t="shared" si="175"/>
        <v>0</v>
      </c>
      <c r="AC919" s="410">
        <f t="shared" si="176"/>
        <v>0</v>
      </c>
    </row>
    <row r="920" spans="1:29" s="410" customFormat="1" ht="17.25" customHeight="1">
      <c r="A920" s="410">
        <v>1</v>
      </c>
      <c r="B920" s="417">
        <f>IF(A920&lt;&gt;0,COUNTA(A$19:$A920),"")</f>
        <v>224</v>
      </c>
      <c r="C920" s="428" t="s">
        <v>1885</v>
      </c>
      <c r="D920" s="428"/>
      <c r="E920" s="435" t="s">
        <v>1885</v>
      </c>
      <c r="F920" s="435"/>
      <c r="G920" s="419"/>
      <c r="H920" s="419"/>
      <c r="I920" s="419"/>
      <c r="J920" s="419"/>
      <c r="K920" s="420">
        <v>1</v>
      </c>
      <c r="L920" s="420">
        <f t="shared" si="169"/>
        <v>0</v>
      </c>
      <c r="M920" s="420">
        <f t="shared" si="170"/>
        <v>8118</v>
      </c>
      <c r="N920" s="445">
        <f t="shared" si="178"/>
        <v>0</v>
      </c>
      <c r="O920" s="719"/>
      <c r="P920" s="719">
        <f t="shared" si="177"/>
        <v>10472.220000000001</v>
      </c>
      <c r="Q920" s="423">
        <f>SUMIF('8.Dgia'!E:E,'9.may'!E920,'8.Dgia'!P:P)</f>
        <v>0</v>
      </c>
      <c r="R920" s="429">
        <f t="shared" si="171"/>
        <v>0</v>
      </c>
      <c r="S920" s="301">
        <f t="shared" si="172"/>
        <v>0</v>
      </c>
      <c r="T920" s="430">
        <f t="shared" si="173"/>
        <v>8118</v>
      </c>
      <c r="U920" s="2053"/>
      <c r="V920" s="2053"/>
      <c r="W920" s="2054">
        <v>8118</v>
      </c>
      <c r="Y920" s="433">
        <f t="shared" si="174"/>
        <v>0</v>
      </c>
      <c r="Z920" s="433">
        <f t="shared" si="175"/>
        <v>0</v>
      </c>
      <c r="AC920" s="410">
        <f t="shared" si="176"/>
        <v>0</v>
      </c>
    </row>
    <row r="921" spans="1:29" s="410" customFormat="1" ht="17.25" customHeight="1">
      <c r="A921" s="410">
        <v>1</v>
      </c>
      <c r="B921" s="417">
        <f>IF(A921&lt;&gt;0,COUNTA(A$19:$A921),"")</f>
        <v>225</v>
      </c>
      <c r="C921" s="428" t="s">
        <v>1886</v>
      </c>
      <c r="D921" s="428"/>
      <c r="E921" s="435" t="s">
        <v>1886</v>
      </c>
      <c r="F921" s="435"/>
      <c r="G921" s="419"/>
      <c r="H921" s="419"/>
      <c r="I921" s="419"/>
      <c r="J921" s="419"/>
      <c r="K921" s="420">
        <v>1</v>
      </c>
      <c r="L921" s="420">
        <f t="shared" si="169"/>
        <v>0</v>
      </c>
      <c r="M921" s="420">
        <f t="shared" si="170"/>
        <v>3056</v>
      </c>
      <c r="N921" s="445">
        <f t="shared" si="178"/>
        <v>0</v>
      </c>
      <c r="O921" s="719"/>
      <c r="P921" s="719">
        <f t="shared" si="177"/>
        <v>3942.2400000000002</v>
      </c>
      <c r="Q921" s="423">
        <f>SUMIF('8.Dgia'!E:E,'9.may'!E921,'8.Dgia'!P:P)</f>
        <v>0</v>
      </c>
      <c r="R921" s="429">
        <f t="shared" si="171"/>
        <v>0</v>
      </c>
      <c r="S921" s="301">
        <f t="shared" si="172"/>
        <v>0</v>
      </c>
      <c r="T921" s="430">
        <f t="shared" si="173"/>
        <v>3056</v>
      </c>
      <c r="U921" s="2053"/>
      <c r="V921" s="2053"/>
      <c r="W921" s="2054">
        <v>3056</v>
      </c>
      <c r="Y921" s="433">
        <f t="shared" si="174"/>
        <v>0</v>
      </c>
      <c r="Z921" s="433">
        <f t="shared" si="175"/>
        <v>0</v>
      </c>
      <c r="AC921" s="410">
        <f t="shared" si="176"/>
        <v>0</v>
      </c>
    </row>
    <row r="922" spans="1:29" s="410" customFormat="1" ht="17.25" hidden="1" customHeight="1">
      <c r="B922" s="417" t="str">
        <f>IF(A922&lt;&gt;0,COUNTA(A$19:$A922),"")</f>
        <v/>
      </c>
      <c r="C922" s="428" t="s">
        <v>1887</v>
      </c>
      <c r="D922" s="428"/>
      <c r="E922" s="435"/>
      <c r="F922" s="435"/>
      <c r="G922" s="419"/>
      <c r="H922" s="419"/>
      <c r="I922" s="419"/>
      <c r="J922" s="419"/>
      <c r="K922" s="420">
        <v>1</v>
      </c>
      <c r="L922" s="420">
        <f t="shared" si="169"/>
        <v>0</v>
      </c>
      <c r="M922" s="420">
        <f t="shared" si="170"/>
        <v>3629</v>
      </c>
      <c r="N922" s="445">
        <f t="shared" si="178"/>
        <v>0</v>
      </c>
      <c r="O922" s="719"/>
      <c r="P922" s="719">
        <f t="shared" si="177"/>
        <v>4681.41</v>
      </c>
      <c r="Q922" s="423">
        <f>SUMIF('8.Dgia'!E:E,'9.may'!E922,'8.Dgia'!P:P)</f>
        <v>0</v>
      </c>
      <c r="R922" s="429">
        <f t="shared" si="171"/>
        <v>0</v>
      </c>
      <c r="S922" s="301">
        <f t="shared" si="172"/>
        <v>0</v>
      </c>
      <c r="T922" s="430">
        <f t="shared" si="173"/>
        <v>3629</v>
      </c>
      <c r="U922" s="431"/>
      <c r="V922" s="431"/>
      <c r="W922" s="432">
        <v>3629</v>
      </c>
      <c r="Y922" s="433">
        <f t="shared" si="174"/>
        <v>0</v>
      </c>
      <c r="Z922" s="433">
        <f t="shared" si="175"/>
        <v>0</v>
      </c>
      <c r="AC922" s="410">
        <f t="shared" si="176"/>
        <v>0</v>
      </c>
    </row>
    <row r="923" spans="1:29" s="410" customFormat="1" ht="17.25" hidden="1" customHeight="1">
      <c r="B923" s="417" t="str">
        <f>IF(A923&lt;&gt;0,COUNTA(A$19:$A923),"")</f>
        <v/>
      </c>
      <c r="C923" s="428" t="s">
        <v>1888</v>
      </c>
      <c r="D923" s="428"/>
      <c r="E923" s="435"/>
      <c r="F923" s="435"/>
      <c r="G923" s="419"/>
      <c r="H923" s="419">
        <v>12.2</v>
      </c>
      <c r="I923" s="419"/>
      <c r="J923" s="419"/>
      <c r="K923" s="420">
        <v>1</v>
      </c>
      <c r="L923" s="420">
        <f t="shared" si="169"/>
        <v>0</v>
      </c>
      <c r="M923" s="420">
        <f t="shared" si="170"/>
        <v>18113</v>
      </c>
      <c r="N923" s="445">
        <f t="shared" si="178"/>
        <v>7767.13</v>
      </c>
      <c r="O923" s="719"/>
      <c r="P923" s="719">
        <f t="shared" si="177"/>
        <v>31132.9</v>
      </c>
      <c r="Q923" s="423">
        <f>SUMIF('8.Dgia'!E:E,'9.may'!E923,'8.Dgia'!P:P)</f>
        <v>0</v>
      </c>
      <c r="R923" s="429">
        <f t="shared" si="171"/>
        <v>0</v>
      </c>
      <c r="S923" s="301">
        <f t="shared" si="172"/>
        <v>0</v>
      </c>
      <c r="T923" s="430">
        <f t="shared" si="173"/>
        <v>25880.13</v>
      </c>
      <c r="U923" s="431">
        <v>11683</v>
      </c>
      <c r="V923" s="431"/>
      <c r="W923" s="432">
        <v>18113</v>
      </c>
      <c r="Y923" s="433">
        <f t="shared" si="174"/>
        <v>-7767.130000000001</v>
      </c>
      <c r="Z923" s="433">
        <f t="shared" si="175"/>
        <v>0</v>
      </c>
      <c r="AC923" s="410">
        <f t="shared" si="176"/>
        <v>0</v>
      </c>
    </row>
    <row r="924" spans="1:29" s="410" customFormat="1" ht="17.25" customHeight="1">
      <c r="A924" s="410">
        <v>1</v>
      </c>
      <c r="B924" s="417">
        <f>IF(A924&lt;&gt;0,COUNTA(A$19:$A924),"")</f>
        <v>226</v>
      </c>
      <c r="C924" s="428" t="s">
        <v>1889</v>
      </c>
      <c r="D924" s="428"/>
      <c r="E924" s="435" t="s">
        <v>1889</v>
      </c>
      <c r="F924" s="435"/>
      <c r="G924" s="419"/>
      <c r="H924" s="419">
        <v>8.1999999999999993</v>
      </c>
      <c r="I924" s="419"/>
      <c r="J924" s="419"/>
      <c r="K924" s="420">
        <v>1</v>
      </c>
      <c r="L924" s="420">
        <f t="shared" si="169"/>
        <v>0</v>
      </c>
      <c r="M924" s="420">
        <f t="shared" si="170"/>
        <v>15924</v>
      </c>
      <c r="N924" s="445">
        <f t="shared" si="178"/>
        <v>5220.5300000000007</v>
      </c>
      <c r="O924" s="719"/>
      <c r="P924" s="719">
        <f t="shared" si="177"/>
        <v>25762.489999999998</v>
      </c>
      <c r="Q924" s="423">
        <f>SUMIF('8.Dgia'!E:E,'9.may'!E924,'8.Dgia'!P:P)</f>
        <v>0</v>
      </c>
      <c r="R924" s="429">
        <f t="shared" si="171"/>
        <v>0</v>
      </c>
      <c r="S924" s="301">
        <f t="shared" si="172"/>
        <v>0</v>
      </c>
      <c r="T924" s="430">
        <f t="shared" si="173"/>
        <v>21144.53</v>
      </c>
      <c r="U924" s="2053">
        <v>7853</v>
      </c>
      <c r="V924" s="2053"/>
      <c r="W924" s="2054">
        <v>15924</v>
      </c>
      <c r="Y924" s="433">
        <f t="shared" si="174"/>
        <v>-5220.5299999999988</v>
      </c>
      <c r="Z924" s="433">
        <f t="shared" si="175"/>
        <v>0</v>
      </c>
      <c r="AC924" s="410">
        <f t="shared" si="176"/>
        <v>0</v>
      </c>
    </row>
    <row r="925" spans="1:29" s="410" customFormat="1" ht="17.25" hidden="1" customHeight="1">
      <c r="B925" s="417" t="str">
        <f>IF(A925&lt;&gt;0,COUNTA(A$19:$A925),"")</f>
        <v/>
      </c>
      <c r="C925" s="428" t="s">
        <v>1890</v>
      </c>
      <c r="D925" s="428"/>
      <c r="E925" s="435"/>
      <c r="F925" s="435"/>
      <c r="G925" s="419"/>
      <c r="H925" s="419">
        <v>2.4</v>
      </c>
      <c r="I925" s="419"/>
      <c r="J925" s="419"/>
      <c r="K925" s="420">
        <v>1</v>
      </c>
      <c r="L925" s="420">
        <f t="shared" si="169"/>
        <v>0</v>
      </c>
      <c r="M925" s="420">
        <f t="shared" si="170"/>
        <v>11189</v>
      </c>
      <c r="N925" s="445">
        <f t="shared" si="178"/>
        <v>1527.96</v>
      </c>
      <c r="O925" s="719"/>
      <c r="P925" s="719">
        <f t="shared" si="177"/>
        <v>15961.77</v>
      </c>
      <c r="Q925" s="423">
        <f>SUMIF('8.Dgia'!E:E,'9.may'!E925,'8.Dgia'!P:P)</f>
        <v>0</v>
      </c>
      <c r="R925" s="429">
        <f t="shared" si="171"/>
        <v>0</v>
      </c>
      <c r="S925" s="301">
        <f t="shared" si="172"/>
        <v>0</v>
      </c>
      <c r="T925" s="430">
        <f t="shared" si="173"/>
        <v>12716.96</v>
      </c>
      <c r="U925" s="431">
        <v>2298</v>
      </c>
      <c r="V925" s="431"/>
      <c r="W925" s="432">
        <v>11189</v>
      </c>
      <c r="Y925" s="433">
        <f t="shared" si="174"/>
        <v>-1527.9599999999991</v>
      </c>
      <c r="Z925" s="433">
        <f t="shared" si="175"/>
        <v>0</v>
      </c>
      <c r="AC925" s="410">
        <f t="shared" si="176"/>
        <v>0</v>
      </c>
    </row>
    <row r="926" spans="1:29" s="410" customFormat="1" ht="17.25" hidden="1" customHeight="1">
      <c r="B926" s="417" t="str">
        <f>IF(A926&lt;&gt;0,COUNTA(A$19:$A926),"")</f>
        <v/>
      </c>
      <c r="C926" s="428" t="s">
        <v>1891</v>
      </c>
      <c r="D926" s="428"/>
      <c r="E926" s="435"/>
      <c r="F926" s="435"/>
      <c r="G926" s="419"/>
      <c r="H926" s="419">
        <v>2.4</v>
      </c>
      <c r="I926" s="419"/>
      <c r="J926" s="419"/>
      <c r="K926" s="420">
        <v>1</v>
      </c>
      <c r="L926" s="420">
        <f t="shared" si="169"/>
        <v>0</v>
      </c>
      <c r="M926" s="420">
        <f t="shared" si="170"/>
        <v>5976</v>
      </c>
      <c r="N926" s="445">
        <f t="shared" si="178"/>
        <v>1527.96</v>
      </c>
      <c r="O926" s="719"/>
      <c r="P926" s="719">
        <f t="shared" si="177"/>
        <v>9237</v>
      </c>
      <c r="Q926" s="423">
        <f>SUMIF('8.Dgia'!E:E,'9.may'!E926,'8.Dgia'!P:P)</f>
        <v>0</v>
      </c>
      <c r="R926" s="429">
        <f t="shared" si="171"/>
        <v>0</v>
      </c>
      <c r="S926" s="301">
        <f t="shared" si="172"/>
        <v>0</v>
      </c>
      <c r="T926" s="430">
        <f t="shared" si="173"/>
        <v>7503.96</v>
      </c>
      <c r="U926" s="431">
        <v>2298</v>
      </c>
      <c r="V926" s="431"/>
      <c r="W926" s="432">
        <v>5976</v>
      </c>
      <c r="Y926" s="433">
        <f t="shared" si="174"/>
        <v>-1527.96</v>
      </c>
      <c r="Z926" s="433">
        <f t="shared" si="175"/>
        <v>0</v>
      </c>
      <c r="AC926" s="410">
        <f t="shared" si="176"/>
        <v>0</v>
      </c>
    </row>
    <row r="927" spans="1:29" s="410" customFormat="1" ht="17.25" hidden="1" customHeight="1">
      <c r="B927" s="417" t="str">
        <f>IF(A927&lt;&gt;0,COUNTA(A$19:$A927),"")</f>
        <v/>
      </c>
      <c r="C927" s="428" t="s">
        <v>1892</v>
      </c>
      <c r="D927" s="428"/>
      <c r="E927" s="435"/>
      <c r="F927" s="435"/>
      <c r="G927" s="419"/>
      <c r="H927" s="419">
        <v>0.8</v>
      </c>
      <c r="I927" s="419"/>
      <c r="J927" s="419"/>
      <c r="K927" s="420">
        <v>1</v>
      </c>
      <c r="L927" s="420">
        <f t="shared" si="169"/>
        <v>0</v>
      </c>
      <c r="M927" s="420">
        <f t="shared" si="170"/>
        <v>3581</v>
      </c>
      <c r="N927" s="445">
        <f t="shared" si="178"/>
        <v>509.32000000000005</v>
      </c>
      <c r="O927" s="719"/>
      <c r="P927" s="719">
        <f t="shared" si="177"/>
        <v>5128.8099999999995</v>
      </c>
      <c r="Q927" s="423">
        <f>SUMIF('8.Dgia'!E:E,'9.may'!E927,'8.Dgia'!P:P)</f>
        <v>0</v>
      </c>
      <c r="R927" s="429">
        <f t="shared" si="171"/>
        <v>0</v>
      </c>
      <c r="S927" s="301">
        <f t="shared" si="172"/>
        <v>0</v>
      </c>
      <c r="T927" s="430">
        <f t="shared" si="173"/>
        <v>4090.32</v>
      </c>
      <c r="U927" s="431">
        <v>766</v>
      </c>
      <c r="V927" s="431"/>
      <c r="W927" s="432">
        <v>3581</v>
      </c>
      <c r="Y927" s="433">
        <f t="shared" si="174"/>
        <v>-509.32000000000016</v>
      </c>
      <c r="Z927" s="433">
        <f t="shared" si="175"/>
        <v>0</v>
      </c>
      <c r="AC927" s="410">
        <f t="shared" si="176"/>
        <v>0</v>
      </c>
    </row>
    <row r="928" spans="1:29" s="410" customFormat="1" ht="17.25" hidden="1" customHeight="1">
      <c r="B928" s="417" t="str">
        <f>IF(A928&lt;&gt;0,COUNTA(A$19:$A928),"")</f>
        <v/>
      </c>
      <c r="C928" s="428" t="s">
        <v>1893</v>
      </c>
      <c r="D928" s="428"/>
      <c r="E928" s="435"/>
      <c r="F928" s="435"/>
      <c r="G928" s="419"/>
      <c r="H928" s="419"/>
      <c r="I928" s="419"/>
      <c r="J928" s="419"/>
      <c r="K928" s="420">
        <v>1</v>
      </c>
      <c r="L928" s="420">
        <f t="shared" si="169"/>
        <v>0</v>
      </c>
      <c r="M928" s="420">
        <f t="shared" si="170"/>
        <v>7349</v>
      </c>
      <c r="N928" s="445">
        <f t="shared" si="178"/>
        <v>0</v>
      </c>
      <c r="O928" s="719"/>
      <c r="P928" s="719">
        <f t="shared" si="177"/>
        <v>9480.2100000000009</v>
      </c>
      <c r="Q928" s="423">
        <f>SUMIF('8.Dgia'!E:E,'9.may'!E928,'8.Dgia'!P:P)</f>
        <v>0</v>
      </c>
      <c r="R928" s="429">
        <f t="shared" si="171"/>
        <v>0</v>
      </c>
      <c r="S928" s="301">
        <f t="shared" si="172"/>
        <v>0</v>
      </c>
      <c r="T928" s="430">
        <f t="shared" si="173"/>
        <v>7349</v>
      </c>
      <c r="U928" s="431"/>
      <c r="V928" s="431"/>
      <c r="W928" s="432">
        <v>7349</v>
      </c>
      <c r="Y928" s="433">
        <f t="shared" si="174"/>
        <v>0</v>
      </c>
      <c r="Z928" s="433">
        <f t="shared" si="175"/>
        <v>0</v>
      </c>
      <c r="AC928" s="410">
        <f t="shared" si="176"/>
        <v>0</v>
      </c>
    </row>
    <row r="929" spans="1:29" s="410" customFormat="1" ht="17.25" customHeight="1">
      <c r="A929" s="410">
        <v>1</v>
      </c>
      <c r="B929" s="417">
        <f>IF(A929&lt;&gt;0,COUNTA(A$19:$A929),"")</f>
        <v>227</v>
      </c>
      <c r="C929" s="428" t="s">
        <v>1894</v>
      </c>
      <c r="D929" s="428"/>
      <c r="E929" s="435" t="s">
        <v>1894</v>
      </c>
      <c r="F929" s="435"/>
      <c r="G929" s="419"/>
      <c r="H929" s="419">
        <v>2.9</v>
      </c>
      <c r="I929" s="419"/>
      <c r="J929" s="419"/>
      <c r="K929" s="420">
        <v>1</v>
      </c>
      <c r="L929" s="420">
        <f t="shared" si="169"/>
        <v>0</v>
      </c>
      <c r="M929" s="420">
        <f t="shared" si="170"/>
        <v>4073</v>
      </c>
      <c r="N929" s="445">
        <f t="shared" si="178"/>
        <v>1846.2850000000001</v>
      </c>
      <c r="O929" s="719"/>
      <c r="P929" s="719">
        <f t="shared" si="177"/>
        <v>7100.4549999999999</v>
      </c>
      <c r="Q929" s="423">
        <f>SUMIF('8.Dgia'!E:E,'9.may'!E929,'8.Dgia'!P:P)</f>
        <v>0</v>
      </c>
      <c r="R929" s="429">
        <f t="shared" si="171"/>
        <v>0</v>
      </c>
      <c r="S929" s="301">
        <f t="shared" si="172"/>
        <v>0</v>
      </c>
      <c r="T929" s="430">
        <f t="shared" si="173"/>
        <v>5919.2849999999999</v>
      </c>
      <c r="U929" s="2053">
        <v>2777</v>
      </c>
      <c r="V929" s="2053"/>
      <c r="W929" s="2054">
        <v>4073</v>
      </c>
      <c r="Y929" s="433">
        <f t="shared" si="174"/>
        <v>-1846.2849999999999</v>
      </c>
      <c r="Z929" s="433">
        <f t="shared" si="175"/>
        <v>0</v>
      </c>
      <c r="AC929" s="410">
        <f t="shared" si="176"/>
        <v>0</v>
      </c>
    </row>
    <row r="930" spans="1:29" s="410" customFormat="1" ht="17.25" customHeight="1">
      <c r="A930" s="410">
        <v>1</v>
      </c>
      <c r="B930" s="417">
        <f>IF(A930&lt;&gt;0,COUNTA(A$19:$A930),"")</f>
        <v>228</v>
      </c>
      <c r="C930" s="428" t="s">
        <v>1895</v>
      </c>
      <c r="D930" s="428"/>
      <c r="E930" s="435" t="s">
        <v>1895</v>
      </c>
      <c r="F930" s="435"/>
      <c r="G930" s="419"/>
      <c r="H930" s="419">
        <v>2.9</v>
      </c>
      <c r="I930" s="419"/>
      <c r="J930" s="419"/>
      <c r="K930" s="420">
        <v>1</v>
      </c>
      <c r="L930" s="420">
        <f t="shared" si="169"/>
        <v>0</v>
      </c>
      <c r="M930" s="420">
        <f t="shared" si="170"/>
        <v>4720</v>
      </c>
      <c r="N930" s="445">
        <f t="shared" si="178"/>
        <v>1846.2850000000001</v>
      </c>
      <c r="O930" s="719"/>
      <c r="P930" s="719">
        <f t="shared" si="177"/>
        <v>7935.085</v>
      </c>
      <c r="Q930" s="423">
        <f>SUMIF('8.Dgia'!E:E,'9.may'!E930,'8.Dgia'!P:P)</f>
        <v>0</v>
      </c>
      <c r="R930" s="429">
        <f t="shared" si="171"/>
        <v>0</v>
      </c>
      <c r="S930" s="301">
        <f t="shared" si="172"/>
        <v>0</v>
      </c>
      <c r="T930" s="430">
        <f t="shared" si="173"/>
        <v>6566.2849999999999</v>
      </c>
      <c r="U930" s="2053">
        <v>2777</v>
      </c>
      <c r="V930" s="2053"/>
      <c r="W930" s="2054">
        <v>4720</v>
      </c>
      <c r="Y930" s="433">
        <f t="shared" si="174"/>
        <v>-1846.2849999999999</v>
      </c>
      <c r="Z930" s="433">
        <f t="shared" si="175"/>
        <v>0</v>
      </c>
      <c r="AC930" s="410">
        <f t="shared" si="176"/>
        <v>0</v>
      </c>
    </row>
    <row r="931" spans="1:29" s="410" customFormat="1" ht="17.25" hidden="1" customHeight="1">
      <c r="B931" s="417" t="str">
        <f>IF(A931&lt;&gt;0,COUNTA(A$19:$A931),"")</f>
        <v/>
      </c>
      <c r="C931" s="428" t="s">
        <v>1896</v>
      </c>
      <c r="D931" s="428"/>
      <c r="E931" s="435"/>
      <c r="F931" s="435"/>
      <c r="G931" s="419"/>
      <c r="H931" s="419">
        <v>2.9</v>
      </c>
      <c r="I931" s="419"/>
      <c r="J931" s="419"/>
      <c r="K931" s="420">
        <v>1</v>
      </c>
      <c r="L931" s="420">
        <f t="shared" si="169"/>
        <v>0</v>
      </c>
      <c r="M931" s="420">
        <f t="shared" si="170"/>
        <v>8303</v>
      </c>
      <c r="N931" s="445">
        <f t="shared" si="178"/>
        <v>1846.2850000000001</v>
      </c>
      <c r="O931" s="719"/>
      <c r="P931" s="719">
        <f t="shared" si="177"/>
        <v>12557.155000000001</v>
      </c>
      <c r="Q931" s="423">
        <f>SUMIF('8.Dgia'!E:E,'9.may'!E931,'8.Dgia'!P:P)</f>
        <v>0</v>
      </c>
      <c r="R931" s="429">
        <f t="shared" si="171"/>
        <v>0</v>
      </c>
      <c r="S931" s="301">
        <f t="shared" si="172"/>
        <v>0</v>
      </c>
      <c r="T931" s="430">
        <f t="shared" si="173"/>
        <v>10149.285</v>
      </c>
      <c r="U931" s="431">
        <v>2777</v>
      </c>
      <c r="V931" s="431"/>
      <c r="W931" s="432">
        <v>8303</v>
      </c>
      <c r="Y931" s="433">
        <f t="shared" si="174"/>
        <v>-1846.2849999999999</v>
      </c>
      <c r="Z931" s="433">
        <f t="shared" si="175"/>
        <v>0</v>
      </c>
      <c r="AC931" s="410">
        <f t="shared" si="176"/>
        <v>0</v>
      </c>
    </row>
    <row r="932" spans="1:29" s="410" customFormat="1" ht="17.25" hidden="1" customHeight="1">
      <c r="B932" s="417" t="str">
        <f>IF(A932&lt;&gt;0,COUNTA(A$19:$A932),"")</f>
        <v/>
      </c>
      <c r="C932" s="428" t="s">
        <v>1897</v>
      </c>
      <c r="D932" s="428"/>
      <c r="E932" s="435"/>
      <c r="F932" s="435"/>
      <c r="G932" s="419"/>
      <c r="H932" s="419">
        <v>4.0999999999999996</v>
      </c>
      <c r="I932" s="419"/>
      <c r="J932" s="419"/>
      <c r="K932" s="420">
        <v>1</v>
      </c>
      <c r="L932" s="420">
        <f t="shared" si="169"/>
        <v>0</v>
      </c>
      <c r="M932" s="420">
        <f t="shared" si="170"/>
        <v>8755</v>
      </c>
      <c r="N932" s="445">
        <f t="shared" si="178"/>
        <v>2610.2650000000003</v>
      </c>
      <c r="O932" s="719"/>
      <c r="P932" s="719">
        <f t="shared" si="177"/>
        <v>13904.215</v>
      </c>
      <c r="Q932" s="423">
        <f>SUMIF('8.Dgia'!E:E,'9.may'!E932,'8.Dgia'!P:P)</f>
        <v>0</v>
      </c>
      <c r="R932" s="429">
        <f t="shared" si="171"/>
        <v>0</v>
      </c>
      <c r="S932" s="301">
        <f t="shared" si="172"/>
        <v>0</v>
      </c>
      <c r="T932" s="430">
        <f t="shared" si="173"/>
        <v>11365.264999999999</v>
      </c>
      <c r="U932" s="431">
        <v>3926</v>
      </c>
      <c r="V932" s="431"/>
      <c r="W932" s="432">
        <v>8755</v>
      </c>
      <c r="Y932" s="433">
        <f t="shared" si="174"/>
        <v>-2610.2649999999994</v>
      </c>
      <c r="Z932" s="433">
        <f t="shared" si="175"/>
        <v>0</v>
      </c>
      <c r="AC932" s="410">
        <f t="shared" si="176"/>
        <v>0</v>
      </c>
    </row>
    <row r="933" spans="1:29" s="410" customFormat="1" ht="17.25" hidden="1" customHeight="1">
      <c r="B933" s="417" t="str">
        <f>IF(A933&lt;&gt;0,COUNTA(A$19:$A933),"")</f>
        <v/>
      </c>
      <c r="C933" s="449" t="s">
        <v>1898</v>
      </c>
      <c r="D933" s="449"/>
      <c r="E933" s="435"/>
      <c r="F933" s="435"/>
      <c r="G933" s="419"/>
      <c r="H933" s="419"/>
      <c r="I933" s="419"/>
      <c r="J933" s="419"/>
      <c r="K933" s="420">
        <v>1</v>
      </c>
      <c r="L933" s="420">
        <f t="shared" si="169"/>
        <v>0</v>
      </c>
      <c r="M933" s="420">
        <f t="shared" si="170"/>
        <v>11149</v>
      </c>
      <c r="N933" s="445">
        <f t="shared" si="178"/>
        <v>0</v>
      </c>
      <c r="O933" s="719"/>
      <c r="P933" s="719">
        <f t="shared" si="177"/>
        <v>14382.210000000001</v>
      </c>
      <c r="Q933" s="423">
        <f>SUMIF('8.Dgia'!E:E,'9.may'!E933,'8.Dgia'!P:P)</f>
        <v>0</v>
      </c>
      <c r="R933" s="429">
        <f t="shared" si="171"/>
        <v>0</v>
      </c>
      <c r="S933" s="301">
        <f t="shared" si="172"/>
        <v>0</v>
      </c>
      <c r="T933" s="430">
        <f t="shared" si="173"/>
        <v>11149</v>
      </c>
      <c r="U933" s="431"/>
      <c r="V933" s="431"/>
      <c r="W933" s="432">
        <v>11149</v>
      </c>
      <c r="Y933" s="433">
        <f t="shared" si="174"/>
        <v>0</v>
      </c>
      <c r="Z933" s="433">
        <f t="shared" si="175"/>
        <v>0</v>
      </c>
      <c r="AC933" s="410">
        <f t="shared" si="176"/>
        <v>0</v>
      </c>
    </row>
    <row r="934" spans="1:29" s="410" customFormat="1" ht="17.25" hidden="1" customHeight="1">
      <c r="B934" s="417" t="str">
        <f>IF(A934&lt;&gt;0,COUNTA(A$19:$A934),"")</f>
        <v/>
      </c>
      <c r="C934" s="428" t="s">
        <v>1899</v>
      </c>
      <c r="D934" s="428"/>
      <c r="E934" s="435"/>
      <c r="F934" s="435"/>
      <c r="G934" s="419"/>
      <c r="H934" s="419"/>
      <c r="I934" s="419"/>
      <c r="J934" s="419"/>
      <c r="K934" s="420">
        <v>1</v>
      </c>
      <c r="L934" s="420">
        <f t="shared" si="169"/>
        <v>0</v>
      </c>
      <c r="M934" s="420">
        <f t="shared" si="170"/>
        <v>9485</v>
      </c>
      <c r="N934" s="445">
        <f t="shared" si="178"/>
        <v>0</v>
      </c>
      <c r="O934" s="719"/>
      <c r="P934" s="719">
        <f t="shared" si="177"/>
        <v>12235.65</v>
      </c>
      <c r="Q934" s="423">
        <f>SUMIF('8.Dgia'!E:E,'9.may'!E934,'8.Dgia'!P:P)</f>
        <v>0</v>
      </c>
      <c r="R934" s="429">
        <f t="shared" si="171"/>
        <v>0</v>
      </c>
      <c r="S934" s="301">
        <f t="shared" si="172"/>
        <v>0</v>
      </c>
      <c r="T934" s="430">
        <f t="shared" si="173"/>
        <v>9485</v>
      </c>
      <c r="U934" s="431"/>
      <c r="V934" s="431"/>
      <c r="W934" s="432">
        <v>9485</v>
      </c>
      <c r="Y934" s="433">
        <f t="shared" si="174"/>
        <v>0</v>
      </c>
      <c r="Z934" s="433">
        <f t="shared" si="175"/>
        <v>0</v>
      </c>
      <c r="AC934" s="410">
        <f t="shared" si="176"/>
        <v>0</v>
      </c>
    </row>
    <row r="935" spans="1:29" s="410" customFormat="1" ht="17.25" hidden="1" customHeight="1">
      <c r="B935" s="417" t="str">
        <f>IF(A935&lt;&gt;0,COUNTA(A$19:$A935),"")</f>
        <v/>
      </c>
      <c r="C935" s="428" t="s">
        <v>1900</v>
      </c>
      <c r="D935" s="428"/>
      <c r="E935" s="435"/>
      <c r="F935" s="435"/>
      <c r="G935" s="419"/>
      <c r="H935" s="419">
        <v>4.0999999999999996</v>
      </c>
      <c r="I935" s="419"/>
      <c r="J935" s="419"/>
      <c r="K935" s="420">
        <v>1</v>
      </c>
      <c r="L935" s="420">
        <f t="shared" si="169"/>
        <v>0</v>
      </c>
      <c r="M935" s="420">
        <f t="shared" si="170"/>
        <v>8747</v>
      </c>
      <c r="N935" s="445">
        <f t="shared" si="178"/>
        <v>2610.2650000000003</v>
      </c>
      <c r="O935" s="719"/>
      <c r="P935" s="719">
        <f t="shared" si="177"/>
        <v>13893.895</v>
      </c>
      <c r="Q935" s="423">
        <f>SUMIF('8.Dgia'!E:E,'9.may'!E935,'8.Dgia'!P:P)</f>
        <v>0</v>
      </c>
      <c r="R935" s="429">
        <f t="shared" si="171"/>
        <v>0</v>
      </c>
      <c r="S935" s="301">
        <f t="shared" si="172"/>
        <v>0</v>
      </c>
      <c r="T935" s="430">
        <f t="shared" si="173"/>
        <v>11357.264999999999</v>
      </c>
      <c r="U935" s="431">
        <v>3926</v>
      </c>
      <c r="V935" s="431"/>
      <c r="W935" s="432">
        <v>8747</v>
      </c>
      <c r="Y935" s="433">
        <f t="shared" si="174"/>
        <v>-2610.2649999999994</v>
      </c>
      <c r="Z935" s="433">
        <f t="shared" si="175"/>
        <v>0</v>
      </c>
      <c r="AC935" s="410">
        <f t="shared" si="176"/>
        <v>0</v>
      </c>
    </row>
    <row r="936" spans="1:29" s="410" customFormat="1" ht="17.25" hidden="1" customHeight="1">
      <c r="B936" s="417" t="str">
        <f>IF(A936&lt;&gt;0,COUNTA(A$19:$A936),"")</f>
        <v/>
      </c>
      <c r="C936" s="428" t="s">
        <v>1901</v>
      </c>
      <c r="D936" s="428"/>
      <c r="E936" s="435"/>
      <c r="F936" s="435"/>
      <c r="G936" s="419"/>
      <c r="H936" s="419"/>
      <c r="I936" s="419"/>
      <c r="J936" s="419"/>
      <c r="K936" s="420">
        <v>1</v>
      </c>
      <c r="L936" s="420">
        <f t="shared" si="169"/>
        <v>0</v>
      </c>
      <c r="M936" s="420">
        <f t="shared" si="170"/>
        <v>1827</v>
      </c>
      <c r="N936" s="445">
        <f t="shared" si="178"/>
        <v>0</v>
      </c>
      <c r="O936" s="719"/>
      <c r="P936" s="719">
        <f t="shared" si="177"/>
        <v>2356.83</v>
      </c>
      <c r="Q936" s="423">
        <f>SUMIF('8.Dgia'!E:E,'9.may'!E936,'8.Dgia'!P:P)</f>
        <v>0</v>
      </c>
      <c r="R936" s="429">
        <f t="shared" si="171"/>
        <v>0</v>
      </c>
      <c r="S936" s="301">
        <f t="shared" si="172"/>
        <v>0</v>
      </c>
      <c r="T936" s="430">
        <f t="shared" si="173"/>
        <v>1827</v>
      </c>
      <c r="U936" s="431"/>
      <c r="V936" s="431"/>
      <c r="W936" s="432">
        <v>1827</v>
      </c>
      <c r="Y936" s="433">
        <f t="shared" si="174"/>
        <v>0</v>
      </c>
      <c r="Z936" s="433">
        <f t="shared" si="175"/>
        <v>0</v>
      </c>
      <c r="AC936" s="410">
        <f t="shared" si="176"/>
        <v>0</v>
      </c>
    </row>
    <row r="937" spans="1:29" s="410" customFormat="1" ht="17.25" hidden="1" customHeight="1">
      <c r="B937" s="417" t="str">
        <f>IF(A937&lt;&gt;0,COUNTA(A$19:$A937),"")</f>
        <v/>
      </c>
      <c r="C937" s="428" t="s">
        <v>1902</v>
      </c>
      <c r="D937" s="428"/>
      <c r="E937" s="435"/>
      <c r="F937" s="435"/>
      <c r="G937" s="419"/>
      <c r="H937" s="419">
        <v>3.8</v>
      </c>
      <c r="I937" s="419"/>
      <c r="J937" s="419"/>
      <c r="K937" s="420">
        <v>1</v>
      </c>
      <c r="L937" s="420">
        <f t="shared" si="169"/>
        <v>0</v>
      </c>
      <c r="M937" s="420">
        <f t="shared" si="170"/>
        <v>15739</v>
      </c>
      <c r="N937" s="445">
        <f t="shared" si="178"/>
        <v>2419.27</v>
      </c>
      <c r="O937" s="719"/>
      <c r="P937" s="719">
        <f t="shared" si="177"/>
        <v>22722.58</v>
      </c>
      <c r="Q937" s="423">
        <f>SUMIF('8.Dgia'!E:E,'9.may'!E937,'8.Dgia'!P:P)</f>
        <v>0</v>
      </c>
      <c r="R937" s="429">
        <f t="shared" si="171"/>
        <v>0</v>
      </c>
      <c r="S937" s="301">
        <f t="shared" si="172"/>
        <v>0</v>
      </c>
      <c r="T937" s="430">
        <f t="shared" si="173"/>
        <v>18158.27</v>
      </c>
      <c r="U937" s="431">
        <v>3639</v>
      </c>
      <c r="V937" s="431"/>
      <c r="W937" s="432">
        <v>15739</v>
      </c>
      <c r="Y937" s="433">
        <f t="shared" si="174"/>
        <v>-2419.2700000000004</v>
      </c>
      <c r="Z937" s="433">
        <f t="shared" si="175"/>
        <v>0</v>
      </c>
      <c r="AC937" s="410">
        <f t="shared" si="176"/>
        <v>0</v>
      </c>
    </row>
    <row r="938" spans="1:29" s="410" customFormat="1" ht="17.25" hidden="1" customHeight="1">
      <c r="B938" s="417" t="str">
        <f>IF(A938&lt;&gt;0,COUNTA(A$19:$A938),"")</f>
        <v/>
      </c>
      <c r="C938" s="428" t="s">
        <v>1903</v>
      </c>
      <c r="D938" s="428"/>
      <c r="E938" s="435"/>
      <c r="F938" s="435"/>
      <c r="G938" s="419"/>
      <c r="H938" s="419"/>
      <c r="I938" s="419"/>
      <c r="J938" s="419"/>
      <c r="K938" s="420">
        <v>1</v>
      </c>
      <c r="L938" s="420">
        <f t="shared" si="169"/>
        <v>0</v>
      </c>
      <c r="M938" s="420">
        <f t="shared" si="170"/>
        <v>107250</v>
      </c>
      <c r="N938" s="445">
        <f t="shared" si="178"/>
        <v>0</v>
      </c>
      <c r="O938" s="719"/>
      <c r="P938" s="719">
        <f t="shared" si="177"/>
        <v>138352.5</v>
      </c>
      <c r="Q938" s="423">
        <f>SUMIF('8.Dgia'!E:E,'9.may'!E938,'8.Dgia'!P:P)</f>
        <v>0</v>
      </c>
      <c r="R938" s="429">
        <f t="shared" si="171"/>
        <v>0</v>
      </c>
      <c r="S938" s="301">
        <f t="shared" si="172"/>
        <v>0</v>
      </c>
      <c r="T938" s="430">
        <f t="shared" si="173"/>
        <v>107250</v>
      </c>
      <c r="U938" s="431"/>
      <c r="V938" s="431"/>
      <c r="W938" s="432">
        <v>107250</v>
      </c>
      <c r="Y938" s="433">
        <f t="shared" si="174"/>
        <v>0</v>
      </c>
      <c r="Z938" s="433">
        <f t="shared" si="175"/>
        <v>0</v>
      </c>
      <c r="AC938" s="410">
        <f t="shared" si="176"/>
        <v>0</v>
      </c>
    </row>
    <row r="939" spans="1:29" s="410" customFormat="1" ht="17.25" hidden="1" customHeight="1">
      <c r="B939" s="417" t="str">
        <f>IF(A939&lt;&gt;0,COUNTA(A$19:$A939),"")</f>
        <v/>
      </c>
      <c r="C939" s="428" t="s">
        <v>1904</v>
      </c>
      <c r="D939" s="428"/>
      <c r="E939" s="435"/>
      <c r="F939" s="435"/>
      <c r="G939" s="419"/>
      <c r="H939" s="419">
        <v>4.5</v>
      </c>
      <c r="I939" s="419"/>
      <c r="J939" s="419"/>
      <c r="K939" s="420">
        <v>1</v>
      </c>
      <c r="L939" s="420">
        <f t="shared" si="169"/>
        <v>0</v>
      </c>
      <c r="M939" s="420">
        <f t="shared" si="170"/>
        <v>449291</v>
      </c>
      <c r="N939" s="445">
        <f t="shared" si="178"/>
        <v>2864.9250000000002</v>
      </c>
      <c r="O939" s="719"/>
      <c r="P939" s="719">
        <f t="shared" si="177"/>
        <v>582450.31500000006</v>
      </c>
      <c r="Q939" s="423">
        <f>SUMIF('8.Dgia'!E:E,'9.may'!E939,'8.Dgia'!P:P)</f>
        <v>0</v>
      </c>
      <c r="R939" s="429">
        <f t="shared" si="171"/>
        <v>0</v>
      </c>
      <c r="S939" s="301">
        <f t="shared" si="172"/>
        <v>0</v>
      </c>
      <c r="T939" s="430">
        <f t="shared" si="173"/>
        <v>452155.92499999999</v>
      </c>
      <c r="U939" s="431">
        <v>4309</v>
      </c>
      <c r="V939" s="431"/>
      <c r="W939" s="432">
        <v>449291</v>
      </c>
      <c r="Y939" s="433">
        <f t="shared" si="174"/>
        <v>-2864.9249999999884</v>
      </c>
      <c r="Z939" s="433">
        <f t="shared" si="175"/>
        <v>0</v>
      </c>
      <c r="AC939" s="410">
        <f t="shared" si="176"/>
        <v>0</v>
      </c>
    </row>
    <row r="940" spans="1:29" s="410" customFormat="1" ht="17.25" hidden="1" customHeight="1">
      <c r="B940" s="417" t="str">
        <f>IF(A940&lt;&gt;0,COUNTA(A$19:$A940),"")</f>
        <v/>
      </c>
      <c r="C940" s="428" t="s">
        <v>1905</v>
      </c>
      <c r="D940" s="428"/>
      <c r="E940" s="435"/>
      <c r="F940" s="435"/>
      <c r="G940" s="419"/>
      <c r="H940" s="419">
        <v>1.9</v>
      </c>
      <c r="I940" s="419"/>
      <c r="J940" s="419"/>
      <c r="K940" s="420">
        <v>1</v>
      </c>
      <c r="L940" s="420">
        <f t="shared" si="169"/>
        <v>0</v>
      </c>
      <c r="M940" s="420">
        <f t="shared" si="170"/>
        <v>14213</v>
      </c>
      <c r="N940" s="445">
        <f t="shared" si="178"/>
        <v>1209.635</v>
      </c>
      <c r="O940" s="719"/>
      <c r="P940" s="719">
        <f t="shared" si="177"/>
        <v>19544.404999999999</v>
      </c>
      <c r="Q940" s="423">
        <f>SUMIF('8.Dgia'!E:E,'9.may'!E940,'8.Dgia'!P:P)</f>
        <v>0</v>
      </c>
      <c r="R940" s="429">
        <f t="shared" si="171"/>
        <v>0</v>
      </c>
      <c r="S940" s="301">
        <f t="shared" si="172"/>
        <v>0</v>
      </c>
      <c r="T940" s="430">
        <f t="shared" si="173"/>
        <v>15422.635</v>
      </c>
      <c r="U940" s="431">
        <v>1820</v>
      </c>
      <c r="V940" s="431"/>
      <c r="W940" s="432">
        <v>14213</v>
      </c>
      <c r="Y940" s="433">
        <f t="shared" si="174"/>
        <v>-1209.6350000000002</v>
      </c>
      <c r="Z940" s="433">
        <f t="shared" si="175"/>
        <v>0</v>
      </c>
      <c r="AC940" s="410">
        <f t="shared" si="176"/>
        <v>0</v>
      </c>
    </row>
    <row r="941" spans="1:29" s="410" customFormat="1" ht="17.25" hidden="1" customHeight="1">
      <c r="B941" s="417" t="str">
        <f>IF(A941&lt;&gt;0,COUNTA(A$19:$A941),"")</f>
        <v/>
      </c>
      <c r="C941" s="428" t="s">
        <v>1906</v>
      </c>
      <c r="D941" s="428"/>
      <c r="E941" s="435"/>
      <c r="F941" s="435"/>
      <c r="G941" s="419"/>
      <c r="H941" s="419"/>
      <c r="I941" s="419"/>
      <c r="J941" s="419"/>
      <c r="K941" s="420">
        <v>1</v>
      </c>
      <c r="L941" s="420">
        <f t="shared" si="169"/>
        <v>0</v>
      </c>
      <c r="M941" s="420">
        <f t="shared" si="170"/>
        <v>4056</v>
      </c>
      <c r="N941" s="445">
        <f t="shared" si="178"/>
        <v>0</v>
      </c>
      <c r="O941" s="719"/>
      <c r="P941" s="719">
        <f t="shared" si="177"/>
        <v>5232.24</v>
      </c>
      <c r="Q941" s="423">
        <f>SUMIF('8.Dgia'!E:E,'9.may'!E941,'8.Dgia'!P:P)</f>
        <v>0</v>
      </c>
      <c r="R941" s="429">
        <f t="shared" si="171"/>
        <v>0</v>
      </c>
      <c r="S941" s="301">
        <f t="shared" si="172"/>
        <v>0</v>
      </c>
      <c r="T941" s="430">
        <f t="shared" si="173"/>
        <v>4056</v>
      </c>
      <c r="U941" s="431"/>
      <c r="V941" s="431"/>
      <c r="W941" s="432">
        <v>4056</v>
      </c>
      <c r="Y941" s="433">
        <f t="shared" si="174"/>
        <v>0</v>
      </c>
      <c r="Z941" s="433">
        <f t="shared" si="175"/>
        <v>0</v>
      </c>
      <c r="AC941" s="410">
        <f t="shared" si="176"/>
        <v>0</v>
      </c>
    </row>
    <row r="942" spans="1:29" s="410" customFormat="1" ht="17.25" hidden="1" customHeight="1">
      <c r="B942" s="417" t="str">
        <f>IF(A942&lt;&gt;0,COUNTA(A$19:$A942),"")</f>
        <v/>
      </c>
      <c r="C942" s="428" t="s">
        <v>1907</v>
      </c>
      <c r="D942" s="428"/>
      <c r="E942" s="435"/>
      <c r="F942" s="435"/>
      <c r="G942" s="419"/>
      <c r="H942" s="419">
        <v>7.2</v>
      </c>
      <c r="I942" s="419"/>
      <c r="J942" s="419"/>
      <c r="K942" s="420">
        <v>1</v>
      </c>
      <c r="L942" s="420">
        <f t="shared" si="169"/>
        <v>0</v>
      </c>
      <c r="M942" s="420">
        <f t="shared" si="170"/>
        <v>84144</v>
      </c>
      <c r="N942" s="445">
        <f t="shared" si="178"/>
        <v>4583.88</v>
      </c>
      <c r="O942" s="719"/>
      <c r="P942" s="719">
        <f t="shared" si="177"/>
        <v>113129.64000000001</v>
      </c>
      <c r="Q942" s="423">
        <f>SUMIF('8.Dgia'!E:E,'9.may'!E942,'8.Dgia'!P:P)</f>
        <v>0</v>
      </c>
      <c r="R942" s="429">
        <f t="shared" si="171"/>
        <v>0</v>
      </c>
      <c r="S942" s="301">
        <f t="shared" si="172"/>
        <v>0</v>
      </c>
      <c r="T942" s="430">
        <f t="shared" si="173"/>
        <v>88727.88</v>
      </c>
      <c r="U942" s="431">
        <v>6895</v>
      </c>
      <c r="V942" s="431"/>
      <c r="W942" s="432">
        <v>84144</v>
      </c>
      <c r="Y942" s="433">
        <f t="shared" si="174"/>
        <v>-4583.8800000000047</v>
      </c>
      <c r="Z942" s="433">
        <f t="shared" si="175"/>
        <v>0</v>
      </c>
      <c r="AC942" s="410">
        <f t="shared" si="176"/>
        <v>0</v>
      </c>
    </row>
    <row r="943" spans="1:29" s="410" customFormat="1" ht="17.25" hidden="1" customHeight="1">
      <c r="B943" s="417" t="str">
        <f>IF(A943&lt;&gt;0,COUNTA(A$19:$A943),"")</f>
        <v/>
      </c>
      <c r="C943" s="428" t="s">
        <v>1908</v>
      </c>
      <c r="D943" s="428"/>
      <c r="E943" s="435"/>
      <c r="F943" s="435"/>
      <c r="G943" s="419"/>
      <c r="H943" s="419">
        <v>6.5</v>
      </c>
      <c r="I943" s="419"/>
      <c r="J943" s="419"/>
      <c r="K943" s="420">
        <v>1</v>
      </c>
      <c r="L943" s="420">
        <f t="shared" si="169"/>
        <v>0</v>
      </c>
      <c r="M943" s="420">
        <f t="shared" si="170"/>
        <v>41678</v>
      </c>
      <c r="N943" s="445">
        <f t="shared" si="178"/>
        <v>4138.2250000000004</v>
      </c>
      <c r="O943" s="719"/>
      <c r="P943" s="719">
        <f t="shared" si="177"/>
        <v>57902.845000000001</v>
      </c>
      <c r="Q943" s="423">
        <f>SUMIF('8.Dgia'!E:E,'9.may'!E943,'8.Dgia'!P:P)</f>
        <v>0</v>
      </c>
      <c r="R943" s="429">
        <f t="shared" si="171"/>
        <v>0</v>
      </c>
      <c r="S943" s="301">
        <f t="shared" si="172"/>
        <v>0</v>
      </c>
      <c r="T943" s="430">
        <f t="shared" si="173"/>
        <v>45816.224999999999</v>
      </c>
      <c r="U943" s="431">
        <v>6225</v>
      </c>
      <c r="V943" s="431"/>
      <c r="W943" s="432">
        <v>41678</v>
      </c>
      <c r="Y943" s="433">
        <f t="shared" si="174"/>
        <v>-4138.2249999999985</v>
      </c>
      <c r="Z943" s="433">
        <f t="shared" si="175"/>
        <v>0</v>
      </c>
      <c r="AC943" s="410">
        <f t="shared" si="176"/>
        <v>0</v>
      </c>
    </row>
    <row r="944" spans="1:29" s="410" customFormat="1" ht="17.25" hidden="1" customHeight="1">
      <c r="B944" s="417" t="str">
        <f>IF(A944&lt;&gt;0,COUNTA(A$19:$A944),"")</f>
        <v/>
      </c>
      <c r="C944" s="428" t="s">
        <v>1909</v>
      </c>
      <c r="D944" s="428"/>
      <c r="E944" s="435"/>
      <c r="F944" s="435"/>
      <c r="G944" s="419"/>
      <c r="H944" s="419">
        <v>4.8</v>
      </c>
      <c r="I944" s="419"/>
      <c r="J944" s="419"/>
      <c r="K944" s="420">
        <v>1</v>
      </c>
      <c r="L944" s="420">
        <f t="shared" si="169"/>
        <v>0</v>
      </c>
      <c r="M944" s="420">
        <f t="shared" si="170"/>
        <v>37896</v>
      </c>
      <c r="N944" s="445">
        <f t="shared" si="178"/>
        <v>3055.92</v>
      </c>
      <c r="O944" s="719"/>
      <c r="P944" s="719">
        <f t="shared" si="177"/>
        <v>51941.760000000002</v>
      </c>
      <c r="Q944" s="423">
        <f>SUMIF('8.Dgia'!E:E,'9.may'!E944,'8.Dgia'!P:P)</f>
        <v>0</v>
      </c>
      <c r="R944" s="429">
        <f t="shared" si="171"/>
        <v>0</v>
      </c>
      <c r="S944" s="301">
        <f t="shared" si="172"/>
        <v>0</v>
      </c>
      <c r="T944" s="430">
        <f t="shared" si="173"/>
        <v>40951.919999999998</v>
      </c>
      <c r="U944" s="431">
        <v>4597</v>
      </c>
      <c r="V944" s="431"/>
      <c r="W944" s="432">
        <v>37896</v>
      </c>
      <c r="Y944" s="433">
        <f t="shared" si="174"/>
        <v>-3055.9199999999983</v>
      </c>
      <c r="Z944" s="433">
        <f t="shared" si="175"/>
        <v>0</v>
      </c>
      <c r="AC944" s="410">
        <f t="shared" si="176"/>
        <v>0</v>
      </c>
    </row>
    <row r="945" spans="2:29" s="410" customFormat="1" ht="17.25" hidden="1" customHeight="1">
      <c r="B945" s="417" t="str">
        <f>IF(A945&lt;&gt;0,COUNTA(A$19:$A945),"")</f>
        <v/>
      </c>
      <c r="C945" s="428" t="s">
        <v>1910</v>
      </c>
      <c r="D945" s="428"/>
      <c r="E945" s="435"/>
      <c r="F945" s="435"/>
      <c r="G945" s="419"/>
      <c r="H945" s="419">
        <v>7.2</v>
      </c>
      <c r="I945" s="419"/>
      <c r="J945" s="419"/>
      <c r="K945" s="420">
        <v>1</v>
      </c>
      <c r="L945" s="420">
        <f t="shared" si="169"/>
        <v>0</v>
      </c>
      <c r="M945" s="420">
        <f t="shared" si="170"/>
        <v>12896</v>
      </c>
      <c r="N945" s="445">
        <f t="shared" si="178"/>
        <v>4583.88</v>
      </c>
      <c r="O945" s="719"/>
      <c r="P945" s="719">
        <f t="shared" si="177"/>
        <v>21219.72</v>
      </c>
      <c r="Q945" s="423">
        <f>SUMIF('8.Dgia'!E:E,'9.may'!E945,'8.Dgia'!P:P)</f>
        <v>0</v>
      </c>
      <c r="R945" s="429">
        <f t="shared" si="171"/>
        <v>0</v>
      </c>
      <c r="S945" s="301">
        <f t="shared" si="172"/>
        <v>0</v>
      </c>
      <c r="T945" s="430">
        <f t="shared" si="173"/>
        <v>17479.88</v>
      </c>
      <c r="U945" s="431">
        <v>6895</v>
      </c>
      <c r="V945" s="431"/>
      <c r="W945" s="432">
        <v>12896</v>
      </c>
      <c r="Y945" s="433">
        <f t="shared" si="174"/>
        <v>-4583.880000000001</v>
      </c>
      <c r="Z945" s="433">
        <f t="shared" si="175"/>
        <v>0</v>
      </c>
      <c r="AC945" s="410">
        <f t="shared" si="176"/>
        <v>0</v>
      </c>
    </row>
    <row r="946" spans="2:29" s="410" customFormat="1" ht="17.25" hidden="1" customHeight="1">
      <c r="B946" s="417" t="str">
        <f>IF(A946&lt;&gt;0,COUNTA(A$19:$A946),"")</f>
        <v/>
      </c>
      <c r="C946" s="428" t="s">
        <v>1911</v>
      </c>
      <c r="D946" s="428"/>
      <c r="E946" s="435"/>
      <c r="F946" s="435"/>
      <c r="G946" s="419"/>
      <c r="H946" s="419">
        <v>0.8</v>
      </c>
      <c r="I946" s="419"/>
      <c r="J946" s="419"/>
      <c r="K946" s="420">
        <v>1</v>
      </c>
      <c r="L946" s="420">
        <f t="shared" si="169"/>
        <v>0</v>
      </c>
      <c r="M946" s="420">
        <f t="shared" si="170"/>
        <v>9382</v>
      </c>
      <c r="N946" s="445">
        <f t="shared" si="178"/>
        <v>509.32000000000005</v>
      </c>
      <c r="O946" s="719"/>
      <c r="P946" s="719">
        <f t="shared" si="177"/>
        <v>12612.1</v>
      </c>
      <c r="Q946" s="423">
        <f>SUMIF('8.Dgia'!E:E,'9.may'!E946,'8.Dgia'!P:P)</f>
        <v>0</v>
      </c>
      <c r="R946" s="429">
        <f t="shared" si="171"/>
        <v>0</v>
      </c>
      <c r="S946" s="301">
        <f t="shared" si="172"/>
        <v>0</v>
      </c>
      <c r="T946" s="430">
        <f t="shared" si="173"/>
        <v>9891.32</v>
      </c>
      <c r="U946" s="431">
        <v>766</v>
      </c>
      <c r="V946" s="431"/>
      <c r="W946" s="432">
        <v>9382</v>
      </c>
      <c r="Y946" s="433">
        <f t="shared" si="174"/>
        <v>-509.31999999999971</v>
      </c>
      <c r="Z946" s="433">
        <f t="shared" si="175"/>
        <v>0</v>
      </c>
      <c r="AC946" s="410">
        <f t="shared" si="176"/>
        <v>0</v>
      </c>
    </row>
    <row r="947" spans="2:29" s="410" customFormat="1" ht="17.25" hidden="1" customHeight="1">
      <c r="B947" s="417" t="str">
        <f>IF(A947&lt;&gt;0,COUNTA(A$19:$A947),"")</f>
        <v/>
      </c>
      <c r="C947" s="428" t="s">
        <v>1912</v>
      </c>
      <c r="D947" s="428"/>
      <c r="E947" s="435"/>
      <c r="F947" s="435"/>
      <c r="G947" s="419"/>
      <c r="H947" s="419"/>
      <c r="I947" s="419"/>
      <c r="J947" s="419"/>
      <c r="K947" s="420">
        <v>1</v>
      </c>
      <c r="L947" s="420">
        <f t="shared" si="169"/>
        <v>0</v>
      </c>
      <c r="M947" s="420">
        <f t="shared" si="170"/>
        <v>138528</v>
      </c>
      <c r="N947" s="445">
        <f t="shared" si="178"/>
        <v>0</v>
      </c>
      <c r="O947" s="719"/>
      <c r="P947" s="719">
        <f t="shared" si="177"/>
        <v>178701.12</v>
      </c>
      <c r="Q947" s="423">
        <f>SUMIF('8.Dgia'!E:E,'9.may'!E947,'8.Dgia'!P:P)</f>
        <v>0</v>
      </c>
      <c r="R947" s="429">
        <f t="shared" si="171"/>
        <v>0</v>
      </c>
      <c r="S947" s="301">
        <f t="shared" si="172"/>
        <v>0</v>
      </c>
      <c r="T947" s="430">
        <f t="shared" si="173"/>
        <v>138528</v>
      </c>
      <c r="U947" s="431"/>
      <c r="V947" s="431"/>
      <c r="W947" s="432">
        <v>138528</v>
      </c>
      <c r="Y947" s="433">
        <f t="shared" si="174"/>
        <v>0</v>
      </c>
      <c r="Z947" s="433">
        <f t="shared" si="175"/>
        <v>0</v>
      </c>
      <c r="AC947" s="410">
        <f t="shared" si="176"/>
        <v>0</v>
      </c>
    </row>
    <row r="948" spans="2:29" s="410" customFormat="1" ht="17.25" hidden="1" customHeight="1">
      <c r="B948" s="417" t="str">
        <f>IF(A948&lt;&gt;0,COUNTA(A$19:$A948),"")</f>
        <v/>
      </c>
      <c r="C948" s="428" t="s">
        <v>1913</v>
      </c>
      <c r="D948" s="428"/>
      <c r="E948" s="435"/>
      <c r="F948" s="435"/>
      <c r="G948" s="419"/>
      <c r="H948" s="419">
        <v>4.0999999999999996</v>
      </c>
      <c r="I948" s="419"/>
      <c r="J948" s="419"/>
      <c r="K948" s="420">
        <v>1</v>
      </c>
      <c r="L948" s="420">
        <f t="shared" si="169"/>
        <v>0</v>
      </c>
      <c r="M948" s="420">
        <f t="shared" si="170"/>
        <v>56396</v>
      </c>
      <c r="N948" s="445">
        <f t="shared" si="178"/>
        <v>2610.2650000000003</v>
      </c>
      <c r="O948" s="719"/>
      <c r="P948" s="719">
        <f t="shared" si="177"/>
        <v>75361.104999999996</v>
      </c>
      <c r="Q948" s="423">
        <f>SUMIF('8.Dgia'!E:E,'9.may'!E948,'8.Dgia'!P:P)</f>
        <v>0</v>
      </c>
      <c r="R948" s="429">
        <f t="shared" si="171"/>
        <v>0</v>
      </c>
      <c r="S948" s="301">
        <f t="shared" si="172"/>
        <v>0</v>
      </c>
      <c r="T948" s="430">
        <f t="shared" si="173"/>
        <v>59006.264999999999</v>
      </c>
      <c r="U948" s="431">
        <v>3926</v>
      </c>
      <c r="V948" s="431"/>
      <c r="W948" s="432">
        <v>56396</v>
      </c>
      <c r="Y948" s="433">
        <f t="shared" si="174"/>
        <v>-2610.2649999999994</v>
      </c>
      <c r="Z948" s="433">
        <f t="shared" si="175"/>
        <v>0</v>
      </c>
      <c r="AC948" s="410">
        <f t="shared" si="176"/>
        <v>0</v>
      </c>
    </row>
    <row r="949" spans="2:29" s="410" customFormat="1" ht="17.25" hidden="1" customHeight="1">
      <c r="B949" s="417" t="str">
        <f>IF(A949&lt;&gt;0,COUNTA(A$19:$A949),"")</f>
        <v/>
      </c>
      <c r="C949" s="428" t="s">
        <v>1914</v>
      </c>
      <c r="D949" s="428"/>
      <c r="E949" s="435"/>
      <c r="F949" s="435"/>
      <c r="G949" s="419"/>
      <c r="H949" s="419"/>
      <c r="I949" s="419"/>
      <c r="J949" s="419"/>
      <c r="K949" s="420">
        <v>1</v>
      </c>
      <c r="L949" s="420">
        <f t="shared" si="169"/>
        <v>0</v>
      </c>
      <c r="M949" s="420">
        <f t="shared" si="170"/>
        <v>6020</v>
      </c>
      <c r="N949" s="445">
        <f t="shared" si="178"/>
        <v>0</v>
      </c>
      <c r="O949" s="719"/>
      <c r="P949" s="719">
        <f t="shared" si="177"/>
        <v>7765.8</v>
      </c>
      <c r="Q949" s="423">
        <f>SUMIF('8.Dgia'!E:E,'9.may'!E949,'8.Dgia'!P:P)</f>
        <v>0</v>
      </c>
      <c r="R949" s="429">
        <f t="shared" si="171"/>
        <v>0</v>
      </c>
      <c r="S949" s="301">
        <f t="shared" si="172"/>
        <v>0</v>
      </c>
      <c r="T949" s="430">
        <f t="shared" si="173"/>
        <v>6020</v>
      </c>
      <c r="U949" s="431"/>
      <c r="V949" s="431"/>
      <c r="W949" s="432">
        <v>6020</v>
      </c>
      <c r="Y949" s="433">
        <f t="shared" si="174"/>
        <v>0</v>
      </c>
      <c r="Z949" s="433">
        <f t="shared" si="175"/>
        <v>0</v>
      </c>
      <c r="AC949" s="410">
        <f t="shared" si="176"/>
        <v>0</v>
      </c>
    </row>
    <row r="950" spans="2:29" s="410" customFormat="1" ht="17.25" hidden="1" customHeight="1">
      <c r="B950" s="417" t="str">
        <f>IF(A950&lt;&gt;0,COUNTA(A$19:$A950),"")</f>
        <v/>
      </c>
      <c r="C950" s="428" t="s">
        <v>1915</v>
      </c>
      <c r="D950" s="428"/>
      <c r="E950" s="435"/>
      <c r="F950" s="435"/>
      <c r="G950" s="419"/>
      <c r="H950" s="419"/>
      <c r="I950" s="419"/>
      <c r="J950" s="419"/>
      <c r="K950" s="420">
        <v>1</v>
      </c>
      <c r="L950" s="420">
        <f t="shared" si="169"/>
        <v>0</v>
      </c>
      <c r="M950" s="420">
        <f t="shared" si="170"/>
        <v>5590</v>
      </c>
      <c r="N950" s="445">
        <f t="shared" si="178"/>
        <v>0</v>
      </c>
      <c r="O950" s="719"/>
      <c r="P950" s="719">
        <f t="shared" si="177"/>
        <v>7211.1</v>
      </c>
      <c r="Q950" s="423">
        <f>SUMIF('8.Dgia'!E:E,'9.may'!E950,'8.Dgia'!P:P)</f>
        <v>0</v>
      </c>
      <c r="R950" s="429">
        <f t="shared" si="171"/>
        <v>0</v>
      </c>
      <c r="S950" s="301">
        <f t="shared" si="172"/>
        <v>0</v>
      </c>
      <c r="T950" s="430">
        <f t="shared" si="173"/>
        <v>5590</v>
      </c>
      <c r="U950" s="431"/>
      <c r="V950" s="431"/>
      <c r="W950" s="432">
        <v>5590</v>
      </c>
      <c r="Y950" s="433">
        <f t="shared" si="174"/>
        <v>0</v>
      </c>
      <c r="Z950" s="433">
        <f t="shared" si="175"/>
        <v>0</v>
      </c>
      <c r="AC950" s="410">
        <f t="shared" si="176"/>
        <v>0</v>
      </c>
    </row>
    <row r="951" spans="2:29" s="410" customFormat="1" ht="17.25" hidden="1" customHeight="1">
      <c r="B951" s="417" t="str">
        <f>IF(A951&lt;&gt;0,COUNTA(A$19:$A951),"")</f>
        <v/>
      </c>
      <c r="C951" s="428" t="s">
        <v>1916</v>
      </c>
      <c r="D951" s="428"/>
      <c r="E951" s="435"/>
      <c r="F951" s="435"/>
      <c r="G951" s="419"/>
      <c r="H951" s="419"/>
      <c r="I951" s="419"/>
      <c r="J951" s="419"/>
      <c r="K951" s="420">
        <v>1</v>
      </c>
      <c r="L951" s="420">
        <f t="shared" si="169"/>
        <v>0</v>
      </c>
      <c r="M951" s="420">
        <f t="shared" si="170"/>
        <v>14560</v>
      </c>
      <c r="N951" s="445">
        <f t="shared" ref="N951:N982" si="179">SUMPRODUCT(G951:J951,$G$12:$J$12,$G$9:$J$9)</f>
        <v>0</v>
      </c>
      <c r="O951" s="719"/>
      <c r="P951" s="719">
        <f t="shared" si="177"/>
        <v>18782.400000000001</v>
      </c>
      <c r="Q951" s="423">
        <f>SUMIF('8.Dgia'!E:E,'9.may'!E951,'8.Dgia'!P:P)</f>
        <v>0</v>
      </c>
      <c r="R951" s="429">
        <f t="shared" si="171"/>
        <v>0</v>
      </c>
      <c r="S951" s="301">
        <f t="shared" si="172"/>
        <v>0</v>
      </c>
      <c r="T951" s="430">
        <f t="shared" si="173"/>
        <v>14560</v>
      </c>
      <c r="U951" s="431"/>
      <c r="V951" s="431"/>
      <c r="W951" s="432">
        <v>14560</v>
      </c>
      <c r="Y951" s="433">
        <f t="shared" si="174"/>
        <v>0</v>
      </c>
      <c r="Z951" s="433">
        <f t="shared" si="175"/>
        <v>0</v>
      </c>
      <c r="AC951" s="410">
        <f t="shared" si="176"/>
        <v>0</v>
      </c>
    </row>
    <row r="952" spans="2:29" s="410" customFormat="1" ht="17.25" hidden="1" customHeight="1">
      <c r="B952" s="417" t="str">
        <f>IF(A952&lt;&gt;0,COUNTA(A$19:$A952),"")</f>
        <v/>
      </c>
      <c r="C952" s="428" t="s">
        <v>1917</v>
      </c>
      <c r="D952" s="428"/>
      <c r="E952" s="435"/>
      <c r="F952" s="435"/>
      <c r="G952" s="419"/>
      <c r="H952" s="419"/>
      <c r="I952" s="419"/>
      <c r="J952" s="419"/>
      <c r="K952" s="420">
        <v>1</v>
      </c>
      <c r="L952" s="420">
        <f t="shared" si="169"/>
        <v>0</v>
      </c>
      <c r="M952" s="420">
        <f t="shared" si="170"/>
        <v>24856</v>
      </c>
      <c r="N952" s="445">
        <f t="shared" si="179"/>
        <v>0</v>
      </c>
      <c r="O952" s="719"/>
      <c r="P952" s="719">
        <f t="shared" si="177"/>
        <v>32064.240000000002</v>
      </c>
      <c r="Q952" s="423">
        <f>SUMIF('8.Dgia'!E:E,'9.may'!E952,'8.Dgia'!P:P)</f>
        <v>0</v>
      </c>
      <c r="R952" s="429">
        <f t="shared" si="171"/>
        <v>0</v>
      </c>
      <c r="S952" s="301">
        <f t="shared" si="172"/>
        <v>0</v>
      </c>
      <c r="T952" s="430">
        <f t="shared" si="173"/>
        <v>24856</v>
      </c>
      <c r="U952" s="431"/>
      <c r="V952" s="431"/>
      <c r="W952" s="432">
        <v>24856</v>
      </c>
      <c r="Y952" s="433">
        <f t="shared" si="174"/>
        <v>0</v>
      </c>
      <c r="Z952" s="433">
        <f t="shared" si="175"/>
        <v>0</v>
      </c>
      <c r="AC952" s="410">
        <f t="shared" si="176"/>
        <v>0</v>
      </c>
    </row>
    <row r="953" spans="2:29" s="410" customFormat="1" ht="17.25" hidden="1" customHeight="1">
      <c r="B953" s="417" t="str">
        <f>IF(A953&lt;&gt;0,COUNTA(A$19:$A953),"")</f>
        <v/>
      </c>
      <c r="C953" s="428" t="s">
        <v>1918</v>
      </c>
      <c r="D953" s="428"/>
      <c r="E953" s="435"/>
      <c r="F953" s="435"/>
      <c r="G953" s="419"/>
      <c r="H953" s="419"/>
      <c r="I953" s="419"/>
      <c r="J953" s="419"/>
      <c r="K953" s="420">
        <v>1</v>
      </c>
      <c r="L953" s="420">
        <f t="shared" si="169"/>
        <v>0</v>
      </c>
      <c r="M953" s="420">
        <f t="shared" si="170"/>
        <v>33280</v>
      </c>
      <c r="N953" s="445">
        <f t="shared" si="179"/>
        <v>0</v>
      </c>
      <c r="O953" s="719"/>
      <c r="P953" s="719">
        <f t="shared" si="177"/>
        <v>42931.200000000004</v>
      </c>
      <c r="Q953" s="423">
        <f>SUMIF('8.Dgia'!E:E,'9.may'!E953,'8.Dgia'!P:P)</f>
        <v>0</v>
      </c>
      <c r="R953" s="429">
        <f t="shared" si="171"/>
        <v>0</v>
      </c>
      <c r="S953" s="301">
        <f t="shared" si="172"/>
        <v>0</v>
      </c>
      <c r="T953" s="430">
        <f t="shared" si="173"/>
        <v>33280</v>
      </c>
      <c r="U953" s="431"/>
      <c r="V953" s="431"/>
      <c r="W953" s="432">
        <v>33280</v>
      </c>
      <c r="Y953" s="433">
        <f t="shared" si="174"/>
        <v>0</v>
      </c>
      <c r="Z953" s="433">
        <f t="shared" si="175"/>
        <v>0</v>
      </c>
      <c r="AC953" s="410">
        <f t="shared" si="176"/>
        <v>0</v>
      </c>
    </row>
    <row r="954" spans="2:29" s="410" customFormat="1" ht="17.25" hidden="1" customHeight="1">
      <c r="B954" s="417" t="str">
        <f>IF(A954&lt;&gt;0,COUNTA(A$19:$A954),"")</f>
        <v/>
      </c>
      <c r="C954" s="428" t="s">
        <v>1919</v>
      </c>
      <c r="D954" s="428"/>
      <c r="E954" s="435"/>
      <c r="F954" s="435"/>
      <c r="G954" s="419"/>
      <c r="H954" s="419"/>
      <c r="I954" s="419"/>
      <c r="J954" s="419"/>
      <c r="K954" s="420">
        <v>1</v>
      </c>
      <c r="L954" s="420">
        <f t="shared" si="169"/>
        <v>0</v>
      </c>
      <c r="M954" s="420">
        <f t="shared" si="170"/>
        <v>36400</v>
      </c>
      <c r="N954" s="445">
        <f t="shared" si="179"/>
        <v>0</v>
      </c>
      <c r="O954" s="719"/>
      <c r="P954" s="719">
        <f t="shared" si="177"/>
        <v>46956</v>
      </c>
      <c r="Q954" s="423">
        <f>SUMIF('8.Dgia'!E:E,'9.may'!E954,'8.Dgia'!P:P)</f>
        <v>0</v>
      </c>
      <c r="R954" s="429">
        <f t="shared" si="171"/>
        <v>0</v>
      </c>
      <c r="S954" s="301">
        <f t="shared" si="172"/>
        <v>0</v>
      </c>
      <c r="T954" s="430">
        <f t="shared" si="173"/>
        <v>36400</v>
      </c>
      <c r="U954" s="431"/>
      <c r="V954" s="431"/>
      <c r="W954" s="432">
        <v>36400</v>
      </c>
      <c r="Y954" s="433">
        <f t="shared" si="174"/>
        <v>0</v>
      </c>
      <c r="Z954" s="433">
        <f t="shared" si="175"/>
        <v>0</v>
      </c>
      <c r="AC954" s="410">
        <f t="shared" si="176"/>
        <v>0</v>
      </c>
    </row>
    <row r="955" spans="2:29" s="410" customFormat="1" ht="17.25" hidden="1" customHeight="1">
      <c r="B955" s="417" t="str">
        <f>IF(A955&lt;&gt;0,COUNTA(A$19:$A955),"")</f>
        <v/>
      </c>
      <c r="C955" s="428" t="s">
        <v>1920</v>
      </c>
      <c r="D955" s="428"/>
      <c r="E955" s="435"/>
      <c r="F955" s="435"/>
      <c r="G955" s="419"/>
      <c r="H955" s="419"/>
      <c r="I955" s="419"/>
      <c r="J955" s="419"/>
      <c r="K955" s="420">
        <v>1</v>
      </c>
      <c r="L955" s="420">
        <f t="shared" si="169"/>
        <v>0</v>
      </c>
      <c r="M955" s="420">
        <f t="shared" si="170"/>
        <v>20176</v>
      </c>
      <c r="N955" s="445">
        <f t="shared" si="179"/>
        <v>0</v>
      </c>
      <c r="O955" s="719"/>
      <c r="P955" s="719">
        <f t="shared" si="177"/>
        <v>26027.040000000001</v>
      </c>
      <c r="Q955" s="423">
        <f>SUMIF('8.Dgia'!E:E,'9.may'!E955,'8.Dgia'!P:P)</f>
        <v>0</v>
      </c>
      <c r="R955" s="429">
        <f t="shared" si="171"/>
        <v>0</v>
      </c>
      <c r="S955" s="301">
        <f t="shared" si="172"/>
        <v>0</v>
      </c>
      <c r="T955" s="430">
        <f t="shared" si="173"/>
        <v>20176</v>
      </c>
      <c r="U955" s="431"/>
      <c r="V955" s="431"/>
      <c r="W955" s="432">
        <v>20176</v>
      </c>
      <c r="Y955" s="433">
        <f t="shared" si="174"/>
        <v>0</v>
      </c>
      <c r="Z955" s="433">
        <f t="shared" si="175"/>
        <v>0</v>
      </c>
      <c r="AC955" s="410">
        <f t="shared" si="176"/>
        <v>0</v>
      </c>
    </row>
    <row r="956" spans="2:29" s="410" customFormat="1" ht="17.25" hidden="1" customHeight="1">
      <c r="B956" s="417" t="str">
        <f>IF(A956&lt;&gt;0,COUNTA(A$19:$A956),"")</f>
        <v/>
      </c>
      <c r="C956" s="428" t="s">
        <v>1921</v>
      </c>
      <c r="D956" s="428"/>
      <c r="E956" s="435"/>
      <c r="F956" s="435"/>
      <c r="G956" s="419"/>
      <c r="H956" s="419"/>
      <c r="I956" s="419"/>
      <c r="J956" s="419"/>
      <c r="K956" s="420">
        <v>1</v>
      </c>
      <c r="L956" s="420">
        <f t="shared" si="169"/>
        <v>0</v>
      </c>
      <c r="M956" s="420">
        <f t="shared" si="170"/>
        <v>126282</v>
      </c>
      <c r="N956" s="445">
        <f t="shared" si="179"/>
        <v>0</v>
      </c>
      <c r="O956" s="719"/>
      <c r="P956" s="719">
        <f t="shared" si="177"/>
        <v>162903.78</v>
      </c>
      <c r="Q956" s="423">
        <f>SUMIF('8.Dgia'!E:E,'9.may'!E956,'8.Dgia'!P:P)</f>
        <v>0</v>
      </c>
      <c r="R956" s="429">
        <f t="shared" si="171"/>
        <v>0</v>
      </c>
      <c r="S956" s="301">
        <f t="shared" si="172"/>
        <v>0</v>
      </c>
      <c r="T956" s="430">
        <f t="shared" si="173"/>
        <v>126282</v>
      </c>
      <c r="U956" s="431"/>
      <c r="V956" s="431"/>
      <c r="W956" s="432">
        <v>126282</v>
      </c>
      <c r="Y956" s="433">
        <f t="shared" si="174"/>
        <v>0</v>
      </c>
      <c r="Z956" s="433">
        <f t="shared" si="175"/>
        <v>0</v>
      </c>
      <c r="AC956" s="410">
        <f t="shared" si="176"/>
        <v>0</v>
      </c>
    </row>
    <row r="957" spans="2:29" s="427" customFormat="1" ht="17.25" hidden="1" customHeight="1">
      <c r="B957" s="417" t="str">
        <f>IF(A957&lt;&gt;0,COUNTA(A$19:$A957),"")</f>
        <v/>
      </c>
      <c r="C957" s="428" t="s">
        <v>1922</v>
      </c>
      <c r="D957" s="428"/>
      <c r="E957" s="435"/>
      <c r="F957" s="435"/>
      <c r="G957" s="419"/>
      <c r="H957" s="419"/>
      <c r="I957" s="419"/>
      <c r="J957" s="419"/>
      <c r="K957" s="420">
        <v>1</v>
      </c>
      <c r="L957" s="420">
        <f t="shared" si="169"/>
        <v>0</v>
      </c>
      <c r="M957" s="420">
        <f t="shared" si="170"/>
        <v>26000</v>
      </c>
      <c r="N957" s="445">
        <f t="shared" si="179"/>
        <v>0</v>
      </c>
      <c r="O957" s="719"/>
      <c r="P957" s="719">
        <f t="shared" si="177"/>
        <v>33540</v>
      </c>
      <c r="Q957" s="423">
        <f>SUMIF('8.Dgia'!E:E,'9.may'!E957,'8.Dgia'!P:P)</f>
        <v>0</v>
      </c>
      <c r="R957" s="429">
        <f t="shared" si="171"/>
        <v>0</v>
      </c>
      <c r="S957" s="301">
        <f t="shared" si="172"/>
        <v>0</v>
      </c>
      <c r="T957" s="430">
        <f t="shared" si="173"/>
        <v>26000</v>
      </c>
      <c r="U957" s="431"/>
      <c r="V957" s="431"/>
      <c r="W957" s="432">
        <v>26000</v>
      </c>
      <c r="Y957" s="433">
        <f t="shared" si="174"/>
        <v>0</v>
      </c>
      <c r="Z957" s="433">
        <f t="shared" si="175"/>
        <v>0</v>
      </c>
      <c r="AC957" s="410">
        <f t="shared" si="176"/>
        <v>0</v>
      </c>
    </row>
    <row r="958" spans="2:29" s="427" customFormat="1" ht="17.25" hidden="1" customHeight="1">
      <c r="B958" s="417" t="str">
        <f>IF(A958&lt;&gt;0,COUNTA(A$19:$A958),"")</f>
        <v/>
      </c>
      <c r="C958" s="428" t="s">
        <v>1923</v>
      </c>
      <c r="D958" s="428"/>
      <c r="E958" s="435"/>
      <c r="F958" s="435"/>
      <c r="G958" s="419"/>
      <c r="H958" s="419"/>
      <c r="I958" s="419"/>
      <c r="J958" s="419"/>
      <c r="K958" s="420">
        <v>1</v>
      </c>
      <c r="L958" s="420">
        <f t="shared" si="169"/>
        <v>0</v>
      </c>
      <c r="M958" s="420">
        <f t="shared" si="170"/>
        <v>4368</v>
      </c>
      <c r="N958" s="445">
        <f t="shared" si="179"/>
        <v>0</v>
      </c>
      <c r="O958" s="719"/>
      <c r="P958" s="719">
        <f t="shared" si="177"/>
        <v>5634.72</v>
      </c>
      <c r="Q958" s="423">
        <f>SUMIF('8.Dgia'!E:E,'9.may'!E958,'8.Dgia'!P:P)</f>
        <v>0</v>
      </c>
      <c r="R958" s="429">
        <f t="shared" si="171"/>
        <v>0</v>
      </c>
      <c r="S958" s="301">
        <f t="shared" si="172"/>
        <v>0</v>
      </c>
      <c r="T958" s="430">
        <f t="shared" si="173"/>
        <v>4368</v>
      </c>
      <c r="U958" s="431"/>
      <c r="V958" s="431"/>
      <c r="W958" s="432">
        <v>4368</v>
      </c>
      <c r="Y958" s="433">
        <f t="shared" si="174"/>
        <v>0</v>
      </c>
      <c r="Z958" s="433">
        <f t="shared" si="175"/>
        <v>0</v>
      </c>
      <c r="AC958" s="410">
        <f t="shared" si="176"/>
        <v>0</v>
      </c>
    </row>
    <row r="959" spans="2:29" s="427" customFormat="1" ht="17.25" hidden="1" customHeight="1">
      <c r="B959" s="417" t="str">
        <f>IF(A959&lt;&gt;0,COUNTA(A$19:$A959),"")</f>
        <v/>
      </c>
      <c r="C959" s="428" t="s">
        <v>1924</v>
      </c>
      <c r="D959" s="428"/>
      <c r="E959" s="435"/>
      <c r="F959" s="435"/>
      <c r="G959" s="419"/>
      <c r="H959" s="419"/>
      <c r="I959" s="419"/>
      <c r="J959" s="419"/>
      <c r="K959" s="420">
        <v>1</v>
      </c>
      <c r="L959" s="420">
        <f t="shared" si="169"/>
        <v>0</v>
      </c>
      <c r="M959" s="420">
        <f t="shared" si="170"/>
        <v>57420</v>
      </c>
      <c r="N959" s="445">
        <f t="shared" si="179"/>
        <v>0</v>
      </c>
      <c r="O959" s="719"/>
      <c r="P959" s="719">
        <f t="shared" si="177"/>
        <v>74071.8</v>
      </c>
      <c r="Q959" s="423">
        <f>SUMIF('8.Dgia'!E:E,'9.may'!E959,'8.Dgia'!P:P)</f>
        <v>0</v>
      </c>
      <c r="R959" s="429">
        <f t="shared" si="171"/>
        <v>0</v>
      </c>
      <c r="S959" s="301">
        <f t="shared" si="172"/>
        <v>0</v>
      </c>
      <c r="T959" s="430">
        <f t="shared" si="173"/>
        <v>57420</v>
      </c>
      <c r="U959" s="431"/>
      <c r="V959" s="431"/>
      <c r="W959" s="432">
        <v>57420</v>
      </c>
      <c r="Y959" s="433">
        <f t="shared" si="174"/>
        <v>0</v>
      </c>
      <c r="Z959" s="433">
        <f t="shared" si="175"/>
        <v>0</v>
      </c>
      <c r="AC959" s="410">
        <f t="shared" si="176"/>
        <v>0</v>
      </c>
    </row>
    <row r="960" spans="2:29" s="427" customFormat="1" ht="17.25" hidden="1" customHeight="1">
      <c r="B960" s="417" t="str">
        <f>IF(A960&lt;&gt;0,COUNTA(A$19:$A960),"")</f>
        <v/>
      </c>
      <c r="C960" s="428" t="s">
        <v>1925</v>
      </c>
      <c r="D960" s="428"/>
      <c r="E960" s="435"/>
      <c r="F960" s="435"/>
      <c r="G960" s="419"/>
      <c r="H960" s="419"/>
      <c r="I960" s="419"/>
      <c r="J960" s="419"/>
      <c r="K960" s="420">
        <v>1</v>
      </c>
      <c r="L960" s="420">
        <f t="shared" si="169"/>
        <v>0</v>
      </c>
      <c r="M960" s="420">
        <f t="shared" si="170"/>
        <v>6448</v>
      </c>
      <c r="N960" s="445">
        <f t="shared" si="179"/>
        <v>0</v>
      </c>
      <c r="O960" s="719"/>
      <c r="P960" s="719">
        <f t="shared" si="177"/>
        <v>8317.92</v>
      </c>
      <c r="Q960" s="423">
        <f>SUMIF('8.Dgia'!E:E,'9.may'!E960,'8.Dgia'!P:P)</f>
        <v>0</v>
      </c>
      <c r="R960" s="429">
        <f t="shared" si="171"/>
        <v>0</v>
      </c>
      <c r="S960" s="301">
        <f t="shared" si="172"/>
        <v>0</v>
      </c>
      <c r="T960" s="430">
        <f t="shared" si="173"/>
        <v>6448</v>
      </c>
      <c r="U960" s="431"/>
      <c r="V960" s="431"/>
      <c r="W960" s="432">
        <v>6448</v>
      </c>
      <c r="Y960" s="433">
        <f t="shared" si="174"/>
        <v>0</v>
      </c>
      <c r="Z960" s="433">
        <f t="shared" si="175"/>
        <v>0</v>
      </c>
      <c r="AC960" s="410">
        <f t="shared" si="176"/>
        <v>0</v>
      </c>
    </row>
    <row r="961" spans="2:29" s="427" customFormat="1" ht="17.25" hidden="1" customHeight="1">
      <c r="B961" s="417" t="str">
        <f>IF(A961&lt;&gt;0,COUNTA(A$19:$A961),"")</f>
        <v/>
      </c>
      <c r="C961" s="428" t="s">
        <v>1926</v>
      </c>
      <c r="D961" s="428"/>
      <c r="E961" s="435"/>
      <c r="F961" s="435"/>
      <c r="G961" s="419"/>
      <c r="H961" s="419"/>
      <c r="I961" s="419"/>
      <c r="J961" s="419"/>
      <c r="K961" s="420">
        <v>1</v>
      </c>
      <c r="L961" s="420">
        <f t="shared" si="169"/>
        <v>0</v>
      </c>
      <c r="M961" s="420">
        <f t="shared" si="170"/>
        <v>5824</v>
      </c>
      <c r="N961" s="445">
        <f t="shared" si="179"/>
        <v>0</v>
      </c>
      <c r="O961" s="719"/>
      <c r="P961" s="719">
        <f t="shared" si="177"/>
        <v>7512.96</v>
      </c>
      <c r="Q961" s="423">
        <f>SUMIF('8.Dgia'!E:E,'9.may'!E961,'8.Dgia'!P:P)</f>
        <v>0</v>
      </c>
      <c r="R961" s="429">
        <f t="shared" si="171"/>
        <v>0</v>
      </c>
      <c r="S961" s="301">
        <f t="shared" si="172"/>
        <v>0</v>
      </c>
      <c r="T961" s="430">
        <f t="shared" si="173"/>
        <v>5824</v>
      </c>
      <c r="U961" s="431"/>
      <c r="V961" s="431"/>
      <c r="W961" s="432">
        <v>5824</v>
      </c>
      <c r="Y961" s="433">
        <f t="shared" si="174"/>
        <v>0</v>
      </c>
      <c r="Z961" s="433">
        <f t="shared" si="175"/>
        <v>0</v>
      </c>
      <c r="AC961" s="410">
        <f t="shared" si="176"/>
        <v>0</v>
      </c>
    </row>
    <row r="962" spans="2:29" s="427" customFormat="1" ht="17.25" hidden="1" customHeight="1">
      <c r="B962" s="417" t="str">
        <f>IF(A962&lt;&gt;0,COUNTA(A$19:$A962),"")</f>
        <v/>
      </c>
      <c r="C962" s="428" t="s">
        <v>1927</v>
      </c>
      <c r="D962" s="428"/>
      <c r="E962" s="435"/>
      <c r="F962" s="435"/>
      <c r="G962" s="419"/>
      <c r="H962" s="419"/>
      <c r="I962" s="419"/>
      <c r="J962" s="419"/>
      <c r="K962" s="420">
        <v>1</v>
      </c>
      <c r="L962" s="420">
        <f t="shared" si="169"/>
        <v>0</v>
      </c>
      <c r="M962" s="420">
        <f t="shared" si="170"/>
        <v>57262</v>
      </c>
      <c r="N962" s="445">
        <f t="shared" si="179"/>
        <v>0</v>
      </c>
      <c r="O962" s="719"/>
      <c r="P962" s="719">
        <f t="shared" si="177"/>
        <v>73867.98</v>
      </c>
      <c r="Q962" s="423">
        <f>SUMIF('8.Dgia'!E:E,'9.may'!E962,'8.Dgia'!P:P)</f>
        <v>0</v>
      </c>
      <c r="R962" s="429">
        <f t="shared" si="171"/>
        <v>0</v>
      </c>
      <c r="S962" s="301">
        <f t="shared" si="172"/>
        <v>0</v>
      </c>
      <c r="T962" s="430">
        <f t="shared" si="173"/>
        <v>57262</v>
      </c>
      <c r="U962" s="431"/>
      <c r="V962" s="431"/>
      <c r="W962" s="432">
        <v>57262</v>
      </c>
      <c r="Y962" s="433">
        <f t="shared" si="174"/>
        <v>0</v>
      </c>
      <c r="Z962" s="433">
        <f t="shared" si="175"/>
        <v>0</v>
      </c>
      <c r="AC962" s="410">
        <f t="shared" si="176"/>
        <v>0</v>
      </c>
    </row>
    <row r="963" spans="2:29" s="427" customFormat="1" ht="17.25" hidden="1" customHeight="1">
      <c r="B963" s="417" t="str">
        <f>IF(A963&lt;&gt;0,COUNTA(A$19:$A963),"")</f>
        <v/>
      </c>
      <c r="C963" s="428" t="s">
        <v>1928</v>
      </c>
      <c r="D963" s="428"/>
      <c r="E963" s="435"/>
      <c r="F963" s="435"/>
      <c r="G963" s="419"/>
      <c r="H963" s="419"/>
      <c r="I963" s="419"/>
      <c r="J963" s="419"/>
      <c r="K963" s="420">
        <v>1</v>
      </c>
      <c r="L963" s="420">
        <f t="shared" si="169"/>
        <v>0</v>
      </c>
      <c r="M963" s="420">
        <f t="shared" si="170"/>
        <v>49104</v>
      </c>
      <c r="N963" s="445">
        <f t="shared" si="179"/>
        <v>0</v>
      </c>
      <c r="O963" s="719"/>
      <c r="P963" s="719">
        <f t="shared" si="177"/>
        <v>63344.160000000003</v>
      </c>
      <c r="Q963" s="423">
        <f>SUMIF('8.Dgia'!E:E,'9.may'!E963,'8.Dgia'!P:P)</f>
        <v>0</v>
      </c>
      <c r="R963" s="429">
        <f t="shared" si="171"/>
        <v>0</v>
      </c>
      <c r="S963" s="301">
        <f t="shared" si="172"/>
        <v>0</v>
      </c>
      <c r="T963" s="430">
        <f t="shared" si="173"/>
        <v>49104</v>
      </c>
      <c r="U963" s="431"/>
      <c r="V963" s="431"/>
      <c r="W963" s="432">
        <v>49104</v>
      </c>
      <c r="Y963" s="433">
        <f t="shared" si="174"/>
        <v>0</v>
      </c>
      <c r="Z963" s="433">
        <f t="shared" si="175"/>
        <v>0</v>
      </c>
      <c r="AC963" s="410">
        <f t="shared" si="176"/>
        <v>0</v>
      </c>
    </row>
    <row r="964" spans="2:29" s="427" customFormat="1" ht="17.25" hidden="1" customHeight="1">
      <c r="B964" s="417" t="str">
        <f>IF(A964&lt;&gt;0,COUNTA(A$19:$A964),"")</f>
        <v/>
      </c>
      <c r="C964" s="428" t="s">
        <v>1929</v>
      </c>
      <c r="D964" s="428"/>
      <c r="E964" s="435"/>
      <c r="F964" s="435"/>
      <c r="G964" s="419"/>
      <c r="H964" s="419"/>
      <c r="I964" s="419"/>
      <c r="J964" s="419"/>
      <c r="K964" s="420">
        <v>1</v>
      </c>
      <c r="L964" s="420">
        <f t="shared" si="169"/>
        <v>0</v>
      </c>
      <c r="M964" s="420">
        <f t="shared" si="170"/>
        <v>11336</v>
      </c>
      <c r="N964" s="445">
        <f t="shared" si="179"/>
        <v>0</v>
      </c>
      <c r="O964" s="719"/>
      <c r="P964" s="719">
        <f t="shared" si="177"/>
        <v>14623.44</v>
      </c>
      <c r="Q964" s="423">
        <f>SUMIF('8.Dgia'!E:E,'9.may'!E964,'8.Dgia'!P:P)</f>
        <v>0</v>
      </c>
      <c r="R964" s="429">
        <f t="shared" si="171"/>
        <v>0</v>
      </c>
      <c r="S964" s="301">
        <f t="shared" si="172"/>
        <v>0</v>
      </c>
      <c r="T964" s="430">
        <f t="shared" si="173"/>
        <v>11336</v>
      </c>
      <c r="U964" s="431"/>
      <c r="V964" s="431"/>
      <c r="W964" s="432">
        <v>11336</v>
      </c>
      <c r="Y964" s="433">
        <f t="shared" si="174"/>
        <v>0</v>
      </c>
      <c r="Z964" s="433">
        <f t="shared" si="175"/>
        <v>0</v>
      </c>
      <c r="AC964" s="410">
        <f t="shared" si="176"/>
        <v>0</v>
      </c>
    </row>
    <row r="965" spans="2:29" s="427" customFormat="1" ht="17.25" hidden="1" customHeight="1">
      <c r="B965" s="417" t="str">
        <f>IF(A965&lt;&gt;0,COUNTA(A$19:$A965),"")</f>
        <v/>
      </c>
      <c r="C965" s="428" t="s">
        <v>1930</v>
      </c>
      <c r="D965" s="428"/>
      <c r="E965" s="435"/>
      <c r="F965" s="435"/>
      <c r="G965" s="419"/>
      <c r="H965" s="419"/>
      <c r="I965" s="419"/>
      <c r="J965" s="419"/>
      <c r="K965" s="420">
        <v>1</v>
      </c>
      <c r="L965" s="420">
        <f t="shared" si="169"/>
        <v>0</v>
      </c>
      <c r="M965" s="420">
        <f t="shared" si="170"/>
        <v>70122</v>
      </c>
      <c r="N965" s="445">
        <f t="shared" si="179"/>
        <v>0</v>
      </c>
      <c r="O965" s="719"/>
      <c r="P965" s="719">
        <f t="shared" si="177"/>
        <v>90457.38</v>
      </c>
      <c r="Q965" s="423">
        <f>SUMIF('8.Dgia'!E:E,'9.may'!E965,'8.Dgia'!P:P)</f>
        <v>0</v>
      </c>
      <c r="R965" s="429">
        <f t="shared" si="171"/>
        <v>0</v>
      </c>
      <c r="S965" s="301">
        <f t="shared" si="172"/>
        <v>0</v>
      </c>
      <c r="T965" s="430">
        <f t="shared" si="173"/>
        <v>70122</v>
      </c>
      <c r="U965" s="431"/>
      <c r="V965" s="431"/>
      <c r="W965" s="432">
        <v>70122</v>
      </c>
      <c r="Y965" s="433">
        <f t="shared" si="174"/>
        <v>0</v>
      </c>
      <c r="Z965" s="433">
        <f t="shared" si="175"/>
        <v>0</v>
      </c>
      <c r="AC965" s="410">
        <f t="shared" si="176"/>
        <v>0</v>
      </c>
    </row>
    <row r="966" spans="2:29" s="427" customFormat="1" ht="17.25" hidden="1" customHeight="1">
      <c r="B966" s="417" t="str">
        <f>IF(A966&lt;&gt;0,COUNTA(A$19:$A966),"")</f>
        <v/>
      </c>
      <c r="C966" s="428" t="s">
        <v>1931</v>
      </c>
      <c r="D966" s="428"/>
      <c r="E966" s="435"/>
      <c r="F966" s="435"/>
      <c r="G966" s="419"/>
      <c r="H966" s="419"/>
      <c r="I966" s="419"/>
      <c r="J966" s="419"/>
      <c r="K966" s="420">
        <v>1</v>
      </c>
      <c r="L966" s="420">
        <f t="shared" si="169"/>
        <v>0</v>
      </c>
      <c r="M966" s="420">
        <f t="shared" si="170"/>
        <v>100437</v>
      </c>
      <c r="N966" s="445">
        <f t="shared" si="179"/>
        <v>0</v>
      </c>
      <c r="O966" s="719"/>
      <c r="P966" s="719">
        <f t="shared" si="177"/>
        <v>129563.73000000001</v>
      </c>
      <c r="Q966" s="423">
        <f>SUMIF('8.Dgia'!E:E,'9.may'!E966,'8.Dgia'!P:P)</f>
        <v>0</v>
      </c>
      <c r="R966" s="429">
        <f t="shared" si="171"/>
        <v>0</v>
      </c>
      <c r="S966" s="301">
        <f t="shared" si="172"/>
        <v>0</v>
      </c>
      <c r="T966" s="430">
        <f t="shared" si="173"/>
        <v>100437</v>
      </c>
      <c r="U966" s="431"/>
      <c r="V966" s="431"/>
      <c r="W966" s="432">
        <v>100437</v>
      </c>
      <c r="Y966" s="433">
        <f t="shared" si="174"/>
        <v>0</v>
      </c>
      <c r="Z966" s="433">
        <f t="shared" si="175"/>
        <v>0</v>
      </c>
      <c r="AC966" s="410">
        <f t="shared" si="176"/>
        <v>0</v>
      </c>
    </row>
    <row r="967" spans="2:29" s="427" customFormat="1" ht="17.25" hidden="1" customHeight="1">
      <c r="B967" s="417" t="str">
        <f>IF(A967&lt;&gt;0,COUNTA(A$19:$A967),"")</f>
        <v/>
      </c>
      <c r="C967" s="428" t="s">
        <v>1932</v>
      </c>
      <c r="D967" s="428"/>
      <c r="E967" s="435"/>
      <c r="F967" s="435"/>
      <c r="G967" s="419"/>
      <c r="H967" s="419"/>
      <c r="I967" s="419"/>
      <c r="J967" s="419"/>
      <c r="K967" s="420">
        <v>1</v>
      </c>
      <c r="L967" s="420">
        <f t="shared" si="169"/>
        <v>0</v>
      </c>
      <c r="M967" s="420">
        <f t="shared" si="170"/>
        <v>6739</v>
      </c>
      <c r="N967" s="445">
        <f t="shared" si="179"/>
        <v>0</v>
      </c>
      <c r="O967" s="719"/>
      <c r="P967" s="719">
        <f t="shared" si="177"/>
        <v>8693.31</v>
      </c>
      <c r="Q967" s="423">
        <f>SUMIF('8.Dgia'!E:E,'9.may'!E967,'8.Dgia'!P:P)</f>
        <v>0</v>
      </c>
      <c r="R967" s="429">
        <f t="shared" si="171"/>
        <v>0</v>
      </c>
      <c r="S967" s="301">
        <f t="shared" si="172"/>
        <v>0</v>
      </c>
      <c r="T967" s="430">
        <f t="shared" si="173"/>
        <v>6739</v>
      </c>
      <c r="U967" s="431"/>
      <c r="V967" s="431"/>
      <c r="W967" s="432">
        <v>6739</v>
      </c>
      <c r="Y967" s="433">
        <f t="shared" si="174"/>
        <v>0</v>
      </c>
      <c r="Z967" s="433">
        <f t="shared" si="175"/>
        <v>0</v>
      </c>
      <c r="AC967" s="410">
        <f t="shared" si="176"/>
        <v>0</v>
      </c>
    </row>
    <row r="968" spans="2:29" s="427" customFormat="1" ht="17.25" hidden="1" customHeight="1">
      <c r="B968" s="417" t="str">
        <f>IF(A968&lt;&gt;0,COUNTA(A$19:$A968),"")</f>
        <v/>
      </c>
      <c r="C968" s="428" t="s">
        <v>1933</v>
      </c>
      <c r="D968" s="428"/>
      <c r="E968" s="435"/>
      <c r="F968" s="435"/>
      <c r="G968" s="419"/>
      <c r="H968" s="419"/>
      <c r="I968" s="419"/>
      <c r="J968" s="419"/>
      <c r="K968" s="420">
        <v>1</v>
      </c>
      <c r="L968" s="420">
        <f t="shared" si="169"/>
        <v>0</v>
      </c>
      <c r="M968" s="420">
        <f t="shared" si="170"/>
        <v>52272</v>
      </c>
      <c r="N968" s="445">
        <f t="shared" si="179"/>
        <v>0</v>
      </c>
      <c r="O968" s="719"/>
      <c r="P968" s="719">
        <f t="shared" si="177"/>
        <v>67430.880000000005</v>
      </c>
      <c r="Q968" s="423">
        <f>SUMIF('8.Dgia'!E:E,'9.may'!E968,'8.Dgia'!P:P)</f>
        <v>0</v>
      </c>
      <c r="R968" s="429">
        <f t="shared" si="171"/>
        <v>0</v>
      </c>
      <c r="S968" s="301">
        <f t="shared" si="172"/>
        <v>0</v>
      </c>
      <c r="T968" s="430">
        <f t="shared" si="173"/>
        <v>52272</v>
      </c>
      <c r="U968" s="431"/>
      <c r="V968" s="431"/>
      <c r="W968" s="432">
        <v>52272</v>
      </c>
      <c r="Y968" s="433">
        <f t="shared" si="174"/>
        <v>0</v>
      </c>
      <c r="Z968" s="433">
        <f t="shared" si="175"/>
        <v>0</v>
      </c>
      <c r="AC968" s="410">
        <f t="shared" si="176"/>
        <v>0</v>
      </c>
    </row>
    <row r="969" spans="2:29" s="427" customFormat="1" ht="17.25" hidden="1" customHeight="1">
      <c r="B969" s="417" t="str">
        <f>IF(A969&lt;&gt;0,COUNTA(A$19:$A969),"")</f>
        <v/>
      </c>
      <c r="C969" s="428" t="s">
        <v>1934</v>
      </c>
      <c r="D969" s="428"/>
      <c r="E969" s="435"/>
      <c r="F969" s="435"/>
      <c r="G969" s="419"/>
      <c r="H969" s="419"/>
      <c r="I969" s="419"/>
      <c r="J969" s="419"/>
      <c r="K969" s="420">
        <v>1</v>
      </c>
      <c r="L969" s="420">
        <f t="shared" si="169"/>
        <v>0</v>
      </c>
      <c r="M969" s="420">
        <f t="shared" si="170"/>
        <v>9402</v>
      </c>
      <c r="N969" s="445">
        <f t="shared" si="179"/>
        <v>0</v>
      </c>
      <c r="O969" s="719"/>
      <c r="P969" s="719">
        <f t="shared" si="177"/>
        <v>12128.58</v>
      </c>
      <c r="Q969" s="423">
        <f>SUMIF('8.Dgia'!E:E,'9.may'!E969,'8.Dgia'!P:P)</f>
        <v>0</v>
      </c>
      <c r="R969" s="429">
        <f t="shared" si="171"/>
        <v>0</v>
      </c>
      <c r="S969" s="301">
        <f t="shared" si="172"/>
        <v>0</v>
      </c>
      <c r="T969" s="430">
        <f t="shared" si="173"/>
        <v>9402</v>
      </c>
      <c r="U969" s="431"/>
      <c r="V969" s="431"/>
      <c r="W969" s="432">
        <v>9402</v>
      </c>
      <c r="Y969" s="433">
        <f t="shared" si="174"/>
        <v>0</v>
      </c>
      <c r="Z969" s="433">
        <f t="shared" si="175"/>
        <v>0</v>
      </c>
      <c r="AC969" s="410">
        <f t="shared" si="176"/>
        <v>0</v>
      </c>
    </row>
    <row r="970" spans="2:29" s="427" customFormat="1" ht="17.25" hidden="1" customHeight="1">
      <c r="B970" s="417" t="str">
        <f>IF(A970&lt;&gt;0,COUNTA(A$19:$A970),"")</f>
        <v/>
      </c>
      <c r="C970" s="428" t="s">
        <v>1935</v>
      </c>
      <c r="D970" s="428"/>
      <c r="E970" s="435"/>
      <c r="F970" s="435"/>
      <c r="G970" s="419"/>
      <c r="H970" s="419"/>
      <c r="I970" s="419"/>
      <c r="J970" s="419"/>
      <c r="K970" s="420">
        <v>1</v>
      </c>
      <c r="L970" s="420">
        <f t="shared" si="169"/>
        <v>0</v>
      </c>
      <c r="M970" s="420">
        <f t="shared" si="170"/>
        <v>32314</v>
      </c>
      <c r="N970" s="445">
        <f t="shared" si="179"/>
        <v>0</v>
      </c>
      <c r="O970" s="719"/>
      <c r="P970" s="719">
        <f t="shared" si="177"/>
        <v>41685.06</v>
      </c>
      <c r="Q970" s="423">
        <f>SUMIF('8.Dgia'!E:E,'9.may'!E970,'8.Dgia'!P:P)</f>
        <v>0</v>
      </c>
      <c r="R970" s="429">
        <f t="shared" si="171"/>
        <v>0</v>
      </c>
      <c r="S970" s="301">
        <f t="shared" si="172"/>
        <v>0</v>
      </c>
      <c r="T970" s="430">
        <f t="shared" si="173"/>
        <v>32314</v>
      </c>
      <c r="U970" s="431"/>
      <c r="V970" s="431"/>
      <c r="W970" s="432">
        <v>32314</v>
      </c>
      <c r="Y970" s="433">
        <f t="shared" si="174"/>
        <v>0</v>
      </c>
      <c r="Z970" s="433">
        <f t="shared" si="175"/>
        <v>0</v>
      </c>
      <c r="AC970" s="410">
        <f t="shared" si="176"/>
        <v>0</v>
      </c>
    </row>
    <row r="971" spans="2:29" s="427" customFormat="1" ht="17.25" hidden="1" customHeight="1">
      <c r="B971" s="417" t="str">
        <f>IF(A971&lt;&gt;0,COUNTA(A$19:$A971),"")</f>
        <v/>
      </c>
      <c r="C971" s="428" t="s">
        <v>1936</v>
      </c>
      <c r="D971" s="428"/>
      <c r="E971" s="435"/>
      <c r="F971" s="435"/>
      <c r="G971" s="419"/>
      <c r="H971" s="419"/>
      <c r="I971" s="419"/>
      <c r="J971" s="419"/>
      <c r="K971" s="420">
        <v>1</v>
      </c>
      <c r="L971" s="420">
        <f t="shared" si="169"/>
        <v>0</v>
      </c>
      <c r="M971" s="420">
        <f t="shared" si="170"/>
        <v>17052</v>
      </c>
      <c r="N971" s="445">
        <f t="shared" si="179"/>
        <v>0</v>
      </c>
      <c r="O971" s="719"/>
      <c r="P971" s="719">
        <f t="shared" si="177"/>
        <v>21997.08</v>
      </c>
      <c r="Q971" s="423">
        <f>SUMIF('8.Dgia'!E:E,'9.may'!E971,'8.Dgia'!P:P)</f>
        <v>0</v>
      </c>
      <c r="R971" s="429">
        <f t="shared" si="171"/>
        <v>0</v>
      </c>
      <c r="S971" s="301">
        <f t="shared" si="172"/>
        <v>0</v>
      </c>
      <c r="T971" s="430">
        <f t="shared" si="173"/>
        <v>17052</v>
      </c>
      <c r="U971" s="431"/>
      <c r="V971" s="431"/>
      <c r="W971" s="432">
        <v>17052</v>
      </c>
      <c r="Y971" s="433">
        <f t="shared" si="174"/>
        <v>0</v>
      </c>
      <c r="Z971" s="433">
        <f t="shared" si="175"/>
        <v>0</v>
      </c>
      <c r="AC971" s="410">
        <f t="shared" si="176"/>
        <v>0</v>
      </c>
    </row>
    <row r="972" spans="2:29" s="427" customFormat="1" ht="17.25" hidden="1" customHeight="1">
      <c r="B972" s="417" t="str">
        <f>IF(A972&lt;&gt;0,COUNTA(A$19:$A972),"")</f>
        <v/>
      </c>
      <c r="C972" s="428" t="s">
        <v>1937</v>
      </c>
      <c r="D972" s="428"/>
      <c r="E972" s="435"/>
      <c r="F972" s="435"/>
      <c r="G972" s="419"/>
      <c r="H972" s="419"/>
      <c r="I972" s="419"/>
      <c r="J972" s="419"/>
      <c r="K972" s="420">
        <v>1</v>
      </c>
      <c r="L972" s="420">
        <f t="shared" si="169"/>
        <v>0</v>
      </c>
      <c r="M972" s="420">
        <f t="shared" si="170"/>
        <v>22736</v>
      </c>
      <c r="N972" s="445">
        <f t="shared" si="179"/>
        <v>0</v>
      </c>
      <c r="O972" s="719"/>
      <c r="P972" s="719">
        <f t="shared" si="177"/>
        <v>29329.440000000002</v>
      </c>
      <c r="Q972" s="423">
        <f>SUMIF('8.Dgia'!E:E,'9.may'!E972,'8.Dgia'!P:P)</f>
        <v>0</v>
      </c>
      <c r="R972" s="429">
        <f t="shared" si="171"/>
        <v>0</v>
      </c>
      <c r="S972" s="301">
        <f t="shared" si="172"/>
        <v>0</v>
      </c>
      <c r="T972" s="430">
        <f t="shared" si="173"/>
        <v>22736</v>
      </c>
      <c r="U972" s="431"/>
      <c r="V972" s="431"/>
      <c r="W972" s="432">
        <v>22736</v>
      </c>
      <c r="Y972" s="433">
        <f t="shared" si="174"/>
        <v>0</v>
      </c>
      <c r="Z972" s="433">
        <f t="shared" si="175"/>
        <v>0</v>
      </c>
      <c r="AC972" s="410">
        <f t="shared" si="176"/>
        <v>0</v>
      </c>
    </row>
    <row r="973" spans="2:29" s="427" customFormat="1" ht="17.25" hidden="1" customHeight="1">
      <c r="B973" s="417" t="str">
        <f>IF(A973&lt;&gt;0,COUNTA(A$19:$A973),"")</f>
        <v/>
      </c>
      <c r="C973" s="428" t="s">
        <v>1938</v>
      </c>
      <c r="D973" s="428"/>
      <c r="E973" s="435"/>
      <c r="F973" s="435"/>
      <c r="G973" s="419"/>
      <c r="H973" s="419"/>
      <c r="I973" s="419"/>
      <c r="J973" s="419"/>
      <c r="K973" s="420">
        <v>1</v>
      </c>
      <c r="L973" s="420">
        <f t="shared" si="169"/>
        <v>0</v>
      </c>
      <c r="M973" s="420">
        <f t="shared" si="170"/>
        <v>57024</v>
      </c>
      <c r="N973" s="445">
        <f t="shared" si="179"/>
        <v>0</v>
      </c>
      <c r="O973" s="719"/>
      <c r="P973" s="719">
        <f t="shared" si="177"/>
        <v>73560.960000000006</v>
      </c>
      <c r="Q973" s="423">
        <f>SUMIF('8.Dgia'!E:E,'9.may'!E973,'8.Dgia'!P:P)</f>
        <v>0</v>
      </c>
      <c r="R973" s="429">
        <f t="shared" si="171"/>
        <v>0</v>
      </c>
      <c r="S973" s="301">
        <f t="shared" si="172"/>
        <v>0</v>
      </c>
      <c r="T973" s="430">
        <f t="shared" si="173"/>
        <v>57024</v>
      </c>
      <c r="U973" s="431"/>
      <c r="V973" s="431"/>
      <c r="W973" s="432">
        <v>57024</v>
      </c>
      <c r="Y973" s="433">
        <f t="shared" si="174"/>
        <v>0</v>
      </c>
      <c r="Z973" s="433">
        <f t="shared" si="175"/>
        <v>0</v>
      </c>
      <c r="AC973" s="410">
        <f t="shared" si="176"/>
        <v>0</v>
      </c>
    </row>
    <row r="974" spans="2:29" s="427" customFormat="1" ht="17.25" hidden="1" customHeight="1">
      <c r="B974" s="417" t="str">
        <f>IF(A974&lt;&gt;0,COUNTA(A$19:$A974),"")</f>
        <v/>
      </c>
      <c r="C974" s="428" t="s">
        <v>1939</v>
      </c>
      <c r="D974" s="428"/>
      <c r="E974" s="435"/>
      <c r="F974" s="435"/>
      <c r="G974" s="419"/>
      <c r="H974" s="419"/>
      <c r="I974" s="419"/>
      <c r="J974" s="419"/>
      <c r="K974" s="420">
        <v>1</v>
      </c>
      <c r="L974" s="420">
        <f t="shared" si="169"/>
        <v>0</v>
      </c>
      <c r="M974" s="420">
        <f t="shared" si="170"/>
        <v>33264</v>
      </c>
      <c r="N974" s="445">
        <f t="shared" si="179"/>
        <v>0</v>
      </c>
      <c r="O974" s="719"/>
      <c r="P974" s="719">
        <f t="shared" si="177"/>
        <v>42910.559999999998</v>
      </c>
      <c r="Q974" s="423">
        <f>SUMIF('8.Dgia'!E:E,'9.may'!E974,'8.Dgia'!P:P)</f>
        <v>0</v>
      </c>
      <c r="R974" s="429">
        <f t="shared" si="171"/>
        <v>0</v>
      </c>
      <c r="S974" s="301">
        <f t="shared" si="172"/>
        <v>0</v>
      </c>
      <c r="T974" s="430">
        <f t="shared" si="173"/>
        <v>33264</v>
      </c>
      <c r="U974" s="431"/>
      <c r="V974" s="431"/>
      <c r="W974" s="432">
        <v>33264</v>
      </c>
      <c r="Y974" s="433">
        <f t="shared" si="174"/>
        <v>0</v>
      </c>
      <c r="Z974" s="433">
        <f t="shared" si="175"/>
        <v>0</v>
      </c>
      <c r="AC974" s="410">
        <f t="shared" si="176"/>
        <v>0</v>
      </c>
    </row>
    <row r="975" spans="2:29" s="427" customFormat="1" ht="17.25" hidden="1" customHeight="1">
      <c r="B975" s="417" t="str">
        <f>IF(A975&lt;&gt;0,COUNTA(A$19:$A975),"")</f>
        <v/>
      </c>
      <c r="C975" s="428" t="s">
        <v>1940</v>
      </c>
      <c r="D975" s="428"/>
      <c r="E975" s="435"/>
      <c r="F975" s="435"/>
      <c r="G975" s="419"/>
      <c r="H975" s="419"/>
      <c r="I975" s="419"/>
      <c r="J975" s="419"/>
      <c r="K975" s="420">
        <v>1</v>
      </c>
      <c r="L975" s="420">
        <f t="shared" si="169"/>
        <v>0</v>
      </c>
      <c r="M975" s="420">
        <f t="shared" si="170"/>
        <v>4909</v>
      </c>
      <c r="N975" s="445">
        <f t="shared" si="179"/>
        <v>0</v>
      </c>
      <c r="O975" s="719"/>
      <c r="P975" s="719">
        <f t="shared" si="177"/>
        <v>6332.6100000000006</v>
      </c>
      <c r="Q975" s="423">
        <f>SUMIF('8.Dgia'!E:E,'9.may'!E975,'8.Dgia'!P:P)</f>
        <v>0</v>
      </c>
      <c r="R975" s="429">
        <f t="shared" si="171"/>
        <v>0</v>
      </c>
      <c r="S975" s="301">
        <f t="shared" si="172"/>
        <v>0</v>
      </c>
      <c r="T975" s="430">
        <f t="shared" si="173"/>
        <v>4909</v>
      </c>
      <c r="U975" s="431"/>
      <c r="V975" s="431"/>
      <c r="W975" s="432">
        <v>4909</v>
      </c>
      <c r="Y975" s="433">
        <f t="shared" si="174"/>
        <v>0</v>
      </c>
      <c r="Z975" s="433">
        <f t="shared" si="175"/>
        <v>0</v>
      </c>
      <c r="AC975" s="410">
        <f t="shared" si="176"/>
        <v>0</v>
      </c>
    </row>
    <row r="976" spans="2:29" s="427" customFormat="1" ht="17.25" hidden="1" customHeight="1">
      <c r="B976" s="417" t="str">
        <f>IF(A976&lt;&gt;0,COUNTA(A$19:$A976),"")</f>
        <v/>
      </c>
      <c r="C976" s="428" t="s">
        <v>1941</v>
      </c>
      <c r="D976" s="428"/>
      <c r="E976" s="435"/>
      <c r="F976" s="435"/>
      <c r="G976" s="419"/>
      <c r="H976" s="419"/>
      <c r="I976" s="419"/>
      <c r="J976" s="419"/>
      <c r="K976" s="420">
        <v>1</v>
      </c>
      <c r="L976" s="420">
        <f t="shared" si="169"/>
        <v>0</v>
      </c>
      <c r="M976" s="420">
        <f t="shared" si="170"/>
        <v>8154</v>
      </c>
      <c r="N976" s="445">
        <f t="shared" si="179"/>
        <v>0</v>
      </c>
      <c r="O976" s="719"/>
      <c r="P976" s="719">
        <f t="shared" si="177"/>
        <v>10518.66</v>
      </c>
      <c r="Q976" s="423">
        <f>SUMIF('8.Dgia'!E:E,'9.may'!E976,'8.Dgia'!P:P)</f>
        <v>0</v>
      </c>
      <c r="R976" s="429">
        <f t="shared" si="171"/>
        <v>0</v>
      </c>
      <c r="S976" s="301">
        <f t="shared" si="172"/>
        <v>0</v>
      </c>
      <c r="T976" s="430">
        <f t="shared" si="173"/>
        <v>8154</v>
      </c>
      <c r="U976" s="431"/>
      <c r="V976" s="431"/>
      <c r="W976" s="432">
        <v>8154</v>
      </c>
      <c r="Y976" s="433">
        <f t="shared" si="174"/>
        <v>0</v>
      </c>
      <c r="Z976" s="433">
        <f t="shared" si="175"/>
        <v>0</v>
      </c>
      <c r="AC976" s="410">
        <f t="shared" si="176"/>
        <v>0</v>
      </c>
    </row>
    <row r="977" spans="2:29" s="427" customFormat="1" ht="17.25" hidden="1" customHeight="1">
      <c r="B977" s="417" t="str">
        <f>IF(A977&lt;&gt;0,COUNTA(A$19:$A977),"")</f>
        <v/>
      </c>
      <c r="C977" s="428" t="s">
        <v>1942</v>
      </c>
      <c r="D977" s="428"/>
      <c r="E977" s="435"/>
      <c r="F977" s="435"/>
      <c r="G977" s="419"/>
      <c r="H977" s="419"/>
      <c r="I977" s="419"/>
      <c r="J977" s="419"/>
      <c r="K977" s="420">
        <v>1</v>
      </c>
      <c r="L977" s="420">
        <f t="shared" si="169"/>
        <v>0</v>
      </c>
      <c r="M977" s="420">
        <f t="shared" si="170"/>
        <v>8819</v>
      </c>
      <c r="N977" s="445">
        <f t="shared" si="179"/>
        <v>0</v>
      </c>
      <c r="O977" s="719"/>
      <c r="P977" s="719">
        <f t="shared" si="177"/>
        <v>11376.51</v>
      </c>
      <c r="Q977" s="423">
        <f>SUMIF('8.Dgia'!E:E,'9.may'!E977,'8.Dgia'!P:P)</f>
        <v>0</v>
      </c>
      <c r="R977" s="429">
        <f t="shared" si="171"/>
        <v>0</v>
      </c>
      <c r="S977" s="301">
        <f t="shared" si="172"/>
        <v>0</v>
      </c>
      <c r="T977" s="430">
        <f t="shared" si="173"/>
        <v>8819</v>
      </c>
      <c r="U977" s="431"/>
      <c r="V977" s="431"/>
      <c r="W977" s="432">
        <v>8819</v>
      </c>
      <c r="Y977" s="433">
        <f t="shared" si="174"/>
        <v>0</v>
      </c>
      <c r="Z977" s="433">
        <f t="shared" si="175"/>
        <v>0</v>
      </c>
      <c r="AC977" s="410">
        <f t="shared" si="176"/>
        <v>0</v>
      </c>
    </row>
    <row r="978" spans="2:29" s="427" customFormat="1" ht="17.25" hidden="1" customHeight="1">
      <c r="B978" s="417" t="str">
        <f>IF(A978&lt;&gt;0,COUNTA(A$19:$A978),"")</f>
        <v/>
      </c>
      <c r="C978" s="428" t="s">
        <v>1943</v>
      </c>
      <c r="D978" s="428"/>
      <c r="E978" s="435"/>
      <c r="F978" s="435"/>
      <c r="G978" s="419"/>
      <c r="H978" s="419"/>
      <c r="I978" s="419"/>
      <c r="J978" s="419"/>
      <c r="K978" s="420">
        <v>1</v>
      </c>
      <c r="L978" s="420">
        <f t="shared" si="169"/>
        <v>0</v>
      </c>
      <c r="M978" s="420">
        <f t="shared" si="170"/>
        <v>14976</v>
      </c>
      <c r="N978" s="445">
        <f t="shared" si="179"/>
        <v>0</v>
      </c>
      <c r="O978" s="719"/>
      <c r="P978" s="719">
        <f t="shared" si="177"/>
        <v>19319.04</v>
      </c>
      <c r="Q978" s="423">
        <f>SUMIF('8.Dgia'!E:E,'9.may'!E978,'8.Dgia'!P:P)</f>
        <v>0</v>
      </c>
      <c r="R978" s="429">
        <f t="shared" si="171"/>
        <v>0</v>
      </c>
      <c r="S978" s="301">
        <f t="shared" si="172"/>
        <v>0</v>
      </c>
      <c r="T978" s="430">
        <f t="shared" si="173"/>
        <v>14976</v>
      </c>
      <c r="U978" s="431"/>
      <c r="V978" s="431"/>
      <c r="W978" s="432">
        <v>14976</v>
      </c>
      <c r="Y978" s="433">
        <f t="shared" si="174"/>
        <v>0</v>
      </c>
      <c r="Z978" s="433">
        <f t="shared" si="175"/>
        <v>0</v>
      </c>
      <c r="AC978" s="410">
        <f t="shared" si="176"/>
        <v>0</v>
      </c>
    </row>
    <row r="979" spans="2:29" s="427" customFormat="1" ht="17.25" hidden="1" customHeight="1">
      <c r="B979" s="417" t="str">
        <f>IF(A979&lt;&gt;0,COUNTA(A$19:$A979),"")</f>
        <v/>
      </c>
      <c r="C979" s="428" t="s">
        <v>1944</v>
      </c>
      <c r="D979" s="428"/>
      <c r="E979" s="435"/>
      <c r="F979" s="435"/>
      <c r="G979" s="419"/>
      <c r="H979" s="419"/>
      <c r="I979" s="419"/>
      <c r="J979" s="419"/>
      <c r="K979" s="420">
        <v>1</v>
      </c>
      <c r="L979" s="420">
        <f t="shared" si="169"/>
        <v>0</v>
      </c>
      <c r="M979" s="420">
        <f t="shared" si="170"/>
        <v>5408</v>
      </c>
      <c r="N979" s="445">
        <f t="shared" si="179"/>
        <v>0</v>
      </c>
      <c r="O979" s="719"/>
      <c r="P979" s="719">
        <f t="shared" si="177"/>
        <v>6976.3200000000006</v>
      </c>
      <c r="Q979" s="423">
        <f>SUMIF('8.Dgia'!E:E,'9.may'!E979,'8.Dgia'!P:P)</f>
        <v>0</v>
      </c>
      <c r="R979" s="429">
        <f t="shared" si="171"/>
        <v>0</v>
      </c>
      <c r="S979" s="301">
        <f t="shared" si="172"/>
        <v>0</v>
      </c>
      <c r="T979" s="430">
        <f t="shared" si="173"/>
        <v>5408</v>
      </c>
      <c r="U979" s="431"/>
      <c r="V979" s="431"/>
      <c r="W979" s="432">
        <v>5408</v>
      </c>
      <c r="Y979" s="433">
        <f t="shared" si="174"/>
        <v>0</v>
      </c>
      <c r="Z979" s="433">
        <f t="shared" si="175"/>
        <v>0</v>
      </c>
      <c r="AC979" s="410">
        <f t="shared" si="176"/>
        <v>0</v>
      </c>
    </row>
    <row r="980" spans="2:29" s="427" customFormat="1" ht="17.25" hidden="1" customHeight="1">
      <c r="B980" s="417" t="str">
        <f>IF(A980&lt;&gt;0,COUNTA(A$19:$A980),"")</f>
        <v/>
      </c>
      <c r="C980" s="428" t="s">
        <v>1945</v>
      </c>
      <c r="D980" s="428"/>
      <c r="E980" s="435"/>
      <c r="F980" s="435"/>
      <c r="G980" s="419"/>
      <c r="H980" s="419"/>
      <c r="I980" s="419"/>
      <c r="J980" s="419"/>
      <c r="K980" s="420">
        <v>1</v>
      </c>
      <c r="L980" s="420">
        <f t="shared" ref="L980:L1013" si="180">+V980</f>
        <v>0</v>
      </c>
      <c r="M980" s="420">
        <f t="shared" ref="M980:M1013" si="181">+W980</f>
        <v>8486</v>
      </c>
      <c r="N980" s="445">
        <f t="shared" si="179"/>
        <v>0</v>
      </c>
      <c r="O980" s="719"/>
      <c r="P980" s="719">
        <f t="shared" si="177"/>
        <v>10946.94</v>
      </c>
      <c r="Q980" s="423">
        <f>SUMIF('8.Dgia'!E:E,'9.may'!E980,'8.Dgia'!P:P)</f>
        <v>0</v>
      </c>
      <c r="R980" s="429">
        <f t="shared" ref="R980:R1013" si="182">N980*Q980</f>
        <v>0</v>
      </c>
      <c r="S980" s="301">
        <f t="shared" ref="S980:S1013" si="183">L980*($G$13-1)</f>
        <v>0</v>
      </c>
      <c r="T980" s="430">
        <f t="shared" ref="T980:T1013" si="184">S980+N980+M980</f>
        <v>8486</v>
      </c>
      <c r="U980" s="431"/>
      <c r="V980" s="431"/>
      <c r="W980" s="432">
        <v>8486</v>
      </c>
      <c r="Y980" s="433">
        <f t="shared" ref="Y980:Y1031" si="185">W980-T980</f>
        <v>0</v>
      </c>
      <c r="Z980" s="433">
        <f t="shared" ref="Z980:Z1031" si="186">W980-M980</f>
        <v>0</v>
      </c>
      <c r="AC980" s="410">
        <f t="shared" ref="AC980:AC1038" si="187">+P980*Q980</f>
        <v>0</v>
      </c>
    </row>
    <row r="981" spans="2:29" s="427" customFormat="1" ht="17.25" hidden="1" customHeight="1">
      <c r="B981" s="417" t="str">
        <f>IF(A981&lt;&gt;0,COUNTA(A$19:$A981),"")</f>
        <v/>
      </c>
      <c r="C981" s="428" t="s">
        <v>1946</v>
      </c>
      <c r="D981" s="428"/>
      <c r="E981" s="435"/>
      <c r="F981" s="435"/>
      <c r="G981" s="419"/>
      <c r="H981" s="419"/>
      <c r="I981" s="419"/>
      <c r="J981" s="419"/>
      <c r="K981" s="420">
        <v>1</v>
      </c>
      <c r="L981" s="420">
        <f t="shared" si="180"/>
        <v>0</v>
      </c>
      <c r="M981" s="420">
        <f t="shared" si="181"/>
        <v>5075</v>
      </c>
      <c r="N981" s="445">
        <f t="shared" si="179"/>
        <v>0</v>
      </c>
      <c r="O981" s="719"/>
      <c r="P981" s="719">
        <f t="shared" ref="P981:P1029" si="188">+N981+M981*$G$13</f>
        <v>6546.75</v>
      </c>
      <c r="Q981" s="423">
        <f>SUMIF('8.Dgia'!E:E,'9.may'!E981,'8.Dgia'!P:P)</f>
        <v>0</v>
      </c>
      <c r="R981" s="429">
        <f t="shared" si="182"/>
        <v>0</v>
      </c>
      <c r="S981" s="301">
        <f t="shared" si="183"/>
        <v>0</v>
      </c>
      <c r="T981" s="430">
        <f t="shared" si="184"/>
        <v>5075</v>
      </c>
      <c r="U981" s="431"/>
      <c r="V981" s="431"/>
      <c r="W981" s="432">
        <v>5075</v>
      </c>
      <c r="Y981" s="433">
        <f t="shared" si="185"/>
        <v>0</v>
      </c>
      <c r="Z981" s="433">
        <f t="shared" si="186"/>
        <v>0</v>
      </c>
      <c r="AC981" s="410">
        <f t="shared" si="187"/>
        <v>0</v>
      </c>
    </row>
    <row r="982" spans="2:29" s="427" customFormat="1" ht="17.25" hidden="1" customHeight="1">
      <c r="B982" s="417" t="str">
        <f>IF(A982&lt;&gt;0,COUNTA(A$19:$A982),"")</f>
        <v/>
      </c>
      <c r="C982" s="428" t="s">
        <v>1947</v>
      </c>
      <c r="D982" s="428"/>
      <c r="E982" s="435"/>
      <c r="F982" s="435"/>
      <c r="G982" s="419"/>
      <c r="H982" s="419"/>
      <c r="I982" s="419"/>
      <c r="J982" s="419"/>
      <c r="K982" s="420">
        <v>1</v>
      </c>
      <c r="L982" s="420">
        <f t="shared" si="180"/>
        <v>0</v>
      </c>
      <c r="M982" s="420">
        <f t="shared" si="181"/>
        <v>4659</v>
      </c>
      <c r="N982" s="445">
        <f t="shared" si="179"/>
        <v>0</v>
      </c>
      <c r="O982" s="719"/>
      <c r="P982" s="719">
        <f t="shared" si="188"/>
        <v>6010.1100000000006</v>
      </c>
      <c r="Q982" s="423">
        <f>SUMIF('8.Dgia'!E:E,'9.may'!E982,'8.Dgia'!P:P)</f>
        <v>0</v>
      </c>
      <c r="R982" s="429">
        <f t="shared" si="182"/>
        <v>0</v>
      </c>
      <c r="S982" s="301">
        <f t="shared" si="183"/>
        <v>0</v>
      </c>
      <c r="T982" s="430">
        <f t="shared" si="184"/>
        <v>4659</v>
      </c>
      <c r="U982" s="431"/>
      <c r="V982" s="431"/>
      <c r="W982" s="432">
        <v>4659</v>
      </c>
      <c r="Y982" s="433">
        <f t="shared" si="185"/>
        <v>0</v>
      </c>
      <c r="Z982" s="433">
        <f t="shared" si="186"/>
        <v>0</v>
      </c>
      <c r="AC982" s="410">
        <f t="shared" si="187"/>
        <v>0</v>
      </c>
    </row>
    <row r="983" spans="2:29" s="427" customFormat="1" ht="17.25" hidden="1" customHeight="1">
      <c r="B983" s="417" t="str">
        <f>IF(A983&lt;&gt;0,COUNTA(A$19:$A983),"")</f>
        <v/>
      </c>
      <c r="C983" s="428" t="s">
        <v>1948</v>
      </c>
      <c r="D983" s="428"/>
      <c r="E983" s="435"/>
      <c r="F983" s="435"/>
      <c r="G983" s="419"/>
      <c r="H983" s="419"/>
      <c r="I983" s="419"/>
      <c r="J983" s="419"/>
      <c r="K983" s="420">
        <v>1</v>
      </c>
      <c r="L983" s="420">
        <f t="shared" si="180"/>
        <v>0</v>
      </c>
      <c r="M983" s="420">
        <f t="shared" si="181"/>
        <v>43956</v>
      </c>
      <c r="N983" s="445">
        <f t="shared" ref="N983:N999" si="189">SUMPRODUCT(G983:J983,$G$12:$J$12,$G$9:$J$9)</f>
        <v>0</v>
      </c>
      <c r="O983" s="719"/>
      <c r="P983" s="719">
        <f t="shared" si="188"/>
        <v>56703.24</v>
      </c>
      <c r="Q983" s="423">
        <f>SUMIF('8.Dgia'!E:E,'9.may'!E983,'8.Dgia'!P:P)</f>
        <v>0</v>
      </c>
      <c r="R983" s="429">
        <f t="shared" si="182"/>
        <v>0</v>
      </c>
      <c r="S983" s="301">
        <f t="shared" si="183"/>
        <v>0</v>
      </c>
      <c r="T983" s="430">
        <f t="shared" si="184"/>
        <v>43956</v>
      </c>
      <c r="U983" s="431"/>
      <c r="V983" s="431"/>
      <c r="W983" s="432">
        <v>43956</v>
      </c>
      <c r="Y983" s="433">
        <f t="shared" si="185"/>
        <v>0</v>
      </c>
      <c r="Z983" s="433">
        <f t="shared" si="186"/>
        <v>0</v>
      </c>
      <c r="AC983" s="410">
        <f t="shared" si="187"/>
        <v>0</v>
      </c>
    </row>
    <row r="984" spans="2:29" s="427" customFormat="1" ht="17.25" hidden="1" customHeight="1">
      <c r="B984" s="417" t="str">
        <f>IF(A984&lt;&gt;0,COUNTA(A$19:$A984),"")</f>
        <v/>
      </c>
      <c r="C984" s="428" t="s">
        <v>1949</v>
      </c>
      <c r="D984" s="428"/>
      <c r="E984" s="435"/>
      <c r="F984" s="435"/>
      <c r="G984" s="419"/>
      <c r="H984" s="419"/>
      <c r="I984" s="419"/>
      <c r="J984" s="419"/>
      <c r="K984" s="420">
        <v>1</v>
      </c>
      <c r="L984" s="420">
        <f t="shared" si="180"/>
        <v>0</v>
      </c>
      <c r="M984" s="420">
        <f t="shared" si="181"/>
        <v>35640</v>
      </c>
      <c r="N984" s="445">
        <f t="shared" si="189"/>
        <v>0</v>
      </c>
      <c r="O984" s="719"/>
      <c r="P984" s="719">
        <f t="shared" si="188"/>
        <v>45975.6</v>
      </c>
      <c r="Q984" s="423">
        <f>SUMIF('8.Dgia'!E:E,'9.may'!E984,'8.Dgia'!P:P)</f>
        <v>0</v>
      </c>
      <c r="R984" s="429">
        <f t="shared" si="182"/>
        <v>0</v>
      </c>
      <c r="S984" s="301">
        <f t="shared" si="183"/>
        <v>0</v>
      </c>
      <c r="T984" s="430">
        <f t="shared" si="184"/>
        <v>35640</v>
      </c>
      <c r="U984" s="431"/>
      <c r="V984" s="431"/>
      <c r="W984" s="432">
        <v>35640</v>
      </c>
      <c r="Y984" s="433">
        <f t="shared" si="185"/>
        <v>0</v>
      </c>
      <c r="Z984" s="433">
        <f t="shared" si="186"/>
        <v>0</v>
      </c>
      <c r="AC984" s="410">
        <f t="shared" si="187"/>
        <v>0</v>
      </c>
    </row>
    <row r="985" spans="2:29" s="427" customFormat="1" ht="17.25" hidden="1" customHeight="1">
      <c r="B985" s="417" t="str">
        <f>IF(A985&lt;&gt;0,COUNTA(A$19:$A985),"")</f>
        <v/>
      </c>
      <c r="C985" s="428" t="s">
        <v>1950</v>
      </c>
      <c r="D985" s="428"/>
      <c r="E985" s="435"/>
      <c r="F985" s="435"/>
      <c r="G985" s="419"/>
      <c r="H985" s="419"/>
      <c r="I985" s="419"/>
      <c r="J985" s="419"/>
      <c r="K985" s="420">
        <v>1</v>
      </c>
      <c r="L985" s="420">
        <f t="shared" si="180"/>
        <v>0</v>
      </c>
      <c r="M985" s="420">
        <f t="shared" si="181"/>
        <v>4410</v>
      </c>
      <c r="N985" s="445">
        <f t="shared" si="189"/>
        <v>0</v>
      </c>
      <c r="O985" s="719"/>
      <c r="P985" s="719">
        <f t="shared" si="188"/>
        <v>5688.9000000000005</v>
      </c>
      <c r="Q985" s="423">
        <f>SUMIF('8.Dgia'!E:E,'9.may'!E985,'8.Dgia'!P:P)</f>
        <v>0</v>
      </c>
      <c r="R985" s="429">
        <f t="shared" si="182"/>
        <v>0</v>
      </c>
      <c r="S985" s="301">
        <f t="shared" si="183"/>
        <v>0</v>
      </c>
      <c r="T985" s="430">
        <f t="shared" si="184"/>
        <v>4410</v>
      </c>
      <c r="U985" s="431"/>
      <c r="V985" s="431"/>
      <c r="W985" s="432">
        <v>4410</v>
      </c>
      <c r="Y985" s="433">
        <f t="shared" si="185"/>
        <v>0</v>
      </c>
      <c r="Z985" s="433">
        <f t="shared" si="186"/>
        <v>0</v>
      </c>
      <c r="AC985" s="410">
        <f t="shared" si="187"/>
        <v>0</v>
      </c>
    </row>
    <row r="986" spans="2:29" s="427" customFormat="1" ht="17.25" hidden="1" customHeight="1">
      <c r="B986" s="417" t="str">
        <f>IF(A986&lt;&gt;0,COUNTA(A$19:$A986),"")</f>
        <v/>
      </c>
      <c r="C986" s="428" t="s">
        <v>1951</v>
      </c>
      <c r="D986" s="428"/>
      <c r="E986" s="435"/>
      <c r="F986" s="435"/>
      <c r="G986" s="419"/>
      <c r="H986" s="419"/>
      <c r="I986" s="419"/>
      <c r="J986" s="419"/>
      <c r="K986" s="420">
        <v>1</v>
      </c>
      <c r="L986" s="420">
        <f t="shared" si="180"/>
        <v>0</v>
      </c>
      <c r="M986" s="420">
        <f t="shared" si="181"/>
        <v>44352</v>
      </c>
      <c r="N986" s="445">
        <f t="shared" si="189"/>
        <v>0</v>
      </c>
      <c r="O986" s="719"/>
      <c r="P986" s="719">
        <f t="shared" si="188"/>
        <v>57214.080000000002</v>
      </c>
      <c r="Q986" s="423">
        <f>SUMIF('8.Dgia'!E:E,'9.may'!E986,'8.Dgia'!P:P)</f>
        <v>0</v>
      </c>
      <c r="R986" s="429">
        <f t="shared" si="182"/>
        <v>0</v>
      </c>
      <c r="S986" s="301">
        <f t="shared" si="183"/>
        <v>0</v>
      </c>
      <c r="T986" s="430">
        <f t="shared" si="184"/>
        <v>44352</v>
      </c>
      <c r="U986" s="431"/>
      <c r="V986" s="431"/>
      <c r="W986" s="432">
        <v>44352</v>
      </c>
      <c r="Y986" s="433">
        <f t="shared" si="185"/>
        <v>0</v>
      </c>
      <c r="Z986" s="433">
        <f t="shared" si="186"/>
        <v>0</v>
      </c>
      <c r="AC986" s="410">
        <f t="shared" si="187"/>
        <v>0</v>
      </c>
    </row>
    <row r="987" spans="2:29" s="427" customFormat="1" ht="17.25" hidden="1" customHeight="1">
      <c r="B987" s="417" t="str">
        <f>IF(A987&lt;&gt;0,COUNTA(A$19:$A987),"")</f>
        <v/>
      </c>
      <c r="C987" s="428" t="s">
        <v>1952</v>
      </c>
      <c r="D987" s="428"/>
      <c r="E987" s="435"/>
      <c r="F987" s="435"/>
      <c r="G987" s="419"/>
      <c r="H987" s="419"/>
      <c r="I987" s="419"/>
      <c r="J987" s="419"/>
      <c r="K987" s="420">
        <v>1</v>
      </c>
      <c r="L987" s="420">
        <f t="shared" si="180"/>
        <v>0</v>
      </c>
      <c r="M987" s="420">
        <f t="shared" si="181"/>
        <v>4160</v>
      </c>
      <c r="N987" s="445">
        <f t="shared" si="189"/>
        <v>0</v>
      </c>
      <c r="O987" s="719"/>
      <c r="P987" s="719">
        <f t="shared" si="188"/>
        <v>5366.4000000000005</v>
      </c>
      <c r="Q987" s="423">
        <f>SUMIF('8.Dgia'!E:E,'9.may'!E987,'8.Dgia'!P:P)</f>
        <v>0</v>
      </c>
      <c r="R987" s="429">
        <f t="shared" si="182"/>
        <v>0</v>
      </c>
      <c r="S987" s="301">
        <f t="shared" si="183"/>
        <v>0</v>
      </c>
      <c r="T987" s="430">
        <f t="shared" si="184"/>
        <v>4160</v>
      </c>
      <c r="U987" s="431"/>
      <c r="V987" s="431"/>
      <c r="W987" s="432">
        <v>4160</v>
      </c>
      <c r="Y987" s="433">
        <f t="shared" si="185"/>
        <v>0</v>
      </c>
      <c r="Z987" s="433">
        <f t="shared" si="186"/>
        <v>0</v>
      </c>
      <c r="AC987" s="410">
        <f t="shared" si="187"/>
        <v>0</v>
      </c>
    </row>
    <row r="988" spans="2:29" s="427" customFormat="1" ht="17.25" hidden="1" customHeight="1">
      <c r="B988" s="417" t="str">
        <f>IF(A988&lt;&gt;0,COUNTA(A$19:$A988),"")</f>
        <v/>
      </c>
      <c r="C988" s="428" t="s">
        <v>1953</v>
      </c>
      <c r="D988" s="428"/>
      <c r="E988" s="435"/>
      <c r="F988" s="435"/>
      <c r="G988" s="419"/>
      <c r="H988" s="419"/>
      <c r="I988" s="419"/>
      <c r="J988" s="419"/>
      <c r="K988" s="420">
        <v>1</v>
      </c>
      <c r="L988" s="420">
        <f t="shared" si="180"/>
        <v>0</v>
      </c>
      <c r="M988" s="420">
        <f t="shared" si="181"/>
        <v>1174158</v>
      </c>
      <c r="N988" s="445">
        <f t="shared" si="189"/>
        <v>0</v>
      </c>
      <c r="O988" s="719"/>
      <c r="P988" s="719">
        <f t="shared" si="188"/>
        <v>1514663.82</v>
      </c>
      <c r="Q988" s="423">
        <f>SUMIF('8.Dgia'!E:E,'9.may'!E988,'8.Dgia'!P:P)</f>
        <v>0</v>
      </c>
      <c r="R988" s="429">
        <f t="shared" si="182"/>
        <v>0</v>
      </c>
      <c r="S988" s="301">
        <f t="shared" si="183"/>
        <v>0</v>
      </c>
      <c r="T988" s="430">
        <f t="shared" si="184"/>
        <v>1174158</v>
      </c>
      <c r="U988" s="431"/>
      <c r="V988" s="431"/>
      <c r="W988" s="432">
        <v>1174158</v>
      </c>
      <c r="Y988" s="433">
        <f t="shared" si="185"/>
        <v>0</v>
      </c>
      <c r="Z988" s="433">
        <f t="shared" si="186"/>
        <v>0</v>
      </c>
      <c r="AC988" s="410">
        <f t="shared" si="187"/>
        <v>0</v>
      </c>
    </row>
    <row r="989" spans="2:29" s="427" customFormat="1" ht="17.25" hidden="1" customHeight="1">
      <c r="B989" s="417" t="str">
        <f>IF(A989&lt;&gt;0,COUNTA(A$19:$A989),"")</f>
        <v/>
      </c>
      <c r="C989" s="428" t="s">
        <v>1954</v>
      </c>
      <c r="D989" s="428"/>
      <c r="E989" s="435"/>
      <c r="F989" s="435"/>
      <c r="G989" s="419"/>
      <c r="H989" s="419"/>
      <c r="I989" s="419"/>
      <c r="J989" s="419"/>
      <c r="K989" s="420">
        <v>1</v>
      </c>
      <c r="L989" s="420">
        <f t="shared" si="180"/>
        <v>0</v>
      </c>
      <c r="M989" s="420">
        <f t="shared" si="181"/>
        <v>2587</v>
      </c>
      <c r="N989" s="445">
        <f t="shared" si="189"/>
        <v>0</v>
      </c>
      <c r="O989" s="719"/>
      <c r="P989" s="719">
        <f t="shared" si="188"/>
        <v>3337.23</v>
      </c>
      <c r="Q989" s="423">
        <f>SUMIF('8.Dgia'!E:E,'9.may'!E989,'8.Dgia'!P:P)</f>
        <v>0</v>
      </c>
      <c r="R989" s="429">
        <f t="shared" si="182"/>
        <v>0</v>
      </c>
      <c r="S989" s="301">
        <f t="shared" si="183"/>
        <v>0</v>
      </c>
      <c r="T989" s="430">
        <f t="shared" si="184"/>
        <v>2587</v>
      </c>
      <c r="U989" s="431"/>
      <c r="V989" s="431"/>
      <c r="W989" s="432">
        <v>2587</v>
      </c>
      <c r="Y989" s="433">
        <f t="shared" si="185"/>
        <v>0</v>
      </c>
      <c r="Z989" s="433">
        <f t="shared" si="186"/>
        <v>0</v>
      </c>
      <c r="AC989" s="410">
        <f t="shared" si="187"/>
        <v>0</v>
      </c>
    </row>
    <row r="990" spans="2:29" s="427" customFormat="1" ht="17.25" hidden="1" customHeight="1">
      <c r="B990" s="417" t="str">
        <f>IF(A990&lt;&gt;0,COUNTA(A$19:$A990),"")</f>
        <v/>
      </c>
      <c r="C990" s="428" t="s">
        <v>1955</v>
      </c>
      <c r="D990" s="428"/>
      <c r="E990" s="435"/>
      <c r="F990" s="435"/>
      <c r="G990" s="419"/>
      <c r="H990" s="419"/>
      <c r="I990" s="419"/>
      <c r="J990" s="419"/>
      <c r="K990" s="420">
        <v>1</v>
      </c>
      <c r="L990" s="420">
        <f t="shared" si="180"/>
        <v>0</v>
      </c>
      <c r="M990" s="420">
        <f t="shared" si="181"/>
        <v>1617</v>
      </c>
      <c r="N990" s="445">
        <f t="shared" si="189"/>
        <v>0</v>
      </c>
      <c r="O990" s="719"/>
      <c r="P990" s="719">
        <f t="shared" si="188"/>
        <v>2085.9299999999998</v>
      </c>
      <c r="Q990" s="423">
        <f>SUMIF('8.Dgia'!E:E,'9.may'!E990,'8.Dgia'!P:P)</f>
        <v>0</v>
      </c>
      <c r="R990" s="429">
        <f t="shared" si="182"/>
        <v>0</v>
      </c>
      <c r="S990" s="301">
        <f t="shared" si="183"/>
        <v>0</v>
      </c>
      <c r="T990" s="430">
        <f t="shared" si="184"/>
        <v>1617</v>
      </c>
      <c r="U990" s="431"/>
      <c r="V990" s="431"/>
      <c r="W990" s="432">
        <v>1617</v>
      </c>
      <c r="Y990" s="433">
        <f t="shared" si="185"/>
        <v>0</v>
      </c>
      <c r="Z990" s="433">
        <f t="shared" si="186"/>
        <v>0</v>
      </c>
      <c r="AC990" s="410">
        <f t="shared" si="187"/>
        <v>0</v>
      </c>
    </row>
    <row r="991" spans="2:29" s="427" customFormat="1" ht="17.25" hidden="1" customHeight="1">
      <c r="B991" s="417" t="str">
        <f>IF(A991&lt;&gt;0,COUNTA(A$19:$A991),"")</f>
        <v/>
      </c>
      <c r="C991" s="428" t="s">
        <v>1956</v>
      </c>
      <c r="D991" s="428"/>
      <c r="E991" s="435"/>
      <c r="F991" s="435"/>
      <c r="G991" s="419"/>
      <c r="H991" s="419"/>
      <c r="I991" s="419"/>
      <c r="J991" s="419"/>
      <c r="K991" s="420">
        <v>1</v>
      </c>
      <c r="L991" s="420">
        <f t="shared" si="180"/>
        <v>0</v>
      </c>
      <c r="M991" s="420">
        <f t="shared" si="181"/>
        <v>2587</v>
      </c>
      <c r="N991" s="445">
        <f t="shared" si="189"/>
        <v>0</v>
      </c>
      <c r="O991" s="719"/>
      <c r="P991" s="719">
        <f t="shared" si="188"/>
        <v>3337.23</v>
      </c>
      <c r="Q991" s="423">
        <f>SUMIF('8.Dgia'!E:E,'9.may'!E991,'8.Dgia'!P:P)</f>
        <v>0</v>
      </c>
      <c r="R991" s="429">
        <f t="shared" si="182"/>
        <v>0</v>
      </c>
      <c r="S991" s="301">
        <f t="shared" si="183"/>
        <v>0</v>
      </c>
      <c r="T991" s="430">
        <f t="shared" si="184"/>
        <v>2587</v>
      </c>
      <c r="U991" s="431"/>
      <c r="V991" s="431"/>
      <c r="W991" s="432">
        <v>2587</v>
      </c>
      <c r="Y991" s="433">
        <f t="shared" si="185"/>
        <v>0</v>
      </c>
      <c r="Z991" s="433">
        <f t="shared" si="186"/>
        <v>0</v>
      </c>
      <c r="AC991" s="410">
        <f t="shared" si="187"/>
        <v>0</v>
      </c>
    </row>
    <row r="992" spans="2:29" s="427" customFormat="1" ht="17.25" hidden="1" customHeight="1">
      <c r="B992" s="417" t="str">
        <f>IF(A992&lt;&gt;0,COUNTA(A$19:$A992),"")</f>
        <v/>
      </c>
      <c r="C992" s="428" t="s">
        <v>1957</v>
      </c>
      <c r="D992" s="428"/>
      <c r="E992" s="435"/>
      <c r="F992" s="435"/>
      <c r="G992" s="419"/>
      <c r="H992" s="419"/>
      <c r="I992" s="419"/>
      <c r="J992" s="419"/>
      <c r="K992" s="420">
        <v>1</v>
      </c>
      <c r="L992" s="420">
        <f t="shared" si="180"/>
        <v>0</v>
      </c>
      <c r="M992" s="420">
        <f t="shared" si="181"/>
        <v>1617</v>
      </c>
      <c r="N992" s="445">
        <f t="shared" si="189"/>
        <v>0</v>
      </c>
      <c r="O992" s="719"/>
      <c r="P992" s="719">
        <f t="shared" si="188"/>
        <v>2085.9299999999998</v>
      </c>
      <c r="Q992" s="423">
        <f>SUMIF('8.Dgia'!E:E,'9.may'!E992,'8.Dgia'!P:P)</f>
        <v>0</v>
      </c>
      <c r="R992" s="429">
        <f t="shared" si="182"/>
        <v>0</v>
      </c>
      <c r="S992" s="301">
        <f t="shared" si="183"/>
        <v>0</v>
      </c>
      <c r="T992" s="430">
        <f t="shared" si="184"/>
        <v>1617</v>
      </c>
      <c r="U992" s="431"/>
      <c r="V992" s="431"/>
      <c r="W992" s="432">
        <v>1617</v>
      </c>
      <c r="Y992" s="433">
        <f t="shared" si="185"/>
        <v>0</v>
      </c>
      <c r="Z992" s="433">
        <f t="shared" si="186"/>
        <v>0</v>
      </c>
      <c r="AC992" s="410">
        <f t="shared" si="187"/>
        <v>0</v>
      </c>
    </row>
    <row r="993" spans="2:29" s="427" customFormat="1" ht="17.25" hidden="1" customHeight="1">
      <c r="B993" s="417" t="str">
        <f>IF(A993&lt;&gt;0,COUNTA(A$19:$A993),"")</f>
        <v/>
      </c>
      <c r="C993" s="428" t="s">
        <v>1958</v>
      </c>
      <c r="D993" s="428"/>
      <c r="E993" s="435"/>
      <c r="F993" s="435"/>
      <c r="G993" s="419"/>
      <c r="H993" s="419"/>
      <c r="I993" s="419"/>
      <c r="J993" s="419"/>
      <c r="K993" s="420">
        <v>1</v>
      </c>
      <c r="L993" s="420">
        <f t="shared" si="180"/>
        <v>0</v>
      </c>
      <c r="M993" s="420">
        <f t="shared" si="181"/>
        <v>12506</v>
      </c>
      <c r="N993" s="445">
        <f t="shared" si="189"/>
        <v>0</v>
      </c>
      <c r="O993" s="719"/>
      <c r="P993" s="719">
        <f t="shared" si="188"/>
        <v>16132.74</v>
      </c>
      <c r="Q993" s="423">
        <f>SUMIF('8.Dgia'!E:E,'9.may'!E993,'8.Dgia'!P:P)</f>
        <v>0</v>
      </c>
      <c r="R993" s="429">
        <f t="shared" si="182"/>
        <v>0</v>
      </c>
      <c r="S993" s="301">
        <f t="shared" si="183"/>
        <v>0</v>
      </c>
      <c r="T993" s="430">
        <f t="shared" si="184"/>
        <v>12506</v>
      </c>
      <c r="U993" s="431"/>
      <c r="V993" s="431"/>
      <c r="W993" s="432">
        <v>12506</v>
      </c>
      <c r="Y993" s="433">
        <f t="shared" si="185"/>
        <v>0</v>
      </c>
      <c r="Z993" s="433">
        <f t="shared" si="186"/>
        <v>0</v>
      </c>
      <c r="AC993" s="410">
        <f t="shared" si="187"/>
        <v>0</v>
      </c>
    </row>
    <row r="994" spans="2:29" s="427" customFormat="1" ht="17.25" hidden="1" customHeight="1">
      <c r="B994" s="417" t="str">
        <f>IF(A994&lt;&gt;0,COUNTA(A$19:$A994),"")</f>
        <v/>
      </c>
      <c r="C994" s="428" t="s">
        <v>1959</v>
      </c>
      <c r="D994" s="428"/>
      <c r="E994" s="435"/>
      <c r="F994" s="435"/>
      <c r="G994" s="419"/>
      <c r="H994" s="419"/>
      <c r="I994" s="419"/>
      <c r="J994" s="419"/>
      <c r="K994" s="420">
        <v>1</v>
      </c>
      <c r="L994" s="420">
        <f t="shared" si="180"/>
        <v>0</v>
      </c>
      <c r="M994" s="420">
        <f t="shared" si="181"/>
        <v>4660</v>
      </c>
      <c r="N994" s="445">
        <f t="shared" si="189"/>
        <v>0</v>
      </c>
      <c r="O994" s="719"/>
      <c r="P994" s="719">
        <f t="shared" si="188"/>
        <v>6011.4000000000005</v>
      </c>
      <c r="Q994" s="423">
        <f>SUMIF('8.Dgia'!E:E,'9.may'!E994,'8.Dgia'!P:P)</f>
        <v>0</v>
      </c>
      <c r="R994" s="429">
        <f t="shared" si="182"/>
        <v>0</v>
      </c>
      <c r="S994" s="301">
        <f t="shared" si="183"/>
        <v>0</v>
      </c>
      <c r="T994" s="430">
        <f t="shared" si="184"/>
        <v>4660</v>
      </c>
      <c r="U994" s="431"/>
      <c r="V994" s="431"/>
      <c r="W994" s="432">
        <v>4660</v>
      </c>
      <c r="Y994" s="433">
        <f t="shared" si="185"/>
        <v>0</v>
      </c>
      <c r="Z994" s="433">
        <f t="shared" si="186"/>
        <v>0</v>
      </c>
      <c r="AC994" s="410">
        <f t="shared" si="187"/>
        <v>0</v>
      </c>
    </row>
    <row r="995" spans="2:29" s="427" customFormat="1" ht="17.25" hidden="1" customHeight="1">
      <c r="B995" s="417" t="str">
        <f>IF(A995&lt;&gt;0,COUNTA(A$19:$A995),"")</f>
        <v/>
      </c>
      <c r="C995" s="428" t="s">
        <v>1960</v>
      </c>
      <c r="D995" s="428"/>
      <c r="E995" s="435"/>
      <c r="F995" s="435"/>
      <c r="G995" s="419"/>
      <c r="H995" s="419"/>
      <c r="I995" s="419"/>
      <c r="J995" s="419"/>
      <c r="K995" s="420">
        <v>1</v>
      </c>
      <c r="L995" s="420">
        <f t="shared" si="180"/>
        <v>0</v>
      </c>
      <c r="M995" s="420">
        <f t="shared" si="181"/>
        <v>23061</v>
      </c>
      <c r="N995" s="445">
        <f t="shared" si="189"/>
        <v>0</v>
      </c>
      <c r="O995" s="719"/>
      <c r="P995" s="719">
        <f t="shared" si="188"/>
        <v>29748.690000000002</v>
      </c>
      <c r="Q995" s="423">
        <f>SUMIF('8.Dgia'!E:E,'9.may'!E995,'8.Dgia'!P:P)</f>
        <v>0</v>
      </c>
      <c r="R995" s="429">
        <f t="shared" si="182"/>
        <v>0</v>
      </c>
      <c r="S995" s="301">
        <f t="shared" si="183"/>
        <v>0</v>
      </c>
      <c r="T995" s="430">
        <f t="shared" si="184"/>
        <v>23061</v>
      </c>
      <c r="U995" s="431"/>
      <c r="V995" s="431"/>
      <c r="W995" s="432">
        <v>23061</v>
      </c>
      <c r="Y995" s="433">
        <f t="shared" si="185"/>
        <v>0</v>
      </c>
      <c r="Z995" s="433">
        <f t="shared" si="186"/>
        <v>0</v>
      </c>
      <c r="AC995" s="410">
        <f t="shared" si="187"/>
        <v>0</v>
      </c>
    </row>
    <row r="996" spans="2:29" s="427" customFormat="1" ht="17.25" hidden="1" customHeight="1">
      <c r="B996" s="417" t="str">
        <f>IF(A996&lt;&gt;0,COUNTA(A$19:$A996),"")</f>
        <v/>
      </c>
      <c r="C996" s="428" t="s">
        <v>1961</v>
      </c>
      <c r="D996" s="428"/>
      <c r="E996" s="435"/>
      <c r="F996" s="435"/>
      <c r="G996" s="419"/>
      <c r="H996" s="419"/>
      <c r="I996" s="419"/>
      <c r="J996" s="419"/>
      <c r="K996" s="420">
        <v>1</v>
      </c>
      <c r="L996" s="420">
        <f t="shared" si="180"/>
        <v>0</v>
      </c>
      <c r="M996" s="420">
        <f t="shared" si="181"/>
        <v>35640</v>
      </c>
      <c r="N996" s="445">
        <f t="shared" si="189"/>
        <v>0</v>
      </c>
      <c r="O996" s="719"/>
      <c r="P996" s="719">
        <f t="shared" si="188"/>
        <v>45975.6</v>
      </c>
      <c r="Q996" s="423">
        <f>SUMIF('8.Dgia'!E:E,'9.may'!E996,'8.Dgia'!P:P)</f>
        <v>0</v>
      </c>
      <c r="R996" s="429">
        <f t="shared" si="182"/>
        <v>0</v>
      </c>
      <c r="S996" s="301">
        <f t="shared" si="183"/>
        <v>0</v>
      </c>
      <c r="T996" s="430">
        <f t="shared" si="184"/>
        <v>35640</v>
      </c>
      <c r="U996" s="431"/>
      <c r="V996" s="431"/>
      <c r="W996" s="432">
        <v>35640</v>
      </c>
      <c r="Y996" s="433">
        <f t="shared" si="185"/>
        <v>0</v>
      </c>
      <c r="Z996" s="433">
        <f t="shared" si="186"/>
        <v>0</v>
      </c>
      <c r="AC996" s="410">
        <f t="shared" si="187"/>
        <v>0</v>
      </c>
    </row>
    <row r="997" spans="2:29" s="427" customFormat="1" ht="17.25" hidden="1" customHeight="1">
      <c r="B997" s="417" t="str">
        <f>IF(A997&lt;&gt;0,COUNTA(A$19:$A997),"")</f>
        <v/>
      </c>
      <c r="C997" s="428" t="s">
        <v>1962</v>
      </c>
      <c r="D997" s="428"/>
      <c r="E997" s="435"/>
      <c r="F997" s="435"/>
      <c r="G997" s="419"/>
      <c r="H997" s="419"/>
      <c r="I997" s="419"/>
      <c r="J997" s="419"/>
      <c r="K997" s="420">
        <v>1</v>
      </c>
      <c r="L997" s="420">
        <f t="shared" si="180"/>
        <v>0</v>
      </c>
      <c r="M997" s="420">
        <f t="shared" si="181"/>
        <v>80340</v>
      </c>
      <c r="N997" s="445">
        <f t="shared" si="189"/>
        <v>0</v>
      </c>
      <c r="O997" s="719"/>
      <c r="P997" s="719">
        <f t="shared" si="188"/>
        <v>103638.6</v>
      </c>
      <c r="Q997" s="423">
        <f>SUMIF('8.Dgia'!E:E,'9.may'!E997,'8.Dgia'!P:P)</f>
        <v>0</v>
      </c>
      <c r="R997" s="429">
        <f t="shared" si="182"/>
        <v>0</v>
      </c>
      <c r="S997" s="301">
        <f t="shared" si="183"/>
        <v>0</v>
      </c>
      <c r="T997" s="430">
        <f t="shared" si="184"/>
        <v>80340</v>
      </c>
      <c r="U997" s="431"/>
      <c r="V997" s="431"/>
      <c r="W997" s="432">
        <v>80340</v>
      </c>
      <c r="Y997" s="433">
        <f t="shared" si="185"/>
        <v>0</v>
      </c>
      <c r="Z997" s="433">
        <f t="shared" si="186"/>
        <v>0</v>
      </c>
      <c r="AC997" s="410">
        <f t="shared" si="187"/>
        <v>0</v>
      </c>
    </row>
    <row r="998" spans="2:29" s="427" customFormat="1" ht="17.25" hidden="1" customHeight="1">
      <c r="B998" s="417" t="str">
        <f>IF(A998&lt;&gt;0,COUNTA(A$19:$A998),"")</f>
        <v/>
      </c>
      <c r="C998" s="428" t="s">
        <v>1963</v>
      </c>
      <c r="D998" s="428"/>
      <c r="E998" s="435"/>
      <c r="F998" s="435"/>
      <c r="G998" s="419"/>
      <c r="H998" s="419"/>
      <c r="I998" s="419"/>
      <c r="J998" s="419"/>
      <c r="K998" s="420">
        <v>1</v>
      </c>
      <c r="L998" s="420">
        <f t="shared" si="180"/>
        <v>0</v>
      </c>
      <c r="M998" s="420">
        <f t="shared" si="181"/>
        <v>34135</v>
      </c>
      <c r="N998" s="445">
        <f t="shared" si="189"/>
        <v>0</v>
      </c>
      <c r="O998" s="719"/>
      <c r="P998" s="719">
        <f t="shared" si="188"/>
        <v>44034.15</v>
      </c>
      <c r="Q998" s="423">
        <f>SUMIF('8.Dgia'!E:E,'9.may'!E998,'8.Dgia'!P:P)</f>
        <v>0</v>
      </c>
      <c r="R998" s="429">
        <f t="shared" si="182"/>
        <v>0</v>
      </c>
      <c r="S998" s="301">
        <f t="shared" si="183"/>
        <v>0</v>
      </c>
      <c r="T998" s="430">
        <f t="shared" si="184"/>
        <v>34135</v>
      </c>
      <c r="U998" s="431"/>
      <c r="V998" s="431"/>
      <c r="W998" s="432">
        <v>34135</v>
      </c>
      <c r="Y998" s="433">
        <f t="shared" si="185"/>
        <v>0</v>
      </c>
      <c r="Z998" s="433">
        <f t="shared" si="186"/>
        <v>0</v>
      </c>
      <c r="AC998" s="410">
        <f t="shared" si="187"/>
        <v>0</v>
      </c>
    </row>
    <row r="999" spans="2:29" s="427" customFormat="1" ht="17.25" hidden="1" customHeight="1">
      <c r="B999" s="417" t="str">
        <f>IF(A999&lt;&gt;0,COUNTA(A$19:$A999),"")</f>
        <v/>
      </c>
      <c r="C999" s="428" t="s">
        <v>1964</v>
      </c>
      <c r="D999" s="428"/>
      <c r="E999" s="435"/>
      <c r="F999" s="435"/>
      <c r="G999" s="419"/>
      <c r="H999" s="419"/>
      <c r="I999" s="419"/>
      <c r="J999" s="419"/>
      <c r="K999" s="420">
        <v>1</v>
      </c>
      <c r="L999" s="420">
        <f t="shared" si="180"/>
        <v>0</v>
      </c>
      <c r="M999" s="420">
        <f t="shared" si="181"/>
        <v>4826</v>
      </c>
      <c r="N999" s="445">
        <f t="shared" si="189"/>
        <v>0</v>
      </c>
      <c r="O999" s="719"/>
      <c r="P999" s="719">
        <f t="shared" si="188"/>
        <v>6225.54</v>
      </c>
      <c r="Q999" s="423">
        <f>SUMIF('8.Dgia'!E:E,'9.may'!E999,'8.Dgia'!P:P)</f>
        <v>0</v>
      </c>
      <c r="R999" s="429">
        <f t="shared" si="182"/>
        <v>0</v>
      </c>
      <c r="S999" s="301">
        <f t="shared" si="183"/>
        <v>0</v>
      </c>
      <c r="T999" s="430">
        <f t="shared" si="184"/>
        <v>4826</v>
      </c>
      <c r="U999" s="431"/>
      <c r="V999" s="431"/>
      <c r="W999" s="432">
        <v>4826</v>
      </c>
      <c r="Y999" s="433">
        <f t="shared" si="185"/>
        <v>0</v>
      </c>
      <c r="Z999" s="433">
        <f t="shared" si="186"/>
        <v>0</v>
      </c>
      <c r="AC999" s="410">
        <f t="shared" si="187"/>
        <v>0</v>
      </c>
    </row>
    <row r="1000" spans="2:29" s="427" customFormat="1" ht="17.25" hidden="1" customHeight="1">
      <c r="B1000" s="417" t="str">
        <f>IF(A1000&lt;&gt;0,COUNTA(A$19:$A1000),"")</f>
        <v/>
      </c>
      <c r="C1000" s="444" t="s">
        <v>1965</v>
      </c>
      <c r="D1000" s="444"/>
      <c r="E1000" s="435"/>
      <c r="F1000" s="435"/>
      <c r="G1000" s="419"/>
      <c r="H1000" s="419"/>
      <c r="I1000" s="419"/>
      <c r="J1000" s="419"/>
      <c r="K1000" s="420"/>
      <c r="L1000" s="420">
        <f t="shared" si="180"/>
        <v>0</v>
      </c>
      <c r="M1000" s="420">
        <f t="shared" si="181"/>
        <v>0</v>
      </c>
      <c r="N1000" s="445"/>
      <c r="O1000" s="719"/>
      <c r="P1000" s="719">
        <f t="shared" si="188"/>
        <v>0</v>
      </c>
      <c r="Q1000" s="423">
        <f>SUMIF('8.Dgia'!E:E,'9.may'!E1000,'8.Dgia'!P:P)</f>
        <v>0</v>
      </c>
      <c r="R1000" s="429">
        <f t="shared" si="182"/>
        <v>0</v>
      </c>
      <c r="S1000" s="301">
        <f t="shared" si="183"/>
        <v>0</v>
      </c>
      <c r="T1000" s="430">
        <f t="shared" si="184"/>
        <v>0</v>
      </c>
      <c r="U1000" s="436"/>
      <c r="V1000" s="436"/>
      <c r="W1000" s="432"/>
      <c r="Y1000" s="433">
        <f t="shared" si="185"/>
        <v>0</v>
      </c>
      <c r="Z1000" s="433">
        <f t="shared" si="186"/>
        <v>0</v>
      </c>
      <c r="AC1000" s="410">
        <f t="shared" si="187"/>
        <v>0</v>
      </c>
    </row>
    <row r="1001" spans="2:29" s="427" customFormat="1" ht="17.25" hidden="1" customHeight="1">
      <c r="B1001" s="417" t="str">
        <f>IF(A1001&lt;&gt;0,COUNTA(A$19:$A1001),"")</f>
        <v/>
      </c>
      <c r="C1001" s="428" t="s">
        <v>1966</v>
      </c>
      <c r="D1001" s="428"/>
      <c r="E1001" s="435"/>
      <c r="F1001" s="435" t="s">
        <v>4868</v>
      </c>
      <c r="G1001" s="419"/>
      <c r="H1001" s="419">
        <v>1.8</v>
      </c>
      <c r="I1001" s="419"/>
      <c r="J1001" s="419"/>
      <c r="K1001" s="420">
        <v>1</v>
      </c>
      <c r="L1001" s="420">
        <f t="shared" si="180"/>
        <v>0</v>
      </c>
      <c r="M1001" s="420">
        <f t="shared" si="181"/>
        <v>122427</v>
      </c>
      <c r="N1001" s="445">
        <f>SUMPRODUCT(G1001:J1001,$G$12:$J$12,$G$9:$J$9)</f>
        <v>1145.97</v>
      </c>
      <c r="O1001" s="719"/>
      <c r="P1001" s="719">
        <f t="shared" si="188"/>
        <v>159076.80000000002</v>
      </c>
      <c r="Q1001" s="423">
        <f>SUMIF('8.Dgia'!E:E,'9.may'!E1001,'8.Dgia'!P:P)</f>
        <v>0</v>
      </c>
      <c r="R1001" s="429">
        <f t="shared" si="182"/>
        <v>0</v>
      </c>
      <c r="S1001" s="301">
        <f t="shared" si="183"/>
        <v>0</v>
      </c>
      <c r="T1001" s="430">
        <f t="shared" si="184"/>
        <v>123572.97</v>
      </c>
      <c r="U1001" s="431">
        <v>1724</v>
      </c>
      <c r="V1001" s="431"/>
      <c r="W1001" s="432">
        <v>122427</v>
      </c>
      <c r="Y1001" s="433">
        <f t="shared" si="185"/>
        <v>-1145.9700000000012</v>
      </c>
      <c r="Z1001" s="433">
        <f t="shared" si="186"/>
        <v>0</v>
      </c>
      <c r="AC1001" s="410">
        <f t="shared" si="187"/>
        <v>0</v>
      </c>
    </row>
    <row r="1002" spans="2:29" s="427" customFormat="1" ht="17.25" hidden="1" customHeight="1">
      <c r="B1002" s="417" t="str">
        <f>IF(A1002&lt;&gt;0,COUNTA(A$19:$A1002),"")</f>
        <v/>
      </c>
      <c r="C1002" s="428" t="s">
        <v>1967</v>
      </c>
      <c r="D1002" s="428"/>
      <c r="E1002" s="435"/>
      <c r="F1002" s="435"/>
      <c r="G1002" s="419"/>
      <c r="H1002" s="419">
        <v>1.8</v>
      </c>
      <c r="I1002" s="419"/>
      <c r="J1002" s="419"/>
      <c r="K1002" s="420">
        <v>1</v>
      </c>
      <c r="L1002" s="420">
        <f t="shared" si="180"/>
        <v>0</v>
      </c>
      <c r="M1002" s="420">
        <f t="shared" si="181"/>
        <v>70661</v>
      </c>
      <c r="N1002" s="445">
        <f>SUMPRODUCT(G1002:J1002,$G$12:$J$12,$G$9:$J$9)</f>
        <v>1145.97</v>
      </c>
      <c r="O1002" s="719"/>
      <c r="P1002" s="719">
        <f t="shared" si="188"/>
        <v>92298.66</v>
      </c>
      <c r="Q1002" s="423">
        <f>SUMIF('8.Dgia'!E:E,'9.may'!E1002,'8.Dgia'!P:P)</f>
        <v>0</v>
      </c>
      <c r="R1002" s="429">
        <f t="shared" si="182"/>
        <v>0</v>
      </c>
      <c r="S1002" s="301">
        <f t="shared" si="183"/>
        <v>0</v>
      </c>
      <c r="T1002" s="430">
        <f t="shared" si="184"/>
        <v>71806.97</v>
      </c>
      <c r="U1002" s="431">
        <v>1724</v>
      </c>
      <c r="V1002" s="431"/>
      <c r="W1002" s="432">
        <v>70661</v>
      </c>
      <c r="Y1002" s="433">
        <f t="shared" si="185"/>
        <v>-1145.9700000000012</v>
      </c>
      <c r="Z1002" s="433">
        <f t="shared" si="186"/>
        <v>0</v>
      </c>
      <c r="AC1002" s="410">
        <f t="shared" si="187"/>
        <v>0</v>
      </c>
    </row>
    <row r="1003" spans="2:29" s="427" customFormat="1" ht="17.25" hidden="1" customHeight="1">
      <c r="B1003" s="417" t="str">
        <f>IF(A1003&lt;&gt;0,COUNTA(A$19:$A1003),"")</f>
        <v/>
      </c>
      <c r="C1003" s="428" t="s">
        <v>1968</v>
      </c>
      <c r="D1003" s="428"/>
      <c r="E1003" s="435"/>
      <c r="F1003" s="435" t="s">
        <v>4869</v>
      </c>
      <c r="G1003" s="419"/>
      <c r="H1003" s="419">
        <v>1.6</v>
      </c>
      <c r="I1003" s="419"/>
      <c r="J1003" s="419"/>
      <c r="K1003" s="420">
        <v>1</v>
      </c>
      <c r="L1003" s="420">
        <f t="shared" si="180"/>
        <v>0</v>
      </c>
      <c r="M1003" s="420">
        <f t="shared" si="181"/>
        <v>9567</v>
      </c>
      <c r="N1003" s="445">
        <f>SUMPRODUCT(G1003:J1003,$G$12:$J$12,$G$9:$J$9)</f>
        <v>1018.6400000000001</v>
      </c>
      <c r="O1003" s="719"/>
      <c r="P1003" s="719">
        <f t="shared" si="188"/>
        <v>13360.07</v>
      </c>
      <c r="Q1003" s="423">
        <f>SUMIF('8.Dgia'!E:E,'9.may'!E1003,'8.Dgia'!P:P)</f>
        <v>0</v>
      </c>
      <c r="R1003" s="429">
        <f t="shared" si="182"/>
        <v>0</v>
      </c>
      <c r="S1003" s="301">
        <f t="shared" si="183"/>
        <v>0</v>
      </c>
      <c r="T1003" s="430">
        <f t="shared" si="184"/>
        <v>10585.64</v>
      </c>
      <c r="U1003" s="431">
        <v>1532</v>
      </c>
      <c r="V1003" s="431"/>
      <c r="W1003" s="432">
        <v>9567</v>
      </c>
      <c r="Y1003" s="433">
        <f t="shared" si="185"/>
        <v>-1018.6399999999994</v>
      </c>
      <c r="Z1003" s="433">
        <f t="shared" si="186"/>
        <v>0</v>
      </c>
      <c r="AC1003" s="410">
        <f t="shared" si="187"/>
        <v>0</v>
      </c>
    </row>
    <row r="1004" spans="2:29" s="427" customFormat="1" ht="17.25" hidden="1" customHeight="1">
      <c r="B1004" s="417" t="str">
        <f>IF(A1004&lt;&gt;0,COUNTA(A$19:$A1004),"")</f>
        <v/>
      </c>
      <c r="C1004" s="428" t="s">
        <v>1969</v>
      </c>
      <c r="D1004" s="428">
        <v>220</v>
      </c>
      <c r="E1004" s="435"/>
      <c r="F1004" s="435" t="s">
        <v>4870</v>
      </c>
      <c r="G1004" s="419"/>
      <c r="H1004" s="419">
        <v>0.8</v>
      </c>
      <c r="I1004" s="419"/>
      <c r="J1004" s="419"/>
      <c r="K1004" s="420">
        <v>1</v>
      </c>
      <c r="L1004" s="420">
        <f t="shared" si="180"/>
        <v>0</v>
      </c>
      <c r="M1004" s="420">
        <f t="shared" si="181"/>
        <v>18924</v>
      </c>
      <c r="N1004" s="445">
        <f>SUMPRODUCT(G1004:J1004,$G$12:$J$12,$G$9:$J$9)</f>
        <v>509.32000000000005</v>
      </c>
      <c r="O1004" s="719"/>
      <c r="P1004" s="719">
        <f t="shared" si="188"/>
        <v>24921.279999999999</v>
      </c>
      <c r="Q1004" s="423">
        <f>SUMIF('8.Dgia'!E:E,'9.may'!E1004,'8.Dgia'!P:P)</f>
        <v>0</v>
      </c>
      <c r="R1004" s="429">
        <f t="shared" si="182"/>
        <v>0</v>
      </c>
      <c r="S1004" s="301">
        <f t="shared" si="183"/>
        <v>0</v>
      </c>
      <c r="T1004" s="430">
        <f t="shared" si="184"/>
        <v>19433.32</v>
      </c>
      <c r="U1004" s="431">
        <v>766</v>
      </c>
      <c r="V1004" s="431"/>
      <c r="W1004" s="432">
        <v>18924</v>
      </c>
      <c r="Y1004" s="433">
        <f t="shared" si="185"/>
        <v>-509.31999999999971</v>
      </c>
      <c r="Z1004" s="433">
        <f t="shared" si="186"/>
        <v>0</v>
      </c>
      <c r="AC1004" s="410">
        <f t="shared" si="187"/>
        <v>0</v>
      </c>
    </row>
    <row r="1005" spans="2:29" s="456" customFormat="1" ht="17.25" hidden="1" customHeight="1">
      <c r="B1005" s="417" t="str">
        <f>IF(A1005&lt;&gt;0,COUNTA(A$19:$A1005),"")</f>
        <v/>
      </c>
      <c r="C1005" s="450"/>
      <c r="D1005" s="450"/>
      <c r="E1005" s="435"/>
      <c r="F1005" s="1045"/>
      <c r="G1005" s="451"/>
      <c r="H1005" s="451"/>
      <c r="I1005" s="451"/>
      <c r="J1005" s="451"/>
      <c r="K1005" s="452"/>
      <c r="L1005" s="420">
        <f t="shared" si="180"/>
        <v>0</v>
      </c>
      <c r="M1005" s="420">
        <f t="shared" si="181"/>
        <v>0</v>
      </c>
      <c r="N1005" s="713"/>
      <c r="O1005" s="719"/>
      <c r="P1005" s="719">
        <f t="shared" si="188"/>
        <v>0</v>
      </c>
      <c r="Q1005" s="423">
        <f>SUMIF('8.Dgia'!E:E,'9.may'!E1005,'8.Dgia'!P:P)</f>
        <v>0</v>
      </c>
      <c r="R1005" s="429">
        <f t="shared" si="182"/>
        <v>0</v>
      </c>
      <c r="S1005" s="301">
        <f t="shared" si="183"/>
        <v>0</v>
      </c>
      <c r="T1005" s="430">
        <f t="shared" si="184"/>
        <v>0</v>
      </c>
      <c r="U1005" s="453"/>
      <c r="V1005" s="454"/>
      <c r="W1005" s="455"/>
      <c r="Y1005" s="433">
        <f t="shared" si="185"/>
        <v>0</v>
      </c>
      <c r="Z1005" s="433">
        <f t="shared" si="186"/>
        <v>0</v>
      </c>
      <c r="AC1005" s="410">
        <f t="shared" si="187"/>
        <v>0</v>
      </c>
    </row>
    <row r="1006" spans="2:29" s="427" customFormat="1" ht="17.25" hidden="1" customHeight="1">
      <c r="B1006" s="417" t="str">
        <f>IF(A1006&lt;&gt;0,COUNTA(A$19:$A1006),"")</f>
        <v/>
      </c>
      <c r="C1006" s="457" t="s">
        <v>1970</v>
      </c>
      <c r="D1006" s="458"/>
      <c r="E1006" s="435"/>
      <c r="F1006" s="1045"/>
      <c r="G1006" s="459"/>
      <c r="H1006" s="459"/>
      <c r="I1006" s="459"/>
      <c r="J1006" s="459"/>
      <c r="K1006" s="420"/>
      <c r="L1006" s="420">
        <f t="shared" si="180"/>
        <v>0</v>
      </c>
      <c r="M1006" s="420">
        <f t="shared" si="181"/>
        <v>0</v>
      </c>
      <c r="N1006" s="714"/>
      <c r="O1006" s="719"/>
      <c r="P1006" s="719">
        <f t="shared" si="188"/>
        <v>0</v>
      </c>
      <c r="Q1006" s="423">
        <f>SUMIF('8.Dgia'!E:E,'9.may'!E1006,'8.Dgia'!P:P)</f>
        <v>0</v>
      </c>
      <c r="R1006" s="429">
        <f t="shared" si="182"/>
        <v>0</v>
      </c>
      <c r="S1006" s="301">
        <f t="shared" si="183"/>
        <v>0</v>
      </c>
      <c r="T1006" s="430">
        <f t="shared" si="184"/>
        <v>0</v>
      </c>
      <c r="U1006" s="424"/>
      <c r="V1006" s="460"/>
      <c r="W1006" s="461"/>
      <c r="Y1006" s="433">
        <f t="shared" si="185"/>
        <v>0</v>
      </c>
      <c r="Z1006" s="433">
        <f t="shared" si="186"/>
        <v>0</v>
      </c>
      <c r="AC1006" s="410">
        <f t="shared" si="187"/>
        <v>0</v>
      </c>
    </row>
    <row r="1007" spans="2:29" s="427" customFormat="1" ht="17.25" hidden="1" customHeight="1">
      <c r="B1007" s="417" t="str">
        <f>IF(A1007&lt;&gt;0,COUNTA(A$19:$A1007),"")</f>
        <v/>
      </c>
      <c r="C1007" s="462" t="s">
        <v>1971</v>
      </c>
      <c r="D1007" s="428"/>
      <c r="E1007" s="435"/>
      <c r="F1007" s="435" t="s">
        <v>4871</v>
      </c>
      <c r="G1007" s="419"/>
      <c r="H1007" s="419">
        <v>14.1</v>
      </c>
      <c r="I1007" s="419"/>
      <c r="J1007" s="419"/>
      <c r="K1007" s="420">
        <v>1</v>
      </c>
      <c r="L1007" s="420">
        <f t="shared" si="180"/>
        <v>97316</v>
      </c>
      <c r="M1007" s="420">
        <f t="shared" si="181"/>
        <v>164405</v>
      </c>
      <c r="N1007" s="445">
        <f t="shared" ref="N1007:N1029" si="190">SUMPRODUCT(G1007:J1007,$G$12:$J$12,$G$9:$J$9)</f>
        <v>8976.7650000000012</v>
      </c>
      <c r="O1007" s="719"/>
      <c r="P1007" s="719">
        <f t="shared" si="188"/>
        <v>221059.21500000003</v>
      </c>
      <c r="Q1007" s="423">
        <f>SUMIF('8.Dgia'!E:E,'9.may'!E1007,'8.Dgia'!P:P)</f>
        <v>0</v>
      </c>
      <c r="R1007" s="429">
        <f t="shared" si="182"/>
        <v>0</v>
      </c>
      <c r="S1007" s="301">
        <f t="shared" si="183"/>
        <v>28221.640000000003</v>
      </c>
      <c r="T1007" s="430">
        <f t="shared" si="184"/>
        <v>201603.405</v>
      </c>
      <c r="U1007" s="431">
        <v>13503</v>
      </c>
      <c r="V1007" s="431">
        <v>97316</v>
      </c>
      <c r="W1007" s="432">
        <v>164405</v>
      </c>
      <c r="Y1007" s="433">
        <f t="shared" si="185"/>
        <v>-37198.404999999999</v>
      </c>
      <c r="Z1007" s="433">
        <f t="shared" si="186"/>
        <v>0</v>
      </c>
      <c r="AC1007" s="410">
        <f t="shared" si="187"/>
        <v>0</v>
      </c>
    </row>
    <row r="1008" spans="2:29" s="427" customFormat="1" ht="17.25" hidden="1" customHeight="1">
      <c r="B1008" s="417" t="str">
        <f>IF(A1008&lt;&gt;0,COUNTA(A$19:$A1008),"")</f>
        <v/>
      </c>
      <c r="C1008" s="462" t="s">
        <v>1972</v>
      </c>
      <c r="D1008" s="428"/>
      <c r="E1008" s="435"/>
      <c r="F1008" s="435"/>
      <c r="G1008" s="419"/>
      <c r="H1008" s="419">
        <v>6.5</v>
      </c>
      <c r="I1008" s="419"/>
      <c r="J1008" s="419"/>
      <c r="K1008" s="420">
        <v>1</v>
      </c>
      <c r="L1008" s="420">
        <f t="shared" si="180"/>
        <v>0</v>
      </c>
      <c r="M1008" s="420">
        <f t="shared" si="181"/>
        <v>47473</v>
      </c>
      <c r="N1008" s="445">
        <f t="shared" si="190"/>
        <v>4138.2250000000004</v>
      </c>
      <c r="O1008" s="719"/>
      <c r="P1008" s="719">
        <f t="shared" si="188"/>
        <v>65378.394999999997</v>
      </c>
      <c r="Q1008" s="423">
        <f>SUMIF('8.Dgia'!E:E,'9.may'!E1008,'8.Dgia'!P:P)</f>
        <v>0</v>
      </c>
      <c r="R1008" s="429">
        <f t="shared" si="182"/>
        <v>0</v>
      </c>
      <c r="S1008" s="301">
        <f t="shared" si="183"/>
        <v>0</v>
      </c>
      <c r="T1008" s="430">
        <f t="shared" si="184"/>
        <v>51611.224999999999</v>
      </c>
      <c r="U1008" s="431">
        <v>6225</v>
      </c>
      <c r="V1008" s="431"/>
      <c r="W1008" s="432">
        <v>47473</v>
      </c>
      <c r="Y1008" s="433">
        <f t="shared" si="185"/>
        <v>-4138.2249999999985</v>
      </c>
      <c r="Z1008" s="433">
        <f t="shared" si="186"/>
        <v>0</v>
      </c>
      <c r="AC1008" s="410">
        <f t="shared" si="187"/>
        <v>0</v>
      </c>
    </row>
    <row r="1009" spans="1:29" s="427" customFormat="1" ht="17.25" hidden="1" customHeight="1">
      <c r="B1009" s="417" t="str">
        <f>IF(A1009&lt;&gt;0,COUNTA(A$19:$A1009),"")</f>
        <v/>
      </c>
      <c r="C1009" s="462" t="s">
        <v>1973</v>
      </c>
      <c r="D1009" s="428"/>
      <c r="E1009" s="435"/>
      <c r="F1009" s="435"/>
      <c r="G1009" s="419"/>
      <c r="H1009" s="419">
        <v>1.6</v>
      </c>
      <c r="I1009" s="419"/>
      <c r="J1009" s="419"/>
      <c r="K1009" s="420">
        <v>1</v>
      </c>
      <c r="L1009" s="420">
        <f t="shared" si="180"/>
        <v>0</v>
      </c>
      <c r="M1009" s="420">
        <f t="shared" si="181"/>
        <v>5569</v>
      </c>
      <c r="N1009" s="445">
        <f t="shared" si="190"/>
        <v>1018.6400000000001</v>
      </c>
      <c r="O1009" s="719"/>
      <c r="P1009" s="719">
        <f t="shared" si="188"/>
        <v>8202.65</v>
      </c>
      <c r="Q1009" s="423">
        <f>SUMIF('8.Dgia'!E:E,'9.may'!E1009,'8.Dgia'!P:P)</f>
        <v>0</v>
      </c>
      <c r="R1009" s="429">
        <f t="shared" si="182"/>
        <v>0</v>
      </c>
      <c r="S1009" s="301">
        <f t="shared" si="183"/>
        <v>0</v>
      </c>
      <c r="T1009" s="430">
        <f t="shared" si="184"/>
        <v>6587.64</v>
      </c>
      <c r="U1009" s="431">
        <v>1532</v>
      </c>
      <c r="V1009" s="431"/>
      <c r="W1009" s="432">
        <v>5569</v>
      </c>
      <c r="Y1009" s="433">
        <f t="shared" si="185"/>
        <v>-1018.6400000000003</v>
      </c>
      <c r="Z1009" s="433">
        <f t="shared" si="186"/>
        <v>0</v>
      </c>
      <c r="AC1009" s="410">
        <f t="shared" si="187"/>
        <v>0</v>
      </c>
    </row>
    <row r="1010" spans="1:29" s="427" customFormat="1" ht="17.25" hidden="1" customHeight="1">
      <c r="B1010" s="417" t="str">
        <f>IF(A1010&lt;&gt;0,COUNTA(A$19:$A1010),"")</f>
        <v/>
      </c>
      <c r="C1010" s="462" t="s">
        <v>1974</v>
      </c>
      <c r="D1010" s="428"/>
      <c r="E1010" s="435"/>
      <c r="F1010" s="435"/>
      <c r="G1010" s="419">
        <v>9.1999999999999993</v>
      </c>
      <c r="H1010" s="419"/>
      <c r="I1010" s="419"/>
      <c r="J1010" s="419"/>
      <c r="K1010" s="420">
        <v>1</v>
      </c>
      <c r="L1010" s="420">
        <f t="shared" si="180"/>
        <v>0</v>
      </c>
      <c r="M1010" s="420">
        <f t="shared" si="181"/>
        <v>247130</v>
      </c>
      <c r="N1010" s="445">
        <f t="shared" si="190"/>
        <v>149468.30181818179</v>
      </c>
      <c r="O1010" s="719"/>
      <c r="P1010" s="719">
        <f t="shared" si="188"/>
        <v>468266.00181818183</v>
      </c>
      <c r="Q1010" s="423">
        <f>SUMIF('8.Dgia'!E:E,'9.may'!E1010,'8.Dgia'!P:P)</f>
        <v>0</v>
      </c>
      <c r="R1010" s="429">
        <f t="shared" si="182"/>
        <v>0</v>
      </c>
      <c r="S1010" s="301">
        <f t="shared" si="183"/>
        <v>0</v>
      </c>
      <c r="T1010" s="430">
        <f t="shared" si="184"/>
        <v>396598.30181818176</v>
      </c>
      <c r="U1010" s="431">
        <v>65862</v>
      </c>
      <c r="V1010" s="431"/>
      <c r="W1010" s="432">
        <v>247130</v>
      </c>
      <c r="Y1010" s="433">
        <f t="shared" si="185"/>
        <v>-149468.30181818176</v>
      </c>
      <c r="Z1010" s="433">
        <f t="shared" si="186"/>
        <v>0</v>
      </c>
      <c r="AC1010" s="410">
        <f t="shared" si="187"/>
        <v>0</v>
      </c>
    </row>
    <row r="1011" spans="1:29" s="427" customFormat="1" ht="17.25" hidden="1" customHeight="1">
      <c r="B1011" s="417" t="str">
        <f>IF(A1011&lt;&gt;0,COUNTA(A$19:$A1011),"")</f>
        <v/>
      </c>
      <c r="C1011" s="462" t="s">
        <v>1975</v>
      </c>
      <c r="D1011" s="428"/>
      <c r="E1011" s="435"/>
      <c r="F1011" s="435"/>
      <c r="G1011" s="419">
        <v>13.8</v>
      </c>
      <c r="H1011" s="419"/>
      <c r="I1011" s="419"/>
      <c r="J1011" s="419"/>
      <c r="K1011" s="420">
        <v>1</v>
      </c>
      <c r="L1011" s="420">
        <f t="shared" si="180"/>
        <v>0</v>
      </c>
      <c r="M1011" s="420">
        <f t="shared" si="181"/>
        <v>211780</v>
      </c>
      <c r="N1011" s="445">
        <f t="shared" si="190"/>
        <v>224202.4527272727</v>
      </c>
      <c r="O1011" s="719"/>
      <c r="P1011" s="719">
        <f t="shared" si="188"/>
        <v>497398.65272727271</v>
      </c>
      <c r="Q1011" s="423">
        <f>SUMIF('8.Dgia'!E:E,'9.may'!E1011,'8.Dgia'!P:P)</f>
        <v>0</v>
      </c>
      <c r="R1011" s="429">
        <f t="shared" si="182"/>
        <v>0</v>
      </c>
      <c r="S1011" s="301">
        <f t="shared" si="183"/>
        <v>0</v>
      </c>
      <c r="T1011" s="430">
        <f t="shared" si="184"/>
        <v>435982.4527272727</v>
      </c>
      <c r="U1011" s="431">
        <v>98793</v>
      </c>
      <c r="V1011" s="431"/>
      <c r="W1011" s="432">
        <v>211780</v>
      </c>
      <c r="Y1011" s="433">
        <f t="shared" si="185"/>
        <v>-224202.4527272727</v>
      </c>
      <c r="Z1011" s="433">
        <f t="shared" si="186"/>
        <v>0</v>
      </c>
      <c r="AC1011" s="410">
        <f t="shared" si="187"/>
        <v>0</v>
      </c>
    </row>
    <row r="1012" spans="1:29" s="427" customFormat="1" ht="17.25" hidden="1" customHeight="1">
      <c r="B1012" s="417" t="str">
        <f>IF(A1012&lt;&gt;0,COUNTA(A$19:$A1012),"")</f>
        <v/>
      </c>
      <c r="C1012" s="462" t="s">
        <v>1976</v>
      </c>
      <c r="D1012" s="428"/>
      <c r="E1012" s="435"/>
      <c r="F1012" s="435" t="s">
        <v>4872</v>
      </c>
      <c r="G1012" s="419">
        <v>15.8</v>
      </c>
      <c r="H1012" s="419"/>
      <c r="I1012" s="419"/>
      <c r="J1012" s="419"/>
      <c r="K1012" s="420">
        <v>1</v>
      </c>
      <c r="L1012" s="420">
        <f t="shared" si="180"/>
        <v>0</v>
      </c>
      <c r="M1012" s="420">
        <f t="shared" si="181"/>
        <v>392299</v>
      </c>
      <c r="N1012" s="445">
        <f t="shared" si="190"/>
        <v>256695.5618181818</v>
      </c>
      <c r="O1012" s="719"/>
      <c r="P1012" s="719">
        <f t="shared" si="188"/>
        <v>762761.27181818185</v>
      </c>
      <c r="Q1012" s="423">
        <f>SUMIF('8.Dgia'!E:E,'9.may'!E1012,'8.Dgia'!P:P)</f>
        <v>0</v>
      </c>
      <c r="R1012" s="429">
        <f t="shared" si="182"/>
        <v>0</v>
      </c>
      <c r="S1012" s="301">
        <f t="shared" si="183"/>
        <v>0</v>
      </c>
      <c r="T1012" s="430">
        <f t="shared" si="184"/>
        <v>648994.56181818177</v>
      </c>
      <c r="U1012" s="431">
        <v>113111</v>
      </c>
      <c r="V1012" s="431"/>
      <c r="W1012" s="432">
        <v>392299</v>
      </c>
      <c r="Y1012" s="433">
        <f t="shared" si="185"/>
        <v>-256695.56181818177</v>
      </c>
      <c r="Z1012" s="433">
        <f t="shared" si="186"/>
        <v>0</v>
      </c>
      <c r="AC1012" s="410">
        <f t="shared" si="187"/>
        <v>0</v>
      </c>
    </row>
    <row r="1013" spans="1:29" s="427" customFormat="1" ht="17.25" hidden="1" customHeight="1">
      <c r="B1013" s="417" t="str">
        <f>IF(A1013&lt;&gt;0,COUNTA(A$19:$A1013),"")</f>
        <v/>
      </c>
      <c r="C1013" s="462" t="s">
        <v>1977</v>
      </c>
      <c r="D1013" s="428"/>
      <c r="E1013" s="435"/>
      <c r="F1013" s="435" t="s">
        <v>4873</v>
      </c>
      <c r="G1013" s="419">
        <v>24</v>
      </c>
      <c r="H1013" s="419"/>
      <c r="I1013" s="419"/>
      <c r="J1013" s="419"/>
      <c r="K1013" s="420"/>
      <c r="L1013" s="420">
        <f t="shared" si="180"/>
        <v>90531</v>
      </c>
      <c r="M1013" s="420">
        <f t="shared" si="181"/>
        <v>503618</v>
      </c>
      <c r="N1013" s="445">
        <f t="shared" si="190"/>
        <v>389917.30909090902</v>
      </c>
      <c r="O1013" s="719"/>
      <c r="P1013" s="719">
        <f t="shared" si="188"/>
        <v>1039584.5290909091</v>
      </c>
      <c r="Q1013" s="423">
        <f>SUMIF('8.Dgia'!E:E,'9.may'!E1013,'8.Dgia'!P:P)</f>
        <v>0</v>
      </c>
      <c r="R1013" s="429">
        <f t="shared" si="182"/>
        <v>0</v>
      </c>
      <c r="S1013" s="301">
        <f t="shared" si="183"/>
        <v>26253.99</v>
      </c>
      <c r="T1013" s="430">
        <f t="shared" si="184"/>
        <v>919789.29909090907</v>
      </c>
      <c r="U1013" s="463">
        <v>171814</v>
      </c>
      <c r="V1013" s="463">
        <v>90531</v>
      </c>
      <c r="W1013" s="464">
        <v>503618</v>
      </c>
      <c r="Y1013" s="433">
        <f t="shared" si="185"/>
        <v>-416171.29909090907</v>
      </c>
      <c r="Z1013" s="433">
        <f t="shared" si="186"/>
        <v>0</v>
      </c>
      <c r="AC1013" s="410">
        <f t="shared" si="187"/>
        <v>0</v>
      </c>
    </row>
    <row r="1014" spans="1:29" s="427" customFormat="1" ht="17.25" hidden="1" customHeight="1">
      <c r="B1014" s="417" t="str">
        <f>IF(A1014&lt;&gt;0,COUNTA(A$19:$A1014),"")</f>
        <v/>
      </c>
      <c r="C1014" s="625" t="s">
        <v>3436</v>
      </c>
      <c r="D1014" s="458"/>
      <c r="E1014" s="435"/>
      <c r="F1014" s="1045"/>
      <c r="G1014" s="459"/>
      <c r="H1014" s="459"/>
      <c r="I1014" s="459"/>
      <c r="J1014" s="459"/>
      <c r="K1014" s="420"/>
      <c r="L1014" s="465"/>
      <c r="M1014" s="466"/>
      <c r="N1014" s="445">
        <f t="shared" si="190"/>
        <v>0</v>
      </c>
      <c r="O1014" s="719"/>
      <c r="P1014" s="719">
        <f t="shared" si="188"/>
        <v>0</v>
      </c>
      <c r="Q1014" s="423">
        <f>SUMIF('8.Dgia'!E:E,'9.may'!E1014,'8.Dgia'!P:P)</f>
        <v>0</v>
      </c>
      <c r="R1014" s="467"/>
      <c r="S1014" s="467"/>
      <c r="T1014" s="467"/>
      <c r="U1014" s="424"/>
      <c r="V1014" s="460"/>
      <c r="W1014" s="461"/>
      <c r="Y1014" s="433">
        <f t="shared" si="185"/>
        <v>0</v>
      </c>
      <c r="Z1014" s="433">
        <f t="shared" si="186"/>
        <v>0</v>
      </c>
      <c r="AC1014" s="410">
        <f t="shared" si="187"/>
        <v>0</v>
      </c>
    </row>
    <row r="1015" spans="1:29" s="427" customFormat="1" ht="17.100000000000001" customHeight="1">
      <c r="A1015" s="410">
        <v>1</v>
      </c>
      <c r="B1015" s="417">
        <f>IF(A1015&lt;&gt;0,COUNTA(A$19:$A1015),"")</f>
        <v>229</v>
      </c>
      <c r="C1015" s="626" t="s">
        <v>2250</v>
      </c>
      <c r="D1015" s="458"/>
      <c r="E1015" s="435" t="s">
        <v>5881</v>
      </c>
      <c r="F1015" s="1045" t="s">
        <v>4879</v>
      </c>
      <c r="G1015" s="459"/>
      <c r="H1015" s="627">
        <v>232.56</v>
      </c>
      <c r="I1015" s="459"/>
      <c r="J1015" s="459"/>
      <c r="K1015" s="628"/>
      <c r="L1015" s="628">
        <v>359868</v>
      </c>
      <c r="M1015" s="629">
        <v>4549877</v>
      </c>
      <c r="N1015" s="445">
        <f t="shared" si="190"/>
        <v>148059.32400000002</v>
      </c>
      <c r="O1015" s="719"/>
      <c r="P1015" s="719">
        <f t="shared" si="188"/>
        <v>6017400.6540000001</v>
      </c>
      <c r="Q1015" s="423">
        <f>SUMIF('8.Dgia'!E:E,'9.may'!E1015,'8.Dgia'!P:P)</f>
        <v>0</v>
      </c>
      <c r="R1015" s="467"/>
      <c r="S1015" s="467"/>
      <c r="T1015" s="467"/>
      <c r="U1015" s="424"/>
      <c r="V1015" s="460"/>
      <c r="W1015" s="461"/>
      <c r="Y1015" s="433">
        <f t="shared" si="185"/>
        <v>0</v>
      </c>
      <c r="Z1015" s="433">
        <f t="shared" si="186"/>
        <v>-4549877</v>
      </c>
      <c r="AC1015" s="410">
        <f t="shared" si="187"/>
        <v>0</v>
      </c>
    </row>
    <row r="1016" spans="1:29" s="427" customFormat="1" ht="17.100000000000001" customHeight="1">
      <c r="A1016" s="410">
        <v>1</v>
      </c>
      <c r="B1016" s="417">
        <f>IF(A1016&lt;&gt;0,COUNTA(A$19:$A1016),"")</f>
        <v>230</v>
      </c>
      <c r="C1016" s="626" t="s">
        <v>3437</v>
      </c>
      <c r="D1016" s="458"/>
      <c r="E1016" s="435" t="s">
        <v>3437</v>
      </c>
      <c r="F1016" s="1045" t="s">
        <v>4874</v>
      </c>
      <c r="G1016" s="459"/>
      <c r="H1016" s="627">
        <v>15</v>
      </c>
      <c r="I1016" s="459"/>
      <c r="J1016" s="459"/>
      <c r="K1016" s="628"/>
      <c r="L1016" s="628">
        <v>56800</v>
      </c>
      <c r="M1016" s="629">
        <v>274352</v>
      </c>
      <c r="N1016" s="445">
        <f t="shared" si="190"/>
        <v>9549.75</v>
      </c>
      <c r="O1016" s="719"/>
      <c r="P1016" s="719">
        <f t="shared" si="188"/>
        <v>363463.83</v>
      </c>
      <c r="Q1016" s="423">
        <f>SUMIF('8.Dgia'!E:E,'9.may'!E1016,'8.Dgia'!P:P)</f>
        <v>0</v>
      </c>
      <c r="R1016" s="467"/>
      <c r="S1016" s="467"/>
      <c r="T1016" s="467"/>
      <c r="U1016" s="424"/>
      <c r="V1016" s="460"/>
      <c r="W1016" s="461"/>
      <c r="Y1016" s="433">
        <f t="shared" si="185"/>
        <v>0</v>
      </c>
      <c r="Z1016" s="433">
        <f t="shared" si="186"/>
        <v>-274352</v>
      </c>
      <c r="AC1016" s="410">
        <f t="shared" si="187"/>
        <v>0</v>
      </c>
    </row>
    <row r="1017" spans="1:29" s="427" customFormat="1" ht="17.25" hidden="1" customHeight="1">
      <c r="B1017" s="417" t="str">
        <f>IF(A1017&lt;&gt;0,COUNTA(A$19:$A1017),"")</f>
        <v/>
      </c>
      <c r="C1017" s="458"/>
      <c r="D1017" s="458"/>
      <c r="E1017" s="435"/>
      <c r="F1017" s="1045" t="s">
        <v>4875</v>
      </c>
      <c r="G1017" s="459"/>
      <c r="H1017" s="459"/>
      <c r="I1017" s="459"/>
      <c r="J1017" s="459"/>
      <c r="K1017" s="420"/>
      <c r="L1017" s="465"/>
      <c r="M1017" s="466"/>
      <c r="N1017" s="445">
        <f t="shared" si="190"/>
        <v>0</v>
      </c>
      <c r="O1017" s="719"/>
      <c r="P1017" s="719">
        <f t="shared" si="188"/>
        <v>0</v>
      </c>
      <c r="Q1017" s="423">
        <f>SUMIF('8.Dgia'!E:E,'9.may'!E1017,'8.Dgia'!P:P)</f>
        <v>0</v>
      </c>
      <c r="R1017" s="467"/>
      <c r="S1017" s="467"/>
      <c r="T1017" s="467"/>
      <c r="U1017" s="424" t="e">
        <f>J1017*diezel*1.05/1000+K1017*dien*1.07/1000+L1017*xang*1.03/1000+M1017*mazut*1/1000</f>
        <v>#NAME?</v>
      </c>
      <c r="V1017" s="460"/>
      <c r="W1017" s="461"/>
      <c r="Y1017" s="433">
        <f t="shared" si="185"/>
        <v>0</v>
      </c>
      <c r="Z1017" s="433">
        <f t="shared" si="186"/>
        <v>0</v>
      </c>
      <c r="AC1017" s="410">
        <f t="shared" si="187"/>
        <v>0</v>
      </c>
    </row>
    <row r="1018" spans="1:29" s="427" customFormat="1" ht="17.25" hidden="1" customHeight="1">
      <c r="B1018" s="417" t="str">
        <f>IF(A1018&lt;&gt;0,COUNTA(A$19:$A1018),"")</f>
        <v/>
      </c>
      <c r="C1018" s="458"/>
      <c r="D1018" s="458"/>
      <c r="E1018" s="435"/>
      <c r="F1018" s="1045" t="s">
        <v>4876</v>
      </c>
      <c r="G1018" s="459"/>
      <c r="H1018" s="459"/>
      <c r="I1018" s="459"/>
      <c r="J1018" s="459"/>
      <c r="K1018" s="465"/>
      <c r="L1018" s="465"/>
      <c r="M1018" s="466"/>
      <c r="N1018" s="445">
        <f t="shared" si="190"/>
        <v>0</v>
      </c>
      <c r="O1018" s="719"/>
      <c r="P1018" s="719">
        <f t="shared" si="188"/>
        <v>0</v>
      </c>
      <c r="Q1018" s="423">
        <f>SUMIF('8.Dgia'!E:E,'9.may'!E1018,'8.Dgia'!P:P)</f>
        <v>0</v>
      </c>
      <c r="R1018" s="467"/>
      <c r="S1018" s="467"/>
      <c r="T1018" s="467"/>
      <c r="U1018" s="468"/>
      <c r="V1018" s="460"/>
      <c r="W1018" s="461"/>
      <c r="Y1018" s="433">
        <f t="shared" si="185"/>
        <v>0</v>
      </c>
      <c r="Z1018" s="433">
        <f t="shared" si="186"/>
        <v>0</v>
      </c>
      <c r="AC1018" s="410">
        <f t="shared" si="187"/>
        <v>0</v>
      </c>
    </row>
    <row r="1019" spans="1:29" s="427" customFormat="1" ht="17.25" hidden="1" customHeight="1">
      <c r="B1019" s="417" t="str">
        <f>IF(A1019&lt;&gt;0,COUNTA(A$19:$A1019),"")</f>
        <v/>
      </c>
      <c r="C1019" s="458"/>
      <c r="D1019" s="458"/>
      <c r="E1019" s="435"/>
      <c r="F1019" s="1045" t="s">
        <v>4877</v>
      </c>
      <c r="G1019" s="459"/>
      <c r="H1019" s="459"/>
      <c r="I1019" s="459"/>
      <c r="J1019" s="459"/>
      <c r="K1019" s="465"/>
      <c r="L1019" s="465"/>
      <c r="M1019" s="466"/>
      <c r="N1019" s="445">
        <f t="shared" si="190"/>
        <v>0</v>
      </c>
      <c r="O1019" s="719"/>
      <c r="P1019" s="719">
        <f t="shared" si="188"/>
        <v>0</v>
      </c>
      <c r="Q1019" s="423">
        <f>SUMIF('8.Dgia'!E:E,'9.may'!E1019,'8.Dgia'!P:P)</f>
        <v>0</v>
      </c>
      <c r="R1019" s="467"/>
      <c r="S1019" s="467"/>
      <c r="T1019" s="467"/>
      <c r="U1019" s="468"/>
      <c r="V1019" s="460"/>
      <c r="W1019" s="461"/>
      <c r="Y1019" s="433">
        <f t="shared" si="185"/>
        <v>0</v>
      </c>
      <c r="Z1019" s="433">
        <f t="shared" si="186"/>
        <v>0</v>
      </c>
      <c r="AC1019" s="410">
        <f t="shared" si="187"/>
        <v>0</v>
      </c>
    </row>
    <row r="1020" spans="1:29" s="427" customFormat="1" ht="17.25" hidden="1" customHeight="1">
      <c r="B1020" s="417" t="str">
        <f>IF(A1020&lt;&gt;0,COUNTA(A$19:$A1020),"")</f>
        <v/>
      </c>
      <c r="C1020" s="458"/>
      <c r="D1020" s="458"/>
      <c r="E1020" s="435"/>
      <c r="F1020" s="1045" t="s">
        <v>4878</v>
      </c>
      <c r="G1020" s="459"/>
      <c r="H1020" s="459"/>
      <c r="I1020" s="459"/>
      <c r="J1020" s="459"/>
      <c r="K1020" s="465"/>
      <c r="L1020" s="465"/>
      <c r="M1020" s="466"/>
      <c r="N1020" s="445">
        <f t="shared" si="190"/>
        <v>0</v>
      </c>
      <c r="O1020" s="719"/>
      <c r="P1020" s="719">
        <f t="shared" si="188"/>
        <v>0</v>
      </c>
      <c r="Q1020" s="423">
        <f>SUMIF('8.Dgia'!E:E,'9.may'!E1020,'8.Dgia'!P:P)</f>
        <v>0</v>
      </c>
      <c r="R1020" s="467"/>
      <c r="S1020" s="467"/>
      <c r="T1020" s="467"/>
      <c r="U1020" s="468"/>
      <c r="V1020" s="460"/>
      <c r="W1020" s="461"/>
      <c r="Y1020" s="433">
        <f t="shared" si="185"/>
        <v>0</v>
      </c>
      <c r="Z1020" s="433">
        <f t="shared" si="186"/>
        <v>0</v>
      </c>
      <c r="AC1020" s="410">
        <f t="shared" si="187"/>
        <v>0</v>
      </c>
    </row>
    <row r="1021" spans="1:29" s="427" customFormat="1" ht="17.25" hidden="1" customHeight="1">
      <c r="B1021" s="417" t="str">
        <f>IF(A1021&lt;&gt;0,COUNTA(A$19:$A1021),"")</f>
        <v/>
      </c>
      <c r="C1021" s="458"/>
      <c r="D1021" s="458"/>
      <c r="E1021" s="435"/>
      <c r="F1021" s="1045" t="s">
        <v>4879</v>
      </c>
      <c r="G1021" s="459"/>
      <c r="H1021" s="459"/>
      <c r="I1021" s="459"/>
      <c r="J1021" s="459"/>
      <c r="K1021" s="465"/>
      <c r="L1021" s="465"/>
      <c r="M1021" s="466"/>
      <c r="N1021" s="445">
        <f t="shared" si="190"/>
        <v>0</v>
      </c>
      <c r="O1021" s="719"/>
      <c r="P1021" s="719">
        <f t="shared" si="188"/>
        <v>0</v>
      </c>
      <c r="Q1021" s="423">
        <f>SUMIF('8.Dgia'!E:E,'9.may'!E1021,'8.Dgia'!P:P)</f>
        <v>0</v>
      </c>
      <c r="R1021" s="467"/>
      <c r="S1021" s="467"/>
      <c r="T1021" s="467"/>
      <c r="U1021" s="468"/>
      <c r="V1021" s="460"/>
      <c r="W1021" s="461"/>
      <c r="Y1021" s="433">
        <f t="shared" si="185"/>
        <v>0</v>
      </c>
      <c r="Z1021" s="433">
        <f t="shared" si="186"/>
        <v>0</v>
      </c>
      <c r="AC1021" s="410">
        <f t="shared" si="187"/>
        <v>0</v>
      </c>
    </row>
    <row r="1022" spans="1:29" s="427" customFormat="1" ht="17.25" hidden="1" customHeight="1">
      <c r="B1022" s="417" t="str">
        <f>IF(A1022&lt;&gt;0,COUNTA(A$19:$A1022),"")</f>
        <v/>
      </c>
      <c r="C1022" s="469"/>
      <c r="D1022" s="469"/>
      <c r="E1022" s="435"/>
      <c r="F1022" s="1045" t="s">
        <v>4880</v>
      </c>
      <c r="G1022" s="470"/>
      <c r="H1022" s="470"/>
      <c r="I1022" s="470"/>
      <c r="J1022" s="470"/>
      <c r="K1022" s="471"/>
      <c r="L1022" s="472"/>
      <c r="M1022" s="473"/>
      <c r="N1022" s="445">
        <f t="shared" si="190"/>
        <v>0</v>
      </c>
      <c r="O1022" s="719"/>
      <c r="P1022" s="719">
        <f t="shared" si="188"/>
        <v>0</v>
      </c>
      <c r="Q1022" s="423">
        <f>SUMIF('8.Dgia'!E:E,'9.may'!E1022,'8.Dgia'!P:P)</f>
        <v>0</v>
      </c>
      <c r="R1022" s="467"/>
      <c r="S1022" s="467"/>
      <c r="T1022" s="467"/>
      <c r="U1022" s="474"/>
      <c r="V1022" s="475"/>
      <c r="W1022" s="476"/>
      <c r="Y1022" s="433">
        <f t="shared" si="185"/>
        <v>0</v>
      </c>
      <c r="Z1022" s="433">
        <f t="shared" si="186"/>
        <v>0</v>
      </c>
      <c r="AC1022" s="410">
        <f t="shared" si="187"/>
        <v>0</v>
      </c>
    </row>
    <row r="1023" spans="1:29" s="410" customFormat="1" ht="12.75" hidden="1">
      <c r="B1023" s="417" t="str">
        <f>IF(A1023&lt;&gt;0,COUNTA(A$19:$A1023),"")</f>
        <v/>
      </c>
      <c r="C1023" s="402"/>
      <c r="D1023" s="402"/>
      <c r="E1023" s="435"/>
      <c r="F1023" s="1045"/>
      <c r="G1023" s="470"/>
      <c r="H1023" s="470"/>
      <c r="I1023" s="470"/>
      <c r="J1023" s="470"/>
      <c r="K1023" s="471"/>
      <c r="L1023" s="472"/>
      <c r="M1023" s="473"/>
      <c r="N1023" s="445">
        <f t="shared" si="190"/>
        <v>0</v>
      </c>
      <c r="O1023" s="719"/>
      <c r="P1023" s="719">
        <f t="shared" si="188"/>
        <v>0</v>
      </c>
      <c r="Q1023" s="423">
        <f>SUMIF('8.Dgia'!E:E,'9.may'!E1023,'8.Dgia'!P:P)</f>
        <v>0</v>
      </c>
      <c r="S1023" s="477"/>
      <c r="T1023" s="477"/>
      <c r="U1023" s="401"/>
      <c r="V1023" s="401"/>
      <c r="W1023" s="401"/>
      <c r="Y1023" s="433">
        <f t="shared" si="185"/>
        <v>0</v>
      </c>
      <c r="Z1023" s="433">
        <f t="shared" si="186"/>
        <v>0</v>
      </c>
      <c r="AC1023" s="410">
        <f t="shared" si="187"/>
        <v>0</v>
      </c>
    </row>
    <row r="1024" spans="1:29" s="410" customFormat="1" ht="12.75" hidden="1">
      <c r="B1024" s="417" t="str">
        <f>IF(A1024&lt;&gt;0,COUNTA(A$19:$A1024),"")</f>
        <v/>
      </c>
      <c r="C1024" s="402"/>
      <c r="D1024" s="402"/>
      <c r="E1024" s="435"/>
      <c r="F1024" s="1045"/>
      <c r="G1024" s="470"/>
      <c r="H1024" s="470"/>
      <c r="I1024" s="470"/>
      <c r="J1024" s="470"/>
      <c r="K1024" s="471"/>
      <c r="L1024" s="472"/>
      <c r="M1024" s="473"/>
      <c r="N1024" s="445">
        <f t="shared" si="190"/>
        <v>0</v>
      </c>
      <c r="O1024" s="719"/>
      <c r="P1024" s="719">
        <f t="shared" si="188"/>
        <v>0</v>
      </c>
      <c r="Q1024" s="423">
        <f>SUMIF('8.Dgia'!E:E,'9.may'!E1024,'8.Dgia'!P:P)</f>
        <v>0</v>
      </c>
      <c r="S1024" s="477"/>
      <c r="T1024" s="477"/>
      <c r="U1024" s="401"/>
      <c r="V1024" s="401"/>
      <c r="W1024" s="401"/>
      <c r="Y1024" s="433">
        <f t="shared" si="185"/>
        <v>0</v>
      </c>
      <c r="Z1024" s="433">
        <f t="shared" si="186"/>
        <v>0</v>
      </c>
      <c r="AC1024" s="410">
        <f t="shared" si="187"/>
        <v>0</v>
      </c>
    </row>
    <row r="1025" spans="1:29" s="410" customFormat="1" ht="12.75" hidden="1">
      <c r="B1025" s="417" t="str">
        <f>IF(A1025&lt;&gt;0,COUNTA(A$19:$A1025),"")</f>
        <v/>
      </c>
      <c r="C1025" s="402"/>
      <c r="D1025" s="402"/>
      <c r="E1025" s="435"/>
      <c r="F1025" s="1045" t="s">
        <v>4881</v>
      </c>
      <c r="G1025" s="470"/>
      <c r="H1025" s="470"/>
      <c r="I1025" s="470"/>
      <c r="J1025" s="470"/>
      <c r="K1025" s="471"/>
      <c r="L1025" s="472"/>
      <c r="M1025" s="473"/>
      <c r="N1025" s="445">
        <f t="shared" si="190"/>
        <v>0</v>
      </c>
      <c r="O1025" s="719"/>
      <c r="P1025" s="719">
        <f t="shared" si="188"/>
        <v>0</v>
      </c>
      <c r="Q1025" s="423">
        <f>SUMIF('8.Dgia'!E:E,'9.may'!E1025,'8.Dgia'!P:P)</f>
        <v>0</v>
      </c>
      <c r="S1025" s="477"/>
      <c r="T1025" s="477"/>
      <c r="U1025" s="401"/>
      <c r="V1025" s="401"/>
      <c r="W1025" s="401"/>
      <c r="Y1025" s="433">
        <f t="shared" si="185"/>
        <v>0</v>
      </c>
      <c r="Z1025" s="433">
        <f t="shared" si="186"/>
        <v>0</v>
      </c>
      <c r="AC1025" s="410">
        <f t="shared" si="187"/>
        <v>0</v>
      </c>
    </row>
    <row r="1026" spans="1:29" s="410" customFormat="1" ht="12.75" hidden="1">
      <c r="B1026" s="417" t="str">
        <f>IF(A1026&lt;&gt;0,COUNTA(A$19:$A1026),"")</f>
        <v/>
      </c>
      <c r="C1026" s="402"/>
      <c r="D1026" s="402"/>
      <c r="E1026" s="435"/>
      <c r="F1026" s="1045" t="s">
        <v>4882</v>
      </c>
      <c r="G1026" s="470"/>
      <c r="H1026" s="470"/>
      <c r="I1026" s="470"/>
      <c r="J1026" s="470"/>
      <c r="K1026" s="471"/>
      <c r="L1026" s="472"/>
      <c r="M1026" s="473"/>
      <c r="N1026" s="445">
        <f t="shared" si="190"/>
        <v>0</v>
      </c>
      <c r="O1026" s="719"/>
      <c r="P1026" s="719">
        <f t="shared" si="188"/>
        <v>0</v>
      </c>
      <c r="Q1026" s="423">
        <f>SUMIF('8.Dgia'!E:E,'9.may'!E1026,'8.Dgia'!P:P)</f>
        <v>0</v>
      </c>
      <c r="S1026" s="477"/>
      <c r="T1026" s="477"/>
      <c r="U1026" s="401"/>
      <c r="V1026" s="401"/>
      <c r="W1026" s="401"/>
      <c r="Y1026" s="433">
        <f t="shared" si="185"/>
        <v>0</v>
      </c>
      <c r="Z1026" s="433">
        <f t="shared" si="186"/>
        <v>0</v>
      </c>
      <c r="AC1026" s="410">
        <f t="shared" si="187"/>
        <v>0</v>
      </c>
    </row>
    <row r="1027" spans="1:29" s="410" customFormat="1" ht="17.100000000000001" customHeight="1">
      <c r="A1027" s="410">
        <v>1</v>
      </c>
      <c r="B1027" s="417">
        <f>IF(A1027&lt;&gt;0,COUNTA(A$19:$A1027),"")</f>
        <v>231</v>
      </c>
      <c r="C1027" s="442"/>
      <c r="D1027" s="419"/>
      <c r="E1027" s="435" t="s">
        <v>357</v>
      </c>
      <c r="F1027" s="972" t="s">
        <v>4172</v>
      </c>
      <c r="G1027" s="419">
        <v>57.6</v>
      </c>
      <c r="H1027" s="419"/>
      <c r="I1027" s="420"/>
      <c r="J1027" s="422"/>
      <c r="K1027" s="301"/>
      <c r="L1027" s="301"/>
      <c r="M1027" s="2060">
        <v>4358782</v>
      </c>
      <c r="N1027" s="445">
        <f t="shared" si="190"/>
        <v>935801.54181818175</v>
      </c>
      <c r="O1027" s="719"/>
      <c r="P1027" s="719">
        <f t="shared" si="188"/>
        <v>6558630.3218181822</v>
      </c>
      <c r="Q1027" s="423" t="e">
        <f>SUMIF('8.Dgia'!E:E,'9.may'!E1027,'8.Dgia'!P:P)</f>
        <v>#REF!</v>
      </c>
      <c r="S1027" s="477"/>
      <c r="T1027" s="477"/>
      <c r="U1027" s="401"/>
      <c r="V1027" s="401"/>
      <c r="W1027" s="401">
        <v>4358782</v>
      </c>
      <c r="Y1027" s="433">
        <f t="shared" si="185"/>
        <v>4358782</v>
      </c>
      <c r="Z1027" s="433">
        <f t="shared" si="186"/>
        <v>0</v>
      </c>
      <c r="AC1027" s="410" t="e">
        <f t="shared" si="187"/>
        <v>#REF!</v>
      </c>
    </row>
    <row r="1028" spans="1:29" s="410" customFormat="1" ht="12.75" hidden="1">
      <c r="B1028" s="417" t="str">
        <f>IF(A1028&lt;&gt;0,COUNTA(A$19:$A1028),"")</f>
        <v/>
      </c>
      <c r="C1028" s="402"/>
      <c r="D1028" s="402"/>
      <c r="E1028" s="435"/>
      <c r="F1028" s="1046" t="s">
        <v>4883</v>
      </c>
      <c r="K1028" s="433"/>
      <c r="L1028" s="433"/>
      <c r="M1028" s="478"/>
      <c r="N1028" s="445">
        <f t="shared" si="190"/>
        <v>0</v>
      </c>
      <c r="O1028" s="719"/>
      <c r="P1028" s="719">
        <f t="shared" si="188"/>
        <v>0</v>
      </c>
      <c r="Q1028" s="419">
        <f>SUMIF('8.Dgia'!E:E,'9.may'!E1028,'8.Dgia'!P:P)</f>
        <v>0</v>
      </c>
      <c r="R1028" s="419"/>
      <c r="S1028" s="420"/>
      <c r="T1028" s="422"/>
      <c r="U1028" s="301"/>
      <c r="V1028" s="301"/>
      <c r="W1028" s="401"/>
      <c r="Y1028" s="433">
        <f t="shared" si="185"/>
        <v>0</v>
      </c>
      <c r="Z1028" s="433">
        <f t="shared" si="186"/>
        <v>0</v>
      </c>
      <c r="AC1028" s="410">
        <f t="shared" si="187"/>
        <v>0</v>
      </c>
    </row>
    <row r="1029" spans="1:29" s="410" customFormat="1" ht="17.100000000000001" customHeight="1">
      <c r="A1029" s="410">
        <v>1</v>
      </c>
      <c r="B1029" s="1717">
        <f>IF(A1029&lt;&gt;0,COUNTA(A$19:$A1029),"")</f>
        <v>232</v>
      </c>
      <c r="C1029" s="732"/>
      <c r="D1029" s="732"/>
      <c r="E1029" s="1718" t="s">
        <v>2193</v>
      </c>
      <c r="F1029" s="1045" t="s">
        <v>5082</v>
      </c>
      <c r="G1029" s="470"/>
      <c r="H1029" s="470">
        <v>4.5</v>
      </c>
      <c r="I1029" s="470"/>
      <c r="J1029" s="470"/>
      <c r="K1029" s="733"/>
      <c r="L1029" s="733"/>
      <c r="M1029" s="733">
        <f>+M381</f>
        <v>50799</v>
      </c>
      <c r="N1029" s="733">
        <f t="shared" si="190"/>
        <v>2864.9250000000002</v>
      </c>
      <c r="O1029" s="719"/>
      <c r="P1029" s="1719">
        <f t="shared" si="188"/>
        <v>68395.634999999995</v>
      </c>
      <c r="Q1029" s="423">
        <f>SUMIF('8.Dgia'!E:E,'9.may'!E1029,'8.Dgia'!P:P)</f>
        <v>0</v>
      </c>
      <c r="S1029" s="477"/>
      <c r="T1029" s="477"/>
      <c r="U1029" s="401"/>
      <c r="V1029" s="401"/>
      <c r="W1029" s="401"/>
      <c r="Y1029" s="433">
        <f t="shared" si="185"/>
        <v>0</v>
      </c>
      <c r="Z1029" s="433">
        <f t="shared" si="186"/>
        <v>-50799</v>
      </c>
      <c r="AC1029" s="410">
        <f t="shared" si="187"/>
        <v>0</v>
      </c>
    </row>
    <row r="1030" spans="1:29" s="410" customFormat="1" ht="12.75" hidden="1">
      <c r="B1030" s="384" t="str">
        <f>IF(Q1030&gt;0,MAX($B$19:$B1029)+1,"")</f>
        <v/>
      </c>
      <c r="C1030" s="402"/>
      <c r="D1030" s="402"/>
      <c r="E1030" s="402"/>
      <c r="F1030" s="402"/>
      <c r="K1030" s="433"/>
      <c r="L1030" s="433"/>
      <c r="M1030" s="433"/>
      <c r="N1030" s="433"/>
      <c r="O1030" s="1000"/>
      <c r="P1030" s="1000"/>
      <c r="Q1030" s="423">
        <f>SUMIF('8.Dgia'!E:E,'9.may'!E1030,'8.Dgia'!P:P)</f>
        <v>0</v>
      </c>
      <c r="S1030" s="477"/>
      <c r="T1030" s="477"/>
      <c r="U1030" s="401"/>
      <c r="V1030" s="401"/>
      <c r="W1030" s="401"/>
      <c r="Y1030" s="433">
        <f t="shared" si="185"/>
        <v>0</v>
      </c>
      <c r="Z1030" s="433">
        <f t="shared" si="186"/>
        <v>0</v>
      </c>
      <c r="AC1030" s="410">
        <f t="shared" si="187"/>
        <v>0</v>
      </c>
    </row>
    <row r="1031" spans="1:29" s="410" customFormat="1" ht="12.75" hidden="1">
      <c r="B1031" s="238" t="str">
        <f>IF(Q1031&gt;0,MAX($B$19:$B1030)+1,"")</f>
        <v/>
      </c>
      <c r="C1031" s="402"/>
      <c r="D1031" s="402"/>
      <c r="E1031" s="402"/>
      <c r="F1031" s="402" t="s">
        <v>4884</v>
      </c>
      <c r="K1031" s="433"/>
      <c r="L1031" s="433"/>
      <c r="M1031" s="433"/>
      <c r="N1031" s="433"/>
      <c r="O1031" s="1000"/>
      <c r="P1031" s="1000"/>
      <c r="Q1031" s="423">
        <f>SUMIF('8.Dgia'!E:E,'9.may'!E1031,'8.Dgia'!P:P)</f>
        <v>0</v>
      </c>
      <c r="R1031" s="479" t="e">
        <f>SUM(R20:R1022)</f>
        <v>#REF!</v>
      </c>
      <c r="S1031" s="477"/>
      <c r="T1031" s="477"/>
      <c r="U1031" s="401"/>
      <c r="V1031" s="401"/>
      <c r="W1031" s="401"/>
      <c r="Y1031" s="433">
        <f t="shared" si="185"/>
        <v>0</v>
      </c>
      <c r="Z1031" s="433">
        <f t="shared" si="186"/>
        <v>0</v>
      </c>
      <c r="AC1031" s="410">
        <f t="shared" si="187"/>
        <v>0</v>
      </c>
    </row>
    <row r="1032" spans="1:29" s="410" customFormat="1" ht="12.75" hidden="1">
      <c r="B1032" s="238" t="str">
        <f>IF(Q1032&gt;0,MAX($B$19:$B1031)+1,"")</f>
        <v/>
      </c>
      <c r="C1032" s="402"/>
      <c r="D1032" s="402"/>
      <c r="E1032" s="402"/>
      <c r="F1032" s="402" t="s">
        <v>4885</v>
      </c>
      <c r="K1032" s="433"/>
      <c r="L1032" s="433"/>
      <c r="M1032" s="433"/>
      <c r="N1032" s="433"/>
      <c r="O1032" s="1000"/>
      <c r="P1032" s="1000"/>
      <c r="Q1032" s="423">
        <f>SUMIF('8.Dgia'!E:E,'9.may'!E1032,'8.Dgia'!P:P)</f>
        <v>0</v>
      </c>
      <c r="S1032" s="477"/>
      <c r="T1032" s="477"/>
      <c r="U1032" s="401"/>
      <c r="V1032" s="401"/>
      <c r="W1032" s="401"/>
      <c r="AC1032" s="410">
        <f t="shared" si="187"/>
        <v>0</v>
      </c>
    </row>
    <row r="1033" spans="1:29" s="410" customFormat="1" ht="12.75" hidden="1">
      <c r="B1033" s="999"/>
      <c r="C1033" s="402"/>
      <c r="D1033" s="402"/>
      <c r="E1033" s="402"/>
      <c r="F1033" s="402" t="s">
        <v>4886</v>
      </c>
      <c r="K1033" s="433"/>
      <c r="L1033" s="433"/>
      <c r="M1033" s="433"/>
      <c r="N1033" s="433"/>
      <c r="O1033" s="1000"/>
      <c r="P1033" s="1000"/>
      <c r="Q1033" s="423">
        <f>SUMIF('8.Dgia'!E:E,'9.may'!E1033,'8.Dgia'!P:P)</f>
        <v>0</v>
      </c>
      <c r="S1033" s="477"/>
      <c r="T1033" s="477"/>
      <c r="U1033" s="401"/>
      <c r="V1033" s="401"/>
      <c r="W1033" s="401"/>
      <c r="AC1033" s="410">
        <f t="shared" si="187"/>
        <v>0</v>
      </c>
    </row>
    <row r="1034" spans="1:29" s="410" customFormat="1" ht="12.75" hidden="1">
      <c r="B1034" s="999"/>
      <c r="C1034" s="402"/>
      <c r="D1034" s="402"/>
      <c r="E1034" s="402"/>
      <c r="F1034" s="402" t="s">
        <v>4887</v>
      </c>
      <c r="K1034" s="433"/>
      <c r="L1034" s="433"/>
      <c r="M1034" s="433"/>
      <c r="N1034" s="433"/>
      <c r="O1034" s="1000"/>
      <c r="P1034" s="1000"/>
      <c r="Q1034" s="423">
        <f>SUMIF('8.Dgia'!E:E,'9.may'!E1034,'8.Dgia'!P:P)</f>
        <v>0</v>
      </c>
      <c r="S1034" s="477"/>
      <c r="T1034" s="477"/>
      <c r="U1034" s="401"/>
      <c r="V1034" s="401"/>
      <c r="W1034" s="401"/>
      <c r="AC1034" s="410">
        <f t="shared" si="187"/>
        <v>0</v>
      </c>
    </row>
    <row r="1035" spans="1:29" s="410" customFormat="1" ht="12.75" hidden="1">
      <c r="B1035" s="999"/>
      <c r="C1035" s="402"/>
      <c r="D1035" s="402"/>
      <c r="E1035" s="402"/>
      <c r="F1035" s="402" t="s">
        <v>4888</v>
      </c>
      <c r="K1035" s="433"/>
      <c r="L1035" s="433"/>
      <c r="M1035" s="433"/>
      <c r="N1035" s="433"/>
      <c r="O1035" s="1000"/>
      <c r="P1035" s="1000"/>
      <c r="Q1035" s="423">
        <f>SUMIF('8.Dgia'!E:E,'9.may'!E1035,'8.Dgia'!P:P)</f>
        <v>0</v>
      </c>
      <c r="S1035" s="477"/>
      <c r="T1035" s="477"/>
      <c r="U1035" s="401"/>
      <c r="V1035" s="401"/>
      <c r="W1035" s="401"/>
      <c r="AC1035" s="410">
        <f t="shared" si="187"/>
        <v>0</v>
      </c>
    </row>
    <row r="1036" spans="1:29" s="410" customFormat="1" ht="12.75" hidden="1">
      <c r="B1036" s="480"/>
      <c r="C1036" s="402"/>
      <c r="D1036" s="402"/>
      <c r="E1036" s="402"/>
      <c r="F1036" s="402" t="s">
        <v>4889</v>
      </c>
      <c r="K1036" s="433"/>
      <c r="L1036" s="433"/>
      <c r="M1036" s="433"/>
      <c r="N1036" s="433"/>
      <c r="O1036" s="720"/>
      <c r="P1036" s="720"/>
      <c r="Q1036" s="423">
        <f>SUMIF('8.Dgia'!E:E,'9.may'!E1036,'8.Dgia'!P:P)</f>
        <v>0</v>
      </c>
      <c r="T1036" s="477"/>
      <c r="U1036" s="401"/>
      <c r="V1036" s="401"/>
      <c r="W1036" s="401"/>
      <c r="AC1036" s="410">
        <f t="shared" si="187"/>
        <v>0</v>
      </c>
    </row>
    <row r="1037" spans="1:29" s="410" customFormat="1" ht="12.75" hidden="1">
      <c r="B1037" s="999"/>
      <c r="C1037" s="402"/>
      <c r="D1037" s="402"/>
      <c r="E1037" s="402"/>
      <c r="F1037" s="402"/>
      <c r="K1037" s="433"/>
      <c r="L1037" s="433"/>
      <c r="M1037" s="433"/>
      <c r="N1037" s="433"/>
      <c r="O1037" s="1000"/>
      <c r="P1037" s="1000"/>
      <c r="Q1037" s="423">
        <f>SUMIF('8.Dgia'!E:E,'9.may'!E1037,'8.Dgia'!P:P)</f>
        <v>0</v>
      </c>
      <c r="S1037" s="477"/>
      <c r="T1037" s="477"/>
      <c r="U1037" s="401"/>
      <c r="V1037" s="401"/>
      <c r="W1037" s="401"/>
      <c r="AC1037" s="410">
        <f t="shared" si="187"/>
        <v>0</v>
      </c>
    </row>
    <row r="1038" spans="1:29" s="410" customFormat="1" ht="12.75" hidden="1">
      <c r="B1038" s="999"/>
      <c r="C1038" s="402"/>
      <c r="D1038" s="402"/>
      <c r="E1038" s="402"/>
      <c r="F1038" s="402"/>
      <c r="K1038" s="433"/>
      <c r="L1038" s="433"/>
      <c r="M1038" s="433"/>
      <c r="N1038" s="433"/>
      <c r="O1038" s="1000"/>
      <c r="P1038" s="1000"/>
      <c r="Q1038" s="423">
        <f>SUMIF('8.Dgia'!E:E,'9.may'!E1038,'8.Dgia'!P:P)</f>
        <v>0</v>
      </c>
      <c r="S1038" s="477"/>
      <c r="T1038" s="477"/>
      <c r="U1038" s="401"/>
      <c r="V1038" s="401"/>
      <c r="W1038" s="401"/>
      <c r="AC1038" s="410">
        <f t="shared" si="187"/>
        <v>0</v>
      </c>
    </row>
    <row r="1039" spans="1:29" s="410" customFormat="1" ht="12.75" hidden="1">
      <c r="B1039" s="999"/>
      <c r="C1039" s="402"/>
      <c r="D1039" s="402"/>
      <c r="E1039" s="402"/>
      <c r="F1039" s="402"/>
      <c r="K1039" s="433"/>
      <c r="L1039" s="433"/>
      <c r="M1039" s="433"/>
      <c r="N1039" s="433"/>
      <c r="O1039" s="1000"/>
      <c r="P1039" s="1000"/>
      <c r="Q1039" s="423">
        <f>SUMIF('8.Dgia'!E:E,'9.may'!E1039,'8.Dgia'!P:P)</f>
        <v>0</v>
      </c>
      <c r="S1039" s="477"/>
      <c r="T1039" s="477"/>
      <c r="U1039" s="401"/>
      <c r="V1039" s="401"/>
      <c r="W1039" s="401"/>
    </row>
    <row r="1041" spans="6:29">
      <c r="F1041" s="393" t="s">
        <v>4890</v>
      </c>
      <c r="AC1041" s="2063" t="e">
        <f>SUM(AC19:AC1038)</f>
        <v>#REF!</v>
      </c>
    </row>
    <row r="1042" spans="6:29">
      <c r="F1042" s="393" t="s">
        <v>4891</v>
      </c>
      <c r="AC1042" s="2064" t="e">
        <f>+#REF!</f>
        <v>#REF!</v>
      </c>
    </row>
    <row r="1043" spans="6:29">
      <c r="AB1043" s="293" t="s">
        <v>2160</v>
      </c>
      <c r="AC1043" s="2064" t="e">
        <f>AC1042-AC1041</f>
        <v>#REF!</v>
      </c>
    </row>
    <row r="1045" spans="6:29">
      <c r="F1045" s="393" t="s">
        <v>4892</v>
      </c>
    </row>
  </sheetData>
  <sheetProtection insertColumns="0" insertRows="0" deleteColumns="0" deleteRows="0"/>
  <autoFilter ref="B18:AE1039">
    <filterColumn colId="3">
      <customFilters>
        <customFilter operator="notEqual" val=" "/>
      </customFilters>
    </filterColumn>
  </autoFilter>
  <mergeCells count="10">
    <mergeCell ref="E16:E17"/>
    <mergeCell ref="B16:B17"/>
    <mergeCell ref="T16:T17"/>
    <mergeCell ref="R16:R17"/>
    <mergeCell ref="N16:N17"/>
    <mergeCell ref="O16:O17"/>
    <mergeCell ref="P16:P17"/>
    <mergeCell ref="Q16:Q17"/>
    <mergeCell ref="S16:S17"/>
    <mergeCell ref="M16:M17"/>
  </mergeCells>
  <printOptions horizontalCentered="1"/>
  <pageMargins left="0.8" right="0.34" top="0.37" bottom="0.61" header="0" footer="0.37"/>
  <pageSetup paperSize="9" scale="90" orientation="portrait" blackAndWhite="1" r:id="rId1"/>
  <headerFooter>
    <oddFooter>&amp;R&amp;9&amp;P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39"/>
  <sheetViews>
    <sheetView topLeftCell="A4" zoomScaleNormal="100" zoomScaleSheetLayoutView="100" workbookViewId="0">
      <selection activeCell="F16" sqref="F16"/>
    </sheetView>
  </sheetViews>
  <sheetFormatPr defaultRowHeight="15"/>
  <cols>
    <col min="1" max="1" width="4.7109375" style="742" customWidth="1"/>
    <col min="2" max="2" width="7" style="747" customWidth="1"/>
    <col min="3" max="3" width="20.5703125" style="759" customWidth="1"/>
    <col min="4" max="4" width="12.140625" style="742" bestFit="1" customWidth="1"/>
    <col min="5" max="5" width="14.42578125" style="760" bestFit="1" customWidth="1"/>
    <col min="6" max="6" width="19.28515625" style="742" bestFit="1" customWidth="1"/>
    <col min="7" max="8" width="19.28515625" style="742" customWidth="1"/>
    <col min="9" max="9" width="20.85546875" style="742" customWidth="1"/>
    <col min="10" max="16384" width="9.140625" style="742"/>
  </cols>
  <sheetData>
    <row r="1" spans="1:13" s="741" customFormat="1" ht="20.25">
      <c r="A1" s="305" t="s">
        <v>1999</v>
      </c>
      <c r="B1" s="738"/>
      <c r="C1" s="739"/>
      <c r="D1" s="738"/>
      <c r="E1" s="740"/>
      <c r="F1" s="738"/>
      <c r="G1" s="738"/>
      <c r="H1" s="738"/>
      <c r="I1" s="738"/>
      <c r="J1" s="224"/>
      <c r="K1" s="224"/>
    </row>
    <row r="2" spans="1:13" s="741" customFormat="1" ht="18.75">
      <c r="A2" s="306" t="s">
        <v>3456</v>
      </c>
      <c r="B2" s="738"/>
      <c r="C2" s="739"/>
      <c r="D2" s="738"/>
      <c r="E2" s="740"/>
      <c r="F2" s="738"/>
      <c r="G2" s="738"/>
      <c r="H2" s="738"/>
      <c r="I2" s="738"/>
      <c r="J2" s="224"/>
      <c r="K2" s="224"/>
    </row>
    <row r="3" spans="1:13" s="741" customFormat="1" ht="20.25">
      <c r="A3" s="223" t="s">
        <v>3527</v>
      </c>
      <c r="B3" s="738"/>
      <c r="C3" s="739"/>
      <c r="D3" s="738"/>
      <c r="E3" s="740"/>
      <c r="F3" s="738"/>
      <c r="G3" s="738"/>
      <c r="H3" s="738"/>
      <c r="I3" s="738"/>
      <c r="J3" s="224"/>
      <c r="K3" s="224"/>
    </row>
    <row r="4" spans="1:13" s="741" customFormat="1" ht="20.25">
      <c r="A4" s="223" t="s">
        <v>5016</v>
      </c>
      <c r="B4" s="738"/>
      <c r="C4" s="739"/>
      <c r="D4" s="738"/>
      <c r="E4" s="740"/>
      <c r="F4" s="738"/>
      <c r="G4" s="738"/>
      <c r="H4" s="738"/>
      <c r="I4" s="738"/>
      <c r="J4" s="224"/>
      <c r="K4" s="224"/>
    </row>
    <row r="5" spans="1:13">
      <c r="B5" s="743"/>
      <c r="C5" s="744"/>
      <c r="D5" s="745"/>
      <c r="E5" s="746"/>
      <c r="J5" s="747"/>
      <c r="K5" s="747"/>
    </row>
    <row r="6" spans="1:13" s="747" customFormat="1" ht="33" hidden="1" customHeight="1">
      <c r="E6" s="2160"/>
      <c r="F6" s="2160"/>
      <c r="G6" s="1486"/>
      <c r="H6" s="1486"/>
      <c r="L6" s="742"/>
      <c r="M6" s="742"/>
    </row>
    <row r="7" spans="1:13" s="747" customFormat="1">
      <c r="B7" s="748" t="s">
        <v>529</v>
      </c>
      <c r="C7" s="749" t="s">
        <v>3528</v>
      </c>
      <c r="D7" s="748" t="s">
        <v>99</v>
      </c>
      <c r="E7" s="752" t="s">
        <v>3529</v>
      </c>
      <c r="F7" s="2173" t="s">
        <v>3529</v>
      </c>
      <c r="G7" s="2174"/>
      <c r="H7" s="2175"/>
      <c r="I7" s="1076" t="s">
        <v>5797</v>
      </c>
      <c r="J7" s="742"/>
      <c r="K7" s="742"/>
      <c r="L7" s="742"/>
      <c r="M7" s="742"/>
    </row>
    <row r="8" spans="1:13" s="747" customFormat="1">
      <c r="B8" s="750" t="s">
        <v>5009</v>
      </c>
      <c r="C8" s="751" t="s">
        <v>5010</v>
      </c>
      <c r="D8" s="750" t="s">
        <v>5002</v>
      </c>
      <c r="E8" s="752" t="s">
        <v>3530</v>
      </c>
      <c r="F8" s="2173" t="s">
        <v>5668</v>
      </c>
      <c r="G8" s="2174"/>
      <c r="H8" s="2175"/>
      <c r="I8" s="750" t="s">
        <v>4927</v>
      </c>
      <c r="J8" s="742"/>
      <c r="K8" s="742"/>
      <c r="L8" s="742"/>
      <c r="M8" s="742"/>
    </row>
    <row r="9" spans="1:13" s="747" customFormat="1" ht="51" hidden="1">
      <c r="B9" s="753"/>
      <c r="C9" s="754"/>
      <c r="D9" s="753"/>
      <c r="E9" s="1075" t="s">
        <v>5012</v>
      </c>
      <c r="F9" s="1075" t="s">
        <v>5669</v>
      </c>
      <c r="G9" s="1075"/>
      <c r="H9" s="1075"/>
      <c r="I9" s="753"/>
      <c r="J9" s="742"/>
      <c r="K9" s="742"/>
      <c r="L9" s="742"/>
      <c r="M9" s="742"/>
    </row>
    <row r="10" spans="1:13" s="747" customFormat="1">
      <c r="B10" s="1605"/>
      <c r="C10" s="1606"/>
      <c r="D10" s="1605"/>
      <c r="E10" s="1607"/>
      <c r="F10" s="1607"/>
      <c r="G10" s="1607"/>
      <c r="H10" s="1607"/>
      <c r="I10" s="1605"/>
      <c r="J10" s="742"/>
      <c r="K10" s="742"/>
      <c r="L10" s="742"/>
      <c r="M10" s="742"/>
    </row>
    <row r="11" spans="1:13">
      <c r="B11" s="755">
        <v>1</v>
      </c>
      <c r="C11" s="761" t="s">
        <v>2046</v>
      </c>
      <c r="D11" s="1608" t="s">
        <v>5011</v>
      </c>
      <c r="E11" s="756">
        <v>36531</v>
      </c>
      <c r="F11" s="756">
        <f>NC!L33</f>
        <v>173203</v>
      </c>
      <c r="G11" s="756">
        <f>NC!M33</f>
        <v>183913</v>
      </c>
      <c r="H11" s="756">
        <f>NC!N33</f>
        <v>202038</v>
      </c>
      <c r="I11" s="756"/>
    </row>
    <row r="12" spans="1:13">
      <c r="B12" s="755">
        <v>2</v>
      </c>
      <c r="C12" s="761" t="s">
        <v>2042</v>
      </c>
      <c r="D12" s="1608" t="s">
        <v>5011</v>
      </c>
      <c r="E12" s="756">
        <v>37650</v>
      </c>
      <c r="F12" s="756">
        <f>NC!L35</f>
        <v>178641</v>
      </c>
      <c r="G12" s="756">
        <f>NC!M35</f>
        <v>189351</v>
      </c>
      <c r="H12" s="756">
        <f>NC!N35</f>
        <v>207475</v>
      </c>
      <c r="I12" s="756"/>
    </row>
    <row r="13" spans="1:13">
      <c r="B13" s="755">
        <v>3</v>
      </c>
      <c r="C13" s="761" t="s">
        <v>2038</v>
      </c>
      <c r="D13" s="1608" t="s">
        <v>5011</v>
      </c>
      <c r="E13" s="756">
        <v>39329</v>
      </c>
      <c r="F13" s="756">
        <f>NC!L38</f>
        <v>186797</v>
      </c>
      <c r="G13" s="756">
        <f>NC!M38</f>
        <v>199155</v>
      </c>
      <c r="H13" s="756">
        <f>NC!N38</f>
        <v>219751</v>
      </c>
      <c r="I13" s="756"/>
    </row>
    <row r="14" spans="1:13">
      <c r="B14" s="755">
        <v>4</v>
      </c>
      <c r="C14" s="761" t="s">
        <v>2047</v>
      </c>
      <c r="D14" s="1608" t="s">
        <v>5011</v>
      </c>
      <c r="E14" s="756">
        <v>40652</v>
      </c>
      <c r="F14" s="756">
        <f>NC!L40</f>
        <v>193223</v>
      </c>
      <c r="G14" s="756">
        <f>NC!M40</f>
        <v>205581</v>
      </c>
      <c r="H14" s="756">
        <f>NC!N40</f>
        <v>226177</v>
      </c>
      <c r="I14" s="756"/>
    </row>
    <row r="15" spans="1:13">
      <c r="B15" s="755">
        <v>5</v>
      </c>
      <c r="C15" s="761" t="s">
        <v>2045</v>
      </c>
      <c r="D15" s="1608" t="s">
        <v>5011</v>
      </c>
      <c r="E15" s="756">
        <v>41314</v>
      </c>
      <c r="F15" s="756">
        <f>NC!L41</f>
        <v>196436</v>
      </c>
      <c r="G15" s="756">
        <f>NC!M41</f>
        <v>208794</v>
      </c>
      <c r="H15" s="756">
        <f>NC!N41</f>
        <v>229390</v>
      </c>
      <c r="I15" s="756"/>
    </row>
    <row r="16" spans="1:13">
      <c r="B16" s="755">
        <v>6</v>
      </c>
      <c r="C16" s="761" t="s">
        <v>2037</v>
      </c>
      <c r="D16" s="1608" t="s">
        <v>5011</v>
      </c>
      <c r="E16" s="756">
        <v>42637</v>
      </c>
      <c r="F16" s="756">
        <f>NC!L43</f>
        <v>202862</v>
      </c>
      <c r="G16" s="756">
        <f>NC!M43</f>
        <v>215220</v>
      </c>
      <c r="H16" s="756">
        <f>NC!N43</f>
        <v>235816</v>
      </c>
      <c r="I16" s="756"/>
    </row>
    <row r="17" spans="1:10">
      <c r="B17" s="755">
        <v>7</v>
      </c>
      <c r="C17" s="761" t="s">
        <v>2041</v>
      </c>
      <c r="D17" s="1608" t="s">
        <v>5011</v>
      </c>
      <c r="E17" s="756">
        <v>43960</v>
      </c>
      <c r="F17" s="756">
        <f>NC!L45</f>
        <v>209288</v>
      </c>
      <c r="G17" s="756">
        <f>NC!M45</f>
        <v>221646</v>
      </c>
      <c r="H17" s="756">
        <f>NC!N45</f>
        <v>242242</v>
      </c>
      <c r="I17" s="756"/>
    </row>
    <row r="18" spans="1:10">
      <c r="B18" s="755">
        <v>8</v>
      </c>
      <c r="C18" s="762" t="s">
        <v>2039</v>
      </c>
      <c r="D18" s="1608" t="s">
        <v>5011</v>
      </c>
      <c r="E18" s="756">
        <v>45944</v>
      </c>
      <c r="F18" s="756">
        <f>NC!L48</f>
        <v>218927</v>
      </c>
      <c r="G18" s="756">
        <f>NC!M48</f>
        <v>232108</v>
      </c>
      <c r="H18" s="756">
        <f>NC!N48</f>
        <v>256824</v>
      </c>
      <c r="I18" s="756"/>
    </row>
    <row r="19" spans="1:10">
      <c r="B19" s="755">
        <v>9</v>
      </c>
      <c r="C19" s="761" t="s">
        <v>2044</v>
      </c>
      <c r="D19" s="1608" t="s">
        <v>5011</v>
      </c>
      <c r="E19" s="756">
        <v>48285</v>
      </c>
      <c r="F19" s="756">
        <f>NC!L51</f>
        <v>230296</v>
      </c>
      <c r="G19" s="756">
        <f>NC!M51</f>
        <v>243478</v>
      </c>
      <c r="H19" s="756">
        <f>NC!N51</f>
        <v>268193</v>
      </c>
      <c r="I19" s="756"/>
    </row>
    <row r="20" spans="1:10">
      <c r="B20" s="755">
        <v>10</v>
      </c>
      <c r="C20" s="761" t="s">
        <v>2040</v>
      </c>
      <c r="D20" s="1608" t="s">
        <v>5011</v>
      </c>
      <c r="E20" s="756">
        <v>49845</v>
      </c>
      <c r="F20" s="756">
        <f>NC!L53</f>
        <v>237875</v>
      </c>
      <c r="G20" s="756">
        <f>NC!M53</f>
        <v>251057</v>
      </c>
      <c r="H20" s="756">
        <f>NC!N53</f>
        <v>275772</v>
      </c>
      <c r="I20" s="756"/>
    </row>
    <row r="21" spans="1:10">
      <c r="B21" s="755">
        <v>11</v>
      </c>
      <c r="C21" s="761" t="s">
        <v>2043</v>
      </c>
      <c r="D21" s="1608" t="s">
        <v>5011</v>
      </c>
      <c r="E21" s="756">
        <v>53747</v>
      </c>
      <c r="F21" s="756">
        <f>NC!L58</f>
        <v>256824</v>
      </c>
      <c r="G21" s="756">
        <f>NC!M58</f>
        <v>271653</v>
      </c>
      <c r="H21" s="756">
        <f>NC!N58</f>
        <v>300488</v>
      </c>
      <c r="I21" s="756"/>
    </row>
    <row r="22" spans="1:10">
      <c r="B22" s="757">
        <v>12</v>
      </c>
      <c r="C22" s="1609">
        <v>5</v>
      </c>
      <c r="D22" s="758" t="s">
        <v>5011</v>
      </c>
      <c r="E22" s="1610">
        <v>63415</v>
      </c>
      <c r="F22" s="1610">
        <f>NC!L114</f>
        <v>303783</v>
      </c>
      <c r="G22" s="1610">
        <f>NC!M114</f>
        <v>271653</v>
      </c>
      <c r="H22" s="1610">
        <f>NC!N114</f>
        <v>300488</v>
      </c>
      <c r="I22" s="1610" t="s">
        <v>5014</v>
      </c>
    </row>
    <row r="23" spans="1:10">
      <c r="B23" s="753"/>
      <c r="C23" s="1602"/>
      <c r="D23" s="1603"/>
      <c r="E23" s="1604"/>
      <c r="F23" s="1604"/>
      <c r="G23" s="1604"/>
      <c r="H23" s="1604"/>
      <c r="I23" s="1604"/>
    </row>
    <row r="24" spans="1:10">
      <c r="B24" s="743"/>
    </row>
    <row r="25" spans="1:10">
      <c r="A25" s="1078" t="s">
        <v>3645</v>
      </c>
      <c r="B25" s="1078"/>
      <c r="C25" s="1078"/>
      <c r="D25" s="1078"/>
      <c r="E25" s="1078"/>
      <c r="F25" s="1078"/>
      <c r="G25" s="1078"/>
      <c r="H25" s="1078"/>
      <c r="I25" s="979"/>
      <c r="J25" s="980"/>
    </row>
    <row r="26" spans="1:10">
      <c r="A26" s="1078" t="s">
        <v>3644</v>
      </c>
      <c r="B26" s="1078"/>
      <c r="C26" s="1078"/>
      <c r="D26" s="1078"/>
      <c r="E26" s="1078"/>
      <c r="F26" s="1078"/>
      <c r="G26" s="1078"/>
      <c r="H26" s="1078"/>
      <c r="I26" s="979"/>
      <c r="J26" s="980"/>
    </row>
    <row r="27" spans="1:10" ht="32.1" customHeight="1">
      <c r="A27" s="2160" t="s">
        <v>5013</v>
      </c>
      <c r="B27" s="2160"/>
      <c r="C27" s="2160"/>
      <c r="D27" s="2160"/>
      <c r="E27" s="2160"/>
      <c r="F27" s="2160"/>
      <c r="G27" s="1485"/>
      <c r="H27" s="1485"/>
      <c r="I27" s="979"/>
      <c r="J27" s="980"/>
    </row>
    <row r="28" spans="1:10">
      <c r="A28" s="1078" t="s">
        <v>3642</v>
      </c>
      <c r="B28" s="1078"/>
      <c r="C28" s="1078"/>
      <c r="D28" s="1078"/>
      <c r="E28" s="1078"/>
      <c r="F28" s="1078"/>
      <c r="G28" s="1078"/>
      <c r="H28" s="1078"/>
      <c r="I28" s="979"/>
      <c r="J28" s="980"/>
    </row>
    <row r="29" spans="1:10">
      <c r="A29" s="1079" t="s">
        <v>3643</v>
      </c>
      <c r="B29" s="1078"/>
      <c r="C29" s="1078"/>
      <c r="D29" s="1078"/>
      <c r="E29" s="1078"/>
      <c r="F29" s="1078"/>
      <c r="G29" s="1078"/>
      <c r="H29" s="1078"/>
      <c r="I29" s="979"/>
      <c r="J29" s="980"/>
    </row>
    <row r="30" spans="1:10" ht="32.1" customHeight="1">
      <c r="A30" s="2160" t="s">
        <v>5015</v>
      </c>
      <c r="B30" s="2160"/>
      <c r="C30" s="2160"/>
      <c r="D30" s="2160"/>
      <c r="E30" s="2160"/>
      <c r="F30" s="2160"/>
      <c r="G30" s="1485"/>
      <c r="H30" s="1485"/>
      <c r="I30" s="979"/>
      <c r="J30" s="980"/>
    </row>
    <row r="31" spans="1:10" s="224" customFormat="1" ht="12.75">
      <c r="A31" s="1078"/>
      <c r="B31" s="1078" t="s">
        <v>3531</v>
      </c>
      <c r="C31" s="1078"/>
      <c r="D31" s="1078"/>
      <c r="E31" s="1078"/>
      <c r="F31" s="1078"/>
      <c r="G31" s="1078"/>
      <c r="H31" s="1078"/>
      <c r="I31" s="631"/>
    </row>
    <row r="32" spans="1:10" s="224" customFormat="1" ht="12.75">
      <c r="A32" s="1078"/>
      <c r="B32" s="1078"/>
      <c r="C32" s="1078" t="s">
        <v>3532</v>
      </c>
      <c r="D32" s="1078">
        <v>0.2</v>
      </c>
      <c r="E32" s="1078" t="s">
        <v>3533</v>
      </c>
      <c r="F32" s="1078"/>
      <c r="G32" s="1078"/>
      <c r="H32" s="1078"/>
      <c r="I32" s="631"/>
    </row>
    <row r="33" spans="1:10" s="224" customFormat="1" ht="12.75">
      <c r="A33" s="1078"/>
      <c r="B33" s="1078"/>
      <c r="C33" s="1078" t="s">
        <v>3534</v>
      </c>
      <c r="D33" s="1078">
        <v>0.1</v>
      </c>
      <c r="E33" s="1078" t="s">
        <v>3533</v>
      </c>
      <c r="F33" s="1078"/>
      <c r="G33" s="1078"/>
      <c r="H33" s="1078"/>
      <c r="I33" s="631"/>
    </row>
    <row r="34" spans="1:10" s="224" customFormat="1" ht="12.75">
      <c r="A34" s="1078"/>
      <c r="B34" s="1078"/>
      <c r="C34" s="1078" t="s">
        <v>3535</v>
      </c>
      <c r="D34" s="1078">
        <v>0.12</v>
      </c>
      <c r="E34" s="1078" t="s">
        <v>3536</v>
      </c>
      <c r="F34" s="1078"/>
      <c r="G34" s="1078"/>
      <c r="H34" s="1078"/>
      <c r="I34" s="631"/>
    </row>
    <row r="35" spans="1:10" s="224" customFormat="1" ht="12.75">
      <c r="A35" s="1078"/>
      <c r="B35" s="1078"/>
      <c r="C35" s="1078" t="s">
        <v>3537</v>
      </c>
      <c r="D35" s="1078">
        <v>0.04</v>
      </c>
      <c r="E35" s="1078" t="s">
        <v>3536</v>
      </c>
      <c r="F35" s="1078"/>
      <c r="G35" s="1078"/>
      <c r="H35" s="1078"/>
      <c r="I35" s="631"/>
    </row>
    <row r="36" spans="1:10">
      <c r="A36" s="1078" t="s">
        <v>5672</v>
      </c>
      <c r="B36" s="1078"/>
      <c r="C36" s="1078"/>
      <c r="D36" s="1078"/>
      <c r="E36" s="1078"/>
      <c r="F36" s="1078"/>
      <c r="G36" s="1078"/>
      <c r="H36" s="1078"/>
      <c r="I36" s="979"/>
      <c r="J36" s="980"/>
    </row>
    <row r="37" spans="1:10" ht="32.1" customHeight="1">
      <c r="A37" s="2160" t="s">
        <v>5671</v>
      </c>
      <c r="B37" s="2160"/>
      <c r="C37" s="2160"/>
      <c r="D37" s="2160"/>
      <c r="E37" s="2160"/>
      <c r="F37" s="2160"/>
      <c r="G37" s="1485"/>
      <c r="H37" s="1485"/>
      <c r="I37" s="979"/>
      <c r="J37" s="980"/>
    </row>
    <row r="38" spans="1:10">
      <c r="A38" s="980"/>
      <c r="B38" s="981" t="s">
        <v>5670</v>
      </c>
      <c r="C38" s="982"/>
      <c r="D38" s="980"/>
      <c r="E38" s="983"/>
      <c r="F38" s="984">
        <f>1400/350</f>
        <v>4</v>
      </c>
      <c r="G38" s="984"/>
      <c r="H38" s="984"/>
      <c r="I38" s="980"/>
      <c r="J38" s="980"/>
    </row>
    <row r="39" spans="1:10">
      <c r="B39" s="1077" t="str">
        <f>"Adjustment factor for minimum salary from 350,000 VND/month to1,400,000 VND/month is "&amp;ROUND(F38,3)</f>
        <v>Adjustment factor for minimum salary from 350,000 VND/month to1,400,000 VND/month is 4</v>
      </c>
    </row>
  </sheetData>
  <mergeCells count="6">
    <mergeCell ref="E6:F6"/>
    <mergeCell ref="A27:F27"/>
    <mergeCell ref="A30:F30"/>
    <mergeCell ref="A37:F37"/>
    <mergeCell ref="F7:H7"/>
    <mergeCell ref="F8:H8"/>
  </mergeCells>
  <printOptions horizontalCentered="1"/>
  <pageMargins left="0.7" right="0.7" top="0.75" bottom="0.75" header="0.3" footer="0.3"/>
  <pageSetup paperSize="9" scale="75" orientation="portrait" r:id="rId1"/>
  <headerFooter>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00B0F0"/>
  </sheetPr>
  <dimension ref="A1:DB3434"/>
  <sheetViews>
    <sheetView showZeros="0" showRuler="0" topLeftCell="A1150" zoomScale="110" zoomScaleNormal="110" zoomScaleSheetLayoutView="85" workbookViewId="0">
      <selection activeCell="I1075" sqref="I1075"/>
    </sheetView>
  </sheetViews>
  <sheetFormatPr defaultRowHeight="18.75" customHeight="1"/>
  <cols>
    <col min="1" max="1" width="6.140625" style="657" customWidth="1"/>
    <col min="2" max="2" width="4.5703125" style="657" bestFit="1" customWidth="1"/>
    <col min="3" max="3" width="7.28515625" style="657" bestFit="1" customWidth="1"/>
    <col min="4" max="4" width="11.140625" style="657" customWidth="1"/>
    <col min="5" max="5" width="35.140625" style="959" customWidth="1"/>
    <col min="6" max="6" width="77.28515625" style="959" hidden="1" customWidth="1"/>
    <col min="7" max="7" width="9.28515625" style="657" customWidth="1"/>
    <col min="8" max="8" width="9.7109375" style="700" customWidth="1"/>
    <col min="9" max="9" width="12" style="932" customWidth="1"/>
    <col min="10" max="10" width="16" style="960" bestFit="1" customWidth="1"/>
    <col min="11" max="13" width="13.5703125" style="842" customWidth="1"/>
    <col min="14" max="14" width="10.85546875" style="961" customWidth="1"/>
    <col min="15" max="15" width="10.85546875" style="962" customWidth="1"/>
    <col min="16" max="16" width="11.5703125" style="961" customWidth="1"/>
    <col min="17" max="17" width="10" style="657" bestFit="1" customWidth="1"/>
    <col min="18" max="19" width="9.140625" style="657"/>
    <col min="20" max="20" width="10.42578125" style="657" bestFit="1" customWidth="1"/>
    <col min="21" max="16384" width="9.140625" style="657"/>
  </cols>
  <sheetData>
    <row r="1" spans="1:18" s="821" customFormat="1" ht="20.25">
      <c r="B1" s="987" t="e">
        <f>#REF!</f>
        <v>#REF!</v>
      </c>
      <c r="C1" s="822"/>
      <c r="D1" s="823"/>
      <c r="E1" s="822"/>
      <c r="F1" s="822"/>
      <c r="G1" s="822"/>
      <c r="H1" s="822"/>
      <c r="I1" s="824"/>
      <c r="J1" s="825"/>
      <c r="K1" s="826"/>
      <c r="L1" s="826"/>
      <c r="M1" s="826"/>
      <c r="N1" s="827"/>
      <c r="O1" s="828"/>
      <c r="P1" s="827"/>
    </row>
    <row r="2" spans="1:18" s="821" customFormat="1" ht="20.25">
      <c r="B2" s="987" t="e">
        <f>#REF!</f>
        <v>#REF!</v>
      </c>
      <c r="C2" s="822"/>
      <c r="D2" s="823"/>
      <c r="E2" s="822"/>
      <c r="F2" s="822"/>
      <c r="G2" s="822"/>
      <c r="H2" s="822"/>
      <c r="I2" s="824"/>
      <c r="J2" s="825"/>
      <c r="K2" s="826"/>
      <c r="L2" s="826"/>
      <c r="M2" s="826"/>
      <c r="N2" s="827"/>
      <c r="O2" s="828"/>
      <c r="P2" s="827"/>
    </row>
    <row r="3" spans="1:18" s="821" customFormat="1" ht="21.75" customHeight="1">
      <c r="B3" s="988" t="e">
        <f>#REF!</f>
        <v>#REF!</v>
      </c>
      <c r="C3" s="822"/>
      <c r="D3" s="823"/>
      <c r="E3" s="822"/>
      <c r="F3" s="822"/>
      <c r="G3" s="822"/>
      <c r="H3" s="822"/>
      <c r="I3" s="824"/>
      <c r="J3" s="825"/>
      <c r="K3" s="826"/>
      <c r="L3" s="826"/>
      <c r="M3" s="826"/>
      <c r="N3" s="827"/>
      <c r="O3" s="828"/>
      <c r="P3" s="827"/>
    </row>
    <row r="4" spans="1:18" s="821" customFormat="1" ht="21.75" customHeight="1">
      <c r="B4" s="988" t="e">
        <f>#REF!</f>
        <v>#REF!</v>
      </c>
      <c r="C4" s="822"/>
      <c r="D4" s="823"/>
      <c r="E4" s="822"/>
      <c r="F4" s="822"/>
      <c r="G4" s="822"/>
      <c r="H4" s="822"/>
      <c r="I4" s="824"/>
      <c r="J4" s="825"/>
      <c r="K4" s="826"/>
      <c r="L4" s="826"/>
      <c r="M4" s="826"/>
      <c r="N4" s="827"/>
      <c r="O4" s="828"/>
      <c r="P4" s="827"/>
    </row>
    <row r="5" spans="1:18" s="826" customFormat="1" ht="23.25" customHeight="1">
      <c r="B5" s="829" t="s">
        <v>2136</v>
      </c>
      <c r="C5" s="824"/>
      <c r="D5" s="824"/>
      <c r="E5" s="822"/>
      <c r="F5" s="822"/>
      <c r="G5" s="824"/>
      <c r="H5" s="824"/>
      <c r="I5" s="824"/>
      <c r="J5" s="825"/>
      <c r="N5" s="827"/>
      <c r="O5" s="828"/>
      <c r="P5" s="827"/>
    </row>
    <row r="6" spans="1:18" s="826" customFormat="1" ht="23.25" customHeight="1">
      <c r="B6" s="223" t="s">
        <v>5027</v>
      </c>
      <c r="C6" s="824"/>
      <c r="D6" s="824"/>
      <c r="E6" s="822"/>
      <c r="F6" s="822"/>
      <c r="G6" s="824"/>
      <c r="H6" s="824"/>
      <c r="I6" s="824"/>
      <c r="J6" s="825"/>
      <c r="N6" s="827"/>
      <c r="O6" s="828"/>
      <c r="P6" s="827"/>
    </row>
    <row r="7" spans="1:18" s="826" customFormat="1" ht="12.75">
      <c r="B7" s="830"/>
      <c r="C7" s="824"/>
      <c r="D7" s="824"/>
      <c r="E7" s="822"/>
      <c r="F7" s="822"/>
      <c r="G7" s="824"/>
      <c r="H7" s="824"/>
      <c r="I7" s="824"/>
      <c r="J7" s="763" t="s">
        <v>5084</v>
      </c>
      <c r="N7" s="827"/>
      <c r="O7" s="828"/>
      <c r="P7" s="827"/>
    </row>
    <row r="8" spans="1:18" s="831" customFormat="1" ht="15.75" customHeight="1">
      <c r="B8" s="1051" t="s">
        <v>524</v>
      </c>
      <c r="C8" s="1051" t="s">
        <v>281</v>
      </c>
      <c r="D8" s="1052" t="s">
        <v>533</v>
      </c>
      <c r="E8" s="1053" t="s">
        <v>285</v>
      </c>
      <c r="F8" s="1050" t="s">
        <v>4904</v>
      </c>
      <c r="G8" s="1051" t="s">
        <v>282</v>
      </c>
      <c r="H8" s="1053" t="s">
        <v>283</v>
      </c>
      <c r="I8" s="128" t="s">
        <v>284</v>
      </c>
      <c r="J8" s="127" t="s">
        <v>569</v>
      </c>
      <c r="K8" s="832"/>
      <c r="L8" s="832"/>
      <c r="M8" s="832"/>
      <c r="N8" s="833" t="s">
        <v>323</v>
      </c>
      <c r="O8" s="834" t="s">
        <v>2048</v>
      </c>
      <c r="P8" s="833" t="s">
        <v>579</v>
      </c>
    </row>
    <row r="9" spans="1:18" s="831" customFormat="1" ht="15.75" customHeight="1">
      <c r="B9" s="1086" t="s">
        <v>5009</v>
      </c>
      <c r="C9" s="1090" t="s">
        <v>5032</v>
      </c>
      <c r="D9" s="1091" t="s">
        <v>5033</v>
      </c>
      <c r="E9" s="1054"/>
      <c r="F9" s="1057"/>
      <c r="G9" s="1086" t="s">
        <v>5002</v>
      </c>
      <c r="H9" s="1087" t="s">
        <v>5029</v>
      </c>
      <c r="I9" s="1088" t="s">
        <v>5030</v>
      </c>
      <c r="J9" s="1089" t="s">
        <v>5031</v>
      </c>
      <c r="K9" s="832"/>
      <c r="L9" s="832"/>
      <c r="M9" s="832"/>
      <c r="N9" s="833"/>
      <c r="O9" s="834"/>
      <c r="P9" s="833"/>
    </row>
    <row r="10" spans="1:18" ht="15" customHeight="1">
      <c r="A10" s="657">
        <f>B10</f>
        <v>1</v>
      </c>
      <c r="B10" s="835">
        <f>IF(C10="","",COUNTA($C$10:C11))</f>
        <v>1</v>
      </c>
      <c r="C10" s="835">
        <f>IF(D10="","",1776)</f>
        <v>1776</v>
      </c>
      <c r="D10" s="836" t="s">
        <v>413</v>
      </c>
      <c r="E10" s="837" t="s">
        <v>4030</v>
      </c>
      <c r="F10" s="1056" t="str">
        <f>VLOOKUP(E10,DICH!B:C,2,FALSE)</f>
        <v>Concrete C35 of abutment-pier on land</v>
      </c>
      <c r="G10" s="838" t="s">
        <v>545</v>
      </c>
      <c r="H10" s="839"/>
      <c r="I10" s="840"/>
      <c r="J10" s="841"/>
      <c r="K10" s="842">
        <f>+J11</f>
        <v>1198945.6805278724</v>
      </c>
      <c r="L10" s="842">
        <f>+J14</f>
        <v>417895.72000000003</v>
      </c>
      <c r="M10" s="842">
        <f>+J15</f>
        <v>213150.56286903753</v>
      </c>
      <c r="N10" s="843" t="e">
        <f>SUMIF(#REF!,'8.Dgia'!A10,#REF!)+SUMIF(#REF!,'8.Dgia'!A10,#REF!)+SUMIF(#REF!,'8.Dgia'!A10,#REF!)+SUMIF(#REF!,'8.Dgia'!A10,#REF!)</f>
        <v>#REF!</v>
      </c>
      <c r="O10" s="844"/>
      <c r="P10" s="843"/>
    </row>
    <row r="11" spans="1:18" s="658" customFormat="1" ht="15" customHeight="1">
      <c r="A11" s="657">
        <f>IF(B11="",MAX($A$8:A10)+0,MAX($A$8:A10)+1)</f>
        <v>1</v>
      </c>
      <c r="B11" s="835" t="str">
        <f>IF(C11="","",COUNTA($C$10:C12))</f>
        <v/>
      </c>
      <c r="C11" s="362"/>
      <c r="D11" s="845"/>
      <c r="E11" s="819" t="s">
        <v>2032</v>
      </c>
      <c r="F11" s="848" t="str">
        <f>VLOOKUP(E11,DICH!B:C,2,FALSE)</f>
        <v xml:space="preserve">  A - Material</v>
      </c>
      <c r="G11" s="846"/>
      <c r="H11" s="847"/>
      <c r="I11" s="848"/>
      <c r="J11" s="849">
        <f>SUM(J12:J13)</f>
        <v>1198945.6805278724</v>
      </c>
      <c r="K11" s="850"/>
      <c r="L11" s="850"/>
      <c r="M11" s="850"/>
      <c r="N11" s="843" t="e">
        <f>SUMIF(#REF!,'8.Dgia'!A11,#REF!)+SUMIF(#REF!,'8.Dgia'!A11,#REF!)+SUMIF(#REF!,'8.Dgia'!A11,#REF!)+SUMIF(#REF!,'8.Dgia'!A11,#REF!)</f>
        <v>#REF!</v>
      </c>
      <c r="O11" s="844"/>
      <c r="P11" s="843" t="e">
        <f>$H11*N11*(1+O11%)</f>
        <v>#REF!</v>
      </c>
    </row>
    <row r="12" spans="1:18" ht="15" customHeight="1">
      <c r="A12" s="657">
        <f>IF(B12="",MAX($A$8:A11)+0,MAX($A$8:A11)+1)</f>
        <v>1</v>
      </c>
      <c r="B12" s="835" t="str">
        <f>IF(C12="","",COUNTA($C$10:C13))</f>
        <v/>
      </c>
      <c r="C12" s="851"/>
      <c r="D12" s="851" t="str">
        <f>'10.PLV'!$C$100</f>
        <v>C3327</v>
      </c>
      <c r="E12" s="852" t="str">
        <f>'10.PLV'!$D$100</f>
        <v>Vữa bê tông đá 1x2 C35 (độ sụt 14-17cm)</v>
      </c>
      <c r="F12" s="848" t="str">
        <f>VLOOKUP(E12,DICH!B:C,2,FALSE)</f>
        <v>Concrete motar C35 stone 1x2 slump 14-17</v>
      </c>
      <c r="G12" s="362" t="s">
        <v>545</v>
      </c>
      <c r="H12" s="847">
        <v>1.0149999999999999</v>
      </c>
      <c r="I12" s="848">
        <f>VLOOKUP(E12,'11.gia '!B:I,8,FALSE)</f>
        <v>1167220.6239684112</v>
      </c>
      <c r="J12" s="853">
        <f>+H12*I12</f>
        <v>1184728.9333279373</v>
      </c>
      <c r="N12" s="843" t="e">
        <f>SUMIF(#REF!,'8.Dgia'!A12,#REF!)+SUMIF(#REF!,'8.Dgia'!A12,#REF!)+SUMIF(#REF!,'8.Dgia'!A12,#REF!)+SUMIF(#REF!,'8.Dgia'!A12,#REF!)</f>
        <v>#REF!</v>
      </c>
      <c r="O12" s="844">
        <f>+$H$13</f>
        <v>1.2</v>
      </c>
      <c r="P12" s="843" t="e">
        <f>$H12*N12*(1+O12%)</f>
        <v>#REF!</v>
      </c>
    </row>
    <row r="13" spans="1:18" ht="15" customHeight="1">
      <c r="A13" s="657">
        <f>IF(B13="",MAX($A$8:A12)+0,MAX($A$8:A12)+1)</f>
        <v>1</v>
      </c>
      <c r="B13" s="835" t="str">
        <f>IF(C13="","",COUNTA($C$10:C14))</f>
        <v/>
      </c>
      <c r="C13" s="362"/>
      <c r="D13" s="851"/>
      <c r="E13" s="852" t="s">
        <v>555</v>
      </c>
      <c r="F13" s="848" t="str">
        <f>VLOOKUP(E13,DICH!B:C,2,FALSE)</f>
        <v>Other material</v>
      </c>
      <c r="G13" s="362" t="s">
        <v>554</v>
      </c>
      <c r="H13" s="847">
        <v>1.2</v>
      </c>
      <c r="I13" s="848">
        <f>J12</f>
        <v>1184728.9333279373</v>
      </c>
      <c r="J13" s="853">
        <f>I13*H13%</f>
        <v>14216.747199935247</v>
      </c>
      <c r="N13" s="843" t="e">
        <f>SUMIF(#REF!,'8.Dgia'!A13,#REF!)+SUMIF(#REF!,'8.Dgia'!A13,#REF!)+SUMIF(#REF!,'8.Dgia'!A13,#REF!)+SUMIF(#REF!,'8.Dgia'!A13,#REF!)</f>
        <v>#REF!</v>
      </c>
      <c r="O13" s="844"/>
      <c r="P13" s="843" t="e">
        <f t="shared" ref="P13:P95" si="0">$H13*N13*(1+O13%)</f>
        <v>#REF!</v>
      </c>
    </row>
    <row r="14" spans="1:18" s="658" customFormat="1" ht="15" customHeight="1">
      <c r="A14" s="657">
        <f>IF(B14="",MAX($A$8:A13)+0,MAX($A$8:A13)+1)</f>
        <v>1</v>
      </c>
      <c r="B14" s="835" t="str">
        <f>IF(C14="","",COUNTA($C$10:C15))</f>
        <v/>
      </c>
      <c r="C14" s="362"/>
      <c r="D14" s="845"/>
      <c r="E14" s="852" t="s">
        <v>2037</v>
      </c>
      <c r="F14" s="848" t="str">
        <f>VLOOKUP(E14,DICH!B:C,2,FALSE)</f>
        <v xml:space="preserve">  B - Labour 3.5/7</v>
      </c>
      <c r="G14" s="362" t="s">
        <v>4899</v>
      </c>
      <c r="H14" s="847">
        <v>2.06</v>
      </c>
      <c r="I14" s="848">
        <f>VLOOKUP(E14,'16.NC'!$C$11:$F$22,4,FALSE)</f>
        <v>202862</v>
      </c>
      <c r="J14" s="849">
        <f>I14*H14</f>
        <v>417895.72000000003</v>
      </c>
      <c r="K14" s="850"/>
      <c r="L14" s="850"/>
      <c r="M14" s="850"/>
      <c r="N14" s="843" t="e">
        <f>SUMIF(#REF!,'8.Dgia'!A14,#REF!)+SUMIF(#REF!,'8.Dgia'!A14,#REF!)+SUMIF(#REF!,'8.Dgia'!A14,#REF!)+SUMIF(#REF!,'8.Dgia'!A14,#REF!)</f>
        <v>#REF!</v>
      </c>
      <c r="O14" s="844"/>
      <c r="P14" s="843" t="e">
        <f t="shared" si="0"/>
        <v>#REF!</v>
      </c>
      <c r="R14" s="658">
        <v>1</v>
      </c>
    </row>
    <row r="15" spans="1:18" s="658" customFormat="1" ht="15" customHeight="1">
      <c r="A15" s="657">
        <f>IF(B15="",MAX($A$8:A14)+0,MAX($A$8:A14)+1)</f>
        <v>1</v>
      </c>
      <c r="B15" s="835" t="str">
        <f>IF(C15="","",COUNTA($C$10:C16))</f>
        <v/>
      </c>
      <c r="C15" s="362"/>
      <c r="D15" s="845"/>
      <c r="E15" s="819" t="s">
        <v>2033</v>
      </c>
      <c r="F15" s="848" t="str">
        <f>VLOOKUP(E15,DICH!B:C,2,FALSE)</f>
        <v xml:space="preserve">  C - Machine</v>
      </c>
      <c r="G15" s="846"/>
      <c r="H15" s="847"/>
      <c r="I15" s="848"/>
      <c r="J15" s="849">
        <f>SUM(J16:J19)</f>
        <v>213150.56286903753</v>
      </c>
      <c r="K15" s="850"/>
      <c r="L15" s="850"/>
      <c r="M15" s="850"/>
      <c r="N15" s="843" t="e">
        <f>SUMIF(#REF!,'8.Dgia'!A15,#REF!)+SUMIF(#REF!,'8.Dgia'!A15,#REF!)+SUMIF(#REF!,'8.Dgia'!A15,#REF!)+SUMIF(#REF!,'8.Dgia'!A15,#REF!)</f>
        <v>#REF!</v>
      </c>
      <c r="O15" s="844"/>
      <c r="P15" s="843" t="e">
        <f t="shared" si="0"/>
        <v>#REF!</v>
      </c>
    </row>
    <row r="16" spans="1:18" ht="15" customHeight="1">
      <c r="A16" s="657">
        <f>IF(B16="",MAX($A$8:A15)+0,MAX($A$8:A15)+1)</f>
        <v>1</v>
      </c>
      <c r="B16" s="835" t="str">
        <f>IF(C16="","",COUNTA($C$10:C17))</f>
        <v/>
      </c>
      <c r="C16" s="362"/>
      <c r="D16" s="851"/>
      <c r="E16" s="854" t="s">
        <v>288</v>
      </c>
      <c r="F16" s="848" t="str">
        <f>VLOOKUP(E16,'9.may'!E:F,2,FALSE)</f>
        <v>caterpillar crane 25T</v>
      </c>
      <c r="G16" s="362" t="s">
        <v>4902</v>
      </c>
      <c r="H16" s="847">
        <v>3.3000000000000002E-2</v>
      </c>
      <c r="I16" s="848">
        <f>VLOOKUP(E16,'9.may'!E:W,12,FALSE)</f>
        <v>2787996.6736363638</v>
      </c>
      <c r="J16" s="853">
        <f>I16*H16</f>
        <v>92003.890230000005</v>
      </c>
      <c r="N16" s="843" t="e">
        <f>SUMIF(#REF!,'8.Dgia'!A16,#REF!)+SUMIF(#REF!,'8.Dgia'!A16,#REF!)+SUMIF(#REF!,'8.Dgia'!A16,#REF!)+SUMIF(#REF!,'8.Dgia'!A16,#REF!)</f>
        <v>#REF!</v>
      </c>
      <c r="O16" s="844">
        <f>+$H$19</f>
        <v>0.5</v>
      </c>
      <c r="P16" s="843" t="e">
        <f t="shared" si="0"/>
        <v>#REF!</v>
      </c>
    </row>
    <row r="17" spans="1:18" ht="15" customHeight="1">
      <c r="A17" s="657">
        <f>IF(B17="",MAX($A$8:A16)+0,MAX($A$8:A16)+1)</f>
        <v>1</v>
      </c>
      <c r="B17" s="835" t="str">
        <f>IF(C17="","",COUNTA($C$10:C18))</f>
        <v/>
      </c>
      <c r="C17" s="362"/>
      <c r="D17" s="851"/>
      <c r="E17" s="852" t="s">
        <v>1182</v>
      </c>
      <c r="F17" s="848" t="str">
        <f>VLOOKUP(E17,'9.may'!E:F,2,FALSE)</f>
        <v>concrete pump truck 50m3/h</v>
      </c>
      <c r="G17" s="362" t="s">
        <v>4902</v>
      </c>
      <c r="H17" s="847">
        <v>3.3000000000000002E-2</v>
      </c>
      <c r="I17" s="848">
        <f>VLOOKUP(E17,'9.may'!E:W,12,FALSE)</f>
        <v>3446390.13</v>
      </c>
      <c r="J17" s="853">
        <f>I17*H17</f>
        <v>113730.87429000001</v>
      </c>
      <c r="N17" s="843" t="e">
        <f>SUMIF(#REF!,'8.Dgia'!A17,#REF!)+SUMIF(#REF!,'8.Dgia'!A17,#REF!)+SUMIF(#REF!,'8.Dgia'!A17,#REF!)+SUMIF(#REF!,'8.Dgia'!A17,#REF!)</f>
        <v>#REF!</v>
      </c>
      <c r="O17" s="844">
        <f>+$H$19</f>
        <v>0.5</v>
      </c>
      <c r="P17" s="843" t="e">
        <f t="shared" si="0"/>
        <v>#REF!</v>
      </c>
    </row>
    <row r="18" spans="1:18" ht="15" customHeight="1">
      <c r="A18" s="657">
        <f>IF(B18="",MAX($A$8:A17)+0,MAX($A$8:A17)+1)</f>
        <v>1</v>
      </c>
      <c r="B18" s="835" t="str">
        <f>IF(C18="","",COUNTA($C$10:C19))</f>
        <v/>
      </c>
      <c r="C18" s="362"/>
      <c r="D18" s="851"/>
      <c r="E18" s="852" t="s">
        <v>620</v>
      </c>
      <c r="F18" s="848" t="str">
        <f>VLOOKUP(E18,'9.may'!E:F,2,FALSE)</f>
        <v>concrete vibrating compactor 1.5Kw</v>
      </c>
      <c r="G18" s="362" t="s">
        <v>4902</v>
      </c>
      <c r="H18" s="847">
        <v>8.5000000000000006E-2</v>
      </c>
      <c r="I18" s="848">
        <f>VLOOKUP(E18,'9.may'!E:W,12,FALSE)</f>
        <v>74768.797500000001</v>
      </c>
      <c r="J18" s="853">
        <f>I18*H18</f>
        <v>6355.3477875000008</v>
      </c>
      <c r="N18" s="843" t="e">
        <f>SUMIF(#REF!,'8.Dgia'!A18,#REF!)+SUMIF(#REF!,'8.Dgia'!A18,#REF!)+SUMIF(#REF!,'8.Dgia'!A18,#REF!)+SUMIF(#REF!,'8.Dgia'!A18,#REF!)</f>
        <v>#REF!</v>
      </c>
      <c r="O18" s="844">
        <f>+$H$19</f>
        <v>0.5</v>
      </c>
      <c r="P18" s="843" t="e">
        <f t="shared" si="0"/>
        <v>#REF!</v>
      </c>
    </row>
    <row r="19" spans="1:18" ht="15" customHeight="1">
      <c r="A19" s="657">
        <f>IF(B19="",MAX($A$8:A18)+0,MAX($A$8:A18)+1)</f>
        <v>1</v>
      </c>
      <c r="B19" s="835" t="str">
        <f>IF(C19="","",COUNTA($C$10:C20))</f>
        <v/>
      </c>
      <c r="C19" s="362"/>
      <c r="D19" s="851"/>
      <c r="E19" s="852" t="s">
        <v>553</v>
      </c>
      <c r="F19" s="848" t="str">
        <f>VLOOKUP(E19,DICH!B:C,2,FALSE)</f>
        <v>Other machine</v>
      </c>
      <c r="G19" s="362" t="s">
        <v>554</v>
      </c>
      <c r="H19" s="847">
        <v>0.5</v>
      </c>
      <c r="I19" s="848">
        <f>SUM(J16:J18)</f>
        <v>212090.11230750004</v>
      </c>
      <c r="J19" s="853">
        <f>I19*H19%</f>
        <v>1060.4505615375001</v>
      </c>
      <c r="N19" s="843" t="e">
        <f>SUMIF(#REF!,'8.Dgia'!A19,#REF!)+SUMIF(#REF!,'8.Dgia'!A19,#REF!)+SUMIF(#REF!,'8.Dgia'!A19,#REF!)+SUMIF(#REF!,'8.Dgia'!A19,#REF!)</f>
        <v>#REF!</v>
      </c>
      <c r="O19" s="844"/>
      <c r="P19" s="843" t="e">
        <f t="shared" si="0"/>
        <v>#REF!</v>
      </c>
    </row>
    <row r="20" spans="1:18" ht="15" customHeight="1">
      <c r="A20" s="657">
        <f>IF(B20="",MAX($A$8:A19)+0,MAX($A$8:A19)+1)</f>
        <v>2</v>
      </c>
      <c r="B20" s="835">
        <f>IF(C20="","",COUNTA($C$10:C21))</f>
        <v>2</v>
      </c>
      <c r="C20" s="835">
        <f>IF(D20="","",1776)</f>
        <v>1776</v>
      </c>
      <c r="D20" s="851" t="s">
        <v>413</v>
      </c>
      <c r="E20" s="855" t="s">
        <v>4029</v>
      </c>
      <c r="F20" s="1049" t="str">
        <f>VLOOKUP(E20,DICH!B:C,2,FALSE)</f>
        <v>Concrete C40 of abutment-pier</v>
      </c>
      <c r="G20" s="856" t="s">
        <v>545</v>
      </c>
      <c r="H20" s="847"/>
      <c r="I20" s="848"/>
      <c r="J20" s="857"/>
      <c r="K20" s="842">
        <f>+J21</f>
        <v>1266628.4033520743</v>
      </c>
      <c r="L20" s="842">
        <f>+J24</f>
        <v>417895.72000000003</v>
      </c>
      <c r="M20" s="842">
        <f>+J25</f>
        <v>213150.56286903753</v>
      </c>
      <c r="N20" s="843" t="e">
        <f>SUMIF(#REF!,'8.Dgia'!A20,#REF!)+SUMIF(#REF!,'8.Dgia'!A20,#REF!)+SUMIF(#REF!,'8.Dgia'!A20,#REF!)+SUMIF(#REF!,'8.Dgia'!A20,#REF!)</f>
        <v>#REF!</v>
      </c>
      <c r="O20" s="844"/>
      <c r="P20" s="843" t="e">
        <f t="shared" si="0"/>
        <v>#REF!</v>
      </c>
    </row>
    <row r="21" spans="1:18" s="658" customFormat="1" ht="15" customHeight="1">
      <c r="A21" s="657">
        <f>IF(B21="",MAX($A$8:A20)+0,MAX($A$8:A20)+1)</f>
        <v>2</v>
      </c>
      <c r="B21" s="835" t="str">
        <f>IF(C21="","",COUNTA($C$10:C22))</f>
        <v/>
      </c>
      <c r="C21" s="362"/>
      <c r="D21" s="845"/>
      <c r="E21" s="852" t="s">
        <v>2032</v>
      </c>
      <c r="F21" s="848" t="str">
        <f>VLOOKUP(E21,DICH!B:C,2,FALSE)</f>
        <v xml:space="preserve">  A - Material</v>
      </c>
      <c r="G21" s="846"/>
      <c r="H21" s="847"/>
      <c r="I21" s="848"/>
      <c r="J21" s="849">
        <f>SUM(J22:J23)</f>
        <v>1266628.4033520743</v>
      </c>
      <c r="K21" s="850"/>
      <c r="L21" s="850"/>
      <c r="M21" s="850"/>
      <c r="N21" s="843" t="e">
        <f>SUMIF(#REF!,'8.Dgia'!A21,#REF!)+SUMIF(#REF!,'8.Dgia'!A21,#REF!)+SUMIF(#REF!,'8.Dgia'!A21,#REF!)+SUMIF(#REF!,'8.Dgia'!A21,#REF!)</f>
        <v>#REF!</v>
      </c>
      <c r="O21" s="844"/>
      <c r="P21" s="843" t="e">
        <f t="shared" si="0"/>
        <v>#REF!</v>
      </c>
    </row>
    <row r="22" spans="1:18" ht="25.5">
      <c r="A22" s="657">
        <f>IF(B22="",MAX($A$8:A21)+0,MAX($A$8:A21)+1)</f>
        <v>2</v>
      </c>
      <c r="B22" s="835" t="str">
        <f>IF(C22="","",COUNTA($C$10:C23))</f>
        <v/>
      </c>
      <c r="C22" s="851"/>
      <c r="D22" s="851" t="str">
        <f>+'10.PLV'!$C$60</f>
        <v>ĐM</v>
      </c>
      <c r="E22" s="852" t="str">
        <f>+'10.PLV'!$D$60</f>
        <v>Vữa bê tông đá 1x2 C40 (M450, độ sụt 12-16cm)</v>
      </c>
      <c r="F22" s="848" t="str">
        <f>VLOOKUP(E22,DICH!B:C,2,FALSE)</f>
        <v>Concrete motar C40 stone 1x2 slump 12-16</v>
      </c>
      <c r="G22" s="362" t="s">
        <v>545</v>
      </c>
      <c r="H22" s="847">
        <v>1.0149999999999999</v>
      </c>
      <c r="I22" s="848">
        <f>VLOOKUP(E22,'11.gia '!B:I,8,FALSE)</f>
        <v>1233112.4080999186</v>
      </c>
      <c r="J22" s="853">
        <f>I22*H22</f>
        <v>1251609.0942214173</v>
      </c>
      <c r="N22" s="843" t="e">
        <f>SUMIF(#REF!,'8.Dgia'!A22,#REF!)+SUMIF(#REF!,'8.Dgia'!A22,#REF!)+SUMIF(#REF!,'8.Dgia'!A22,#REF!)+SUMIF(#REF!,'8.Dgia'!A22,#REF!)</f>
        <v>#REF!</v>
      </c>
      <c r="O22" s="844">
        <f>+$H$23</f>
        <v>1.2</v>
      </c>
      <c r="P22" s="843" t="e">
        <f t="shared" si="0"/>
        <v>#REF!</v>
      </c>
    </row>
    <row r="23" spans="1:18" ht="15" customHeight="1">
      <c r="A23" s="657">
        <f>IF(B23="",MAX($A$8:A22)+0,MAX($A$8:A22)+1)</f>
        <v>2</v>
      </c>
      <c r="B23" s="835" t="str">
        <f>IF(C23="","",COUNTA($C$10:C24))</f>
        <v/>
      </c>
      <c r="C23" s="362"/>
      <c r="D23" s="851"/>
      <c r="E23" s="852" t="s">
        <v>555</v>
      </c>
      <c r="F23" s="848" t="str">
        <f>VLOOKUP(E23,DICH!B:C,2,FALSE)</f>
        <v>Other material</v>
      </c>
      <c r="G23" s="362" t="s">
        <v>554</v>
      </c>
      <c r="H23" s="847">
        <v>1.2</v>
      </c>
      <c r="I23" s="848">
        <f>J22</f>
        <v>1251609.0942214173</v>
      </c>
      <c r="J23" s="853">
        <f>I23*H23%</f>
        <v>15019.309130657008</v>
      </c>
      <c r="N23" s="843" t="e">
        <f>SUMIF(#REF!,'8.Dgia'!A23,#REF!)+SUMIF(#REF!,'8.Dgia'!A23,#REF!)+SUMIF(#REF!,'8.Dgia'!A23,#REF!)+SUMIF(#REF!,'8.Dgia'!A23,#REF!)</f>
        <v>#REF!</v>
      </c>
      <c r="O23" s="844"/>
      <c r="P23" s="843" t="e">
        <f t="shared" si="0"/>
        <v>#REF!</v>
      </c>
    </row>
    <row r="24" spans="1:18" s="658" customFormat="1" ht="15" customHeight="1">
      <c r="A24" s="657">
        <f>IF(B24="",MAX($A$8:A23)+0,MAX($A$8:A23)+1)</f>
        <v>2</v>
      </c>
      <c r="B24" s="835" t="str">
        <f>IF(C24="","",COUNTA($C$10:C25))</f>
        <v/>
      </c>
      <c r="C24" s="362"/>
      <c r="D24" s="845"/>
      <c r="E24" s="852" t="s">
        <v>2037</v>
      </c>
      <c r="F24" s="848" t="str">
        <f>VLOOKUP(E24,DICH!B:C,2,FALSE)</f>
        <v xml:space="preserve">  B - Labour 3.5/7</v>
      </c>
      <c r="G24" s="362" t="s">
        <v>4899</v>
      </c>
      <c r="H24" s="847">
        <v>2.06</v>
      </c>
      <c r="I24" s="848">
        <f>VLOOKUP(E24,'16.NC'!$C$11:$F$22,4,FALSE)</f>
        <v>202862</v>
      </c>
      <c r="J24" s="849">
        <f>I24*H24</f>
        <v>417895.72000000003</v>
      </c>
      <c r="K24" s="850"/>
      <c r="L24" s="850"/>
      <c r="M24" s="850"/>
      <c r="N24" s="843" t="e">
        <f>SUMIF(#REF!,'8.Dgia'!A24,#REF!)+SUMIF(#REF!,'8.Dgia'!A24,#REF!)+SUMIF(#REF!,'8.Dgia'!A24,#REF!)+SUMIF(#REF!,'8.Dgia'!A24,#REF!)</f>
        <v>#REF!</v>
      </c>
      <c r="O24" s="844"/>
      <c r="P24" s="843" t="e">
        <f t="shared" si="0"/>
        <v>#REF!</v>
      </c>
      <c r="R24" s="658">
        <v>1</v>
      </c>
    </row>
    <row r="25" spans="1:18" s="658" customFormat="1" ht="15" customHeight="1">
      <c r="A25" s="657">
        <f>IF(B25="",MAX($A$8:A24)+0,MAX($A$8:A24)+1)</f>
        <v>2</v>
      </c>
      <c r="B25" s="835" t="str">
        <f>IF(C25="","",COUNTA($C$10:C26))</f>
        <v/>
      </c>
      <c r="C25" s="362"/>
      <c r="D25" s="845"/>
      <c r="E25" s="852" t="s">
        <v>2033</v>
      </c>
      <c r="F25" s="848" t="str">
        <f>VLOOKUP(E25,DICH!B:C,2,FALSE)</f>
        <v xml:space="preserve">  C - Machine</v>
      </c>
      <c r="G25" s="846"/>
      <c r="H25" s="847"/>
      <c r="I25" s="848"/>
      <c r="J25" s="849">
        <f>SUM(J26:J29)</f>
        <v>213150.56286903753</v>
      </c>
      <c r="K25" s="850"/>
      <c r="L25" s="850"/>
      <c r="M25" s="850"/>
      <c r="N25" s="843" t="e">
        <f>SUMIF(#REF!,'8.Dgia'!A25,#REF!)+SUMIF(#REF!,'8.Dgia'!A25,#REF!)+SUMIF(#REF!,'8.Dgia'!A25,#REF!)+SUMIF(#REF!,'8.Dgia'!A25,#REF!)</f>
        <v>#REF!</v>
      </c>
      <c r="O25" s="844"/>
      <c r="P25" s="843" t="e">
        <f t="shared" si="0"/>
        <v>#REF!</v>
      </c>
    </row>
    <row r="26" spans="1:18" ht="15" customHeight="1">
      <c r="A26" s="657">
        <f>IF(B26="",MAX($A$8:A25)+0,MAX($A$8:A25)+1)</f>
        <v>2</v>
      </c>
      <c r="B26" s="835" t="str">
        <f>IF(C26="","",COUNTA($C$10:C27))</f>
        <v/>
      </c>
      <c r="C26" s="362"/>
      <c r="D26" s="851"/>
      <c r="E26" s="852" t="s">
        <v>288</v>
      </c>
      <c r="F26" s="848" t="str">
        <f>VLOOKUP(E26,'9.may'!E:F,2,FALSE)</f>
        <v>caterpillar crane 25T</v>
      </c>
      <c r="G26" s="362" t="s">
        <v>4902</v>
      </c>
      <c r="H26" s="847">
        <v>3.3000000000000002E-2</v>
      </c>
      <c r="I26" s="848">
        <f>VLOOKUP(E26,'9.may'!E:W,12,FALSE)</f>
        <v>2787996.6736363638</v>
      </c>
      <c r="J26" s="853">
        <f>I26*H26</f>
        <v>92003.890230000005</v>
      </c>
      <c r="N26" s="843" t="e">
        <f>SUMIF(#REF!,'8.Dgia'!A26,#REF!)+SUMIF(#REF!,'8.Dgia'!A26,#REF!)+SUMIF(#REF!,'8.Dgia'!A26,#REF!)+SUMIF(#REF!,'8.Dgia'!A26,#REF!)</f>
        <v>#REF!</v>
      </c>
      <c r="O26" s="844">
        <f>+$H$29</f>
        <v>0.5</v>
      </c>
      <c r="P26" s="843" t="e">
        <f t="shared" si="0"/>
        <v>#REF!</v>
      </c>
    </row>
    <row r="27" spans="1:18" ht="15" customHeight="1">
      <c r="A27" s="657">
        <f>IF(B27="",MAX($A$8:A26)+0,MAX($A$8:A26)+1)</f>
        <v>2</v>
      </c>
      <c r="B27" s="835" t="str">
        <f>IF(C27="","",COUNTA($C$10:C28))</f>
        <v/>
      </c>
      <c r="C27" s="362"/>
      <c r="D27" s="851"/>
      <c r="E27" s="852" t="s">
        <v>1182</v>
      </c>
      <c r="F27" s="848" t="str">
        <f>VLOOKUP(E27,'9.may'!E:F,2,FALSE)</f>
        <v>concrete pump truck 50m3/h</v>
      </c>
      <c r="G27" s="362" t="s">
        <v>4902</v>
      </c>
      <c r="H27" s="847">
        <v>3.3000000000000002E-2</v>
      </c>
      <c r="I27" s="848">
        <f>VLOOKUP(E27,'9.may'!E:W,12,FALSE)</f>
        <v>3446390.13</v>
      </c>
      <c r="J27" s="853">
        <f>I27*H27</f>
        <v>113730.87429000001</v>
      </c>
      <c r="N27" s="843" t="e">
        <f>SUMIF(#REF!,'8.Dgia'!A27,#REF!)+SUMIF(#REF!,'8.Dgia'!A27,#REF!)+SUMIF(#REF!,'8.Dgia'!A27,#REF!)+SUMIF(#REF!,'8.Dgia'!A27,#REF!)</f>
        <v>#REF!</v>
      </c>
      <c r="O27" s="844">
        <f>+$H$29</f>
        <v>0.5</v>
      </c>
      <c r="P27" s="843" t="e">
        <f t="shared" si="0"/>
        <v>#REF!</v>
      </c>
    </row>
    <row r="28" spans="1:18" ht="15" customHeight="1">
      <c r="A28" s="657">
        <f>IF(B28="",MAX($A$8:A27)+0,MAX($A$8:A27)+1)</f>
        <v>2</v>
      </c>
      <c r="B28" s="835" t="str">
        <f>IF(C28="","",COUNTA($C$10:C29))</f>
        <v/>
      </c>
      <c r="C28" s="362"/>
      <c r="D28" s="851"/>
      <c r="E28" s="852" t="s">
        <v>620</v>
      </c>
      <c r="F28" s="848" t="str">
        <f>VLOOKUP(E28,'9.may'!E:F,2,FALSE)</f>
        <v>concrete vibrating compactor 1.5Kw</v>
      </c>
      <c r="G28" s="362" t="s">
        <v>4902</v>
      </c>
      <c r="H28" s="847">
        <v>8.5000000000000006E-2</v>
      </c>
      <c r="I28" s="848">
        <f>VLOOKUP(E28,'9.may'!E:W,12,FALSE)</f>
        <v>74768.797500000001</v>
      </c>
      <c r="J28" s="853">
        <f>I28*H28</f>
        <v>6355.3477875000008</v>
      </c>
      <c r="N28" s="843" t="e">
        <f>SUMIF(#REF!,'8.Dgia'!A28,#REF!)+SUMIF(#REF!,'8.Dgia'!A28,#REF!)+SUMIF(#REF!,'8.Dgia'!A28,#REF!)+SUMIF(#REF!,'8.Dgia'!A28,#REF!)</f>
        <v>#REF!</v>
      </c>
      <c r="O28" s="844">
        <f>+$H$29</f>
        <v>0.5</v>
      </c>
      <c r="P28" s="843" t="e">
        <f t="shared" si="0"/>
        <v>#REF!</v>
      </c>
    </row>
    <row r="29" spans="1:18" ht="15" customHeight="1">
      <c r="A29" s="657">
        <f>IF(B29="",MAX($A$8:A28)+0,MAX($A$8:A28)+1)</f>
        <v>2</v>
      </c>
      <c r="B29" s="835" t="str">
        <f>IF(C29="","",COUNTA($C$10:C30))</f>
        <v/>
      </c>
      <c r="C29" s="362"/>
      <c r="D29" s="851"/>
      <c r="E29" s="852" t="s">
        <v>553</v>
      </c>
      <c r="F29" s="848" t="str">
        <f>VLOOKUP(E29,DICH!B:C,2,FALSE)</f>
        <v>Other machine</v>
      </c>
      <c r="G29" s="362" t="s">
        <v>554</v>
      </c>
      <c r="H29" s="847">
        <v>0.5</v>
      </c>
      <c r="I29" s="848">
        <f>SUM(J26:J28)</f>
        <v>212090.11230750004</v>
      </c>
      <c r="J29" s="853">
        <f>I29*H29%</f>
        <v>1060.4505615375001</v>
      </c>
      <c r="N29" s="843" t="e">
        <f>SUMIF(#REF!,'8.Dgia'!A29,#REF!)+SUMIF(#REF!,'8.Dgia'!A29,#REF!)+SUMIF(#REF!,'8.Dgia'!A29,#REF!)+SUMIF(#REF!,'8.Dgia'!A29,#REF!)</f>
        <v>#REF!</v>
      </c>
      <c r="O29" s="844"/>
      <c r="P29" s="843" t="e">
        <f t="shared" si="0"/>
        <v>#REF!</v>
      </c>
    </row>
    <row r="30" spans="1:18" ht="12.75">
      <c r="A30" s="657">
        <f>IF(B30="",MAX($A$8:A29)+0,MAX($A$8:A29)+1)</f>
        <v>3</v>
      </c>
      <c r="B30" s="835">
        <f>IF(C30="","",COUNTA($C$10:C31))</f>
        <v>3</v>
      </c>
      <c r="C30" s="1291">
        <f>IF(D30="","",1776)</f>
        <v>1776</v>
      </c>
      <c r="D30" s="1292" t="s">
        <v>5472</v>
      </c>
      <c r="E30" s="1224" t="s">
        <v>2179</v>
      </c>
      <c r="F30" s="1049" t="str">
        <f>VLOOKUP(E30,DICH!B:C,2,FALSE)</f>
        <v>Producing and transporting concrete mortar 0.5km</v>
      </c>
      <c r="G30" s="856" t="s">
        <v>545</v>
      </c>
      <c r="H30" s="1293"/>
      <c r="I30" s="848"/>
      <c r="J30" s="857"/>
      <c r="L30" s="842">
        <f>+J31</f>
        <v>13075.79</v>
      </c>
      <c r="M30" s="842">
        <f>+J32</f>
        <v>115513.37878929546</v>
      </c>
      <c r="N30" s="843" t="e">
        <f>SUMIF(#REF!,'8.Dgia'!A30,#REF!)+SUMIF(#REF!,'8.Dgia'!A30,#REF!)+SUMIF(#REF!,'8.Dgia'!A30,#REF!)+SUMIF(#REF!,'8.Dgia'!A30,#REF!)</f>
        <v>#REF!</v>
      </c>
      <c r="O30" s="844"/>
      <c r="P30" s="843" t="e">
        <f t="shared" si="0"/>
        <v>#REF!</v>
      </c>
      <c r="Q30" s="657" t="s">
        <v>457</v>
      </c>
    </row>
    <row r="31" spans="1:18" s="658" customFormat="1" ht="15" customHeight="1">
      <c r="A31" s="657">
        <f>IF(B31="",MAX($A$8:A30)+0,MAX($A$8:A30)+1)</f>
        <v>3</v>
      </c>
      <c r="B31" s="835" t="str">
        <f>IF(C31="","",COUNTA($C$10:C32))</f>
        <v/>
      </c>
      <c r="C31" s="362"/>
      <c r="D31" s="1292" t="s">
        <v>5472</v>
      </c>
      <c r="E31" s="852" t="s">
        <v>2038</v>
      </c>
      <c r="F31" s="848" t="str">
        <f>VLOOKUP(E31,DICH!B:C,2,FALSE)</f>
        <v xml:space="preserve">  B - Labour 3.0/7</v>
      </c>
      <c r="G31" s="362" t="s">
        <v>4899</v>
      </c>
      <c r="H31" s="847">
        <v>7.0000000000000007E-2</v>
      </c>
      <c r="I31" s="848">
        <f>VLOOKUP(E31,'16.NC'!$C$11:$F$22,4,FALSE)</f>
        <v>186797</v>
      </c>
      <c r="J31" s="849">
        <f>I31*H31</f>
        <v>13075.79</v>
      </c>
      <c r="K31" s="850"/>
      <c r="L31" s="850"/>
      <c r="M31" s="850"/>
      <c r="N31" s="843" t="e">
        <f>SUMIF(#REF!,'8.Dgia'!A31,#REF!)+SUMIF(#REF!,'8.Dgia'!A31,#REF!)+SUMIF(#REF!,'8.Dgia'!A31,#REF!)+SUMIF(#REF!,'8.Dgia'!A31,#REF!)</f>
        <v>#REF!</v>
      </c>
      <c r="O31" s="844"/>
      <c r="P31" s="843" t="e">
        <f t="shared" si="0"/>
        <v>#REF!</v>
      </c>
      <c r="Q31" s="657" t="s">
        <v>457</v>
      </c>
      <c r="R31" s="658">
        <v>1</v>
      </c>
    </row>
    <row r="32" spans="1:18" s="658" customFormat="1" ht="15" customHeight="1">
      <c r="A32" s="657">
        <f>IF(B32="",MAX($A$8:A31)+0,MAX($A$8:A31)+1)</f>
        <v>3</v>
      </c>
      <c r="B32" s="835" t="str">
        <f>IF(C32="","",COUNTA($C$10:C33))</f>
        <v/>
      </c>
      <c r="C32" s="362"/>
      <c r="D32" s="845"/>
      <c r="E32" s="852" t="s">
        <v>2033</v>
      </c>
      <c r="F32" s="848" t="str">
        <f>VLOOKUP(E32,DICH!B:C,2,FALSE)</f>
        <v xml:space="preserve">  C - Machine</v>
      </c>
      <c r="G32" s="846"/>
      <c r="H32" s="847"/>
      <c r="I32" s="848"/>
      <c r="J32" s="849">
        <f>SUM(J33:J38)</f>
        <v>115513.37878929546</v>
      </c>
      <c r="K32" s="850"/>
      <c r="L32" s="850"/>
      <c r="M32" s="850"/>
      <c r="N32" s="843" t="e">
        <f>SUMIF(#REF!,'8.Dgia'!A32,#REF!)+SUMIF(#REF!,'8.Dgia'!A32,#REF!)+SUMIF(#REF!,'8.Dgia'!A32,#REF!)+SUMIF(#REF!,'8.Dgia'!A32,#REF!)</f>
        <v>#REF!</v>
      </c>
      <c r="O32" s="844"/>
      <c r="P32" s="843" t="e">
        <f t="shared" si="0"/>
        <v>#REF!</v>
      </c>
      <c r="Q32" s="657" t="s">
        <v>457</v>
      </c>
    </row>
    <row r="33" spans="1:18" ht="15" customHeight="1">
      <c r="A33" s="657">
        <f>IF(B33="",MAX($A$8:A32)+0,MAX($A$8:A32)+1)</f>
        <v>3</v>
      </c>
      <c r="B33" s="835" t="str">
        <f>IF(C33="","",COUNTA($C$10:C34))</f>
        <v/>
      </c>
      <c r="C33" s="362"/>
      <c r="D33" s="851"/>
      <c r="E33" s="852" t="s">
        <v>1163</v>
      </c>
      <c r="F33" s="848" t="str">
        <f>VLOOKUP(E33,'9.may'!E:F,2,FALSE)</f>
        <v>concrete batching plant 50m3/h</v>
      </c>
      <c r="G33" s="362" t="s">
        <v>4902</v>
      </c>
      <c r="H33" s="847">
        <v>7.0000000000000001E-3</v>
      </c>
      <c r="I33" s="848">
        <f>VLOOKUP(E33,'9.may'!E:W,12,FALSE)</f>
        <v>2766761.5200000005</v>
      </c>
      <c r="J33" s="853">
        <f>I33*H33</f>
        <v>19367.330640000004</v>
      </c>
      <c r="N33" s="843" t="e">
        <f>SUMIF(#REF!,'8.Dgia'!A33,#REF!)+SUMIF(#REF!,'8.Dgia'!A33,#REF!)+SUMIF(#REF!,'8.Dgia'!A33,#REF!)+SUMIF(#REF!,'8.Dgia'!A33,#REF!)</f>
        <v>#REF!</v>
      </c>
      <c r="O33" s="844">
        <f>+$H$36</f>
        <v>5</v>
      </c>
      <c r="P33" s="843" t="e">
        <f t="shared" si="0"/>
        <v>#REF!</v>
      </c>
      <c r="Q33" s="657" t="s">
        <v>457</v>
      </c>
    </row>
    <row r="34" spans="1:18" ht="15" customHeight="1">
      <c r="A34" s="657">
        <f>IF(B34="",MAX($A$8:A33)+0,MAX($A$8:A33)+1)</f>
        <v>3</v>
      </c>
      <c r="B34" s="835" t="str">
        <f>IF(C34="","",COUNTA($C$10:C35))</f>
        <v/>
      </c>
      <c r="C34" s="362"/>
      <c r="D34" s="851"/>
      <c r="E34" s="1225" t="s">
        <v>5473</v>
      </c>
      <c r="F34" s="848" t="str">
        <f>VLOOKUP(E34,'9.may'!E:F,2,FALSE)</f>
        <v>avulsion excavator 1.25m3</v>
      </c>
      <c r="G34" s="362" t="s">
        <v>4902</v>
      </c>
      <c r="H34" s="847">
        <v>7.0000000000000001E-3</v>
      </c>
      <c r="I34" s="848">
        <f>VLOOKUP(E34,'9.may'!E:W,12,FALSE)</f>
        <v>1941040.5763636362</v>
      </c>
      <c r="J34" s="853">
        <f>I34*H34</f>
        <v>13587.284034545453</v>
      </c>
      <c r="N34" s="843" t="e">
        <f>SUMIF(#REF!,'8.Dgia'!A34,#REF!)+SUMIF(#REF!,'8.Dgia'!A34,#REF!)+SUMIF(#REF!,'8.Dgia'!A34,#REF!)+SUMIF(#REF!,'8.Dgia'!A34,#REF!)</f>
        <v>#REF!</v>
      </c>
      <c r="O34" s="844">
        <f>+$H$36</f>
        <v>5</v>
      </c>
      <c r="P34" s="843" t="e">
        <f t="shared" si="0"/>
        <v>#REF!</v>
      </c>
      <c r="Q34" s="657" t="s">
        <v>457</v>
      </c>
    </row>
    <row r="35" spans="1:18" ht="15" customHeight="1">
      <c r="A35" s="657">
        <f>IF(B35="",MAX($A$8:A34)+0,MAX($A$8:A34)+1)</f>
        <v>3</v>
      </c>
      <c r="B35" s="835" t="str">
        <f>IF(C35="","",COUNTA($C$10:C36))</f>
        <v/>
      </c>
      <c r="C35" s="362"/>
      <c r="D35" s="851"/>
      <c r="E35" s="852" t="s">
        <v>624</v>
      </c>
      <c r="F35" s="848" t="str">
        <f>VLOOKUP(E35,'9.may'!E:F,2,FALSE)</f>
        <v>bulldozer 108CV</v>
      </c>
      <c r="G35" s="362" t="s">
        <v>4902</v>
      </c>
      <c r="H35" s="847">
        <v>3.5000000000000001E-3</v>
      </c>
      <c r="I35" s="848">
        <f>VLOOKUP(E35,'9.may'!E:W,12,FALSE)</f>
        <v>1959433.0499999998</v>
      </c>
      <c r="J35" s="853">
        <f>I35*H35</f>
        <v>6858.0156749999996</v>
      </c>
      <c r="N35" s="843" t="e">
        <f>SUMIF(#REF!,'8.Dgia'!A35,#REF!)+SUMIF(#REF!,'8.Dgia'!A35,#REF!)+SUMIF(#REF!,'8.Dgia'!A35,#REF!)+SUMIF(#REF!,'8.Dgia'!A35,#REF!)</f>
        <v>#REF!</v>
      </c>
      <c r="O35" s="844">
        <f>+$H$36</f>
        <v>5</v>
      </c>
      <c r="P35" s="843" t="e">
        <f t="shared" si="0"/>
        <v>#REF!</v>
      </c>
      <c r="Q35" s="657" t="s">
        <v>457</v>
      </c>
    </row>
    <row r="36" spans="1:18" ht="15" customHeight="1">
      <c r="A36" s="657">
        <f>IF(B36="",MAX($A$8:A35)+0,MAX($A$8:A35)+1)</f>
        <v>3</v>
      </c>
      <c r="B36" s="835" t="str">
        <f>IF(C36="","",COUNTA($C$10:C37))</f>
        <v/>
      </c>
      <c r="C36" s="362"/>
      <c r="D36" s="851"/>
      <c r="E36" s="852" t="s">
        <v>553</v>
      </c>
      <c r="F36" s="848" t="str">
        <f>VLOOKUP(E36,DICH!B:C,2,FALSE)</f>
        <v>Other machine</v>
      </c>
      <c r="G36" s="362" t="s">
        <v>554</v>
      </c>
      <c r="H36" s="847">
        <v>5</v>
      </c>
      <c r="I36" s="848">
        <f>SUM(J33:J35)</f>
        <v>39812.630349545463</v>
      </c>
      <c r="J36" s="853">
        <f>I36*H36%</f>
        <v>1990.6315174772733</v>
      </c>
      <c r="N36" s="843" t="e">
        <f>SUMIF(#REF!,'8.Dgia'!A36,#REF!)+SUMIF(#REF!,'8.Dgia'!A36,#REF!)+SUMIF(#REF!,'8.Dgia'!A36,#REF!)+SUMIF(#REF!,'8.Dgia'!A36,#REF!)</f>
        <v>#REF!</v>
      </c>
      <c r="O36" s="844"/>
      <c r="P36" s="843" t="e">
        <f t="shared" si="0"/>
        <v>#REF!</v>
      </c>
      <c r="Q36" s="657" t="s">
        <v>457</v>
      </c>
    </row>
    <row r="37" spans="1:18" ht="15" customHeight="1">
      <c r="A37" s="657">
        <f>IF(B37="",MAX($A$8:A36)+0,MAX($A$8:A36)+1)</f>
        <v>3</v>
      </c>
      <c r="B37" s="835" t="str">
        <f>IF(C37="","",COUNTA($C$10:C38))</f>
        <v/>
      </c>
      <c r="C37" s="362"/>
      <c r="D37" s="1292" t="s">
        <v>5660</v>
      </c>
      <c r="E37" s="852" t="s">
        <v>429</v>
      </c>
      <c r="F37" s="848" t="str">
        <f>VLOOKUP(E37,DICH!B:C,2,FALSE)</f>
        <v>Transport concrete 0.5km</v>
      </c>
      <c r="G37" s="362"/>
      <c r="H37" s="847"/>
      <c r="I37" s="848"/>
      <c r="J37" s="853"/>
      <c r="N37" s="843" t="e">
        <f>SUMIF(#REF!,'8.Dgia'!A37,#REF!)+SUMIF(#REF!,'8.Dgia'!A37,#REF!)+SUMIF(#REF!,'8.Dgia'!A37,#REF!)+SUMIF(#REF!,'8.Dgia'!A37,#REF!)</f>
        <v>#REF!</v>
      </c>
      <c r="O37" s="844"/>
      <c r="P37" s="843" t="e">
        <f t="shared" si="0"/>
        <v>#REF!</v>
      </c>
      <c r="Q37" s="657" t="s">
        <v>457</v>
      </c>
    </row>
    <row r="38" spans="1:18" ht="15" customHeight="1">
      <c r="A38" s="657">
        <f>IF(B38="",MAX($A$8:A37)+0,MAX($A$8:A37)+1)</f>
        <v>3</v>
      </c>
      <c r="B38" s="835" t="str">
        <f>IF(C38="","",COUNTA($C$10:C39))</f>
        <v/>
      </c>
      <c r="C38" s="362"/>
      <c r="D38" s="851"/>
      <c r="E38" s="435" t="s">
        <v>954</v>
      </c>
      <c r="F38" s="848" t="str">
        <f>VLOOKUP(E38,'9.may'!E:F,2,FALSE)</f>
        <v>truck mixer 10.7m3</v>
      </c>
      <c r="G38" s="362" t="s">
        <v>4902</v>
      </c>
      <c r="H38" s="847">
        <v>2.4500000000000001E-2</v>
      </c>
      <c r="I38" s="848">
        <f>VLOOKUP(E38,'9.may'!E:W,12,FALSE)</f>
        <v>3008576.2009090907</v>
      </c>
      <c r="J38" s="853">
        <f>I38*H38</f>
        <v>73710.116922272719</v>
      </c>
      <c r="N38" s="843" t="e">
        <f>SUMIF(#REF!,'8.Dgia'!A38,#REF!)+SUMIF(#REF!,'8.Dgia'!A38,#REF!)+SUMIF(#REF!,'8.Dgia'!A38,#REF!)+SUMIF(#REF!,'8.Dgia'!A38,#REF!)</f>
        <v>#REF!</v>
      </c>
      <c r="O38" s="844"/>
      <c r="P38" s="843" t="e">
        <f t="shared" si="0"/>
        <v>#REF!</v>
      </c>
    </row>
    <row r="39" spans="1:18" ht="15" customHeight="1">
      <c r="A39" s="657">
        <f>IF(B39="",MAX($A$8:A38)+0,MAX($A$8:A38)+1)</f>
        <v>4</v>
      </c>
      <c r="B39" s="835">
        <f>IF(C39="","",COUNTA($C$10:C40))</f>
        <v>4</v>
      </c>
      <c r="C39" s="835">
        <f>IF(D39="","",1776)</f>
        <v>1776</v>
      </c>
      <c r="D39" s="1292" t="s">
        <v>5472</v>
      </c>
      <c r="E39" s="855" t="s">
        <v>5086</v>
      </c>
      <c r="F39" s="1049" t="str">
        <f>VLOOKUP(E39,DICH!B:C,2,FALSE)</f>
        <v>Producing and transporting concrete mortar &lt;=3km</v>
      </c>
      <c r="G39" s="856" t="s">
        <v>545</v>
      </c>
      <c r="H39" s="847"/>
      <c r="I39" s="848"/>
      <c r="J39" s="857"/>
      <c r="L39" s="842">
        <f>+J40</f>
        <v>13075.79</v>
      </c>
      <c r="M39" s="842">
        <f>+J41</f>
        <v>148908.57461938635</v>
      </c>
      <c r="N39" s="843" t="e">
        <f>SUMIF(#REF!,'8.Dgia'!A39,#REF!)+SUMIF(#REF!,'8.Dgia'!A39,#REF!)+SUMIF(#REF!,'8.Dgia'!A39,#REF!)+SUMIF(#REF!,'8.Dgia'!A39,#REF!)</f>
        <v>#REF!</v>
      </c>
      <c r="O39" s="844"/>
      <c r="P39" s="843" t="e">
        <f t="shared" ref="P39:P47" si="1">$H39*N39*(1+O39%)</f>
        <v>#REF!</v>
      </c>
      <c r="Q39" s="657" t="s">
        <v>457</v>
      </c>
    </row>
    <row r="40" spans="1:18" s="658" customFormat="1" ht="15" customHeight="1">
      <c r="A40" s="657">
        <f>IF(B40="",MAX($A$8:A39)+0,MAX($A$8:A39)+1)</f>
        <v>4</v>
      </c>
      <c r="B40" s="835" t="str">
        <f>IF(C40="","",COUNTA($C$10:C41))</f>
        <v/>
      </c>
      <c r="C40" s="362"/>
      <c r="D40" s="1292" t="s">
        <v>5472</v>
      </c>
      <c r="E40" s="852" t="s">
        <v>2038</v>
      </c>
      <c r="F40" s="848" t="str">
        <f>VLOOKUP(E40,DICH!B:C,2,FALSE)</f>
        <v xml:space="preserve">  B - Labour 3.0/7</v>
      </c>
      <c r="G40" s="362" t="s">
        <v>4899</v>
      </c>
      <c r="H40" s="847">
        <v>7.0000000000000007E-2</v>
      </c>
      <c r="I40" s="848">
        <f>VLOOKUP(E40,'16.NC'!$C$11:$F$22,4,FALSE)</f>
        <v>186797</v>
      </c>
      <c r="J40" s="849">
        <f>I40*H40</f>
        <v>13075.79</v>
      </c>
      <c r="K40" s="850"/>
      <c r="L40" s="850"/>
      <c r="M40" s="850"/>
      <c r="N40" s="843" t="e">
        <f>SUMIF(#REF!,'8.Dgia'!A40,#REF!)+SUMIF(#REF!,'8.Dgia'!A40,#REF!)+SUMIF(#REF!,'8.Dgia'!A40,#REF!)+SUMIF(#REF!,'8.Dgia'!A40,#REF!)</f>
        <v>#REF!</v>
      </c>
      <c r="O40" s="844"/>
      <c r="P40" s="843" t="e">
        <f t="shared" si="1"/>
        <v>#REF!</v>
      </c>
      <c r="Q40" s="657" t="s">
        <v>457</v>
      </c>
      <c r="R40" s="658">
        <v>1</v>
      </c>
    </row>
    <row r="41" spans="1:18" s="658" customFormat="1" ht="15" customHeight="1">
      <c r="A41" s="657">
        <f>IF(B41="",MAX($A$8:A40)+0,MAX($A$8:A40)+1)</f>
        <v>4</v>
      </c>
      <c r="B41" s="835" t="str">
        <f>IF(C41="","",COUNTA($C$10:C42))</f>
        <v/>
      </c>
      <c r="C41" s="362"/>
      <c r="D41" s="845"/>
      <c r="E41" s="852" t="s">
        <v>2033</v>
      </c>
      <c r="F41" s="848" t="str">
        <f>VLOOKUP(E41,DICH!B:C,2,FALSE)</f>
        <v xml:space="preserve">  C - Machine</v>
      </c>
      <c r="G41" s="846"/>
      <c r="H41" s="847"/>
      <c r="I41" s="848"/>
      <c r="J41" s="849">
        <f>SUM(J42:J47)</f>
        <v>148908.57461938635</v>
      </c>
      <c r="K41" s="850"/>
      <c r="L41" s="850"/>
      <c r="M41" s="850"/>
      <c r="N41" s="843" t="e">
        <f>SUMIF(#REF!,'8.Dgia'!A41,#REF!)+SUMIF(#REF!,'8.Dgia'!A41,#REF!)+SUMIF(#REF!,'8.Dgia'!A41,#REF!)+SUMIF(#REF!,'8.Dgia'!A41,#REF!)</f>
        <v>#REF!</v>
      </c>
      <c r="O41" s="844"/>
      <c r="P41" s="843" t="e">
        <f t="shared" si="1"/>
        <v>#REF!</v>
      </c>
      <c r="Q41" s="657" t="s">
        <v>457</v>
      </c>
    </row>
    <row r="42" spans="1:18" ht="15" customHeight="1">
      <c r="A42" s="657">
        <f>IF(B42="",MAX($A$8:A41)+0,MAX($A$8:A41)+1)</f>
        <v>4</v>
      </c>
      <c r="B42" s="835" t="str">
        <f>IF(C42="","",COUNTA($C$10:C43))</f>
        <v/>
      </c>
      <c r="C42" s="362"/>
      <c r="D42" s="851"/>
      <c r="E42" s="852" t="s">
        <v>1163</v>
      </c>
      <c r="F42" s="848" t="str">
        <f>VLOOKUP(E42,'9.may'!E:F,2,FALSE)</f>
        <v>concrete batching plant 50m3/h</v>
      </c>
      <c r="G42" s="362" t="s">
        <v>4902</v>
      </c>
      <c r="H42" s="847">
        <v>7.0000000000000001E-3</v>
      </c>
      <c r="I42" s="848">
        <f>VLOOKUP(E42,'9.may'!E:W,12,FALSE)</f>
        <v>2766761.5200000005</v>
      </c>
      <c r="J42" s="853">
        <f>I42*H42</f>
        <v>19367.330640000004</v>
      </c>
      <c r="N42" s="843" t="e">
        <f>SUMIF(#REF!,'8.Dgia'!A42,#REF!)+SUMIF(#REF!,'8.Dgia'!A42,#REF!)+SUMIF(#REF!,'8.Dgia'!A42,#REF!)+SUMIF(#REF!,'8.Dgia'!A42,#REF!)</f>
        <v>#REF!</v>
      </c>
      <c r="O42" s="844">
        <f>+$H$36</f>
        <v>5</v>
      </c>
      <c r="P42" s="843" t="e">
        <f t="shared" si="1"/>
        <v>#REF!</v>
      </c>
      <c r="Q42" s="657" t="s">
        <v>457</v>
      </c>
    </row>
    <row r="43" spans="1:18" ht="15" customHeight="1">
      <c r="A43" s="657">
        <f>IF(B43="",MAX($A$8:A42)+0,MAX($A$8:A42)+1)</f>
        <v>4</v>
      </c>
      <c r="B43" s="835" t="str">
        <f>IF(C43="","",COUNTA($C$10:C44))</f>
        <v/>
      </c>
      <c r="C43" s="362"/>
      <c r="D43" s="851"/>
      <c r="E43" s="1225" t="s">
        <v>5473</v>
      </c>
      <c r="F43" s="848" t="str">
        <f>VLOOKUP(E43,'9.may'!E:F,2,FALSE)</f>
        <v>avulsion excavator 1.25m3</v>
      </c>
      <c r="G43" s="362" t="s">
        <v>4902</v>
      </c>
      <c r="H43" s="847">
        <v>7.0000000000000001E-3</v>
      </c>
      <c r="I43" s="848">
        <f>VLOOKUP(E43,'9.may'!E:W,12,FALSE)</f>
        <v>1941040.5763636362</v>
      </c>
      <c r="J43" s="853">
        <f>I43*H43</f>
        <v>13587.284034545453</v>
      </c>
      <c r="N43" s="843" t="e">
        <f>SUMIF(#REF!,'8.Dgia'!A43,#REF!)+SUMIF(#REF!,'8.Dgia'!A43,#REF!)+SUMIF(#REF!,'8.Dgia'!A43,#REF!)+SUMIF(#REF!,'8.Dgia'!A43,#REF!)</f>
        <v>#REF!</v>
      </c>
      <c r="O43" s="844">
        <f>+$H$36</f>
        <v>5</v>
      </c>
      <c r="P43" s="843" t="e">
        <f t="shared" si="1"/>
        <v>#REF!</v>
      </c>
      <c r="Q43" s="657" t="s">
        <v>457</v>
      </c>
    </row>
    <row r="44" spans="1:18" ht="15" customHeight="1">
      <c r="A44" s="657">
        <f>IF(B44="",MAX($A$8:A43)+0,MAX($A$8:A43)+1)</f>
        <v>4</v>
      </c>
      <c r="B44" s="835" t="str">
        <f>IF(C44="","",COUNTA($C$10:C45))</f>
        <v/>
      </c>
      <c r="C44" s="362"/>
      <c r="D44" s="851"/>
      <c r="E44" s="852" t="s">
        <v>624</v>
      </c>
      <c r="F44" s="848" t="str">
        <f>VLOOKUP(E44,'9.may'!E:F,2,FALSE)</f>
        <v>bulldozer 108CV</v>
      </c>
      <c r="G44" s="362" t="s">
        <v>4902</v>
      </c>
      <c r="H44" s="847">
        <v>3.5000000000000001E-3</v>
      </c>
      <c r="I44" s="848">
        <f>VLOOKUP(E44,'9.may'!E:W,12,FALSE)</f>
        <v>1959433.0499999998</v>
      </c>
      <c r="J44" s="853">
        <f>I44*H44</f>
        <v>6858.0156749999996</v>
      </c>
      <c r="N44" s="843" t="e">
        <f>SUMIF(#REF!,'8.Dgia'!A44,#REF!)+SUMIF(#REF!,'8.Dgia'!A44,#REF!)+SUMIF(#REF!,'8.Dgia'!A44,#REF!)+SUMIF(#REF!,'8.Dgia'!A44,#REF!)</f>
        <v>#REF!</v>
      </c>
      <c r="O44" s="844">
        <f>+$H$36</f>
        <v>5</v>
      </c>
      <c r="P44" s="843" t="e">
        <f t="shared" si="1"/>
        <v>#REF!</v>
      </c>
      <c r="Q44" s="657" t="s">
        <v>457</v>
      </c>
    </row>
    <row r="45" spans="1:18" ht="15" customHeight="1">
      <c r="A45" s="657">
        <f>IF(B45="",MAX($A$8:A44)+0,MAX($A$8:A44)+1)</f>
        <v>4</v>
      </c>
      <c r="B45" s="835" t="str">
        <f>IF(C45="","",COUNTA($C$10:C46))</f>
        <v/>
      </c>
      <c r="C45" s="362"/>
      <c r="D45" s="851"/>
      <c r="E45" s="852" t="s">
        <v>553</v>
      </c>
      <c r="F45" s="848" t="str">
        <f>VLOOKUP(E45,DICH!B:C,2,FALSE)</f>
        <v>Other machine</v>
      </c>
      <c r="G45" s="362" t="s">
        <v>554</v>
      </c>
      <c r="H45" s="847">
        <v>5</v>
      </c>
      <c r="I45" s="848">
        <f>SUM(J42:J44)</f>
        <v>39812.630349545463</v>
      </c>
      <c r="J45" s="853">
        <f>I45*H45%</f>
        <v>1990.6315174772733</v>
      </c>
      <c r="N45" s="843" t="e">
        <f>SUMIF(#REF!,'8.Dgia'!A45,#REF!)+SUMIF(#REF!,'8.Dgia'!A45,#REF!)+SUMIF(#REF!,'8.Dgia'!A45,#REF!)+SUMIF(#REF!,'8.Dgia'!A45,#REF!)</f>
        <v>#REF!</v>
      </c>
      <c r="O45" s="844"/>
      <c r="P45" s="843" t="e">
        <f t="shared" si="1"/>
        <v>#REF!</v>
      </c>
      <c r="Q45" s="657" t="s">
        <v>457</v>
      </c>
    </row>
    <row r="46" spans="1:18" ht="15" customHeight="1">
      <c r="A46" s="657">
        <f>IF(B46="",MAX($A$8:A45)+0,MAX($A$8:A45)+1)</f>
        <v>4</v>
      </c>
      <c r="B46" s="835" t="str">
        <f>IF(C46="","",COUNTA($C$10:C47))</f>
        <v/>
      </c>
      <c r="C46" s="362"/>
      <c r="D46" s="1292" t="s">
        <v>5661</v>
      </c>
      <c r="E46" s="852" t="s">
        <v>5087</v>
      </c>
      <c r="F46" s="848" t="str">
        <f>VLOOKUP(E46,DICH!B:C,2,FALSE)</f>
        <v>Transport concrete &lt;=3km</v>
      </c>
      <c r="G46" s="362"/>
      <c r="H46" s="847"/>
      <c r="I46" s="848"/>
      <c r="J46" s="853"/>
      <c r="N46" s="843" t="e">
        <f>SUMIF(#REF!,'8.Dgia'!A46,#REF!)+SUMIF(#REF!,'8.Dgia'!A46,#REF!)+SUMIF(#REF!,'8.Dgia'!A46,#REF!)+SUMIF(#REF!,'8.Dgia'!A46,#REF!)</f>
        <v>#REF!</v>
      </c>
      <c r="O46" s="844"/>
      <c r="P46" s="843" t="e">
        <f t="shared" si="1"/>
        <v>#REF!</v>
      </c>
      <c r="Q46" s="657" t="s">
        <v>457</v>
      </c>
    </row>
    <row r="47" spans="1:18" ht="15" customHeight="1">
      <c r="A47" s="657">
        <f>IF(B47="",MAX($A$8:A46)+0,MAX($A$8:A46)+1)</f>
        <v>4</v>
      </c>
      <c r="B47" s="835" t="str">
        <f>IF(C47="","",COUNTA($C$10:C48))</f>
        <v/>
      </c>
      <c r="C47" s="1302"/>
      <c r="D47" s="1303"/>
      <c r="E47" s="1304" t="s">
        <v>954</v>
      </c>
      <c r="F47" s="848" t="str">
        <f>VLOOKUP(E47,'9.may'!E:F,2,FALSE)</f>
        <v>truck mixer 10.7m3</v>
      </c>
      <c r="G47" s="362" t="s">
        <v>4902</v>
      </c>
      <c r="H47" s="1306">
        <v>3.56E-2</v>
      </c>
      <c r="I47" s="848">
        <f>VLOOKUP(E47,'9.may'!E:W,12,FALSE)</f>
        <v>3008576.2009090907</v>
      </c>
      <c r="J47" s="853">
        <f>I47*H47</f>
        <v>107105.31275236362</v>
      </c>
      <c r="N47" s="843" t="e">
        <f>SUMIF(#REF!,'8.Dgia'!A47,#REF!)+SUMIF(#REF!,'8.Dgia'!A47,#REF!)+SUMIF(#REF!,'8.Dgia'!A47,#REF!)+SUMIF(#REF!,'8.Dgia'!A47,#REF!)</f>
        <v>#REF!</v>
      </c>
      <c r="O47" s="844"/>
      <c r="P47" s="843" t="e">
        <f t="shared" si="1"/>
        <v>#REF!</v>
      </c>
    </row>
    <row r="48" spans="1:18" ht="15" customHeight="1">
      <c r="A48" s="657">
        <f>IF(B48="",MAX($A$8:A47)+0,MAX($A$8:A47)+1)</f>
        <v>5</v>
      </c>
      <c r="B48" s="835">
        <f>IF(C48="","",COUNTA($C$10:C49))</f>
        <v>5</v>
      </c>
      <c r="C48" s="835">
        <f>IF(D48="","",1776)</f>
        <v>1776</v>
      </c>
      <c r="D48" s="851" t="s">
        <v>280</v>
      </c>
      <c r="E48" s="855" t="s">
        <v>429</v>
      </c>
      <c r="F48" s="1049" t="str">
        <f>VLOOKUP(E48,DICH!B:C,2,FALSE)</f>
        <v>Transport concrete 0.5km</v>
      </c>
      <c r="G48" s="856" t="s">
        <v>544</v>
      </c>
      <c r="H48" s="847"/>
      <c r="I48" s="848"/>
      <c r="J48" s="857"/>
      <c r="M48" s="842">
        <f>+J49</f>
        <v>7162663.6311818175</v>
      </c>
      <c r="N48" s="843" t="e">
        <f>SUMIF(#REF!,'8.Dgia'!A48,#REF!)+SUMIF(#REF!,'8.Dgia'!A48,#REF!)+SUMIF(#REF!,'8.Dgia'!A48,#REF!)+SUMIF(#REF!,'8.Dgia'!A48,#REF!)</f>
        <v>#REF!</v>
      </c>
      <c r="O48" s="844"/>
      <c r="P48" s="843" t="e">
        <f t="shared" si="0"/>
        <v>#REF!</v>
      </c>
    </row>
    <row r="49" spans="1:18" s="658" customFormat="1" ht="15" customHeight="1">
      <c r="A49" s="657">
        <f>IF(B49="",MAX($A$8:A48)+0,MAX($A$8:A48)+1)</f>
        <v>5</v>
      </c>
      <c r="B49" s="835" t="str">
        <f>IF(C49="","",COUNTA($C$10:C50))</f>
        <v/>
      </c>
      <c r="C49" s="362"/>
      <c r="D49" s="845"/>
      <c r="E49" s="852" t="s">
        <v>2033</v>
      </c>
      <c r="F49" s="848" t="str">
        <f>VLOOKUP(E49,DICH!B:C,2,FALSE)</f>
        <v xml:space="preserve">  C - Machine</v>
      </c>
      <c r="G49" s="846"/>
      <c r="H49" s="847"/>
      <c r="I49" s="848"/>
      <c r="J49" s="849">
        <f>SUM(J50)</f>
        <v>7162663.6311818175</v>
      </c>
      <c r="K49" s="850"/>
      <c r="L49" s="850"/>
      <c r="M49" s="850"/>
      <c r="N49" s="843" t="e">
        <f>SUMIF(#REF!,'8.Dgia'!A49,#REF!)+SUMIF(#REF!,'8.Dgia'!A49,#REF!)+SUMIF(#REF!,'8.Dgia'!A49,#REF!)+SUMIF(#REF!,'8.Dgia'!A49,#REF!)</f>
        <v>#REF!</v>
      </c>
      <c r="O49" s="844"/>
      <c r="P49" s="843" t="e">
        <f t="shared" si="0"/>
        <v>#REF!</v>
      </c>
      <c r="Q49" s="657"/>
    </row>
    <row r="50" spans="1:18" ht="15" customHeight="1">
      <c r="A50" s="657">
        <f>IF(B50="",MAX($A$8:A49)+0,MAX($A$8:A49)+1)</f>
        <v>5</v>
      </c>
      <c r="B50" s="835" t="str">
        <f>IF(C50="","",COUNTA($C$10:C51))</f>
        <v/>
      </c>
      <c r="C50" s="362"/>
      <c r="D50" s="851"/>
      <c r="E50" s="852" t="s">
        <v>949</v>
      </c>
      <c r="F50" s="848" t="str">
        <f>VLOOKUP(E50,'9.may'!E:F,2,FALSE)</f>
        <v>truck mixer 6m3</v>
      </c>
      <c r="G50" s="362" t="s">
        <v>4902</v>
      </c>
      <c r="H50" s="847">
        <f>3.7</f>
        <v>3.7</v>
      </c>
      <c r="I50" s="848">
        <f>VLOOKUP(E50,'9.may'!E:W,12,FALSE)</f>
        <v>1935855.0354545452</v>
      </c>
      <c r="J50" s="853">
        <f>I50*H50</f>
        <v>7162663.6311818175</v>
      </c>
      <c r="N50" s="843" t="e">
        <f>SUMIF(#REF!,'8.Dgia'!A50,#REF!)+SUMIF(#REF!,'8.Dgia'!A50,#REF!)+SUMIF(#REF!,'8.Dgia'!A50,#REF!)+SUMIF(#REF!,'8.Dgia'!A50,#REF!)</f>
        <v>#REF!</v>
      </c>
      <c r="O50" s="844"/>
      <c r="P50" s="843" t="e">
        <f t="shared" si="0"/>
        <v>#REF!</v>
      </c>
    </row>
    <row r="51" spans="1:18" ht="15" customHeight="1">
      <c r="A51" s="657">
        <f>IF(B51="",MAX($A$8:A50)+0,MAX($A$8:A50)+1)</f>
        <v>6</v>
      </c>
      <c r="B51" s="835">
        <f>IF(C51="","",COUNTA($C$10:C52))</f>
        <v>6</v>
      </c>
      <c r="C51" s="835">
        <f>IF(D51="","",1776)</f>
        <v>1776</v>
      </c>
      <c r="D51" s="851" t="s">
        <v>414</v>
      </c>
      <c r="E51" s="855" t="s">
        <v>4066</v>
      </c>
      <c r="F51" s="1049" t="str">
        <f>VLOOKUP(E51,DICH!B:C,2,FALSE)</f>
        <v>Reinforcement D&lt;=18 of foundation, head of abutment/pier on land</v>
      </c>
      <c r="G51" s="856" t="s">
        <v>4644</v>
      </c>
      <c r="H51" s="847"/>
      <c r="I51" s="848"/>
      <c r="J51" s="853"/>
      <c r="K51" s="842">
        <f>+J52</f>
        <v>17305050.020290911</v>
      </c>
      <c r="L51" s="842">
        <f>+J56</f>
        <v>2565824.44</v>
      </c>
      <c r="M51" s="842">
        <f>+J57</f>
        <v>492024.31750909088</v>
      </c>
      <c r="N51" s="843" t="e">
        <f>SUMIF(#REF!,'8.Dgia'!A51,#REF!)+SUMIF(#REF!,'8.Dgia'!A51,#REF!)+SUMIF(#REF!,'8.Dgia'!A51,#REF!)+SUMIF(#REF!,'8.Dgia'!A51,#REF!)</f>
        <v>#REF!</v>
      </c>
      <c r="O51" s="844"/>
      <c r="P51" s="843" t="e">
        <f t="shared" si="0"/>
        <v>#REF!</v>
      </c>
    </row>
    <row r="52" spans="1:18" s="658" customFormat="1" ht="15" customHeight="1">
      <c r="A52" s="657">
        <f>IF(B52="",MAX($A$8:A51)+0,MAX($A$8:A51)+1)</f>
        <v>6</v>
      </c>
      <c r="B52" s="835" t="str">
        <f>IF(C52="","",COUNTA($C$10:C53))</f>
        <v/>
      </c>
      <c r="C52" s="362"/>
      <c r="D52" s="845"/>
      <c r="E52" s="852" t="s">
        <v>2032</v>
      </c>
      <c r="F52" s="848" t="str">
        <f>VLOOKUP(E52,DICH!B:C,2,FALSE)</f>
        <v xml:space="preserve">  A - Material</v>
      </c>
      <c r="G52" s="846"/>
      <c r="H52" s="847"/>
      <c r="I52" s="848"/>
      <c r="J52" s="849">
        <f>SUM(J53:J55)</f>
        <v>17305050.020290911</v>
      </c>
      <c r="K52" s="850"/>
      <c r="L52" s="850"/>
      <c r="M52" s="850"/>
      <c r="N52" s="843" t="e">
        <f>SUMIF(#REF!,'8.Dgia'!A52,#REF!)+SUMIF(#REF!,'8.Dgia'!A52,#REF!)+SUMIF(#REF!,'8.Dgia'!A52,#REF!)+SUMIF(#REF!,'8.Dgia'!A52,#REF!)</f>
        <v>#REF!</v>
      </c>
      <c r="O52" s="844"/>
      <c r="P52" s="843" t="e">
        <f t="shared" si="0"/>
        <v>#REF!</v>
      </c>
    </row>
    <row r="53" spans="1:18" ht="15" customHeight="1">
      <c r="A53" s="657">
        <f>IF(B53="",MAX($A$8:A52)+0,MAX($A$8:A52)+1)</f>
        <v>6</v>
      </c>
      <c r="B53" s="835" t="str">
        <f>IF(C53="","",COUNTA($C$10:C54))</f>
        <v/>
      </c>
      <c r="C53" s="362"/>
      <c r="D53" s="851"/>
      <c r="E53" s="852" t="s">
        <v>671</v>
      </c>
      <c r="F53" s="848" t="str">
        <f>VLOOKUP(E53,DICH!B:C,2,FALSE)</f>
        <v>steel bar D&lt;=18</v>
      </c>
      <c r="G53" s="362" t="s">
        <v>558</v>
      </c>
      <c r="H53" s="847">
        <v>1020</v>
      </c>
      <c r="I53" s="848">
        <f>VLOOKUP(E53,'11.gia '!$B:$I,8,FALSE)</f>
        <v>16604.075560000001</v>
      </c>
      <c r="J53" s="853">
        <f>I53*H53</f>
        <v>16936157.071200002</v>
      </c>
      <c r="N53" s="843" t="e">
        <f>SUMIF(#REF!,'8.Dgia'!A53,#REF!)+SUMIF(#REF!,'8.Dgia'!A53,#REF!)+SUMIF(#REF!,'8.Dgia'!A53,#REF!)+SUMIF(#REF!,'8.Dgia'!A53,#REF!)</f>
        <v>#REF!</v>
      </c>
      <c r="O53" s="844"/>
      <c r="P53" s="843" t="e">
        <f t="shared" si="0"/>
        <v>#REF!</v>
      </c>
    </row>
    <row r="54" spans="1:18" ht="15" customHeight="1">
      <c r="A54" s="657">
        <f>IF(B54="",MAX($A$8:A53)+0,MAX($A$8:A53)+1)</f>
        <v>6</v>
      </c>
      <c r="B54" s="835" t="str">
        <f>IF(C54="","",COUNTA($C$10:C55))</f>
        <v/>
      </c>
      <c r="C54" s="362"/>
      <c r="D54" s="851"/>
      <c r="E54" s="852" t="s">
        <v>459</v>
      </c>
      <c r="F54" s="848" t="str">
        <f>VLOOKUP(E54,DICH!B:C,2,FALSE)</f>
        <v>Steel ware</v>
      </c>
      <c r="G54" s="362" t="s">
        <v>558</v>
      </c>
      <c r="H54" s="847">
        <v>14.28</v>
      </c>
      <c r="I54" s="848">
        <f>VLOOKUP(E54,'11.gia '!$B:$I,8,FALSE)</f>
        <v>17143</v>
      </c>
      <c r="J54" s="853">
        <f>I54*H54</f>
        <v>244802.03999999998</v>
      </c>
      <c r="N54" s="843" t="e">
        <f>SUMIF(#REF!,'8.Dgia'!A54,#REF!)+SUMIF(#REF!,'8.Dgia'!A54,#REF!)+SUMIF(#REF!,'8.Dgia'!A54,#REF!)+SUMIF(#REF!,'8.Dgia'!A54,#REF!)</f>
        <v>#REF!</v>
      </c>
      <c r="O54" s="844"/>
      <c r="P54" s="843" t="e">
        <f t="shared" si="0"/>
        <v>#REF!</v>
      </c>
    </row>
    <row r="55" spans="1:18" ht="15" customHeight="1">
      <c r="A55" s="657">
        <f>IF(B55="",MAX($A$8:A54)+0,MAX($A$8:A54)+1)</f>
        <v>6</v>
      </c>
      <c r="B55" s="835" t="str">
        <f>IF(C55="","",COUNTA($C$10:C56))</f>
        <v/>
      </c>
      <c r="C55" s="362"/>
      <c r="D55" s="851"/>
      <c r="E55" s="852" t="s">
        <v>559</v>
      </c>
      <c r="F55" s="848" t="str">
        <f>VLOOKUP(E55,DICH!B:C,2,FALSE)</f>
        <v>welding electrode</v>
      </c>
      <c r="G55" s="362" t="s">
        <v>558</v>
      </c>
      <c r="H55" s="847">
        <v>6.5</v>
      </c>
      <c r="I55" s="848">
        <f>VLOOKUP(E55,'11.gia '!$B:$I,8,FALSE)</f>
        <v>19090.909090909088</v>
      </c>
      <c r="J55" s="853">
        <f>I55*H55</f>
        <v>124090.90909090907</v>
      </c>
      <c r="N55" s="843" t="e">
        <f>SUMIF(#REF!,'8.Dgia'!A55,#REF!)+SUMIF(#REF!,'8.Dgia'!A55,#REF!)+SUMIF(#REF!,'8.Dgia'!A55,#REF!)+SUMIF(#REF!,'8.Dgia'!A55,#REF!)</f>
        <v>#REF!</v>
      </c>
      <c r="O55" s="844"/>
      <c r="P55" s="843" t="e">
        <f t="shared" si="0"/>
        <v>#REF!</v>
      </c>
    </row>
    <row r="56" spans="1:18" s="658" customFormat="1" ht="15" customHeight="1">
      <c r="A56" s="657">
        <f>IF(B56="",MAX($A$8:A55)+0,MAX($A$8:A55)+1)</f>
        <v>6</v>
      </c>
      <c r="B56" s="835" t="str">
        <f>IF(C56="","",COUNTA($C$10:C57))</f>
        <v/>
      </c>
      <c r="C56" s="362"/>
      <c r="D56" s="845"/>
      <c r="E56" s="852" t="s">
        <v>2039</v>
      </c>
      <c r="F56" s="848" t="str">
        <f>VLOOKUP(E56,DICH!B:C,2,FALSE)</f>
        <v xml:space="preserve">  B - Labour 4.0/7</v>
      </c>
      <c r="G56" s="362" t="s">
        <v>4899</v>
      </c>
      <c r="H56" s="847">
        <v>11.72</v>
      </c>
      <c r="I56" s="848">
        <f>VLOOKUP(E56,'16.NC'!$C$11:$F$22,4,FALSE)</f>
        <v>218927</v>
      </c>
      <c r="J56" s="849">
        <f>I56*H56</f>
        <v>2565824.44</v>
      </c>
      <c r="K56" s="850"/>
      <c r="L56" s="850"/>
      <c r="M56" s="850"/>
      <c r="N56" s="843" t="e">
        <f>SUMIF(#REF!,'8.Dgia'!A56,#REF!)+SUMIF(#REF!,'8.Dgia'!A56,#REF!)+SUMIF(#REF!,'8.Dgia'!A56,#REF!)+SUMIF(#REF!,'8.Dgia'!A56,#REF!)</f>
        <v>#REF!</v>
      </c>
      <c r="O56" s="844"/>
      <c r="P56" s="843" t="e">
        <f t="shared" si="0"/>
        <v>#REF!</v>
      </c>
      <c r="R56" s="658">
        <v>1</v>
      </c>
    </row>
    <row r="57" spans="1:18" s="658" customFormat="1" ht="15" customHeight="1">
      <c r="A57" s="657">
        <f>IF(B57="",MAX($A$8:A56)+0,MAX($A$8:A56)+1)</f>
        <v>6</v>
      </c>
      <c r="B57" s="835" t="str">
        <f>IF(C57="","",COUNTA($C$10:C58))</f>
        <v/>
      </c>
      <c r="C57" s="362"/>
      <c r="D57" s="845"/>
      <c r="E57" s="852" t="s">
        <v>2033</v>
      </c>
      <c r="F57" s="848" t="str">
        <f>VLOOKUP(E57,DICH!B:C,2,FALSE)</f>
        <v xml:space="preserve">  C - Machine</v>
      </c>
      <c r="G57" s="846"/>
      <c r="H57" s="847"/>
      <c r="I57" s="848"/>
      <c r="J57" s="849">
        <f>SUM(J58:J60)</f>
        <v>492024.31750909088</v>
      </c>
      <c r="K57" s="850"/>
      <c r="L57" s="850"/>
      <c r="M57" s="850"/>
      <c r="N57" s="843" t="e">
        <f>SUMIF(#REF!,'8.Dgia'!A57,#REF!)+SUMIF(#REF!,'8.Dgia'!A57,#REF!)+SUMIF(#REF!,'8.Dgia'!A57,#REF!)+SUMIF(#REF!,'8.Dgia'!A57,#REF!)</f>
        <v>#REF!</v>
      </c>
      <c r="O57" s="844"/>
      <c r="P57" s="843" t="e">
        <f t="shared" si="0"/>
        <v>#REF!</v>
      </c>
    </row>
    <row r="58" spans="1:18" ht="15" customHeight="1">
      <c r="A58" s="657">
        <f>IF(B58="",MAX($A$8:A57)+0,MAX($A$8:A57)+1)</f>
        <v>6</v>
      </c>
      <c r="B58" s="835" t="str">
        <f>IF(C58="","",COUNTA($C$10:C59))</f>
        <v/>
      </c>
      <c r="C58" s="362"/>
      <c r="D58" s="851" t="s">
        <v>415</v>
      </c>
      <c r="E58" s="852" t="s">
        <v>560</v>
      </c>
      <c r="F58" s="848" t="str">
        <f>VLOOKUP(E58,'9.may'!E:F,2,FALSE)</f>
        <v>welding machine 23kW</v>
      </c>
      <c r="G58" s="362" t="s">
        <v>4902</v>
      </c>
      <c r="H58" s="847">
        <v>1.6</v>
      </c>
      <c r="I58" s="848">
        <f>VLOOKUP(E58,'9.may'!E:W,12,FALSE)</f>
        <v>171649.155</v>
      </c>
      <c r="J58" s="853">
        <f>I58*H58</f>
        <v>274638.64799999999</v>
      </c>
      <c r="N58" s="843" t="e">
        <f>SUMIF(#REF!,'8.Dgia'!A58,#REF!)+SUMIF(#REF!,'8.Dgia'!A58,#REF!)+SUMIF(#REF!,'8.Dgia'!A58,#REF!)+SUMIF(#REF!,'8.Dgia'!A58,#REF!)</f>
        <v>#REF!</v>
      </c>
      <c r="O58" s="844"/>
      <c r="P58" s="843" t="e">
        <f t="shared" si="0"/>
        <v>#REF!</v>
      </c>
    </row>
    <row r="59" spans="1:18" ht="15" customHeight="1">
      <c r="A59" s="657">
        <f>IF(B59="",MAX($A$8:A58)+0,MAX($A$8:A58)+1)</f>
        <v>6</v>
      </c>
      <c r="B59" s="835" t="str">
        <f>IF(C59="","",COUNTA($C$10:C60))</f>
        <v/>
      </c>
      <c r="C59" s="362"/>
      <c r="D59" s="851" t="s">
        <v>415</v>
      </c>
      <c r="E59" s="852" t="s">
        <v>1424</v>
      </c>
      <c r="F59" s="848" t="str">
        <f>VLOOKUP(E59,'9.may'!E:F,2,FALSE)</f>
        <v>bender cutter 5Kw</v>
      </c>
      <c r="G59" s="362" t="s">
        <v>4902</v>
      </c>
      <c r="H59" s="847">
        <v>0.32</v>
      </c>
      <c r="I59" s="848">
        <f>VLOOKUP(E59,'9.may'!E:W,12,FALSE)</f>
        <v>80291.850000000006</v>
      </c>
      <c r="J59" s="853">
        <f>I59*H59</f>
        <v>25693.392000000003</v>
      </c>
      <c r="N59" s="843" t="e">
        <f>SUMIF(#REF!,'8.Dgia'!A59,#REF!)+SUMIF(#REF!,'8.Dgia'!A59,#REF!)+SUMIF(#REF!,'8.Dgia'!A59,#REF!)+SUMIF(#REF!,'8.Dgia'!A59,#REF!)</f>
        <v>#REF!</v>
      </c>
      <c r="O59" s="844"/>
      <c r="P59" s="843" t="e">
        <f t="shared" si="0"/>
        <v>#REF!</v>
      </c>
    </row>
    <row r="60" spans="1:18" ht="15" customHeight="1">
      <c r="A60" s="657">
        <f>IF(B60="",MAX($A$8:A59)+0,MAX($A$8:A59)+1)</f>
        <v>6</v>
      </c>
      <c r="B60" s="835" t="str">
        <f>IF(C60="","",COUNTA($C$10:C61))</f>
        <v/>
      </c>
      <c r="C60" s="362"/>
      <c r="D60" s="851" t="s">
        <v>415</v>
      </c>
      <c r="E60" s="852" t="s">
        <v>287</v>
      </c>
      <c r="F60" s="848" t="str">
        <f>VLOOKUP(E60,'9.may'!E:F,2,FALSE)</f>
        <v>caterpillar crane 16T</v>
      </c>
      <c r="G60" s="362" t="s">
        <v>4902</v>
      </c>
      <c r="H60" s="847">
        <v>0.09</v>
      </c>
      <c r="I60" s="848">
        <f>VLOOKUP(E60,'9.may'!E:W,12,FALSE)</f>
        <v>2129914.1945454543</v>
      </c>
      <c r="J60" s="853">
        <f>I60*H60</f>
        <v>191692.2775090909</v>
      </c>
      <c r="N60" s="843" t="e">
        <f>SUMIF(#REF!,'8.Dgia'!A60,#REF!)+SUMIF(#REF!,'8.Dgia'!A60,#REF!)+SUMIF(#REF!,'8.Dgia'!A60,#REF!)+SUMIF(#REF!,'8.Dgia'!A60,#REF!)</f>
        <v>#REF!</v>
      </c>
      <c r="O60" s="844"/>
      <c r="P60" s="843" t="e">
        <f t="shared" si="0"/>
        <v>#REF!</v>
      </c>
    </row>
    <row r="61" spans="1:18" ht="25.5">
      <c r="A61" s="657">
        <f>IF(B61="",MAX($A$8:A60)+0,MAX($A$8:A60)+1)</f>
        <v>7</v>
      </c>
      <c r="B61" s="835">
        <f>IF(C61="","",COUNTA($C$10:C62))</f>
        <v>7</v>
      </c>
      <c r="C61" s="835">
        <f>IF(D61="","",1776)</f>
        <v>1776</v>
      </c>
      <c r="D61" s="851" t="s">
        <v>3552</v>
      </c>
      <c r="E61" s="855" t="s">
        <v>4067</v>
      </c>
      <c r="F61" s="1049" t="str">
        <f>VLOOKUP(E61,DICH!B:C,2,FALSE)</f>
        <v>Reinforcement D&gt;18 of foundation, head of abutment/pier on land</v>
      </c>
      <c r="G61" s="856" t="s">
        <v>4644</v>
      </c>
      <c r="H61" s="847"/>
      <c r="I61" s="848"/>
      <c r="J61" s="853"/>
      <c r="K61" s="842">
        <f>+J62</f>
        <v>17313259.111200001</v>
      </c>
      <c r="L61" s="842">
        <f>+J66</f>
        <v>2134538.25</v>
      </c>
      <c r="M61" s="842">
        <f>+J67</f>
        <v>480192.86971363635</v>
      </c>
      <c r="N61" s="843" t="e">
        <f>SUMIF(#REF!,'8.Dgia'!A61,#REF!)+SUMIF(#REF!,'8.Dgia'!A61,#REF!)+SUMIF(#REF!,'8.Dgia'!A61,#REF!)+SUMIF(#REF!,'8.Dgia'!A61,#REF!)</f>
        <v>#REF!</v>
      </c>
      <c r="O61" s="844"/>
      <c r="P61" s="843" t="e">
        <f t="shared" ref="P61:P70" si="2">$H61*N61*(1+O61%)</f>
        <v>#REF!</v>
      </c>
    </row>
    <row r="62" spans="1:18" s="658" customFormat="1" ht="15" customHeight="1">
      <c r="A62" s="657">
        <f>IF(B62="",MAX($A$8:A61)+0,MAX($A$8:A61)+1)</f>
        <v>7</v>
      </c>
      <c r="B62" s="835" t="str">
        <f>IF(C62="","",COUNTA($C$10:C63))</f>
        <v/>
      </c>
      <c r="C62" s="362"/>
      <c r="D62" s="845"/>
      <c r="E62" s="852" t="s">
        <v>2032</v>
      </c>
      <c r="F62" s="848" t="str">
        <f>VLOOKUP(E62,DICH!B:C,2,FALSE)</f>
        <v xml:space="preserve">  A - Material</v>
      </c>
      <c r="G62" s="846"/>
      <c r="H62" s="847"/>
      <c r="I62" s="848"/>
      <c r="J62" s="849">
        <f>SUM(J63:J65)</f>
        <v>17313259.111200001</v>
      </c>
      <c r="K62" s="850"/>
      <c r="L62" s="850"/>
      <c r="M62" s="850"/>
      <c r="N62" s="843" t="e">
        <f>SUMIF(#REF!,'8.Dgia'!A62,#REF!)+SUMIF(#REF!,'8.Dgia'!A62,#REF!)+SUMIF(#REF!,'8.Dgia'!A62,#REF!)+SUMIF(#REF!,'8.Dgia'!A62,#REF!)</f>
        <v>#REF!</v>
      </c>
      <c r="O62" s="844"/>
      <c r="P62" s="843" t="e">
        <f t="shared" si="2"/>
        <v>#REF!</v>
      </c>
    </row>
    <row r="63" spans="1:18" ht="15" customHeight="1">
      <c r="A63" s="657">
        <f>IF(B63="",MAX($A$8:A62)+0,MAX($A$8:A62)+1)</f>
        <v>7</v>
      </c>
      <c r="B63" s="835" t="str">
        <f>IF(C63="","",COUNTA($C$10:C64))</f>
        <v/>
      </c>
      <c r="C63" s="362"/>
      <c r="D63" s="851"/>
      <c r="E63" s="852" t="s">
        <v>671</v>
      </c>
      <c r="F63" s="848" t="str">
        <f>VLOOKUP(E63,DICH!B:C,2,FALSE)</f>
        <v>steel bar D&lt;=18</v>
      </c>
      <c r="G63" s="362" t="s">
        <v>558</v>
      </c>
      <c r="H63" s="847">
        <v>1020</v>
      </c>
      <c r="I63" s="848">
        <f>VLOOKUP(E63,'11.gia '!$B:$I,8,FALSE)</f>
        <v>16604.075560000001</v>
      </c>
      <c r="J63" s="853">
        <f>I63*H63</f>
        <v>16936157.071200002</v>
      </c>
      <c r="N63" s="843" t="e">
        <f>SUMIF(#REF!,'8.Dgia'!A63,#REF!)+SUMIF(#REF!,'8.Dgia'!A63,#REF!)+SUMIF(#REF!,'8.Dgia'!A63,#REF!)+SUMIF(#REF!,'8.Dgia'!A63,#REF!)</f>
        <v>#REF!</v>
      </c>
      <c r="O63" s="844"/>
      <c r="P63" s="843" t="e">
        <f t="shared" si="2"/>
        <v>#REF!</v>
      </c>
    </row>
    <row r="64" spans="1:18" ht="15" customHeight="1">
      <c r="A64" s="657">
        <f>IF(B64="",MAX($A$8:A63)+0,MAX($A$8:A63)+1)</f>
        <v>7</v>
      </c>
      <c r="B64" s="835" t="str">
        <f>IF(C64="","",COUNTA($C$10:C65))</f>
        <v/>
      </c>
      <c r="C64" s="362"/>
      <c r="D64" s="851"/>
      <c r="E64" s="852" t="s">
        <v>459</v>
      </c>
      <c r="F64" s="848" t="str">
        <f>VLOOKUP(E64,DICH!B:C,2,FALSE)</f>
        <v>Steel ware</v>
      </c>
      <c r="G64" s="362" t="s">
        <v>558</v>
      </c>
      <c r="H64" s="847">
        <v>14.28</v>
      </c>
      <c r="I64" s="848">
        <f>VLOOKUP(E64,'11.gia '!$B:$I,8,FALSE)</f>
        <v>17143</v>
      </c>
      <c r="J64" s="853">
        <f>I64*H64</f>
        <v>244802.03999999998</v>
      </c>
      <c r="N64" s="843" t="e">
        <f>SUMIF(#REF!,'8.Dgia'!A64,#REF!)+SUMIF(#REF!,'8.Dgia'!A64,#REF!)+SUMIF(#REF!,'8.Dgia'!A64,#REF!)+SUMIF(#REF!,'8.Dgia'!A64,#REF!)</f>
        <v>#REF!</v>
      </c>
      <c r="O64" s="844"/>
      <c r="P64" s="843" t="e">
        <f t="shared" si="2"/>
        <v>#REF!</v>
      </c>
    </row>
    <row r="65" spans="1:18" ht="15" customHeight="1">
      <c r="A65" s="657">
        <f>IF(B65="",MAX($A$8:A64)+0,MAX($A$8:A64)+1)</f>
        <v>7</v>
      </c>
      <c r="B65" s="835" t="str">
        <f>IF(C65="","",COUNTA($C$10:C66))</f>
        <v/>
      </c>
      <c r="C65" s="362"/>
      <c r="D65" s="851"/>
      <c r="E65" s="852" t="s">
        <v>559</v>
      </c>
      <c r="F65" s="848" t="str">
        <f>VLOOKUP(E65,DICH!B:C,2,FALSE)</f>
        <v>welding electrode</v>
      </c>
      <c r="G65" s="362" t="s">
        <v>558</v>
      </c>
      <c r="H65" s="1293">
        <v>6.93</v>
      </c>
      <c r="I65" s="848">
        <f>VLOOKUP(E65,'11.gia '!$B:$I,8,FALSE)</f>
        <v>19090.909090909088</v>
      </c>
      <c r="J65" s="853">
        <f>I65*H65</f>
        <v>132299.99999999997</v>
      </c>
      <c r="N65" s="843" t="e">
        <f>SUMIF(#REF!,'8.Dgia'!A65,#REF!)+SUMIF(#REF!,'8.Dgia'!A65,#REF!)+SUMIF(#REF!,'8.Dgia'!A65,#REF!)+SUMIF(#REF!,'8.Dgia'!A65,#REF!)</f>
        <v>#REF!</v>
      </c>
      <c r="O65" s="844"/>
      <c r="P65" s="843" t="e">
        <f t="shared" si="2"/>
        <v>#REF!</v>
      </c>
    </row>
    <row r="66" spans="1:18" s="658" customFormat="1" ht="15" customHeight="1">
      <c r="A66" s="657">
        <f>IF(B66="",MAX($A$8:A65)+0,MAX($A$8:A65)+1)</f>
        <v>7</v>
      </c>
      <c r="B66" s="835" t="str">
        <f>IF(C66="","",COUNTA($C$10:C67))</f>
        <v/>
      </c>
      <c r="C66" s="362"/>
      <c r="D66" s="845"/>
      <c r="E66" s="852" t="s">
        <v>2039</v>
      </c>
      <c r="F66" s="848" t="str">
        <f>VLOOKUP(E66,DICH!B:C,2,FALSE)</f>
        <v xml:space="preserve">  B - Labour 4.0/7</v>
      </c>
      <c r="G66" s="362" t="s">
        <v>4899</v>
      </c>
      <c r="H66" s="1293">
        <v>9.75</v>
      </c>
      <c r="I66" s="848">
        <f>VLOOKUP(E66,'16.NC'!$C$11:$F$22,4,FALSE)</f>
        <v>218927</v>
      </c>
      <c r="J66" s="849">
        <f>I66*H66</f>
        <v>2134538.25</v>
      </c>
      <c r="K66" s="850"/>
      <c r="L66" s="850"/>
      <c r="M66" s="850"/>
      <c r="N66" s="843" t="e">
        <f>SUMIF(#REF!,'8.Dgia'!A66,#REF!)+SUMIF(#REF!,'8.Dgia'!A66,#REF!)+SUMIF(#REF!,'8.Dgia'!A66,#REF!)+SUMIF(#REF!,'8.Dgia'!A66,#REF!)</f>
        <v>#REF!</v>
      </c>
      <c r="O66" s="844"/>
      <c r="P66" s="843" t="e">
        <f t="shared" si="2"/>
        <v>#REF!</v>
      </c>
      <c r="R66" s="658">
        <v>1</v>
      </c>
    </row>
    <row r="67" spans="1:18" s="658" customFormat="1" ht="15" customHeight="1">
      <c r="A67" s="657">
        <f>IF(B67="",MAX($A$8:A66)+0,MAX($A$8:A66)+1)</f>
        <v>7</v>
      </c>
      <c r="B67" s="835" t="str">
        <f>IF(C67="","",COUNTA($C$10:C68))</f>
        <v/>
      </c>
      <c r="C67" s="362"/>
      <c r="D67" s="845"/>
      <c r="E67" s="852" t="s">
        <v>2033</v>
      </c>
      <c r="F67" s="848" t="str">
        <f>VLOOKUP(E67,DICH!B:C,2,FALSE)</f>
        <v xml:space="preserve">  C - Machine</v>
      </c>
      <c r="G67" s="846"/>
      <c r="H67" s="847"/>
      <c r="I67" s="848"/>
      <c r="J67" s="849">
        <f>SUM(J68:J70)</f>
        <v>480192.86971363635</v>
      </c>
      <c r="K67" s="850"/>
      <c r="L67" s="850"/>
      <c r="M67" s="850"/>
      <c r="N67" s="843" t="e">
        <f>SUMIF(#REF!,'8.Dgia'!A67,#REF!)+SUMIF(#REF!,'8.Dgia'!A67,#REF!)+SUMIF(#REF!,'8.Dgia'!A67,#REF!)+SUMIF(#REF!,'8.Dgia'!A67,#REF!)</f>
        <v>#REF!</v>
      </c>
      <c r="O67" s="844"/>
      <c r="P67" s="843" t="e">
        <f t="shared" si="2"/>
        <v>#REF!</v>
      </c>
    </row>
    <row r="68" spans="1:18" ht="15" customHeight="1">
      <c r="A68" s="657">
        <f>IF(B68="",MAX($A$8:A67)+0,MAX($A$8:A67)+1)</f>
        <v>7</v>
      </c>
      <c r="B68" s="835" t="str">
        <f>IF(C68="","",COUNTA($C$10:C69))</f>
        <v/>
      </c>
      <c r="C68" s="362"/>
      <c r="D68" s="851" t="s">
        <v>415</v>
      </c>
      <c r="E68" s="852" t="s">
        <v>560</v>
      </c>
      <c r="F68" s="848" t="str">
        <f>VLOOKUP(E68,'9.may'!E:F,2,FALSE)</f>
        <v>welding machine 23kW</v>
      </c>
      <c r="G68" s="362" t="s">
        <v>4902</v>
      </c>
      <c r="H68" s="1293">
        <v>1.73</v>
      </c>
      <c r="I68" s="848">
        <f>VLOOKUP(E68,'9.may'!E:W,12,FALSE)</f>
        <v>171649.155</v>
      </c>
      <c r="J68" s="853">
        <f>I68*H68</f>
        <v>296953.03814999998</v>
      </c>
      <c r="N68" s="843" t="e">
        <f>SUMIF(#REF!,'8.Dgia'!A68,#REF!)+SUMIF(#REF!,'8.Dgia'!A68,#REF!)+SUMIF(#REF!,'8.Dgia'!A68,#REF!)+SUMIF(#REF!,'8.Dgia'!A68,#REF!)</f>
        <v>#REF!</v>
      </c>
      <c r="O68" s="844"/>
      <c r="P68" s="843" t="e">
        <f t="shared" si="2"/>
        <v>#REF!</v>
      </c>
    </row>
    <row r="69" spans="1:18" ht="15" customHeight="1">
      <c r="A69" s="657">
        <f>IF(B69="",MAX($A$8:A68)+0,MAX($A$8:A68)+1)</f>
        <v>7</v>
      </c>
      <c r="B69" s="835" t="str">
        <f>IF(C69="","",COUNTA($C$10:C70))</f>
        <v/>
      </c>
      <c r="C69" s="362"/>
      <c r="D69" s="851" t="s">
        <v>415</v>
      </c>
      <c r="E69" s="852" t="s">
        <v>1424</v>
      </c>
      <c r="F69" s="848" t="str">
        <f>VLOOKUP(E69,'9.may'!E:F,2,FALSE)</f>
        <v>bender cutter 5Kw</v>
      </c>
      <c r="G69" s="362" t="s">
        <v>4902</v>
      </c>
      <c r="H69" s="1293">
        <v>0.16</v>
      </c>
      <c r="I69" s="848">
        <f>VLOOKUP(E69,'9.may'!E:W,12,FALSE)</f>
        <v>80291.850000000006</v>
      </c>
      <c r="J69" s="853">
        <f>I69*H69</f>
        <v>12846.696000000002</v>
      </c>
      <c r="N69" s="843" t="e">
        <f>SUMIF(#REF!,'8.Dgia'!A69,#REF!)+SUMIF(#REF!,'8.Dgia'!A69,#REF!)+SUMIF(#REF!,'8.Dgia'!A69,#REF!)+SUMIF(#REF!,'8.Dgia'!A69,#REF!)</f>
        <v>#REF!</v>
      </c>
      <c r="O69" s="844"/>
      <c r="P69" s="843" t="e">
        <f t="shared" si="2"/>
        <v>#REF!</v>
      </c>
    </row>
    <row r="70" spans="1:18" ht="15" customHeight="1">
      <c r="A70" s="657">
        <f>IF(B70="",MAX($A$8:A69)+0,MAX($A$8:A69)+1)</f>
        <v>7</v>
      </c>
      <c r="B70" s="835" t="str">
        <f>IF(C70="","",COUNTA($C$10:C71))</f>
        <v/>
      </c>
      <c r="C70" s="362"/>
      <c r="D70" s="851" t="s">
        <v>415</v>
      </c>
      <c r="E70" s="852" t="s">
        <v>287</v>
      </c>
      <c r="F70" s="848" t="str">
        <f>VLOOKUP(E70,'9.may'!E:F,2,FALSE)</f>
        <v>caterpillar crane 16T</v>
      </c>
      <c r="G70" s="362" t="s">
        <v>4902</v>
      </c>
      <c r="H70" s="1293">
        <v>0.08</v>
      </c>
      <c r="I70" s="848">
        <f>VLOOKUP(E70,'9.may'!E:W,12,FALSE)</f>
        <v>2129914.1945454543</v>
      </c>
      <c r="J70" s="853">
        <f>I70*H70</f>
        <v>170393.13556363634</v>
      </c>
      <c r="N70" s="843" t="e">
        <f>SUMIF(#REF!,'8.Dgia'!A70,#REF!)+SUMIF(#REF!,'8.Dgia'!A70,#REF!)+SUMIF(#REF!,'8.Dgia'!A70,#REF!)+SUMIF(#REF!,'8.Dgia'!A70,#REF!)</f>
        <v>#REF!</v>
      </c>
      <c r="O70" s="844"/>
      <c r="P70" s="843" t="e">
        <f t="shared" si="2"/>
        <v>#REF!</v>
      </c>
    </row>
    <row r="71" spans="1:18" ht="15" customHeight="1">
      <c r="A71" s="657">
        <f>IF(B71="",MAX($A$8:A70)+0,MAX($A$8:A70)+1)</f>
        <v>8</v>
      </c>
      <c r="B71" s="835">
        <f>IF(C71="","",COUNTA($C$10:C72))</f>
        <v>8</v>
      </c>
      <c r="C71" s="835">
        <f>IF(D71="","",1776)</f>
        <v>1776</v>
      </c>
      <c r="D71" s="851" t="s">
        <v>3830</v>
      </c>
      <c r="E71" s="855" t="s">
        <v>4026</v>
      </c>
      <c r="F71" s="1049" t="str">
        <f>VLOOKUP(E71,DICH!B:C,2,FALSE)</f>
        <v>Lean concrete C10, R&gt;250cm (stone 1x2)</v>
      </c>
      <c r="G71" s="856" t="s">
        <v>545</v>
      </c>
      <c r="H71" s="847"/>
      <c r="I71" s="848"/>
      <c r="J71" s="853"/>
      <c r="K71" s="842">
        <f>+J72</f>
        <v>789275.73266898212</v>
      </c>
      <c r="L71" s="842">
        <f>+J74</f>
        <v>121418.05</v>
      </c>
      <c r="M71" s="842">
        <f>+J75</f>
        <v>51094.028486590905</v>
      </c>
      <c r="N71" s="843" t="e">
        <f>SUMIF(#REF!,'8.Dgia'!A71,#REF!)+SUMIF(#REF!,'8.Dgia'!A71,#REF!)+SUMIF(#REF!,'8.Dgia'!A71,#REF!)+SUMIF(#REF!,'8.Dgia'!A71,#REF!)</f>
        <v>#REF!</v>
      </c>
      <c r="O71" s="844"/>
      <c r="P71" s="843" t="e">
        <f t="shared" si="0"/>
        <v>#REF!</v>
      </c>
    </row>
    <row r="72" spans="1:18" s="658" customFormat="1" ht="15" customHeight="1">
      <c r="A72" s="657">
        <f>IF(B72="",MAX($A$8:A71)+0,MAX($A$8:A71)+1)</f>
        <v>8</v>
      </c>
      <c r="B72" s="835" t="str">
        <f>IF(C72="","",COUNTA($C$10:C73))</f>
        <v/>
      </c>
      <c r="C72" s="362"/>
      <c r="D72" s="845"/>
      <c r="E72" s="852" t="s">
        <v>2032</v>
      </c>
      <c r="F72" s="848" t="str">
        <f>VLOOKUP(E72,DICH!B:C,2,FALSE)</f>
        <v xml:space="preserve">  A - Material</v>
      </c>
      <c r="G72" s="846"/>
      <c r="H72" s="847"/>
      <c r="I72" s="848"/>
      <c r="J72" s="849">
        <f>+J73</f>
        <v>789275.73266898212</v>
      </c>
      <c r="K72" s="850"/>
      <c r="L72" s="850"/>
      <c r="M72" s="850"/>
      <c r="N72" s="843" t="e">
        <f>SUMIF(#REF!,'8.Dgia'!A72,#REF!)+SUMIF(#REF!,'8.Dgia'!A72,#REF!)+SUMIF(#REF!,'8.Dgia'!A72,#REF!)+SUMIF(#REF!,'8.Dgia'!A72,#REF!)</f>
        <v>#REF!</v>
      </c>
      <c r="O72" s="844"/>
      <c r="P72" s="843" t="e">
        <f t="shared" si="0"/>
        <v>#REF!</v>
      </c>
    </row>
    <row r="73" spans="1:18" ht="15" customHeight="1">
      <c r="A73" s="657">
        <f>IF(B73="",MAX($A$8:A72)+0,MAX($A$8:A72)+1)</f>
        <v>8</v>
      </c>
      <c r="B73" s="835" t="str">
        <f>IF(C73="","",COUNTA($C$10:C74))</f>
        <v/>
      </c>
      <c r="C73" s="851"/>
      <c r="D73" s="851" t="str">
        <f>'10.PLV'!$C$32</f>
        <v>C3222</v>
      </c>
      <c r="E73" s="852" t="str">
        <f>'10.PLV'!$D$32</f>
        <v>Vữa Bê tông C10 đá 1x2 SN 6-8</v>
      </c>
      <c r="F73" s="848" t="str">
        <f>VLOOKUP(E73,DICH!B:C,2,FALSE)</f>
        <v>Concrete motar C10 stone 1x2 slump 6-8</v>
      </c>
      <c r="G73" s="362" t="s">
        <v>545</v>
      </c>
      <c r="H73" s="847">
        <v>1.03</v>
      </c>
      <c r="I73" s="848">
        <f>VLOOKUP(E73,'11.gia '!B:I,8,FALSE)</f>
        <v>766287.11909609917</v>
      </c>
      <c r="J73" s="853">
        <f>I73*H73</f>
        <v>789275.73266898212</v>
      </c>
      <c r="N73" s="843" t="e">
        <f>SUMIF(#REF!,'8.Dgia'!A73,#REF!)+SUMIF(#REF!,'8.Dgia'!A73,#REF!)+SUMIF(#REF!,'8.Dgia'!A73,#REF!)+SUMIF(#REF!,'8.Dgia'!A73,#REF!)</f>
        <v>#REF!</v>
      </c>
      <c r="O73" s="844"/>
      <c r="P73" s="843" t="e">
        <f t="shared" si="0"/>
        <v>#REF!</v>
      </c>
    </row>
    <row r="74" spans="1:18" s="658" customFormat="1" ht="15" customHeight="1">
      <c r="A74" s="657">
        <f>IF(B74="",MAX($A$8:A73)+0,MAX($A$8:A73)+1)</f>
        <v>8</v>
      </c>
      <c r="B74" s="835" t="str">
        <f>IF(C74="","",COUNTA($C$10:C75))</f>
        <v/>
      </c>
      <c r="C74" s="362"/>
      <c r="D74" s="845"/>
      <c r="E74" s="852" t="s">
        <v>2038</v>
      </c>
      <c r="F74" s="848" t="str">
        <f>VLOOKUP(E74,DICH!B:C,2,FALSE)</f>
        <v xml:space="preserve">  B - Labour 3.0/7</v>
      </c>
      <c r="G74" s="362" t="s">
        <v>4899</v>
      </c>
      <c r="H74" s="847">
        <v>0.65</v>
      </c>
      <c r="I74" s="848">
        <f>VLOOKUP(E74,'16.NC'!$C$11:$F$22,4,FALSE)</f>
        <v>186797</v>
      </c>
      <c r="J74" s="849">
        <f>I74*H74</f>
        <v>121418.05</v>
      </c>
      <c r="K74" s="850"/>
      <c r="L74" s="850"/>
      <c r="M74" s="850"/>
      <c r="N74" s="843" t="e">
        <f>SUMIF(#REF!,'8.Dgia'!A74,#REF!)+SUMIF(#REF!,'8.Dgia'!A74,#REF!)+SUMIF(#REF!,'8.Dgia'!A74,#REF!)+SUMIF(#REF!,'8.Dgia'!A74,#REF!)</f>
        <v>#REF!</v>
      </c>
      <c r="O74" s="844"/>
      <c r="P74" s="843" t="e">
        <f t="shared" si="0"/>
        <v>#REF!</v>
      </c>
      <c r="R74" s="658">
        <v>1</v>
      </c>
    </row>
    <row r="75" spans="1:18" s="658" customFormat="1" ht="15" customHeight="1">
      <c r="A75" s="657">
        <f>IF(B75="",MAX($A$8:A74)+0,MAX($A$8:A74)+1)</f>
        <v>8</v>
      </c>
      <c r="B75" s="835" t="str">
        <f>IF(C75="","",COUNTA($C$10:C76))</f>
        <v/>
      </c>
      <c r="C75" s="362"/>
      <c r="D75" s="845"/>
      <c r="E75" s="852" t="s">
        <v>2033</v>
      </c>
      <c r="F75" s="848" t="str">
        <f>VLOOKUP(E75,DICH!B:C,2,FALSE)</f>
        <v xml:space="preserve">  C - Machine</v>
      </c>
      <c r="G75" s="846"/>
      <c r="H75" s="847"/>
      <c r="I75" s="848"/>
      <c r="J75" s="849">
        <f>SUM(J76:J77)</f>
        <v>51094.028486590905</v>
      </c>
      <c r="K75" s="850"/>
      <c r="L75" s="850"/>
      <c r="M75" s="850"/>
      <c r="N75" s="843" t="e">
        <f>SUMIF(#REF!,'8.Dgia'!A75,#REF!)+SUMIF(#REF!,'8.Dgia'!A75,#REF!)+SUMIF(#REF!,'8.Dgia'!A75,#REF!)+SUMIF(#REF!,'8.Dgia'!A75,#REF!)</f>
        <v>#REF!</v>
      </c>
      <c r="O75" s="844"/>
      <c r="P75" s="843" t="e">
        <f t="shared" si="0"/>
        <v>#REF!</v>
      </c>
    </row>
    <row r="76" spans="1:18" ht="15" customHeight="1">
      <c r="A76" s="657">
        <f>IF(B76="",MAX($A$8:A75)+0,MAX($A$8:A75)+1)</f>
        <v>8</v>
      </c>
      <c r="B76" s="835" t="str">
        <f>IF(C76="","",COUNTA($C$10:C77))</f>
        <v/>
      </c>
      <c r="C76" s="362"/>
      <c r="D76" s="851"/>
      <c r="E76" s="852" t="s">
        <v>1038</v>
      </c>
      <c r="F76" s="848" t="str">
        <f>VLOOKUP(E76,'9.may'!E:F,2,FALSE)</f>
        <v>caterpillar crane 10T/ crawler crane 10T</v>
      </c>
      <c r="G76" s="362" t="s">
        <v>4902</v>
      </c>
      <c r="H76" s="847">
        <v>0.03</v>
      </c>
      <c r="I76" s="848">
        <f>VLOOKUP(E76,'9.may'!E:W,12,FALSE)</f>
        <v>1481320.1836363636</v>
      </c>
      <c r="J76" s="853">
        <f>I76*H76</f>
        <v>44439.605509090907</v>
      </c>
      <c r="N76" s="843" t="e">
        <f>SUMIF(#REF!,'8.Dgia'!A76,#REF!)+SUMIF(#REF!,'8.Dgia'!A76,#REF!)+SUMIF(#REF!,'8.Dgia'!A76,#REF!)+SUMIF(#REF!,'8.Dgia'!A76,#REF!)</f>
        <v>#REF!</v>
      </c>
      <c r="O76" s="844"/>
      <c r="P76" s="843" t="e">
        <f t="shared" si="0"/>
        <v>#REF!</v>
      </c>
    </row>
    <row r="77" spans="1:18" ht="15" customHeight="1">
      <c r="A77" s="657">
        <f>IF(B77="",MAX($A$8:A76)+0,MAX($A$8:A76)+1)</f>
        <v>8</v>
      </c>
      <c r="B77" s="835" t="str">
        <f>IF(C77="","",COUNTA($C$10:C78))</f>
        <v/>
      </c>
      <c r="C77" s="362"/>
      <c r="D77" s="851"/>
      <c r="E77" s="852" t="s">
        <v>620</v>
      </c>
      <c r="F77" s="848" t="str">
        <f>VLOOKUP(E77,'9.may'!E:F,2,FALSE)</f>
        <v>concrete vibrating compactor 1.5Kw</v>
      </c>
      <c r="G77" s="362" t="s">
        <v>4902</v>
      </c>
      <c r="H77" s="847">
        <v>8.8999999999999996E-2</v>
      </c>
      <c r="I77" s="848">
        <f>VLOOKUP(E77,'9.may'!E:W,12,FALSE)</f>
        <v>74768.797500000001</v>
      </c>
      <c r="J77" s="853">
        <f>I77*H77</f>
        <v>6654.4229774999994</v>
      </c>
      <c r="N77" s="843" t="e">
        <f>SUMIF(#REF!,'8.Dgia'!A77,#REF!)+SUMIF(#REF!,'8.Dgia'!A77,#REF!)+SUMIF(#REF!,'8.Dgia'!A77,#REF!)+SUMIF(#REF!,'8.Dgia'!A77,#REF!)</f>
        <v>#REF!</v>
      </c>
      <c r="O77" s="844"/>
      <c r="P77" s="843" t="e">
        <f t="shared" si="0"/>
        <v>#REF!</v>
      </c>
    </row>
    <row r="78" spans="1:18" ht="15" customHeight="1">
      <c r="A78" s="657">
        <f>IF(B78="",MAX($A$8:A77)+0,MAX($A$8:A77)+1)</f>
        <v>9</v>
      </c>
      <c r="B78" s="835">
        <f>IF(C78="","",COUNTA($C$10:C79))</f>
        <v>9</v>
      </c>
      <c r="C78" s="835">
        <f>IF(D78="","",1776)</f>
        <v>1776</v>
      </c>
      <c r="D78" s="851" t="s">
        <v>29</v>
      </c>
      <c r="E78" s="855" t="s">
        <v>3547</v>
      </c>
      <c r="F78" s="1049" t="str">
        <f>VLOOKUP(E78,DICH!B:C,2,FALSE)</f>
        <v>Bituminous cover</v>
      </c>
      <c r="G78" s="856" t="s">
        <v>548</v>
      </c>
      <c r="H78" s="856"/>
      <c r="I78" s="848"/>
      <c r="J78" s="853"/>
      <c r="K78" s="842">
        <f>+J79</f>
        <v>36435.273140000005</v>
      </c>
      <c r="L78" s="842">
        <f>+J83</f>
        <v>14200.340000000002</v>
      </c>
      <c r="N78" s="843" t="e">
        <f>SUMIF(#REF!,'8.Dgia'!A78,#REF!)+SUMIF(#REF!,'8.Dgia'!A78,#REF!)+SUMIF(#REF!,'8.Dgia'!A78,#REF!)+SUMIF(#REF!,'8.Dgia'!A78,#REF!)</f>
        <v>#REF!</v>
      </c>
      <c r="O78" s="844"/>
      <c r="P78" s="843" t="e">
        <f t="shared" si="0"/>
        <v>#REF!</v>
      </c>
    </row>
    <row r="79" spans="1:18" s="658" customFormat="1" ht="15" customHeight="1">
      <c r="A79" s="657">
        <f>IF(B79="",MAX($A$8:A78)+0,MAX($A$8:A78)+1)</f>
        <v>9</v>
      </c>
      <c r="B79" s="835" t="str">
        <f>IF(C79="","",COUNTA($C$10:C80))</f>
        <v/>
      </c>
      <c r="C79" s="362"/>
      <c r="D79" s="845"/>
      <c r="E79" s="852" t="s">
        <v>2032</v>
      </c>
      <c r="F79" s="848" t="str">
        <f>VLOOKUP(E79,DICH!B:C,2,FALSE)</f>
        <v xml:space="preserve">  A - Material</v>
      </c>
      <c r="G79" s="846"/>
      <c r="H79" s="847"/>
      <c r="I79" s="848"/>
      <c r="J79" s="849">
        <f>SUM(J80:J82)</f>
        <v>36435.273140000005</v>
      </c>
      <c r="K79" s="850"/>
      <c r="L79" s="850"/>
      <c r="M79" s="850"/>
      <c r="N79" s="843" t="e">
        <f>SUMIF(#REF!,'8.Dgia'!A79,#REF!)+SUMIF(#REF!,'8.Dgia'!A79,#REF!)+SUMIF(#REF!,'8.Dgia'!A79,#REF!)+SUMIF(#REF!,'8.Dgia'!A79,#REF!)</f>
        <v>#REF!</v>
      </c>
      <c r="O79" s="844"/>
      <c r="P79" s="843" t="e">
        <f t="shared" si="0"/>
        <v>#REF!</v>
      </c>
    </row>
    <row r="80" spans="1:18" ht="15" customHeight="1">
      <c r="A80" s="657">
        <f>IF(B80="",MAX($A$8:A79)+0,MAX($A$8:A79)+1)</f>
        <v>9</v>
      </c>
      <c r="B80" s="835" t="str">
        <f>IF(C80="","",COUNTA($C$10:C81))</f>
        <v/>
      </c>
      <c r="C80" s="362"/>
      <c r="D80" s="851"/>
      <c r="E80" s="852" t="s">
        <v>660</v>
      </c>
      <c r="F80" s="848" t="str">
        <f>VLOOKUP(E80,DICH!B:C,2,FALSE)</f>
        <v>bitumen</v>
      </c>
      <c r="G80" s="362" t="s">
        <v>558</v>
      </c>
      <c r="H80" s="847">
        <v>2.1</v>
      </c>
      <c r="I80" s="858">
        <f>VLOOKUP(E80,'11.gia '!$B:$I,8,FALSE)</f>
        <v>15823.463400000001</v>
      </c>
      <c r="J80" s="853">
        <f>I80*H80</f>
        <v>33229.273140000005</v>
      </c>
      <c r="N80" s="843" t="e">
        <f>SUMIF(#REF!,'8.Dgia'!A80,#REF!)+SUMIF(#REF!,'8.Dgia'!A80,#REF!)+SUMIF(#REF!,'8.Dgia'!A80,#REF!)+SUMIF(#REF!,'8.Dgia'!A80,#REF!)</f>
        <v>#REF!</v>
      </c>
      <c r="O80" s="844"/>
      <c r="P80" s="843" t="e">
        <f t="shared" si="0"/>
        <v>#REF!</v>
      </c>
    </row>
    <row r="81" spans="1:18" ht="15" customHeight="1">
      <c r="A81" s="657">
        <f>IF(B81="",MAX($A$8:A80)+0,MAX($A$8:A80)+1)</f>
        <v>9</v>
      </c>
      <c r="B81" s="835" t="str">
        <f>IF(C81="","",COUNTA($C$10:C82))</f>
        <v/>
      </c>
      <c r="C81" s="362"/>
      <c r="D81" s="851"/>
      <c r="E81" s="852" t="s">
        <v>592</v>
      </c>
      <c r="F81" s="848" t="str">
        <f>VLOOKUP(E81,DICH!B:C,2,FALSE)</f>
        <v>Stone powder</v>
      </c>
      <c r="G81" s="362" t="s">
        <v>558</v>
      </c>
      <c r="H81" s="847">
        <v>1.206</v>
      </c>
      <c r="I81" s="848">
        <f>VLOOKUP(E81,'11.gia '!$B:$I,8,FALSE)</f>
        <v>1000</v>
      </c>
      <c r="J81" s="853">
        <f>I81*H81</f>
        <v>1206</v>
      </c>
      <c r="N81" s="843" t="e">
        <f>SUMIF(#REF!,'8.Dgia'!A81,#REF!)+SUMIF(#REF!,'8.Dgia'!A81,#REF!)+SUMIF(#REF!,'8.Dgia'!A81,#REF!)+SUMIF(#REF!,'8.Dgia'!A81,#REF!)</f>
        <v>#REF!</v>
      </c>
      <c r="O81" s="844"/>
      <c r="P81" s="843" t="e">
        <f t="shared" si="0"/>
        <v>#REF!</v>
      </c>
    </row>
    <row r="82" spans="1:18" ht="15" customHeight="1">
      <c r="A82" s="657">
        <f>IF(B82="",MAX($A$8:A81)+0,MAX($A$8:A81)+1)</f>
        <v>9</v>
      </c>
      <c r="B82" s="835" t="str">
        <f>IF(C82="","",COUNTA($C$10:C83))</f>
        <v/>
      </c>
      <c r="C82" s="362"/>
      <c r="D82" s="851"/>
      <c r="E82" s="852" t="s">
        <v>593</v>
      </c>
      <c r="F82" s="848" t="str">
        <f>VLOOKUP(E82,DICH!B:C,2,FALSE)</f>
        <v>Firewood</v>
      </c>
      <c r="G82" s="362" t="s">
        <v>558</v>
      </c>
      <c r="H82" s="847">
        <v>2</v>
      </c>
      <c r="I82" s="848">
        <f>VLOOKUP(E82,'11.gia '!$B:$I,8,FALSE)</f>
        <v>1000</v>
      </c>
      <c r="J82" s="853">
        <f>I82*H82</f>
        <v>2000</v>
      </c>
      <c r="N82" s="843" t="e">
        <f>SUMIF(#REF!,'8.Dgia'!A82,#REF!)+SUMIF(#REF!,'8.Dgia'!A82,#REF!)+SUMIF(#REF!,'8.Dgia'!A82,#REF!)+SUMIF(#REF!,'8.Dgia'!A82,#REF!)</f>
        <v>#REF!</v>
      </c>
      <c r="O82" s="844"/>
      <c r="P82" s="843" t="e">
        <f t="shared" si="0"/>
        <v>#REF!</v>
      </c>
    </row>
    <row r="83" spans="1:18" s="658" customFormat="1" ht="15" customHeight="1">
      <c r="A83" s="657">
        <f>IF(B83="",MAX($A$8:A82)+0,MAX($A$8:A82)+1)</f>
        <v>9</v>
      </c>
      <c r="B83" s="835" t="str">
        <f>IF(C83="","",COUNTA($C$10:C84))</f>
        <v/>
      </c>
      <c r="C83" s="362"/>
      <c r="D83" s="845"/>
      <c r="E83" s="852" t="s">
        <v>2037</v>
      </c>
      <c r="F83" s="848" t="str">
        <f>VLOOKUP(E83,DICH!B:C,2,FALSE)</f>
        <v xml:space="preserve">  B - Labour 3.5/7</v>
      </c>
      <c r="G83" s="362" t="s">
        <v>4899</v>
      </c>
      <c r="H83" s="847">
        <v>7.0000000000000007E-2</v>
      </c>
      <c r="I83" s="848">
        <f>VLOOKUP(E83,'16.NC'!$C$11:$F$22,4,FALSE)</f>
        <v>202862</v>
      </c>
      <c r="J83" s="849">
        <f>I83*H83</f>
        <v>14200.340000000002</v>
      </c>
      <c r="K83" s="850"/>
      <c r="L83" s="850"/>
      <c r="M83" s="850"/>
      <c r="N83" s="843" t="e">
        <f>SUMIF(#REF!,'8.Dgia'!A83,#REF!)+SUMIF(#REF!,'8.Dgia'!A83,#REF!)+SUMIF(#REF!,'8.Dgia'!A83,#REF!)+SUMIF(#REF!,'8.Dgia'!A83,#REF!)</f>
        <v>#REF!</v>
      </c>
      <c r="O83" s="844"/>
      <c r="P83" s="843" t="e">
        <f t="shared" si="0"/>
        <v>#REF!</v>
      </c>
      <c r="R83" s="658">
        <v>1</v>
      </c>
    </row>
    <row r="84" spans="1:18" ht="15" customHeight="1">
      <c r="A84" s="657">
        <f>IF(B84="",MAX($A$8:A83)+0,MAX($A$8:A83)+1)</f>
        <v>10</v>
      </c>
      <c r="B84" s="835">
        <f>IF(C84="","",COUNTA($C$10:C85))</f>
        <v>10</v>
      </c>
      <c r="C84" s="835">
        <f>IF(D84="","",1776)</f>
        <v>1776</v>
      </c>
      <c r="D84" s="851" t="s">
        <v>420</v>
      </c>
      <c r="E84" s="855" t="s">
        <v>471</v>
      </c>
      <c r="F84" s="1049" t="e">
        <f>VLOOKUP(E84,DICH!B:C,2,FALSE)</f>
        <v>#N/A</v>
      </c>
      <c r="G84" s="856" t="s">
        <v>547</v>
      </c>
      <c r="H84" s="847"/>
      <c r="I84" s="848"/>
      <c r="J84" s="853"/>
      <c r="K84" s="842">
        <f>+J85</f>
        <v>1447845.5276421229</v>
      </c>
      <c r="L84" s="842">
        <f>+J92</f>
        <v>8800865.4000000004</v>
      </c>
      <c r="M84" s="842">
        <f>+J93</f>
        <v>5499439.2654876811</v>
      </c>
      <c r="N84" s="843" t="e">
        <f>SUMIF(#REF!,'8.Dgia'!A84,#REF!)+SUMIF(#REF!,'8.Dgia'!A84,#REF!)+SUMIF(#REF!,'8.Dgia'!A84,#REF!)+SUMIF(#REF!,'8.Dgia'!A84,#REF!)</f>
        <v>#REF!</v>
      </c>
      <c r="O84" s="844"/>
      <c r="P84" s="843" t="e">
        <f t="shared" si="0"/>
        <v>#REF!</v>
      </c>
    </row>
    <row r="85" spans="1:18" s="658" customFormat="1" ht="15" customHeight="1">
      <c r="A85" s="657">
        <f>IF(B85="",MAX($A$8:A84)+0,MAX($A$8:A84)+1)</f>
        <v>10</v>
      </c>
      <c r="B85" s="835" t="str">
        <f>IF(C85="","",COUNTA($C$10:C86))</f>
        <v/>
      </c>
      <c r="C85" s="362"/>
      <c r="D85" s="845"/>
      <c r="E85" s="852" t="s">
        <v>2032</v>
      </c>
      <c r="F85" s="848" t="str">
        <f>VLOOKUP(E85,DICH!B:C,2,FALSE)</f>
        <v xml:space="preserve">  A - Material</v>
      </c>
      <c r="G85" s="846"/>
      <c r="H85" s="847"/>
      <c r="I85" s="848"/>
      <c r="J85" s="849">
        <f>SUM(J86:J91)</f>
        <v>1447845.5276421229</v>
      </c>
      <c r="K85" s="850"/>
      <c r="L85" s="850"/>
      <c r="M85" s="850"/>
      <c r="N85" s="843" t="e">
        <f>SUMIF(#REF!,'8.Dgia'!A85,#REF!)+SUMIF(#REF!,'8.Dgia'!A85,#REF!)+SUMIF(#REF!,'8.Dgia'!A85,#REF!)+SUMIF(#REF!,'8.Dgia'!A85,#REF!)</f>
        <v>#REF!</v>
      </c>
      <c r="O85" s="844"/>
      <c r="P85" s="843" t="e">
        <f t="shared" si="0"/>
        <v>#REF!</v>
      </c>
    </row>
    <row r="86" spans="1:18" ht="15" customHeight="1">
      <c r="A86" s="657">
        <f>IF(B86="",MAX($A$8:A85)+0,MAX($A$8:A85)+1)</f>
        <v>10</v>
      </c>
      <c r="B86" s="835" t="str">
        <f>IF(C86="","",COUNTA($C$10:C87))</f>
        <v/>
      </c>
      <c r="C86" s="362"/>
      <c r="D86" s="851"/>
      <c r="E86" s="852" t="s">
        <v>562</v>
      </c>
      <c r="F86" s="848" t="str">
        <f>VLOOKUP(E86,DICH!B:C,2,FALSE)</f>
        <v>Plate steel</v>
      </c>
      <c r="G86" s="362" t="s">
        <v>558</v>
      </c>
      <c r="H86" s="847">
        <v>56</v>
      </c>
      <c r="I86" s="848">
        <f>VLOOKUP(E86,'11.gia '!$B:$I,8,FALSE)</f>
        <v>12871.348287272725</v>
      </c>
      <c r="J86" s="853">
        <f>I86*H86</f>
        <v>720795.50408727257</v>
      </c>
      <c r="N86" s="843" t="e">
        <f>SUMIF(#REF!,'8.Dgia'!A86,#REF!)+SUMIF(#REF!,'8.Dgia'!A86,#REF!)+SUMIF(#REF!,'8.Dgia'!A86,#REF!)+SUMIF(#REF!,'8.Dgia'!A86,#REF!)</f>
        <v>#REF!</v>
      </c>
      <c r="O86" s="844"/>
      <c r="P86" s="843" t="e">
        <f t="shared" si="0"/>
        <v>#REF!</v>
      </c>
    </row>
    <row r="87" spans="1:18" ht="15" customHeight="1">
      <c r="A87" s="657">
        <f>IF(B87="",MAX($A$8:A86)+0,MAX($A$8:A86)+1)</f>
        <v>10</v>
      </c>
      <c r="B87" s="835" t="str">
        <f>IF(C87="","",COUNTA($C$10:C88))</f>
        <v/>
      </c>
      <c r="C87" s="362"/>
      <c r="D87" s="851"/>
      <c r="E87" s="852" t="s">
        <v>563</v>
      </c>
      <c r="F87" s="848" t="str">
        <f>VLOOKUP(E87,DICH!B:C,2,FALSE)</f>
        <v>Shaped steel</v>
      </c>
      <c r="G87" s="362" t="s">
        <v>558</v>
      </c>
      <c r="H87" s="847">
        <v>15.6</v>
      </c>
      <c r="I87" s="848">
        <f>VLOOKUP(E87,'11.gia '!$B:$I,8,FALSE)</f>
        <v>16703.248369172808</v>
      </c>
      <c r="J87" s="853">
        <f>I87*H87</f>
        <v>260570.67455909582</v>
      </c>
      <c r="N87" s="843" t="e">
        <f>SUMIF(#REF!,'8.Dgia'!A87,#REF!)+SUMIF(#REF!,'8.Dgia'!A87,#REF!)+SUMIF(#REF!,'8.Dgia'!A87,#REF!)+SUMIF(#REF!,'8.Dgia'!A87,#REF!)</f>
        <v>#REF!</v>
      </c>
      <c r="O87" s="844"/>
      <c r="P87" s="843" t="e">
        <f t="shared" si="0"/>
        <v>#REF!</v>
      </c>
    </row>
    <row r="88" spans="1:18" ht="15" customHeight="1">
      <c r="A88" s="657">
        <f>IF(B88="",MAX($A$8:A87)+0,MAX($A$8:A87)+1)</f>
        <v>10</v>
      </c>
      <c r="B88" s="835" t="str">
        <f>IF(C88="","",COUNTA($C$10:C89))</f>
        <v/>
      </c>
      <c r="C88" s="362"/>
      <c r="D88" s="851"/>
      <c r="E88" s="852" t="s">
        <v>559</v>
      </c>
      <c r="F88" s="848" t="str">
        <f>VLOOKUP(E88,DICH!B:C,2,FALSE)</f>
        <v>welding electrode</v>
      </c>
      <c r="G88" s="362" t="s">
        <v>558</v>
      </c>
      <c r="H88" s="847">
        <v>12.5</v>
      </c>
      <c r="I88" s="848">
        <f>VLOOKUP(E88,'11.gia '!$B:$I,8,FALSE)</f>
        <v>19090.909090909088</v>
      </c>
      <c r="J88" s="853">
        <f>I88*H88</f>
        <v>238636.36363636359</v>
      </c>
      <c r="N88" s="843" t="e">
        <f>SUMIF(#REF!,'8.Dgia'!A88,#REF!)+SUMIF(#REF!,'8.Dgia'!A88,#REF!)+SUMIF(#REF!,'8.Dgia'!A88,#REF!)+SUMIF(#REF!,'8.Dgia'!A88,#REF!)</f>
        <v>#REF!</v>
      </c>
      <c r="O88" s="844"/>
      <c r="P88" s="843" t="e">
        <f t="shared" si="0"/>
        <v>#REF!</v>
      </c>
    </row>
    <row r="89" spans="1:18" ht="15" customHeight="1">
      <c r="A89" s="657">
        <f>IF(B89="",MAX($A$8:A88)+0,MAX($A$8:A88)+1)</f>
        <v>10</v>
      </c>
      <c r="B89" s="835" t="str">
        <f>IF(C89="","",COUNTA($C$10:C90))</f>
        <v/>
      </c>
      <c r="C89" s="362"/>
      <c r="D89" s="851"/>
      <c r="E89" s="852" t="s">
        <v>564</v>
      </c>
      <c r="F89" s="848" t="str">
        <f>VLOOKUP(E89,DICH!B:C,2,FALSE)</f>
        <v>oxygen</v>
      </c>
      <c r="G89" s="362" t="s">
        <v>4647</v>
      </c>
      <c r="H89" s="847">
        <v>1.8</v>
      </c>
      <c r="I89" s="848">
        <f>VLOOKUP(E89,'11.gia '!$B:$I,8,FALSE)</f>
        <v>48000</v>
      </c>
      <c r="J89" s="853">
        <f>I89*H89</f>
        <v>86400</v>
      </c>
      <c r="N89" s="843" t="e">
        <f>SUMIF(#REF!,'8.Dgia'!A89,#REF!)+SUMIF(#REF!,'8.Dgia'!A89,#REF!)+SUMIF(#REF!,'8.Dgia'!A89,#REF!)+SUMIF(#REF!,'8.Dgia'!A89,#REF!)</f>
        <v>#REF!</v>
      </c>
      <c r="O89" s="844"/>
      <c r="P89" s="843" t="e">
        <f t="shared" si="0"/>
        <v>#REF!</v>
      </c>
    </row>
    <row r="90" spans="1:18" ht="15" customHeight="1">
      <c r="A90" s="657">
        <f>IF(B90="",MAX($A$8:A89)+0,MAX($A$8:A89)+1)</f>
        <v>10</v>
      </c>
      <c r="B90" s="835" t="str">
        <f>IF(C90="","",COUNTA($C$10:C91))</f>
        <v/>
      </c>
      <c r="C90" s="362"/>
      <c r="D90" s="851"/>
      <c r="E90" s="852" t="s">
        <v>419</v>
      </c>
      <c r="F90" s="848" t="str">
        <f>VLOOKUP(E90,DICH!B:C,2,FALSE)</f>
        <v>Gas</v>
      </c>
      <c r="G90" s="362" t="s">
        <v>558</v>
      </c>
      <c r="H90" s="847">
        <v>3.6</v>
      </c>
      <c r="I90" s="848">
        <f>VLOOKUP(E90,'11.gia '!$B:$I,8,FALSE)</f>
        <v>27575.757575757572</v>
      </c>
      <c r="J90" s="853">
        <f>I90*H90</f>
        <v>99272.727272727265</v>
      </c>
      <c r="N90" s="843" t="e">
        <f>SUMIF(#REF!,'8.Dgia'!A90,#REF!)+SUMIF(#REF!,'8.Dgia'!A90,#REF!)+SUMIF(#REF!,'8.Dgia'!A90,#REF!)+SUMIF(#REF!,'8.Dgia'!A90,#REF!)</f>
        <v>#REF!</v>
      </c>
      <c r="O90" s="844"/>
      <c r="P90" s="843" t="e">
        <f t="shared" si="0"/>
        <v>#REF!</v>
      </c>
    </row>
    <row r="91" spans="1:18" ht="15" customHeight="1">
      <c r="A91" s="657">
        <f>IF(B91="",MAX($A$8:A90)+0,MAX($A$8:A90)+1)</f>
        <v>10</v>
      </c>
      <c r="B91" s="835" t="str">
        <f>IF(C91="","",COUNTA($C$10:C92))</f>
        <v/>
      </c>
      <c r="C91" s="362"/>
      <c r="D91" s="851"/>
      <c r="E91" s="852" t="s">
        <v>555</v>
      </c>
      <c r="F91" s="848" t="str">
        <f>VLOOKUP(E91,DICH!B:C,2,FALSE)</f>
        <v>Other material</v>
      </c>
      <c r="G91" s="362" t="s">
        <v>554</v>
      </c>
      <c r="H91" s="847">
        <v>3</v>
      </c>
      <c r="I91" s="848">
        <f>SUM(J86:J90)</f>
        <v>1405675.2695554593</v>
      </c>
      <c r="J91" s="853">
        <f>I91*H91%</f>
        <v>42170.25808666378</v>
      </c>
      <c r="N91" s="843" t="e">
        <f>SUMIF(#REF!,'8.Dgia'!A91,#REF!)+SUMIF(#REF!,'8.Dgia'!A91,#REF!)+SUMIF(#REF!,'8.Dgia'!A91,#REF!)+SUMIF(#REF!,'8.Dgia'!A91,#REF!)</f>
        <v>#REF!</v>
      </c>
      <c r="O91" s="844"/>
      <c r="P91" s="843" t="e">
        <f t="shared" si="0"/>
        <v>#REF!</v>
      </c>
    </row>
    <row r="92" spans="1:18" s="658" customFormat="1" ht="15" customHeight="1">
      <c r="A92" s="657">
        <f>IF(B92="",MAX($A$8:A91)+0,MAX($A$8:A91)+1)</f>
        <v>10</v>
      </c>
      <c r="B92" s="835" t="str">
        <f>IF(C92="","",COUNTA($C$10:C93))</f>
        <v/>
      </c>
      <c r="C92" s="362"/>
      <c r="D92" s="845"/>
      <c r="E92" s="852" t="s">
        <v>2039</v>
      </c>
      <c r="F92" s="848" t="str">
        <f>VLOOKUP(E92,DICH!B:C,2,FALSE)</f>
        <v xml:space="preserve">  B - Labour 4.0/7</v>
      </c>
      <c r="G92" s="362" t="s">
        <v>4899</v>
      </c>
      <c r="H92" s="847">
        <v>40.200000000000003</v>
      </c>
      <c r="I92" s="848">
        <f>VLOOKUP(E92,'16.NC'!$C$11:$F$22,4,FALSE)</f>
        <v>218927</v>
      </c>
      <c r="J92" s="849">
        <f>I92*H92</f>
        <v>8800865.4000000004</v>
      </c>
      <c r="K92" s="850"/>
      <c r="L92" s="850"/>
      <c r="M92" s="850"/>
      <c r="N92" s="843" t="e">
        <f>SUMIF(#REF!,'8.Dgia'!A92,#REF!)+SUMIF(#REF!,'8.Dgia'!A92,#REF!)+SUMIF(#REF!,'8.Dgia'!A92,#REF!)+SUMIF(#REF!,'8.Dgia'!A92,#REF!)</f>
        <v>#REF!</v>
      </c>
      <c r="O92" s="844"/>
      <c r="P92" s="843" t="e">
        <f t="shared" si="0"/>
        <v>#REF!</v>
      </c>
      <c r="R92" s="658">
        <v>1</v>
      </c>
    </row>
    <row r="93" spans="1:18" s="658" customFormat="1" ht="15" customHeight="1">
      <c r="A93" s="657">
        <f>IF(B93="",MAX($A$8:A92)+0,MAX($A$8:A92)+1)</f>
        <v>10</v>
      </c>
      <c r="B93" s="835" t="str">
        <f>IF(C93="","",COUNTA($C$10:C94))</f>
        <v/>
      </c>
      <c r="C93" s="362"/>
      <c r="D93" s="845"/>
      <c r="E93" s="852" t="s">
        <v>2033</v>
      </c>
      <c r="F93" s="848" t="str">
        <f>VLOOKUP(E93,DICH!B:C,2,FALSE)</f>
        <v xml:space="preserve">  C - Machine</v>
      </c>
      <c r="G93" s="846"/>
      <c r="H93" s="847"/>
      <c r="I93" s="848"/>
      <c r="J93" s="849">
        <f>SUM(J94:J100)</f>
        <v>5499439.2654876811</v>
      </c>
      <c r="K93" s="850"/>
      <c r="L93" s="850"/>
      <c r="M93" s="850"/>
      <c r="N93" s="843" t="e">
        <f>SUMIF(#REF!,'8.Dgia'!A93,#REF!)+SUMIF(#REF!,'8.Dgia'!A93,#REF!)+SUMIF(#REF!,'8.Dgia'!A93,#REF!)+SUMIF(#REF!,'8.Dgia'!A93,#REF!)</f>
        <v>#REF!</v>
      </c>
      <c r="O93" s="844"/>
      <c r="P93" s="843" t="e">
        <f t="shared" si="0"/>
        <v>#REF!</v>
      </c>
    </row>
    <row r="94" spans="1:18" ht="15" customHeight="1">
      <c r="A94" s="657">
        <f>IF(B94="",MAX($A$8:A93)+0,MAX($A$8:A93)+1)</f>
        <v>10</v>
      </c>
      <c r="B94" s="835" t="str">
        <f>IF(C94="","",COUNTA($C$10:C95))</f>
        <v/>
      </c>
      <c r="C94" s="362"/>
      <c r="D94" s="851"/>
      <c r="E94" s="852" t="s">
        <v>560</v>
      </c>
      <c r="F94" s="848" t="str">
        <f>VLOOKUP(E94,'9.may'!E:F,2,FALSE)</f>
        <v>welding machine 23kW</v>
      </c>
      <c r="G94" s="362" t="s">
        <v>4902</v>
      </c>
      <c r="H94" s="847">
        <v>5.4</v>
      </c>
      <c r="I94" s="848">
        <f>VLOOKUP(E94,'9.may'!E:W,12,FALSE)</f>
        <v>171649.155</v>
      </c>
      <c r="J94" s="853">
        <f t="shared" ref="J94:J99" si="3">I94*H94</f>
        <v>926905.43700000003</v>
      </c>
      <c r="N94" s="843" t="e">
        <f>SUMIF(#REF!,'8.Dgia'!A94,#REF!)+SUMIF(#REF!,'8.Dgia'!A94,#REF!)+SUMIF(#REF!,'8.Dgia'!A94,#REF!)+SUMIF(#REF!,'8.Dgia'!A94,#REF!)</f>
        <v>#REF!</v>
      </c>
      <c r="O94" s="844"/>
      <c r="P94" s="843" t="e">
        <f t="shared" si="0"/>
        <v>#REF!</v>
      </c>
    </row>
    <row r="95" spans="1:18" ht="15" customHeight="1">
      <c r="A95" s="657">
        <f>IF(B95="",MAX($A$8:A94)+0,MAX($A$8:A94)+1)</f>
        <v>10</v>
      </c>
      <c r="B95" s="835" t="str">
        <f>IF(C95="","",COUNTA($C$10:C96))</f>
        <v/>
      </c>
      <c r="C95" s="362"/>
      <c r="D95" s="851"/>
      <c r="E95" s="852" t="s">
        <v>1424</v>
      </c>
      <c r="F95" s="848" t="str">
        <f>VLOOKUP(E95,'9.may'!E:F,2,FALSE)</f>
        <v>bender cutter 5Kw</v>
      </c>
      <c r="G95" s="362" t="s">
        <v>4902</v>
      </c>
      <c r="H95" s="847">
        <v>3</v>
      </c>
      <c r="I95" s="848">
        <f>VLOOKUP(E95,'9.may'!E:W,12,FALSE)</f>
        <v>80291.850000000006</v>
      </c>
      <c r="J95" s="853">
        <f t="shared" si="3"/>
        <v>240875.55000000002</v>
      </c>
      <c r="N95" s="843" t="e">
        <f>SUMIF(#REF!,'8.Dgia'!A95,#REF!)+SUMIF(#REF!,'8.Dgia'!A95,#REF!)+SUMIF(#REF!,'8.Dgia'!A95,#REF!)+SUMIF(#REF!,'8.Dgia'!A95,#REF!)</f>
        <v>#REF!</v>
      </c>
      <c r="O95" s="844"/>
      <c r="P95" s="843" t="e">
        <f t="shared" si="0"/>
        <v>#REF!</v>
      </c>
    </row>
    <row r="96" spans="1:18" ht="15" customHeight="1">
      <c r="A96" s="657">
        <f>IF(B96="",MAX($A$8:A95)+0,MAX($A$8:A95)+1)</f>
        <v>10</v>
      </c>
      <c r="B96" s="835" t="str">
        <f>IF(C96="","",COUNTA($C$10:C97))</f>
        <v/>
      </c>
      <c r="C96" s="362"/>
      <c r="D96" s="851"/>
      <c r="E96" s="852" t="s">
        <v>630</v>
      </c>
      <c r="F96" s="848" t="str">
        <f>VLOOKUP(E96,'9.may'!E:F,2,FALSE)</f>
        <v>tyre crane 25T</v>
      </c>
      <c r="G96" s="362" t="s">
        <v>4902</v>
      </c>
      <c r="H96" s="847">
        <v>0.96</v>
      </c>
      <c r="I96" s="848">
        <f>VLOOKUP(E96,'9.may'!E:W,12,FALSE)</f>
        <v>2658824.4436363634</v>
      </c>
      <c r="J96" s="853">
        <f t="shared" si="3"/>
        <v>2552471.4658909086</v>
      </c>
      <c r="N96" s="843" t="e">
        <f>SUMIF(#REF!,'8.Dgia'!A96,#REF!)+SUMIF(#REF!,'8.Dgia'!A96,#REF!)+SUMIF(#REF!,'8.Dgia'!A96,#REF!)+SUMIF(#REF!,'8.Dgia'!A96,#REF!)</f>
        <v>#REF!</v>
      </c>
      <c r="O96" s="844"/>
      <c r="P96" s="843" t="e">
        <f t="shared" ref="P96:P214" si="4">$H96*N96*(1+O96%)</f>
        <v>#REF!</v>
      </c>
    </row>
    <row r="97" spans="1:18" ht="15" customHeight="1">
      <c r="A97" s="657">
        <f>IF(B97="",MAX($A$8:A96)+0,MAX($A$8:A96)+1)</f>
        <v>10</v>
      </c>
      <c r="B97" s="835" t="str">
        <f>IF(C97="","",COUNTA($C$10:C98))</f>
        <v/>
      </c>
      <c r="C97" s="362"/>
      <c r="D97" s="851"/>
      <c r="E97" s="852" t="s">
        <v>561</v>
      </c>
      <c r="F97" s="848" t="str">
        <f>VLOOKUP(E97,'9.may'!E:F,2,FALSE)</f>
        <v>barge 200Ton</v>
      </c>
      <c r="G97" s="362" t="s">
        <v>4902</v>
      </c>
      <c r="H97" s="847">
        <v>0.5</v>
      </c>
      <c r="I97" s="848">
        <f>VLOOKUP(E97,'9.may'!E:W,12,FALSE)</f>
        <v>586485.6</v>
      </c>
      <c r="J97" s="853">
        <f t="shared" si="3"/>
        <v>293242.8</v>
      </c>
      <c r="N97" s="843" t="e">
        <f>SUMIF(#REF!,'8.Dgia'!A97,#REF!)+SUMIF(#REF!,'8.Dgia'!A97,#REF!)+SUMIF(#REF!,'8.Dgia'!A97,#REF!)+SUMIF(#REF!,'8.Dgia'!A97,#REF!)</f>
        <v>#REF!</v>
      </c>
      <c r="O97" s="844"/>
      <c r="P97" s="843" t="e">
        <f t="shared" si="4"/>
        <v>#REF!</v>
      </c>
    </row>
    <row r="98" spans="1:18" ht="15" customHeight="1">
      <c r="A98" s="657">
        <f>IF(B98="",MAX($A$8:A97)+0,MAX($A$8:A97)+1)</f>
        <v>10</v>
      </c>
      <c r="B98" s="835" t="str">
        <f>IF(C98="","",COUNTA($C$10:C99))</f>
        <v/>
      </c>
      <c r="C98" s="362"/>
      <c r="D98" s="851"/>
      <c r="E98" s="852" t="s">
        <v>556</v>
      </c>
      <c r="F98" s="848" t="str">
        <f>VLOOKUP(E98,'9.may'!E:F,2,FALSE)</f>
        <v>barge 400Ton</v>
      </c>
      <c r="G98" s="362" t="s">
        <v>4902</v>
      </c>
      <c r="H98" s="847">
        <v>0.5</v>
      </c>
      <c r="I98" s="848">
        <f>VLOOKUP(E98,'9.may'!E:W,12,FALSE)</f>
        <v>1144511.22</v>
      </c>
      <c r="J98" s="853">
        <f t="shared" si="3"/>
        <v>572255.61</v>
      </c>
      <c r="N98" s="843" t="e">
        <f>SUMIF(#REF!,'8.Dgia'!A98,#REF!)+SUMIF(#REF!,'8.Dgia'!A98,#REF!)+SUMIF(#REF!,'8.Dgia'!A98,#REF!)+SUMIF(#REF!,'8.Dgia'!A98,#REF!)</f>
        <v>#REF!</v>
      </c>
      <c r="O98" s="844"/>
      <c r="P98" s="843" t="e">
        <f t="shared" si="4"/>
        <v>#REF!</v>
      </c>
    </row>
    <row r="99" spans="1:18" ht="15" customHeight="1">
      <c r="A99" s="657">
        <f>IF(B99="",MAX($A$8:A98)+0,MAX($A$8:A98)+1)</f>
        <v>10</v>
      </c>
      <c r="B99" s="835" t="str">
        <f>IF(C99="","",COUNTA($C$10:C100))</f>
        <v/>
      </c>
      <c r="C99" s="362"/>
      <c r="D99" s="851"/>
      <c r="E99" s="852" t="s">
        <v>611</v>
      </c>
      <c r="F99" s="848" t="str">
        <f>VLOOKUP(E99,'9.may'!E:F,2,FALSE)</f>
        <v>tug boat 150CV</v>
      </c>
      <c r="G99" s="362" t="s">
        <v>4902</v>
      </c>
      <c r="H99" s="847">
        <v>0.25</v>
      </c>
      <c r="I99" s="848">
        <f>VLOOKUP(E99,'9.may'!E:W,12,FALSE)</f>
        <v>3329663.6045454545</v>
      </c>
      <c r="J99" s="853">
        <f t="shared" si="3"/>
        <v>832415.90113636362</v>
      </c>
      <c r="N99" s="843" t="e">
        <f>SUMIF(#REF!,'8.Dgia'!A99,#REF!)+SUMIF(#REF!,'8.Dgia'!A99,#REF!)+SUMIF(#REF!,'8.Dgia'!A99,#REF!)+SUMIF(#REF!,'8.Dgia'!A99,#REF!)</f>
        <v>#REF!</v>
      </c>
      <c r="O99" s="844"/>
      <c r="P99" s="843" t="e">
        <f t="shared" si="4"/>
        <v>#REF!</v>
      </c>
    </row>
    <row r="100" spans="1:18" ht="15" customHeight="1">
      <c r="A100" s="657">
        <f>IF(B100="",MAX($A$8:A99)+0,MAX($A$8:A99)+1)</f>
        <v>10</v>
      </c>
      <c r="B100" s="835" t="str">
        <f>IF(C100="","",COUNTA($C$10:C101))</f>
        <v/>
      </c>
      <c r="C100" s="362"/>
      <c r="D100" s="851"/>
      <c r="E100" s="852" t="s">
        <v>553</v>
      </c>
      <c r="F100" s="848" t="str">
        <f>VLOOKUP(E100,DICH!B:C,2,FALSE)</f>
        <v>Other machine</v>
      </c>
      <c r="G100" s="362" t="s">
        <v>554</v>
      </c>
      <c r="H100" s="847">
        <v>1.5</v>
      </c>
      <c r="I100" s="848">
        <f>SUM(J94:J99)</f>
        <v>5418166.7640272724</v>
      </c>
      <c r="J100" s="853">
        <f>I100*H100%</f>
        <v>81272.501460409083</v>
      </c>
      <c r="N100" s="843" t="e">
        <f>SUMIF(#REF!,'8.Dgia'!A100,#REF!)+SUMIF(#REF!,'8.Dgia'!A100,#REF!)+SUMIF(#REF!,'8.Dgia'!A100,#REF!)+SUMIF(#REF!,'8.Dgia'!A100,#REF!)</f>
        <v>#REF!</v>
      </c>
      <c r="O100" s="844"/>
      <c r="P100" s="843" t="e">
        <f t="shared" si="4"/>
        <v>#REF!</v>
      </c>
    </row>
    <row r="101" spans="1:18" ht="15" customHeight="1">
      <c r="A101" s="657">
        <f>IF(B101="",MAX($A$8:A100)+0,MAX($A$8:A100)+1)</f>
        <v>11</v>
      </c>
      <c r="B101" s="835">
        <f>IF(C101="","",COUNTA($C$10:C102))</f>
        <v>11</v>
      </c>
      <c r="C101" s="835">
        <f>IF(D101="","",1776)</f>
        <v>1776</v>
      </c>
      <c r="D101" s="851" t="s">
        <v>418</v>
      </c>
      <c r="E101" s="855" t="s">
        <v>109</v>
      </c>
      <c r="F101" s="1049" t="str">
        <f>VLOOKUP(E101,DICH!B:C,2,FALSE)</f>
        <v>Formwork for abutment/ pier (land)</v>
      </c>
      <c r="G101" s="856" t="s">
        <v>547</v>
      </c>
      <c r="H101" s="847"/>
      <c r="I101" s="848"/>
      <c r="J101" s="853"/>
      <c r="K101" s="842">
        <f>+J102</f>
        <v>1447845.5276421229</v>
      </c>
      <c r="L101" s="842">
        <f>+J109</f>
        <v>7334054.5</v>
      </c>
      <c r="M101" s="842">
        <f>+J110</f>
        <v>2630620.4670375003</v>
      </c>
      <c r="N101" s="843" t="e">
        <f>SUMIF(#REF!,'8.Dgia'!A101,#REF!)+SUMIF(#REF!,'8.Dgia'!A101,#REF!)+SUMIF(#REF!,'8.Dgia'!A101,#REF!)+SUMIF(#REF!,'8.Dgia'!A101,#REF!)</f>
        <v>#REF!</v>
      </c>
      <c r="O101" s="844"/>
      <c r="P101" s="843" t="e">
        <f t="shared" si="4"/>
        <v>#REF!</v>
      </c>
    </row>
    <row r="102" spans="1:18" s="658" customFormat="1" ht="15" customHeight="1">
      <c r="A102" s="657">
        <f>IF(B102="",MAX($A$8:A101)+0,MAX($A$8:A101)+1)</f>
        <v>11</v>
      </c>
      <c r="B102" s="835" t="str">
        <f>IF(C102="","",COUNTA($C$10:C103))</f>
        <v/>
      </c>
      <c r="C102" s="362"/>
      <c r="D102" s="845"/>
      <c r="E102" s="852" t="s">
        <v>2032</v>
      </c>
      <c r="F102" s="848" t="str">
        <f>VLOOKUP(E102,DICH!B:C,2,FALSE)</f>
        <v xml:space="preserve">  A - Material</v>
      </c>
      <c r="G102" s="846"/>
      <c r="H102" s="847"/>
      <c r="I102" s="848"/>
      <c r="J102" s="849">
        <f>SUM(J103:J108)</f>
        <v>1447845.5276421229</v>
      </c>
      <c r="K102" s="850"/>
      <c r="L102" s="850"/>
      <c r="M102" s="850"/>
      <c r="N102" s="843" t="e">
        <f>SUMIF(#REF!,'8.Dgia'!A102,#REF!)+SUMIF(#REF!,'8.Dgia'!A102,#REF!)+SUMIF(#REF!,'8.Dgia'!A102,#REF!)+SUMIF(#REF!,'8.Dgia'!A102,#REF!)</f>
        <v>#REF!</v>
      </c>
      <c r="O102" s="844"/>
      <c r="P102" s="843" t="e">
        <f t="shared" si="4"/>
        <v>#REF!</v>
      </c>
    </row>
    <row r="103" spans="1:18" ht="15" customHeight="1">
      <c r="A103" s="657">
        <f>IF(B103="",MAX($A$8:A102)+0,MAX($A$8:A102)+1)</f>
        <v>11</v>
      </c>
      <c r="B103" s="835" t="str">
        <f>IF(C103="","",COUNTA($C$10:C104))</f>
        <v/>
      </c>
      <c r="C103" s="362"/>
      <c r="D103" s="851"/>
      <c r="E103" s="852" t="s">
        <v>562</v>
      </c>
      <c r="F103" s="848" t="str">
        <f>VLOOKUP(E103,DICH!B:C,2,FALSE)</f>
        <v>Plate steel</v>
      </c>
      <c r="G103" s="362" t="s">
        <v>558</v>
      </c>
      <c r="H103" s="847">
        <v>56</v>
      </c>
      <c r="I103" s="848">
        <f>VLOOKUP(E103,'11.gia '!$B:$I,8,FALSE)</f>
        <v>12871.348287272725</v>
      </c>
      <c r="J103" s="853">
        <f>I103*H103</f>
        <v>720795.50408727257</v>
      </c>
      <c r="N103" s="843" t="e">
        <f>SUMIF(#REF!,'8.Dgia'!A103,#REF!)+SUMIF(#REF!,'8.Dgia'!A103,#REF!)+SUMIF(#REF!,'8.Dgia'!A103,#REF!)+SUMIF(#REF!,'8.Dgia'!A103,#REF!)</f>
        <v>#REF!</v>
      </c>
      <c r="O103" s="844">
        <f>+$H$108</f>
        <v>3</v>
      </c>
      <c r="P103" s="843" t="e">
        <f t="shared" si="4"/>
        <v>#REF!</v>
      </c>
    </row>
    <row r="104" spans="1:18" ht="15" customHeight="1">
      <c r="A104" s="657">
        <f>IF(B104="",MAX($A$8:A103)+0,MAX($A$8:A103)+1)</f>
        <v>11</v>
      </c>
      <c r="B104" s="835" t="str">
        <f>IF(C104="","",COUNTA($C$10:C105))</f>
        <v/>
      </c>
      <c r="C104" s="362"/>
      <c r="D104" s="851"/>
      <c r="E104" s="852" t="s">
        <v>563</v>
      </c>
      <c r="F104" s="848" t="str">
        <f>VLOOKUP(E104,DICH!B:C,2,FALSE)</f>
        <v>Shaped steel</v>
      </c>
      <c r="G104" s="362" t="s">
        <v>558</v>
      </c>
      <c r="H104" s="847">
        <v>15.6</v>
      </c>
      <c r="I104" s="848">
        <f>VLOOKUP(E104,'11.gia '!$B:$I,8,FALSE)</f>
        <v>16703.248369172808</v>
      </c>
      <c r="J104" s="853">
        <f>I104*H104</f>
        <v>260570.67455909582</v>
      </c>
      <c r="N104" s="843" t="e">
        <f>SUMIF(#REF!,'8.Dgia'!A104,#REF!)+SUMIF(#REF!,'8.Dgia'!A104,#REF!)+SUMIF(#REF!,'8.Dgia'!A104,#REF!)+SUMIF(#REF!,'8.Dgia'!A104,#REF!)</f>
        <v>#REF!</v>
      </c>
      <c r="O104" s="844">
        <f>+$H$108</f>
        <v>3</v>
      </c>
      <c r="P104" s="843" t="e">
        <f t="shared" si="4"/>
        <v>#REF!</v>
      </c>
    </row>
    <row r="105" spans="1:18" ht="15" customHeight="1">
      <c r="A105" s="657">
        <f>IF(B105="",MAX($A$8:A104)+0,MAX($A$8:A104)+1)</f>
        <v>11</v>
      </c>
      <c r="B105" s="835" t="str">
        <f>IF(C105="","",COUNTA($C$10:C106))</f>
        <v/>
      </c>
      <c r="C105" s="362"/>
      <c r="D105" s="851"/>
      <c r="E105" s="852" t="s">
        <v>559</v>
      </c>
      <c r="F105" s="848" t="str">
        <f>VLOOKUP(E105,DICH!B:C,2,FALSE)</f>
        <v>welding electrode</v>
      </c>
      <c r="G105" s="362" t="s">
        <v>558</v>
      </c>
      <c r="H105" s="847">
        <v>12.5</v>
      </c>
      <c r="I105" s="848">
        <f>VLOOKUP(E105,'11.gia '!$B:$I,8,FALSE)</f>
        <v>19090.909090909088</v>
      </c>
      <c r="J105" s="853">
        <f>I105*H105</f>
        <v>238636.36363636359</v>
      </c>
      <c r="N105" s="843" t="e">
        <f>SUMIF(#REF!,'8.Dgia'!A105,#REF!)+SUMIF(#REF!,'8.Dgia'!A105,#REF!)+SUMIF(#REF!,'8.Dgia'!A105,#REF!)+SUMIF(#REF!,'8.Dgia'!A105,#REF!)</f>
        <v>#REF!</v>
      </c>
      <c r="O105" s="844">
        <f>+$H$108</f>
        <v>3</v>
      </c>
      <c r="P105" s="843" t="e">
        <f t="shared" si="4"/>
        <v>#REF!</v>
      </c>
    </row>
    <row r="106" spans="1:18" ht="15" customHeight="1">
      <c r="A106" s="657">
        <f>IF(B106="",MAX($A$8:A105)+0,MAX($A$8:A105)+1)</f>
        <v>11</v>
      </c>
      <c r="B106" s="835" t="str">
        <f>IF(C106="","",COUNTA($C$10:C107))</f>
        <v/>
      </c>
      <c r="C106" s="362"/>
      <c r="D106" s="851"/>
      <c r="E106" s="852" t="s">
        <v>564</v>
      </c>
      <c r="F106" s="848" t="str">
        <f>VLOOKUP(E106,DICH!B:C,2,FALSE)</f>
        <v>oxygen</v>
      </c>
      <c r="G106" s="362" t="s">
        <v>4647</v>
      </c>
      <c r="H106" s="847">
        <v>1.8</v>
      </c>
      <c r="I106" s="848">
        <f>VLOOKUP(E106,'11.gia '!$B:$I,8,FALSE)</f>
        <v>48000</v>
      </c>
      <c r="J106" s="853">
        <f>I106*H106</f>
        <v>86400</v>
      </c>
      <c r="N106" s="843" t="e">
        <f>SUMIF(#REF!,'8.Dgia'!A106,#REF!)+SUMIF(#REF!,'8.Dgia'!A106,#REF!)+SUMIF(#REF!,'8.Dgia'!A106,#REF!)+SUMIF(#REF!,'8.Dgia'!A106,#REF!)</f>
        <v>#REF!</v>
      </c>
      <c r="O106" s="844">
        <f>+$H$108</f>
        <v>3</v>
      </c>
      <c r="P106" s="843" t="e">
        <f t="shared" si="4"/>
        <v>#REF!</v>
      </c>
    </row>
    <row r="107" spans="1:18" ht="15" customHeight="1">
      <c r="A107" s="657">
        <f>IF(B107="",MAX($A$8:A106)+0,MAX($A$8:A106)+1)</f>
        <v>11</v>
      </c>
      <c r="B107" s="835" t="str">
        <f>IF(C107="","",COUNTA($C$10:C108))</f>
        <v/>
      </c>
      <c r="C107" s="362"/>
      <c r="D107" s="851"/>
      <c r="E107" s="852" t="s">
        <v>419</v>
      </c>
      <c r="F107" s="848" t="str">
        <f>VLOOKUP(E107,DICH!B:C,2,FALSE)</f>
        <v>Gas</v>
      </c>
      <c r="G107" s="362" t="s">
        <v>558</v>
      </c>
      <c r="H107" s="847">
        <v>3.6</v>
      </c>
      <c r="I107" s="848">
        <f>VLOOKUP(E107,'11.gia '!$B:$I,8,FALSE)</f>
        <v>27575.757575757572</v>
      </c>
      <c r="J107" s="853">
        <f>I107*H107</f>
        <v>99272.727272727265</v>
      </c>
      <c r="N107" s="843" t="e">
        <f>SUMIF(#REF!,'8.Dgia'!A107,#REF!)+SUMIF(#REF!,'8.Dgia'!A107,#REF!)+SUMIF(#REF!,'8.Dgia'!A107,#REF!)+SUMIF(#REF!,'8.Dgia'!A107,#REF!)</f>
        <v>#REF!</v>
      </c>
      <c r="O107" s="844">
        <f>+$H$108</f>
        <v>3</v>
      </c>
      <c r="P107" s="843" t="e">
        <f t="shared" si="4"/>
        <v>#REF!</v>
      </c>
    </row>
    <row r="108" spans="1:18" ht="15" customHeight="1">
      <c r="A108" s="657">
        <f>IF(B108="",MAX($A$8:A107)+0,MAX($A$8:A107)+1)</f>
        <v>11</v>
      </c>
      <c r="B108" s="835" t="str">
        <f>IF(C108="","",COUNTA($C$10:C109))</f>
        <v/>
      </c>
      <c r="C108" s="362"/>
      <c r="D108" s="851"/>
      <c r="E108" s="852" t="s">
        <v>555</v>
      </c>
      <c r="F108" s="848" t="str">
        <f>VLOOKUP(E108,DICH!B:C,2,FALSE)</f>
        <v>Other material</v>
      </c>
      <c r="G108" s="362" t="s">
        <v>554</v>
      </c>
      <c r="H108" s="847">
        <v>3</v>
      </c>
      <c r="I108" s="848">
        <f>SUM(J103:J107)</f>
        <v>1405675.2695554593</v>
      </c>
      <c r="J108" s="853">
        <f>I108*H108%</f>
        <v>42170.25808666378</v>
      </c>
      <c r="N108" s="843" t="e">
        <f>SUMIF(#REF!,'8.Dgia'!A108,#REF!)+SUMIF(#REF!,'8.Dgia'!A108,#REF!)+SUMIF(#REF!,'8.Dgia'!A108,#REF!)+SUMIF(#REF!,'8.Dgia'!A108,#REF!)</f>
        <v>#REF!</v>
      </c>
      <c r="O108" s="844"/>
      <c r="P108" s="843" t="e">
        <f t="shared" si="4"/>
        <v>#REF!</v>
      </c>
    </row>
    <row r="109" spans="1:18" s="658" customFormat="1" ht="15" customHeight="1">
      <c r="A109" s="657">
        <f>IF(B109="",MAX($A$8:A108)+0,MAX($A$8:A108)+1)</f>
        <v>11</v>
      </c>
      <c r="B109" s="835" t="str">
        <f>IF(C109="","",COUNTA($C$10:C110))</f>
        <v/>
      </c>
      <c r="C109" s="362"/>
      <c r="D109" s="845"/>
      <c r="E109" s="852" t="s">
        <v>2039</v>
      </c>
      <c r="F109" s="848" t="str">
        <f>VLOOKUP(E109,DICH!B:C,2,FALSE)</f>
        <v xml:space="preserve">  B - Labour 4.0/7</v>
      </c>
      <c r="G109" s="362" t="s">
        <v>4899</v>
      </c>
      <c r="H109" s="847">
        <v>33.5</v>
      </c>
      <c r="I109" s="848">
        <f>VLOOKUP(E109,'16.NC'!$C$11:$F$22,4,FALSE)</f>
        <v>218927</v>
      </c>
      <c r="J109" s="849">
        <f>I109*H109</f>
        <v>7334054.5</v>
      </c>
      <c r="K109" s="850"/>
      <c r="L109" s="850"/>
      <c r="M109" s="850"/>
      <c r="N109" s="843" t="e">
        <f>SUMIF(#REF!,'8.Dgia'!A109,#REF!)+SUMIF(#REF!,'8.Dgia'!A109,#REF!)+SUMIF(#REF!,'8.Dgia'!A109,#REF!)+SUMIF(#REF!,'8.Dgia'!A109,#REF!)</f>
        <v>#REF!</v>
      </c>
      <c r="O109" s="844"/>
      <c r="P109" s="843" t="e">
        <f t="shared" si="4"/>
        <v>#REF!</v>
      </c>
      <c r="R109" s="658">
        <v>1</v>
      </c>
    </row>
    <row r="110" spans="1:18" s="658" customFormat="1" ht="15" customHeight="1">
      <c r="A110" s="657">
        <f>IF(B110="",MAX($A$8:A109)+0,MAX($A$8:A109)+1)</f>
        <v>11</v>
      </c>
      <c r="B110" s="835" t="str">
        <f>IF(C110="","",COUNTA($C$10:C111))</f>
        <v/>
      </c>
      <c r="C110" s="362"/>
      <c r="D110" s="845"/>
      <c r="E110" s="852" t="s">
        <v>2033</v>
      </c>
      <c r="F110" s="848" t="str">
        <f>VLOOKUP(E110,DICH!B:C,2,FALSE)</f>
        <v xml:space="preserve">  C - Machine</v>
      </c>
      <c r="G110" s="846"/>
      <c r="H110" s="847"/>
      <c r="I110" s="848"/>
      <c r="J110" s="849">
        <f>SUM(J111:J114)</f>
        <v>2630620.4670375003</v>
      </c>
      <c r="K110" s="850"/>
      <c r="L110" s="850"/>
      <c r="M110" s="850"/>
      <c r="N110" s="843" t="e">
        <f>SUMIF(#REF!,'8.Dgia'!A110,#REF!)+SUMIF(#REF!,'8.Dgia'!A110,#REF!)+SUMIF(#REF!,'8.Dgia'!A110,#REF!)+SUMIF(#REF!,'8.Dgia'!A110,#REF!)</f>
        <v>#REF!</v>
      </c>
      <c r="O110" s="844"/>
      <c r="P110" s="843" t="e">
        <f t="shared" si="4"/>
        <v>#REF!</v>
      </c>
    </row>
    <row r="111" spans="1:18" ht="15" customHeight="1">
      <c r="A111" s="657">
        <f>IF(B111="",MAX($A$8:A110)+0,MAX($A$8:A110)+1)</f>
        <v>11</v>
      </c>
      <c r="B111" s="835" t="str">
        <f>IF(C111="","",COUNTA($C$10:C112))</f>
        <v/>
      </c>
      <c r="C111" s="362"/>
      <c r="D111" s="851"/>
      <c r="E111" s="852" t="s">
        <v>560</v>
      </c>
      <c r="F111" s="848" t="str">
        <f>VLOOKUP(E111,'9.may'!E:F,2,FALSE)</f>
        <v>welding machine 23kW</v>
      </c>
      <c r="G111" s="362" t="s">
        <v>4902</v>
      </c>
      <c r="H111" s="847">
        <v>4.5</v>
      </c>
      <c r="I111" s="848">
        <f>VLOOKUP(E111,'9.may'!E:W,12,FALSE)</f>
        <v>171649.155</v>
      </c>
      <c r="J111" s="853">
        <f>I111*H111</f>
        <v>772421.19750000001</v>
      </c>
      <c r="N111" s="843" t="e">
        <f>SUMIF(#REF!,'8.Dgia'!A111,#REF!)+SUMIF(#REF!,'8.Dgia'!A111,#REF!)+SUMIF(#REF!,'8.Dgia'!A111,#REF!)+SUMIF(#REF!,'8.Dgia'!A111,#REF!)</f>
        <v>#REF!</v>
      </c>
      <c r="O111" s="844">
        <f>+$H$114</f>
        <v>1.5</v>
      </c>
      <c r="P111" s="843" t="e">
        <f t="shared" si="4"/>
        <v>#REF!</v>
      </c>
    </row>
    <row r="112" spans="1:18" ht="15" customHeight="1">
      <c r="A112" s="657">
        <f>IF(B112="",MAX($A$8:A111)+0,MAX($A$8:A111)+1)</f>
        <v>11</v>
      </c>
      <c r="B112" s="835" t="str">
        <f>IF(C112="","",COUNTA($C$10:C113))</f>
        <v/>
      </c>
      <c r="C112" s="362"/>
      <c r="D112" s="851"/>
      <c r="E112" s="852" t="s">
        <v>1424</v>
      </c>
      <c r="F112" s="848" t="str">
        <f>VLOOKUP(E112,'9.may'!E:F,2,FALSE)</f>
        <v>bender cutter 5Kw</v>
      </c>
      <c r="G112" s="362" t="s">
        <v>4902</v>
      </c>
      <c r="H112" s="847">
        <v>2.5</v>
      </c>
      <c r="I112" s="848">
        <f>VLOOKUP(E112,'9.may'!E:W,12,FALSE)</f>
        <v>80291.850000000006</v>
      </c>
      <c r="J112" s="853">
        <f>I112*H112</f>
        <v>200729.625</v>
      </c>
      <c r="N112" s="843" t="e">
        <f>SUMIF(#REF!,'8.Dgia'!A112,#REF!)+SUMIF(#REF!,'8.Dgia'!A112,#REF!)+SUMIF(#REF!,'8.Dgia'!A112,#REF!)+SUMIF(#REF!,'8.Dgia'!A112,#REF!)</f>
        <v>#REF!</v>
      </c>
      <c r="O112" s="844">
        <f>+$H$114</f>
        <v>1.5</v>
      </c>
      <c r="P112" s="843" t="e">
        <f t="shared" si="4"/>
        <v>#REF!</v>
      </c>
    </row>
    <row r="113" spans="1:18" ht="15" customHeight="1">
      <c r="A113" s="657">
        <f>IF(B113="",MAX($A$8:A112)+0,MAX($A$8:A112)+1)</f>
        <v>11</v>
      </c>
      <c r="B113" s="835" t="str">
        <f>IF(C113="","",COUNTA($C$10:C114))</f>
        <v/>
      </c>
      <c r="C113" s="362"/>
      <c r="D113" s="851"/>
      <c r="E113" s="852" t="s">
        <v>286</v>
      </c>
      <c r="F113" s="848" t="str">
        <f>VLOOKUP(E113,'9.may'!E:F,2,FALSE)</f>
        <v>tyre crane 16T</v>
      </c>
      <c r="G113" s="362" t="s">
        <v>4902</v>
      </c>
      <c r="H113" s="847">
        <v>0.8</v>
      </c>
      <c r="I113" s="848">
        <f>VLOOKUP(E113,'9.may'!E:W,12,FALSE)</f>
        <v>2023241.85</v>
      </c>
      <c r="J113" s="853">
        <f>I113*H113</f>
        <v>1618593.4800000002</v>
      </c>
      <c r="N113" s="843" t="e">
        <f>SUMIF(#REF!,'8.Dgia'!A113,#REF!)+SUMIF(#REF!,'8.Dgia'!A113,#REF!)+SUMIF(#REF!,'8.Dgia'!A113,#REF!)+SUMIF(#REF!,'8.Dgia'!A113,#REF!)</f>
        <v>#REF!</v>
      </c>
      <c r="O113" s="844">
        <f>+$H$114</f>
        <v>1.5</v>
      </c>
      <c r="P113" s="843" t="e">
        <f t="shared" si="4"/>
        <v>#REF!</v>
      </c>
    </row>
    <row r="114" spans="1:18" ht="15" customHeight="1">
      <c r="A114" s="657">
        <f>IF(B114="",MAX($A$8:A113)+0,MAX($A$8:A113)+1)</f>
        <v>11</v>
      </c>
      <c r="B114" s="835" t="str">
        <f>IF(C114="","",COUNTA($C$10:C115))</f>
        <v/>
      </c>
      <c r="C114" s="362"/>
      <c r="D114" s="851"/>
      <c r="E114" s="852" t="s">
        <v>553</v>
      </c>
      <c r="F114" s="848" t="str">
        <f>VLOOKUP(E114,DICH!B:C,2,FALSE)</f>
        <v>Other machine</v>
      </c>
      <c r="G114" s="362" t="s">
        <v>554</v>
      </c>
      <c r="H114" s="847">
        <v>1.5</v>
      </c>
      <c r="I114" s="848">
        <f>SUM(J111:J113)</f>
        <v>2591744.3025000002</v>
      </c>
      <c r="J114" s="853">
        <f>I114*H114%</f>
        <v>38876.164537500001</v>
      </c>
      <c r="N114" s="843" t="e">
        <f>SUMIF(#REF!,'8.Dgia'!A114,#REF!)+SUMIF(#REF!,'8.Dgia'!A114,#REF!)+SUMIF(#REF!,'8.Dgia'!A114,#REF!)+SUMIF(#REF!,'8.Dgia'!A114,#REF!)</f>
        <v>#REF!</v>
      </c>
      <c r="O114" s="844"/>
      <c r="P114" s="843" t="e">
        <f t="shared" si="4"/>
        <v>#REF!</v>
      </c>
    </row>
    <row r="115" spans="1:18" ht="15" customHeight="1">
      <c r="A115" s="657">
        <f>IF(B115="",MAX($A$8:A114)+0,MAX($A$8:A114)+1)</f>
        <v>12</v>
      </c>
      <c r="B115" s="835">
        <f>IF(C115="","",COUNTA($C$10:C116))</f>
        <v>12</v>
      </c>
      <c r="C115" s="1291">
        <f>IF(D115="","",1776)</f>
        <v>1776</v>
      </c>
      <c r="D115" s="1292" t="s">
        <v>5469</v>
      </c>
      <c r="E115" s="1224" t="s">
        <v>5610</v>
      </c>
      <c r="F115" s="1295" t="s">
        <v>4271</v>
      </c>
      <c r="G115" s="856" t="s">
        <v>544</v>
      </c>
      <c r="H115" s="1293"/>
      <c r="I115" s="848"/>
      <c r="J115" s="853"/>
      <c r="L115" s="842">
        <f>+J116</f>
        <v>10345962</v>
      </c>
      <c r="M115" s="842">
        <f>+J117</f>
        <v>19688888.541000001</v>
      </c>
      <c r="N115" s="843" t="e">
        <f>SUMIF(#REF!,'8.Dgia'!A115,#REF!)+SUMIF(#REF!,'8.Dgia'!A115,#REF!)+SUMIF(#REF!,'8.Dgia'!A115,#REF!)+SUMIF(#REF!,'8.Dgia'!A115,#REF!)</f>
        <v>#REF!</v>
      </c>
      <c r="O115" s="844"/>
      <c r="P115" s="843" t="e">
        <f t="shared" si="4"/>
        <v>#REF!</v>
      </c>
    </row>
    <row r="116" spans="1:18" s="658" customFormat="1" ht="15" customHeight="1">
      <c r="A116" s="657">
        <f>IF(B116="",MAX($A$8:A115)+0,MAX($A$8:A115)+1)</f>
        <v>12</v>
      </c>
      <c r="B116" s="835" t="str">
        <f>IF(C116="","",COUNTA($C$10:C117))</f>
        <v/>
      </c>
      <c r="C116" s="362"/>
      <c r="D116" s="845"/>
      <c r="E116" s="852" t="s">
        <v>2037</v>
      </c>
      <c r="F116" s="848" t="str">
        <f>VLOOKUP(E116,DICH!B:C,2,FALSE)</f>
        <v xml:space="preserve">  B - Labour 3.5/7</v>
      </c>
      <c r="G116" s="362" t="s">
        <v>4899</v>
      </c>
      <c r="H116" s="847">
        <v>51</v>
      </c>
      <c r="I116" s="848">
        <f>VLOOKUP(E116,'16.NC'!$C$11:$F$22,4,FALSE)</f>
        <v>202862</v>
      </c>
      <c r="J116" s="849">
        <f>I116*H116</f>
        <v>10345962</v>
      </c>
      <c r="K116" s="850"/>
      <c r="L116" s="850"/>
      <c r="M116" s="850"/>
      <c r="N116" s="843" t="e">
        <f>SUMIF(#REF!,'8.Dgia'!A116,#REF!)+SUMIF(#REF!,'8.Dgia'!A116,#REF!)+SUMIF(#REF!,'8.Dgia'!A116,#REF!)+SUMIF(#REF!,'8.Dgia'!A116,#REF!)</f>
        <v>#REF!</v>
      </c>
      <c r="O116" s="844"/>
      <c r="P116" s="843" t="e">
        <f t="shared" si="4"/>
        <v>#REF!</v>
      </c>
      <c r="R116" s="658">
        <v>1</v>
      </c>
    </row>
    <row r="117" spans="1:18" s="658" customFormat="1" ht="15" customHeight="1">
      <c r="A117" s="657">
        <f>IF(B117="",MAX($A$8:A116)+0,MAX($A$8:A116)+1)</f>
        <v>12</v>
      </c>
      <c r="B117" s="835" t="str">
        <f>IF(C117="","",COUNTA($C$10:C118))</f>
        <v/>
      </c>
      <c r="C117" s="362"/>
      <c r="D117" s="845"/>
      <c r="E117" s="852" t="s">
        <v>2033</v>
      </c>
      <c r="F117" s="848" t="str">
        <f>VLOOKUP(E117,DICH!B:C,2,FALSE)</f>
        <v xml:space="preserve">  C - Machine</v>
      </c>
      <c r="G117" s="846"/>
      <c r="H117" s="847"/>
      <c r="I117" s="848"/>
      <c r="J117" s="849">
        <f>SUM(J118)</f>
        <v>19688888.541000001</v>
      </c>
      <c r="K117" s="850"/>
      <c r="L117" s="850"/>
      <c r="M117" s="850"/>
      <c r="N117" s="843" t="e">
        <f>SUMIF(#REF!,'8.Dgia'!A117,#REF!)+SUMIF(#REF!,'8.Dgia'!A117,#REF!)+SUMIF(#REF!,'8.Dgia'!A117,#REF!)+SUMIF(#REF!,'8.Dgia'!A117,#REF!)</f>
        <v>#REF!</v>
      </c>
      <c r="O117" s="844"/>
      <c r="P117" s="843" t="e">
        <f t="shared" si="4"/>
        <v>#REF!</v>
      </c>
    </row>
    <row r="118" spans="1:18" ht="15" customHeight="1">
      <c r="A118" s="657">
        <f>IF(B118="",MAX($A$8:A117)+0,MAX($A$8:A117)+1)</f>
        <v>12</v>
      </c>
      <c r="B118" s="835" t="str">
        <f>IF(C118="","",COUNTA($C$10:C119))</f>
        <v/>
      </c>
      <c r="C118" s="362"/>
      <c r="D118" s="851"/>
      <c r="E118" s="852" t="s">
        <v>294</v>
      </c>
      <c r="F118" s="848" t="str">
        <f>VLOOKUP(E118,'9.may'!E:F,2,FALSE)</f>
        <v>avulsion excavator 1.25m3</v>
      </c>
      <c r="G118" s="362" t="s">
        <v>4902</v>
      </c>
      <c r="H118" s="847">
        <v>5.5</v>
      </c>
      <c r="I118" s="848">
        <f>VLOOKUP(E118,'9.may'!E:W,12,FALSE)</f>
        <v>3579797.9165454544</v>
      </c>
      <c r="J118" s="853">
        <f>I118*H118</f>
        <v>19688888.541000001</v>
      </c>
      <c r="N118" s="843" t="e">
        <f>SUMIF(#REF!,'8.Dgia'!A118,#REF!)+SUMIF(#REF!,'8.Dgia'!A118,#REF!)+SUMIF(#REF!,'8.Dgia'!A118,#REF!)+SUMIF(#REF!,'8.Dgia'!A118,#REF!)</f>
        <v>#REF!</v>
      </c>
      <c r="O118" s="844"/>
      <c r="P118" s="843" t="e">
        <f t="shared" si="4"/>
        <v>#REF!</v>
      </c>
    </row>
    <row r="119" spans="1:18" ht="15" customHeight="1">
      <c r="A119" s="657">
        <f>IF(B119="",MAX($A$8:A118)+0,MAX($A$8:A118)+1)</f>
        <v>13</v>
      </c>
      <c r="B119" s="835">
        <f>IF(C119="","",COUNTA($C$10:C120))</f>
        <v>13</v>
      </c>
      <c r="C119" s="835">
        <f>IF(D119="","",1776)</f>
        <v>1776</v>
      </c>
      <c r="D119" s="851" t="s">
        <v>331</v>
      </c>
      <c r="E119" s="855" t="s">
        <v>3960</v>
      </c>
      <c r="F119" s="1049" t="str">
        <f>VLOOKUP(E119,DICH!B:C,2,FALSE)</f>
        <v>Embanking soil (use capability)</v>
      </c>
      <c r="G119" s="856" t="s">
        <v>544</v>
      </c>
      <c r="H119" s="847"/>
      <c r="I119" s="848"/>
      <c r="J119" s="853"/>
      <c r="L119" s="842">
        <f>+J120</f>
        <v>2228676.86</v>
      </c>
      <c r="M119" s="842">
        <f>+J121</f>
        <v>566162.62078090908</v>
      </c>
      <c r="N119" s="843" t="e">
        <f>SUMIF(#REF!,'8.Dgia'!A119,#REF!)+SUMIF(#REF!,'8.Dgia'!A119,#REF!)+SUMIF(#REF!,'8.Dgia'!A119,#REF!)+SUMIF(#REF!,'8.Dgia'!A119,#REF!)</f>
        <v>#REF!</v>
      </c>
      <c r="O119" s="844"/>
      <c r="P119" s="843" t="e">
        <f t="shared" si="4"/>
        <v>#REF!</v>
      </c>
    </row>
    <row r="120" spans="1:18" s="658" customFormat="1" ht="15" customHeight="1">
      <c r="A120" s="657">
        <f>IF(B120="",MAX($A$8:A119)+0,MAX($A$8:A119)+1)</f>
        <v>13</v>
      </c>
      <c r="B120" s="835" t="str">
        <f>IF(C120="","",COUNTA($C$10:C121))</f>
        <v/>
      </c>
      <c r="C120" s="362"/>
      <c r="D120" s="845"/>
      <c r="E120" s="852" t="s">
        <v>2039</v>
      </c>
      <c r="F120" s="848" t="str">
        <f>VLOOKUP(E120,DICH!B:C,2,FALSE)</f>
        <v xml:space="preserve">  B - Labour 4.0/7</v>
      </c>
      <c r="G120" s="362" t="s">
        <v>4899</v>
      </c>
      <c r="H120" s="847">
        <v>10.18</v>
      </c>
      <c r="I120" s="848">
        <f>VLOOKUP(E120,'16.NC'!$C$11:$F$22,4,FALSE)</f>
        <v>218927</v>
      </c>
      <c r="J120" s="849">
        <f>I120*H120</f>
        <v>2228676.86</v>
      </c>
      <c r="K120" s="850"/>
      <c r="L120" s="850"/>
      <c r="M120" s="850"/>
      <c r="N120" s="843" t="e">
        <f>SUMIF(#REF!,'8.Dgia'!A120,#REF!)+SUMIF(#REF!,'8.Dgia'!A120,#REF!)+SUMIF(#REF!,'8.Dgia'!A120,#REF!)+SUMIF(#REF!,'8.Dgia'!A120,#REF!)</f>
        <v>#REF!</v>
      </c>
      <c r="O120" s="844"/>
      <c r="P120" s="843" t="e">
        <f t="shared" si="4"/>
        <v>#REF!</v>
      </c>
      <c r="R120" s="658">
        <v>1</v>
      </c>
    </row>
    <row r="121" spans="1:18" s="658" customFormat="1" ht="15" customHeight="1">
      <c r="A121" s="657">
        <f>IF(B121="",MAX($A$8:A120)+0,MAX($A$8:A120)+1)</f>
        <v>13</v>
      </c>
      <c r="B121" s="835" t="str">
        <f>IF(C121="","",COUNTA($C$10:C122))</f>
        <v/>
      </c>
      <c r="C121" s="362"/>
      <c r="D121" s="845"/>
      <c r="E121" s="852" t="s">
        <v>2033</v>
      </c>
      <c r="F121" s="848" t="str">
        <f>VLOOKUP(E121,DICH!B:C,2,FALSE)</f>
        <v xml:space="preserve">  C - Machine</v>
      </c>
      <c r="G121" s="846"/>
      <c r="H121" s="847"/>
      <c r="I121" s="848"/>
      <c r="J121" s="849">
        <f>SUM(J122:J122)</f>
        <v>566162.62078090908</v>
      </c>
      <c r="K121" s="850"/>
      <c r="L121" s="850"/>
      <c r="M121" s="850"/>
      <c r="N121" s="843" t="e">
        <f>SUMIF(#REF!,'8.Dgia'!A121,#REF!)+SUMIF(#REF!,'8.Dgia'!A121,#REF!)+SUMIF(#REF!,'8.Dgia'!A121,#REF!)+SUMIF(#REF!,'8.Dgia'!A121,#REF!)</f>
        <v>#REF!</v>
      </c>
      <c r="O121" s="844"/>
      <c r="P121" s="843" t="e">
        <f t="shared" si="4"/>
        <v>#REF!</v>
      </c>
    </row>
    <row r="122" spans="1:18" ht="15" customHeight="1">
      <c r="A122" s="657">
        <f>IF(B122="",MAX($A$8:A121)+0,MAX($A$8:A121)+1)</f>
        <v>13</v>
      </c>
      <c r="B122" s="835" t="str">
        <f>IF(C122="","",COUNTA($C$10:C123))</f>
        <v/>
      </c>
      <c r="C122" s="362"/>
      <c r="D122" s="851"/>
      <c r="E122" s="852" t="s">
        <v>332</v>
      </c>
      <c r="F122" s="848" t="str">
        <f>VLOOKUP(E122,'9.may'!E:F,2,FALSE)</f>
        <v>tamping rammer</v>
      </c>
      <c r="G122" s="362" t="s">
        <v>4902</v>
      </c>
      <c r="H122" s="847">
        <v>5.09</v>
      </c>
      <c r="I122" s="848">
        <f>VLOOKUP(E122,'9.may'!E:W,12,FALSE)</f>
        <v>111230.37736363636</v>
      </c>
      <c r="J122" s="853">
        <f>I122*H122</f>
        <v>566162.62078090908</v>
      </c>
      <c r="N122" s="843" t="e">
        <f>SUMIF(#REF!,'8.Dgia'!A122,#REF!)+SUMIF(#REF!,'8.Dgia'!A122,#REF!)+SUMIF(#REF!,'8.Dgia'!A122,#REF!)+SUMIF(#REF!,'8.Dgia'!A122,#REF!)</f>
        <v>#REF!</v>
      </c>
      <c r="O122" s="844"/>
      <c r="P122" s="843" t="e">
        <f t="shared" si="4"/>
        <v>#REF!</v>
      </c>
    </row>
    <row r="123" spans="1:18" ht="15" customHeight="1">
      <c r="A123" s="657">
        <f>IF(B123="",MAX($A$8:A122)+0,MAX($A$8:A122)+1)</f>
        <v>14</v>
      </c>
      <c r="B123" s="835">
        <f>IF(C123="","",COUNTA($C$10:C124))</f>
        <v>14</v>
      </c>
      <c r="C123" s="835">
        <f>IF(D123="","",1776)</f>
        <v>1776</v>
      </c>
      <c r="D123" s="851" t="s">
        <v>3654</v>
      </c>
      <c r="E123" s="855" t="s">
        <v>110</v>
      </c>
      <c r="F123" s="1049" t="str">
        <f>VLOOKUP(E123,DICH!B:C,2,FALSE)</f>
        <v>Embanking soil</v>
      </c>
      <c r="G123" s="856" t="s">
        <v>544</v>
      </c>
      <c r="H123" s="847"/>
      <c r="I123" s="848"/>
      <c r="J123" s="853"/>
      <c r="L123" s="842">
        <f>+J124</f>
        <v>325026.77999999997</v>
      </c>
      <c r="M123" s="842">
        <f>+J125</f>
        <v>1118914.985449227</v>
      </c>
      <c r="N123" s="843" t="e">
        <f>SUMIF(#REF!,'8.Dgia'!A123,#REF!)+SUMIF(#REF!,'8.Dgia'!A123,#REF!)+SUMIF(#REF!,'8.Dgia'!A123,#REF!)+SUMIF(#REF!,'8.Dgia'!A123,#REF!)</f>
        <v>#REF!</v>
      </c>
      <c r="O123" s="844"/>
      <c r="P123" s="843" t="e">
        <f t="shared" si="4"/>
        <v>#REF!</v>
      </c>
    </row>
    <row r="124" spans="1:18" s="658" customFormat="1" ht="15" customHeight="1">
      <c r="A124" s="657">
        <f>IF(B124="",MAX($A$8:A123)+0,MAX($A$8:A123)+1)</f>
        <v>14</v>
      </c>
      <c r="B124" s="835" t="str">
        <f>IF(C124="","",COUNTA($C$10:C125))</f>
        <v/>
      </c>
      <c r="C124" s="362"/>
      <c r="D124" s="845"/>
      <c r="E124" s="852" t="s">
        <v>2038</v>
      </c>
      <c r="F124" s="848" t="str">
        <f>VLOOKUP(E124,DICH!B:C,2,FALSE)</f>
        <v xml:space="preserve">  B - Labour 3.0/7</v>
      </c>
      <c r="G124" s="362" t="s">
        <v>4899</v>
      </c>
      <c r="H124" s="847">
        <v>1.74</v>
      </c>
      <c r="I124" s="848">
        <f>VLOOKUP(E124,'16.NC'!$C$11:$F$22,4,FALSE)</f>
        <v>186797</v>
      </c>
      <c r="J124" s="849">
        <f>I124*H124</f>
        <v>325026.77999999997</v>
      </c>
      <c r="K124" s="850"/>
      <c r="L124" s="850"/>
      <c r="M124" s="850"/>
      <c r="N124" s="843" t="e">
        <f>SUMIF(#REF!,'8.Dgia'!A124,#REF!)+SUMIF(#REF!,'8.Dgia'!A124,#REF!)+SUMIF(#REF!,'8.Dgia'!A124,#REF!)+SUMIF(#REF!,'8.Dgia'!A124,#REF!)</f>
        <v>#REF!</v>
      </c>
      <c r="O124" s="844"/>
      <c r="P124" s="843" t="e">
        <f t="shared" si="4"/>
        <v>#REF!</v>
      </c>
      <c r="R124" s="658">
        <v>1</v>
      </c>
    </row>
    <row r="125" spans="1:18" s="658" customFormat="1" ht="15" customHeight="1">
      <c r="A125" s="657">
        <f>IF(B125="",MAX($A$8:A124)+0,MAX($A$8:A124)+1)</f>
        <v>14</v>
      </c>
      <c r="B125" s="835" t="str">
        <f>IF(C125="","",COUNTA($C$10:C126))</f>
        <v/>
      </c>
      <c r="C125" s="362"/>
      <c r="D125" s="845"/>
      <c r="E125" s="852" t="s">
        <v>2033</v>
      </c>
      <c r="F125" s="848" t="str">
        <f>VLOOKUP(E125,DICH!B:C,2,FALSE)</f>
        <v xml:space="preserve">  C - Machine</v>
      </c>
      <c r="G125" s="846"/>
      <c r="H125" s="847"/>
      <c r="I125" s="848"/>
      <c r="J125" s="849">
        <f>SUM(J126:J128)</f>
        <v>1118914.985449227</v>
      </c>
      <c r="K125" s="850"/>
      <c r="L125" s="850"/>
      <c r="M125" s="850"/>
      <c r="N125" s="843" t="e">
        <f>SUMIF(#REF!,'8.Dgia'!A125,#REF!)+SUMIF(#REF!,'8.Dgia'!A125,#REF!)+SUMIF(#REF!,'8.Dgia'!A125,#REF!)+SUMIF(#REF!,'8.Dgia'!A125,#REF!)</f>
        <v>#REF!</v>
      </c>
      <c r="O125" s="844"/>
      <c r="P125" s="843" t="e">
        <f t="shared" si="4"/>
        <v>#REF!</v>
      </c>
    </row>
    <row r="126" spans="1:18" ht="15" customHeight="1">
      <c r="A126" s="657">
        <f>IF(B126="",MAX($A$8:A125)+0,MAX($A$8:A125)+1)</f>
        <v>14</v>
      </c>
      <c r="B126" s="835" t="str">
        <f>IF(C126="","",COUNTA($C$10:C127))</f>
        <v/>
      </c>
      <c r="C126" s="362"/>
      <c r="D126" s="851"/>
      <c r="E126" s="852" t="s">
        <v>449</v>
      </c>
      <c r="F126" s="848" t="str">
        <f>VLOOKUP(E126,'9.may'!E:F,2,FALSE)</f>
        <v>pneumatic roller 9T</v>
      </c>
      <c r="G126" s="362" t="s">
        <v>4902</v>
      </c>
      <c r="H126" s="847">
        <v>0.42</v>
      </c>
      <c r="I126" s="848">
        <f>VLOOKUP(E126,'9.may'!E:W,12,FALSE)</f>
        <v>1644996.0845454545</v>
      </c>
      <c r="J126" s="853">
        <f>I126*H126</f>
        <v>690898.35550909082</v>
      </c>
      <c r="N126" s="843" t="e">
        <f>SUMIF(#REF!,'8.Dgia'!A126,#REF!)+SUMIF(#REF!,'8.Dgia'!A126,#REF!)+SUMIF(#REF!,'8.Dgia'!A126,#REF!)+SUMIF(#REF!,'8.Dgia'!A126,#REF!)</f>
        <v>#REF!</v>
      </c>
      <c r="O126" s="844">
        <v>1.5</v>
      </c>
      <c r="P126" s="843" t="e">
        <f t="shared" si="4"/>
        <v>#REF!</v>
      </c>
    </row>
    <row r="127" spans="1:18" ht="15" customHeight="1">
      <c r="A127" s="657">
        <f>IF(B127="",MAX($A$8:A126)+0,MAX($A$8:A126)+1)</f>
        <v>14</v>
      </c>
      <c r="B127" s="835" t="str">
        <f>IF(C127="","",COUNTA($C$10:C128))</f>
        <v/>
      </c>
      <c r="C127" s="362"/>
      <c r="D127" s="362"/>
      <c r="E127" s="852" t="s">
        <v>624</v>
      </c>
      <c r="F127" s="848" t="str">
        <f>VLOOKUP(E127,'9.may'!E:F,2,FALSE)</f>
        <v>bulldozer 108CV</v>
      </c>
      <c r="G127" s="905" t="s">
        <v>4902</v>
      </c>
      <c r="H127" s="905">
        <v>0.21</v>
      </c>
      <c r="I127" s="848">
        <f>VLOOKUP(E127,'9.may'!E:W,12,FALSE)</f>
        <v>1959433.0499999998</v>
      </c>
      <c r="J127" s="853">
        <f>I127*H127</f>
        <v>411480.94049999997</v>
      </c>
      <c r="N127" s="843" t="e">
        <f>SUMIF(#REF!,'8.Dgia'!A127,#REF!)+SUMIF(#REF!,'8.Dgia'!A127,#REF!)+SUMIF(#REF!,'8.Dgia'!A127,#REF!)+SUMIF(#REF!,'8.Dgia'!A127,#REF!)</f>
        <v>#REF!</v>
      </c>
      <c r="O127" s="844">
        <v>1.5</v>
      </c>
      <c r="P127" s="843" t="e">
        <f t="shared" si="4"/>
        <v>#REF!</v>
      </c>
    </row>
    <row r="128" spans="1:18" ht="15" customHeight="1">
      <c r="A128" s="657">
        <f>IF(B128="",MAX($A$8:A127)+0,MAX($A$8:A127)+1)</f>
        <v>14</v>
      </c>
      <c r="B128" s="835" t="str">
        <f>IF(C128="","",COUNTA($C$10:C129))</f>
        <v/>
      </c>
      <c r="C128" s="362"/>
      <c r="D128" s="362"/>
      <c r="E128" s="852" t="s">
        <v>553</v>
      </c>
      <c r="F128" s="848" t="str">
        <f>VLOOKUP(E128,DICH!B:C,2,FALSE)</f>
        <v>Other machine</v>
      </c>
      <c r="G128" s="362" t="s">
        <v>554</v>
      </c>
      <c r="H128" s="905">
        <v>1.5</v>
      </c>
      <c r="I128" s="848">
        <f>SUM(J126:J127)</f>
        <v>1102379.2960090907</v>
      </c>
      <c r="J128" s="853">
        <f>I128*H128%</f>
        <v>16535.689440136361</v>
      </c>
      <c r="N128" s="843" t="e">
        <f>SUMIF(#REF!,'8.Dgia'!A128,#REF!)+SUMIF(#REF!,'8.Dgia'!A128,#REF!)+SUMIF(#REF!,'8.Dgia'!A128,#REF!)+SUMIF(#REF!,'8.Dgia'!A128,#REF!)</f>
        <v>#REF!</v>
      </c>
      <c r="O128" s="844">
        <v>1.5</v>
      </c>
      <c r="P128" s="843" t="e">
        <f t="shared" si="4"/>
        <v>#REF!</v>
      </c>
    </row>
    <row r="129" spans="1:18" ht="15" customHeight="1">
      <c r="A129" s="657">
        <f>IF(B129="",MAX($A$8:A128)+0,MAX($A$8:A128)+1)</f>
        <v>15</v>
      </c>
      <c r="B129" s="835">
        <f>IF(C129="","",COUNTA($C$10:C130))</f>
        <v>15</v>
      </c>
      <c r="C129" s="835">
        <f>IF(D129="","",1776)</f>
        <v>1776</v>
      </c>
      <c r="D129" s="851" t="s">
        <v>3908</v>
      </c>
      <c r="E129" s="855" t="s">
        <v>5153</v>
      </c>
      <c r="F129" s="1049" t="s">
        <v>5154</v>
      </c>
      <c r="G129" s="856" t="s">
        <v>544</v>
      </c>
      <c r="H129" s="847"/>
      <c r="I129" s="848"/>
      <c r="J129" s="853"/>
      <c r="K129" s="842">
        <f>J130</f>
        <v>7181168.8370184023</v>
      </c>
      <c r="L129" s="842">
        <f>+J132</f>
        <v>325026.77999999997</v>
      </c>
      <c r="M129" s="842">
        <f>+J133</f>
        <v>799224.98960659083</v>
      </c>
      <c r="N129" s="843" t="e">
        <f>SUMIF(#REF!,'8.Dgia'!A129,#REF!)+SUMIF(#REF!,'8.Dgia'!A129,#REF!)+SUMIF(#REF!,'8.Dgia'!A129,#REF!)+SUMIF(#REF!,'8.Dgia'!A129,#REF!)</f>
        <v>#REF!</v>
      </c>
      <c r="O129" s="844"/>
      <c r="P129" s="843" t="e">
        <f t="shared" ref="P129:P136" si="5">$H129*N129*(1+O129%)</f>
        <v>#REF!</v>
      </c>
    </row>
    <row r="130" spans="1:18" ht="15" customHeight="1">
      <c r="A130" s="657">
        <f>IF(B130="",MAX($A$8:A129)+0,MAX($A$8:A129)+1)</f>
        <v>15</v>
      </c>
      <c r="B130" s="835" t="str">
        <f>IF(C130="","",COUNTA($C$10:C131))</f>
        <v/>
      </c>
      <c r="C130" s="362"/>
      <c r="D130" s="362"/>
      <c r="E130" s="852" t="s">
        <v>2032</v>
      </c>
      <c r="F130" s="848" t="str">
        <f>VLOOKUP(E130,DICH!B:C,2,FALSE)</f>
        <v xml:space="preserve">  A - Material</v>
      </c>
      <c r="G130" s="882"/>
      <c r="H130" s="847"/>
      <c r="I130" s="848"/>
      <c r="J130" s="849">
        <f>+J131</f>
        <v>7181168.8370184023</v>
      </c>
      <c r="N130" s="843" t="e">
        <f>SUMIF(#REF!,'8.Dgia'!A130,#REF!)+SUMIF(#REF!,'8.Dgia'!A130,#REF!)+SUMIF(#REF!,'8.Dgia'!A130,#REF!)+SUMIF(#REF!,'8.Dgia'!A130,#REF!)</f>
        <v>#REF!</v>
      </c>
      <c r="O130" s="844"/>
      <c r="P130" s="843" t="e">
        <f t="shared" si="5"/>
        <v>#REF!</v>
      </c>
    </row>
    <row r="131" spans="1:18" ht="15" customHeight="1">
      <c r="A131" s="657">
        <f>IF(B131="",MAX($A$8:A130)+0,MAX($A$8:A130)+1)</f>
        <v>15</v>
      </c>
      <c r="B131" s="835" t="str">
        <f>IF(C131="","",COUNTA($C$10:C132))</f>
        <v/>
      </c>
      <c r="C131" s="362"/>
      <c r="D131" s="1011"/>
      <c r="E131" s="852" t="s">
        <v>383</v>
      </c>
      <c r="F131" s="848" t="str">
        <f>VLOOKUP(E131,DICH!B:C,2,FALSE)</f>
        <v>Clay</v>
      </c>
      <c r="G131" s="883" t="s">
        <v>545</v>
      </c>
      <c r="H131" s="1001">
        <f>100*1.1</f>
        <v>110.00000000000001</v>
      </c>
      <c r="I131" s="848">
        <f>VLOOKUP(E131,'11.gia '!$B:$I,8,FALSE)</f>
        <v>65283.353063803646</v>
      </c>
      <c r="J131" s="853">
        <f>I131*H131</f>
        <v>7181168.8370184023</v>
      </c>
      <c r="N131" s="843" t="e">
        <f>SUMIF(#REF!,'8.Dgia'!A131,#REF!)+SUMIF(#REF!,'8.Dgia'!A131,#REF!)+SUMIF(#REF!,'8.Dgia'!A131,#REF!)+SUMIF(#REF!,'8.Dgia'!A131,#REF!)</f>
        <v>#REF!</v>
      </c>
      <c r="O131" s="844"/>
      <c r="P131" s="843" t="e">
        <f t="shared" si="5"/>
        <v>#REF!</v>
      </c>
    </row>
    <row r="132" spans="1:18" s="658" customFormat="1" ht="15" customHeight="1">
      <c r="A132" s="657">
        <f>IF(B132="",MAX($A$8:A131)+0,MAX($A$8:A131)+1)</f>
        <v>15</v>
      </c>
      <c r="B132" s="835" t="str">
        <f>IF(C132="","",COUNTA($C$10:C133))</f>
        <v/>
      </c>
      <c r="C132" s="362"/>
      <c r="D132" s="845"/>
      <c r="E132" s="852" t="s">
        <v>2038</v>
      </c>
      <c r="F132" s="848" t="str">
        <f>VLOOKUP(E132,DICH!B:C,2,FALSE)</f>
        <v xml:space="preserve">  B - Labour 3.0/7</v>
      </c>
      <c r="G132" s="362" t="s">
        <v>4899</v>
      </c>
      <c r="H132" s="847">
        <v>1.74</v>
      </c>
      <c r="I132" s="848">
        <f>VLOOKUP(E132,'16.NC'!$C$11:$F$22,4,FALSE)</f>
        <v>186797</v>
      </c>
      <c r="J132" s="849">
        <f>I132*H132</f>
        <v>325026.77999999997</v>
      </c>
      <c r="K132" s="850"/>
      <c r="L132" s="850"/>
      <c r="M132" s="850"/>
      <c r="N132" s="843" t="e">
        <f>SUMIF(#REF!,'8.Dgia'!A132,#REF!)+SUMIF(#REF!,'8.Dgia'!A132,#REF!)+SUMIF(#REF!,'8.Dgia'!A132,#REF!)+SUMIF(#REF!,'8.Dgia'!A132,#REF!)</f>
        <v>#REF!</v>
      </c>
      <c r="O132" s="844"/>
      <c r="P132" s="843" t="e">
        <f t="shared" si="5"/>
        <v>#REF!</v>
      </c>
      <c r="R132" s="658">
        <v>1</v>
      </c>
    </row>
    <row r="133" spans="1:18" s="658" customFormat="1" ht="15" customHeight="1">
      <c r="A133" s="657">
        <f>IF(B133="",MAX($A$8:A132)+0,MAX($A$8:A132)+1)</f>
        <v>15</v>
      </c>
      <c r="B133" s="835" t="str">
        <f>IF(C133="","",COUNTA($C$10:C134))</f>
        <v/>
      </c>
      <c r="C133" s="362"/>
      <c r="D133" s="845"/>
      <c r="E133" s="852" t="s">
        <v>2033</v>
      </c>
      <c r="F133" s="848" t="str">
        <f>VLOOKUP(E133,DICH!B:C,2,FALSE)</f>
        <v xml:space="preserve">  C - Machine</v>
      </c>
      <c r="G133" s="846"/>
      <c r="H133" s="847"/>
      <c r="I133" s="848"/>
      <c r="J133" s="849">
        <f>SUM(J134:J136)</f>
        <v>799224.98960659083</v>
      </c>
      <c r="K133" s="850"/>
      <c r="L133" s="850"/>
      <c r="M133" s="850"/>
      <c r="N133" s="843" t="e">
        <f>SUMIF(#REF!,'8.Dgia'!A133,#REF!)+SUMIF(#REF!,'8.Dgia'!A133,#REF!)+SUMIF(#REF!,'8.Dgia'!A133,#REF!)+SUMIF(#REF!,'8.Dgia'!A133,#REF!)</f>
        <v>#REF!</v>
      </c>
      <c r="O133" s="844"/>
      <c r="P133" s="843" t="e">
        <f t="shared" si="5"/>
        <v>#REF!</v>
      </c>
    </row>
    <row r="134" spans="1:18" ht="15" customHeight="1">
      <c r="A134" s="657">
        <f>IF(B134="",MAX($A$8:A133)+0,MAX($A$8:A133)+1)</f>
        <v>15</v>
      </c>
      <c r="B134" s="835" t="str">
        <f>IF(C134="","",COUNTA($C$10:C135))</f>
        <v/>
      </c>
      <c r="C134" s="362"/>
      <c r="D134" s="851"/>
      <c r="E134" s="852" t="s">
        <v>449</v>
      </c>
      <c r="F134" s="848" t="str">
        <f>VLOOKUP(E134,'9.may'!E:F,2,FALSE)</f>
        <v>pneumatic roller 9T</v>
      </c>
      <c r="G134" s="362" t="s">
        <v>4902</v>
      </c>
      <c r="H134" s="847">
        <v>0.3</v>
      </c>
      <c r="I134" s="848">
        <f>VLOOKUP(E134,'9.may'!E:W,12,FALSE)</f>
        <v>1644996.0845454545</v>
      </c>
      <c r="J134" s="853">
        <f>I134*H134</f>
        <v>493498.82536363631</v>
      </c>
      <c r="N134" s="843" t="e">
        <f>SUMIF(#REF!,'8.Dgia'!A134,#REF!)+SUMIF(#REF!,'8.Dgia'!A134,#REF!)+SUMIF(#REF!,'8.Dgia'!A134,#REF!)+SUMIF(#REF!,'8.Dgia'!A134,#REF!)</f>
        <v>#REF!</v>
      </c>
      <c r="O134" s="844">
        <v>1.5</v>
      </c>
      <c r="P134" s="843" t="e">
        <f t="shared" si="5"/>
        <v>#REF!</v>
      </c>
    </row>
    <row r="135" spans="1:18" ht="15" customHeight="1">
      <c r="A135" s="657">
        <f>IF(B135="",MAX($A$8:A134)+0,MAX($A$8:A134)+1)</f>
        <v>15</v>
      </c>
      <c r="B135" s="835" t="str">
        <f>IF(C135="","",COUNTA($C$10:C136))</f>
        <v/>
      </c>
      <c r="C135" s="362"/>
      <c r="D135" s="362"/>
      <c r="E135" s="852" t="s">
        <v>624</v>
      </c>
      <c r="F135" s="848" t="str">
        <f>VLOOKUP(E135,'9.may'!E:F,2,FALSE)</f>
        <v>bulldozer 108CV</v>
      </c>
      <c r="G135" s="905" t="s">
        <v>4902</v>
      </c>
      <c r="H135" s="905">
        <v>0.15</v>
      </c>
      <c r="I135" s="848">
        <f>VLOOKUP(E135,'9.may'!E:W,12,FALSE)</f>
        <v>1959433.0499999998</v>
      </c>
      <c r="J135" s="853">
        <f>I135*H135</f>
        <v>293914.95749999996</v>
      </c>
      <c r="N135" s="843" t="e">
        <f>SUMIF(#REF!,'8.Dgia'!A135,#REF!)+SUMIF(#REF!,'8.Dgia'!A135,#REF!)+SUMIF(#REF!,'8.Dgia'!A135,#REF!)+SUMIF(#REF!,'8.Dgia'!A135,#REF!)</f>
        <v>#REF!</v>
      </c>
      <c r="O135" s="844">
        <v>1.5</v>
      </c>
      <c r="P135" s="843" t="e">
        <f t="shared" si="5"/>
        <v>#REF!</v>
      </c>
    </row>
    <row r="136" spans="1:18" ht="15" customHeight="1">
      <c r="A136" s="657">
        <f>IF(B136="",MAX($A$8:A135)+0,MAX($A$8:A135)+1)</f>
        <v>15</v>
      </c>
      <c r="B136" s="835" t="str">
        <f>IF(C136="","",COUNTA($C$10:C137))</f>
        <v/>
      </c>
      <c r="C136" s="362"/>
      <c r="D136" s="362"/>
      <c r="E136" s="852" t="s">
        <v>553</v>
      </c>
      <c r="F136" s="848" t="str">
        <f>VLOOKUP(E136,DICH!B:C,2,FALSE)</f>
        <v>Other machine</v>
      </c>
      <c r="G136" s="362" t="s">
        <v>554</v>
      </c>
      <c r="H136" s="905">
        <v>1.5</v>
      </c>
      <c r="I136" s="848">
        <f>SUM(J134:J135)</f>
        <v>787413.78286363627</v>
      </c>
      <c r="J136" s="853">
        <f>I136*H136%</f>
        <v>11811.206742954544</v>
      </c>
      <c r="N136" s="843" t="e">
        <f>SUMIF(#REF!,'8.Dgia'!A136,#REF!)+SUMIF(#REF!,'8.Dgia'!A136,#REF!)+SUMIF(#REF!,'8.Dgia'!A136,#REF!)+SUMIF(#REF!,'8.Dgia'!A136,#REF!)</f>
        <v>#REF!</v>
      </c>
      <c r="O136" s="844">
        <v>1.5</v>
      </c>
      <c r="P136" s="843" t="e">
        <f t="shared" si="5"/>
        <v>#REF!</v>
      </c>
    </row>
    <row r="137" spans="1:18" ht="15" customHeight="1">
      <c r="A137" s="657">
        <f>IF(B137="",MAX($A$8:A136)+0,MAX($A$8:A136)+1)</f>
        <v>16</v>
      </c>
      <c r="B137" s="835">
        <f>IF(C137="","",COUNTA($C$10:C138))</f>
        <v>16</v>
      </c>
      <c r="C137" s="835">
        <f>IF(D137="","",1776)</f>
        <v>1776</v>
      </c>
      <c r="D137" s="851" t="s">
        <v>421</v>
      </c>
      <c r="E137" s="855" t="s">
        <v>706</v>
      </c>
      <c r="F137" s="1049" t="str">
        <f>VLOOKUP(E137,DICH!B:C,2,FALSE)</f>
        <v>Transporting soil</v>
      </c>
      <c r="G137" s="856" t="s">
        <v>544</v>
      </c>
      <c r="H137" s="847"/>
      <c r="I137" s="848"/>
      <c r="J137" s="853"/>
      <c r="L137" s="842">
        <f>+J138</f>
        <v>93398.5</v>
      </c>
      <c r="M137" s="842">
        <f>+J139</f>
        <v>668629.93399581814</v>
      </c>
      <c r="N137" s="843" t="e">
        <f>SUMIF(#REF!,'8.Dgia'!A137,#REF!)+SUMIF(#REF!,'8.Dgia'!A137,#REF!)+SUMIF(#REF!,'8.Dgia'!A137,#REF!)+SUMIF(#REF!,'8.Dgia'!A137,#REF!)</f>
        <v>#REF!</v>
      </c>
      <c r="O137" s="844"/>
      <c r="P137" s="843" t="e">
        <f t="shared" si="4"/>
        <v>#REF!</v>
      </c>
    </row>
    <row r="138" spans="1:18" s="658" customFormat="1" ht="15" customHeight="1">
      <c r="A138" s="657">
        <f>IF(B138="",MAX($A$8:A137)+0,MAX($A$8:A137)+1)</f>
        <v>16</v>
      </c>
      <c r="B138" s="835" t="str">
        <f>IF(C138="","",COUNTA($C$10:C139))</f>
        <v/>
      </c>
      <c r="C138" s="362"/>
      <c r="D138" s="845"/>
      <c r="E138" s="852" t="s">
        <v>2038</v>
      </c>
      <c r="F138" s="848" t="str">
        <f>VLOOKUP(E138,DICH!B:C,2,FALSE)</f>
        <v xml:space="preserve">  B - Labour 3.0/7</v>
      </c>
      <c r="G138" s="362" t="s">
        <v>4899</v>
      </c>
      <c r="H138" s="847">
        <v>0.5</v>
      </c>
      <c r="I138" s="848">
        <f>VLOOKUP(E138,'16.NC'!$C$11:$F$22,4,FALSE)</f>
        <v>186797</v>
      </c>
      <c r="J138" s="849">
        <f>I138*H138</f>
        <v>93398.5</v>
      </c>
      <c r="K138" s="850"/>
      <c r="L138" s="850"/>
      <c r="M138" s="850"/>
      <c r="N138" s="843" t="e">
        <f>SUMIF(#REF!,'8.Dgia'!A138,#REF!)+SUMIF(#REF!,'8.Dgia'!A138,#REF!)+SUMIF(#REF!,'8.Dgia'!A138,#REF!)+SUMIF(#REF!,'8.Dgia'!A138,#REF!)</f>
        <v>#REF!</v>
      </c>
      <c r="O138" s="844"/>
      <c r="P138" s="843" t="e">
        <f t="shared" si="4"/>
        <v>#REF!</v>
      </c>
      <c r="R138" s="658">
        <v>1</v>
      </c>
    </row>
    <row r="139" spans="1:18" s="658" customFormat="1" ht="15" customHeight="1">
      <c r="A139" s="657">
        <f>IF(B139="",MAX($A$8:A138)+0,MAX($A$8:A138)+1)</f>
        <v>16</v>
      </c>
      <c r="B139" s="835" t="str">
        <f>IF(C139="","",COUNTA($C$10:C140))</f>
        <v/>
      </c>
      <c r="C139" s="362"/>
      <c r="D139" s="845"/>
      <c r="E139" s="852" t="s">
        <v>2033</v>
      </c>
      <c r="F139" s="848" t="str">
        <f>VLOOKUP(E139,DICH!B:C,2,FALSE)</f>
        <v xml:space="preserve">  C - Machine</v>
      </c>
      <c r="G139" s="846"/>
      <c r="H139" s="847"/>
      <c r="I139" s="848"/>
      <c r="J139" s="849">
        <f>SUM(J140:J141)</f>
        <v>668629.93399581814</v>
      </c>
      <c r="K139" s="850"/>
      <c r="L139" s="850"/>
      <c r="M139" s="850"/>
      <c r="N139" s="843" t="e">
        <f>SUMIF(#REF!,'8.Dgia'!A139,#REF!)+SUMIF(#REF!,'8.Dgia'!A139,#REF!)+SUMIF(#REF!,'8.Dgia'!A139,#REF!)+SUMIF(#REF!,'8.Dgia'!A139,#REF!)</f>
        <v>#REF!</v>
      </c>
      <c r="O139" s="844"/>
      <c r="P139" s="843" t="e">
        <f t="shared" si="4"/>
        <v>#REF!</v>
      </c>
    </row>
    <row r="140" spans="1:18" ht="15" customHeight="1">
      <c r="A140" s="657">
        <f>IF(B140="",MAX($A$8:A139)+0,MAX($A$8:A139)+1)</f>
        <v>16</v>
      </c>
      <c r="B140" s="835" t="str">
        <f>IF(C140="","",COUNTA($C$10:C141))</f>
        <v/>
      </c>
      <c r="C140" s="362"/>
      <c r="D140" s="851"/>
      <c r="E140" s="852" t="s">
        <v>294</v>
      </c>
      <c r="F140" s="848" t="str">
        <f>VLOOKUP(E140,'9.may'!E:F,2,FALSE)</f>
        <v>avulsion excavator 1.25m3</v>
      </c>
      <c r="G140" s="362" t="s">
        <v>4902</v>
      </c>
      <c r="H140" s="847">
        <v>0.17199999999999999</v>
      </c>
      <c r="I140" s="848">
        <f>VLOOKUP(E140,'9.may'!E:W,12,FALSE)</f>
        <v>3579797.9165454544</v>
      </c>
      <c r="J140" s="853">
        <f>I140*H140</f>
        <v>615725.24164581811</v>
      </c>
      <c r="N140" s="843" t="e">
        <f>SUMIF(#REF!,'8.Dgia'!A140,#REF!)+SUMIF(#REF!,'8.Dgia'!A140,#REF!)+SUMIF(#REF!,'8.Dgia'!A140,#REF!)+SUMIF(#REF!,'8.Dgia'!A140,#REF!)</f>
        <v>#REF!</v>
      </c>
      <c r="O140" s="844"/>
      <c r="P140" s="843" t="e">
        <f t="shared" si="4"/>
        <v>#REF!</v>
      </c>
    </row>
    <row r="141" spans="1:18" ht="15" customHeight="1">
      <c r="A141" s="657">
        <f>IF(B141="",MAX($A$8:A140)+0,MAX($A$8:A140)+1)</f>
        <v>16</v>
      </c>
      <c r="B141" s="835" t="str">
        <f>IF(C141="","",COUNTA($C$10:C142))</f>
        <v/>
      </c>
      <c r="C141" s="362"/>
      <c r="D141" s="851"/>
      <c r="E141" s="852" t="s">
        <v>624</v>
      </c>
      <c r="F141" s="848" t="str">
        <f>VLOOKUP(E141,'9.may'!E:F,2,FALSE)</f>
        <v>bulldozer 108CV</v>
      </c>
      <c r="G141" s="362" t="s">
        <v>4902</v>
      </c>
      <c r="H141" s="847">
        <v>2.7E-2</v>
      </c>
      <c r="I141" s="848">
        <f>VLOOKUP(E141,'9.may'!E:W,12,FALSE)</f>
        <v>1959433.0499999998</v>
      </c>
      <c r="J141" s="853">
        <f>I141*H141</f>
        <v>52904.692349999998</v>
      </c>
      <c r="N141" s="843" t="e">
        <f>SUMIF(#REF!,'8.Dgia'!A141,#REF!)+SUMIF(#REF!,'8.Dgia'!A141,#REF!)+SUMIF(#REF!,'8.Dgia'!A141,#REF!)+SUMIF(#REF!,'8.Dgia'!A141,#REF!)</f>
        <v>#REF!</v>
      </c>
      <c r="O141" s="844"/>
      <c r="P141" s="843" t="e">
        <f t="shared" si="4"/>
        <v>#REF!</v>
      </c>
    </row>
    <row r="142" spans="1:18" ht="15" customHeight="1">
      <c r="A142" s="657">
        <f>IF(B142="",MAX($A$8:A141)+0,MAX($A$8:A141)+1)</f>
        <v>17</v>
      </c>
      <c r="B142" s="835">
        <f>IF(C142="","",COUNTA($C$10:C143))</f>
        <v>17</v>
      </c>
      <c r="C142" s="835">
        <f>IF(D142="","",1776)</f>
        <v>1776</v>
      </c>
      <c r="D142" s="851" t="s">
        <v>3479</v>
      </c>
      <c r="E142" s="855" t="s">
        <v>568</v>
      </c>
      <c r="F142" s="1049" t="str">
        <f>VLOOKUP(E142,DICH!B:C,2,FALSE)</f>
        <v>Non-shringkage mortar</v>
      </c>
      <c r="G142" s="856" t="s">
        <v>545</v>
      </c>
      <c r="H142" s="847"/>
      <c r="I142" s="848"/>
      <c r="J142" s="857"/>
      <c r="K142" s="842">
        <f>+J143</f>
        <v>24783663.333333336</v>
      </c>
      <c r="L142" s="842">
        <f>+J145</f>
        <v>739484.26666666672</v>
      </c>
      <c r="M142" s="842">
        <f>+J146</f>
        <v>11355.0656</v>
      </c>
      <c r="N142" s="843" t="e">
        <f>SUMIF(#REF!,'8.Dgia'!A142,#REF!)+SUMIF(#REF!,'8.Dgia'!A142,#REF!)+SUMIF(#REF!,'8.Dgia'!A142,#REF!)+SUMIF(#REF!,'8.Dgia'!A142,#REF!)</f>
        <v>#REF!</v>
      </c>
      <c r="O142" s="844"/>
      <c r="P142" s="843" t="e">
        <f t="shared" si="4"/>
        <v>#REF!</v>
      </c>
      <c r="Q142" s="657" t="s">
        <v>457</v>
      </c>
    </row>
    <row r="143" spans="1:18" s="658" customFormat="1" ht="15" customHeight="1">
      <c r="A143" s="657">
        <f>IF(B143="",MAX($A$8:A142)+0,MAX($A$8:A142)+1)</f>
        <v>17</v>
      </c>
      <c r="B143" s="835" t="str">
        <f>IF(C143="","",COUNTA($C$10:C144))</f>
        <v/>
      </c>
      <c r="C143" s="361"/>
      <c r="D143" s="362"/>
      <c r="E143" s="852" t="s">
        <v>2032</v>
      </c>
      <c r="F143" s="848" t="str">
        <f>VLOOKUP(E143,DICH!B:C,2,FALSE)</f>
        <v xml:space="preserve">  A - Material</v>
      </c>
      <c r="G143" s="846"/>
      <c r="H143" s="847"/>
      <c r="I143" s="848"/>
      <c r="J143" s="849">
        <f>SUM(J144:J144)</f>
        <v>24783663.333333336</v>
      </c>
      <c r="K143" s="850"/>
      <c r="L143" s="850"/>
      <c r="M143" s="850"/>
      <c r="N143" s="843" t="e">
        <f>SUMIF(#REF!,'8.Dgia'!A143,#REF!)+SUMIF(#REF!,'8.Dgia'!A143,#REF!)+SUMIF(#REF!,'8.Dgia'!A143,#REF!)+SUMIF(#REF!,'8.Dgia'!A143,#REF!)</f>
        <v>#REF!</v>
      </c>
      <c r="O143" s="844"/>
      <c r="P143" s="843" t="e">
        <f t="shared" si="4"/>
        <v>#REF!</v>
      </c>
      <c r="Q143" s="657" t="s">
        <v>457</v>
      </c>
    </row>
    <row r="144" spans="1:18" ht="15" customHeight="1">
      <c r="A144" s="657">
        <f>IF(B144="",MAX($A$8:A143)+0,MAX($A$8:A143)+1)</f>
        <v>17</v>
      </c>
      <c r="B144" s="835" t="str">
        <f>IF(C144="","",COUNTA($C$10:C145))</f>
        <v/>
      </c>
      <c r="C144" s="851"/>
      <c r="D144" s="851" t="str">
        <f>'10.PLV'!$C$112</f>
        <v>VD</v>
      </c>
      <c r="E144" s="852" t="str">
        <f>'10.PLV'!$D$112</f>
        <v>Vữa không co ngót</v>
      </c>
      <c r="F144" s="848" t="str">
        <f>VLOOKUP(E144,DICH!B:C,2,FALSE)</f>
        <v>Non-shringkage mortar</v>
      </c>
      <c r="G144" s="362" t="s">
        <v>545</v>
      </c>
      <c r="H144" s="859">
        <f>0.035/3*100</f>
        <v>1.1666666666666667</v>
      </c>
      <c r="I144" s="848">
        <f>VLOOKUP(E144,'11.gia '!B:I,8,FALSE)</f>
        <v>21243140</v>
      </c>
      <c r="J144" s="853">
        <f>I144*H144</f>
        <v>24783663.333333336</v>
      </c>
      <c r="N144" s="843" t="e">
        <f>SUMIF(#REF!,'8.Dgia'!A144,#REF!)+SUMIF(#REF!,'8.Dgia'!A144,#REF!)+SUMIF(#REF!,'8.Dgia'!A144,#REF!)+SUMIF(#REF!,'8.Dgia'!A144,#REF!)</f>
        <v>#REF!</v>
      </c>
      <c r="O144" s="844"/>
      <c r="P144" s="843" t="e">
        <f t="shared" si="4"/>
        <v>#REF!</v>
      </c>
      <c r="Q144" s="657" t="s">
        <v>457</v>
      </c>
    </row>
    <row r="145" spans="1:18" s="658" customFormat="1" ht="15" customHeight="1">
      <c r="A145" s="657">
        <f>IF(B145="",MAX($A$8:A144)+0,MAX($A$8:A144)+1)</f>
        <v>17</v>
      </c>
      <c r="B145" s="835" t="str">
        <f>IF(C145="","",COUNTA($C$10:C146))</f>
        <v/>
      </c>
      <c r="C145" s="860"/>
      <c r="D145" s="851"/>
      <c r="E145" s="852" t="s">
        <v>2041</v>
      </c>
      <c r="F145" s="848" t="str">
        <f>VLOOKUP(E145,DICH!B:C,2,FALSE)</f>
        <v xml:space="preserve">  B - Labour 3.7/7</v>
      </c>
      <c r="G145" s="362" t="s">
        <v>4899</v>
      </c>
      <c r="H145" s="859">
        <f>0.106/3*100</f>
        <v>3.5333333333333337</v>
      </c>
      <c r="I145" s="848">
        <f>VLOOKUP(E145,'16.NC'!$C$11:$F$22,4,FALSE)</f>
        <v>209288</v>
      </c>
      <c r="J145" s="849">
        <f>I145*H145</f>
        <v>739484.26666666672</v>
      </c>
      <c r="K145" s="850"/>
      <c r="L145" s="850"/>
      <c r="M145" s="850"/>
      <c r="N145" s="843" t="e">
        <f>SUMIF(#REF!,'8.Dgia'!A145,#REF!)+SUMIF(#REF!,'8.Dgia'!A145,#REF!)+SUMIF(#REF!,'8.Dgia'!A145,#REF!)+SUMIF(#REF!,'8.Dgia'!A145,#REF!)</f>
        <v>#REF!</v>
      </c>
      <c r="O145" s="844"/>
      <c r="P145" s="843" t="e">
        <f t="shared" si="4"/>
        <v>#REF!</v>
      </c>
      <c r="Q145" s="657" t="s">
        <v>457</v>
      </c>
      <c r="R145" s="658">
        <v>1</v>
      </c>
    </row>
    <row r="146" spans="1:18" s="658" customFormat="1" ht="15" customHeight="1">
      <c r="A146" s="657">
        <f>IF(B146="",MAX($A$8:A145)+0,MAX($A$8:A145)+1)</f>
        <v>17</v>
      </c>
      <c r="B146" s="835" t="str">
        <f>IF(C146="","",COUNTA($C$10:C147))</f>
        <v/>
      </c>
      <c r="C146" s="860"/>
      <c r="D146" s="851"/>
      <c r="E146" s="852" t="s">
        <v>2033</v>
      </c>
      <c r="F146" s="848" t="str">
        <f>VLOOKUP(E146,DICH!B:C,2,FALSE)</f>
        <v xml:space="preserve">  C - Machine</v>
      </c>
      <c r="G146" s="846"/>
      <c r="H146" s="859"/>
      <c r="I146" s="848"/>
      <c r="J146" s="849">
        <f>J147</f>
        <v>11355.0656</v>
      </c>
      <c r="K146" s="850"/>
      <c r="L146" s="850"/>
      <c r="M146" s="850"/>
      <c r="N146" s="843" t="e">
        <f>SUMIF(#REF!,'8.Dgia'!A146,#REF!)+SUMIF(#REF!,'8.Dgia'!A146,#REF!)+SUMIF(#REF!,'8.Dgia'!A146,#REF!)+SUMIF(#REF!,'8.Dgia'!A146,#REF!)</f>
        <v>#REF!</v>
      </c>
      <c r="O146" s="844"/>
      <c r="P146" s="843" t="e">
        <f t="shared" si="4"/>
        <v>#REF!</v>
      </c>
      <c r="Q146" s="657" t="s">
        <v>457</v>
      </c>
    </row>
    <row r="147" spans="1:18" ht="15" customHeight="1">
      <c r="A147" s="657">
        <f>IF(B147="",MAX($A$8:A146)+0,MAX($A$8:A146)+1)</f>
        <v>17</v>
      </c>
      <c r="B147" s="835" t="str">
        <f>IF(C147="","",COUNTA($C$10:C148))</f>
        <v/>
      </c>
      <c r="C147" s="861"/>
      <c r="D147" s="324"/>
      <c r="E147" s="852" t="s">
        <v>576</v>
      </c>
      <c r="F147" s="848" t="str">
        <f>VLOOKUP(E147,'9.may'!E:F,2,FALSE)</f>
        <v>mortar mixer 80L</v>
      </c>
      <c r="G147" s="362" t="s">
        <v>4902</v>
      </c>
      <c r="H147" s="859">
        <f>0.004/3*100</f>
        <v>0.13333333333333333</v>
      </c>
      <c r="I147" s="848">
        <f>VLOOKUP(E147,'9.may'!E:W,12,FALSE)</f>
        <v>85162.991999999998</v>
      </c>
      <c r="J147" s="853">
        <f>I147*H147</f>
        <v>11355.0656</v>
      </c>
      <c r="N147" s="843" t="e">
        <f>SUMIF(#REF!,'8.Dgia'!A147,#REF!)+SUMIF(#REF!,'8.Dgia'!A147,#REF!)+SUMIF(#REF!,'8.Dgia'!A147,#REF!)+SUMIF(#REF!,'8.Dgia'!A147,#REF!)</f>
        <v>#REF!</v>
      </c>
      <c r="O147" s="844"/>
      <c r="P147" s="843" t="e">
        <f t="shared" si="4"/>
        <v>#REF!</v>
      </c>
      <c r="Q147" s="657" t="s">
        <v>457</v>
      </c>
    </row>
    <row r="148" spans="1:18" ht="15" customHeight="1">
      <c r="A148" s="657">
        <f>IF(B148="",MAX($A$8:A147)+0,MAX($A$8:A147)+1)</f>
        <v>18</v>
      </c>
      <c r="B148" s="835">
        <f>IF(C148="","",COUNTA($C$10:C149))</f>
        <v>18</v>
      </c>
      <c r="C148" s="835">
        <f>IF(D148="","",1776)</f>
        <v>1776</v>
      </c>
      <c r="D148" s="851" t="s">
        <v>405</v>
      </c>
      <c r="E148" s="855" t="s">
        <v>2062</v>
      </c>
      <c r="F148" s="1049" t="str">
        <f>VLOOKUP(E148,DICH!B:C,2,FALSE)</f>
        <v>Product shaped steel, plate steel</v>
      </c>
      <c r="G148" s="856" t="s">
        <v>4644</v>
      </c>
      <c r="H148" s="847"/>
      <c r="I148" s="848"/>
      <c r="J148" s="853"/>
      <c r="K148" s="842">
        <f>+J149</f>
        <v>16345026.146260861</v>
      </c>
      <c r="L148" s="842">
        <f>+J157</f>
        <v>8301837.5</v>
      </c>
      <c r="M148" s="842">
        <f>+J158</f>
        <v>816316.44661049999</v>
      </c>
      <c r="N148" s="843" t="e">
        <f>SUMIF(#REF!,'8.Dgia'!A148,#REF!)+SUMIF(#REF!,'8.Dgia'!A148,#REF!)+SUMIF(#REF!,'8.Dgia'!A148,#REF!)+SUMIF(#REF!,'8.Dgia'!A148,#REF!)</f>
        <v>#REF!</v>
      </c>
      <c r="O148" s="844"/>
      <c r="P148" s="843" t="e">
        <f t="shared" si="4"/>
        <v>#REF!</v>
      </c>
    </row>
    <row r="149" spans="1:18" s="658" customFormat="1" ht="15" customHeight="1">
      <c r="A149" s="657">
        <f>IF(B149="",MAX($A$8:A148)+0,MAX($A$8:A148)+1)</f>
        <v>18</v>
      </c>
      <c r="B149" s="835" t="str">
        <f>IF(C149="","",COUNTA($C$10:C150))</f>
        <v/>
      </c>
      <c r="C149" s="362"/>
      <c r="D149" s="845"/>
      <c r="E149" s="852" t="s">
        <v>2032</v>
      </c>
      <c r="F149" s="848" t="str">
        <f>VLOOKUP(E149,DICH!B:C,2,FALSE)</f>
        <v xml:space="preserve">  A - Material</v>
      </c>
      <c r="G149" s="846"/>
      <c r="H149" s="847"/>
      <c r="I149" s="848"/>
      <c r="J149" s="849">
        <f>SUM(J150:J156)</f>
        <v>16345026.146260861</v>
      </c>
      <c r="K149" s="850"/>
      <c r="L149" s="850"/>
      <c r="M149" s="850"/>
      <c r="N149" s="843" t="e">
        <f>SUMIF(#REF!,'8.Dgia'!A149,#REF!)+SUMIF(#REF!,'8.Dgia'!A149,#REF!)+SUMIF(#REF!,'8.Dgia'!A149,#REF!)+SUMIF(#REF!,'8.Dgia'!A149,#REF!)</f>
        <v>#REF!</v>
      </c>
      <c r="O149" s="844"/>
      <c r="P149" s="843" t="e">
        <f t="shared" si="4"/>
        <v>#REF!</v>
      </c>
    </row>
    <row r="150" spans="1:18" ht="15" customHeight="1">
      <c r="A150" s="657">
        <f>IF(B150="",MAX($A$8:A149)+0,MAX($A$8:A149)+1)</f>
        <v>18</v>
      </c>
      <c r="B150" s="835" t="str">
        <f>IF(C150="","",COUNTA($C$10:C151))</f>
        <v/>
      </c>
      <c r="C150" s="362"/>
      <c r="D150" s="851"/>
      <c r="E150" s="852" t="s">
        <v>562</v>
      </c>
      <c r="F150" s="848" t="str">
        <f>VLOOKUP(E150,DICH!B:C,2,FALSE)</f>
        <v>Plate steel</v>
      </c>
      <c r="G150" s="362" t="s">
        <v>558</v>
      </c>
      <c r="H150" s="847">
        <v>825</v>
      </c>
      <c r="I150" s="848">
        <f>VLOOKUP(E150,'11.gia '!$B:$I,8,FALSE)</f>
        <v>12871.348287272725</v>
      </c>
      <c r="J150" s="853">
        <f t="shared" ref="J150:J155" si="6">I150*H150</f>
        <v>10618862.336999999</v>
      </c>
      <c r="N150" s="843" t="e">
        <f>SUMIF(#REF!,'8.Dgia'!A150,#REF!)+SUMIF(#REF!,'8.Dgia'!A150,#REF!)+SUMIF(#REF!,'8.Dgia'!A150,#REF!)+SUMIF(#REF!,'8.Dgia'!A150,#REF!)</f>
        <v>#REF!</v>
      </c>
      <c r="O150" s="844">
        <f t="shared" ref="O150:O155" si="7">+$H$156</f>
        <v>2.5</v>
      </c>
      <c r="P150" s="843" t="e">
        <f t="shared" si="4"/>
        <v>#REF!</v>
      </c>
    </row>
    <row r="151" spans="1:18" ht="15" customHeight="1">
      <c r="A151" s="657">
        <f>IF(B151="",MAX($A$8:A150)+0,MAX($A$8:A150)+1)</f>
        <v>18</v>
      </c>
      <c r="B151" s="835" t="str">
        <f>IF(C151="","",COUNTA($C$10:C152))</f>
        <v/>
      </c>
      <c r="C151" s="362"/>
      <c r="D151" s="851"/>
      <c r="E151" s="852" t="s">
        <v>671</v>
      </c>
      <c r="F151" s="848" t="str">
        <f>VLOOKUP(E151,DICH!B:C,2,FALSE)</f>
        <v>steel bar D&lt;=18</v>
      </c>
      <c r="G151" s="362" t="s">
        <v>558</v>
      </c>
      <c r="H151" s="847">
        <v>275.5</v>
      </c>
      <c r="I151" s="848">
        <f>VLOOKUP(E151,'11.gia '!$B:$I,8,FALSE)</f>
        <v>16604.075560000001</v>
      </c>
      <c r="J151" s="853">
        <f t="shared" si="6"/>
        <v>4574422.81678</v>
      </c>
      <c r="N151" s="843" t="e">
        <f>SUMIF(#REF!,'8.Dgia'!A151,#REF!)+SUMIF(#REF!,'8.Dgia'!A151,#REF!)+SUMIF(#REF!,'8.Dgia'!A151,#REF!)+SUMIF(#REF!,'8.Dgia'!A151,#REF!)</f>
        <v>#REF!</v>
      </c>
      <c r="O151" s="844">
        <f t="shared" si="7"/>
        <v>2.5</v>
      </c>
      <c r="P151" s="843" t="e">
        <f t="shared" si="4"/>
        <v>#REF!</v>
      </c>
    </row>
    <row r="152" spans="1:18" ht="15" customHeight="1">
      <c r="A152" s="657">
        <f>IF(B152="",MAX($A$8:A151)+0,MAX($A$8:A151)+1)</f>
        <v>18</v>
      </c>
      <c r="B152" s="835" t="str">
        <f>IF(C152="","",COUNTA($C$10:C153))</f>
        <v/>
      </c>
      <c r="C152" s="362"/>
      <c r="D152" s="851"/>
      <c r="E152" s="852" t="s">
        <v>564</v>
      </c>
      <c r="F152" s="848" t="str">
        <f>VLOOKUP(E152,DICH!B:C,2,FALSE)</f>
        <v>oxygen</v>
      </c>
      <c r="G152" s="362" t="s">
        <v>4647</v>
      </c>
      <c r="H152" s="847">
        <v>3.3</v>
      </c>
      <c r="I152" s="848">
        <f>VLOOKUP(E152,'11.gia '!$B:$I,8,FALSE)</f>
        <v>48000</v>
      </c>
      <c r="J152" s="853">
        <f t="shared" si="6"/>
        <v>158400</v>
      </c>
      <c r="N152" s="843" t="e">
        <f>SUMIF(#REF!,'8.Dgia'!A152,#REF!)+SUMIF(#REF!,'8.Dgia'!A152,#REF!)+SUMIF(#REF!,'8.Dgia'!A152,#REF!)+SUMIF(#REF!,'8.Dgia'!A152,#REF!)</f>
        <v>#REF!</v>
      </c>
      <c r="O152" s="844">
        <f t="shared" si="7"/>
        <v>2.5</v>
      </c>
      <c r="P152" s="843" t="e">
        <f t="shared" si="4"/>
        <v>#REF!</v>
      </c>
    </row>
    <row r="153" spans="1:18" ht="15" customHeight="1">
      <c r="A153" s="657">
        <f>IF(B153="",MAX($A$8:A152)+0,MAX($A$8:A152)+1)</f>
        <v>18</v>
      </c>
      <c r="B153" s="835" t="str">
        <f>IF(C153="","",COUNTA($C$10:C154))</f>
        <v/>
      </c>
      <c r="C153" s="362"/>
      <c r="D153" s="851"/>
      <c r="E153" s="852" t="s">
        <v>566</v>
      </c>
      <c r="F153" s="848" t="str">
        <f>VLOOKUP(E153,DICH!B:C,2,FALSE)</f>
        <v>Calcium carbide</v>
      </c>
      <c r="G153" s="362" t="s">
        <v>558</v>
      </c>
      <c r="H153" s="847">
        <v>14.8</v>
      </c>
      <c r="I153" s="848">
        <f>VLOOKUP(E153,'11.gia '!$B:$I,8,FALSE)</f>
        <v>14000</v>
      </c>
      <c r="J153" s="853">
        <f t="shared" si="6"/>
        <v>207200</v>
      </c>
      <c r="N153" s="843" t="e">
        <f>SUMIF(#REF!,'8.Dgia'!A153,#REF!)+SUMIF(#REF!,'8.Dgia'!A153,#REF!)+SUMIF(#REF!,'8.Dgia'!A153,#REF!)+SUMIF(#REF!,'8.Dgia'!A153,#REF!)</f>
        <v>#REF!</v>
      </c>
      <c r="O153" s="844">
        <f t="shared" si="7"/>
        <v>2.5</v>
      </c>
      <c r="P153" s="843" t="e">
        <f t="shared" si="4"/>
        <v>#REF!</v>
      </c>
    </row>
    <row r="154" spans="1:18" ht="15" customHeight="1">
      <c r="A154" s="657">
        <f>IF(B154="",MAX($A$8:A153)+0,MAX($A$8:A153)+1)</f>
        <v>18</v>
      </c>
      <c r="B154" s="835" t="str">
        <f>IF(C154="","",COUNTA($C$10:C155))</f>
        <v/>
      </c>
      <c r="C154" s="362"/>
      <c r="D154" s="851"/>
      <c r="E154" s="852" t="s">
        <v>406</v>
      </c>
      <c r="F154" s="848" t="str">
        <f>VLOOKUP(E154,DICH!B:C,2,FALSE)</f>
        <v xml:space="preserve">Grinding stone </v>
      </c>
      <c r="G154" s="362" t="s">
        <v>573</v>
      </c>
      <c r="H154" s="847">
        <v>0.7</v>
      </c>
      <c r="I154" s="848">
        <f>VLOOKUP(E154,'11.gia '!$B:$I,8,FALSE)</f>
        <v>25000</v>
      </c>
      <c r="J154" s="853">
        <f t="shared" si="6"/>
        <v>17500</v>
      </c>
      <c r="N154" s="843" t="e">
        <f>SUMIF(#REF!,'8.Dgia'!A154,#REF!)+SUMIF(#REF!,'8.Dgia'!A154,#REF!)+SUMIF(#REF!,'8.Dgia'!A154,#REF!)+SUMIF(#REF!,'8.Dgia'!A154,#REF!)</f>
        <v>#REF!</v>
      </c>
      <c r="O154" s="844">
        <f t="shared" si="7"/>
        <v>2.5</v>
      </c>
      <c r="P154" s="843" t="e">
        <f t="shared" si="4"/>
        <v>#REF!</v>
      </c>
    </row>
    <row r="155" spans="1:18" ht="15" customHeight="1">
      <c r="A155" s="657">
        <f>IF(B155="",MAX($A$8:A154)+0,MAX($A$8:A154)+1)</f>
        <v>18</v>
      </c>
      <c r="B155" s="835" t="str">
        <f>IF(C155="","",COUNTA($C$10:C156))</f>
        <v/>
      </c>
      <c r="C155" s="362"/>
      <c r="D155" s="851"/>
      <c r="E155" s="852" t="s">
        <v>559</v>
      </c>
      <c r="F155" s="848" t="str">
        <f>VLOOKUP(E155,DICH!B:C,2,FALSE)</f>
        <v>welding electrode</v>
      </c>
      <c r="G155" s="362" t="s">
        <v>558</v>
      </c>
      <c r="H155" s="847">
        <v>19.38</v>
      </c>
      <c r="I155" s="848">
        <f>VLOOKUP(E155,'11.gia '!$B:$I,8,FALSE)</f>
        <v>19090.909090909088</v>
      </c>
      <c r="J155" s="853">
        <f t="shared" si="6"/>
        <v>369981.81818181812</v>
      </c>
      <c r="N155" s="843" t="e">
        <f>SUMIF(#REF!,'8.Dgia'!A155,#REF!)+SUMIF(#REF!,'8.Dgia'!A155,#REF!)+SUMIF(#REF!,'8.Dgia'!A155,#REF!)+SUMIF(#REF!,'8.Dgia'!A155,#REF!)</f>
        <v>#REF!</v>
      </c>
      <c r="O155" s="844">
        <f t="shared" si="7"/>
        <v>2.5</v>
      </c>
      <c r="P155" s="843" t="e">
        <f t="shared" si="4"/>
        <v>#REF!</v>
      </c>
    </row>
    <row r="156" spans="1:18" ht="15" customHeight="1">
      <c r="A156" s="657">
        <f>IF(B156="",MAX($A$8:A155)+0,MAX($A$8:A155)+1)</f>
        <v>18</v>
      </c>
      <c r="B156" s="835" t="str">
        <f>IF(C156="","",COUNTA($C$10:C157))</f>
        <v/>
      </c>
      <c r="C156" s="362"/>
      <c r="D156" s="851"/>
      <c r="E156" s="852" t="s">
        <v>555</v>
      </c>
      <c r="F156" s="848" t="str">
        <f>VLOOKUP(E156,DICH!B:C,2,FALSE)</f>
        <v>Other material</v>
      </c>
      <c r="G156" s="362" t="s">
        <v>554</v>
      </c>
      <c r="H156" s="847">
        <v>2.5</v>
      </c>
      <c r="I156" s="848">
        <f>SUM(J150:J155)</f>
        <v>15946366.971961817</v>
      </c>
      <c r="J156" s="853">
        <f>I156*H156%</f>
        <v>398659.17429904547</v>
      </c>
      <c r="N156" s="843" t="e">
        <f>SUMIF(#REF!,'8.Dgia'!A156,#REF!)+SUMIF(#REF!,'8.Dgia'!A156,#REF!)+SUMIF(#REF!,'8.Dgia'!A156,#REF!)+SUMIF(#REF!,'8.Dgia'!A156,#REF!)</f>
        <v>#REF!</v>
      </c>
      <c r="O156" s="844"/>
      <c r="P156" s="843" t="e">
        <f t="shared" si="4"/>
        <v>#REF!</v>
      </c>
    </row>
    <row r="157" spans="1:18" s="658" customFormat="1" ht="15" customHeight="1">
      <c r="A157" s="657">
        <f>IF(B157="",MAX($A$8:A156)+0,MAX($A$8:A156)+1)</f>
        <v>18</v>
      </c>
      <c r="B157" s="835" t="str">
        <f>IF(C157="","",COUNTA($C$10:C158))</f>
        <v/>
      </c>
      <c r="C157" s="362"/>
      <c r="D157" s="845"/>
      <c r="E157" s="852" t="s">
        <v>2040</v>
      </c>
      <c r="F157" s="848" t="str">
        <f>VLOOKUP(E157,DICH!B:C,2,FALSE)</f>
        <v xml:space="preserve">  B - Labour 4.5/7</v>
      </c>
      <c r="G157" s="362" t="s">
        <v>4899</v>
      </c>
      <c r="H157" s="847">
        <v>34.9</v>
      </c>
      <c r="I157" s="848">
        <f>VLOOKUP(E157,'16.NC'!$C$11:$F$22,4,FALSE)</f>
        <v>237875</v>
      </c>
      <c r="J157" s="849">
        <f>I157*H157</f>
        <v>8301837.5</v>
      </c>
      <c r="K157" s="850"/>
      <c r="L157" s="850"/>
      <c r="M157" s="850"/>
      <c r="N157" s="843" t="e">
        <f>SUMIF(#REF!,'8.Dgia'!A157,#REF!)+SUMIF(#REF!,'8.Dgia'!A157,#REF!)+SUMIF(#REF!,'8.Dgia'!A157,#REF!)+SUMIF(#REF!,'8.Dgia'!A157,#REF!)</f>
        <v>#REF!</v>
      </c>
      <c r="O157" s="844"/>
      <c r="P157" s="843" t="e">
        <f t="shared" si="4"/>
        <v>#REF!</v>
      </c>
      <c r="R157" s="658">
        <v>1</v>
      </c>
    </row>
    <row r="158" spans="1:18" s="658" customFormat="1" ht="15" customHeight="1">
      <c r="A158" s="657">
        <f>IF(B158="",MAX($A$8:A157)+0,MAX($A$8:A157)+1)</f>
        <v>18</v>
      </c>
      <c r="B158" s="835" t="str">
        <f>IF(C158="","",COUNTA($C$10:C159))</f>
        <v/>
      </c>
      <c r="C158" s="362"/>
      <c r="D158" s="845"/>
      <c r="E158" s="852" t="s">
        <v>2033</v>
      </c>
      <c r="F158" s="848" t="str">
        <f>VLOOKUP(E158,DICH!B:C,2,FALSE)</f>
        <v xml:space="preserve">  C - Machine</v>
      </c>
      <c r="G158" s="846"/>
      <c r="H158" s="847"/>
      <c r="I158" s="848"/>
      <c r="J158" s="849">
        <f>SUM(J159:J162)</f>
        <v>816316.44661049999</v>
      </c>
      <c r="K158" s="850"/>
      <c r="L158" s="850"/>
      <c r="M158" s="850"/>
      <c r="N158" s="843" t="e">
        <f>SUMIF(#REF!,'8.Dgia'!A158,#REF!)+SUMIF(#REF!,'8.Dgia'!A158,#REF!)+SUMIF(#REF!,'8.Dgia'!A158,#REF!)+SUMIF(#REF!,'8.Dgia'!A158,#REF!)</f>
        <v>#REF!</v>
      </c>
      <c r="O158" s="844"/>
      <c r="P158" s="843" t="e">
        <f t="shared" si="4"/>
        <v>#REF!</v>
      </c>
    </row>
    <row r="159" spans="1:18" ht="15" customHeight="1">
      <c r="A159" s="657">
        <f>IF(B159="",MAX($A$8:A158)+0,MAX($A$8:A158)+1)</f>
        <v>18</v>
      </c>
      <c r="B159" s="835" t="str">
        <f>IF(C159="","",COUNTA($C$10:C160))</f>
        <v/>
      </c>
      <c r="C159" s="362"/>
      <c r="D159" s="851"/>
      <c r="E159" s="852" t="s">
        <v>560</v>
      </c>
      <c r="F159" s="848" t="str">
        <f>VLOOKUP(E159,'9.may'!E:F,2,FALSE)</f>
        <v>welding machine 23kW</v>
      </c>
      <c r="G159" s="362" t="s">
        <v>4902</v>
      </c>
      <c r="H159" s="847">
        <v>3.23</v>
      </c>
      <c r="I159" s="848">
        <f>VLOOKUP(E159,'9.may'!E:W,12,FALSE)</f>
        <v>171649.155</v>
      </c>
      <c r="J159" s="853">
        <f>I159*H159</f>
        <v>554426.77064999996</v>
      </c>
      <c r="N159" s="843" t="e">
        <f>SUMIF(#REF!,'8.Dgia'!A159,#REF!)+SUMIF(#REF!,'8.Dgia'!A159,#REF!)+SUMIF(#REF!,'8.Dgia'!A159,#REF!)+SUMIF(#REF!,'8.Dgia'!A159,#REF!)</f>
        <v>#REF!</v>
      </c>
      <c r="O159" s="844">
        <f>+$H$162</f>
        <v>2</v>
      </c>
      <c r="P159" s="843" t="e">
        <f t="shared" si="4"/>
        <v>#REF!</v>
      </c>
    </row>
    <row r="160" spans="1:18" ht="15" customHeight="1">
      <c r="A160" s="657">
        <f>IF(B160="",MAX($A$8:A159)+0,MAX($A$8:A159)+1)</f>
        <v>18</v>
      </c>
      <c r="B160" s="835" t="str">
        <f>IF(C160="","",COUNTA($C$10:C161))</f>
        <v/>
      </c>
      <c r="C160" s="362"/>
      <c r="D160" s="851"/>
      <c r="E160" s="852" t="s">
        <v>422</v>
      </c>
      <c r="F160" s="848" t="str">
        <f>VLOOKUP(E160,'9.may'!E:F,2,FALSE)</f>
        <v>sharpener 2.7kW</v>
      </c>
      <c r="G160" s="362" t="s">
        <v>4902</v>
      </c>
      <c r="H160" s="847">
        <v>1.55</v>
      </c>
      <c r="I160" s="848">
        <f>VLOOKUP(E160,'9.may'!E:W,12,FALSE)</f>
        <v>67591.852499999994</v>
      </c>
      <c r="J160" s="853">
        <f>I160*H160</f>
        <v>104767.37137499999</v>
      </c>
      <c r="N160" s="843" t="e">
        <f>SUMIF(#REF!,'8.Dgia'!A160,#REF!)+SUMIF(#REF!,'8.Dgia'!A160,#REF!)+SUMIF(#REF!,'8.Dgia'!A160,#REF!)+SUMIF(#REF!,'8.Dgia'!A160,#REF!)</f>
        <v>#REF!</v>
      </c>
      <c r="O160" s="844">
        <f>+$H$162</f>
        <v>2</v>
      </c>
      <c r="P160" s="843" t="e">
        <f t="shared" si="4"/>
        <v>#REF!</v>
      </c>
    </row>
    <row r="161" spans="1:18" ht="15" customHeight="1">
      <c r="A161" s="657">
        <f>IF(B161="",MAX($A$8:A160)+0,MAX($A$8:A160)+1)</f>
        <v>18</v>
      </c>
      <c r="B161" s="835" t="str">
        <f>IF(C161="","",COUNTA($C$10:C162))</f>
        <v/>
      </c>
      <c r="C161" s="362"/>
      <c r="D161" s="851"/>
      <c r="E161" s="852" t="s">
        <v>301</v>
      </c>
      <c r="F161" s="848" t="str">
        <f>VLOOKUP(E161,'9.may'!E:F,2,FALSE)</f>
        <v>driller 2.5kW</v>
      </c>
      <c r="G161" s="362" t="s">
        <v>4902</v>
      </c>
      <c r="H161" s="847">
        <v>1.55</v>
      </c>
      <c r="I161" s="848">
        <f>VLOOKUP(E161,'9.may'!E:W,12,FALSE)</f>
        <v>91042.645000000004</v>
      </c>
      <c r="J161" s="853">
        <f>I161*H161</f>
        <v>141116.09975000002</v>
      </c>
      <c r="N161" s="843" t="e">
        <f>SUMIF(#REF!,'8.Dgia'!A161,#REF!)+SUMIF(#REF!,'8.Dgia'!A161,#REF!)+SUMIF(#REF!,'8.Dgia'!A161,#REF!)+SUMIF(#REF!,'8.Dgia'!A161,#REF!)</f>
        <v>#REF!</v>
      </c>
      <c r="O161" s="844">
        <f>+$H$162</f>
        <v>2</v>
      </c>
      <c r="P161" s="843" t="e">
        <f t="shared" si="4"/>
        <v>#REF!</v>
      </c>
    </row>
    <row r="162" spans="1:18" ht="15" customHeight="1">
      <c r="A162" s="657">
        <f>IF(B162="",MAX($A$8:A161)+0,MAX($A$8:A161)+1)</f>
        <v>18</v>
      </c>
      <c r="B162" s="835" t="str">
        <f>IF(C162="","",COUNTA($C$10:C163))</f>
        <v/>
      </c>
      <c r="C162" s="362"/>
      <c r="D162" s="851"/>
      <c r="E162" s="852" t="s">
        <v>553</v>
      </c>
      <c r="F162" s="848" t="str">
        <f>VLOOKUP(E162,DICH!B:C,2,FALSE)</f>
        <v>Other machine</v>
      </c>
      <c r="G162" s="362" t="s">
        <v>554</v>
      </c>
      <c r="H162" s="847">
        <v>2</v>
      </c>
      <c r="I162" s="848">
        <f>SUM(J159:J161)</f>
        <v>800310.241775</v>
      </c>
      <c r="J162" s="853">
        <f>I162*H162%</f>
        <v>16006.204835500001</v>
      </c>
      <c r="N162" s="843" t="e">
        <f>SUMIF(#REF!,'8.Dgia'!A162,#REF!)+SUMIF(#REF!,'8.Dgia'!A162,#REF!)+SUMIF(#REF!,'8.Dgia'!A162,#REF!)+SUMIF(#REF!,'8.Dgia'!A162,#REF!)</f>
        <v>#REF!</v>
      </c>
      <c r="O162" s="844"/>
      <c r="P162" s="843" t="e">
        <f t="shared" si="4"/>
        <v>#REF!</v>
      </c>
    </row>
    <row r="163" spans="1:18" ht="15" customHeight="1">
      <c r="A163" s="657">
        <f>IF(B163="",MAX($A$8:A162)+0,MAX($A$8:A162)+1)</f>
        <v>19</v>
      </c>
      <c r="B163" s="835">
        <f>IF(C163="","",COUNTA($C$10:C164))</f>
        <v>19</v>
      </c>
      <c r="C163" s="835">
        <f>IF(D163="","",1776)</f>
        <v>1776</v>
      </c>
      <c r="D163" s="851" t="s">
        <v>405</v>
      </c>
      <c r="E163" s="855" t="s">
        <v>5163</v>
      </c>
      <c r="F163" s="1049" t="s">
        <v>5164</v>
      </c>
      <c r="G163" s="856" t="s">
        <v>4644</v>
      </c>
      <c r="H163" s="847">
        <f>2%*1+7%</f>
        <v>9.0000000000000011E-2</v>
      </c>
      <c r="I163" s="848"/>
      <c r="J163" s="853"/>
      <c r="K163" s="842">
        <f>+J164</f>
        <v>2173489.4190725684</v>
      </c>
      <c r="L163" s="842">
        <f>+J172</f>
        <v>8301837.5</v>
      </c>
      <c r="M163" s="842">
        <f>+J173</f>
        <v>816316.44661049999</v>
      </c>
      <c r="N163" s="843" t="e">
        <f>SUMIF(#REF!,'8.Dgia'!A163,#REF!)+SUMIF(#REF!,'8.Dgia'!A163,#REF!)+SUMIF(#REF!,'8.Dgia'!A163,#REF!)+SUMIF(#REF!,'8.Dgia'!A163,#REF!)</f>
        <v>#REF!</v>
      </c>
      <c r="O163" s="844"/>
      <c r="P163" s="843" t="e">
        <f t="shared" ref="P163:P177" si="8">$H163*N163*(1+O163%)</f>
        <v>#REF!</v>
      </c>
    </row>
    <row r="164" spans="1:18" s="658" customFormat="1" ht="15" customHeight="1">
      <c r="A164" s="657">
        <f>IF(B164="",MAX($A$8:A163)+0,MAX($A$8:A163)+1)</f>
        <v>19</v>
      </c>
      <c r="B164" s="835" t="str">
        <f>IF(C164="","",COUNTA($C$10:C165))</f>
        <v/>
      </c>
      <c r="C164" s="362"/>
      <c r="D164" s="845"/>
      <c r="E164" s="852" t="s">
        <v>2032</v>
      </c>
      <c r="F164" s="848" t="str">
        <f>VLOOKUP(E164,DICH!B:C,2,FALSE)</f>
        <v xml:space="preserve">  A - Material</v>
      </c>
      <c r="G164" s="846"/>
      <c r="H164" s="847"/>
      <c r="I164" s="848"/>
      <c r="J164" s="849">
        <f>SUM(J165:J171)</f>
        <v>2173489.4190725684</v>
      </c>
      <c r="K164" s="850"/>
      <c r="L164" s="850"/>
      <c r="M164" s="850"/>
      <c r="N164" s="843" t="e">
        <f>SUMIF(#REF!,'8.Dgia'!A164,#REF!)+SUMIF(#REF!,'8.Dgia'!A164,#REF!)+SUMIF(#REF!,'8.Dgia'!A164,#REF!)+SUMIF(#REF!,'8.Dgia'!A164,#REF!)</f>
        <v>#REF!</v>
      </c>
      <c r="O164" s="844"/>
      <c r="P164" s="843" t="e">
        <f t="shared" si="8"/>
        <v>#REF!</v>
      </c>
    </row>
    <row r="165" spans="1:18" ht="15" customHeight="1">
      <c r="A165" s="657">
        <f>IF(B165="",MAX($A$8:A164)+0,MAX($A$8:A164)+1)</f>
        <v>19</v>
      </c>
      <c r="B165" s="835" t="str">
        <f>IF(C165="","",COUNTA($C$10:C166))</f>
        <v/>
      </c>
      <c r="C165" s="362"/>
      <c r="D165" s="851"/>
      <c r="E165" s="852" t="s">
        <v>562</v>
      </c>
      <c r="F165" s="848" t="str">
        <f>VLOOKUP(E165,DICH!B:C,2,FALSE)</f>
        <v>Plate steel</v>
      </c>
      <c r="G165" s="362" t="s">
        <v>558</v>
      </c>
      <c r="H165" s="847">
        <f>825*H163</f>
        <v>74.250000000000014</v>
      </c>
      <c r="I165" s="848">
        <f>VLOOKUP(E165,'11.gia '!$B:$I,8,FALSE)</f>
        <v>12871.348287272725</v>
      </c>
      <c r="J165" s="853">
        <f t="shared" ref="J165:J170" si="9">I165*H165</f>
        <v>955697.61033000005</v>
      </c>
      <c r="N165" s="843" t="e">
        <f>SUMIF(#REF!,'8.Dgia'!A165,#REF!)+SUMIF(#REF!,'8.Dgia'!A165,#REF!)+SUMIF(#REF!,'8.Dgia'!A165,#REF!)+SUMIF(#REF!,'8.Dgia'!A165,#REF!)</f>
        <v>#REF!</v>
      </c>
      <c r="O165" s="844">
        <f t="shared" ref="O165:O170" si="10">+$H$156</f>
        <v>2.5</v>
      </c>
      <c r="P165" s="843" t="e">
        <f t="shared" si="8"/>
        <v>#REF!</v>
      </c>
    </row>
    <row r="166" spans="1:18" ht="15" customHeight="1">
      <c r="A166" s="657">
        <f>IF(B166="",MAX($A$8:A165)+0,MAX($A$8:A165)+1)</f>
        <v>19</v>
      </c>
      <c r="B166" s="835" t="str">
        <f>IF(C166="","",COUNTA($C$10:C167))</f>
        <v/>
      </c>
      <c r="C166" s="362"/>
      <c r="D166" s="851"/>
      <c r="E166" s="852" t="s">
        <v>671</v>
      </c>
      <c r="F166" s="848" t="str">
        <f>VLOOKUP(E166,DICH!B:C,2,FALSE)</f>
        <v>steel bar D&lt;=18</v>
      </c>
      <c r="G166" s="362" t="s">
        <v>558</v>
      </c>
      <c r="H166" s="847">
        <f>275.5*H163</f>
        <v>24.795000000000002</v>
      </c>
      <c r="I166" s="848">
        <f>VLOOKUP(E166,'11.gia '!$B:$I,8,FALSE)</f>
        <v>16604.075560000001</v>
      </c>
      <c r="J166" s="853">
        <f t="shared" si="9"/>
        <v>411698.05351020006</v>
      </c>
      <c r="N166" s="843" t="e">
        <f>SUMIF(#REF!,'8.Dgia'!A166,#REF!)+SUMIF(#REF!,'8.Dgia'!A166,#REF!)+SUMIF(#REF!,'8.Dgia'!A166,#REF!)+SUMIF(#REF!,'8.Dgia'!A166,#REF!)</f>
        <v>#REF!</v>
      </c>
      <c r="O166" s="844">
        <f t="shared" si="10"/>
        <v>2.5</v>
      </c>
      <c r="P166" s="843" t="e">
        <f t="shared" si="8"/>
        <v>#REF!</v>
      </c>
    </row>
    <row r="167" spans="1:18" ht="15" customHeight="1">
      <c r="A167" s="657">
        <f>IF(B167="",MAX($A$8:A166)+0,MAX($A$8:A166)+1)</f>
        <v>19</v>
      </c>
      <c r="B167" s="835" t="str">
        <f>IF(C167="","",COUNTA($C$10:C168))</f>
        <v/>
      </c>
      <c r="C167" s="362"/>
      <c r="D167" s="851"/>
      <c r="E167" s="852" t="s">
        <v>564</v>
      </c>
      <c r="F167" s="848" t="str">
        <f>VLOOKUP(E167,DICH!B:C,2,FALSE)</f>
        <v>oxygen</v>
      </c>
      <c r="G167" s="362" t="s">
        <v>4647</v>
      </c>
      <c r="H167" s="847">
        <v>3.3</v>
      </c>
      <c r="I167" s="848">
        <f>VLOOKUP(E167,'11.gia '!$B:$I,8,FALSE)</f>
        <v>48000</v>
      </c>
      <c r="J167" s="853">
        <f t="shared" si="9"/>
        <v>158400</v>
      </c>
      <c r="N167" s="843" t="e">
        <f>SUMIF(#REF!,'8.Dgia'!A167,#REF!)+SUMIF(#REF!,'8.Dgia'!A167,#REF!)+SUMIF(#REF!,'8.Dgia'!A167,#REF!)+SUMIF(#REF!,'8.Dgia'!A167,#REF!)</f>
        <v>#REF!</v>
      </c>
      <c r="O167" s="844">
        <f t="shared" si="10"/>
        <v>2.5</v>
      </c>
      <c r="P167" s="843" t="e">
        <f t="shared" si="8"/>
        <v>#REF!</v>
      </c>
    </row>
    <row r="168" spans="1:18" ht="15" customHeight="1">
      <c r="A168" s="657">
        <f>IF(B168="",MAX($A$8:A167)+0,MAX($A$8:A167)+1)</f>
        <v>19</v>
      </c>
      <c r="B168" s="835" t="str">
        <f>IF(C168="","",COUNTA($C$10:C169))</f>
        <v/>
      </c>
      <c r="C168" s="362"/>
      <c r="D168" s="851"/>
      <c r="E168" s="852" t="s">
        <v>566</v>
      </c>
      <c r="F168" s="848" t="str">
        <f>VLOOKUP(E168,DICH!B:C,2,FALSE)</f>
        <v>Calcium carbide</v>
      </c>
      <c r="G168" s="362" t="s">
        <v>558</v>
      </c>
      <c r="H168" s="847">
        <v>14.8</v>
      </c>
      <c r="I168" s="848">
        <f>VLOOKUP(E168,'11.gia '!$B:$I,8,FALSE)</f>
        <v>14000</v>
      </c>
      <c r="J168" s="853">
        <f t="shared" si="9"/>
        <v>207200</v>
      </c>
      <c r="N168" s="843" t="e">
        <f>SUMIF(#REF!,'8.Dgia'!A168,#REF!)+SUMIF(#REF!,'8.Dgia'!A168,#REF!)+SUMIF(#REF!,'8.Dgia'!A168,#REF!)+SUMIF(#REF!,'8.Dgia'!A168,#REF!)</f>
        <v>#REF!</v>
      </c>
      <c r="O168" s="844">
        <f t="shared" si="10"/>
        <v>2.5</v>
      </c>
      <c r="P168" s="843" t="e">
        <f t="shared" si="8"/>
        <v>#REF!</v>
      </c>
    </row>
    <row r="169" spans="1:18" ht="15" customHeight="1">
      <c r="A169" s="657">
        <f>IF(B169="",MAX($A$8:A168)+0,MAX($A$8:A168)+1)</f>
        <v>19</v>
      </c>
      <c r="B169" s="835" t="str">
        <f>IF(C169="","",COUNTA($C$10:C170))</f>
        <v/>
      </c>
      <c r="C169" s="362"/>
      <c r="D169" s="851"/>
      <c r="E169" s="852" t="s">
        <v>406</v>
      </c>
      <c r="F169" s="848" t="str">
        <f>VLOOKUP(E169,DICH!B:C,2,FALSE)</f>
        <v xml:space="preserve">Grinding stone </v>
      </c>
      <c r="G169" s="362" t="s">
        <v>573</v>
      </c>
      <c r="H169" s="847">
        <v>0.7</v>
      </c>
      <c r="I169" s="848">
        <f>VLOOKUP(E169,'11.gia '!$B:$I,8,FALSE)</f>
        <v>25000</v>
      </c>
      <c r="J169" s="853">
        <f t="shared" si="9"/>
        <v>17500</v>
      </c>
      <c r="N169" s="843" t="e">
        <f>SUMIF(#REF!,'8.Dgia'!A169,#REF!)+SUMIF(#REF!,'8.Dgia'!A169,#REF!)+SUMIF(#REF!,'8.Dgia'!A169,#REF!)+SUMIF(#REF!,'8.Dgia'!A169,#REF!)</f>
        <v>#REF!</v>
      </c>
      <c r="O169" s="844">
        <f t="shared" si="10"/>
        <v>2.5</v>
      </c>
      <c r="P169" s="843" t="e">
        <f t="shared" si="8"/>
        <v>#REF!</v>
      </c>
    </row>
    <row r="170" spans="1:18" ht="15" customHeight="1">
      <c r="A170" s="657">
        <f>IF(B170="",MAX($A$8:A169)+0,MAX($A$8:A169)+1)</f>
        <v>19</v>
      </c>
      <c r="B170" s="835" t="str">
        <f>IF(C170="","",COUNTA($C$10:C171))</f>
        <v/>
      </c>
      <c r="C170" s="362"/>
      <c r="D170" s="851"/>
      <c r="E170" s="852" t="s">
        <v>559</v>
      </c>
      <c r="F170" s="848" t="str">
        <f>VLOOKUP(E170,DICH!B:C,2,FALSE)</f>
        <v>welding electrode</v>
      </c>
      <c r="G170" s="362" t="s">
        <v>558</v>
      </c>
      <c r="H170" s="847">
        <v>19.38</v>
      </c>
      <c r="I170" s="848">
        <f>VLOOKUP(E170,'11.gia '!$B:$I,8,FALSE)</f>
        <v>19090.909090909088</v>
      </c>
      <c r="J170" s="853">
        <f t="shared" si="9"/>
        <v>369981.81818181812</v>
      </c>
      <c r="N170" s="843" t="e">
        <f>SUMIF(#REF!,'8.Dgia'!A170,#REF!)+SUMIF(#REF!,'8.Dgia'!A170,#REF!)+SUMIF(#REF!,'8.Dgia'!A170,#REF!)+SUMIF(#REF!,'8.Dgia'!A170,#REF!)</f>
        <v>#REF!</v>
      </c>
      <c r="O170" s="844">
        <f t="shared" si="10"/>
        <v>2.5</v>
      </c>
      <c r="P170" s="843" t="e">
        <f t="shared" si="8"/>
        <v>#REF!</v>
      </c>
    </row>
    <row r="171" spans="1:18" ht="15" customHeight="1">
      <c r="A171" s="657">
        <f>IF(B171="",MAX($A$8:A170)+0,MAX($A$8:A170)+1)</f>
        <v>19</v>
      </c>
      <c r="B171" s="835" t="str">
        <f>IF(C171="","",COUNTA($C$10:C172))</f>
        <v/>
      </c>
      <c r="C171" s="362"/>
      <c r="D171" s="851"/>
      <c r="E171" s="852" t="s">
        <v>555</v>
      </c>
      <c r="F171" s="848" t="str">
        <f>VLOOKUP(E171,DICH!B:C,2,FALSE)</f>
        <v>Other material</v>
      </c>
      <c r="G171" s="362" t="s">
        <v>554</v>
      </c>
      <c r="H171" s="847">
        <v>2.5</v>
      </c>
      <c r="I171" s="848">
        <f>SUM(J165:J170)</f>
        <v>2120477.4820220182</v>
      </c>
      <c r="J171" s="853">
        <f>I171*H171%</f>
        <v>53011.937050550456</v>
      </c>
      <c r="N171" s="843" t="e">
        <f>SUMIF(#REF!,'8.Dgia'!A171,#REF!)+SUMIF(#REF!,'8.Dgia'!A171,#REF!)+SUMIF(#REF!,'8.Dgia'!A171,#REF!)+SUMIF(#REF!,'8.Dgia'!A171,#REF!)</f>
        <v>#REF!</v>
      </c>
      <c r="O171" s="844"/>
      <c r="P171" s="843" t="e">
        <f t="shared" si="8"/>
        <v>#REF!</v>
      </c>
    </row>
    <row r="172" spans="1:18" s="658" customFormat="1" ht="15" customHeight="1">
      <c r="A172" s="657">
        <f>IF(B172="",MAX($A$8:A171)+0,MAX($A$8:A171)+1)</f>
        <v>19</v>
      </c>
      <c r="B172" s="835" t="str">
        <f>IF(C172="","",COUNTA($C$10:C173))</f>
        <v/>
      </c>
      <c r="C172" s="362"/>
      <c r="D172" s="845"/>
      <c r="E172" s="852" t="s">
        <v>2040</v>
      </c>
      <c r="F172" s="848" t="str">
        <f>VLOOKUP(E172,DICH!B:C,2,FALSE)</f>
        <v xml:space="preserve">  B - Labour 4.5/7</v>
      </c>
      <c r="G172" s="362" t="s">
        <v>4899</v>
      </c>
      <c r="H172" s="847">
        <v>34.9</v>
      </c>
      <c r="I172" s="848">
        <f>VLOOKUP(E172,'16.NC'!$C$11:$F$22,4,FALSE)</f>
        <v>237875</v>
      </c>
      <c r="J172" s="849">
        <f>I172*H172</f>
        <v>8301837.5</v>
      </c>
      <c r="K172" s="850"/>
      <c r="L172" s="850"/>
      <c r="M172" s="850"/>
      <c r="N172" s="843" t="e">
        <f>SUMIF(#REF!,'8.Dgia'!A172,#REF!)+SUMIF(#REF!,'8.Dgia'!A172,#REF!)+SUMIF(#REF!,'8.Dgia'!A172,#REF!)+SUMIF(#REF!,'8.Dgia'!A172,#REF!)</f>
        <v>#REF!</v>
      </c>
      <c r="O172" s="844"/>
      <c r="P172" s="843" t="e">
        <f t="shared" si="8"/>
        <v>#REF!</v>
      </c>
      <c r="R172" s="658">
        <v>1</v>
      </c>
    </row>
    <row r="173" spans="1:18" s="658" customFormat="1" ht="15" customHeight="1">
      <c r="A173" s="657">
        <f>IF(B173="",MAX($A$8:A172)+0,MAX($A$8:A172)+1)</f>
        <v>19</v>
      </c>
      <c r="B173" s="835" t="str">
        <f>IF(C173="","",COUNTA($C$10:C174))</f>
        <v/>
      </c>
      <c r="C173" s="362"/>
      <c r="D173" s="845"/>
      <c r="E173" s="852" t="s">
        <v>2033</v>
      </c>
      <c r="F173" s="848" t="str">
        <f>VLOOKUP(E173,DICH!B:C,2,FALSE)</f>
        <v xml:space="preserve">  C - Machine</v>
      </c>
      <c r="G173" s="846"/>
      <c r="H173" s="847"/>
      <c r="I173" s="848"/>
      <c r="J173" s="849">
        <f>SUM(J174:J177)</f>
        <v>816316.44661049999</v>
      </c>
      <c r="K173" s="850"/>
      <c r="L173" s="850"/>
      <c r="M173" s="850"/>
      <c r="N173" s="843" t="e">
        <f>SUMIF(#REF!,'8.Dgia'!A173,#REF!)+SUMIF(#REF!,'8.Dgia'!A173,#REF!)+SUMIF(#REF!,'8.Dgia'!A173,#REF!)+SUMIF(#REF!,'8.Dgia'!A173,#REF!)</f>
        <v>#REF!</v>
      </c>
      <c r="O173" s="844"/>
      <c r="P173" s="843" t="e">
        <f t="shared" si="8"/>
        <v>#REF!</v>
      </c>
    </row>
    <row r="174" spans="1:18" ht="15" customHeight="1">
      <c r="A174" s="657">
        <f>IF(B174="",MAX($A$8:A173)+0,MAX($A$8:A173)+1)</f>
        <v>19</v>
      </c>
      <c r="B174" s="835" t="str">
        <f>IF(C174="","",COUNTA($C$10:C175))</f>
        <v/>
      </c>
      <c r="C174" s="362"/>
      <c r="D174" s="851"/>
      <c r="E174" s="852" t="s">
        <v>560</v>
      </c>
      <c r="F174" s="848" t="str">
        <f>VLOOKUP(E174,'9.may'!E:F,2,FALSE)</f>
        <v>welding machine 23kW</v>
      </c>
      <c r="G174" s="362" t="s">
        <v>4902</v>
      </c>
      <c r="H174" s="847">
        <v>3.23</v>
      </c>
      <c r="I174" s="848">
        <f>VLOOKUP(E174,'9.may'!E:W,12,FALSE)</f>
        <v>171649.155</v>
      </c>
      <c r="J174" s="853">
        <f>I174*H174</f>
        <v>554426.77064999996</v>
      </c>
      <c r="N174" s="843" t="e">
        <f>SUMIF(#REF!,'8.Dgia'!A174,#REF!)+SUMIF(#REF!,'8.Dgia'!A174,#REF!)+SUMIF(#REF!,'8.Dgia'!A174,#REF!)+SUMIF(#REF!,'8.Dgia'!A174,#REF!)</f>
        <v>#REF!</v>
      </c>
      <c r="O174" s="844">
        <f>+$H$162</f>
        <v>2</v>
      </c>
      <c r="P174" s="843" t="e">
        <f t="shared" si="8"/>
        <v>#REF!</v>
      </c>
    </row>
    <row r="175" spans="1:18" ht="15" customHeight="1">
      <c r="A175" s="657">
        <f>IF(B175="",MAX($A$8:A174)+0,MAX($A$8:A174)+1)</f>
        <v>19</v>
      </c>
      <c r="B175" s="835" t="str">
        <f>IF(C175="","",COUNTA($C$10:C176))</f>
        <v/>
      </c>
      <c r="C175" s="362"/>
      <c r="D175" s="851"/>
      <c r="E175" s="852" t="s">
        <v>422</v>
      </c>
      <c r="F175" s="848" t="str">
        <f>VLOOKUP(E175,'9.may'!E:F,2,FALSE)</f>
        <v>sharpener 2.7kW</v>
      </c>
      <c r="G175" s="362" t="s">
        <v>4902</v>
      </c>
      <c r="H175" s="847">
        <v>1.55</v>
      </c>
      <c r="I175" s="848">
        <f>VLOOKUP(E175,'9.may'!E:W,12,FALSE)</f>
        <v>67591.852499999994</v>
      </c>
      <c r="J175" s="853">
        <f>I175*H175</f>
        <v>104767.37137499999</v>
      </c>
      <c r="N175" s="843" t="e">
        <f>SUMIF(#REF!,'8.Dgia'!A175,#REF!)+SUMIF(#REF!,'8.Dgia'!A175,#REF!)+SUMIF(#REF!,'8.Dgia'!A175,#REF!)+SUMIF(#REF!,'8.Dgia'!A175,#REF!)</f>
        <v>#REF!</v>
      </c>
      <c r="O175" s="844">
        <f>+$H$162</f>
        <v>2</v>
      </c>
      <c r="P175" s="843" t="e">
        <f t="shared" si="8"/>
        <v>#REF!</v>
      </c>
    </row>
    <row r="176" spans="1:18" ht="15" customHeight="1">
      <c r="A176" s="657">
        <f>IF(B176="",MAX($A$8:A175)+0,MAX($A$8:A175)+1)</f>
        <v>19</v>
      </c>
      <c r="B176" s="835" t="str">
        <f>IF(C176="","",COUNTA($C$10:C177))</f>
        <v/>
      </c>
      <c r="C176" s="362"/>
      <c r="D176" s="851"/>
      <c r="E176" s="852" t="s">
        <v>301</v>
      </c>
      <c r="F176" s="848" t="str">
        <f>VLOOKUP(E176,'9.may'!E:F,2,FALSE)</f>
        <v>driller 2.5kW</v>
      </c>
      <c r="G176" s="362" t="s">
        <v>4902</v>
      </c>
      <c r="H176" s="847">
        <v>1.55</v>
      </c>
      <c r="I176" s="848">
        <f>VLOOKUP(E176,'9.may'!E:W,12,FALSE)</f>
        <v>91042.645000000004</v>
      </c>
      <c r="J176" s="853">
        <f>I176*H176</f>
        <v>141116.09975000002</v>
      </c>
      <c r="N176" s="843" t="e">
        <f>SUMIF(#REF!,'8.Dgia'!A176,#REF!)+SUMIF(#REF!,'8.Dgia'!A176,#REF!)+SUMIF(#REF!,'8.Dgia'!A176,#REF!)+SUMIF(#REF!,'8.Dgia'!A176,#REF!)</f>
        <v>#REF!</v>
      </c>
      <c r="O176" s="844">
        <f>+$H$162</f>
        <v>2</v>
      </c>
      <c r="P176" s="843" t="e">
        <f t="shared" si="8"/>
        <v>#REF!</v>
      </c>
    </row>
    <row r="177" spans="1:18" ht="15" customHeight="1">
      <c r="A177" s="657">
        <f>IF(B177="",MAX($A$8:A176)+0,MAX($A$8:A176)+1)</f>
        <v>19</v>
      </c>
      <c r="B177" s="835" t="str">
        <f>IF(C177="","",COUNTA($C$10:C178))</f>
        <v/>
      </c>
      <c r="C177" s="362"/>
      <c r="D177" s="851"/>
      <c r="E177" s="852" t="s">
        <v>553</v>
      </c>
      <c r="F177" s="848" t="str">
        <f>VLOOKUP(E177,DICH!B:C,2,FALSE)</f>
        <v>Other machine</v>
      </c>
      <c r="G177" s="362" t="s">
        <v>554</v>
      </c>
      <c r="H177" s="847">
        <v>2</v>
      </c>
      <c r="I177" s="848">
        <f>SUM(J174:J176)</f>
        <v>800310.241775</v>
      </c>
      <c r="J177" s="853">
        <f>I177*H177%</f>
        <v>16006.204835500001</v>
      </c>
      <c r="N177" s="843" t="e">
        <f>SUMIF(#REF!,'8.Dgia'!A177,#REF!)+SUMIF(#REF!,'8.Dgia'!A177,#REF!)+SUMIF(#REF!,'8.Dgia'!A177,#REF!)+SUMIF(#REF!,'8.Dgia'!A177,#REF!)</f>
        <v>#REF!</v>
      </c>
      <c r="O177" s="844"/>
      <c r="P177" s="843" t="e">
        <f t="shared" si="8"/>
        <v>#REF!</v>
      </c>
    </row>
    <row r="178" spans="1:18" ht="29.25" customHeight="1">
      <c r="A178" s="657">
        <f>IF(B178="",MAX($A$8:A177)+0,MAX($A$8:A177)+1)</f>
        <v>20</v>
      </c>
      <c r="B178" s="835">
        <f>IF(C178="","",COUNTA($C$10:C179))</f>
        <v>20</v>
      </c>
      <c r="C178" s="835">
        <f>IF(D178="","",1776)</f>
        <v>1776</v>
      </c>
      <c r="D178" s="851" t="s">
        <v>2053</v>
      </c>
      <c r="E178" s="855" t="s">
        <v>5557</v>
      </c>
      <c r="F178" s="1049" t="str">
        <f>VLOOKUP(E178,DICH!B:C,2,FALSE)</f>
        <v>Product truss system, jack system, amor=2%*5months+7%</v>
      </c>
      <c r="G178" s="856" t="s">
        <v>4644</v>
      </c>
      <c r="H178" s="911">
        <f>2%*5+7%</f>
        <v>0.17</v>
      </c>
      <c r="I178" s="848"/>
      <c r="J178" s="853"/>
      <c r="K178" s="842">
        <f>+J179</f>
        <v>3401401.3016825281</v>
      </c>
      <c r="L178" s="842">
        <f>+J186</f>
        <v>5378353.75</v>
      </c>
      <c r="M178" s="842">
        <f>+J187</f>
        <v>1271422.0785818181</v>
      </c>
      <c r="N178" s="843" t="s">
        <v>457</v>
      </c>
      <c r="O178" s="844"/>
      <c r="P178" s="843"/>
      <c r="Q178" s="657" t="s">
        <v>457</v>
      </c>
    </row>
    <row r="179" spans="1:18" s="658" customFormat="1" ht="15" customHeight="1">
      <c r="A179" s="657">
        <f>IF(B179="",MAX($A$8:A178)+0,MAX($A$8:A178)+1)</f>
        <v>20</v>
      </c>
      <c r="B179" s="835" t="str">
        <f>IF(C179="","",COUNTA($C$10:C180))</f>
        <v/>
      </c>
      <c r="C179" s="362"/>
      <c r="D179" s="845"/>
      <c r="E179" s="852" t="s">
        <v>2032</v>
      </c>
      <c r="F179" s="848" t="str">
        <f>VLOOKUP(E179,DICH!B:C,2,FALSE)</f>
        <v xml:space="preserve">  A - Material</v>
      </c>
      <c r="G179" s="846"/>
      <c r="H179" s="847"/>
      <c r="I179" s="848"/>
      <c r="J179" s="849">
        <f>SUM(J180:J185)</f>
        <v>3401401.3016825281</v>
      </c>
      <c r="K179" s="850"/>
      <c r="L179" s="850"/>
      <c r="M179" s="850"/>
      <c r="N179" s="843" t="s">
        <v>457</v>
      </c>
      <c r="O179" s="844"/>
      <c r="P179" s="843"/>
      <c r="Q179" s="657" t="s">
        <v>457</v>
      </c>
    </row>
    <row r="180" spans="1:18" ht="15" customHeight="1">
      <c r="A180" s="657">
        <f>IF(B180="",MAX($A$8:A179)+0,MAX($A$8:A179)+1)</f>
        <v>20</v>
      </c>
      <c r="B180" s="835" t="str">
        <f>IF(C180="","",COUNTA($C$10:C181))</f>
        <v/>
      </c>
      <c r="C180" s="362"/>
      <c r="D180" s="851" t="s">
        <v>2255</v>
      </c>
      <c r="E180" s="852" t="s">
        <v>562</v>
      </c>
      <c r="F180" s="848" t="str">
        <f>VLOOKUP(E180,DICH!B:C,2,FALSE)</f>
        <v>Plate steel</v>
      </c>
      <c r="G180" s="362" t="s">
        <v>558</v>
      </c>
      <c r="H180" s="847">
        <f>825*H178</f>
        <v>140.25</v>
      </c>
      <c r="I180" s="848">
        <f>VLOOKUP(E180,'11.gia '!$B:$I,8,FALSE)</f>
        <v>12871.348287272725</v>
      </c>
      <c r="J180" s="853">
        <f>I180*H180</f>
        <v>1805206.5972899997</v>
      </c>
      <c r="N180" s="843" t="s">
        <v>457</v>
      </c>
      <c r="O180" s="844">
        <f>+$H$156</f>
        <v>2.5</v>
      </c>
      <c r="P180" s="843"/>
      <c r="Q180" s="657" t="s">
        <v>457</v>
      </c>
    </row>
    <row r="181" spans="1:18" ht="15" customHeight="1">
      <c r="A181" s="657">
        <f>IF(B181="",MAX($A$8:A180)+0,MAX($A$8:A180)+1)</f>
        <v>20</v>
      </c>
      <c r="B181" s="835" t="str">
        <f>IF(C181="","",COUNTA($C$10:C182))</f>
        <v/>
      </c>
      <c r="C181" s="362"/>
      <c r="D181" s="851" t="s">
        <v>2255</v>
      </c>
      <c r="E181" s="852" t="s">
        <v>671</v>
      </c>
      <c r="F181" s="848" t="str">
        <f>VLOOKUP(E181,DICH!B:C,2,FALSE)</f>
        <v>steel bar D&lt;=18</v>
      </c>
      <c r="G181" s="362" t="s">
        <v>558</v>
      </c>
      <c r="H181" s="847">
        <f>275.5*H178</f>
        <v>46.835000000000001</v>
      </c>
      <c r="I181" s="848">
        <f>VLOOKUP(E181,'11.gia '!$B:$I,8,FALSE)</f>
        <v>16604.075560000001</v>
      </c>
      <c r="J181" s="853">
        <f>I181*H181</f>
        <v>777651.87885260012</v>
      </c>
      <c r="N181" s="843" t="s">
        <v>457</v>
      </c>
      <c r="O181" s="844">
        <f>+$H$156</f>
        <v>2.5</v>
      </c>
      <c r="P181" s="843"/>
      <c r="Q181" s="657" t="s">
        <v>457</v>
      </c>
    </row>
    <row r="182" spans="1:18" ht="15" customHeight="1">
      <c r="A182" s="657">
        <f>IF(B182="",MAX($A$8:A181)+0,MAX($A$8:A181)+1)</f>
        <v>20</v>
      </c>
      <c r="B182" s="835" t="str">
        <f>IF(C182="","",COUNTA($C$10:C183))</f>
        <v/>
      </c>
      <c r="C182" s="362"/>
      <c r="D182" s="851"/>
      <c r="E182" s="852" t="s">
        <v>559</v>
      </c>
      <c r="F182" s="848" t="str">
        <f>VLOOKUP(E182,DICH!B:C,2,FALSE)</f>
        <v>welding electrode</v>
      </c>
      <c r="G182" s="362" t="s">
        <v>558</v>
      </c>
      <c r="H182" s="847">
        <v>19.38</v>
      </c>
      <c r="I182" s="848">
        <f>VLOOKUP(E182,'11.gia '!$B:$I,8,FALSE)</f>
        <v>19090.909090909088</v>
      </c>
      <c r="J182" s="853">
        <f>I182*H182</f>
        <v>369981.81818181812</v>
      </c>
      <c r="N182" s="843" t="s">
        <v>457</v>
      </c>
      <c r="O182" s="844">
        <f>+$H$156</f>
        <v>2.5</v>
      </c>
      <c r="P182" s="843"/>
      <c r="Q182" s="657" t="s">
        <v>457</v>
      </c>
    </row>
    <row r="183" spans="1:18" ht="15" customHeight="1">
      <c r="A183" s="657">
        <f>IF(B183="",MAX($A$8:A182)+0,MAX($A$8:A182)+1)</f>
        <v>20</v>
      </c>
      <c r="B183" s="835" t="str">
        <f>IF(C183="","",COUNTA($C$10:C184))</f>
        <v/>
      </c>
      <c r="C183" s="362"/>
      <c r="D183" s="851"/>
      <c r="E183" s="852" t="s">
        <v>564</v>
      </c>
      <c r="F183" s="848" t="str">
        <f>VLOOKUP(E183,DICH!B:C,2,FALSE)</f>
        <v>oxygen</v>
      </c>
      <c r="G183" s="362" t="s">
        <v>4647</v>
      </c>
      <c r="H183" s="847">
        <v>3.3</v>
      </c>
      <c r="I183" s="848">
        <f>VLOOKUP(E183,'11.gia '!$B:$I,8,FALSE)</f>
        <v>48000</v>
      </c>
      <c r="J183" s="853">
        <f>I183*H183</f>
        <v>158400</v>
      </c>
      <c r="N183" s="843" t="s">
        <v>457</v>
      </c>
      <c r="O183" s="844">
        <f>+$H$156</f>
        <v>2.5</v>
      </c>
      <c r="P183" s="843"/>
      <c r="Q183" s="657" t="s">
        <v>457</v>
      </c>
    </row>
    <row r="184" spans="1:18" ht="15" customHeight="1">
      <c r="A184" s="657">
        <f>IF(B184="",MAX($A$8:A183)+0,MAX($A$8:A183)+1)</f>
        <v>20</v>
      </c>
      <c r="B184" s="835" t="str">
        <f>IF(C184="","",COUNTA($C$10:C185))</f>
        <v/>
      </c>
      <c r="C184" s="362"/>
      <c r="D184" s="851"/>
      <c r="E184" s="852" t="s">
        <v>566</v>
      </c>
      <c r="F184" s="848" t="str">
        <f>VLOOKUP(E184,DICH!B:C,2,FALSE)</f>
        <v>Calcium carbide</v>
      </c>
      <c r="G184" s="362" t="s">
        <v>558</v>
      </c>
      <c r="H184" s="847">
        <v>14.8</v>
      </c>
      <c r="I184" s="848">
        <f>VLOOKUP(E184,'11.gia '!$B:$I,8,FALSE)</f>
        <v>14000</v>
      </c>
      <c r="J184" s="853">
        <f>I184*H184</f>
        <v>207200</v>
      </c>
      <c r="N184" s="843" t="s">
        <v>457</v>
      </c>
      <c r="O184" s="844">
        <f>+$H$156</f>
        <v>2.5</v>
      </c>
      <c r="P184" s="843"/>
      <c r="Q184" s="657" t="s">
        <v>457</v>
      </c>
    </row>
    <row r="185" spans="1:18" ht="15" customHeight="1">
      <c r="A185" s="657">
        <f>IF(B185="",MAX($A$8:A184)+0,MAX($A$8:A184)+1)</f>
        <v>20</v>
      </c>
      <c r="B185" s="835" t="str">
        <f>IF(C185="","",COUNTA($C$10:C186))</f>
        <v/>
      </c>
      <c r="C185" s="362"/>
      <c r="D185" s="851"/>
      <c r="E185" s="852" t="s">
        <v>555</v>
      </c>
      <c r="F185" s="848" t="str">
        <f>VLOOKUP(E185,DICH!B:C,2,FALSE)</f>
        <v>Other material</v>
      </c>
      <c r="G185" s="362" t="s">
        <v>554</v>
      </c>
      <c r="H185" s="847">
        <v>2.5</v>
      </c>
      <c r="I185" s="848">
        <f>SUM(J180:J184)</f>
        <v>3318440.2943244176</v>
      </c>
      <c r="J185" s="853">
        <f>I185*H185%</f>
        <v>82961.007358110452</v>
      </c>
      <c r="N185" s="843" t="s">
        <v>457</v>
      </c>
      <c r="O185" s="844"/>
      <c r="P185" s="843"/>
      <c r="Q185" s="657" t="s">
        <v>457</v>
      </c>
    </row>
    <row r="186" spans="1:18" s="658" customFormat="1" ht="15" customHeight="1">
      <c r="A186" s="657">
        <f>IF(B186="",MAX($A$8:A185)+0,MAX($A$8:A185)+1)</f>
        <v>20</v>
      </c>
      <c r="B186" s="835" t="str">
        <f>IF(C186="","",COUNTA($C$10:C187))</f>
        <v/>
      </c>
      <c r="C186" s="362"/>
      <c r="D186" s="845"/>
      <c r="E186" s="852" t="s">
        <v>2040</v>
      </c>
      <c r="F186" s="848" t="str">
        <f>VLOOKUP(E186,DICH!B:C,2,FALSE)</f>
        <v xml:space="preserve">  B - Labour 4.5/7</v>
      </c>
      <c r="G186" s="362" t="s">
        <v>4899</v>
      </c>
      <c r="H186" s="847">
        <f>22.61</f>
        <v>22.61</v>
      </c>
      <c r="I186" s="848">
        <f>VLOOKUP(E186,'16.NC'!$C$11:$F$22,4,FALSE)</f>
        <v>237875</v>
      </c>
      <c r="J186" s="849">
        <f>I186*H186</f>
        <v>5378353.75</v>
      </c>
      <c r="K186" s="850"/>
      <c r="L186" s="850"/>
      <c r="M186" s="850"/>
      <c r="N186" s="843" t="s">
        <v>457</v>
      </c>
      <c r="O186" s="844"/>
      <c r="P186" s="843"/>
      <c r="Q186" s="657" t="s">
        <v>457</v>
      </c>
      <c r="R186" s="658">
        <v>1</v>
      </c>
    </row>
    <row r="187" spans="1:18" s="658" customFormat="1" ht="15" customHeight="1">
      <c r="A187" s="657">
        <f>IF(B187="",MAX($A$8:A186)+0,MAX($A$8:A186)+1)</f>
        <v>20</v>
      </c>
      <c r="B187" s="835" t="str">
        <f>IF(C187="","",COUNTA($C$10:C188))</f>
        <v/>
      </c>
      <c r="C187" s="362"/>
      <c r="D187" s="845"/>
      <c r="E187" s="852" t="s">
        <v>2033</v>
      </c>
      <c r="F187" s="848" t="str">
        <f>VLOOKUP(E187,DICH!B:C,2,FALSE)</f>
        <v xml:space="preserve">  C - Machine</v>
      </c>
      <c r="G187" s="846"/>
      <c r="H187" s="847"/>
      <c r="I187" s="848"/>
      <c r="J187" s="849">
        <f>SUM(J188:J190)</f>
        <v>1271422.0785818181</v>
      </c>
      <c r="K187" s="850"/>
      <c r="L187" s="850"/>
      <c r="M187" s="850"/>
      <c r="N187" s="843" t="s">
        <v>457</v>
      </c>
      <c r="O187" s="844"/>
      <c r="P187" s="843"/>
      <c r="Q187" s="657" t="s">
        <v>457</v>
      </c>
    </row>
    <row r="188" spans="1:18" ht="15" customHeight="1">
      <c r="A188" s="657">
        <f>IF(B188="",MAX($A$8:A187)+0,MAX($A$8:A187)+1)</f>
        <v>20</v>
      </c>
      <c r="B188" s="835" t="str">
        <f>IF(C188="","",COUNTA($C$10:C189))</f>
        <v/>
      </c>
      <c r="C188" s="362"/>
      <c r="D188" s="851"/>
      <c r="E188" s="852" t="s">
        <v>560</v>
      </c>
      <c r="F188" s="848" t="str">
        <f>VLOOKUP(E188,'9.may'!E:F,2,FALSE)</f>
        <v>welding machine 23kW</v>
      </c>
      <c r="G188" s="362" t="s">
        <v>4902</v>
      </c>
      <c r="H188" s="847">
        <f>4.6</f>
        <v>4.5999999999999996</v>
      </c>
      <c r="I188" s="848">
        <f>VLOOKUP(E188,'9.may'!E:W,12,FALSE)</f>
        <v>171649.155</v>
      </c>
      <c r="J188" s="853">
        <f>I188*H188</f>
        <v>789586.1129999999</v>
      </c>
      <c r="N188" s="843" t="s">
        <v>457</v>
      </c>
      <c r="O188" s="844">
        <f>+$H$162</f>
        <v>2</v>
      </c>
      <c r="P188" s="843"/>
      <c r="Q188" s="657" t="s">
        <v>457</v>
      </c>
    </row>
    <row r="189" spans="1:18" ht="15" customHeight="1">
      <c r="A189" s="657">
        <f>IF(B189="",MAX($A$8:A188)+0,MAX($A$8:A188)+1)</f>
        <v>20</v>
      </c>
      <c r="B189" s="835" t="str">
        <f>IF(C189="","",COUNTA($C$10:C190))</f>
        <v/>
      </c>
      <c r="C189" s="362"/>
      <c r="D189" s="851"/>
      <c r="E189" s="852" t="s">
        <v>1417</v>
      </c>
      <c r="F189" s="848" t="str">
        <f>VLOOKUP(E189,'9.may'!E:F,2,FALSE)</f>
        <v>Cutting machine 15Kw</v>
      </c>
      <c r="G189" s="362" t="s">
        <v>4902</v>
      </c>
      <c r="H189" s="847">
        <f>0.4</f>
        <v>0.4</v>
      </c>
      <c r="I189" s="848">
        <f>VLOOKUP(E189,'9.may'!E:W,12,FALSE)</f>
        <v>204698.78999999998</v>
      </c>
      <c r="J189" s="853">
        <f>I189*H189</f>
        <v>81879.516000000003</v>
      </c>
      <c r="N189" s="843" t="s">
        <v>457</v>
      </c>
      <c r="O189" s="844">
        <f>+$H$162</f>
        <v>2</v>
      </c>
      <c r="P189" s="843"/>
      <c r="Q189" s="657" t="s">
        <v>457</v>
      </c>
    </row>
    <row r="190" spans="1:18" ht="15" customHeight="1">
      <c r="A190" s="657">
        <f>IF(B190="",MAX($A$8:A189)+0,MAX($A$8:A189)+1)</f>
        <v>20</v>
      </c>
      <c r="B190" s="835" t="str">
        <f>IF(C190="","",COUNTA($C$10:C204))</f>
        <v/>
      </c>
      <c r="C190" s="362"/>
      <c r="D190" s="851"/>
      <c r="E190" s="852" t="s">
        <v>1038</v>
      </c>
      <c r="F190" s="848" t="str">
        <f>VLOOKUP(E190,'9.may'!E:F,2,FALSE)</f>
        <v>caterpillar crane 10T/ crawler crane 10T</v>
      </c>
      <c r="G190" s="362" t="s">
        <v>4902</v>
      </c>
      <c r="H190" s="847">
        <f>0.27</f>
        <v>0.27</v>
      </c>
      <c r="I190" s="848">
        <f>VLOOKUP(E190,'9.may'!E:W,12,FALSE)</f>
        <v>1481320.1836363636</v>
      </c>
      <c r="J190" s="853">
        <f>I190*H190</f>
        <v>399956.44958181819</v>
      </c>
      <c r="N190" s="843" t="s">
        <v>457</v>
      </c>
      <c r="O190" s="844">
        <f>+$H$162</f>
        <v>2</v>
      </c>
      <c r="P190" s="843"/>
      <c r="Q190" s="657" t="s">
        <v>457</v>
      </c>
    </row>
    <row r="191" spans="1:18" ht="29.25" customHeight="1">
      <c r="A191" s="657">
        <f>IF(B191="",MAX($A$8:A190)+0,MAX($A$8:A190)+1)</f>
        <v>21</v>
      </c>
      <c r="B191" s="835">
        <f>IF(C191="","",COUNTA($C$10:C192))</f>
        <v>21</v>
      </c>
      <c r="C191" s="835">
        <f>IF(D191="","",1776)</f>
        <v>1776</v>
      </c>
      <c r="D191" s="851" t="s">
        <v>2053</v>
      </c>
      <c r="E191" s="855" t="s">
        <v>5558</v>
      </c>
      <c r="F191" s="1049" t="str">
        <f>VLOOKUP(E191,DICH!B:C,2,FALSE)</f>
        <v>Product truss system, jack system, amor=2%*3months+7%</v>
      </c>
      <c r="G191" s="856" t="s">
        <v>4644</v>
      </c>
      <c r="H191" s="911">
        <f>2%*3+7%</f>
        <v>0.13</v>
      </c>
      <c r="I191" s="848"/>
      <c r="J191" s="853"/>
      <c r="K191" s="842">
        <f>+J192</f>
        <v>2778476.6103775483</v>
      </c>
      <c r="L191" s="842">
        <f>+J199</f>
        <v>5378353.75</v>
      </c>
      <c r="M191" s="842">
        <f>+J200</f>
        <v>1271422.0785818181</v>
      </c>
      <c r="N191" s="843" t="s">
        <v>457</v>
      </c>
      <c r="O191" s="844"/>
      <c r="P191" s="843"/>
      <c r="Q191" s="657" t="s">
        <v>457</v>
      </c>
    </row>
    <row r="192" spans="1:18" s="658" customFormat="1" ht="15" customHeight="1">
      <c r="A192" s="657">
        <f>IF(B192="",MAX($A$8:A191)+0,MAX($A$8:A191)+1)</f>
        <v>21</v>
      </c>
      <c r="B192" s="835" t="str">
        <f>IF(C192="","",COUNTA($C$10:C193))</f>
        <v/>
      </c>
      <c r="C192" s="362"/>
      <c r="D192" s="845"/>
      <c r="E192" s="852" t="s">
        <v>2032</v>
      </c>
      <c r="F192" s="848" t="str">
        <f>VLOOKUP(E192,DICH!B:C,2,FALSE)</f>
        <v xml:space="preserve">  A - Material</v>
      </c>
      <c r="G192" s="846"/>
      <c r="H192" s="847"/>
      <c r="I192" s="848"/>
      <c r="J192" s="849">
        <f>SUM(J193:J198)</f>
        <v>2778476.6103775483</v>
      </c>
      <c r="K192" s="850"/>
      <c r="L192" s="850"/>
      <c r="M192" s="850"/>
      <c r="N192" s="843" t="s">
        <v>457</v>
      </c>
      <c r="O192" s="844"/>
      <c r="P192" s="843"/>
      <c r="Q192" s="657" t="s">
        <v>457</v>
      </c>
    </row>
    <row r="193" spans="1:18" ht="15" customHeight="1">
      <c r="A193" s="657">
        <f>IF(B193="",MAX($A$8:A192)+0,MAX($A$8:A192)+1)</f>
        <v>21</v>
      </c>
      <c r="B193" s="835" t="str">
        <f>IF(C193="","",COUNTA($C$10:C194))</f>
        <v/>
      </c>
      <c r="C193" s="362"/>
      <c r="D193" s="851" t="s">
        <v>2255</v>
      </c>
      <c r="E193" s="852" t="s">
        <v>562</v>
      </c>
      <c r="F193" s="848" t="str">
        <f>VLOOKUP(E193,DICH!B:C,2,FALSE)</f>
        <v>Plate steel</v>
      </c>
      <c r="G193" s="362" t="s">
        <v>558</v>
      </c>
      <c r="H193" s="847">
        <f>825*H191</f>
        <v>107.25</v>
      </c>
      <c r="I193" s="848">
        <f>VLOOKUP(E193,'11.gia '!$B:$I,8,FALSE)</f>
        <v>12871.348287272725</v>
      </c>
      <c r="J193" s="853">
        <f>I193*H193</f>
        <v>1380452.1038099998</v>
      </c>
      <c r="N193" s="843" t="s">
        <v>457</v>
      </c>
      <c r="O193" s="844">
        <f>+$H$156</f>
        <v>2.5</v>
      </c>
      <c r="P193" s="843"/>
      <c r="Q193" s="657" t="s">
        <v>457</v>
      </c>
    </row>
    <row r="194" spans="1:18" ht="15" customHeight="1">
      <c r="A194" s="657">
        <f>IF(B194="",MAX($A$8:A193)+0,MAX($A$8:A193)+1)</f>
        <v>21</v>
      </c>
      <c r="B194" s="835" t="str">
        <f>IF(C194="","",COUNTA($C$10:C195))</f>
        <v/>
      </c>
      <c r="C194" s="362"/>
      <c r="D194" s="851" t="s">
        <v>2255</v>
      </c>
      <c r="E194" s="852" t="s">
        <v>671</v>
      </c>
      <c r="F194" s="848" t="str">
        <f>VLOOKUP(E194,DICH!B:C,2,FALSE)</f>
        <v>steel bar D&lt;=18</v>
      </c>
      <c r="G194" s="362" t="s">
        <v>558</v>
      </c>
      <c r="H194" s="847">
        <f>275.5*H191</f>
        <v>35.814999999999998</v>
      </c>
      <c r="I194" s="848">
        <f>VLOOKUP(E194,'11.gia '!$B:$I,8,FALSE)</f>
        <v>16604.075560000001</v>
      </c>
      <c r="J194" s="853">
        <f>I194*H194</f>
        <v>594674.9661814</v>
      </c>
      <c r="N194" s="843" t="s">
        <v>457</v>
      </c>
      <c r="O194" s="844">
        <f>+$H$156</f>
        <v>2.5</v>
      </c>
      <c r="P194" s="843"/>
      <c r="Q194" s="657" t="s">
        <v>457</v>
      </c>
    </row>
    <row r="195" spans="1:18" ht="15" customHeight="1">
      <c r="A195" s="657">
        <f>IF(B195="",MAX($A$8:A194)+0,MAX($A$8:A194)+1)</f>
        <v>21</v>
      </c>
      <c r="B195" s="835" t="str">
        <f>IF(C195="","",COUNTA($C$10:C196))</f>
        <v/>
      </c>
      <c r="C195" s="362"/>
      <c r="D195" s="851"/>
      <c r="E195" s="852" t="s">
        <v>559</v>
      </c>
      <c r="F195" s="848" t="str">
        <f>VLOOKUP(E195,DICH!B:C,2,FALSE)</f>
        <v>welding electrode</v>
      </c>
      <c r="G195" s="362" t="s">
        <v>558</v>
      </c>
      <c r="H195" s="847">
        <v>19.38</v>
      </c>
      <c r="I195" s="848">
        <f>VLOOKUP(E195,'11.gia '!$B:$I,8,FALSE)</f>
        <v>19090.909090909088</v>
      </c>
      <c r="J195" s="853">
        <f>I195*H195</f>
        <v>369981.81818181812</v>
      </c>
      <c r="N195" s="843" t="s">
        <v>457</v>
      </c>
      <c r="O195" s="844">
        <f>+$H$156</f>
        <v>2.5</v>
      </c>
      <c r="P195" s="843"/>
      <c r="Q195" s="657" t="s">
        <v>457</v>
      </c>
    </row>
    <row r="196" spans="1:18" ht="15" customHeight="1">
      <c r="A196" s="657">
        <f>IF(B196="",MAX($A$8:A195)+0,MAX($A$8:A195)+1)</f>
        <v>21</v>
      </c>
      <c r="B196" s="835" t="str">
        <f>IF(C196="","",COUNTA($C$10:C197))</f>
        <v/>
      </c>
      <c r="C196" s="362"/>
      <c r="D196" s="851"/>
      <c r="E196" s="852" t="s">
        <v>564</v>
      </c>
      <c r="F196" s="848" t="str">
        <f>VLOOKUP(E196,DICH!B:C,2,FALSE)</f>
        <v>oxygen</v>
      </c>
      <c r="G196" s="362" t="s">
        <v>4647</v>
      </c>
      <c r="H196" s="847">
        <v>3.3</v>
      </c>
      <c r="I196" s="848">
        <f>VLOOKUP(E196,'11.gia '!$B:$I,8,FALSE)</f>
        <v>48000</v>
      </c>
      <c r="J196" s="853">
        <f>I196*H196</f>
        <v>158400</v>
      </c>
      <c r="N196" s="843" t="s">
        <v>457</v>
      </c>
      <c r="O196" s="844">
        <f>+$H$156</f>
        <v>2.5</v>
      </c>
      <c r="P196" s="843"/>
      <c r="Q196" s="657" t="s">
        <v>457</v>
      </c>
    </row>
    <row r="197" spans="1:18" ht="15" customHeight="1">
      <c r="A197" s="657">
        <f>IF(B197="",MAX($A$8:A196)+0,MAX($A$8:A196)+1)</f>
        <v>21</v>
      </c>
      <c r="B197" s="835" t="str">
        <f>IF(C197="","",COUNTA($C$10:C198))</f>
        <v/>
      </c>
      <c r="C197" s="362"/>
      <c r="D197" s="851"/>
      <c r="E197" s="852" t="s">
        <v>566</v>
      </c>
      <c r="F197" s="848" t="str">
        <f>VLOOKUP(E197,DICH!B:C,2,FALSE)</f>
        <v>Calcium carbide</v>
      </c>
      <c r="G197" s="362" t="s">
        <v>558</v>
      </c>
      <c r="H197" s="847">
        <v>14.8</v>
      </c>
      <c r="I197" s="848">
        <f>VLOOKUP(E197,'11.gia '!$B:$I,8,FALSE)</f>
        <v>14000</v>
      </c>
      <c r="J197" s="853">
        <f>I197*H197</f>
        <v>207200</v>
      </c>
      <c r="N197" s="843" t="s">
        <v>457</v>
      </c>
      <c r="O197" s="844">
        <f>+$H$156</f>
        <v>2.5</v>
      </c>
      <c r="P197" s="843"/>
      <c r="Q197" s="657" t="s">
        <v>457</v>
      </c>
    </row>
    <row r="198" spans="1:18" ht="15" customHeight="1">
      <c r="A198" s="657">
        <f>IF(B198="",MAX($A$8:A197)+0,MAX($A$8:A197)+1)</f>
        <v>21</v>
      </c>
      <c r="B198" s="835" t="str">
        <f>IF(C198="","",COUNTA($C$10:C199))</f>
        <v/>
      </c>
      <c r="C198" s="362"/>
      <c r="D198" s="851"/>
      <c r="E198" s="852" t="s">
        <v>555</v>
      </c>
      <c r="F198" s="848" t="str">
        <f>VLOOKUP(E198,DICH!B:C,2,FALSE)</f>
        <v>Other material</v>
      </c>
      <c r="G198" s="362" t="s">
        <v>554</v>
      </c>
      <c r="H198" s="847">
        <v>2.5</v>
      </c>
      <c r="I198" s="848">
        <f>SUM(J193:J197)</f>
        <v>2710708.8881732179</v>
      </c>
      <c r="J198" s="853">
        <f>I198*H198%</f>
        <v>67767.72220433045</v>
      </c>
      <c r="N198" s="843" t="s">
        <v>457</v>
      </c>
      <c r="O198" s="844"/>
      <c r="P198" s="843"/>
      <c r="Q198" s="657" t="s">
        <v>457</v>
      </c>
    </row>
    <row r="199" spans="1:18" s="658" customFormat="1" ht="15" customHeight="1">
      <c r="A199" s="657">
        <f>IF(B199="",MAX($A$8:A198)+0,MAX($A$8:A198)+1)</f>
        <v>21</v>
      </c>
      <c r="B199" s="835" t="str">
        <f>IF(C199="","",COUNTA($C$10:C200))</f>
        <v/>
      </c>
      <c r="C199" s="362"/>
      <c r="D199" s="845"/>
      <c r="E199" s="852" t="s">
        <v>2040</v>
      </c>
      <c r="F199" s="848" t="str">
        <f>VLOOKUP(E199,DICH!B:C,2,FALSE)</f>
        <v xml:space="preserve">  B - Labour 4.5/7</v>
      </c>
      <c r="G199" s="362" t="s">
        <v>4899</v>
      </c>
      <c r="H199" s="847">
        <f>22.61</f>
        <v>22.61</v>
      </c>
      <c r="I199" s="848">
        <f>VLOOKUP(E199,'16.NC'!$C$11:$F$22,4,FALSE)</f>
        <v>237875</v>
      </c>
      <c r="J199" s="849">
        <f>I199*H199</f>
        <v>5378353.75</v>
      </c>
      <c r="K199" s="850"/>
      <c r="L199" s="850"/>
      <c r="M199" s="850"/>
      <c r="N199" s="843" t="s">
        <v>457</v>
      </c>
      <c r="O199" s="844"/>
      <c r="P199" s="843"/>
      <c r="Q199" s="657" t="s">
        <v>457</v>
      </c>
      <c r="R199" s="658">
        <v>1</v>
      </c>
    </row>
    <row r="200" spans="1:18" s="658" customFormat="1" ht="15" customHeight="1">
      <c r="A200" s="657">
        <f>IF(B200="",MAX($A$8:A199)+0,MAX($A$8:A199)+1)</f>
        <v>21</v>
      </c>
      <c r="B200" s="835" t="str">
        <f>IF(C200="","",COUNTA($C$10:C201))</f>
        <v/>
      </c>
      <c r="C200" s="362"/>
      <c r="D200" s="845"/>
      <c r="E200" s="852" t="s">
        <v>2033</v>
      </c>
      <c r="F200" s="848" t="str">
        <f>VLOOKUP(E200,DICH!B:C,2,FALSE)</f>
        <v xml:space="preserve">  C - Machine</v>
      </c>
      <c r="G200" s="846"/>
      <c r="H200" s="847"/>
      <c r="I200" s="848"/>
      <c r="J200" s="849">
        <f>SUM(J201:J203)</f>
        <v>1271422.0785818181</v>
      </c>
      <c r="K200" s="850"/>
      <c r="L200" s="850"/>
      <c r="M200" s="850"/>
      <c r="N200" s="843" t="s">
        <v>457</v>
      </c>
      <c r="O200" s="844"/>
      <c r="P200" s="843"/>
      <c r="Q200" s="657" t="s">
        <v>457</v>
      </c>
    </row>
    <row r="201" spans="1:18" ht="15" customHeight="1">
      <c r="A201" s="657">
        <f>IF(B201="",MAX($A$8:A200)+0,MAX($A$8:A200)+1)</f>
        <v>21</v>
      </c>
      <c r="B201" s="835" t="str">
        <f>IF(C201="","",COUNTA($C$10:C202))</f>
        <v/>
      </c>
      <c r="C201" s="362"/>
      <c r="D201" s="851"/>
      <c r="E201" s="852" t="s">
        <v>560</v>
      </c>
      <c r="F201" s="848" t="str">
        <f>VLOOKUP(E201,'9.may'!E:F,2,FALSE)</f>
        <v>welding machine 23kW</v>
      </c>
      <c r="G201" s="362" t="s">
        <v>4902</v>
      </c>
      <c r="H201" s="847">
        <f>4.6</f>
        <v>4.5999999999999996</v>
      </c>
      <c r="I201" s="848">
        <f>VLOOKUP(E201,'9.may'!E:W,12,FALSE)</f>
        <v>171649.155</v>
      </c>
      <c r="J201" s="853">
        <f>I201*H201</f>
        <v>789586.1129999999</v>
      </c>
      <c r="N201" s="843" t="s">
        <v>457</v>
      </c>
      <c r="O201" s="844">
        <f>+$H$162</f>
        <v>2</v>
      </c>
      <c r="P201" s="843"/>
      <c r="Q201" s="657" t="s">
        <v>457</v>
      </c>
    </row>
    <row r="202" spans="1:18" ht="15" customHeight="1">
      <c r="A202" s="657">
        <f>IF(B202="",MAX($A$8:A201)+0,MAX($A$8:A201)+1)</f>
        <v>21</v>
      </c>
      <c r="B202" s="835" t="str">
        <f>IF(C202="","",COUNTA($C$10:C203))</f>
        <v/>
      </c>
      <c r="C202" s="362"/>
      <c r="D202" s="851"/>
      <c r="E202" s="852" t="s">
        <v>1417</v>
      </c>
      <c r="F202" s="848" t="str">
        <f>VLOOKUP(E202,'9.may'!E:F,2,FALSE)</f>
        <v>Cutting machine 15Kw</v>
      </c>
      <c r="G202" s="362" t="s">
        <v>4902</v>
      </c>
      <c r="H202" s="847">
        <f>0.4</f>
        <v>0.4</v>
      </c>
      <c r="I202" s="848">
        <f>VLOOKUP(E202,'9.may'!E:W,12,FALSE)</f>
        <v>204698.78999999998</v>
      </c>
      <c r="J202" s="853">
        <f>I202*H202</f>
        <v>81879.516000000003</v>
      </c>
      <c r="N202" s="843" t="s">
        <v>457</v>
      </c>
      <c r="O202" s="844">
        <f>+$H$162</f>
        <v>2</v>
      </c>
      <c r="P202" s="843"/>
      <c r="Q202" s="657" t="s">
        <v>457</v>
      </c>
    </row>
    <row r="203" spans="1:18" ht="15" customHeight="1">
      <c r="A203" s="657">
        <f>IF(B203="",MAX($A$8:A202)+0,MAX($A$8:A202)+1)</f>
        <v>21</v>
      </c>
      <c r="B203" s="835" t="str">
        <f>IF(C203="","",COUNTA($C$10:C217))</f>
        <v/>
      </c>
      <c r="C203" s="362"/>
      <c r="D203" s="851"/>
      <c r="E203" s="852" t="s">
        <v>1038</v>
      </c>
      <c r="F203" s="848" t="str">
        <f>VLOOKUP(E203,'9.may'!E:F,2,FALSE)</f>
        <v>caterpillar crane 10T/ crawler crane 10T</v>
      </c>
      <c r="G203" s="362" t="s">
        <v>4902</v>
      </c>
      <c r="H203" s="847">
        <f>0.27</f>
        <v>0.27</v>
      </c>
      <c r="I203" s="848">
        <f>VLOOKUP(E203,'9.may'!E:W,12,FALSE)</f>
        <v>1481320.1836363636</v>
      </c>
      <c r="J203" s="853">
        <f>I203*H203</f>
        <v>399956.44958181819</v>
      </c>
      <c r="N203" s="843" t="s">
        <v>457</v>
      </c>
      <c r="O203" s="844">
        <f>+$H$162</f>
        <v>2</v>
      </c>
      <c r="P203" s="843"/>
      <c r="Q203" s="657" t="s">
        <v>457</v>
      </c>
    </row>
    <row r="204" spans="1:18" ht="15" customHeight="1">
      <c r="A204" s="657">
        <f>IF(B204="",MAX($A$8:A203)+0,MAX($A$8:A203)+1)</f>
        <v>22</v>
      </c>
      <c r="B204" s="835">
        <f>IF(C204="","",COUNTA($C$10:C205))</f>
        <v>22</v>
      </c>
      <c r="C204" s="835">
        <f>IF(D204="","",1776)</f>
        <v>1776</v>
      </c>
      <c r="D204" s="851" t="s">
        <v>670</v>
      </c>
      <c r="E204" s="855" t="s">
        <v>108</v>
      </c>
      <c r="F204" s="1049" t="str">
        <f>VLOOKUP(E204,DICH!B:C,2,FALSE)</f>
        <v>Installing steel structure</v>
      </c>
      <c r="G204" s="856" t="s">
        <v>4644</v>
      </c>
      <c r="H204" s="847"/>
      <c r="I204" s="848"/>
      <c r="J204" s="853"/>
      <c r="K204" s="842">
        <f>+J205</f>
        <v>678100.76452999993</v>
      </c>
      <c r="L204" s="842">
        <f>+J210</f>
        <v>3656080.9</v>
      </c>
      <c r="M204" s="842">
        <f>+J211</f>
        <v>290773.66856999998</v>
      </c>
      <c r="N204" s="843" t="e">
        <f>SUMIF(#REF!,'8.Dgia'!A204,#REF!)+SUMIF(#REF!,'8.Dgia'!A204,#REF!)+SUMIF(#REF!,'8.Dgia'!A204,#REF!)+SUMIF(#REF!,'8.Dgia'!A204,#REF!)</f>
        <v>#REF!</v>
      </c>
      <c r="O204" s="844"/>
      <c r="P204" s="843" t="e">
        <f t="shared" si="4"/>
        <v>#REF!</v>
      </c>
      <c r="Q204" s="657" t="s">
        <v>457</v>
      </c>
    </row>
    <row r="205" spans="1:18" s="658" customFormat="1" ht="15" customHeight="1">
      <c r="A205" s="657">
        <f>IF(B205="",MAX($A$8:A204)+0,MAX($A$8:A204)+1)</f>
        <v>22</v>
      </c>
      <c r="B205" s="835" t="str">
        <f>IF(C205="","",COUNTA($C$10:C206))</f>
        <v/>
      </c>
      <c r="C205" s="362"/>
      <c r="D205" s="845"/>
      <c r="E205" s="852" t="s">
        <v>2032</v>
      </c>
      <c r="F205" s="848" t="str">
        <f>VLOOKUP(E205,DICH!B:C,2,FALSE)</f>
        <v xml:space="preserve">  A - Material</v>
      </c>
      <c r="G205" s="362"/>
      <c r="H205" s="847"/>
      <c r="I205" s="848"/>
      <c r="J205" s="849">
        <f>SUM(J206:J209)</f>
        <v>678100.76452999993</v>
      </c>
      <c r="K205" s="850"/>
      <c r="L205" s="850"/>
      <c r="M205" s="850"/>
      <c r="N205" s="843" t="e">
        <f>SUMIF(#REF!,'8.Dgia'!A205,#REF!)+SUMIF(#REF!,'8.Dgia'!A205,#REF!)+SUMIF(#REF!,'8.Dgia'!A205,#REF!)+SUMIF(#REF!,'8.Dgia'!A205,#REF!)</f>
        <v>#REF!</v>
      </c>
      <c r="O205" s="844"/>
      <c r="P205" s="843" t="e">
        <f t="shared" si="4"/>
        <v>#REF!</v>
      </c>
      <c r="Q205" s="657" t="s">
        <v>457</v>
      </c>
    </row>
    <row r="206" spans="1:18" ht="15" customHeight="1">
      <c r="A206" s="657">
        <f>IF(B206="",MAX($A$8:A205)+0,MAX($A$8:A205)+1)</f>
        <v>22</v>
      </c>
      <c r="B206" s="835" t="str">
        <f>IF(C206="","",COUNTA($C$10:C207))</f>
        <v/>
      </c>
      <c r="C206" s="362"/>
      <c r="D206" s="851"/>
      <c r="E206" s="852" t="s">
        <v>559</v>
      </c>
      <c r="F206" s="848" t="str">
        <f>VLOOKUP(E206,DICH!B:C,2,FALSE)</f>
        <v>welding electrode</v>
      </c>
      <c r="G206" s="362" t="s">
        <v>558</v>
      </c>
      <c r="H206" s="847">
        <v>3.87</v>
      </c>
      <c r="I206" s="848">
        <f>VLOOKUP(E206,'11.gia '!$B:$I,8,FALSE)</f>
        <v>19090.909090909088</v>
      </c>
      <c r="J206" s="853">
        <f>I206*H206</f>
        <v>73881.818181818177</v>
      </c>
      <c r="N206" s="843" t="e">
        <f>SUMIF(#REF!,'8.Dgia'!A206,#REF!)+SUMIF(#REF!,'8.Dgia'!A206,#REF!)+SUMIF(#REF!,'8.Dgia'!A206,#REF!)+SUMIF(#REF!,'8.Dgia'!A206,#REF!)</f>
        <v>#REF!</v>
      </c>
      <c r="O206" s="844">
        <f>+$H$209</f>
        <v>10</v>
      </c>
      <c r="P206" s="843" t="e">
        <f t="shared" si="4"/>
        <v>#REF!</v>
      </c>
      <c r="Q206" s="657" t="s">
        <v>457</v>
      </c>
    </row>
    <row r="207" spans="1:18" ht="15" customHeight="1">
      <c r="A207" s="657">
        <f>IF(B207="",MAX($A$8:A206)+0,MAX($A$8:A206)+1)</f>
        <v>22</v>
      </c>
      <c r="B207" s="835" t="str">
        <f>IF(C207="","",COUNTA($C$10:C208))</f>
        <v/>
      </c>
      <c r="C207" s="362"/>
      <c r="D207" s="851"/>
      <c r="E207" s="852" t="s">
        <v>671</v>
      </c>
      <c r="F207" s="848" t="str">
        <f>VLOOKUP(E207,DICH!B:C,2,FALSE)</f>
        <v>steel bar D&lt;=18</v>
      </c>
      <c r="G207" s="362" t="s">
        <v>558</v>
      </c>
      <c r="H207" s="847">
        <v>17.5</v>
      </c>
      <c r="I207" s="848">
        <f>VLOOKUP(E207,'11.gia '!$B:$I,8,FALSE)</f>
        <v>16604.075560000001</v>
      </c>
      <c r="J207" s="853">
        <f>I207*H207</f>
        <v>290571.3223</v>
      </c>
      <c r="N207" s="843" t="e">
        <f>SUMIF(#REF!,'8.Dgia'!A207,#REF!)+SUMIF(#REF!,'8.Dgia'!A207,#REF!)+SUMIF(#REF!,'8.Dgia'!A207,#REF!)+SUMIF(#REF!,'8.Dgia'!A207,#REF!)</f>
        <v>#REF!</v>
      </c>
      <c r="O207" s="844">
        <f>+$H$209</f>
        <v>10</v>
      </c>
      <c r="P207" s="843" t="e">
        <f t="shared" si="4"/>
        <v>#REF!</v>
      </c>
      <c r="Q207" s="657" t="s">
        <v>457</v>
      </c>
    </row>
    <row r="208" spans="1:18" ht="15" customHeight="1">
      <c r="A208" s="657">
        <f>IF(B208="",MAX($A$8:A207)+0,MAX($A$8:A207)+1)</f>
        <v>22</v>
      </c>
      <c r="B208" s="835" t="str">
        <f>IF(C208="","",COUNTA($C$10:C209))</f>
        <v/>
      </c>
      <c r="C208" s="362"/>
      <c r="D208" s="851"/>
      <c r="E208" s="852" t="s">
        <v>459</v>
      </c>
      <c r="F208" s="848" t="str">
        <f>VLOOKUP(E208,DICH!B:C,2,FALSE)</f>
        <v>Steel ware</v>
      </c>
      <c r="G208" s="362" t="s">
        <v>558</v>
      </c>
      <c r="H208" s="847">
        <v>14.7</v>
      </c>
      <c r="I208" s="848">
        <f>VLOOKUP(E208,'11.gia '!$B:$I,8,FALSE)</f>
        <v>17143</v>
      </c>
      <c r="J208" s="853">
        <f>I208*H208</f>
        <v>252002.09999999998</v>
      </c>
      <c r="N208" s="843" t="e">
        <f>SUMIF(#REF!,'8.Dgia'!A208,#REF!)+SUMIF(#REF!,'8.Dgia'!A208,#REF!)+SUMIF(#REF!,'8.Dgia'!A208,#REF!)+SUMIF(#REF!,'8.Dgia'!A208,#REF!)</f>
        <v>#REF!</v>
      </c>
      <c r="O208" s="844">
        <f>+$H$209</f>
        <v>10</v>
      </c>
      <c r="P208" s="843" t="e">
        <f t="shared" si="4"/>
        <v>#REF!</v>
      </c>
      <c r="Q208" s="657" t="s">
        <v>457</v>
      </c>
    </row>
    <row r="209" spans="1:18" ht="15" customHeight="1">
      <c r="A209" s="657">
        <f>IF(B209="",MAX($A$8:A208)+0,MAX($A$8:A208)+1)</f>
        <v>22</v>
      </c>
      <c r="B209" s="835" t="str">
        <f>IF(C209="","",COUNTA($C$10:C210))</f>
        <v/>
      </c>
      <c r="C209" s="362"/>
      <c r="D209" s="851"/>
      <c r="E209" s="852" t="s">
        <v>555</v>
      </c>
      <c r="F209" s="848" t="str">
        <f>VLOOKUP(E209,DICH!B:C,2,FALSE)</f>
        <v>Other material</v>
      </c>
      <c r="G209" s="362" t="s">
        <v>554</v>
      </c>
      <c r="H209" s="847">
        <v>10</v>
      </c>
      <c r="I209" s="848">
        <f>SUM(J206:J208)</f>
        <v>616455.24048181809</v>
      </c>
      <c r="J209" s="853">
        <f>I209*H209%</f>
        <v>61645.524048181811</v>
      </c>
      <c r="N209" s="843" t="e">
        <f>SUMIF(#REF!,'8.Dgia'!A209,#REF!)+SUMIF(#REF!,'8.Dgia'!A209,#REF!)+SUMIF(#REF!,'8.Dgia'!A209,#REF!)+SUMIF(#REF!,'8.Dgia'!A209,#REF!)</f>
        <v>#REF!</v>
      </c>
      <c r="O209" s="844"/>
      <c r="P209" s="843" t="e">
        <f t="shared" si="4"/>
        <v>#REF!</v>
      </c>
      <c r="Q209" s="657" t="s">
        <v>457</v>
      </c>
    </row>
    <row r="210" spans="1:18" s="658" customFormat="1" ht="15" customHeight="1">
      <c r="A210" s="657">
        <f>IF(B210="",MAX($A$8:A209)+0,MAX($A$8:A209)+1)</f>
        <v>22</v>
      </c>
      <c r="B210" s="835" t="str">
        <f>IF(C210="","",COUNTA($C$10:C211))</f>
        <v/>
      </c>
      <c r="C210" s="362"/>
      <c r="D210" s="845"/>
      <c r="E210" s="852" t="s">
        <v>2039</v>
      </c>
      <c r="F210" s="848" t="str">
        <f>VLOOKUP(E210,DICH!B:C,2,FALSE)</f>
        <v xml:space="preserve">  B - Labour 4.0/7</v>
      </c>
      <c r="G210" s="362" t="s">
        <v>4899</v>
      </c>
      <c r="H210" s="847">
        <v>16.7</v>
      </c>
      <c r="I210" s="848">
        <f>VLOOKUP(E210,'16.NC'!$C$11:$F$22,4,FALSE)</f>
        <v>218927</v>
      </c>
      <c r="J210" s="849">
        <f>I210*H210</f>
        <v>3656080.9</v>
      </c>
      <c r="K210" s="850"/>
      <c r="L210" s="850"/>
      <c r="M210" s="850"/>
      <c r="N210" s="843" t="e">
        <f>SUMIF(#REF!,'8.Dgia'!A210,#REF!)+SUMIF(#REF!,'8.Dgia'!A210,#REF!)+SUMIF(#REF!,'8.Dgia'!A210,#REF!)+SUMIF(#REF!,'8.Dgia'!A210,#REF!)</f>
        <v>#REF!</v>
      </c>
      <c r="O210" s="844"/>
      <c r="P210" s="843" t="e">
        <f t="shared" si="4"/>
        <v>#REF!</v>
      </c>
      <c r="Q210" s="657" t="s">
        <v>457</v>
      </c>
      <c r="R210" s="658">
        <v>1</v>
      </c>
    </row>
    <row r="211" spans="1:18" s="658" customFormat="1" ht="15" customHeight="1">
      <c r="A211" s="657">
        <f>IF(B211="",MAX($A$8:A210)+0,MAX($A$8:A210)+1)</f>
        <v>22</v>
      </c>
      <c r="B211" s="835" t="str">
        <f>IF(C211="","",COUNTA($C$10:C212))</f>
        <v/>
      </c>
      <c r="C211" s="362"/>
      <c r="D211" s="845"/>
      <c r="E211" s="852" t="s">
        <v>2033</v>
      </c>
      <c r="F211" s="848" t="str">
        <f>VLOOKUP(E211,DICH!B:C,2,FALSE)</f>
        <v xml:space="preserve">  C - Machine</v>
      </c>
      <c r="G211" s="846"/>
      <c r="H211" s="847"/>
      <c r="I211" s="848"/>
      <c r="J211" s="849">
        <f>SUM(J212:J213)</f>
        <v>290773.66856999998</v>
      </c>
      <c r="K211" s="850"/>
      <c r="L211" s="850"/>
      <c r="M211" s="850"/>
      <c r="N211" s="843" t="e">
        <f>SUMIF(#REF!,'8.Dgia'!A211,#REF!)+SUMIF(#REF!,'8.Dgia'!A211,#REF!)+SUMIF(#REF!,'8.Dgia'!A211,#REF!)+SUMIF(#REF!,'8.Dgia'!A211,#REF!)</f>
        <v>#REF!</v>
      </c>
      <c r="O211" s="844"/>
      <c r="P211" s="843" t="e">
        <f t="shared" si="4"/>
        <v>#REF!</v>
      </c>
      <c r="Q211" s="657" t="s">
        <v>457</v>
      </c>
    </row>
    <row r="212" spans="1:18" ht="15" customHeight="1">
      <c r="A212" s="657">
        <f>IF(B212="",MAX($A$8:A211)+0,MAX($A$8:A211)+1)</f>
        <v>22</v>
      </c>
      <c r="B212" s="835" t="str">
        <f>IF(C212="","",COUNTA($C$10:C213))</f>
        <v/>
      </c>
      <c r="C212" s="362"/>
      <c r="D212" s="851"/>
      <c r="E212" s="852" t="s">
        <v>290</v>
      </c>
      <c r="F212" s="848" t="str">
        <f>VLOOKUP(E212,'9.may'!E:F,2,FALSE)</f>
        <v>welding machine 23kW</v>
      </c>
      <c r="G212" s="362" t="s">
        <v>4902</v>
      </c>
      <c r="H212" s="847">
        <v>1.54</v>
      </c>
      <c r="I212" s="848">
        <f>VLOOKUP(E212,'9.may'!E:W,12,FALSE)</f>
        <v>171649.155</v>
      </c>
      <c r="J212" s="853">
        <f>I212*H212</f>
        <v>264339.69870000001</v>
      </c>
      <c r="N212" s="843" t="e">
        <f>SUMIF(#REF!,'8.Dgia'!A212,#REF!)+SUMIF(#REF!,'8.Dgia'!A212,#REF!)+SUMIF(#REF!,'8.Dgia'!A212,#REF!)+SUMIF(#REF!,'8.Dgia'!A212,#REF!)</f>
        <v>#REF!</v>
      </c>
      <c r="O212" s="844">
        <f>+$H$213</f>
        <v>10</v>
      </c>
      <c r="P212" s="843" t="e">
        <f t="shared" si="4"/>
        <v>#REF!</v>
      </c>
      <c r="Q212" s="657" t="s">
        <v>457</v>
      </c>
    </row>
    <row r="213" spans="1:18" ht="15" customHeight="1">
      <c r="A213" s="657">
        <f>IF(B213="",MAX($A$8:A212)+0,MAX($A$8:A212)+1)</f>
        <v>22</v>
      </c>
      <c r="B213" s="835" t="str">
        <f>IF(C213="","",COUNTA($C$10:C214))</f>
        <v/>
      </c>
      <c r="C213" s="362"/>
      <c r="D213" s="851"/>
      <c r="E213" s="852" t="s">
        <v>553</v>
      </c>
      <c r="F213" s="848" t="str">
        <f>VLOOKUP(E213,DICH!B:C,2,FALSE)</f>
        <v>Other machine</v>
      </c>
      <c r="G213" s="362" t="s">
        <v>554</v>
      </c>
      <c r="H213" s="847">
        <v>10</v>
      </c>
      <c r="I213" s="848">
        <f>J212</f>
        <v>264339.69870000001</v>
      </c>
      <c r="J213" s="853">
        <f>I213*H213%</f>
        <v>26433.969870000001</v>
      </c>
      <c r="N213" s="843" t="e">
        <f>SUMIF(#REF!,'8.Dgia'!A213,#REF!)+SUMIF(#REF!,'8.Dgia'!A213,#REF!)+SUMIF(#REF!,'8.Dgia'!A213,#REF!)+SUMIF(#REF!,'8.Dgia'!A213,#REF!)</f>
        <v>#REF!</v>
      </c>
      <c r="O213" s="844"/>
      <c r="P213" s="843" t="e">
        <f t="shared" si="4"/>
        <v>#REF!</v>
      </c>
      <c r="Q213" s="657" t="s">
        <v>457</v>
      </c>
    </row>
    <row r="214" spans="1:18" ht="15" customHeight="1">
      <c r="A214" s="657">
        <f>IF(B214="",MAX($A$8:A213)+0,MAX($A$8:A213)+1)</f>
        <v>23</v>
      </c>
      <c r="B214" s="835">
        <f>IF(C214="","",COUNTA($C$10:C215))</f>
        <v>23</v>
      </c>
      <c r="C214" s="835">
        <f>IF(D214="","",1776)</f>
        <v>1776</v>
      </c>
      <c r="D214" s="851" t="s">
        <v>672</v>
      </c>
      <c r="E214" s="855" t="s">
        <v>673</v>
      </c>
      <c r="F214" s="1049" t="str">
        <f>VLOOKUP(E214,DICH!B:C,2,FALSE)</f>
        <v>Anchor capby tole, 2mm thicknees</v>
      </c>
      <c r="G214" s="856" t="s">
        <v>4644</v>
      </c>
      <c r="H214" s="847"/>
      <c r="I214" s="848"/>
      <c r="J214" s="853"/>
      <c r="K214" s="842">
        <f>+J215</f>
        <v>22296908.863636363</v>
      </c>
      <c r="L214" s="842">
        <f>+J222</f>
        <v>8301837.5</v>
      </c>
      <c r="M214" s="842">
        <f>+J223</f>
        <v>3643892.9769255002</v>
      </c>
      <c r="N214" s="843" t="e">
        <f>SUMIF(#REF!,'8.Dgia'!A214,#REF!)+SUMIF(#REF!,'8.Dgia'!A214,#REF!)+SUMIF(#REF!,'8.Dgia'!A214,#REF!)+SUMIF(#REF!,'8.Dgia'!A214,#REF!)</f>
        <v>#REF!</v>
      </c>
      <c r="O214" s="844"/>
      <c r="P214" s="843" t="e">
        <f t="shared" si="4"/>
        <v>#REF!</v>
      </c>
    </row>
    <row r="215" spans="1:18" s="658" customFormat="1" ht="15" customHeight="1">
      <c r="A215" s="657">
        <f>IF(B215="",MAX($A$8:A214)+0,MAX($A$8:A214)+1)</f>
        <v>23</v>
      </c>
      <c r="B215" s="835" t="str">
        <f>IF(C215="","",COUNTA($C$10:C216))</f>
        <v/>
      </c>
      <c r="C215" s="362"/>
      <c r="D215" s="845"/>
      <c r="E215" s="852" t="s">
        <v>2032</v>
      </c>
      <c r="F215" s="848" t="str">
        <f>VLOOKUP(E215,DICH!B:C,2,FALSE)</f>
        <v xml:space="preserve">  A - Material</v>
      </c>
      <c r="G215" s="846"/>
      <c r="H215" s="847"/>
      <c r="I215" s="848"/>
      <c r="J215" s="849">
        <f>SUM(J216:J221)</f>
        <v>22296908.863636363</v>
      </c>
      <c r="K215" s="850"/>
      <c r="L215" s="850"/>
      <c r="M215" s="850"/>
      <c r="N215" s="843" t="e">
        <f>SUMIF(#REF!,'8.Dgia'!A215,#REF!)+SUMIF(#REF!,'8.Dgia'!A215,#REF!)+SUMIF(#REF!,'8.Dgia'!A215,#REF!)+SUMIF(#REF!,'8.Dgia'!A215,#REF!)</f>
        <v>#REF!</v>
      </c>
      <c r="O215" s="844"/>
      <c r="P215" s="843" t="e">
        <f t="shared" ref="P215:P333" si="11">$H215*N215*(1+O215%)</f>
        <v>#REF!</v>
      </c>
    </row>
    <row r="216" spans="1:18" ht="15" customHeight="1">
      <c r="A216" s="657">
        <f>IF(B216="",MAX($A$8:A215)+0,MAX($A$8:A215)+1)</f>
        <v>23</v>
      </c>
      <c r="B216" s="835" t="str">
        <f>IF(C216="","",COUNTA($C$10:C217))</f>
        <v/>
      </c>
      <c r="C216" s="862"/>
      <c r="D216" s="862" t="s">
        <v>82</v>
      </c>
      <c r="E216" s="852" t="s">
        <v>83</v>
      </c>
      <c r="F216" s="848" t="str">
        <f>VLOOKUP(E216,DICH!B:C,2,FALSE)</f>
        <v>Tole thicknees 2mm</v>
      </c>
      <c r="G216" s="362" t="s">
        <v>558</v>
      </c>
      <c r="H216" s="847">
        <f>1000*1.05</f>
        <v>1050</v>
      </c>
      <c r="I216" s="848">
        <f>VLOOKUP(E216,'11.gia '!$B:$I,8,FALSE)</f>
        <v>20000</v>
      </c>
      <c r="J216" s="853">
        <f>I216*H216</f>
        <v>21000000</v>
      </c>
      <c r="N216" s="843" t="e">
        <f>SUMIF(#REF!,'8.Dgia'!A216,#REF!)+SUMIF(#REF!,'8.Dgia'!A216,#REF!)+SUMIF(#REF!,'8.Dgia'!A216,#REF!)+SUMIF(#REF!,'8.Dgia'!A216,#REF!)</f>
        <v>#REF!</v>
      </c>
      <c r="O216" s="844">
        <f>+$H$221</f>
        <v>2.5</v>
      </c>
      <c r="P216" s="843" t="e">
        <f t="shared" si="11"/>
        <v>#REF!</v>
      </c>
    </row>
    <row r="217" spans="1:18" ht="15" customHeight="1">
      <c r="A217" s="657">
        <f>IF(B217="",MAX($A$8:A216)+0,MAX($A$8:A216)+1)</f>
        <v>23</v>
      </c>
      <c r="B217" s="835" t="str">
        <f>IF(C217="","",COUNTA($C$10:C218))</f>
        <v/>
      </c>
      <c r="C217" s="362"/>
      <c r="D217" s="851"/>
      <c r="E217" s="852" t="s">
        <v>564</v>
      </c>
      <c r="F217" s="848" t="str">
        <f>VLOOKUP(E217,DICH!B:C,2,FALSE)</f>
        <v>oxygen</v>
      </c>
      <c r="G217" s="362" t="s">
        <v>4647</v>
      </c>
      <c r="H217" s="847">
        <v>3.3</v>
      </c>
      <c r="I217" s="848">
        <f>VLOOKUP(E217,'11.gia '!$B:$I,8,FALSE)</f>
        <v>48000</v>
      </c>
      <c r="J217" s="853">
        <f>I217*H217</f>
        <v>158400</v>
      </c>
      <c r="N217" s="843" t="e">
        <f>SUMIF(#REF!,'8.Dgia'!A217,#REF!)+SUMIF(#REF!,'8.Dgia'!A217,#REF!)+SUMIF(#REF!,'8.Dgia'!A217,#REF!)+SUMIF(#REF!,'8.Dgia'!A217,#REF!)</f>
        <v>#REF!</v>
      </c>
      <c r="O217" s="844">
        <f>+$H$221</f>
        <v>2.5</v>
      </c>
      <c r="P217" s="843" t="e">
        <f t="shared" si="11"/>
        <v>#REF!</v>
      </c>
    </row>
    <row r="218" spans="1:18" ht="15" customHeight="1">
      <c r="A218" s="657">
        <f>IF(B218="",MAX($A$8:A217)+0,MAX($A$8:A217)+1)</f>
        <v>23</v>
      </c>
      <c r="B218" s="835" t="str">
        <f>IF(C218="","",COUNTA($C$10:C219))</f>
        <v/>
      </c>
      <c r="C218" s="362"/>
      <c r="D218" s="851"/>
      <c r="E218" s="852" t="s">
        <v>566</v>
      </c>
      <c r="F218" s="848" t="str">
        <f>VLOOKUP(E218,DICH!B:C,2,FALSE)</f>
        <v>Calcium carbide</v>
      </c>
      <c r="G218" s="362" t="s">
        <v>558</v>
      </c>
      <c r="H218" s="847">
        <v>14.8</v>
      </c>
      <c r="I218" s="848">
        <f>VLOOKUP(E218,'11.gia '!$B:$I,8,FALSE)</f>
        <v>14000</v>
      </c>
      <c r="J218" s="853">
        <f>I218*H218</f>
        <v>207200</v>
      </c>
      <c r="N218" s="843" t="e">
        <f>SUMIF(#REF!,'8.Dgia'!A218,#REF!)+SUMIF(#REF!,'8.Dgia'!A218,#REF!)+SUMIF(#REF!,'8.Dgia'!A218,#REF!)+SUMIF(#REF!,'8.Dgia'!A218,#REF!)</f>
        <v>#REF!</v>
      </c>
      <c r="O218" s="844">
        <f>+$H$221</f>
        <v>2.5</v>
      </c>
      <c r="P218" s="843" t="e">
        <f t="shared" si="11"/>
        <v>#REF!</v>
      </c>
    </row>
    <row r="219" spans="1:18" ht="15" customHeight="1">
      <c r="A219" s="657">
        <f>IF(B219="",MAX($A$8:A218)+0,MAX($A$8:A218)+1)</f>
        <v>23</v>
      </c>
      <c r="B219" s="835" t="str">
        <f>IF(C219="","",COUNTA($C$10:C220))</f>
        <v/>
      </c>
      <c r="C219" s="362"/>
      <c r="D219" s="851"/>
      <c r="E219" s="852" t="s">
        <v>406</v>
      </c>
      <c r="F219" s="848" t="str">
        <f>VLOOKUP(E219,DICH!B:C,2,FALSE)</f>
        <v xml:space="preserve">Grinding stone </v>
      </c>
      <c r="G219" s="362" t="s">
        <v>573</v>
      </c>
      <c r="H219" s="847">
        <v>0.7</v>
      </c>
      <c r="I219" s="848">
        <f>VLOOKUP(E219,'11.gia '!$B:$I,8,FALSE)</f>
        <v>25000</v>
      </c>
      <c r="J219" s="853">
        <f>I219*H219</f>
        <v>17500</v>
      </c>
      <c r="N219" s="843" t="e">
        <f>SUMIF(#REF!,'8.Dgia'!A219,#REF!)+SUMIF(#REF!,'8.Dgia'!A219,#REF!)+SUMIF(#REF!,'8.Dgia'!A219,#REF!)+SUMIF(#REF!,'8.Dgia'!A219,#REF!)</f>
        <v>#REF!</v>
      </c>
      <c r="O219" s="844">
        <f>+$H$221</f>
        <v>2.5</v>
      </c>
      <c r="P219" s="843" t="e">
        <f t="shared" si="11"/>
        <v>#REF!</v>
      </c>
    </row>
    <row r="220" spans="1:18" ht="15" customHeight="1">
      <c r="A220" s="657">
        <f>IF(B220="",MAX($A$8:A219)+0,MAX($A$8:A219)+1)</f>
        <v>23</v>
      </c>
      <c r="B220" s="835" t="str">
        <f>IF(C220="","",COUNTA($C$10:C221))</f>
        <v/>
      </c>
      <c r="C220" s="362"/>
      <c r="D220" s="851"/>
      <c r="E220" s="852" t="s">
        <v>559</v>
      </c>
      <c r="F220" s="848" t="str">
        <f>VLOOKUP(E220,DICH!B:C,2,FALSE)</f>
        <v>welding electrode</v>
      </c>
      <c r="G220" s="362" t="s">
        <v>558</v>
      </c>
      <c r="H220" s="847">
        <v>19.38</v>
      </c>
      <c r="I220" s="848">
        <f>VLOOKUP(E220,'11.gia '!$B:$I,8,FALSE)</f>
        <v>19090.909090909088</v>
      </c>
      <c r="J220" s="853">
        <f>I220*H220</f>
        <v>369981.81818181812</v>
      </c>
      <c r="N220" s="843" t="e">
        <f>SUMIF(#REF!,'8.Dgia'!A220,#REF!)+SUMIF(#REF!,'8.Dgia'!A220,#REF!)+SUMIF(#REF!,'8.Dgia'!A220,#REF!)+SUMIF(#REF!,'8.Dgia'!A220,#REF!)</f>
        <v>#REF!</v>
      </c>
      <c r="O220" s="844">
        <f>+$H$221</f>
        <v>2.5</v>
      </c>
      <c r="P220" s="843" t="e">
        <f t="shared" si="11"/>
        <v>#REF!</v>
      </c>
    </row>
    <row r="221" spans="1:18" ht="15" customHeight="1">
      <c r="A221" s="657">
        <f>IF(B221="",MAX($A$8:A220)+0,MAX($A$8:A220)+1)</f>
        <v>23</v>
      </c>
      <c r="B221" s="835" t="str">
        <f>IF(C221="","",COUNTA($C$10:C222))</f>
        <v/>
      </c>
      <c r="C221" s="362"/>
      <c r="D221" s="851"/>
      <c r="E221" s="852" t="s">
        <v>555</v>
      </c>
      <c r="F221" s="848" t="str">
        <f>VLOOKUP(E221,DICH!B:C,2,FALSE)</f>
        <v>Other material</v>
      </c>
      <c r="G221" s="362" t="s">
        <v>554</v>
      </c>
      <c r="H221" s="847">
        <v>2.5</v>
      </c>
      <c r="I221" s="848">
        <f>SUM(J216:J220)</f>
        <v>21753081.818181816</v>
      </c>
      <c r="J221" s="853">
        <f>I221*H221%</f>
        <v>543827.04545454541</v>
      </c>
      <c r="N221" s="843" t="e">
        <f>SUMIF(#REF!,'8.Dgia'!A221,#REF!)+SUMIF(#REF!,'8.Dgia'!A221,#REF!)+SUMIF(#REF!,'8.Dgia'!A221,#REF!)+SUMIF(#REF!,'8.Dgia'!A221,#REF!)</f>
        <v>#REF!</v>
      </c>
      <c r="O221" s="844"/>
      <c r="P221" s="843" t="e">
        <f t="shared" si="11"/>
        <v>#REF!</v>
      </c>
    </row>
    <row r="222" spans="1:18" s="658" customFormat="1" ht="15" customHeight="1">
      <c r="A222" s="657">
        <f>IF(B222="",MAX($A$8:A221)+0,MAX($A$8:A221)+1)</f>
        <v>23</v>
      </c>
      <c r="B222" s="835" t="str">
        <f>IF(C222="","",COUNTA($C$10:C223))</f>
        <v/>
      </c>
      <c r="C222" s="362"/>
      <c r="D222" s="845"/>
      <c r="E222" s="852" t="s">
        <v>2040</v>
      </c>
      <c r="F222" s="848" t="str">
        <f>VLOOKUP(E222,DICH!B:C,2,FALSE)</f>
        <v xml:space="preserve">  B - Labour 4.5/7</v>
      </c>
      <c r="G222" s="362" t="s">
        <v>4899</v>
      </c>
      <c r="H222" s="847">
        <v>34.9</v>
      </c>
      <c r="I222" s="848">
        <f>VLOOKUP(E222,'16.NC'!$C$11:$F$22,4,FALSE)</f>
        <v>237875</v>
      </c>
      <c r="J222" s="849">
        <f>I222*H222</f>
        <v>8301837.5</v>
      </c>
      <c r="K222" s="850"/>
      <c r="L222" s="850"/>
      <c r="M222" s="850"/>
      <c r="N222" s="843" t="e">
        <f>SUMIF(#REF!,'8.Dgia'!A222,#REF!)+SUMIF(#REF!,'8.Dgia'!A222,#REF!)+SUMIF(#REF!,'8.Dgia'!A222,#REF!)+SUMIF(#REF!,'8.Dgia'!A222,#REF!)</f>
        <v>#REF!</v>
      </c>
      <c r="O222" s="844"/>
      <c r="P222" s="843" t="e">
        <f t="shared" si="11"/>
        <v>#REF!</v>
      </c>
      <c r="R222" s="658">
        <v>1</v>
      </c>
    </row>
    <row r="223" spans="1:18" s="658" customFormat="1" ht="15" customHeight="1">
      <c r="A223" s="657">
        <f>IF(B223="",MAX($A$8:A222)+0,MAX($A$8:A222)+1)</f>
        <v>23</v>
      </c>
      <c r="B223" s="835" t="str">
        <f>IF(C223="","",COUNTA($C$10:C224))</f>
        <v/>
      </c>
      <c r="C223" s="362"/>
      <c r="D223" s="845"/>
      <c r="E223" s="852" t="s">
        <v>2033</v>
      </c>
      <c r="F223" s="848" t="str">
        <f>VLOOKUP(E223,DICH!B:C,2,FALSE)</f>
        <v xml:space="preserve">  C - Machine</v>
      </c>
      <c r="G223" s="846"/>
      <c r="H223" s="847"/>
      <c r="I223" s="848"/>
      <c r="J223" s="849">
        <f>SUM(J224:J227)</f>
        <v>3643892.9769255002</v>
      </c>
      <c r="K223" s="850"/>
      <c r="L223" s="850"/>
      <c r="M223" s="850"/>
      <c r="N223" s="843" t="e">
        <f>SUMIF(#REF!,'8.Dgia'!A223,#REF!)+SUMIF(#REF!,'8.Dgia'!A223,#REF!)+SUMIF(#REF!,'8.Dgia'!A223,#REF!)+SUMIF(#REF!,'8.Dgia'!A223,#REF!)</f>
        <v>#REF!</v>
      </c>
      <c r="O223" s="844"/>
      <c r="P223" s="843" t="e">
        <f t="shared" si="11"/>
        <v>#REF!</v>
      </c>
    </row>
    <row r="224" spans="1:18" s="2009" customFormat="1" ht="15" customHeight="1">
      <c r="A224" s="2009">
        <f>IF(B224="",MAX($A$8:A223)+0,MAX($A$8:A223)+1)</f>
        <v>23</v>
      </c>
      <c r="B224" s="2137" t="str">
        <f>IF(C224="","",COUNTA($C$10:C225))</f>
        <v/>
      </c>
      <c r="C224" s="2138"/>
      <c r="D224" s="2139"/>
      <c r="E224" s="2140" t="s">
        <v>560</v>
      </c>
      <c r="F224" s="848" t="str">
        <f>VLOOKUP(E224,'9.may'!E:F,2,FALSE)</f>
        <v>welding machine 23kW</v>
      </c>
      <c r="G224" s="2138" t="s">
        <v>4902</v>
      </c>
      <c r="H224" s="2141">
        <v>19.38</v>
      </c>
      <c r="I224" s="2142">
        <f>VLOOKUP(E224,'9.may'!E:W,12,FALSE)</f>
        <v>171649.155</v>
      </c>
      <c r="J224" s="853">
        <f>I224*H224</f>
        <v>3326560.6239</v>
      </c>
      <c r="K224" s="2010"/>
      <c r="L224" s="2010"/>
      <c r="M224" s="2010"/>
      <c r="N224" s="2144" t="e">
        <f>SUMIF(#REF!,'8.Dgia'!A224,#REF!)+SUMIF(#REF!,'8.Dgia'!A224,#REF!)+SUMIF(#REF!,'8.Dgia'!A224,#REF!)+SUMIF(#REF!,'8.Dgia'!A224,#REF!)</f>
        <v>#REF!</v>
      </c>
      <c r="O224" s="2145">
        <f>+$H$227</f>
        <v>2</v>
      </c>
      <c r="P224" s="2144" t="e">
        <f t="shared" si="11"/>
        <v>#REF!</v>
      </c>
    </row>
    <row r="225" spans="1:19" ht="15" customHeight="1">
      <c r="A225" s="657">
        <f>IF(B225="",MAX($A$8:A224)+0,MAX($A$8:A224)+1)</f>
        <v>23</v>
      </c>
      <c r="B225" s="835" t="str">
        <f>IF(C225="","",COUNTA($C$10:C226))</f>
        <v/>
      </c>
      <c r="C225" s="362"/>
      <c r="D225" s="851"/>
      <c r="E225" s="852" t="s">
        <v>422</v>
      </c>
      <c r="F225" s="848" t="str">
        <f>VLOOKUP(E225,'9.may'!E:F,2,FALSE)</f>
        <v>sharpener 2.7kW</v>
      </c>
      <c r="G225" s="362" t="s">
        <v>4902</v>
      </c>
      <c r="H225" s="847">
        <v>1.55</v>
      </c>
      <c r="I225" s="848">
        <f>VLOOKUP(E225,'9.may'!E:W,12,FALSE)</f>
        <v>67591.852499999994</v>
      </c>
      <c r="J225" s="853">
        <f>I225*H225</f>
        <v>104767.37137499999</v>
      </c>
      <c r="N225" s="843" t="e">
        <f>SUMIF(#REF!,'8.Dgia'!A225,#REF!)+SUMIF(#REF!,'8.Dgia'!A225,#REF!)+SUMIF(#REF!,'8.Dgia'!A225,#REF!)+SUMIF(#REF!,'8.Dgia'!A225,#REF!)</f>
        <v>#REF!</v>
      </c>
      <c r="O225" s="844">
        <f>+$H$227</f>
        <v>2</v>
      </c>
      <c r="P225" s="843" t="e">
        <f t="shared" si="11"/>
        <v>#REF!</v>
      </c>
    </row>
    <row r="226" spans="1:19" ht="15" customHeight="1">
      <c r="A226" s="657">
        <f>IF(B226="",MAX($A$8:A225)+0,MAX($A$8:A225)+1)</f>
        <v>23</v>
      </c>
      <c r="B226" s="835" t="str">
        <f>IF(C226="","",COUNTA($C$10:C227))</f>
        <v/>
      </c>
      <c r="C226" s="362"/>
      <c r="D226" s="851"/>
      <c r="E226" s="852" t="s">
        <v>301</v>
      </c>
      <c r="F226" s="848" t="str">
        <f>VLOOKUP(E226,'9.may'!E:F,2,FALSE)</f>
        <v>driller 2.5kW</v>
      </c>
      <c r="G226" s="362" t="s">
        <v>4902</v>
      </c>
      <c r="H226" s="847">
        <v>1.55</v>
      </c>
      <c r="I226" s="848">
        <f>VLOOKUP(E226,'9.may'!E:W,12,FALSE)</f>
        <v>91042.645000000004</v>
      </c>
      <c r="J226" s="853">
        <f>I226*H226</f>
        <v>141116.09975000002</v>
      </c>
      <c r="N226" s="843" t="e">
        <f>SUMIF(#REF!,'8.Dgia'!A226,#REF!)+SUMIF(#REF!,'8.Dgia'!A226,#REF!)+SUMIF(#REF!,'8.Dgia'!A226,#REF!)+SUMIF(#REF!,'8.Dgia'!A226,#REF!)</f>
        <v>#REF!</v>
      </c>
      <c r="O226" s="844">
        <f>+$H$227</f>
        <v>2</v>
      </c>
      <c r="P226" s="843" t="e">
        <f t="shared" si="11"/>
        <v>#REF!</v>
      </c>
    </row>
    <row r="227" spans="1:19" ht="15" customHeight="1">
      <c r="A227" s="657">
        <f>IF(B227="",MAX($A$8:A226)+0,MAX($A$8:A226)+1)</f>
        <v>23</v>
      </c>
      <c r="B227" s="835" t="str">
        <f>IF(C227="","",COUNTA($C$10:C228))</f>
        <v/>
      </c>
      <c r="C227" s="362"/>
      <c r="D227" s="851"/>
      <c r="E227" s="852" t="s">
        <v>553</v>
      </c>
      <c r="F227" s="848" t="str">
        <f>VLOOKUP(E227,DICH!B:C,2,FALSE)</f>
        <v>Other machine</v>
      </c>
      <c r="G227" s="362" t="s">
        <v>554</v>
      </c>
      <c r="H227" s="847">
        <v>2</v>
      </c>
      <c r="I227" s="848">
        <f>SUM(J224:J226)</f>
        <v>3572444.0950250002</v>
      </c>
      <c r="J227" s="853">
        <f>I227*H227%</f>
        <v>71448.881900500011</v>
      </c>
      <c r="N227" s="843" t="e">
        <f>SUMIF(#REF!,'8.Dgia'!A227,#REF!)+SUMIF(#REF!,'8.Dgia'!A227,#REF!)+SUMIF(#REF!,'8.Dgia'!A227,#REF!)+SUMIF(#REF!,'8.Dgia'!A227,#REF!)</f>
        <v>#REF!</v>
      </c>
      <c r="O227" s="844"/>
      <c r="P227" s="843" t="e">
        <f t="shared" si="11"/>
        <v>#REF!</v>
      </c>
    </row>
    <row r="228" spans="1:19" ht="15" customHeight="1">
      <c r="A228" s="657">
        <f>IF(B228="",MAX($A$8:A227)+0,MAX($A$8:A227)+1)</f>
        <v>24</v>
      </c>
      <c r="B228" s="835">
        <f>IF(C228="","",COUNTA($C$10:C229))</f>
        <v>24</v>
      </c>
      <c r="C228" s="835">
        <f>IF(D228="","",1776)</f>
        <v>1776</v>
      </c>
      <c r="D228" s="851" t="s">
        <v>121</v>
      </c>
      <c r="E228" s="855" t="s">
        <v>122</v>
      </c>
      <c r="F228" s="1049" t="str">
        <f>VLOOKUP(E228,DICH!B:C,2,FALSE)</f>
        <v>Bituminous cover, pasting oilpaper 2 class</v>
      </c>
      <c r="G228" s="856" t="s">
        <v>548</v>
      </c>
      <c r="H228" s="847"/>
      <c r="I228" s="848"/>
      <c r="J228" s="853"/>
      <c r="K228" s="842">
        <f>+J229</f>
        <v>64636.90971</v>
      </c>
      <c r="L228" s="842">
        <f>+J234</f>
        <v>81144.800000000003</v>
      </c>
      <c r="N228" s="843" t="e">
        <f>SUMIF(#REF!,'8.Dgia'!A228,#REF!)+SUMIF(#REF!,'8.Dgia'!A228,#REF!)+SUMIF(#REF!,'8.Dgia'!A228,#REF!)+SUMIF(#REF!,'8.Dgia'!A228,#REF!)</f>
        <v>#REF!</v>
      </c>
      <c r="O228" s="844"/>
      <c r="P228" s="843" t="e">
        <f t="shared" si="11"/>
        <v>#REF!</v>
      </c>
    </row>
    <row r="229" spans="1:19" s="658" customFormat="1" ht="15" customHeight="1">
      <c r="A229" s="657">
        <f>IF(B229="",MAX($A$8:A228)+0,MAX($A$8:A228)+1)</f>
        <v>24</v>
      </c>
      <c r="B229" s="835" t="str">
        <f>IF(C229="","",COUNTA($C$10:C230))</f>
        <v/>
      </c>
      <c r="C229" s="362"/>
      <c r="D229" s="845"/>
      <c r="E229" s="852" t="s">
        <v>2032</v>
      </c>
      <c r="F229" s="848" t="str">
        <f>VLOOKUP(E229,DICH!B:C,2,FALSE)</f>
        <v xml:space="preserve">  A - Material</v>
      </c>
      <c r="G229" s="846"/>
      <c r="H229" s="847"/>
      <c r="I229" s="848"/>
      <c r="J229" s="849">
        <f>SUM(J230:J233)</f>
        <v>64636.90971</v>
      </c>
      <c r="K229" s="850"/>
      <c r="L229" s="850"/>
      <c r="M229" s="850"/>
      <c r="N229" s="843" t="e">
        <f>SUMIF(#REF!,'8.Dgia'!A229,#REF!)+SUMIF(#REF!,'8.Dgia'!A229,#REF!)+SUMIF(#REF!,'8.Dgia'!A229,#REF!)+SUMIF(#REF!,'8.Dgia'!A229,#REF!)</f>
        <v>#REF!</v>
      </c>
      <c r="O229" s="844"/>
      <c r="P229" s="843" t="e">
        <f t="shared" si="11"/>
        <v>#REF!</v>
      </c>
    </row>
    <row r="230" spans="1:19" ht="15" customHeight="1">
      <c r="A230" s="657">
        <f>IF(B230="",MAX($A$8:A229)+0,MAX($A$8:A229)+1)</f>
        <v>24</v>
      </c>
      <c r="B230" s="835" t="str">
        <f>IF(C230="","",COUNTA($C$10:C231))</f>
        <v/>
      </c>
      <c r="C230" s="362"/>
      <c r="D230" s="851"/>
      <c r="E230" s="852" t="s">
        <v>590</v>
      </c>
      <c r="F230" s="848" t="str">
        <f>VLOOKUP(E230,DICH!B:C,2,FALSE)</f>
        <v>bitumen</v>
      </c>
      <c r="G230" s="362" t="s">
        <v>558</v>
      </c>
      <c r="H230" s="847">
        <v>3.15</v>
      </c>
      <c r="I230" s="858">
        <f>VLOOKUP(E230,'11.gia '!$B:$I,8,FALSE)</f>
        <v>15823.463400000001</v>
      </c>
      <c r="J230" s="853">
        <f>I230*H230</f>
        <v>49843.90971</v>
      </c>
      <c r="N230" s="843" t="e">
        <f>SUMIF(#REF!,'8.Dgia'!A230,#REF!)+SUMIF(#REF!,'8.Dgia'!A230,#REF!)+SUMIF(#REF!,'8.Dgia'!A230,#REF!)+SUMIF(#REF!,'8.Dgia'!A230,#REF!)</f>
        <v>#REF!</v>
      </c>
      <c r="O230" s="844"/>
      <c r="P230" s="843" t="e">
        <f t="shared" si="11"/>
        <v>#REF!</v>
      </c>
    </row>
    <row r="231" spans="1:19" ht="15" customHeight="1">
      <c r="A231" s="657">
        <f>IF(B231="",MAX($A$8:A230)+0,MAX($A$8:A230)+1)</f>
        <v>24</v>
      </c>
      <c r="B231" s="835" t="str">
        <f>IF(C231="","",COUNTA($C$10:C232))</f>
        <v/>
      </c>
      <c r="C231" s="362"/>
      <c r="D231" s="851"/>
      <c r="E231" s="852" t="s">
        <v>591</v>
      </c>
      <c r="F231" s="848" t="str">
        <f>VLOOKUP(E231,DICH!B:C,2,FALSE)</f>
        <v>Oilpaper</v>
      </c>
      <c r="G231" s="362" t="s">
        <v>548</v>
      </c>
      <c r="H231" s="847">
        <v>2.496</v>
      </c>
      <c r="I231" s="858">
        <f>VLOOKUP(E231,'11.gia '!$B:$I,8,FALSE)</f>
        <v>4000</v>
      </c>
      <c r="J231" s="853">
        <f>I231*H231</f>
        <v>9984</v>
      </c>
      <c r="N231" s="843" t="e">
        <f>SUMIF(#REF!,'8.Dgia'!A231,#REF!)+SUMIF(#REF!,'8.Dgia'!A231,#REF!)+SUMIF(#REF!,'8.Dgia'!A231,#REF!)+SUMIF(#REF!,'8.Dgia'!A231,#REF!)</f>
        <v>#REF!</v>
      </c>
      <c r="O231" s="844"/>
      <c r="P231" s="843" t="e">
        <f t="shared" si="11"/>
        <v>#REF!</v>
      </c>
    </row>
    <row r="232" spans="1:19" ht="15" customHeight="1">
      <c r="A232" s="657">
        <f>IF(B232="",MAX($A$8:A231)+0,MAX($A$8:A231)+1)</f>
        <v>24</v>
      </c>
      <c r="B232" s="835" t="str">
        <f>IF(C232="","",COUNTA($C$10:C233))</f>
        <v/>
      </c>
      <c r="C232" s="362"/>
      <c r="D232" s="851"/>
      <c r="E232" s="852" t="s">
        <v>592</v>
      </c>
      <c r="F232" s="848" t="str">
        <f>VLOOKUP(E232,DICH!B:C,2,FALSE)</f>
        <v>Stone powder</v>
      </c>
      <c r="G232" s="362" t="s">
        <v>558</v>
      </c>
      <c r="H232" s="1293">
        <v>1.8089999999999999</v>
      </c>
      <c r="I232" s="848">
        <f>VLOOKUP(E232,'11.gia '!$B:$I,8,FALSE)</f>
        <v>1000</v>
      </c>
      <c r="J232" s="853">
        <f>I232*H232</f>
        <v>1809</v>
      </c>
      <c r="N232" s="843" t="e">
        <f>SUMIF(#REF!,'8.Dgia'!A232,#REF!)+SUMIF(#REF!,'8.Dgia'!A232,#REF!)+SUMIF(#REF!,'8.Dgia'!A232,#REF!)+SUMIF(#REF!,'8.Dgia'!A232,#REF!)</f>
        <v>#REF!</v>
      </c>
      <c r="O232" s="844"/>
      <c r="P232" s="843" t="e">
        <f t="shared" si="11"/>
        <v>#REF!</v>
      </c>
    </row>
    <row r="233" spans="1:19" ht="15" customHeight="1">
      <c r="A233" s="657">
        <f>IF(B233="",MAX($A$8:A232)+0,MAX($A$8:A232)+1)</f>
        <v>24</v>
      </c>
      <c r="B233" s="835" t="str">
        <f>IF(C233="","",COUNTA($C$10:C234))</f>
        <v/>
      </c>
      <c r="C233" s="362"/>
      <c r="D233" s="851"/>
      <c r="E233" s="852" t="s">
        <v>593</v>
      </c>
      <c r="F233" s="848" t="str">
        <f>VLOOKUP(E233,DICH!B:C,2,FALSE)</f>
        <v>Firewood</v>
      </c>
      <c r="G233" s="362" t="s">
        <v>558</v>
      </c>
      <c r="H233" s="847">
        <v>3</v>
      </c>
      <c r="I233" s="858">
        <f>VLOOKUP(E233,'11.gia '!$B:$I,8,FALSE)</f>
        <v>1000</v>
      </c>
      <c r="J233" s="853">
        <f>I233*H233</f>
        <v>3000</v>
      </c>
      <c r="N233" s="843" t="e">
        <f>SUMIF(#REF!,'8.Dgia'!A233,#REF!)+SUMIF(#REF!,'8.Dgia'!A233,#REF!)+SUMIF(#REF!,'8.Dgia'!A233,#REF!)+SUMIF(#REF!,'8.Dgia'!A233,#REF!)</f>
        <v>#REF!</v>
      </c>
      <c r="O233" s="844"/>
      <c r="P233" s="843" t="e">
        <f t="shared" si="11"/>
        <v>#REF!</v>
      </c>
    </row>
    <row r="234" spans="1:19" s="658" customFormat="1" ht="15" customHeight="1">
      <c r="A234" s="657">
        <f>IF(B234="",MAX($A$8:A233)+0,MAX($A$8:A233)+1)</f>
        <v>24</v>
      </c>
      <c r="B234" s="835" t="str">
        <f>IF(C234="","",COUNTA($C$10:C235))</f>
        <v/>
      </c>
      <c r="C234" s="362"/>
      <c r="D234" s="845"/>
      <c r="E234" s="852" t="s">
        <v>2037</v>
      </c>
      <c r="F234" s="848" t="str">
        <f>VLOOKUP(E234,DICH!B:C,2,FALSE)</f>
        <v xml:space="preserve">  B - Labour 3.5/7</v>
      </c>
      <c r="G234" s="362" t="s">
        <v>4899</v>
      </c>
      <c r="H234" s="847">
        <v>0.4</v>
      </c>
      <c r="I234" s="848">
        <f>VLOOKUP(E234,'16.NC'!$C$11:$F$22,4,FALSE)</f>
        <v>202862</v>
      </c>
      <c r="J234" s="849">
        <f>I234*H234</f>
        <v>81144.800000000003</v>
      </c>
      <c r="K234" s="842"/>
      <c r="L234" s="842"/>
      <c r="M234" s="842"/>
      <c r="N234" s="843" t="e">
        <f>SUMIF(#REF!,'8.Dgia'!A234,#REF!)+SUMIF(#REF!,'8.Dgia'!A234,#REF!)+SUMIF(#REF!,'8.Dgia'!A234,#REF!)+SUMIF(#REF!,'8.Dgia'!A234,#REF!)</f>
        <v>#REF!</v>
      </c>
      <c r="O234" s="844"/>
      <c r="P234" s="843" t="e">
        <f t="shared" si="11"/>
        <v>#REF!</v>
      </c>
      <c r="R234" s="658">
        <v>1</v>
      </c>
    </row>
    <row r="235" spans="1:19" s="87" customFormat="1" ht="13.5">
      <c r="A235" s="657">
        <f>IF(B235="",MAX($A$8:A234)+0,MAX($A$8:A234)+1)</f>
        <v>25</v>
      </c>
      <c r="B235" s="835">
        <f>IF(C235="","",COUNTA($C$10:C236))</f>
        <v>25</v>
      </c>
      <c r="C235" s="239">
        <v>1091</v>
      </c>
      <c r="D235" s="704" t="s">
        <v>3925</v>
      </c>
      <c r="E235" s="808" t="s">
        <v>591</v>
      </c>
      <c r="F235" s="1049" t="str">
        <f>VLOOKUP(E235,DICH!B:C,2,FALSE)</f>
        <v>Oilpaper</v>
      </c>
      <c r="G235" s="809" t="s">
        <v>548</v>
      </c>
      <c r="H235" s="239"/>
      <c r="I235" s="810"/>
      <c r="J235" s="811"/>
      <c r="K235" s="842">
        <f>J236</f>
        <v>4488.96</v>
      </c>
      <c r="L235" s="842">
        <f>J239</f>
        <v>56801.360000000008</v>
      </c>
      <c r="M235" s="850"/>
      <c r="N235" s="843" t="e">
        <f>SUMIF(#REF!,'8.Dgia'!A235,#REF!)+SUMIF(#REF!,'8.Dgia'!A235,#REF!)+SUMIF(#REF!,'8.Dgia'!A235,#REF!)+SUMIF(#REF!,'8.Dgia'!A235,#REF!)</f>
        <v>#REF!</v>
      </c>
      <c r="O235" s="1012"/>
      <c r="P235" s="843" t="e">
        <f t="shared" si="11"/>
        <v>#REF!</v>
      </c>
      <c r="S235" s="246"/>
    </row>
    <row r="236" spans="1:19" s="87" customFormat="1" ht="12.75">
      <c r="A236" s="657">
        <f>IF(B236="",MAX($A$8:A235)+0,MAX($A$8:A235)+1)</f>
        <v>25</v>
      </c>
      <c r="B236" s="835" t="str">
        <f>IF(C236="","",COUNTA($C$10:C237))</f>
        <v/>
      </c>
      <c r="C236" s="239"/>
      <c r="D236" s="813"/>
      <c r="E236" s="819" t="s">
        <v>2032</v>
      </c>
      <c r="F236" s="848" t="str">
        <f>VLOOKUP(E236,DICH!B:C,2,FALSE)</f>
        <v xml:space="preserve">  A - Material</v>
      </c>
      <c r="G236" s="704"/>
      <c r="H236" s="239"/>
      <c r="I236" s="810"/>
      <c r="J236" s="816">
        <f>SUM(J237:J238)</f>
        <v>4488.96</v>
      </c>
      <c r="K236" s="842"/>
      <c r="L236" s="842"/>
      <c r="M236" s="842"/>
      <c r="N236" s="843" t="e">
        <f>SUMIF(#REF!,'8.Dgia'!A236,#REF!)+SUMIF(#REF!,'8.Dgia'!A236,#REF!)+SUMIF(#REF!,'8.Dgia'!A236,#REF!)+SUMIF(#REF!,'8.Dgia'!A236,#REF!)</f>
        <v>#REF!</v>
      </c>
      <c r="O236" s="1012"/>
      <c r="P236" s="843" t="e">
        <f t="shared" si="11"/>
        <v>#REF!</v>
      </c>
      <c r="S236" s="246"/>
    </row>
    <row r="237" spans="1:19" s="87" customFormat="1" ht="12.75">
      <c r="A237" s="657">
        <f>IF(B237="",MAX($A$8:A236)+0,MAX($A$8:A236)+1)</f>
        <v>25</v>
      </c>
      <c r="B237" s="835" t="str">
        <f>IF(C237="","",COUNTA($C$10:C238))</f>
        <v/>
      </c>
      <c r="C237" s="239"/>
      <c r="D237" s="813"/>
      <c r="E237" s="819" t="s">
        <v>591</v>
      </c>
      <c r="F237" s="848" t="str">
        <f>VLOOKUP(E237,DICH!B:C,2,FALSE)</f>
        <v>Oilpaper</v>
      </c>
      <c r="G237" s="704" t="s">
        <v>548</v>
      </c>
      <c r="H237" s="239">
        <v>1.1200000000000001</v>
      </c>
      <c r="I237" s="858">
        <f>VLOOKUP(E237,'11.gia '!$B:$I,8,FALSE)</f>
        <v>4000</v>
      </c>
      <c r="J237" s="811">
        <f>I237*H237</f>
        <v>4480</v>
      </c>
      <c r="K237" s="842"/>
      <c r="L237" s="842"/>
      <c r="M237" s="842"/>
      <c r="N237" s="843" t="e">
        <f>SUMIF(#REF!,'8.Dgia'!A237,#REF!)+SUMIF(#REF!,'8.Dgia'!A237,#REF!)+SUMIF(#REF!,'8.Dgia'!A237,#REF!)+SUMIF(#REF!,'8.Dgia'!A237,#REF!)</f>
        <v>#REF!</v>
      </c>
      <c r="O237" s="1012">
        <v>0.2</v>
      </c>
      <c r="P237" s="843" t="e">
        <f t="shared" si="11"/>
        <v>#REF!</v>
      </c>
      <c r="S237" s="246"/>
    </row>
    <row r="238" spans="1:19" s="87" customFormat="1" ht="12.75">
      <c r="A238" s="657">
        <f>IF(B238="",MAX($A$8:A237)+0,MAX($A$8:A237)+1)</f>
        <v>25</v>
      </c>
      <c r="B238" s="835" t="str">
        <f>IF(C238="","",COUNTA($C$10:C239))</f>
        <v/>
      </c>
      <c r="C238" s="239"/>
      <c r="D238" s="813"/>
      <c r="E238" s="661" t="s">
        <v>555</v>
      </c>
      <c r="F238" s="848" t="str">
        <f>VLOOKUP(E238,DICH!B:C,2,FALSE)</f>
        <v>Other material</v>
      </c>
      <c r="G238" s="704" t="s">
        <v>554</v>
      </c>
      <c r="H238" s="815">
        <v>0.2</v>
      </c>
      <c r="I238" s="810">
        <f>SUM(J237)</f>
        <v>4480</v>
      </c>
      <c r="J238" s="866">
        <f>I238*H238%</f>
        <v>8.9600000000000009</v>
      </c>
      <c r="K238" s="842"/>
      <c r="L238" s="842"/>
      <c r="M238" s="842"/>
      <c r="N238" s="843" t="e">
        <f>SUMIF(#REF!,'8.Dgia'!A238,#REF!)+SUMIF(#REF!,'8.Dgia'!A238,#REF!)+SUMIF(#REF!,'8.Dgia'!A238,#REF!)+SUMIF(#REF!,'8.Dgia'!A238,#REF!)</f>
        <v>#REF!</v>
      </c>
      <c r="O238" s="1012"/>
      <c r="P238" s="843" t="e">
        <f t="shared" si="11"/>
        <v>#REF!</v>
      </c>
      <c r="S238" s="246"/>
    </row>
    <row r="239" spans="1:19" s="87" customFormat="1" ht="12.75">
      <c r="A239" s="657">
        <f>IF(B239="",MAX($A$8:A238)+0,MAX($A$8:A238)+1)</f>
        <v>25</v>
      </c>
      <c r="B239" s="835" t="str">
        <f>IF(C239="","",COUNTA($C$10:C240))</f>
        <v/>
      </c>
      <c r="C239" s="239"/>
      <c r="D239" s="813"/>
      <c r="E239" s="852" t="s">
        <v>2037</v>
      </c>
      <c r="F239" s="848" t="str">
        <f>VLOOKUP(E239,DICH!B:C,2,FALSE)</f>
        <v xml:space="preserve">  B - Labour 3.5/7</v>
      </c>
      <c r="G239" s="704" t="s">
        <v>4899</v>
      </c>
      <c r="H239" s="239">
        <v>0.28000000000000003</v>
      </c>
      <c r="I239" s="848">
        <f>VLOOKUP(E239,'16.NC'!$C$11:$F$22,4,FALSE)</f>
        <v>202862</v>
      </c>
      <c r="J239" s="816">
        <f>I239*H239</f>
        <v>56801.360000000008</v>
      </c>
      <c r="K239" s="842"/>
      <c r="L239" s="842"/>
      <c r="M239" s="842"/>
      <c r="N239" s="843" t="e">
        <f>SUMIF(#REF!,'8.Dgia'!A239,#REF!)+SUMIF(#REF!,'8.Dgia'!A239,#REF!)+SUMIF(#REF!,'8.Dgia'!A239,#REF!)+SUMIF(#REF!,'8.Dgia'!A239,#REF!)</f>
        <v>#REF!</v>
      </c>
      <c r="O239" s="1012"/>
      <c r="P239" s="843" t="e">
        <f t="shared" si="11"/>
        <v>#REF!</v>
      </c>
      <c r="S239" s="246"/>
    </row>
    <row r="240" spans="1:19" ht="28.5" customHeight="1">
      <c r="A240" s="657">
        <f>IF(B240="",MAX($A$8:A239)+0,MAX($A$8:A239)+1)</f>
        <v>26</v>
      </c>
      <c r="B240" s="835">
        <f>IF(C240="","",COUNTA($C$10:C241))</f>
        <v>26</v>
      </c>
      <c r="C240" s="835">
        <f>IF(D240="","",1776)</f>
        <v>1776</v>
      </c>
      <c r="D240" s="851" t="s">
        <v>2178</v>
      </c>
      <c r="E240" s="855" t="s">
        <v>3825</v>
      </c>
      <c r="F240" s="1049" t="str">
        <f>VLOOKUP(E240,DICH!B:C,2,FALSE)</f>
        <v>Drilling bored pile D1500 on land, L&lt;=30m, co=1.2</v>
      </c>
      <c r="G240" s="856" t="s">
        <v>543</v>
      </c>
      <c r="H240" s="847"/>
      <c r="I240" s="848"/>
      <c r="J240" s="853"/>
      <c r="K240" s="842">
        <f>+J241</f>
        <v>228531.92727272728</v>
      </c>
      <c r="L240" s="842">
        <f>+J246</f>
        <v>588475.77600000007</v>
      </c>
      <c r="M240" s="842">
        <f>+J247</f>
        <v>1052557.4309183997</v>
      </c>
      <c r="N240" s="843" t="e">
        <f>SUMIF(#REF!,'8.Dgia'!A240,#REF!)+SUMIF(#REF!,'8.Dgia'!A240,#REF!)+SUMIF(#REF!,'8.Dgia'!A240,#REF!)+SUMIF(#REF!,'8.Dgia'!A240,#REF!)</f>
        <v>#REF!</v>
      </c>
      <c r="O240" s="844"/>
      <c r="P240" s="843" t="e">
        <f t="shared" si="11"/>
        <v>#REF!</v>
      </c>
    </row>
    <row r="241" spans="1:18" s="658" customFormat="1" ht="15" customHeight="1">
      <c r="A241" s="657">
        <f>IF(B241="",MAX($A$8:A240)+0,MAX($A$8:A240)+1)</f>
        <v>26</v>
      </c>
      <c r="B241" s="835" t="str">
        <f>IF(C241="","",COUNTA($C$10:C242))</f>
        <v/>
      </c>
      <c r="C241" s="362"/>
      <c r="D241" s="864" t="s">
        <v>3638</v>
      </c>
      <c r="E241" s="852" t="s">
        <v>2032</v>
      </c>
      <c r="F241" s="848" t="str">
        <f>VLOOKUP(E241,DICH!B:C,2,FALSE)</f>
        <v xml:space="preserve">  A - Material</v>
      </c>
      <c r="G241" s="846"/>
      <c r="H241" s="847"/>
      <c r="I241" s="848"/>
      <c r="J241" s="849">
        <f>SUM(J242:J245)</f>
        <v>228531.92727272728</v>
      </c>
      <c r="K241" s="850"/>
      <c r="L241" s="850"/>
      <c r="M241" s="850"/>
      <c r="N241" s="843" t="e">
        <f>SUMIF(#REF!,'8.Dgia'!A241,#REF!)+SUMIF(#REF!,'8.Dgia'!A241,#REF!)+SUMIF(#REF!,'8.Dgia'!A241,#REF!)+SUMIF(#REF!,'8.Dgia'!A241,#REF!)</f>
        <v>#REF!</v>
      </c>
      <c r="O241" s="844"/>
      <c r="P241" s="843" t="e">
        <f t="shared" si="11"/>
        <v>#REF!</v>
      </c>
    </row>
    <row r="242" spans="1:18" ht="15" customHeight="1">
      <c r="A242" s="657">
        <f>IF(B242="",MAX($A$8:A241)+0,MAX($A$8:A241)+1)</f>
        <v>26</v>
      </c>
      <c r="B242" s="835" t="str">
        <f>IF(C242="","",COUNTA($C$10:C243))</f>
        <v/>
      </c>
      <c r="C242" s="362"/>
      <c r="D242" s="851"/>
      <c r="E242" s="852" t="s">
        <v>433</v>
      </c>
      <c r="F242" s="848" t="str">
        <f>VLOOKUP(E242,DICH!B:C,2,FALSE)</f>
        <v xml:space="preserve">Bucket of drill </v>
      </c>
      <c r="G242" s="362" t="s">
        <v>4649</v>
      </c>
      <c r="H242" s="847">
        <f>0.002*1.2</f>
        <v>2.3999999999999998E-3</v>
      </c>
      <c r="I242" s="848">
        <f>VLOOKUP(E242,'11.gia '!$B:$I,8,FALSE)</f>
        <v>3000000</v>
      </c>
      <c r="J242" s="853">
        <f>I242*H242</f>
        <v>7199.9999999999991</v>
      </c>
      <c r="N242" s="843" t="e">
        <f>SUMIF(#REF!,'8.Dgia'!A242,#REF!)+SUMIF(#REF!,'8.Dgia'!A242,#REF!)+SUMIF(#REF!,'8.Dgia'!A242,#REF!)+SUMIF(#REF!,'8.Dgia'!A242,#REF!)</f>
        <v>#REF!</v>
      </c>
      <c r="O242" s="844">
        <f>+$H$245</f>
        <v>2</v>
      </c>
      <c r="P242" s="843" t="e">
        <f t="shared" si="11"/>
        <v>#REF!</v>
      </c>
    </row>
    <row r="243" spans="1:18" ht="15" customHeight="1">
      <c r="A243" s="657">
        <f>IF(B243="",MAX($A$8:A242)+0,MAX($A$8:A242)+1)</f>
        <v>26</v>
      </c>
      <c r="B243" s="835" t="str">
        <f>IF(C243="","",COUNTA($C$10:C244))</f>
        <v/>
      </c>
      <c r="C243" s="362"/>
      <c r="D243" s="851"/>
      <c r="E243" s="852" t="s">
        <v>434</v>
      </c>
      <c r="F243" s="848" t="str">
        <f>VLOOKUP(E243,DICH!B:C,2,FALSE)</f>
        <v xml:space="preserve">alloy bucket teeth </v>
      </c>
      <c r="G243" s="362" t="s">
        <v>4649</v>
      </c>
      <c r="H243" s="847">
        <f>1.98*1.2</f>
        <v>2.3759999999999999</v>
      </c>
      <c r="I243" s="848">
        <f>VLOOKUP(E243,'11.gia '!$B:$I,8,FALSE)</f>
        <v>85000</v>
      </c>
      <c r="J243" s="853">
        <f>I243*H243</f>
        <v>201960</v>
      </c>
      <c r="N243" s="843" t="e">
        <f>SUMIF(#REF!,'8.Dgia'!A243,#REF!)+SUMIF(#REF!,'8.Dgia'!A243,#REF!)+SUMIF(#REF!,'8.Dgia'!A243,#REF!)+SUMIF(#REF!,'8.Dgia'!A243,#REF!)</f>
        <v>#REF!</v>
      </c>
      <c r="O243" s="844">
        <f>+$H$245</f>
        <v>2</v>
      </c>
      <c r="P243" s="843" t="e">
        <f t="shared" si="11"/>
        <v>#REF!</v>
      </c>
    </row>
    <row r="244" spans="1:18" ht="15" customHeight="1">
      <c r="A244" s="657">
        <f>IF(B244="",MAX($A$8:A243)+0,MAX($A$8:A243)+1)</f>
        <v>26</v>
      </c>
      <c r="B244" s="835" t="str">
        <f>IF(C244="","",COUNTA($C$10:C245))</f>
        <v/>
      </c>
      <c r="C244" s="362"/>
      <c r="D244" s="851"/>
      <c r="E244" s="852" t="s">
        <v>559</v>
      </c>
      <c r="F244" s="848" t="str">
        <f>VLOOKUP(E244,DICH!B:C,2,FALSE)</f>
        <v>welding electrode</v>
      </c>
      <c r="G244" s="362" t="s">
        <v>558</v>
      </c>
      <c r="H244" s="847">
        <f>0.65*1.2</f>
        <v>0.78</v>
      </c>
      <c r="I244" s="848">
        <f>VLOOKUP(E244,'11.gia '!$B:$I,8,FALSE)</f>
        <v>19090.909090909088</v>
      </c>
      <c r="J244" s="853">
        <f>I244*H244</f>
        <v>14890.90909090909</v>
      </c>
      <c r="N244" s="843" t="e">
        <f>SUMIF(#REF!,'8.Dgia'!A244,#REF!)+SUMIF(#REF!,'8.Dgia'!A244,#REF!)+SUMIF(#REF!,'8.Dgia'!A244,#REF!)+SUMIF(#REF!,'8.Dgia'!A244,#REF!)</f>
        <v>#REF!</v>
      </c>
      <c r="O244" s="844">
        <f>+$H$245</f>
        <v>2</v>
      </c>
      <c r="P244" s="843" t="e">
        <f t="shared" si="11"/>
        <v>#REF!</v>
      </c>
    </row>
    <row r="245" spans="1:18" ht="15" customHeight="1">
      <c r="A245" s="657">
        <f>IF(B245="",MAX($A$8:A244)+0,MAX($A$8:A244)+1)</f>
        <v>26</v>
      </c>
      <c r="B245" s="835" t="str">
        <f>IF(C245="","",COUNTA($C$10:C246))</f>
        <v/>
      </c>
      <c r="C245" s="362"/>
      <c r="D245" s="851"/>
      <c r="E245" s="852" t="s">
        <v>555</v>
      </c>
      <c r="F245" s="848" t="str">
        <f>VLOOKUP(E245,DICH!B:C,2,FALSE)</f>
        <v>Other material</v>
      </c>
      <c r="G245" s="362" t="s">
        <v>554</v>
      </c>
      <c r="H245" s="847">
        <v>2</v>
      </c>
      <c r="I245" s="848">
        <f>SUM(J242:J244)</f>
        <v>224050.90909090909</v>
      </c>
      <c r="J245" s="853">
        <f>I245*H245%</f>
        <v>4481.0181818181818</v>
      </c>
      <c r="N245" s="843" t="e">
        <f>SUMIF(#REF!,'8.Dgia'!A245,#REF!)+SUMIF(#REF!,'8.Dgia'!A245,#REF!)+SUMIF(#REF!,'8.Dgia'!A245,#REF!)+SUMIF(#REF!,'8.Dgia'!A245,#REF!)</f>
        <v>#REF!</v>
      </c>
      <c r="O245" s="844"/>
      <c r="P245" s="843" t="e">
        <f t="shared" si="11"/>
        <v>#REF!</v>
      </c>
    </row>
    <row r="246" spans="1:18" s="658" customFormat="1" ht="15" customHeight="1">
      <c r="A246" s="657">
        <f>IF(B246="",MAX($A$8:A245)+0,MAX($A$8:A245)+1)</f>
        <v>26</v>
      </c>
      <c r="B246" s="835" t="str">
        <f>IF(C246="","",COUNTA($C$10:C247))</f>
        <v/>
      </c>
      <c r="C246" s="362"/>
      <c r="D246" s="864" t="s">
        <v>3638</v>
      </c>
      <c r="E246" s="852" t="s">
        <v>2039</v>
      </c>
      <c r="F246" s="848" t="str">
        <f>VLOOKUP(E246,DICH!B:C,2,FALSE)</f>
        <v xml:space="preserve">  B - Labour 4.0/7</v>
      </c>
      <c r="G246" s="362" t="s">
        <v>4899</v>
      </c>
      <c r="H246" s="847">
        <f>2.24*1.2</f>
        <v>2.6880000000000002</v>
      </c>
      <c r="I246" s="848">
        <f>VLOOKUP(E246,'16.NC'!$C$11:$F$22,4,FALSE)</f>
        <v>218927</v>
      </c>
      <c r="J246" s="849">
        <f>I246*H246</f>
        <v>588475.77600000007</v>
      </c>
      <c r="K246" s="850"/>
      <c r="L246" s="850"/>
      <c r="M246" s="850"/>
      <c r="N246" s="843" t="e">
        <f>SUMIF(#REF!,'8.Dgia'!A246,#REF!)+SUMIF(#REF!,'8.Dgia'!A246,#REF!)+SUMIF(#REF!,'8.Dgia'!A246,#REF!)+SUMIF(#REF!,'8.Dgia'!A246,#REF!)</f>
        <v>#REF!</v>
      </c>
      <c r="O246" s="844"/>
      <c r="P246" s="843" t="e">
        <f t="shared" si="11"/>
        <v>#REF!</v>
      </c>
      <c r="R246" s="658">
        <v>1</v>
      </c>
    </row>
    <row r="247" spans="1:18" s="658" customFormat="1" ht="15" customHeight="1">
      <c r="A247" s="657">
        <f>IF(B247="",MAX($A$8:A246)+0,MAX($A$8:A246)+1)</f>
        <v>26</v>
      </c>
      <c r="B247" s="835" t="str">
        <f>IF(C247="","",COUNTA($C$10:C248))</f>
        <v/>
      </c>
      <c r="C247" s="362"/>
      <c r="D247" s="864" t="s">
        <v>3638</v>
      </c>
      <c r="E247" s="852" t="s">
        <v>2033</v>
      </c>
      <c r="F247" s="848" t="str">
        <f>VLOOKUP(E247,DICH!B:C,2,FALSE)</f>
        <v xml:space="preserve">  C - Machine</v>
      </c>
      <c r="G247" s="846"/>
      <c r="H247" s="847"/>
      <c r="I247" s="848"/>
      <c r="J247" s="849">
        <f>SUM(J248:J249)</f>
        <v>1052557.4309183997</v>
      </c>
      <c r="K247" s="850"/>
      <c r="L247" s="850"/>
      <c r="M247" s="850"/>
      <c r="N247" s="843" t="e">
        <f>SUMIF(#REF!,'8.Dgia'!A247,#REF!)+SUMIF(#REF!,'8.Dgia'!A247,#REF!)+SUMIF(#REF!,'8.Dgia'!A247,#REF!)+SUMIF(#REF!,'8.Dgia'!A247,#REF!)</f>
        <v>#REF!</v>
      </c>
      <c r="O247" s="844"/>
      <c r="P247" s="843" t="e">
        <f t="shared" si="11"/>
        <v>#REF!</v>
      </c>
    </row>
    <row r="248" spans="1:18" ht="15" customHeight="1">
      <c r="A248" s="657">
        <f>IF(B248="",MAX($A$8:A247)+0,MAX($A$8:A247)+1)</f>
        <v>26</v>
      </c>
      <c r="B248" s="835" t="str">
        <f>IF(C248="","",COUNTA($C$10:C249))</f>
        <v/>
      </c>
      <c r="C248" s="362"/>
      <c r="D248" s="851"/>
      <c r="E248" s="852" t="s">
        <v>299</v>
      </c>
      <c r="F248" s="848" t="str">
        <f>VLOOKUP(E248,'9.may'!E:F,2,FALSE)</f>
        <v>Earth drill ED</v>
      </c>
      <c r="G248" s="362" t="s">
        <v>4902</v>
      </c>
      <c r="H248" s="847">
        <f>0.176*1.2</f>
        <v>0.21119999999999997</v>
      </c>
      <c r="I248" s="848">
        <f>VLOOKUP(E248,'9.may'!E:W,12,FALSE)</f>
        <v>4530636.3245454542</v>
      </c>
      <c r="J248" s="853">
        <f>I248*H248</f>
        <v>956870.39174399979</v>
      </c>
      <c r="N248" s="843" t="e">
        <f>SUMIF(#REF!,'8.Dgia'!A248,#REF!)+SUMIF(#REF!,'8.Dgia'!A248,#REF!)+SUMIF(#REF!,'8.Dgia'!A248,#REF!)+SUMIF(#REF!,'8.Dgia'!A248,#REF!)</f>
        <v>#REF!</v>
      </c>
      <c r="O248" s="844">
        <f>+$H$249</f>
        <v>10</v>
      </c>
      <c r="P248" s="843" t="e">
        <f t="shared" si="11"/>
        <v>#REF!</v>
      </c>
    </row>
    <row r="249" spans="1:18" ht="15" customHeight="1">
      <c r="A249" s="657">
        <f>IF(B249="",MAX($A$8:A248)+0,MAX($A$8:A248)+1)</f>
        <v>26</v>
      </c>
      <c r="B249" s="835" t="str">
        <f>IF(C249="","",COUNTA($C$10:C250))</f>
        <v/>
      </c>
      <c r="C249" s="362"/>
      <c r="D249" s="851"/>
      <c r="E249" s="852" t="s">
        <v>553</v>
      </c>
      <c r="F249" s="848" t="str">
        <f>VLOOKUP(E249,DICH!B:C,2,FALSE)</f>
        <v>Other machine</v>
      </c>
      <c r="G249" s="362" t="s">
        <v>554</v>
      </c>
      <c r="H249" s="847">
        <v>10</v>
      </c>
      <c r="I249" s="848">
        <f>SUM(J248:J248)</f>
        <v>956870.39174399979</v>
      </c>
      <c r="J249" s="853">
        <f>I249*H249%</f>
        <v>95687.039174399979</v>
      </c>
      <c r="N249" s="843" t="e">
        <f>SUMIF(#REF!,'8.Dgia'!A249,#REF!)+SUMIF(#REF!,'8.Dgia'!A249,#REF!)+SUMIF(#REF!,'8.Dgia'!A249,#REF!)+SUMIF(#REF!,'8.Dgia'!A249,#REF!)</f>
        <v>#REF!</v>
      </c>
      <c r="O249" s="844"/>
      <c r="P249" s="843" t="e">
        <f t="shared" si="11"/>
        <v>#REF!</v>
      </c>
    </row>
    <row r="250" spans="1:18" ht="28.5" customHeight="1">
      <c r="A250" s="657">
        <f>IF(B250="",MAX($A$8:A249)+0,MAX($A$8:A249)+1)</f>
        <v>27</v>
      </c>
      <c r="B250" s="835">
        <f>IF(C250="","",COUNTA($C$10:C251))</f>
        <v>27</v>
      </c>
      <c r="C250" s="835">
        <f>IF(D250="","",1776)</f>
        <v>1776</v>
      </c>
      <c r="D250" s="851" t="s">
        <v>3918</v>
      </c>
      <c r="E250" s="855" t="s">
        <v>3917</v>
      </c>
      <c r="F250" s="1049" t="str">
        <f>VLOOKUP(E250,DICH!B:C,2,FALSE)</f>
        <v>Drilling bored pile D1200 on land, L&lt;=30m, co=1.2</v>
      </c>
      <c r="G250" s="856" t="s">
        <v>543</v>
      </c>
      <c r="H250" s="847"/>
      <c r="I250" s="848"/>
      <c r="J250" s="853"/>
      <c r="K250" s="842">
        <f>+J251</f>
        <v>163031.23636363636</v>
      </c>
      <c r="L250" s="842">
        <f>+J256</f>
        <v>509662.05599999998</v>
      </c>
      <c r="M250" s="842">
        <f>+J257</f>
        <v>762506.09342099982</v>
      </c>
      <c r="N250" s="843" t="e">
        <f>SUMIF(#REF!,'8.Dgia'!A250,#REF!)+SUMIF(#REF!,'8.Dgia'!A250,#REF!)+SUMIF(#REF!,'8.Dgia'!A250,#REF!)+SUMIF(#REF!,'8.Dgia'!A250,#REF!)</f>
        <v>#REF!</v>
      </c>
      <c r="O250" s="844"/>
      <c r="P250" s="843" t="e">
        <f t="shared" ref="P250:P259" si="12">$H250*N250*(1+O250%)</f>
        <v>#REF!</v>
      </c>
    </row>
    <row r="251" spans="1:18" s="658" customFormat="1" ht="15" customHeight="1">
      <c r="A251" s="657">
        <f>IF(B251="",MAX($A$8:A250)+0,MAX($A$8:A250)+1)</f>
        <v>27</v>
      </c>
      <c r="B251" s="835" t="str">
        <f>IF(C251="","",COUNTA($C$10:C252))</f>
        <v/>
      </c>
      <c r="C251" s="362"/>
      <c r="D251" s="864" t="s">
        <v>3638</v>
      </c>
      <c r="E251" s="852" t="s">
        <v>2032</v>
      </c>
      <c r="F251" s="848" t="str">
        <f>VLOOKUP(E251,DICH!B:C,2,FALSE)</f>
        <v xml:space="preserve">  A - Material</v>
      </c>
      <c r="G251" s="846"/>
      <c r="H251" s="847"/>
      <c r="I251" s="848"/>
      <c r="J251" s="849">
        <f>SUM(J252:J255)</f>
        <v>163031.23636363636</v>
      </c>
      <c r="K251" s="850"/>
      <c r="L251" s="850"/>
      <c r="M251" s="850"/>
      <c r="N251" s="843" t="e">
        <f>SUMIF(#REF!,'8.Dgia'!A251,#REF!)+SUMIF(#REF!,'8.Dgia'!A251,#REF!)+SUMIF(#REF!,'8.Dgia'!A251,#REF!)+SUMIF(#REF!,'8.Dgia'!A251,#REF!)</f>
        <v>#REF!</v>
      </c>
      <c r="O251" s="844"/>
      <c r="P251" s="843" t="e">
        <f t="shared" si="12"/>
        <v>#REF!</v>
      </c>
    </row>
    <row r="252" spans="1:18" ht="15" customHeight="1">
      <c r="A252" s="657">
        <f>IF(B252="",MAX($A$8:A251)+0,MAX($A$8:A251)+1)</f>
        <v>27</v>
      </c>
      <c r="B252" s="835" t="str">
        <f>IF(C252="","",COUNTA($C$10:C253))</f>
        <v/>
      </c>
      <c r="C252" s="362"/>
      <c r="D252" s="851"/>
      <c r="E252" s="852" t="s">
        <v>433</v>
      </c>
      <c r="F252" s="848" t="str">
        <f>VLOOKUP(E252,DICH!B:C,2,FALSE)</f>
        <v xml:space="preserve">Bucket of drill </v>
      </c>
      <c r="G252" s="362" t="s">
        <v>4649</v>
      </c>
      <c r="H252" s="847">
        <f>(0.0014+0.0017)/2*1.2</f>
        <v>1.8599999999999999E-3</v>
      </c>
      <c r="I252" s="848">
        <f>VLOOKUP(E252,'11.gia '!$B:$I,8,FALSE)</f>
        <v>3000000</v>
      </c>
      <c r="J252" s="853">
        <f>I252*H252</f>
        <v>5580</v>
      </c>
      <c r="N252" s="843" t="e">
        <f>SUMIF(#REF!,'8.Dgia'!A252,#REF!)+SUMIF(#REF!,'8.Dgia'!A252,#REF!)+SUMIF(#REF!,'8.Dgia'!A252,#REF!)+SUMIF(#REF!,'8.Dgia'!A252,#REF!)</f>
        <v>#REF!</v>
      </c>
      <c r="O252" s="844">
        <f>+$H$245</f>
        <v>2</v>
      </c>
      <c r="P252" s="843" t="e">
        <f t="shared" si="12"/>
        <v>#REF!</v>
      </c>
    </row>
    <row r="253" spans="1:18" ht="15" customHeight="1">
      <c r="A253" s="657">
        <f>IF(B253="",MAX($A$8:A252)+0,MAX($A$8:A252)+1)</f>
        <v>27</v>
      </c>
      <c r="B253" s="835" t="str">
        <f>IF(C253="","",COUNTA($C$10:C254))</f>
        <v/>
      </c>
      <c r="C253" s="362"/>
      <c r="D253" s="851"/>
      <c r="E253" s="852" t="s">
        <v>434</v>
      </c>
      <c r="F253" s="848" t="str">
        <f>VLOOKUP(E253,DICH!B:C,2,FALSE)</f>
        <v xml:space="preserve">alloy bucket teeth </v>
      </c>
      <c r="G253" s="362" t="s">
        <v>4649</v>
      </c>
      <c r="H253" s="847">
        <f>(1.32+1.48)/2*1.2</f>
        <v>1.68</v>
      </c>
      <c r="I253" s="848">
        <f>VLOOKUP(E253,'11.gia '!$B:$I,8,FALSE)</f>
        <v>85000</v>
      </c>
      <c r="J253" s="853">
        <f>I253*H253</f>
        <v>142800</v>
      </c>
      <c r="N253" s="843" t="e">
        <f>SUMIF(#REF!,'8.Dgia'!A253,#REF!)+SUMIF(#REF!,'8.Dgia'!A253,#REF!)+SUMIF(#REF!,'8.Dgia'!A253,#REF!)+SUMIF(#REF!,'8.Dgia'!A253,#REF!)</f>
        <v>#REF!</v>
      </c>
      <c r="O253" s="844">
        <f>+$H$245</f>
        <v>2</v>
      </c>
      <c r="P253" s="843" t="e">
        <f t="shared" si="12"/>
        <v>#REF!</v>
      </c>
    </row>
    <row r="254" spans="1:18" ht="15" customHeight="1">
      <c r="A254" s="657">
        <f>IF(B254="",MAX($A$8:A253)+0,MAX($A$8:A253)+1)</f>
        <v>27</v>
      </c>
      <c r="B254" s="835" t="str">
        <f>IF(C254="","",COUNTA($C$10:C255))</f>
        <v/>
      </c>
      <c r="C254" s="362"/>
      <c r="D254" s="851"/>
      <c r="E254" s="852" t="s">
        <v>559</v>
      </c>
      <c r="F254" s="848" t="str">
        <f>VLOOKUP(E254,DICH!B:C,2,FALSE)</f>
        <v>welding electrode</v>
      </c>
      <c r="G254" s="362" t="s">
        <v>558</v>
      </c>
      <c r="H254" s="847">
        <f>(0.45+0.55)/2*1.2</f>
        <v>0.6</v>
      </c>
      <c r="I254" s="848">
        <f>VLOOKUP(E254,'11.gia '!$B:$I,8,FALSE)</f>
        <v>19090.909090909088</v>
      </c>
      <c r="J254" s="853">
        <f>I254*H254</f>
        <v>11454.545454545452</v>
      </c>
      <c r="N254" s="843" t="e">
        <f>SUMIF(#REF!,'8.Dgia'!A254,#REF!)+SUMIF(#REF!,'8.Dgia'!A254,#REF!)+SUMIF(#REF!,'8.Dgia'!A254,#REF!)+SUMIF(#REF!,'8.Dgia'!A254,#REF!)</f>
        <v>#REF!</v>
      </c>
      <c r="O254" s="844">
        <f>+$H$245</f>
        <v>2</v>
      </c>
      <c r="P254" s="843" t="e">
        <f t="shared" si="12"/>
        <v>#REF!</v>
      </c>
    </row>
    <row r="255" spans="1:18" ht="15" customHeight="1">
      <c r="A255" s="657">
        <f>IF(B255="",MAX($A$8:A254)+0,MAX($A$8:A254)+1)</f>
        <v>27</v>
      </c>
      <c r="B255" s="835" t="str">
        <f>IF(C255="","",COUNTA($C$10:C256))</f>
        <v/>
      </c>
      <c r="C255" s="362"/>
      <c r="D255" s="851"/>
      <c r="E255" s="852" t="s">
        <v>555</v>
      </c>
      <c r="F255" s="848" t="str">
        <f>VLOOKUP(E255,DICH!B:C,2,FALSE)</f>
        <v>Other material</v>
      </c>
      <c r="G255" s="362" t="s">
        <v>554</v>
      </c>
      <c r="H255" s="847">
        <v>2</v>
      </c>
      <c r="I255" s="848">
        <f>SUM(J252:J254)</f>
        <v>159834.54545454544</v>
      </c>
      <c r="J255" s="853">
        <f>I255*H255%</f>
        <v>3196.6909090909089</v>
      </c>
      <c r="N255" s="843" t="e">
        <f>SUMIF(#REF!,'8.Dgia'!A255,#REF!)+SUMIF(#REF!,'8.Dgia'!A255,#REF!)+SUMIF(#REF!,'8.Dgia'!A255,#REF!)+SUMIF(#REF!,'8.Dgia'!A255,#REF!)</f>
        <v>#REF!</v>
      </c>
      <c r="O255" s="844"/>
      <c r="P255" s="843" t="e">
        <f t="shared" si="12"/>
        <v>#REF!</v>
      </c>
    </row>
    <row r="256" spans="1:18" s="658" customFormat="1" ht="15" customHeight="1">
      <c r="A256" s="657">
        <f>IF(B256="",MAX($A$8:A255)+0,MAX($A$8:A255)+1)</f>
        <v>27</v>
      </c>
      <c r="B256" s="835" t="str">
        <f>IF(C256="","",COUNTA($C$10:C257))</f>
        <v/>
      </c>
      <c r="C256" s="362"/>
      <c r="D256" s="864" t="s">
        <v>3638</v>
      </c>
      <c r="E256" s="852" t="s">
        <v>2039</v>
      </c>
      <c r="F256" s="848" t="str">
        <f>VLOOKUP(E256,DICH!B:C,2,FALSE)</f>
        <v xml:space="preserve">  B - Labour 4.0/7</v>
      </c>
      <c r="G256" s="362" t="s">
        <v>4899</v>
      </c>
      <c r="H256" s="847">
        <f>(1.85+2.03)/2*1.2</f>
        <v>2.3279999999999998</v>
      </c>
      <c r="I256" s="848">
        <f>VLOOKUP(E256,'16.NC'!$C$11:$F$22,4,FALSE)</f>
        <v>218927</v>
      </c>
      <c r="J256" s="849">
        <f>I256*H256</f>
        <v>509662.05599999998</v>
      </c>
      <c r="K256" s="850"/>
      <c r="L256" s="850"/>
      <c r="M256" s="850"/>
      <c r="N256" s="843" t="e">
        <f>SUMIF(#REF!,'8.Dgia'!A256,#REF!)+SUMIF(#REF!,'8.Dgia'!A256,#REF!)+SUMIF(#REF!,'8.Dgia'!A256,#REF!)+SUMIF(#REF!,'8.Dgia'!A256,#REF!)</f>
        <v>#REF!</v>
      </c>
      <c r="O256" s="844"/>
      <c r="P256" s="843" t="e">
        <f t="shared" si="12"/>
        <v>#REF!</v>
      </c>
      <c r="R256" s="658">
        <v>1</v>
      </c>
    </row>
    <row r="257" spans="1:18" s="658" customFormat="1" ht="15" customHeight="1">
      <c r="A257" s="657">
        <f>IF(B257="",MAX($A$8:A256)+0,MAX($A$8:A256)+1)</f>
        <v>27</v>
      </c>
      <c r="B257" s="835" t="str">
        <f>IF(C257="","",COUNTA($C$10:C258))</f>
        <v/>
      </c>
      <c r="C257" s="362"/>
      <c r="D257" s="864" t="s">
        <v>3638</v>
      </c>
      <c r="E257" s="852" t="s">
        <v>2033</v>
      </c>
      <c r="F257" s="848" t="str">
        <f>VLOOKUP(E257,DICH!B:C,2,FALSE)</f>
        <v xml:space="preserve">  C - Machine</v>
      </c>
      <c r="G257" s="846"/>
      <c r="H257" s="847"/>
      <c r="I257" s="848"/>
      <c r="J257" s="849">
        <f>SUM(J258:J259)</f>
        <v>762506.09342099982</v>
      </c>
      <c r="K257" s="850"/>
      <c r="L257" s="850"/>
      <c r="M257" s="850"/>
      <c r="N257" s="843" t="e">
        <f>SUMIF(#REF!,'8.Dgia'!A257,#REF!)+SUMIF(#REF!,'8.Dgia'!A257,#REF!)+SUMIF(#REF!,'8.Dgia'!A257,#REF!)+SUMIF(#REF!,'8.Dgia'!A257,#REF!)</f>
        <v>#REF!</v>
      </c>
      <c r="O257" s="844"/>
      <c r="P257" s="843" t="e">
        <f t="shared" si="12"/>
        <v>#REF!</v>
      </c>
    </row>
    <row r="258" spans="1:18" ht="15" customHeight="1">
      <c r="A258" s="657">
        <f>IF(B258="",MAX($A$8:A257)+0,MAX($A$8:A257)+1)</f>
        <v>27</v>
      </c>
      <c r="B258" s="835" t="str">
        <f>IF(C258="","",COUNTA($C$10:C259))</f>
        <v/>
      </c>
      <c r="C258" s="362"/>
      <c r="D258" s="851"/>
      <c r="E258" s="852" t="s">
        <v>299</v>
      </c>
      <c r="F258" s="848" t="str">
        <f>VLOOKUP(E258,'9.may'!E:F,2,FALSE)</f>
        <v>Earth drill ED</v>
      </c>
      <c r="G258" s="362" t="s">
        <v>4902</v>
      </c>
      <c r="H258" s="847">
        <f>(0.125+0.13)/2*1.2</f>
        <v>0.153</v>
      </c>
      <c r="I258" s="848">
        <f>VLOOKUP(E258,'9.may'!E:W,12,FALSE)</f>
        <v>4530636.3245454542</v>
      </c>
      <c r="J258" s="853">
        <f>I258*H258</f>
        <v>693187.35765545443</v>
      </c>
      <c r="N258" s="843" t="e">
        <f>SUMIF(#REF!,'8.Dgia'!A258,#REF!)+SUMIF(#REF!,'8.Dgia'!A258,#REF!)+SUMIF(#REF!,'8.Dgia'!A258,#REF!)+SUMIF(#REF!,'8.Dgia'!A258,#REF!)</f>
        <v>#REF!</v>
      </c>
      <c r="O258" s="844">
        <f>+$H$249</f>
        <v>10</v>
      </c>
      <c r="P258" s="843" t="e">
        <f t="shared" si="12"/>
        <v>#REF!</v>
      </c>
    </row>
    <row r="259" spans="1:18" ht="15" customHeight="1">
      <c r="A259" s="657">
        <f>IF(B259="",MAX($A$8:A258)+0,MAX($A$8:A258)+1)</f>
        <v>27</v>
      </c>
      <c r="B259" s="835" t="str">
        <f>IF(C259="","",COUNTA($C$10:C260))</f>
        <v/>
      </c>
      <c r="C259" s="362"/>
      <c r="D259" s="851"/>
      <c r="E259" s="852" t="s">
        <v>553</v>
      </c>
      <c r="F259" s="848" t="str">
        <f>VLOOKUP(E259,DICH!B:C,2,FALSE)</f>
        <v>Other machine</v>
      </c>
      <c r="G259" s="362" t="s">
        <v>554</v>
      </c>
      <c r="H259" s="847">
        <v>10</v>
      </c>
      <c r="I259" s="848">
        <f>SUM(J258:J258)</f>
        <v>693187.35765545443</v>
      </c>
      <c r="J259" s="853">
        <f>I259*H259%</f>
        <v>69318.73576554544</v>
      </c>
      <c r="N259" s="843" t="e">
        <f>SUMIF(#REF!,'8.Dgia'!A259,#REF!)+SUMIF(#REF!,'8.Dgia'!A259,#REF!)+SUMIF(#REF!,'8.Dgia'!A259,#REF!)+SUMIF(#REF!,'8.Dgia'!A259,#REF!)</f>
        <v>#REF!</v>
      </c>
      <c r="O259" s="844"/>
      <c r="P259" s="843" t="e">
        <f t="shared" si="12"/>
        <v>#REF!</v>
      </c>
    </row>
    <row r="260" spans="1:18" ht="28.5" customHeight="1">
      <c r="A260" s="657">
        <f>IF(B260="",MAX($A$8:A259)+0,MAX($A$8:A259)+1)</f>
        <v>28</v>
      </c>
      <c r="B260" s="835">
        <f>IF(C260="","",COUNTA($C$10:C261))</f>
        <v>28</v>
      </c>
      <c r="C260" s="835">
        <f>IF(D260="","",1776)</f>
        <v>1776</v>
      </c>
      <c r="D260" s="851" t="s">
        <v>3919</v>
      </c>
      <c r="E260" s="855" t="s">
        <v>3917</v>
      </c>
      <c r="F260" s="1049" t="str">
        <f>VLOOKUP(E260,DICH!B:C,2,FALSE)</f>
        <v>Drilling bored pile D1200 on land, L&lt;=30m, co=1.2</v>
      </c>
      <c r="G260" s="856" t="s">
        <v>543</v>
      </c>
      <c r="H260" s="847"/>
      <c r="I260" s="848"/>
      <c r="J260" s="853"/>
      <c r="K260" s="842">
        <f>+J261</f>
        <v>199890.32727272727</v>
      </c>
      <c r="L260" s="842">
        <f>+J265</f>
        <v>664662.37199999986</v>
      </c>
      <c r="M260" s="842">
        <f>+J266</f>
        <v>571201.41232063633</v>
      </c>
      <c r="N260" s="843" t="e">
        <f>SUMIF(#REF!,'8.Dgia'!A260,#REF!)+SUMIF(#REF!,'8.Dgia'!A260,#REF!)+SUMIF(#REF!,'8.Dgia'!A260,#REF!)+SUMIF(#REF!,'8.Dgia'!A260,#REF!)</f>
        <v>#REF!</v>
      </c>
      <c r="O260" s="844"/>
      <c r="P260" s="843" t="e">
        <f t="shared" ref="P260:P269" si="13">$H260*N260*(1+O260%)</f>
        <v>#REF!</v>
      </c>
    </row>
    <row r="261" spans="1:18" s="658" customFormat="1" ht="15" customHeight="1">
      <c r="A261" s="657">
        <f>IF(B261="",MAX($A$8:A260)+0,MAX($A$8:A260)+1)</f>
        <v>28</v>
      </c>
      <c r="B261" s="835" t="str">
        <f>IF(C261="","",COUNTA($C$10:C262))</f>
        <v/>
      </c>
      <c r="C261" s="362"/>
      <c r="D261" s="864" t="s">
        <v>3638</v>
      </c>
      <c r="E261" s="852" t="s">
        <v>2032</v>
      </c>
      <c r="F261" s="848" t="str">
        <f>VLOOKUP(E261,DICH!B:C,2,FALSE)</f>
        <v xml:space="preserve">  A - Material</v>
      </c>
      <c r="G261" s="846"/>
      <c r="H261" s="847"/>
      <c r="I261" s="848"/>
      <c r="J261" s="849">
        <f>SUM(J262:J264)</f>
        <v>199890.32727272727</v>
      </c>
      <c r="K261" s="850"/>
      <c r="L261" s="850"/>
      <c r="M261" s="850"/>
      <c r="N261" s="843" t="e">
        <f>SUMIF(#REF!,'8.Dgia'!A261,#REF!)+SUMIF(#REF!,'8.Dgia'!A261,#REF!)+SUMIF(#REF!,'8.Dgia'!A261,#REF!)+SUMIF(#REF!,'8.Dgia'!A261,#REF!)</f>
        <v>#REF!</v>
      </c>
      <c r="O261" s="844"/>
      <c r="P261" s="843" t="e">
        <f t="shared" si="13"/>
        <v>#REF!</v>
      </c>
    </row>
    <row r="262" spans="1:18" ht="15" customHeight="1">
      <c r="A262" s="657">
        <f>IF(B262="",MAX($A$8:A261)+0,MAX($A$8:A261)+1)</f>
        <v>28</v>
      </c>
      <c r="B262" s="835" t="str">
        <f>IF(C262="","",COUNTA($C$10:C263))</f>
        <v/>
      </c>
      <c r="C262" s="362"/>
      <c r="D262" s="851"/>
      <c r="E262" s="852" t="s">
        <v>434</v>
      </c>
      <c r="F262" s="848" t="str">
        <f>VLOOKUP(E262,DICH!B:C,2,FALSE)</f>
        <v xml:space="preserve">alloy bucket teeth </v>
      </c>
      <c r="G262" s="362" t="s">
        <v>4649</v>
      </c>
      <c r="H262" s="847">
        <f>1.8*1.2</f>
        <v>2.16</v>
      </c>
      <c r="I262" s="848">
        <f>VLOOKUP(E262,'11.gia '!$B:$I,8,FALSE)</f>
        <v>85000</v>
      </c>
      <c r="J262" s="853">
        <f>I262*H262</f>
        <v>183600</v>
      </c>
      <c r="N262" s="843" t="e">
        <f>SUMIF(#REF!,'8.Dgia'!A262,#REF!)+SUMIF(#REF!,'8.Dgia'!A262,#REF!)+SUMIF(#REF!,'8.Dgia'!A262,#REF!)+SUMIF(#REF!,'8.Dgia'!A262,#REF!)</f>
        <v>#REF!</v>
      </c>
      <c r="O262" s="844">
        <f>+$H$245</f>
        <v>2</v>
      </c>
      <c r="P262" s="843" t="e">
        <f t="shared" si="13"/>
        <v>#REF!</v>
      </c>
    </row>
    <row r="263" spans="1:18" ht="15" customHeight="1">
      <c r="A263" s="657">
        <f>IF(B263="",MAX($A$8:A262)+0,MAX($A$8:A262)+1)</f>
        <v>28</v>
      </c>
      <c r="B263" s="835" t="str">
        <f>IF(C263="","",COUNTA($C$10:C264))</f>
        <v/>
      </c>
      <c r="C263" s="362"/>
      <c r="D263" s="851"/>
      <c r="E263" s="852" t="s">
        <v>559</v>
      </c>
      <c r="F263" s="848" t="str">
        <f>VLOOKUP(E263,DICH!B:C,2,FALSE)</f>
        <v>welding electrode</v>
      </c>
      <c r="G263" s="362" t="s">
        <v>558</v>
      </c>
      <c r="H263" s="847">
        <f>0.54*1.2</f>
        <v>0.64800000000000002</v>
      </c>
      <c r="I263" s="848">
        <f>VLOOKUP(E263,'11.gia '!$B:$I,8,FALSE)</f>
        <v>19090.909090909088</v>
      </c>
      <c r="J263" s="853">
        <f>I263*H263</f>
        <v>12370.90909090909</v>
      </c>
      <c r="N263" s="843" t="e">
        <f>SUMIF(#REF!,'8.Dgia'!A263,#REF!)+SUMIF(#REF!,'8.Dgia'!A263,#REF!)+SUMIF(#REF!,'8.Dgia'!A263,#REF!)+SUMIF(#REF!,'8.Dgia'!A263,#REF!)</f>
        <v>#REF!</v>
      </c>
      <c r="O263" s="844">
        <f>+$H$245</f>
        <v>2</v>
      </c>
      <c r="P263" s="843" t="e">
        <f t="shared" si="13"/>
        <v>#REF!</v>
      </c>
    </row>
    <row r="264" spans="1:18" ht="15" customHeight="1">
      <c r="A264" s="657">
        <f>IF(B264="",MAX($A$8:A263)+0,MAX($A$8:A263)+1)</f>
        <v>28</v>
      </c>
      <c r="B264" s="835" t="str">
        <f>IF(C264="","",COUNTA($C$10:C265))</f>
        <v/>
      </c>
      <c r="C264" s="362"/>
      <c r="D264" s="851"/>
      <c r="E264" s="852" t="s">
        <v>555</v>
      </c>
      <c r="F264" s="848" t="str">
        <f>VLOOKUP(E264,DICH!B:C,2,FALSE)</f>
        <v>Other material</v>
      </c>
      <c r="G264" s="362" t="s">
        <v>554</v>
      </c>
      <c r="H264" s="847">
        <v>2</v>
      </c>
      <c r="I264" s="848">
        <f>SUM(J262:J263)</f>
        <v>195970.90909090909</v>
      </c>
      <c r="J264" s="853">
        <f>I264*H264%</f>
        <v>3919.4181818181819</v>
      </c>
      <c r="N264" s="843" t="e">
        <f>SUMIF(#REF!,'8.Dgia'!A264,#REF!)+SUMIF(#REF!,'8.Dgia'!A264,#REF!)+SUMIF(#REF!,'8.Dgia'!A264,#REF!)+SUMIF(#REF!,'8.Dgia'!A264,#REF!)</f>
        <v>#REF!</v>
      </c>
      <c r="O264" s="844"/>
      <c r="P264" s="843" t="e">
        <f t="shared" si="13"/>
        <v>#REF!</v>
      </c>
    </row>
    <row r="265" spans="1:18" s="658" customFormat="1" ht="15" customHeight="1">
      <c r="A265" s="657">
        <f>IF(B265="",MAX($A$8:A264)+0,MAX($A$8:A264)+1)</f>
        <v>28</v>
      </c>
      <c r="B265" s="835" t="str">
        <f>IF(C265="","",COUNTA($C$10:C266))</f>
        <v/>
      </c>
      <c r="C265" s="362"/>
      <c r="D265" s="864" t="s">
        <v>3638</v>
      </c>
      <c r="E265" s="852" t="s">
        <v>2039</v>
      </c>
      <c r="F265" s="848" t="str">
        <f>VLOOKUP(E265,DICH!B:C,2,FALSE)</f>
        <v xml:space="preserve">  B - Labour 4.0/7</v>
      </c>
      <c r="G265" s="362" t="s">
        <v>4899</v>
      </c>
      <c r="H265" s="847">
        <f>2.53*1.2</f>
        <v>3.0359999999999996</v>
      </c>
      <c r="I265" s="848">
        <f>VLOOKUP(E265,'16.NC'!$C$11:$F$22,4,FALSE)</f>
        <v>218927</v>
      </c>
      <c r="J265" s="849">
        <f>I265*H265</f>
        <v>664662.37199999986</v>
      </c>
      <c r="K265" s="850"/>
      <c r="L265" s="850"/>
      <c r="M265" s="850"/>
      <c r="N265" s="843" t="e">
        <f>SUMIF(#REF!,'8.Dgia'!A265,#REF!)+SUMIF(#REF!,'8.Dgia'!A265,#REF!)+SUMIF(#REF!,'8.Dgia'!A265,#REF!)+SUMIF(#REF!,'8.Dgia'!A265,#REF!)</f>
        <v>#REF!</v>
      </c>
      <c r="O265" s="844"/>
      <c r="P265" s="843" t="e">
        <f t="shared" si="13"/>
        <v>#REF!</v>
      </c>
      <c r="R265" s="658">
        <v>1</v>
      </c>
    </row>
    <row r="266" spans="1:18" s="658" customFormat="1" ht="15" customHeight="1">
      <c r="A266" s="657">
        <f>IF(B266="",MAX($A$8:A265)+0,MAX($A$8:A265)+1)</f>
        <v>28</v>
      </c>
      <c r="B266" s="835" t="str">
        <f>IF(C266="","",COUNTA($C$10:C267))</f>
        <v/>
      </c>
      <c r="C266" s="362"/>
      <c r="D266" s="864" t="s">
        <v>3638</v>
      </c>
      <c r="E266" s="852" t="s">
        <v>2033</v>
      </c>
      <c r="F266" s="848" t="str">
        <f>VLOOKUP(E266,DICH!B:C,2,FALSE)</f>
        <v xml:space="preserve">  C - Machine</v>
      </c>
      <c r="G266" s="846"/>
      <c r="H266" s="847"/>
      <c r="I266" s="848"/>
      <c r="J266" s="849">
        <f>SUM(J267:J269)</f>
        <v>571201.41232063633</v>
      </c>
      <c r="K266" s="850"/>
      <c r="L266" s="850"/>
      <c r="M266" s="850"/>
      <c r="N266" s="843" t="e">
        <f>SUMIF(#REF!,'8.Dgia'!A266,#REF!)+SUMIF(#REF!,'8.Dgia'!A266,#REF!)+SUMIF(#REF!,'8.Dgia'!A266,#REF!)+SUMIF(#REF!,'8.Dgia'!A266,#REF!)</f>
        <v>#REF!</v>
      </c>
      <c r="O266" s="844"/>
      <c r="P266" s="843" t="e">
        <f t="shared" si="13"/>
        <v>#REF!</v>
      </c>
    </row>
    <row r="267" spans="1:18" ht="15" customHeight="1">
      <c r="A267" s="657">
        <f>IF(B267="",MAX($A$8:A266)+0,MAX($A$8:A266)+1)</f>
        <v>28</v>
      </c>
      <c r="B267" s="835" t="str">
        <f>IF(C267="","",COUNTA($C$10:C268))</f>
        <v/>
      </c>
      <c r="C267" s="362"/>
      <c r="D267" s="851"/>
      <c r="E267" s="852" t="s">
        <v>1546</v>
      </c>
      <c r="F267" s="848" t="str">
        <f>VLOOKUP(E267,'9.may'!E:F,2,FALSE)</f>
        <v>Boring hammer TRC-15</v>
      </c>
      <c r="G267" s="362" t="s">
        <v>4902</v>
      </c>
      <c r="H267" s="847">
        <f>0.03*1.2</f>
        <v>3.5999999999999997E-2</v>
      </c>
      <c r="I267" s="848">
        <f>VLOOKUP(E267,'9.may'!E:W,12,FALSE)</f>
        <v>12192731.640000001</v>
      </c>
      <c r="J267" s="853">
        <f>I267*H267</f>
        <v>438938.33903999999</v>
      </c>
      <c r="N267" s="843" t="e">
        <f>SUMIF(#REF!,'8.Dgia'!A267,#REF!)+SUMIF(#REF!,'8.Dgia'!A267,#REF!)+SUMIF(#REF!,'8.Dgia'!A267,#REF!)+SUMIF(#REF!,'8.Dgia'!A267,#REF!)</f>
        <v>#REF!</v>
      </c>
      <c r="O267" s="844">
        <v>5</v>
      </c>
      <c r="P267" s="843" t="e">
        <f t="shared" si="13"/>
        <v>#REF!</v>
      </c>
    </row>
    <row r="268" spans="1:18" ht="15" customHeight="1">
      <c r="A268" s="657">
        <f>IF(B268="",MAX($A$8:A267)+0,MAX($A$8:A267)+1)</f>
        <v>28</v>
      </c>
      <c r="B268" s="835" t="str">
        <f>IF(C268="","",COUNTA($C$10:C269))</f>
        <v/>
      </c>
      <c r="C268" s="362"/>
      <c r="D268" s="851"/>
      <c r="E268" s="852" t="s">
        <v>1043</v>
      </c>
      <c r="F268" s="848" t="str">
        <f>VLOOKUP(E268,'9.may'!E:F,2,FALSE)</f>
        <v>caterpillar crane 30T</v>
      </c>
      <c r="G268" s="362" t="s">
        <v>4902</v>
      </c>
      <c r="H268" s="847">
        <f>0.03*1.2</f>
        <v>3.5999999999999997E-2</v>
      </c>
      <c r="I268" s="848">
        <f>VLOOKUP(E268,'9.may'!E:W,12,FALSE)</f>
        <v>2918416.834090909</v>
      </c>
      <c r="J268" s="853">
        <f>I268*H268</f>
        <v>105063.00602727271</v>
      </c>
      <c r="N268" s="843" t="e">
        <f>SUMIF(#REF!,'8.Dgia'!A268,#REF!)+SUMIF(#REF!,'8.Dgia'!A268,#REF!)+SUMIF(#REF!,'8.Dgia'!A268,#REF!)+SUMIF(#REF!,'8.Dgia'!A268,#REF!)</f>
        <v>#REF!</v>
      </c>
      <c r="O268" s="844">
        <v>5</v>
      </c>
      <c r="P268" s="843" t="e">
        <f>$H268*N268*(1+O268%)</f>
        <v>#REF!</v>
      </c>
    </row>
    <row r="269" spans="1:18" ht="15" customHeight="1">
      <c r="A269" s="657">
        <f>IF(B269="",MAX($A$8:A268)+0,MAX($A$8:A268)+1)</f>
        <v>28</v>
      </c>
      <c r="B269" s="835" t="str">
        <f>IF(C269="","",COUNTA($C$10:C270))</f>
        <v/>
      </c>
      <c r="C269" s="362"/>
      <c r="D269" s="851"/>
      <c r="E269" s="852" t="s">
        <v>553</v>
      </c>
      <c r="F269" s="848" t="str">
        <f>VLOOKUP(E269,DICH!B:C,2,FALSE)</f>
        <v>Other machine</v>
      </c>
      <c r="G269" s="362" t="s">
        <v>554</v>
      </c>
      <c r="H269" s="847">
        <v>5</v>
      </c>
      <c r="I269" s="848">
        <f>SUM(J267:J268)</f>
        <v>544001.34506727266</v>
      </c>
      <c r="J269" s="853">
        <f>I269*H269%</f>
        <v>27200.067253363635</v>
      </c>
      <c r="N269" s="843" t="e">
        <f>SUMIF(#REF!,'8.Dgia'!A269,#REF!)+SUMIF(#REF!,'8.Dgia'!A269,#REF!)+SUMIF(#REF!,'8.Dgia'!A269,#REF!)+SUMIF(#REF!,'8.Dgia'!A269,#REF!)</f>
        <v>#REF!</v>
      </c>
      <c r="O269" s="844"/>
      <c r="P269" s="843" t="e">
        <f t="shared" si="13"/>
        <v>#REF!</v>
      </c>
    </row>
    <row r="270" spans="1:18" ht="28.5" customHeight="1">
      <c r="A270" s="657">
        <f>IF(B270="",MAX($A$8:A269)+0,MAX($A$8:A269)+1)</f>
        <v>29</v>
      </c>
      <c r="B270" s="835">
        <f>IF(C270="","",COUNTA($C$10:C271))</f>
        <v>29</v>
      </c>
      <c r="C270" s="835">
        <f>IF(D270="","",1776)</f>
        <v>1776</v>
      </c>
      <c r="D270" s="851" t="s">
        <v>2178</v>
      </c>
      <c r="E270" s="855" t="s">
        <v>3826</v>
      </c>
      <c r="F270" s="1049" t="str">
        <f>VLOOKUP(E270,DICH!B:C,2,FALSE)</f>
        <v>Drilling bored pile D1500 on land, L&gt;30m, co mater =1.2, co labour and mac=1.015*1.2</v>
      </c>
      <c r="G270" s="856" t="s">
        <v>543</v>
      </c>
      <c r="H270" s="847"/>
      <c r="I270" s="848"/>
      <c r="J270" s="853"/>
      <c r="K270" s="842">
        <f>+J271</f>
        <v>228531.92727272728</v>
      </c>
      <c r="L270" s="842">
        <f>+J276</f>
        <v>597302.91264</v>
      </c>
      <c r="M270" s="842">
        <f>+J277</f>
        <v>1068345.7923821756</v>
      </c>
      <c r="N270" s="843" t="e">
        <f>SUMIF(#REF!,'8.Dgia'!A270,#REF!)+SUMIF(#REF!,'8.Dgia'!A270,#REF!)+SUMIF(#REF!,'8.Dgia'!A270,#REF!)+SUMIF(#REF!,'8.Dgia'!A270,#REF!)</f>
        <v>#REF!</v>
      </c>
      <c r="O270" s="844"/>
      <c r="P270" s="843" t="e">
        <f t="shared" si="11"/>
        <v>#REF!</v>
      </c>
    </row>
    <row r="271" spans="1:18" s="658" customFormat="1" ht="15" customHeight="1">
      <c r="A271" s="657">
        <f>IF(B271="",MAX($A$8:A270)+0,MAX($A$8:A270)+1)</f>
        <v>29</v>
      </c>
      <c r="B271" s="835" t="str">
        <f>IF(C271="","",COUNTA($C$10:C272))</f>
        <v/>
      </c>
      <c r="C271" s="362"/>
      <c r="D271" s="864" t="s">
        <v>3638</v>
      </c>
      <c r="E271" s="852" t="s">
        <v>2032</v>
      </c>
      <c r="F271" s="848" t="str">
        <f>VLOOKUP(E271,DICH!B:C,2,FALSE)</f>
        <v xml:space="preserve">  A - Material</v>
      </c>
      <c r="G271" s="846"/>
      <c r="H271" s="847"/>
      <c r="I271" s="848"/>
      <c r="J271" s="849">
        <f>SUM(J272:J275)</f>
        <v>228531.92727272728</v>
      </c>
      <c r="K271" s="850"/>
      <c r="L271" s="850"/>
      <c r="M271" s="850"/>
      <c r="N271" s="843" t="e">
        <f>SUMIF(#REF!,'8.Dgia'!A271,#REF!)+SUMIF(#REF!,'8.Dgia'!A271,#REF!)+SUMIF(#REF!,'8.Dgia'!A271,#REF!)+SUMIF(#REF!,'8.Dgia'!A271,#REF!)</f>
        <v>#REF!</v>
      </c>
      <c r="O271" s="844"/>
      <c r="P271" s="843" t="e">
        <f t="shared" si="11"/>
        <v>#REF!</v>
      </c>
    </row>
    <row r="272" spans="1:18" ht="15" customHeight="1">
      <c r="A272" s="657">
        <f>IF(B272="",MAX($A$8:A271)+0,MAX($A$8:A271)+1)</f>
        <v>29</v>
      </c>
      <c r="B272" s="835" t="str">
        <f>IF(C272="","",COUNTA($C$10:C273))</f>
        <v/>
      </c>
      <c r="C272" s="362"/>
      <c r="D272" s="851"/>
      <c r="E272" s="852" t="s">
        <v>433</v>
      </c>
      <c r="F272" s="848" t="str">
        <f>VLOOKUP(E272,DICH!B:C,2,FALSE)</f>
        <v xml:space="preserve">Bucket of drill </v>
      </c>
      <c r="G272" s="362" t="s">
        <v>4649</v>
      </c>
      <c r="H272" s="859">
        <f>0.002*1.2</f>
        <v>2.3999999999999998E-3</v>
      </c>
      <c r="I272" s="848">
        <f>VLOOKUP(E272,'11.gia '!$B:$I,8,FALSE)</f>
        <v>3000000</v>
      </c>
      <c r="J272" s="853">
        <f>I272*H272</f>
        <v>7199.9999999999991</v>
      </c>
      <c r="N272" s="843" t="e">
        <f>SUMIF(#REF!,'8.Dgia'!A272,#REF!)+SUMIF(#REF!,'8.Dgia'!A272,#REF!)+SUMIF(#REF!,'8.Dgia'!A272,#REF!)+SUMIF(#REF!,'8.Dgia'!A272,#REF!)</f>
        <v>#REF!</v>
      </c>
      <c r="O272" s="844">
        <f>+$H$275</f>
        <v>2</v>
      </c>
      <c r="P272" s="843" t="e">
        <f t="shared" si="11"/>
        <v>#REF!</v>
      </c>
    </row>
    <row r="273" spans="1:18" ht="15" customHeight="1">
      <c r="A273" s="657">
        <f>IF(B273="",MAX($A$8:A272)+0,MAX($A$8:A272)+1)</f>
        <v>29</v>
      </c>
      <c r="B273" s="835" t="str">
        <f>IF(C273="","",COUNTA($C$10:C274))</f>
        <v/>
      </c>
      <c r="C273" s="362"/>
      <c r="D273" s="851"/>
      <c r="E273" s="852" t="s">
        <v>434</v>
      </c>
      <c r="F273" s="848" t="str">
        <f>VLOOKUP(E273,DICH!B:C,2,FALSE)</f>
        <v xml:space="preserve">alloy bucket teeth </v>
      </c>
      <c r="G273" s="362" t="s">
        <v>4649</v>
      </c>
      <c r="H273" s="865">
        <f>1.98*1.2</f>
        <v>2.3759999999999999</v>
      </c>
      <c r="I273" s="848">
        <f>VLOOKUP(E273,'11.gia '!$B:$I,8,FALSE)</f>
        <v>85000</v>
      </c>
      <c r="J273" s="853">
        <f>I273*H273</f>
        <v>201960</v>
      </c>
      <c r="N273" s="843" t="e">
        <f>SUMIF(#REF!,'8.Dgia'!A273,#REF!)+SUMIF(#REF!,'8.Dgia'!A273,#REF!)+SUMIF(#REF!,'8.Dgia'!A273,#REF!)+SUMIF(#REF!,'8.Dgia'!A273,#REF!)</f>
        <v>#REF!</v>
      </c>
      <c r="O273" s="844">
        <f>+$H$275</f>
        <v>2</v>
      </c>
      <c r="P273" s="843" t="e">
        <f t="shared" si="11"/>
        <v>#REF!</v>
      </c>
    </row>
    <row r="274" spans="1:18" ht="15" customHeight="1">
      <c r="A274" s="657">
        <f>IF(B274="",MAX($A$8:A273)+0,MAX($A$8:A273)+1)</f>
        <v>29</v>
      </c>
      <c r="B274" s="835" t="str">
        <f>IF(C274="","",COUNTA($C$10:C275))</f>
        <v/>
      </c>
      <c r="C274" s="362"/>
      <c r="D274" s="851"/>
      <c r="E274" s="852" t="s">
        <v>559</v>
      </c>
      <c r="F274" s="848" t="str">
        <f>VLOOKUP(E274,DICH!B:C,2,FALSE)</f>
        <v>welding electrode</v>
      </c>
      <c r="G274" s="362" t="s">
        <v>558</v>
      </c>
      <c r="H274" s="865">
        <f>0.65*1.2</f>
        <v>0.78</v>
      </c>
      <c r="I274" s="848">
        <f>VLOOKUP(E274,'11.gia '!$B:$I,8,FALSE)</f>
        <v>19090.909090909088</v>
      </c>
      <c r="J274" s="853">
        <f>I274*H274</f>
        <v>14890.90909090909</v>
      </c>
      <c r="N274" s="843" t="e">
        <f>SUMIF(#REF!,'8.Dgia'!A274,#REF!)+SUMIF(#REF!,'8.Dgia'!A274,#REF!)+SUMIF(#REF!,'8.Dgia'!A274,#REF!)+SUMIF(#REF!,'8.Dgia'!A274,#REF!)</f>
        <v>#REF!</v>
      </c>
      <c r="O274" s="844">
        <f>+$H$275</f>
        <v>2</v>
      </c>
      <c r="P274" s="843" t="e">
        <f t="shared" si="11"/>
        <v>#REF!</v>
      </c>
    </row>
    <row r="275" spans="1:18" ht="15" customHeight="1">
      <c r="A275" s="657">
        <f>IF(B275="",MAX($A$8:A274)+0,MAX($A$8:A274)+1)</f>
        <v>29</v>
      </c>
      <c r="B275" s="835" t="str">
        <f>IF(C275="","",COUNTA($C$10:C276))</f>
        <v/>
      </c>
      <c r="C275" s="362"/>
      <c r="D275" s="851"/>
      <c r="E275" s="852" t="s">
        <v>555</v>
      </c>
      <c r="F275" s="848" t="str">
        <f>VLOOKUP(E275,DICH!B:C,2,FALSE)</f>
        <v>Other material</v>
      </c>
      <c r="G275" s="362" t="s">
        <v>554</v>
      </c>
      <c r="H275" s="847">
        <v>2</v>
      </c>
      <c r="I275" s="848">
        <f>SUM(J272:J274)</f>
        <v>224050.90909090909</v>
      </c>
      <c r="J275" s="853">
        <f>I275*H275%</f>
        <v>4481.0181818181818</v>
      </c>
      <c r="N275" s="843" t="e">
        <f>SUMIF(#REF!,'8.Dgia'!A275,#REF!)+SUMIF(#REF!,'8.Dgia'!A275,#REF!)+SUMIF(#REF!,'8.Dgia'!A275,#REF!)+SUMIF(#REF!,'8.Dgia'!A275,#REF!)</f>
        <v>#REF!</v>
      </c>
      <c r="O275" s="844"/>
      <c r="P275" s="843" t="e">
        <f t="shared" si="11"/>
        <v>#REF!</v>
      </c>
    </row>
    <row r="276" spans="1:18" s="658" customFormat="1" ht="15" customHeight="1">
      <c r="A276" s="657">
        <f>IF(B276="",MAX($A$8:A275)+0,MAX($A$8:A275)+1)</f>
        <v>29</v>
      </c>
      <c r="B276" s="835" t="str">
        <f>IF(C276="","",COUNTA($C$10:C277))</f>
        <v/>
      </c>
      <c r="C276" s="362"/>
      <c r="D276" s="864" t="s">
        <v>3639</v>
      </c>
      <c r="E276" s="852" t="s">
        <v>2039</v>
      </c>
      <c r="F276" s="848" t="str">
        <f>VLOOKUP(E276,DICH!B:C,2,FALSE)</f>
        <v xml:space="preserve">  B - Labour 4.0/7</v>
      </c>
      <c r="G276" s="362" t="s">
        <v>4899</v>
      </c>
      <c r="H276" s="859">
        <f>2.24*1.015*1.2</f>
        <v>2.7283200000000001</v>
      </c>
      <c r="I276" s="848">
        <f>VLOOKUP(E276,'16.NC'!$C$11:$F$22,4,FALSE)</f>
        <v>218927</v>
      </c>
      <c r="J276" s="849">
        <f>I276*H276</f>
        <v>597302.91264</v>
      </c>
      <c r="K276" s="850"/>
      <c r="L276" s="850"/>
      <c r="M276" s="850"/>
      <c r="N276" s="843" t="e">
        <f>SUMIF(#REF!,'8.Dgia'!A276,#REF!)+SUMIF(#REF!,'8.Dgia'!A276,#REF!)+SUMIF(#REF!,'8.Dgia'!A276,#REF!)+SUMIF(#REF!,'8.Dgia'!A276,#REF!)</f>
        <v>#REF!</v>
      </c>
      <c r="O276" s="844"/>
      <c r="P276" s="843" t="e">
        <f t="shared" si="11"/>
        <v>#REF!</v>
      </c>
      <c r="R276" s="658">
        <v>1</v>
      </c>
    </row>
    <row r="277" spans="1:18" s="658" customFormat="1" ht="15" customHeight="1">
      <c r="A277" s="657">
        <f>IF(B277="",MAX($A$8:A276)+0,MAX($A$8:A276)+1)</f>
        <v>29</v>
      </c>
      <c r="B277" s="835" t="str">
        <f>IF(C277="","",COUNTA($C$10:C278))</f>
        <v/>
      </c>
      <c r="C277" s="362"/>
      <c r="D277" s="864" t="s">
        <v>3639</v>
      </c>
      <c r="E277" s="852" t="s">
        <v>2033</v>
      </c>
      <c r="F277" s="848" t="str">
        <f>VLOOKUP(E277,DICH!B:C,2,FALSE)</f>
        <v xml:space="preserve">  C - Machine</v>
      </c>
      <c r="G277" s="846"/>
      <c r="H277" s="859"/>
      <c r="I277" s="848"/>
      <c r="J277" s="849">
        <f>SUM(J278:J279)</f>
        <v>1068345.7923821756</v>
      </c>
      <c r="K277" s="850"/>
      <c r="L277" s="850"/>
      <c r="M277" s="850"/>
      <c r="N277" s="843" t="e">
        <f>SUMIF(#REF!,'8.Dgia'!A277,#REF!)+SUMIF(#REF!,'8.Dgia'!A277,#REF!)+SUMIF(#REF!,'8.Dgia'!A277,#REF!)+SUMIF(#REF!,'8.Dgia'!A277,#REF!)</f>
        <v>#REF!</v>
      </c>
      <c r="O277" s="844"/>
      <c r="P277" s="843" t="e">
        <f t="shared" si="11"/>
        <v>#REF!</v>
      </c>
    </row>
    <row r="278" spans="1:18" ht="15" customHeight="1">
      <c r="A278" s="657">
        <f>IF(B278="",MAX($A$8:A277)+0,MAX($A$8:A277)+1)</f>
        <v>29</v>
      </c>
      <c r="B278" s="835" t="str">
        <f>IF(C278="","",COUNTA($C$10:C279))</f>
        <v/>
      </c>
      <c r="C278" s="362"/>
      <c r="D278" s="851"/>
      <c r="E278" s="852" t="s">
        <v>299</v>
      </c>
      <c r="F278" s="848" t="str">
        <f>VLOOKUP(E278,'9.may'!E:F,2,FALSE)</f>
        <v>Earth drill ED</v>
      </c>
      <c r="G278" s="362" t="s">
        <v>4902</v>
      </c>
      <c r="H278" s="859">
        <f>0.176*1.015*1.2</f>
        <v>0.21436799999999995</v>
      </c>
      <c r="I278" s="848">
        <f>VLOOKUP(E278,'9.may'!E:W,12,FALSE)</f>
        <v>4530636.3245454542</v>
      </c>
      <c r="J278" s="853">
        <f>I278*H278</f>
        <v>971223.44762015971</v>
      </c>
      <c r="N278" s="843" t="e">
        <f>SUMIF(#REF!,'8.Dgia'!A278,#REF!)+SUMIF(#REF!,'8.Dgia'!A278,#REF!)+SUMIF(#REF!,'8.Dgia'!A278,#REF!)+SUMIF(#REF!,'8.Dgia'!A278,#REF!)</f>
        <v>#REF!</v>
      </c>
      <c r="O278" s="844">
        <f>+$H$279</f>
        <v>10</v>
      </c>
      <c r="P278" s="843" t="e">
        <f t="shared" si="11"/>
        <v>#REF!</v>
      </c>
    </row>
    <row r="279" spans="1:18" ht="15" customHeight="1">
      <c r="A279" s="657">
        <f>IF(B279="",MAX($A$8:A278)+0,MAX($A$8:A278)+1)</f>
        <v>29</v>
      </c>
      <c r="B279" s="835" t="str">
        <f>IF(C279="","",COUNTA($C$10:C280))</f>
        <v/>
      </c>
      <c r="C279" s="362"/>
      <c r="D279" s="851"/>
      <c r="E279" s="852" t="s">
        <v>553</v>
      </c>
      <c r="F279" s="848" t="str">
        <f>VLOOKUP(E279,DICH!B:C,2,FALSE)</f>
        <v>Other machine</v>
      </c>
      <c r="G279" s="362" t="s">
        <v>554</v>
      </c>
      <c r="H279" s="847">
        <v>10</v>
      </c>
      <c r="I279" s="848">
        <f>SUM(J278:J278)</f>
        <v>971223.44762015971</v>
      </c>
      <c r="J279" s="853">
        <f>I279*H279%</f>
        <v>97122.344762015971</v>
      </c>
      <c r="N279" s="843" t="e">
        <f>SUMIF(#REF!,'8.Dgia'!A279,#REF!)+SUMIF(#REF!,'8.Dgia'!A279,#REF!)+SUMIF(#REF!,'8.Dgia'!A279,#REF!)+SUMIF(#REF!,'8.Dgia'!A279,#REF!)</f>
        <v>#REF!</v>
      </c>
      <c r="O279" s="844"/>
      <c r="P279" s="843" t="e">
        <f t="shared" si="11"/>
        <v>#REF!</v>
      </c>
    </row>
    <row r="280" spans="1:18" ht="38.25">
      <c r="A280" s="657">
        <f>IF(B280="",MAX($A$8:A279)+0,MAX($A$8:A279)+1)</f>
        <v>30</v>
      </c>
      <c r="B280" s="835">
        <f>IF(C280="","",COUNTA($C$10:C281))</f>
        <v>30</v>
      </c>
      <c r="C280" s="835">
        <f>IF(D280="","",1776)</f>
        <v>1776</v>
      </c>
      <c r="D280" s="851" t="s">
        <v>3918</v>
      </c>
      <c r="E280" s="855" t="s">
        <v>3920</v>
      </c>
      <c r="F280" s="1049" t="str">
        <f>VLOOKUP(E280,DICH!B:C,2,FALSE)</f>
        <v>Drilling bored pile D1200 on land, L&gt;30m, co mater =1.2, co labour and mac=1.015*1.2</v>
      </c>
      <c r="G280" s="856" t="s">
        <v>543</v>
      </c>
      <c r="H280" s="847"/>
      <c r="I280" s="848"/>
      <c r="J280" s="853"/>
      <c r="K280" s="842">
        <f>+J281</f>
        <v>163031.23636363636</v>
      </c>
      <c r="L280" s="842">
        <f>+J286</f>
        <v>517306.98683999991</v>
      </c>
      <c r="M280" s="842">
        <f>+J287</f>
        <v>773943.68482231488</v>
      </c>
      <c r="N280" s="843" t="e">
        <f>SUMIF(#REF!,'8.Dgia'!A280,#REF!)+SUMIF(#REF!,'8.Dgia'!A280,#REF!)+SUMIF(#REF!,'8.Dgia'!A280,#REF!)+SUMIF(#REF!,'8.Dgia'!A280,#REF!)</f>
        <v>#REF!</v>
      </c>
      <c r="O280" s="844"/>
      <c r="P280" s="843" t="e">
        <f t="shared" ref="P280:P299" si="14">$H280*N280*(1+O280%)</f>
        <v>#REF!</v>
      </c>
    </row>
    <row r="281" spans="1:18" s="658" customFormat="1" ht="15" customHeight="1">
      <c r="A281" s="657">
        <f>IF(B281="",MAX($A$8:A280)+0,MAX($A$8:A280)+1)</f>
        <v>30</v>
      </c>
      <c r="B281" s="835" t="str">
        <f>IF(C281="","",COUNTA($C$10:C282))</f>
        <v/>
      </c>
      <c r="C281" s="362"/>
      <c r="D281" s="864" t="s">
        <v>3638</v>
      </c>
      <c r="E281" s="852" t="s">
        <v>2032</v>
      </c>
      <c r="F281" s="848" t="str">
        <f>VLOOKUP(E281,DICH!B:C,2,FALSE)</f>
        <v xml:space="preserve">  A - Material</v>
      </c>
      <c r="G281" s="846"/>
      <c r="H281" s="847"/>
      <c r="I281" s="848"/>
      <c r="J281" s="849">
        <f>SUM(J282:J285)</f>
        <v>163031.23636363636</v>
      </c>
      <c r="K281" s="850"/>
      <c r="L281" s="850"/>
      <c r="M281" s="850"/>
      <c r="N281" s="843" t="e">
        <f>SUMIF(#REF!,'8.Dgia'!A281,#REF!)+SUMIF(#REF!,'8.Dgia'!A281,#REF!)+SUMIF(#REF!,'8.Dgia'!A281,#REF!)+SUMIF(#REF!,'8.Dgia'!A281,#REF!)</f>
        <v>#REF!</v>
      </c>
      <c r="O281" s="844"/>
      <c r="P281" s="843" t="e">
        <f t="shared" si="14"/>
        <v>#REF!</v>
      </c>
    </row>
    <row r="282" spans="1:18" ht="15" customHeight="1">
      <c r="A282" s="657">
        <f>IF(B282="",MAX($A$8:A281)+0,MAX($A$8:A281)+1)</f>
        <v>30</v>
      </c>
      <c r="B282" s="835" t="str">
        <f>IF(C282="","",COUNTA($C$10:C283))</f>
        <v/>
      </c>
      <c r="C282" s="362"/>
      <c r="D282" s="851"/>
      <c r="E282" s="852" t="s">
        <v>433</v>
      </c>
      <c r="F282" s="848" t="str">
        <f>VLOOKUP(E282,DICH!B:C,2,FALSE)</f>
        <v xml:space="preserve">Bucket of drill </v>
      </c>
      <c r="G282" s="362" t="s">
        <v>4649</v>
      </c>
      <c r="H282" s="847">
        <f>(0.0014+0.0017)/2*1.2</f>
        <v>1.8599999999999999E-3</v>
      </c>
      <c r="I282" s="848">
        <f>VLOOKUP(E282,'11.gia '!$B:$I,8,FALSE)</f>
        <v>3000000</v>
      </c>
      <c r="J282" s="853">
        <f>I282*H282</f>
        <v>5580</v>
      </c>
      <c r="N282" s="843" t="e">
        <f>SUMIF(#REF!,'8.Dgia'!A282,#REF!)+SUMIF(#REF!,'8.Dgia'!A282,#REF!)+SUMIF(#REF!,'8.Dgia'!A282,#REF!)+SUMIF(#REF!,'8.Dgia'!A282,#REF!)</f>
        <v>#REF!</v>
      </c>
      <c r="O282" s="844">
        <f>+$H$275</f>
        <v>2</v>
      </c>
      <c r="P282" s="843" t="e">
        <f t="shared" si="14"/>
        <v>#REF!</v>
      </c>
    </row>
    <row r="283" spans="1:18" ht="15" customHeight="1">
      <c r="A283" s="657">
        <f>IF(B283="",MAX($A$8:A282)+0,MAX($A$8:A282)+1)</f>
        <v>30</v>
      </c>
      <c r="B283" s="835" t="str">
        <f>IF(C283="","",COUNTA($C$10:C284))</f>
        <v/>
      </c>
      <c r="C283" s="362"/>
      <c r="D283" s="851"/>
      <c r="E283" s="852" t="s">
        <v>434</v>
      </c>
      <c r="F283" s="848" t="str">
        <f>VLOOKUP(E283,DICH!B:C,2,FALSE)</f>
        <v xml:space="preserve">alloy bucket teeth </v>
      </c>
      <c r="G283" s="362" t="s">
        <v>4649</v>
      </c>
      <c r="H283" s="847">
        <f>(1.32+1.48)/2*1.2</f>
        <v>1.68</v>
      </c>
      <c r="I283" s="848">
        <f>VLOOKUP(E283,'11.gia '!$B:$I,8,FALSE)</f>
        <v>85000</v>
      </c>
      <c r="J283" s="853">
        <f>I283*H283</f>
        <v>142800</v>
      </c>
      <c r="N283" s="843" t="e">
        <f>SUMIF(#REF!,'8.Dgia'!A283,#REF!)+SUMIF(#REF!,'8.Dgia'!A283,#REF!)+SUMIF(#REF!,'8.Dgia'!A283,#REF!)+SUMIF(#REF!,'8.Dgia'!A283,#REF!)</f>
        <v>#REF!</v>
      </c>
      <c r="O283" s="844">
        <f>+$H$275</f>
        <v>2</v>
      </c>
      <c r="P283" s="843" t="e">
        <f t="shared" si="14"/>
        <v>#REF!</v>
      </c>
    </row>
    <row r="284" spans="1:18" ht="15" customHeight="1">
      <c r="A284" s="657">
        <f>IF(B284="",MAX($A$8:A283)+0,MAX($A$8:A283)+1)</f>
        <v>30</v>
      </c>
      <c r="B284" s="835" t="str">
        <f>IF(C284="","",COUNTA($C$10:C285))</f>
        <v/>
      </c>
      <c r="C284" s="362"/>
      <c r="D284" s="851"/>
      <c r="E284" s="852" t="s">
        <v>559</v>
      </c>
      <c r="F284" s="848" t="str">
        <f>VLOOKUP(E284,DICH!B:C,2,FALSE)</f>
        <v>welding electrode</v>
      </c>
      <c r="G284" s="362" t="s">
        <v>558</v>
      </c>
      <c r="H284" s="847">
        <f>(0.45+0.55)/2*1.2</f>
        <v>0.6</v>
      </c>
      <c r="I284" s="848">
        <f>VLOOKUP(E284,'11.gia '!$B:$I,8,FALSE)</f>
        <v>19090.909090909088</v>
      </c>
      <c r="J284" s="853">
        <f>I284*H284</f>
        <v>11454.545454545452</v>
      </c>
      <c r="N284" s="843" t="e">
        <f>SUMIF(#REF!,'8.Dgia'!A284,#REF!)+SUMIF(#REF!,'8.Dgia'!A284,#REF!)+SUMIF(#REF!,'8.Dgia'!A284,#REF!)+SUMIF(#REF!,'8.Dgia'!A284,#REF!)</f>
        <v>#REF!</v>
      </c>
      <c r="O284" s="844">
        <f>+$H$275</f>
        <v>2</v>
      </c>
      <c r="P284" s="843" t="e">
        <f t="shared" si="14"/>
        <v>#REF!</v>
      </c>
    </row>
    <row r="285" spans="1:18" ht="15" customHeight="1">
      <c r="A285" s="657">
        <f>IF(B285="",MAX($A$8:A284)+0,MAX($A$8:A284)+1)</f>
        <v>30</v>
      </c>
      <c r="B285" s="835" t="str">
        <f>IF(C285="","",COUNTA($C$10:C286))</f>
        <v/>
      </c>
      <c r="C285" s="362"/>
      <c r="D285" s="851"/>
      <c r="E285" s="852" t="s">
        <v>555</v>
      </c>
      <c r="F285" s="848" t="str">
        <f>VLOOKUP(E285,DICH!B:C,2,FALSE)</f>
        <v>Other material</v>
      </c>
      <c r="G285" s="362" t="s">
        <v>554</v>
      </c>
      <c r="H285" s="847">
        <v>2</v>
      </c>
      <c r="I285" s="848">
        <f>SUM(J282:J284)</f>
        <v>159834.54545454544</v>
      </c>
      <c r="J285" s="853">
        <f>I285*H285%</f>
        <v>3196.6909090909089</v>
      </c>
      <c r="N285" s="843" t="e">
        <f>SUMIF(#REF!,'8.Dgia'!A285,#REF!)+SUMIF(#REF!,'8.Dgia'!A285,#REF!)+SUMIF(#REF!,'8.Dgia'!A285,#REF!)+SUMIF(#REF!,'8.Dgia'!A285,#REF!)</f>
        <v>#REF!</v>
      </c>
      <c r="O285" s="844"/>
      <c r="P285" s="843" t="e">
        <f t="shared" si="14"/>
        <v>#REF!</v>
      </c>
    </row>
    <row r="286" spans="1:18" s="658" customFormat="1" ht="15" customHeight="1">
      <c r="A286" s="657">
        <f>IF(B286="",MAX($A$8:A285)+0,MAX($A$8:A285)+1)</f>
        <v>30</v>
      </c>
      <c r="B286" s="835" t="str">
        <f>IF(C286="","",COUNTA($C$10:C287))</f>
        <v/>
      </c>
      <c r="C286" s="362"/>
      <c r="D286" s="864" t="s">
        <v>3639</v>
      </c>
      <c r="E286" s="852" t="s">
        <v>2039</v>
      </c>
      <c r="F286" s="848" t="str">
        <f>VLOOKUP(E286,DICH!B:C,2,FALSE)</f>
        <v xml:space="preserve">  B - Labour 4.0/7</v>
      </c>
      <c r="G286" s="362" t="s">
        <v>4899</v>
      </c>
      <c r="H286" s="847">
        <f>(1.85+2.03)/2*1.2*1.015</f>
        <v>2.3629199999999995</v>
      </c>
      <c r="I286" s="848">
        <f>VLOOKUP(E286,'16.NC'!$C$11:$F$22,4,FALSE)</f>
        <v>218927</v>
      </c>
      <c r="J286" s="849">
        <f>I286*H286</f>
        <v>517306.98683999991</v>
      </c>
      <c r="K286" s="850"/>
      <c r="L286" s="850"/>
      <c r="M286" s="850"/>
      <c r="N286" s="843" t="e">
        <f>SUMIF(#REF!,'8.Dgia'!A286,#REF!)+SUMIF(#REF!,'8.Dgia'!A286,#REF!)+SUMIF(#REF!,'8.Dgia'!A286,#REF!)+SUMIF(#REF!,'8.Dgia'!A286,#REF!)</f>
        <v>#REF!</v>
      </c>
      <c r="O286" s="844"/>
      <c r="P286" s="843" t="e">
        <f t="shared" si="14"/>
        <v>#REF!</v>
      </c>
      <c r="R286" s="658">
        <v>1</v>
      </c>
    </row>
    <row r="287" spans="1:18" s="658" customFormat="1" ht="15" customHeight="1">
      <c r="A287" s="657">
        <f>IF(B287="",MAX($A$8:A286)+0,MAX($A$8:A286)+1)</f>
        <v>30</v>
      </c>
      <c r="B287" s="835" t="str">
        <f>IF(C287="","",COUNTA($C$10:C288))</f>
        <v/>
      </c>
      <c r="C287" s="362"/>
      <c r="D287" s="864" t="s">
        <v>3639</v>
      </c>
      <c r="E287" s="852" t="s">
        <v>2033</v>
      </c>
      <c r="F287" s="848" t="str">
        <f>VLOOKUP(E287,DICH!B:C,2,FALSE)</f>
        <v xml:space="preserve">  C - Machine</v>
      </c>
      <c r="G287" s="846"/>
      <c r="H287" s="847"/>
      <c r="I287" s="848"/>
      <c r="J287" s="849">
        <f>SUM(J288:J289)</f>
        <v>773943.68482231488</v>
      </c>
      <c r="K287" s="850"/>
      <c r="L287" s="850"/>
      <c r="M287" s="850"/>
      <c r="N287" s="843" t="e">
        <f>SUMIF(#REF!,'8.Dgia'!A287,#REF!)+SUMIF(#REF!,'8.Dgia'!A287,#REF!)+SUMIF(#REF!,'8.Dgia'!A287,#REF!)+SUMIF(#REF!,'8.Dgia'!A287,#REF!)</f>
        <v>#REF!</v>
      </c>
      <c r="O287" s="844"/>
      <c r="P287" s="843" t="e">
        <f t="shared" si="14"/>
        <v>#REF!</v>
      </c>
    </row>
    <row r="288" spans="1:18" ht="15" customHeight="1">
      <c r="A288" s="657">
        <f>IF(B288="",MAX($A$8:A287)+0,MAX($A$8:A287)+1)</f>
        <v>30</v>
      </c>
      <c r="B288" s="835" t="str">
        <f>IF(C288="","",COUNTA($C$10:C289))</f>
        <v/>
      </c>
      <c r="C288" s="362"/>
      <c r="D288" s="851"/>
      <c r="E288" s="852" t="s">
        <v>299</v>
      </c>
      <c r="F288" s="848" t="str">
        <f>VLOOKUP(E288,'9.may'!E:F,2,FALSE)</f>
        <v>Earth drill ED</v>
      </c>
      <c r="G288" s="362" t="s">
        <v>4902</v>
      </c>
      <c r="H288" s="847">
        <f>(0.125+0.13)/2*1.2*1.015</f>
        <v>0.15529499999999999</v>
      </c>
      <c r="I288" s="848">
        <f>VLOOKUP(E288,'9.may'!E:W,12,FALSE)</f>
        <v>4530636.3245454542</v>
      </c>
      <c r="J288" s="853">
        <f>I288*H288</f>
        <v>703585.16802028625</v>
      </c>
      <c r="N288" s="843" t="e">
        <f>SUMIF(#REF!,'8.Dgia'!A288,#REF!)+SUMIF(#REF!,'8.Dgia'!A288,#REF!)+SUMIF(#REF!,'8.Dgia'!A288,#REF!)+SUMIF(#REF!,'8.Dgia'!A288,#REF!)</f>
        <v>#REF!</v>
      </c>
      <c r="O288" s="844">
        <f>+$H$279</f>
        <v>10</v>
      </c>
      <c r="P288" s="843" t="e">
        <f t="shared" si="14"/>
        <v>#REF!</v>
      </c>
    </row>
    <row r="289" spans="1:18" ht="15" customHeight="1">
      <c r="A289" s="657">
        <f>IF(B289="",MAX($A$8:A288)+0,MAX($A$8:A288)+1)</f>
        <v>30</v>
      </c>
      <c r="B289" s="835" t="str">
        <f>IF(C289="","",COUNTA($C$10:C290))</f>
        <v/>
      </c>
      <c r="C289" s="362"/>
      <c r="D289" s="851"/>
      <c r="E289" s="852" t="s">
        <v>553</v>
      </c>
      <c r="F289" s="848" t="str">
        <f>VLOOKUP(E289,DICH!B:C,2,FALSE)</f>
        <v>Other machine</v>
      </c>
      <c r="G289" s="362" t="s">
        <v>554</v>
      </c>
      <c r="H289" s="847">
        <v>10</v>
      </c>
      <c r="I289" s="848">
        <f>SUM(J288:J288)</f>
        <v>703585.16802028625</v>
      </c>
      <c r="J289" s="853">
        <f>I289*H289%</f>
        <v>70358.516802028622</v>
      </c>
      <c r="N289" s="843" t="e">
        <f>SUMIF(#REF!,'8.Dgia'!A289,#REF!)+SUMIF(#REF!,'8.Dgia'!A289,#REF!)+SUMIF(#REF!,'8.Dgia'!A289,#REF!)+SUMIF(#REF!,'8.Dgia'!A289,#REF!)</f>
        <v>#REF!</v>
      </c>
      <c r="O289" s="844"/>
      <c r="P289" s="843" t="e">
        <f t="shared" si="14"/>
        <v>#REF!</v>
      </c>
    </row>
    <row r="290" spans="1:18" ht="38.25">
      <c r="A290" s="657">
        <f>IF(B290="",MAX($A$8:A289)+0,MAX($A$8:A289)+1)</f>
        <v>31</v>
      </c>
      <c r="B290" s="835">
        <f>IF(C290="","",COUNTA($C$10:C291))</f>
        <v>31</v>
      </c>
      <c r="C290" s="835">
        <f>IF(D290="","",1776)</f>
        <v>1776</v>
      </c>
      <c r="D290" s="851" t="s">
        <v>3919</v>
      </c>
      <c r="E290" s="855" t="s">
        <v>3920</v>
      </c>
      <c r="F290" s="1049" t="str">
        <f>VLOOKUP(E290,DICH!B:C,2,FALSE)</f>
        <v>Drilling bored pile D1200 on land, L&gt;30m, co mater =1.2, co labour and mac=1.015*1.2</v>
      </c>
      <c r="G290" s="856" t="s">
        <v>543</v>
      </c>
      <c r="H290" s="847"/>
      <c r="I290" s="848"/>
      <c r="J290" s="853"/>
      <c r="K290" s="842">
        <f>+J291</f>
        <v>199890.32727272727</v>
      </c>
      <c r="L290" s="842">
        <f>+J295</f>
        <v>674632.30757999991</v>
      </c>
      <c r="M290" s="842">
        <f>+J296</f>
        <v>579769.43350544584</v>
      </c>
      <c r="N290" s="843" t="e">
        <f>SUMIF(#REF!,'8.Dgia'!A290,#REF!)+SUMIF(#REF!,'8.Dgia'!A290,#REF!)+SUMIF(#REF!,'8.Dgia'!A290,#REF!)+SUMIF(#REF!,'8.Dgia'!A290,#REF!)</f>
        <v>#REF!</v>
      </c>
      <c r="O290" s="844"/>
      <c r="P290" s="843" t="e">
        <f t="shared" si="14"/>
        <v>#REF!</v>
      </c>
    </row>
    <row r="291" spans="1:18" s="658" customFormat="1" ht="15" customHeight="1">
      <c r="A291" s="657">
        <f>IF(B291="",MAX($A$8:A290)+0,MAX($A$8:A290)+1)</f>
        <v>31</v>
      </c>
      <c r="B291" s="835" t="str">
        <f>IF(C291="","",COUNTA($C$10:C292))</f>
        <v/>
      </c>
      <c r="C291" s="362"/>
      <c r="D291" s="864" t="s">
        <v>3638</v>
      </c>
      <c r="E291" s="852" t="s">
        <v>2032</v>
      </c>
      <c r="F291" s="848" t="str">
        <f>VLOOKUP(E291,DICH!B:C,2,FALSE)</f>
        <v xml:space="preserve">  A - Material</v>
      </c>
      <c r="G291" s="846"/>
      <c r="H291" s="847"/>
      <c r="I291" s="848"/>
      <c r="J291" s="849">
        <f>SUM(J292:J294)</f>
        <v>199890.32727272727</v>
      </c>
      <c r="K291" s="850"/>
      <c r="L291" s="850"/>
      <c r="M291" s="850"/>
      <c r="N291" s="843" t="e">
        <f>SUMIF(#REF!,'8.Dgia'!A291,#REF!)+SUMIF(#REF!,'8.Dgia'!A291,#REF!)+SUMIF(#REF!,'8.Dgia'!A291,#REF!)+SUMIF(#REF!,'8.Dgia'!A291,#REF!)</f>
        <v>#REF!</v>
      </c>
      <c r="O291" s="844"/>
      <c r="P291" s="843" t="e">
        <f t="shared" si="14"/>
        <v>#REF!</v>
      </c>
    </row>
    <row r="292" spans="1:18" ht="15" customHeight="1">
      <c r="A292" s="657">
        <f>IF(B292="",MAX($A$8:A291)+0,MAX($A$8:A291)+1)</f>
        <v>31</v>
      </c>
      <c r="B292" s="835" t="str">
        <f>IF(C292="","",COUNTA($C$10:C293))</f>
        <v/>
      </c>
      <c r="C292" s="362"/>
      <c r="D292" s="851"/>
      <c r="E292" s="852" t="s">
        <v>434</v>
      </c>
      <c r="F292" s="848" t="str">
        <f>VLOOKUP(E292,DICH!B:C,2,FALSE)</f>
        <v xml:space="preserve">alloy bucket teeth </v>
      </c>
      <c r="G292" s="362" t="s">
        <v>4649</v>
      </c>
      <c r="H292" s="847">
        <f>1.8*1.2</f>
        <v>2.16</v>
      </c>
      <c r="I292" s="848">
        <f>VLOOKUP(E292,'11.gia '!$B:$I,8,FALSE)</f>
        <v>85000</v>
      </c>
      <c r="J292" s="853">
        <f>I292*H292</f>
        <v>183600</v>
      </c>
      <c r="N292" s="843" t="e">
        <f>SUMIF(#REF!,'8.Dgia'!A292,#REF!)+SUMIF(#REF!,'8.Dgia'!A292,#REF!)+SUMIF(#REF!,'8.Dgia'!A292,#REF!)+SUMIF(#REF!,'8.Dgia'!A292,#REF!)</f>
        <v>#REF!</v>
      </c>
      <c r="O292" s="844">
        <f>+$H$245</f>
        <v>2</v>
      </c>
      <c r="P292" s="843" t="e">
        <f t="shared" si="14"/>
        <v>#REF!</v>
      </c>
    </row>
    <row r="293" spans="1:18" ht="15" customHeight="1">
      <c r="A293" s="657">
        <f>IF(B293="",MAX($A$8:A292)+0,MAX($A$8:A292)+1)</f>
        <v>31</v>
      </c>
      <c r="B293" s="835" t="str">
        <f>IF(C293="","",COUNTA($C$10:C294))</f>
        <v/>
      </c>
      <c r="C293" s="362"/>
      <c r="D293" s="851"/>
      <c r="E293" s="852" t="s">
        <v>559</v>
      </c>
      <c r="F293" s="848" t="str">
        <f>VLOOKUP(E293,DICH!B:C,2,FALSE)</f>
        <v>welding electrode</v>
      </c>
      <c r="G293" s="362" t="s">
        <v>558</v>
      </c>
      <c r="H293" s="847">
        <f>0.54*1.2</f>
        <v>0.64800000000000002</v>
      </c>
      <c r="I293" s="848">
        <f>VLOOKUP(E293,'11.gia '!$B:$I,8,FALSE)</f>
        <v>19090.909090909088</v>
      </c>
      <c r="J293" s="853">
        <f>I293*H293</f>
        <v>12370.90909090909</v>
      </c>
      <c r="N293" s="843" t="e">
        <f>SUMIF(#REF!,'8.Dgia'!A293,#REF!)+SUMIF(#REF!,'8.Dgia'!A293,#REF!)+SUMIF(#REF!,'8.Dgia'!A293,#REF!)+SUMIF(#REF!,'8.Dgia'!A293,#REF!)</f>
        <v>#REF!</v>
      </c>
      <c r="O293" s="844">
        <f>+$H$245</f>
        <v>2</v>
      </c>
      <c r="P293" s="843" t="e">
        <f t="shared" si="14"/>
        <v>#REF!</v>
      </c>
    </row>
    <row r="294" spans="1:18" ht="15" customHeight="1">
      <c r="A294" s="657">
        <f>IF(B294="",MAX($A$8:A293)+0,MAX($A$8:A293)+1)</f>
        <v>31</v>
      </c>
      <c r="B294" s="835" t="str">
        <f>IF(C294="","",COUNTA($C$10:C295))</f>
        <v/>
      </c>
      <c r="C294" s="362"/>
      <c r="D294" s="851"/>
      <c r="E294" s="852" t="s">
        <v>555</v>
      </c>
      <c r="F294" s="848" t="str">
        <f>VLOOKUP(E294,DICH!B:C,2,FALSE)</f>
        <v>Other material</v>
      </c>
      <c r="G294" s="362" t="s">
        <v>554</v>
      </c>
      <c r="H294" s="847">
        <v>2</v>
      </c>
      <c r="I294" s="848">
        <f>SUM(J292:J293)</f>
        <v>195970.90909090909</v>
      </c>
      <c r="J294" s="853">
        <f>I294*H294%</f>
        <v>3919.4181818181819</v>
      </c>
      <c r="N294" s="843" t="e">
        <f>SUMIF(#REF!,'8.Dgia'!A294,#REF!)+SUMIF(#REF!,'8.Dgia'!A294,#REF!)+SUMIF(#REF!,'8.Dgia'!A294,#REF!)+SUMIF(#REF!,'8.Dgia'!A294,#REF!)</f>
        <v>#REF!</v>
      </c>
      <c r="O294" s="844"/>
      <c r="P294" s="843" t="e">
        <f t="shared" si="14"/>
        <v>#REF!</v>
      </c>
    </row>
    <row r="295" spans="1:18" s="658" customFormat="1" ht="15" customHeight="1">
      <c r="A295" s="657">
        <f>IF(B295="",MAX($A$8:A294)+0,MAX($A$8:A294)+1)</f>
        <v>31</v>
      </c>
      <c r="B295" s="835" t="str">
        <f>IF(C295="","",COUNTA($C$10:C296))</f>
        <v/>
      </c>
      <c r="C295" s="362"/>
      <c r="D295" s="864" t="s">
        <v>3639</v>
      </c>
      <c r="E295" s="852" t="s">
        <v>2039</v>
      </c>
      <c r="F295" s="848" t="str">
        <f>VLOOKUP(E295,DICH!B:C,2,FALSE)</f>
        <v xml:space="preserve">  B - Labour 4.0/7</v>
      </c>
      <c r="G295" s="362" t="s">
        <v>4899</v>
      </c>
      <c r="H295" s="847">
        <f>2.53*1.2*1.015</f>
        <v>3.0815399999999995</v>
      </c>
      <c r="I295" s="848">
        <f>VLOOKUP(E295,'16.NC'!$C$11:$F$22,4,FALSE)</f>
        <v>218927</v>
      </c>
      <c r="J295" s="849">
        <f>I295*H295</f>
        <v>674632.30757999991</v>
      </c>
      <c r="K295" s="850"/>
      <c r="L295" s="850"/>
      <c r="M295" s="850"/>
      <c r="N295" s="843" t="e">
        <f>SUMIF(#REF!,'8.Dgia'!A295,#REF!)+SUMIF(#REF!,'8.Dgia'!A295,#REF!)+SUMIF(#REF!,'8.Dgia'!A295,#REF!)+SUMIF(#REF!,'8.Dgia'!A295,#REF!)</f>
        <v>#REF!</v>
      </c>
      <c r="O295" s="844"/>
      <c r="P295" s="843" t="e">
        <f t="shared" si="14"/>
        <v>#REF!</v>
      </c>
      <c r="R295" s="658">
        <v>1</v>
      </c>
    </row>
    <row r="296" spans="1:18" s="658" customFormat="1" ht="15" customHeight="1">
      <c r="A296" s="657">
        <f>IF(B296="",MAX($A$8:A295)+0,MAX($A$8:A295)+1)</f>
        <v>31</v>
      </c>
      <c r="B296" s="835" t="str">
        <f>IF(C296="","",COUNTA($C$10:C297))</f>
        <v/>
      </c>
      <c r="C296" s="362"/>
      <c r="D296" s="864" t="s">
        <v>3639</v>
      </c>
      <c r="E296" s="852" t="s">
        <v>2033</v>
      </c>
      <c r="F296" s="848" t="str">
        <f>VLOOKUP(E296,DICH!B:C,2,FALSE)</f>
        <v xml:space="preserve">  C - Machine</v>
      </c>
      <c r="G296" s="846"/>
      <c r="H296" s="847"/>
      <c r="I296" s="848"/>
      <c r="J296" s="849">
        <f>SUM(J297:J299)</f>
        <v>579769.43350544584</v>
      </c>
      <c r="K296" s="850"/>
      <c r="L296" s="850"/>
      <c r="M296" s="850"/>
      <c r="N296" s="843" t="e">
        <f>SUMIF(#REF!,'8.Dgia'!A296,#REF!)+SUMIF(#REF!,'8.Dgia'!A296,#REF!)+SUMIF(#REF!,'8.Dgia'!A296,#REF!)+SUMIF(#REF!,'8.Dgia'!A296,#REF!)</f>
        <v>#REF!</v>
      </c>
      <c r="O296" s="844"/>
      <c r="P296" s="843" t="e">
        <f t="shared" si="14"/>
        <v>#REF!</v>
      </c>
    </row>
    <row r="297" spans="1:18" ht="15" customHeight="1">
      <c r="A297" s="657">
        <f>IF(B297="",MAX($A$8:A296)+0,MAX($A$8:A296)+1)</f>
        <v>31</v>
      </c>
      <c r="B297" s="835" t="str">
        <f>IF(C297="","",COUNTA($C$10:C298))</f>
        <v/>
      </c>
      <c r="C297" s="362"/>
      <c r="D297" s="851"/>
      <c r="E297" s="852" t="s">
        <v>1546</v>
      </c>
      <c r="F297" s="848" t="str">
        <f>VLOOKUP(E297,'9.may'!E:F,2,FALSE)</f>
        <v>Boring hammer TRC-15</v>
      </c>
      <c r="G297" s="362" t="s">
        <v>4902</v>
      </c>
      <c r="H297" s="847">
        <f>0.03*1.2*1.015</f>
        <v>3.6539999999999996E-2</v>
      </c>
      <c r="I297" s="848">
        <f>VLOOKUP(E297,'9.may'!E:W,12,FALSE)</f>
        <v>12192731.640000001</v>
      </c>
      <c r="J297" s="853">
        <f>I297*H297</f>
        <v>445522.41412559996</v>
      </c>
      <c r="N297" s="843" t="e">
        <f>SUMIF(#REF!,'8.Dgia'!A297,#REF!)+SUMIF(#REF!,'8.Dgia'!A297,#REF!)+SUMIF(#REF!,'8.Dgia'!A297,#REF!)+SUMIF(#REF!,'8.Dgia'!A297,#REF!)</f>
        <v>#REF!</v>
      </c>
      <c r="O297" s="844">
        <v>5</v>
      </c>
      <c r="P297" s="843" t="e">
        <f t="shared" si="14"/>
        <v>#REF!</v>
      </c>
    </row>
    <row r="298" spans="1:18" ht="15" customHeight="1">
      <c r="A298" s="657">
        <f>IF(B298="",MAX($A$8:A297)+0,MAX($A$8:A297)+1)</f>
        <v>31</v>
      </c>
      <c r="B298" s="835" t="str">
        <f>IF(C298="","",COUNTA($C$10:C299))</f>
        <v/>
      </c>
      <c r="C298" s="362"/>
      <c r="D298" s="851"/>
      <c r="E298" s="852" t="s">
        <v>1043</v>
      </c>
      <c r="F298" s="848" t="str">
        <f>VLOOKUP(E298,'9.may'!E:F,2,FALSE)</f>
        <v>caterpillar crane 30T</v>
      </c>
      <c r="G298" s="362" t="s">
        <v>4902</v>
      </c>
      <c r="H298" s="847">
        <f>0.03*1.2*1.015</f>
        <v>3.6539999999999996E-2</v>
      </c>
      <c r="I298" s="848">
        <f>VLOOKUP(E298,'9.may'!E:W,12,FALSE)</f>
        <v>2918416.834090909</v>
      </c>
      <c r="J298" s="853">
        <f>I298*H298</f>
        <v>106638.95111768181</v>
      </c>
      <c r="N298" s="843" t="e">
        <f>SUMIF(#REF!,'8.Dgia'!A298,#REF!)+SUMIF(#REF!,'8.Dgia'!A298,#REF!)+SUMIF(#REF!,'8.Dgia'!A298,#REF!)+SUMIF(#REF!,'8.Dgia'!A298,#REF!)</f>
        <v>#REF!</v>
      </c>
      <c r="O298" s="844">
        <v>5</v>
      </c>
      <c r="P298" s="843" t="e">
        <f t="shared" si="14"/>
        <v>#REF!</v>
      </c>
    </row>
    <row r="299" spans="1:18" ht="15" customHeight="1">
      <c r="A299" s="657">
        <f>IF(B299="",MAX($A$8:A298)+0,MAX($A$8:A298)+1)</f>
        <v>31</v>
      </c>
      <c r="B299" s="835" t="str">
        <f>IF(C299="","",COUNTA($C$10:C300))</f>
        <v/>
      </c>
      <c r="C299" s="362"/>
      <c r="D299" s="851"/>
      <c r="E299" s="852" t="s">
        <v>553</v>
      </c>
      <c r="F299" s="848" t="str">
        <f>VLOOKUP(E299,DICH!B:C,2,FALSE)</f>
        <v>Other machine</v>
      </c>
      <c r="G299" s="362" t="s">
        <v>554</v>
      </c>
      <c r="H299" s="847">
        <v>5</v>
      </c>
      <c r="I299" s="848">
        <f>SUM(J297:J298)</f>
        <v>552161.3652432817</v>
      </c>
      <c r="J299" s="853">
        <f>I299*H299%</f>
        <v>27608.068262164088</v>
      </c>
      <c r="N299" s="843" t="e">
        <f>SUMIF(#REF!,'8.Dgia'!A299,#REF!)+SUMIF(#REF!,'8.Dgia'!A299,#REF!)+SUMIF(#REF!,'8.Dgia'!A299,#REF!)+SUMIF(#REF!,'8.Dgia'!A299,#REF!)</f>
        <v>#REF!</v>
      </c>
      <c r="O299" s="844"/>
      <c r="P299" s="843" t="e">
        <f t="shared" si="14"/>
        <v>#REF!</v>
      </c>
    </row>
    <row r="300" spans="1:18" ht="15" customHeight="1">
      <c r="A300" s="657">
        <f>IF(B300="",MAX($A$8:A299)+0,MAX($A$8:A299)+1)</f>
        <v>32</v>
      </c>
      <c r="B300" s="835">
        <f>IF(C300="","",COUNTA($C$10:C301))</f>
        <v>32</v>
      </c>
      <c r="C300" s="835">
        <f>IF(D300="","",1776)</f>
        <v>1776</v>
      </c>
      <c r="D300" s="851" t="s">
        <v>435</v>
      </c>
      <c r="E300" s="855" t="s">
        <v>603</v>
      </c>
      <c r="F300" s="1049" t="str">
        <f>VLOOKUP(E300,DICH!B:C,2,FALSE)</f>
        <v>Pumping bentonite (on land)</v>
      </c>
      <c r="G300" s="856" t="s">
        <v>545</v>
      </c>
      <c r="H300" s="847"/>
      <c r="I300" s="848"/>
      <c r="J300" s="853"/>
      <c r="K300" s="842">
        <f>+J301</f>
        <v>198927.81818181815</v>
      </c>
      <c r="L300" s="842">
        <f>+J306</f>
        <v>126977.65999999999</v>
      </c>
      <c r="M300" s="842">
        <f>+J307</f>
        <v>99606.981699818178</v>
      </c>
      <c r="N300" s="843" t="e">
        <f>SUMIF(#REF!,'8.Dgia'!A300,#REF!)+SUMIF(#REF!,'8.Dgia'!A300,#REF!)+SUMIF(#REF!,'8.Dgia'!A300,#REF!)+SUMIF(#REF!,'8.Dgia'!A300,#REF!)</f>
        <v>#REF!</v>
      </c>
      <c r="O300" s="844"/>
      <c r="P300" s="843" t="e">
        <f t="shared" si="11"/>
        <v>#REF!</v>
      </c>
    </row>
    <row r="301" spans="1:18" s="658" customFormat="1" ht="15" customHeight="1">
      <c r="A301" s="657">
        <f>IF(B301="",MAX($A$8:A300)+0,MAX($A$8:A300)+1)</f>
        <v>32</v>
      </c>
      <c r="B301" s="835" t="str">
        <f>IF(C301="","",COUNTA($C$10:C302))</f>
        <v/>
      </c>
      <c r="C301" s="362"/>
      <c r="D301" s="845"/>
      <c r="E301" s="852" t="s">
        <v>2032</v>
      </c>
      <c r="F301" s="848" t="str">
        <f>VLOOKUP(E301,DICH!B:C,2,FALSE)</f>
        <v xml:space="preserve">  A - Material</v>
      </c>
      <c r="G301" s="846"/>
      <c r="H301" s="847"/>
      <c r="I301" s="848"/>
      <c r="J301" s="849">
        <f>SUM(J302:J305)</f>
        <v>198927.81818181815</v>
      </c>
      <c r="K301" s="850"/>
      <c r="L301" s="850"/>
      <c r="M301" s="850"/>
      <c r="N301" s="843" t="e">
        <f>SUMIF(#REF!,'8.Dgia'!A301,#REF!)+SUMIF(#REF!,'8.Dgia'!A301,#REF!)+SUMIF(#REF!,'8.Dgia'!A301,#REF!)+SUMIF(#REF!,'8.Dgia'!A301,#REF!)</f>
        <v>#REF!</v>
      </c>
      <c r="O301" s="844"/>
      <c r="P301" s="843" t="e">
        <f t="shared" si="11"/>
        <v>#REF!</v>
      </c>
    </row>
    <row r="302" spans="1:18" ht="15" customHeight="1">
      <c r="A302" s="657">
        <f>IF(B302="",MAX($A$8:A301)+0,MAX($A$8:A301)+1)</f>
        <v>32</v>
      </c>
      <c r="B302" s="835" t="str">
        <f>IF(C302="","",COUNTA($C$10:C303))</f>
        <v/>
      </c>
      <c r="C302" s="362"/>
      <c r="D302" s="851"/>
      <c r="E302" s="852" t="s">
        <v>604</v>
      </c>
      <c r="F302" s="848" t="str">
        <f>VLOOKUP(E302,DICH!B:C,2,FALSE)</f>
        <v>Bentonite</v>
      </c>
      <c r="G302" s="362" t="s">
        <v>558</v>
      </c>
      <c r="H302" s="847">
        <f>39.26</f>
        <v>39.26</v>
      </c>
      <c r="I302" s="848">
        <f>VLOOKUP(E302,'11.gia '!$B:$I,8,FALSE)</f>
        <v>2909.090909090909</v>
      </c>
      <c r="J302" s="853">
        <f>I302*H302</f>
        <v>114210.90909090909</v>
      </c>
      <c r="N302" s="843" t="e">
        <f>SUMIF(#REF!,'8.Dgia'!A302,#REF!)+SUMIF(#REF!,'8.Dgia'!A302,#REF!)+SUMIF(#REF!,'8.Dgia'!A302,#REF!)+SUMIF(#REF!,'8.Dgia'!A302,#REF!)</f>
        <v>#REF!</v>
      </c>
      <c r="O302" s="844">
        <f>+$H$305</f>
        <v>2</v>
      </c>
      <c r="P302" s="843" t="e">
        <f t="shared" si="11"/>
        <v>#REF!</v>
      </c>
    </row>
    <row r="303" spans="1:18" ht="15" customHeight="1">
      <c r="A303" s="657">
        <f>IF(B303="",MAX($A$8:A302)+0,MAX($A$8:A302)+1)</f>
        <v>32</v>
      </c>
      <c r="B303" s="835" t="str">
        <f>IF(C303="","",COUNTA($C$10:C304))</f>
        <v/>
      </c>
      <c r="C303" s="362"/>
      <c r="D303" s="851"/>
      <c r="E303" s="852" t="s">
        <v>605</v>
      </c>
      <c r="F303" s="848" t="str">
        <f>VLOOKUP(E303,DICH!B:C,2,FALSE)</f>
        <v>admixture CMC</v>
      </c>
      <c r="G303" s="362" t="s">
        <v>558</v>
      </c>
      <c r="H303" s="847">
        <f>1.91</f>
        <v>1.91</v>
      </c>
      <c r="I303" s="848">
        <f>VLOOKUP(E303,'11.gia '!$B:$I,8,FALSE)</f>
        <v>40909.090909090904</v>
      </c>
      <c r="J303" s="853">
        <f>I303*H303</f>
        <v>78136.363636363618</v>
      </c>
      <c r="N303" s="843" t="e">
        <f>SUMIF(#REF!,'8.Dgia'!A303,#REF!)+SUMIF(#REF!,'8.Dgia'!A303,#REF!)+SUMIF(#REF!,'8.Dgia'!A303,#REF!)+SUMIF(#REF!,'8.Dgia'!A303,#REF!)</f>
        <v>#REF!</v>
      </c>
      <c r="O303" s="844">
        <f>+$H$305</f>
        <v>2</v>
      </c>
      <c r="P303" s="843" t="e">
        <f t="shared" si="11"/>
        <v>#REF!</v>
      </c>
    </row>
    <row r="304" spans="1:18" ht="15" customHeight="1">
      <c r="A304" s="657">
        <f>IF(B304="",MAX($A$8:A303)+0,MAX($A$8:A303)+1)</f>
        <v>32</v>
      </c>
      <c r="B304" s="835" t="str">
        <f>IF(C304="","",COUNTA($C$10:C305))</f>
        <v/>
      </c>
      <c r="C304" s="362"/>
      <c r="D304" s="851"/>
      <c r="E304" s="852" t="s">
        <v>589</v>
      </c>
      <c r="F304" s="848" t="str">
        <f>VLOOKUP(E304,DICH!B:C,2,FALSE)</f>
        <v>water</v>
      </c>
      <c r="G304" s="362" t="s">
        <v>545</v>
      </c>
      <c r="H304" s="847">
        <f>0.67</f>
        <v>0.67</v>
      </c>
      <c r="I304" s="848">
        <f>VLOOKUP(E304,'11.gia '!$B:$I,8,FALSE)</f>
        <v>4000</v>
      </c>
      <c r="J304" s="853">
        <f>I304*H304</f>
        <v>2680</v>
      </c>
      <c r="N304" s="843" t="e">
        <f>SUMIF(#REF!,'8.Dgia'!A304,#REF!)+SUMIF(#REF!,'8.Dgia'!A304,#REF!)+SUMIF(#REF!,'8.Dgia'!A304,#REF!)+SUMIF(#REF!,'8.Dgia'!A304,#REF!)</f>
        <v>#REF!</v>
      </c>
      <c r="O304" s="844">
        <f>+$H$305</f>
        <v>2</v>
      </c>
      <c r="P304" s="843" t="e">
        <f t="shared" si="11"/>
        <v>#REF!</v>
      </c>
    </row>
    <row r="305" spans="1:18" ht="15" customHeight="1">
      <c r="A305" s="657">
        <f>IF(B305="",MAX($A$8:A304)+0,MAX($A$8:A304)+1)</f>
        <v>32</v>
      </c>
      <c r="B305" s="835" t="str">
        <f>IF(C305="","",COUNTA($C$10:C306))</f>
        <v/>
      </c>
      <c r="C305" s="362"/>
      <c r="D305" s="851"/>
      <c r="E305" s="852" t="s">
        <v>555</v>
      </c>
      <c r="F305" s="848" t="str">
        <f>VLOOKUP(E305,DICH!B:C,2,FALSE)</f>
        <v>Other material</v>
      </c>
      <c r="G305" s="362" t="s">
        <v>554</v>
      </c>
      <c r="H305" s="847">
        <v>2</v>
      </c>
      <c r="I305" s="848">
        <f>SUM(J302:J304)</f>
        <v>195027.27272727271</v>
      </c>
      <c r="J305" s="853">
        <f>I305*H305%</f>
        <v>3900.545454545454</v>
      </c>
      <c r="N305" s="843" t="e">
        <f>SUMIF(#REF!,'8.Dgia'!A305,#REF!)+SUMIF(#REF!,'8.Dgia'!A305,#REF!)+SUMIF(#REF!,'8.Dgia'!A305,#REF!)+SUMIF(#REF!,'8.Dgia'!A305,#REF!)</f>
        <v>#REF!</v>
      </c>
      <c r="O305" s="844"/>
      <c r="P305" s="843" t="e">
        <f t="shared" si="11"/>
        <v>#REF!</v>
      </c>
    </row>
    <row r="306" spans="1:18" s="658" customFormat="1" ht="15" customHeight="1">
      <c r="A306" s="657">
        <f>IF(B306="",MAX($A$8:A305)+0,MAX($A$8:A305)+1)</f>
        <v>32</v>
      </c>
      <c r="B306" s="835" t="str">
        <f>IF(C306="","",COUNTA($C$10:C307))</f>
        <v/>
      </c>
      <c r="C306" s="362"/>
      <c r="D306" s="845"/>
      <c r="E306" s="852" t="s">
        <v>2039</v>
      </c>
      <c r="F306" s="848" t="str">
        <f>VLOOKUP(E306,DICH!B:C,2,FALSE)</f>
        <v xml:space="preserve">  B - Labour 4.0/7</v>
      </c>
      <c r="G306" s="362" t="s">
        <v>4899</v>
      </c>
      <c r="H306" s="847">
        <v>0.57999999999999996</v>
      </c>
      <c r="I306" s="848">
        <f>VLOOKUP(E306,'16.NC'!$C$11:$F$22,4,FALSE)</f>
        <v>218927</v>
      </c>
      <c r="J306" s="849">
        <f>I306*H306</f>
        <v>126977.65999999999</v>
      </c>
      <c r="K306" s="850"/>
      <c r="L306" s="850"/>
      <c r="M306" s="850"/>
      <c r="N306" s="843" t="e">
        <f>SUMIF(#REF!,'8.Dgia'!A306,#REF!)+SUMIF(#REF!,'8.Dgia'!A306,#REF!)+SUMIF(#REF!,'8.Dgia'!A306,#REF!)+SUMIF(#REF!,'8.Dgia'!A306,#REF!)</f>
        <v>#REF!</v>
      </c>
      <c r="O306" s="844"/>
      <c r="P306" s="843" t="e">
        <f t="shared" si="11"/>
        <v>#REF!</v>
      </c>
      <c r="R306" s="658">
        <v>1</v>
      </c>
    </row>
    <row r="307" spans="1:18" s="658" customFormat="1" ht="15" customHeight="1">
      <c r="A307" s="657">
        <f>IF(B307="",MAX($A$8:A306)+0,MAX($A$8:A306)+1)</f>
        <v>32</v>
      </c>
      <c r="B307" s="835" t="str">
        <f>IF(C307="","",COUNTA($C$10:C308))</f>
        <v/>
      </c>
      <c r="C307" s="362"/>
      <c r="D307" s="845"/>
      <c r="E307" s="852" t="s">
        <v>2033</v>
      </c>
      <c r="F307" s="848" t="str">
        <f>VLOOKUP(E307,DICH!B:C,2,FALSE)</f>
        <v xml:space="preserve">  C - Machine</v>
      </c>
      <c r="G307" s="846"/>
      <c r="H307" s="847"/>
      <c r="I307" s="848"/>
      <c r="J307" s="849">
        <f>SUM(J308:J311)</f>
        <v>99606.981699818178</v>
      </c>
      <c r="K307" s="850"/>
      <c r="L307" s="850"/>
      <c r="M307" s="850"/>
      <c r="N307" s="843" t="e">
        <f>SUMIF(#REF!,'8.Dgia'!A307,#REF!)+SUMIF(#REF!,'8.Dgia'!A307,#REF!)+SUMIF(#REF!,'8.Dgia'!A307,#REF!)+SUMIF(#REF!,'8.Dgia'!A307,#REF!)</f>
        <v>#REF!</v>
      </c>
      <c r="O307" s="844"/>
      <c r="P307" s="843" t="e">
        <f t="shared" si="11"/>
        <v>#REF!</v>
      </c>
    </row>
    <row r="308" spans="1:18" ht="15" customHeight="1">
      <c r="A308" s="657">
        <f>IF(B308="",MAX($A$8:A307)+0,MAX($A$8:A307)+1)</f>
        <v>32</v>
      </c>
      <c r="B308" s="835" t="str">
        <f>IF(C308="","",COUNTA($C$10:C309))</f>
        <v/>
      </c>
      <c r="C308" s="362"/>
      <c r="D308" s="851"/>
      <c r="E308" s="852" t="s">
        <v>1554</v>
      </c>
      <c r="F308" s="848" t="str">
        <f>VLOOKUP(E308,'9.may'!E:F,2,FALSE)</f>
        <v>bentonite mixer</v>
      </c>
      <c r="G308" s="362" t="s">
        <v>4902</v>
      </c>
      <c r="H308" s="847">
        <v>0.05</v>
      </c>
      <c r="I308" s="848">
        <f>VLOOKUP(E308,'9.may'!E:W,12,FALSE)</f>
        <v>93463.65</v>
      </c>
      <c r="J308" s="853">
        <f>I308*H308</f>
        <v>4673.1824999999999</v>
      </c>
      <c r="N308" s="843" t="e">
        <f>SUMIF(#REF!,'8.Dgia'!A308,#REF!)+SUMIF(#REF!,'8.Dgia'!A308,#REF!)+SUMIF(#REF!,'8.Dgia'!A308,#REF!)+SUMIF(#REF!,'8.Dgia'!A308,#REF!)</f>
        <v>#REF!</v>
      </c>
      <c r="O308" s="844">
        <f>+$H$311</f>
        <v>2</v>
      </c>
      <c r="P308" s="843" t="e">
        <f t="shared" si="11"/>
        <v>#REF!</v>
      </c>
    </row>
    <row r="309" spans="1:18" ht="15" customHeight="1">
      <c r="A309" s="657">
        <f>IF(B309="",MAX($A$8:A308)+0,MAX($A$8:A308)+1)</f>
        <v>32</v>
      </c>
      <c r="B309" s="835" t="str">
        <f>IF(C309="","",COUNTA($C$10:C310))</f>
        <v/>
      </c>
      <c r="C309" s="362"/>
      <c r="D309" s="851"/>
      <c r="E309" s="852" t="s">
        <v>1559</v>
      </c>
      <c r="F309" s="848" t="str">
        <f>VLOOKUP(E309,'9.may'!E:F,2,FALSE)</f>
        <v>bentonite filter</v>
      </c>
      <c r="G309" s="362" t="s">
        <v>4902</v>
      </c>
      <c r="H309" s="847">
        <v>0.05</v>
      </c>
      <c r="I309" s="848">
        <f>VLOOKUP(E309,'9.may'!E:W,12,FALSE)</f>
        <v>293007.10800000001</v>
      </c>
      <c r="J309" s="853">
        <f>I309*H309</f>
        <v>14650.3554</v>
      </c>
      <c r="N309" s="843" t="e">
        <f>SUMIF(#REF!,'8.Dgia'!A309,#REF!)+SUMIF(#REF!,'8.Dgia'!A309,#REF!)+SUMIF(#REF!,'8.Dgia'!A309,#REF!)+SUMIF(#REF!,'8.Dgia'!A309,#REF!)</f>
        <v>#REF!</v>
      </c>
      <c r="O309" s="844">
        <f>+$H$311</f>
        <v>2</v>
      </c>
      <c r="P309" s="843" t="e">
        <f t="shared" si="11"/>
        <v>#REF!</v>
      </c>
    </row>
    <row r="310" spans="1:18" ht="15" customHeight="1">
      <c r="A310" s="657">
        <f>IF(B310="",MAX($A$8:A309)+0,MAX($A$8:A309)+1)</f>
        <v>32</v>
      </c>
      <c r="B310" s="835" t="str">
        <f>IF(C310="","",COUNTA($C$10:C311))</f>
        <v/>
      </c>
      <c r="C310" s="362"/>
      <c r="D310" s="851"/>
      <c r="E310" s="852" t="s">
        <v>1286</v>
      </c>
      <c r="F310" s="848" t="str">
        <f>VLOOKUP(E310,'9.may'!E:F,2,FALSE)</f>
        <v>water pump 100CV</v>
      </c>
      <c r="G310" s="362" t="s">
        <v>4902</v>
      </c>
      <c r="H310" s="847">
        <v>0.05</v>
      </c>
      <c r="I310" s="848">
        <f>VLOOKUP(E310,'9.may'!E:W,12,FALSE)</f>
        <v>1566607.3145454545</v>
      </c>
      <c r="J310" s="853">
        <f>I310*H310</f>
        <v>78330.365727272729</v>
      </c>
      <c r="N310" s="843" t="e">
        <f>SUMIF(#REF!,'8.Dgia'!A310,#REF!)+SUMIF(#REF!,'8.Dgia'!A310,#REF!)+SUMIF(#REF!,'8.Dgia'!A310,#REF!)+SUMIF(#REF!,'8.Dgia'!A310,#REF!)</f>
        <v>#REF!</v>
      </c>
      <c r="O310" s="844">
        <f>+$H$311</f>
        <v>2</v>
      </c>
      <c r="P310" s="843" t="e">
        <f t="shared" si="11"/>
        <v>#REF!</v>
      </c>
    </row>
    <row r="311" spans="1:18" ht="15" customHeight="1">
      <c r="A311" s="657">
        <f>IF(B311="",MAX($A$8:A310)+0,MAX($A$8:A310)+1)</f>
        <v>32</v>
      </c>
      <c r="B311" s="835" t="str">
        <f>IF(C311="","",COUNTA($C$10:C312))</f>
        <v/>
      </c>
      <c r="C311" s="362"/>
      <c r="D311" s="851"/>
      <c r="E311" s="852" t="s">
        <v>553</v>
      </c>
      <c r="F311" s="848" t="str">
        <f>VLOOKUP(E311,DICH!B:C,2,FALSE)</f>
        <v>Other machine</v>
      </c>
      <c r="G311" s="362" t="s">
        <v>554</v>
      </c>
      <c r="H311" s="847">
        <v>2</v>
      </c>
      <c r="I311" s="848">
        <f>SUM(J308:J310)</f>
        <v>97653.903627272724</v>
      </c>
      <c r="J311" s="853">
        <f>I311*H311%</f>
        <v>1953.0780725454545</v>
      </c>
      <c r="N311" s="843" t="e">
        <f>SUMIF(#REF!,'8.Dgia'!A311,#REF!)+SUMIF(#REF!,'8.Dgia'!A311,#REF!)+SUMIF(#REF!,'8.Dgia'!A311,#REF!)+SUMIF(#REF!,'8.Dgia'!A311,#REF!)</f>
        <v>#REF!</v>
      </c>
      <c r="O311" s="844"/>
      <c r="P311" s="843" t="e">
        <f t="shared" si="11"/>
        <v>#REF!</v>
      </c>
    </row>
    <row r="312" spans="1:18" ht="15" customHeight="1">
      <c r="A312" s="657">
        <f>IF(B312="",MAX($A$8:A311)+0,MAX($A$8:A311)+1)</f>
        <v>33</v>
      </c>
      <c r="B312" s="835">
        <f>IF(C312="","",COUNTA($C$10:C313))</f>
        <v>33</v>
      </c>
      <c r="C312" s="835">
        <f>IF(D312="","",1776)</f>
        <v>1776</v>
      </c>
      <c r="D312" s="851" t="s">
        <v>437</v>
      </c>
      <c r="E312" s="855" t="s">
        <v>2049</v>
      </c>
      <c r="F312" s="1049" t="str">
        <f>VLOOKUP(E312,DICH!B:C,2,FALSE)</f>
        <v>Install casting pipe D&lt;=1500 (land)</v>
      </c>
      <c r="G312" s="856" t="s">
        <v>543</v>
      </c>
      <c r="H312" s="847"/>
      <c r="I312" s="848"/>
      <c r="J312" s="853"/>
      <c r="K312" s="842">
        <f>+J313</f>
        <v>70137.146412180169</v>
      </c>
      <c r="L312" s="842">
        <f>+J317</f>
        <v>1293858.57</v>
      </c>
      <c r="M312" s="842">
        <f>+J318</f>
        <v>342070.5009988636</v>
      </c>
      <c r="N312" s="843" t="e">
        <f>SUMIF(#REF!,'8.Dgia'!A312,#REF!)+SUMIF(#REF!,'8.Dgia'!A312,#REF!)+SUMIF(#REF!,'8.Dgia'!A312,#REF!)+SUMIF(#REF!,'8.Dgia'!A312,#REF!)</f>
        <v>#REF!</v>
      </c>
      <c r="O312" s="844"/>
      <c r="P312" s="843" t="e">
        <f t="shared" si="11"/>
        <v>#REF!</v>
      </c>
    </row>
    <row r="313" spans="1:18" s="658" customFormat="1" ht="15" customHeight="1">
      <c r="A313" s="657">
        <f>IF(B313="",MAX($A$8:A312)+0,MAX($A$8:A312)+1)</f>
        <v>33</v>
      </c>
      <c r="B313" s="835" t="str">
        <f>IF(C313="","",COUNTA($C$10:C314))</f>
        <v/>
      </c>
      <c r="C313" s="362"/>
      <c r="D313" s="851"/>
      <c r="E313" s="852" t="s">
        <v>2032</v>
      </c>
      <c r="F313" s="848" t="str">
        <f>VLOOKUP(E313,DICH!B:C,2,FALSE)</f>
        <v xml:space="preserve">  A - Material</v>
      </c>
      <c r="G313" s="846"/>
      <c r="H313" s="847"/>
      <c r="I313" s="848"/>
      <c r="J313" s="849">
        <f>SUM(J314:J316)</f>
        <v>70137.146412180169</v>
      </c>
      <c r="K313" s="850"/>
      <c r="L313" s="850"/>
      <c r="M313" s="850"/>
      <c r="N313" s="843" t="e">
        <f>SUMIF(#REF!,'8.Dgia'!A313,#REF!)+SUMIF(#REF!,'8.Dgia'!A313,#REF!)+SUMIF(#REF!,'8.Dgia'!A313,#REF!)+SUMIF(#REF!,'8.Dgia'!A313,#REF!)</f>
        <v>#REF!</v>
      </c>
      <c r="O313" s="844"/>
      <c r="P313" s="843" t="e">
        <f t="shared" si="11"/>
        <v>#REF!</v>
      </c>
    </row>
    <row r="314" spans="1:18" ht="15" customHeight="1">
      <c r="A314" s="657">
        <f>IF(B314="",MAX($A$8:A313)+0,MAX($A$8:A313)+1)</f>
        <v>33</v>
      </c>
      <c r="B314" s="835" t="str">
        <f>IF(C314="","",COUNTA($C$10:C315))</f>
        <v/>
      </c>
      <c r="C314" s="362"/>
      <c r="D314" s="851"/>
      <c r="E314" s="852" t="s">
        <v>563</v>
      </c>
      <c r="F314" s="848" t="str">
        <f>VLOOKUP(E314,DICH!B:C,2,FALSE)</f>
        <v>Shaped steel</v>
      </c>
      <c r="G314" s="362" t="s">
        <v>558</v>
      </c>
      <c r="H314" s="847">
        <f>2</f>
        <v>2</v>
      </c>
      <c r="I314" s="848">
        <f>VLOOKUP(E314,'11.gia '!$B:$I,8,FALSE)</f>
        <v>16703.248369172808</v>
      </c>
      <c r="J314" s="853">
        <f>I314*H314</f>
        <v>33406.496738345617</v>
      </c>
      <c r="N314" s="843" t="e">
        <f>SUMIF(#REF!,'8.Dgia'!A314,#REF!)+SUMIF(#REF!,'8.Dgia'!A314,#REF!)+SUMIF(#REF!,'8.Dgia'!A314,#REF!)+SUMIF(#REF!,'8.Dgia'!A314,#REF!)</f>
        <v>#REF!</v>
      </c>
      <c r="O314" s="844">
        <f>+$H$316</f>
        <v>10</v>
      </c>
      <c r="P314" s="843" t="e">
        <f t="shared" si="11"/>
        <v>#REF!</v>
      </c>
    </row>
    <row r="315" spans="1:18" ht="15" customHeight="1">
      <c r="A315" s="657">
        <f>IF(B315="",MAX($A$8:A314)+0,MAX($A$8:A314)+1)</f>
        <v>33</v>
      </c>
      <c r="B315" s="835" t="str">
        <f>IF(C315="","",COUNTA($C$10:C316))</f>
        <v/>
      </c>
      <c r="C315" s="362"/>
      <c r="D315" s="851"/>
      <c r="E315" s="852" t="s">
        <v>559</v>
      </c>
      <c r="F315" s="848" t="str">
        <f>VLOOKUP(E315,DICH!B:C,2,FALSE)</f>
        <v>welding electrode</v>
      </c>
      <c r="G315" s="362" t="s">
        <v>558</v>
      </c>
      <c r="H315" s="847">
        <f>1.59</f>
        <v>1.59</v>
      </c>
      <c r="I315" s="848">
        <f>VLOOKUP(E315,'11.gia '!$B:$I,8,FALSE)</f>
        <v>19090.909090909088</v>
      </c>
      <c r="J315" s="853">
        <f>I315*H315</f>
        <v>30354.545454545452</v>
      </c>
      <c r="N315" s="843" t="e">
        <f>SUMIF(#REF!,'8.Dgia'!A315,#REF!)+SUMIF(#REF!,'8.Dgia'!A315,#REF!)+SUMIF(#REF!,'8.Dgia'!A315,#REF!)+SUMIF(#REF!,'8.Dgia'!A315,#REF!)</f>
        <v>#REF!</v>
      </c>
      <c r="O315" s="844">
        <f>+$H$316</f>
        <v>10</v>
      </c>
      <c r="P315" s="843" t="e">
        <f t="shared" si="11"/>
        <v>#REF!</v>
      </c>
    </row>
    <row r="316" spans="1:18" ht="15" customHeight="1">
      <c r="A316" s="657">
        <f>IF(B316="",MAX($A$8:A315)+0,MAX($A$8:A315)+1)</f>
        <v>33</v>
      </c>
      <c r="B316" s="835" t="str">
        <f>IF(C316="","",COUNTA($C$10:C317))</f>
        <v/>
      </c>
      <c r="C316" s="362"/>
      <c r="D316" s="851"/>
      <c r="E316" s="852" t="s">
        <v>555</v>
      </c>
      <c r="F316" s="848" t="str">
        <f>VLOOKUP(E316,DICH!B:C,2,FALSE)</f>
        <v>Other material</v>
      </c>
      <c r="G316" s="362" t="s">
        <v>554</v>
      </c>
      <c r="H316" s="847">
        <v>10</v>
      </c>
      <c r="I316" s="848">
        <f>SUM(J314:J315)</f>
        <v>63761.042192891065</v>
      </c>
      <c r="J316" s="853">
        <f>I316*H316%</f>
        <v>6376.1042192891073</v>
      </c>
      <c r="N316" s="843" t="e">
        <f>SUMIF(#REF!,'8.Dgia'!A316,#REF!)+SUMIF(#REF!,'8.Dgia'!A316,#REF!)+SUMIF(#REF!,'8.Dgia'!A316,#REF!)+SUMIF(#REF!,'8.Dgia'!A316,#REF!)</f>
        <v>#REF!</v>
      </c>
      <c r="O316" s="844"/>
      <c r="P316" s="843" t="e">
        <f t="shared" si="11"/>
        <v>#REF!</v>
      </c>
    </row>
    <row r="317" spans="1:18" s="658" customFormat="1" ht="15" customHeight="1">
      <c r="A317" s="657">
        <f>IF(B317="",MAX($A$8:A316)+0,MAX($A$8:A316)+1)</f>
        <v>33</v>
      </c>
      <c r="B317" s="835" t="str">
        <f>IF(C317="","",COUNTA($C$10:C318))</f>
        <v/>
      </c>
      <c r="C317" s="362"/>
      <c r="D317" s="851"/>
      <c r="E317" s="852" t="s">
        <v>2039</v>
      </c>
      <c r="F317" s="848" t="str">
        <f>VLOOKUP(E317,DICH!B:C,2,FALSE)</f>
        <v xml:space="preserve">  B - Labour 4.0/7</v>
      </c>
      <c r="G317" s="362" t="s">
        <v>4899</v>
      </c>
      <c r="H317" s="847">
        <f>5.91</f>
        <v>5.91</v>
      </c>
      <c r="I317" s="848">
        <f>VLOOKUP(E317,'16.NC'!$C$11:$F$22,4,FALSE)</f>
        <v>218927</v>
      </c>
      <c r="J317" s="849">
        <f>I317*H317</f>
        <v>1293858.57</v>
      </c>
      <c r="K317" s="850"/>
      <c r="L317" s="850"/>
      <c r="M317" s="850"/>
      <c r="N317" s="843" t="e">
        <f>SUMIF(#REF!,'8.Dgia'!A317,#REF!)+SUMIF(#REF!,'8.Dgia'!A317,#REF!)+SUMIF(#REF!,'8.Dgia'!A317,#REF!)+SUMIF(#REF!,'8.Dgia'!A317,#REF!)</f>
        <v>#REF!</v>
      </c>
      <c r="O317" s="844"/>
      <c r="P317" s="843" t="e">
        <f t="shared" si="11"/>
        <v>#REF!</v>
      </c>
      <c r="R317" s="658">
        <v>1</v>
      </c>
    </row>
    <row r="318" spans="1:18" s="658" customFormat="1" ht="15" customHeight="1">
      <c r="A318" s="657">
        <f>IF(B318="",MAX($A$8:A317)+0,MAX($A$8:A317)+1)</f>
        <v>33</v>
      </c>
      <c r="B318" s="835" t="str">
        <f>IF(C318="","",COUNTA($C$10:C319))</f>
        <v/>
      </c>
      <c r="C318" s="362"/>
      <c r="D318" s="851"/>
      <c r="E318" s="852" t="s">
        <v>2033</v>
      </c>
      <c r="F318" s="848" t="str">
        <f>VLOOKUP(E318,DICH!B:C,2,FALSE)</f>
        <v xml:space="preserve">  C - Machine</v>
      </c>
      <c r="G318" s="846"/>
      <c r="H318" s="847"/>
      <c r="I318" s="848"/>
      <c r="J318" s="849">
        <f>SUM(J319:J321)</f>
        <v>342070.5009988636</v>
      </c>
      <c r="K318" s="850"/>
      <c r="L318" s="850"/>
      <c r="M318" s="850"/>
      <c r="N318" s="843" t="e">
        <f>SUMIF(#REF!,'8.Dgia'!A318,#REF!)+SUMIF(#REF!,'8.Dgia'!A318,#REF!)+SUMIF(#REF!,'8.Dgia'!A318,#REF!)+SUMIF(#REF!,'8.Dgia'!A318,#REF!)</f>
        <v>#REF!</v>
      </c>
      <c r="O318" s="844"/>
      <c r="P318" s="843" t="e">
        <f t="shared" si="11"/>
        <v>#REF!</v>
      </c>
    </row>
    <row r="319" spans="1:18" ht="15" customHeight="1">
      <c r="A319" s="657">
        <f>IF(B319="",MAX($A$8:A318)+0,MAX($A$8:A318)+1)</f>
        <v>33</v>
      </c>
      <c r="B319" s="835" t="str">
        <f>IF(C319="","",COUNTA($C$10:C320))</f>
        <v/>
      </c>
      <c r="C319" s="362"/>
      <c r="D319" s="851"/>
      <c r="E319" s="852" t="s">
        <v>288</v>
      </c>
      <c r="F319" s="848" t="str">
        <f>VLOOKUP(E319,'9.may'!E:F,2,FALSE)</f>
        <v>caterpillar crane 25T</v>
      </c>
      <c r="G319" s="362" t="s">
        <v>4902</v>
      </c>
      <c r="H319" s="847">
        <f>0.075</f>
        <v>7.4999999999999997E-2</v>
      </c>
      <c r="I319" s="848">
        <f>VLOOKUP(E319,'9.may'!E:W,12,FALSE)</f>
        <v>2787996.6736363638</v>
      </c>
      <c r="J319" s="853">
        <f>I319*H319</f>
        <v>209099.75052272729</v>
      </c>
      <c r="N319" s="843" t="e">
        <f>SUMIF(#REF!,'8.Dgia'!A319,#REF!)+SUMIF(#REF!,'8.Dgia'!A319,#REF!)+SUMIF(#REF!,'8.Dgia'!A319,#REF!)+SUMIF(#REF!,'8.Dgia'!A319,#REF!)</f>
        <v>#REF!</v>
      </c>
      <c r="O319" s="844">
        <f>+$H$321</f>
        <v>5</v>
      </c>
      <c r="P319" s="843" t="e">
        <f t="shared" si="11"/>
        <v>#REF!</v>
      </c>
    </row>
    <row r="320" spans="1:18" ht="15" customHeight="1">
      <c r="A320" s="657">
        <f>IF(B320="",MAX($A$8:A319)+0,MAX($A$8:A319)+1)</f>
        <v>33</v>
      </c>
      <c r="B320" s="835" t="str">
        <f>IF(C320="","",COUNTA($C$10:C321))</f>
        <v/>
      </c>
      <c r="C320" s="362"/>
      <c r="D320" s="851"/>
      <c r="E320" s="852" t="s">
        <v>1522</v>
      </c>
      <c r="F320" s="848" t="str">
        <f>VLOOKUP(E320,'9.may'!E:F,2,FALSE)</f>
        <v>vibrator hammer 170kW</v>
      </c>
      <c r="G320" s="362" t="s">
        <v>4902</v>
      </c>
      <c r="H320" s="847">
        <f>0.075</f>
        <v>7.4999999999999997E-2</v>
      </c>
      <c r="I320" s="848">
        <f>VLOOKUP(E320,'9.may'!E:W,12,FALSE)</f>
        <v>1555755.72</v>
      </c>
      <c r="J320" s="853">
        <f>I320*H320</f>
        <v>116681.67899999999</v>
      </c>
      <c r="N320" s="843" t="e">
        <f>SUMIF(#REF!,'8.Dgia'!A320,#REF!)+SUMIF(#REF!,'8.Dgia'!A320,#REF!)+SUMIF(#REF!,'8.Dgia'!A320,#REF!)+SUMIF(#REF!,'8.Dgia'!A320,#REF!)</f>
        <v>#REF!</v>
      </c>
      <c r="O320" s="844">
        <f>+$H$321</f>
        <v>5</v>
      </c>
      <c r="P320" s="843" t="e">
        <f t="shared" si="11"/>
        <v>#REF!</v>
      </c>
    </row>
    <row r="321" spans="1:18" ht="15" customHeight="1">
      <c r="A321" s="657">
        <f>IF(B321="",MAX($A$8:A320)+0,MAX($A$8:A320)+1)</f>
        <v>33</v>
      </c>
      <c r="B321" s="835" t="str">
        <f>IF(C321="","",COUNTA($C$10:C322))</f>
        <v/>
      </c>
      <c r="C321" s="362"/>
      <c r="D321" s="851"/>
      <c r="E321" s="852" t="s">
        <v>553</v>
      </c>
      <c r="F321" s="848" t="str">
        <f>VLOOKUP(E321,DICH!B:C,2,FALSE)</f>
        <v>Other machine</v>
      </c>
      <c r="G321" s="362" t="s">
        <v>554</v>
      </c>
      <c r="H321" s="847">
        <v>5</v>
      </c>
      <c r="I321" s="848">
        <f>SUM(J319:J320)</f>
        <v>325781.42952272727</v>
      </c>
      <c r="J321" s="853">
        <f>I321*H321%</f>
        <v>16289.071476136363</v>
      </c>
      <c r="N321" s="843" t="e">
        <f>SUMIF(#REF!,'8.Dgia'!A321,#REF!)+SUMIF(#REF!,'8.Dgia'!A321,#REF!)+SUMIF(#REF!,'8.Dgia'!A321,#REF!)+SUMIF(#REF!,'8.Dgia'!A321,#REF!)</f>
        <v>#REF!</v>
      </c>
      <c r="O321" s="844"/>
      <c r="P321" s="843" t="e">
        <f t="shared" si="11"/>
        <v>#REF!</v>
      </c>
    </row>
    <row r="322" spans="1:18" ht="15" customHeight="1">
      <c r="A322" s="657">
        <f>IF(B322="",MAX($A$8:A321)+0,MAX($A$8:A321)+1)</f>
        <v>34</v>
      </c>
      <c r="B322" s="835">
        <f>IF(C322="","",COUNTA($C$10:C323))</f>
        <v>34</v>
      </c>
      <c r="C322" s="835">
        <f>IF(D322="","",1776)</f>
        <v>1776</v>
      </c>
      <c r="D322" s="851" t="s">
        <v>3922</v>
      </c>
      <c r="E322" s="855" t="s">
        <v>3921</v>
      </c>
      <c r="F322" s="1049" t="str">
        <f>VLOOKUP(E322,DICH!B:C,2,FALSE)</f>
        <v>Install casting pipe D&lt;=1300 (land)</v>
      </c>
      <c r="G322" s="856" t="s">
        <v>543</v>
      </c>
      <c r="H322" s="847"/>
      <c r="I322" s="848"/>
      <c r="J322" s="853"/>
      <c r="K322" s="842">
        <f>+J323</f>
        <v>61685.074450353146</v>
      </c>
      <c r="L322" s="842">
        <f>+J327</f>
        <v>1085877.92</v>
      </c>
      <c r="M322" s="842">
        <f>+J328</f>
        <v>319265.8009322728</v>
      </c>
      <c r="N322" s="843" t="e">
        <f>SUMIF(#REF!,'8.Dgia'!A322,#REF!)+SUMIF(#REF!,'8.Dgia'!A322,#REF!)+SUMIF(#REF!,'8.Dgia'!A322,#REF!)+SUMIF(#REF!,'8.Dgia'!A322,#REF!)</f>
        <v>#REF!</v>
      </c>
      <c r="O322" s="844"/>
      <c r="P322" s="843" t="e">
        <f t="shared" ref="P322:P331" si="15">$H322*N322*(1+O322%)</f>
        <v>#REF!</v>
      </c>
    </row>
    <row r="323" spans="1:18" s="658" customFormat="1" ht="15" customHeight="1">
      <c r="A323" s="657">
        <f>IF(B323="",MAX($A$8:A322)+0,MAX($A$8:A322)+1)</f>
        <v>34</v>
      </c>
      <c r="B323" s="835" t="str">
        <f>IF(C323="","",COUNTA($C$10:C324))</f>
        <v/>
      </c>
      <c r="C323" s="362"/>
      <c r="D323" s="851"/>
      <c r="E323" s="852" t="s">
        <v>2032</v>
      </c>
      <c r="F323" s="848" t="str">
        <f>VLOOKUP(E323,DICH!B:C,2,FALSE)</f>
        <v xml:space="preserve">  A - Material</v>
      </c>
      <c r="G323" s="846"/>
      <c r="H323" s="847"/>
      <c r="I323" s="848"/>
      <c r="J323" s="849">
        <f>SUM(J324:J326)</f>
        <v>61685.074450353146</v>
      </c>
      <c r="K323" s="850"/>
      <c r="L323" s="850"/>
      <c r="M323" s="850"/>
      <c r="N323" s="843" t="e">
        <f>SUMIF(#REF!,'8.Dgia'!A323,#REF!)+SUMIF(#REF!,'8.Dgia'!A323,#REF!)+SUMIF(#REF!,'8.Dgia'!A323,#REF!)+SUMIF(#REF!,'8.Dgia'!A323,#REF!)</f>
        <v>#REF!</v>
      </c>
      <c r="O323" s="844"/>
      <c r="P323" s="843" t="e">
        <f t="shared" si="15"/>
        <v>#REF!</v>
      </c>
    </row>
    <row r="324" spans="1:18" ht="15" customHeight="1">
      <c r="A324" s="657">
        <f>IF(B324="",MAX($A$8:A323)+0,MAX($A$8:A323)+1)</f>
        <v>34</v>
      </c>
      <c r="B324" s="835" t="str">
        <f>IF(C324="","",COUNTA($C$10:C325))</f>
        <v/>
      </c>
      <c r="C324" s="362"/>
      <c r="D324" s="851"/>
      <c r="E324" s="852" t="s">
        <v>563</v>
      </c>
      <c r="F324" s="848" t="str">
        <f>VLOOKUP(E324,DICH!B:C,2,FALSE)</f>
        <v>Shaped steel</v>
      </c>
      <c r="G324" s="362" t="s">
        <v>558</v>
      </c>
      <c r="H324" s="847">
        <v>1.7</v>
      </c>
      <c r="I324" s="848">
        <f>VLOOKUP(E324,'11.gia '!$B:$I,8,FALSE)</f>
        <v>16703.248369172808</v>
      </c>
      <c r="J324" s="853">
        <f>I324*H324</f>
        <v>28395.522227593774</v>
      </c>
      <c r="N324" s="843" t="e">
        <f>SUMIF(#REF!,'8.Dgia'!A324,#REF!)+SUMIF(#REF!,'8.Dgia'!A324,#REF!)+SUMIF(#REF!,'8.Dgia'!A324,#REF!)+SUMIF(#REF!,'8.Dgia'!A324,#REF!)</f>
        <v>#REF!</v>
      </c>
      <c r="O324" s="844">
        <f>+$H$316</f>
        <v>10</v>
      </c>
      <c r="P324" s="843" t="e">
        <f t="shared" si="15"/>
        <v>#REF!</v>
      </c>
    </row>
    <row r="325" spans="1:18" ht="15" customHeight="1">
      <c r="A325" s="657">
        <f>IF(B325="",MAX($A$8:A324)+0,MAX($A$8:A324)+1)</f>
        <v>34</v>
      </c>
      <c r="B325" s="835" t="str">
        <f>IF(C325="","",COUNTA($C$10:C326))</f>
        <v/>
      </c>
      <c r="C325" s="362"/>
      <c r="D325" s="851"/>
      <c r="E325" s="852" t="s">
        <v>559</v>
      </c>
      <c r="F325" s="848" t="str">
        <f>VLOOKUP(E325,DICH!B:C,2,FALSE)</f>
        <v>welding electrode</v>
      </c>
      <c r="G325" s="362" t="s">
        <v>558</v>
      </c>
      <c r="H325" s="847">
        <v>1.45</v>
      </c>
      <c r="I325" s="848">
        <f>VLOOKUP(E325,'11.gia '!$B:$I,8,FALSE)</f>
        <v>19090.909090909088</v>
      </c>
      <c r="J325" s="853">
        <f>I325*H325</f>
        <v>27681.818181818177</v>
      </c>
      <c r="N325" s="843" t="e">
        <f>SUMIF(#REF!,'8.Dgia'!A325,#REF!)+SUMIF(#REF!,'8.Dgia'!A325,#REF!)+SUMIF(#REF!,'8.Dgia'!A325,#REF!)+SUMIF(#REF!,'8.Dgia'!A325,#REF!)</f>
        <v>#REF!</v>
      </c>
      <c r="O325" s="844">
        <f>+$H$316</f>
        <v>10</v>
      </c>
      <c r="P325" s="843" t="e">
        <f t="shared" si="15"/>
        <v>#REF!</v>
      </c>
    </row>
    <row r="326" spans="1:18" ht="15" customHeight="1">
      <c r="A326" s="657">
        <f>IF(B326="",MAX($A$8:A325)+0,MAX($A$8:A325)+1)</f>
        <v>34</v>
      </c>
      <c r="B326" s="835" t="str">
        <f>IF(C326="","",COUNTA($C$10:C327))</f>
        <v/>
      </c>
      <c r="C326" s="362"/>
      <c r="D326" s="851"/>
      <c r="E326" s="852" t="s">
        <v>555</v>
      </c>
      <c r="F326" s="848" t="str">
        <f>VLOOKUP(E326,DICH!B:C,2,FALSE)</f>
        <v>Other material</v>
      </c>
      <c r="G326" s="362" t="s">
        <v>554</v>
      </c>
      <c r="H326" s="847">
        <v>10</v>
      </c>
      <c r="I326" s="848">
        <f>SUM(J324:J325)</f>
        <v>56077.340409411947</v>
      </c>
      <c r="J326" s="853">
        <f>I326*H326%</f>
        <v>5607.7340409411954</v>
      </c>
      <c r="N326" s="843" t="e">
        <f>SUMIF(#REF!,'8.Dgia'!A326,#REF!)+SUMIF(#REF!,'8.Dgia'!A326,#REF!)+SUMIF(#REF!,'8.Dgia'!A326,#REF!)+SUMIF(#REF!,'8.Dgia'!A326,#REF!)</f>
        <v>#REF!</v>
      </c>
      <c r="O326" s="844"/>
      <c r="P326" s="843" t="e">
        <f t="shared" si="15"/>
        <v>#REF!</v>
      </c>
    </row>
    <row r="327" spans="1:18" s="658" customFormat="1" ht="15" customHeight="1">
      <c r="A327" s="657">
        <f>IF(B327="",MAX($A$8:A326)+0,MAX($A$8:A326)+1)</f>
        <v>34</v>
      </c>
      <c r="B327" s="835" t="str">
        <f>IF(C327="","",COUNTA($C$10:C328))</f>
        <v/>
      </c>
      <c r="C327" s="362"/>
      <c r="D327" s="851"/>
      <c r="E327" s="852" t="s">
        <v>2039</v>
      </c>
      <c r="F327" s="848" t="str">
        <f>VLOOKUP(E327,DICH!B:C,2,FALSE)</f>
        <v xml:space="preserve">  B - Labour 4.0/7</v>
      </c>
      <c r="G327" s="362" t="s">
        <v>4899</v>
      </c>
      <c r="H327" s="847">
        <v>4.96</v>
      </c>
      <c r="I327" s="848">
        <f>VLOOKUP(E327,'16.NC'!$C$11:$F$22,4,FALSE)</f>
        <v>218927</v>
      </c>
      <c r="J327" s="849">
        <f>I327*H327</f>
        <v>1085877.92</v>
      </c>
      <c r="K327" s="850"/>
      <c r="L327" s="850"/>
      <c r="M327" s="850"/>
      <c r="N327" s="843" t="e">
        <f>SUMIF(#REF!,'8.Dgia'!A327,#REF!)+SUMIF(#REF!,'8.Dgia'!A327,#REF!)+SUMIF(#REF!,'8.Dgia'!A327,#REF!)+SUMIF(#REF!,'8.Dgia'!A327,#REF!)</f>
        <v>#REF!</v>
      </c>
      <c r="O327" s="844"/>
      <c r="P327" s="843" t="e">
        <f t="shared" si="15"/>
        <v>#REF!</v>
      </c>
      <c r="R327" s="658">
        <v>1</v>
      </c>
    </row>
    <row r="328" spans="1:18" s="658" customFormat="1" ht="15" customHeight="1">
      <c r="A328" s="657">
        <f>IF(B328="",MAX($A$8:A327)+0,MAX($A$8:A327)+1)</f>
        <v>34</v>
      </c>
      <c r="B328" s="835" t="str">
        <f>IF(C328="","",COUNTA($C$10:C329))</f>
        <v/>
      </c>
      <c r="C328" s="362"/>
      <c r="D328" s="851"/>
      <c r="E328" s="852" t="s">
        <v>2033</v>
      </c>
      <c r="F328" s="848" t="str">
        <f>VLOOKUP(E328,DICH!B:C,2,FALSE)</f>
        <v xml:space="preserve">  C - Machine</v>
      </c>
      <c r="G328" s="846"/>
      <c r="H328" s="847"/>
      <c r="I328" s="848"/>
      <c r="J328" s="849">
        <f>SUM(J329:J331)</f>
        <v>319265.8009322728</v>
      </c>
      <c r="K328" s="850"/>
      <c r="L328" s="850"/>
      <c r="M328" s="850"/>
      <c r="N328" s="843" t="e">
        <f>SUMIF(#REF!,'8.Dgia'!A328,#REF!)+SUMIF(#REF!,'8.Dgia'!A328,#REF!)+SUMIF(#REF!,'8.Dgia'!A328,#REF!)+SUMIF(#REF!,'8.Dgia'!A328,#REF!)</f>
        <v>#REF!</v>
      </c>
      <c r="O328" s="844"/>
      <c r="P328" s="843" t="e">
        <f t="shared" si="15"/>
        <v>#REF!</v>
      </c>
    </row>
    <row r="329" spans="1:18" ht="15" customHeight="1">
      <c r="A329" s="657">
        <f>IF(B329="",MAX($A$8:A328)+0,MAX($A$8:A328)+1)</f>
        <v>34</v>
      </c>
      <c r="B329" s="835" t="str">
        <f>IF(C329="","",COUNTA($C$10:C330))</f>
        <v/>
      </c>
      <c r="C329" s="362"/>
      <c r="D329" s="851"/>
      <c r="E329" s="852" t="s">
        <v>288</v>
      </c>
      <c r="F329" s="848" t="str">
        <f>VLOOKUP(E329,'9.may'!E:F,2,FALSE)</f>
        <v>caterpillar crane 25T</v>
      </c>
      <c r="G329" s="362" t="s">
        <v>4902</v>
      </c>
      <c r="H329" s="847">
        <v>7.0000000000000007E-2</v>
      </c>
      <c r="I329" s="848">
        <f>VLOOKUP(E329,'9.may'!E:W,12,FALSE)</f>
        <v>2787996.6736363638</v>
      </c>
      <c r="J329" s="853">
        <f>I329*H329</f>
        <v>195159.76715454549</v>
      </c>
      <c r="N329" s="843" t="e">
        <f>SUMIF(#REF!,'8.Dgia'!A329,#REF!)+SUMIF(#REF!,'8.Dgia'!A329,#REF!)+SUMIF(#REF!,'8.Dgia'!A329,#REF!)+SUMIF(#REF!,'8.Dgia'!A329,#REF!)</f>
        <v>#REF!</v>
      </c>
      <c r="O329" s="844">
        <f>+$H$321</f>
        <v>5</v>
      </c>
      <c r="P329" s="843" t="e">
        <f t="shared" si="15"/>
        <v>#REF!</v>
      </c>
    </row>
    <row r="330" spans="1:18" ht="15" customHeight="1">
      <c r="A330" s="657">
        <f>IF(B330="",MAX($A$8:A329)+0,MAX($A$8:A329)+1)</f>
        <v>34</v>
      </c>
      <c r="B330" s="835" t="str">
        <f>IF(C330="","",COUNTA($C$10:C331))</f>
        <v/>
      </c>
      <c r="C330" s="362"/>
      <c r="D330" s="851"/>
      <c r="E330" s="852" t="s">
        <v>1522</v>
      </c>
      <c r="F330" s="848" t="str">
        <f>VLOOKUP(E330,'9.may'!E:F,2,FALSE)</f>
        <v>vibrator hammer 170kW</v>
      </c>
      <c r="G330" s="362" t="s">
        <v>4902</v>
      </c>
      <c r="H330" s="847">
        <v>7.0000000000000007E-2</v>
      </c>
      <c r="I330" s="848">
        <f>VLOOKUP(E330,'9.may'!E:W,12,FALSE)</f>
        <v>1555755.72</v>
      </c>
      <c r="J330" s="853">
        <f>I330*H330</f>
        <v>108902.90040000001</v>
      </c>
      <c r="N330" s="843" t="e">
        <f>SUMIF(#REF!,'8.Dgia'!A330,#REF!)+SUMIF(#REF!,'8.Dgia'!A330,#REF!)+SUMIF(#REF!,'8.Dgia'!A330,#REF!)+SUMIF(#REF!,'8.Dgia'!A330,#REF!)</f>
        <v>#REF!</v>
      </c>
      <c r="O330" s="844">
        <f>+$H$321</f>
        <v>5</v>
      </c>
      <c r="P330" s="843" t="e">
        <f t="shared" si="15"/>
        <v>#REF!</v>
      </c>
    </row>
    <row r="331" spans="1:18" ht="15" customHeight="1">
      <c r="A331" s="657">
        <f>IF(B331="",MAX($A$8:A330)+0,MAX($A$8:A330)+1)</f>
        <v>34</v>
      </c>
      <c r="B331" s="835" t="str">
        <f>IF(C331="","",COUNTA($C$10:C332))</f>
        <v/>
      </c>
      <c r="C331" s="362"/>
      <c r="D331" s="851"/>
      <c r="E331" s="852" t="s">
        <v>553</v>
      </c>
      <c r="F331" s="848" t="str">
        <f>VLOOKUP(E331,DICH!B:C,2,FALSE)</f>
        <v>Other machine</v>
      </c>
      <c r="G331" s="362" t="s">
        <v>554</v>
      </c>
      <c r="H331" s="847">
        <v>5</v>
      </c>
      <c r="I331" s="848">
        <f>SUM(J329:J330)</f>
        <v>304062.66755454551</v>
      </c>
      <c r="J331" s="853">
        <f>I331*H331%</f>
        <v>15203.133377727276</v>
      </c>
      <c r="N331" s="843" t="e">
        <f>SUMIF(#REF!,'8.Dgia'!A331,#REF!)+SUMIF(#REF!,'8.Dgia'!A331,#REF!)+SUMIF(#REF!,'8.Dgia'!A331,#REF!)+SUMIF(#REF!,'8.Dgia'!A331,#REF!)</f>
        <v>#REF!</v>
      </c>
      <c r="O331" s="844"/>
      <c r="P331" s="843" t="e">
        <f t="shared" si="15"/>
        <v>#REF!</v>
      </c>
    </row>
    <row r="332" spans="1:18" ht="15" customHeight="1">
      <c r="A332" s="657">
        <f>IF(B332="",MAX($A$8:A331)+0,MAX($A$8:A331)+1)</f>
        <v>35</v>
      </c>
      <c r="B332" s="835">
        <f>IF(C332="","",COUNTA($C$10:C333))</f>
        <v>35</v>
      </c>
      <c r="C332" s="835">
        <f>IF(D332="","",1776)</f>
        <v>1776</v>
      </c>
      <c r="D332" s="851" t="s">
        <v>2228</v>
      </c>
      <c r="E332" s="855" t="s">
        <v>2227</v>
      </c>
      <c r="F332" s="1049" t="str">
        <f>VLOOKUP(E332,DICH!B:C,2,FALSE)</f>
        <v>Lifting casting pipe D&lt;=1500 (land)</v>
      </c>
      <c r="G332" s="856" t="s">
        <v>543</v>
      </c>
      <c r="H332" s="847">
        <v>0.6</v>
      </c>
      <c r="I332" s="848"/>
      <c r="J332" s="853"/>
      <c r="L332" s="842">
        <f>+J333</f>
        <v>776315.14199999999</v>
      </c>
      <c r="M332" s="842">
        <f>+J334</f>
        <v>205242.30059931817</v>
      </c>
      <c r="N332" s="843" t="e">
        <f>SUMIF(#REF!,'8.Dgia'!A332,#REF!)+SUMIF(#REF!,'8.Dgia'!A332,#REF!)+SUMIF(#REF!,'8.Dgia'!A332,#REF!)+SUMIF(#REF!,'8.Dgia'!A332,#REF!)</f>
        <v>#REF!</v>
      </c>
      <c r="O332" s="844"/>
      <c r="P332" s="843" t="e">
        <f t="shared" si="11"/>
        <v>#REF!</v>
      </c>
    </row>
    <row r="333" spans="1:18" s="658" customFormat="1" ht="15" customHeight="1">
      <c r="A333" s="657">
        <f>IF(B333="",MAX($A$8:A332)+0,MAX($A$8:A332)+1)</f>
        <v>35</v>
      </c>
      <c r="B333" s="835" t="str">
        <f>IF(C333="","",COUNTA($C$10:C334))</f>
        <v/>
      </c>
      <c r="C333" s="362"/>
      <c r="D333" s="851"/>
      <c r="E333" s="852" t="s">
        <v>2039</v>
      </c>
      <c r="F333" s="848" t="str">
        <f>VLOOKUP(E333,DICH!B:C,2,FALSE)</f>
        <v xml:space="preserve">  B - Labour 4.0/7</v>
      </c>
      <c r="G333" s="362" t="s">
        <v>4899</v>
      </c>
      <c r="H333" s="847">
        <f>5.91*H332</f>
        <v>3.5459999999999998</v>
      </c>
      <c r="I333" s="848">
        <f>VLOOKUP(E333,'16.NC'!$C$11:$F$22,4,FALSE)</f>
        <v>218927</v>
      </c>
      <c r="J333" s="849">
        <f>I333*H333</f>
        <v>776315.14199999999</v>
      </c>
      <c r="K333" s="850"/>
      <c r="L333" s="850"/>
      <c r="M333" s="850"/>
      <c r="N333" s="843" t="e">
        <f>SUMIF(#REF!,'8.Dgia'!A333,#REF!)+SUMIF(#REF!,'8.Dgia'!A333,#REF!)+SUMIF(#REF!,'8.Dgia'!A333,#REF!)+SUMIF(#REF!,'8.Dgia'!A333,#REF!)</f>
        <v>#REF!</v>
      </c>
      <c r="O333" s="844"/>
      <c r="P333" s="843" t="e">
        <f t="shared" si="11"/>
        <v>#REF!</v>
      </c>
      <c r="R333" s="658">
        <v>1</v>
      </c>
    </row>
    <row r="334" spans="1:18" s="658" customFormat="1" ht="15" customHeight="1">
      <c r="A334" s="657">
        <f>IF(B334="",MAX($A$8:A333)+0,MAX($A$8:A333)+1)</f>
        <v>35</v>
      </c>
      <c r="B334" s="835" t="str">
        <f>IF(C334="","",COUNTA($C$10:C335))</f>
        <v/>
      </c>
      <c r="C334" s="362"/>
      <c r="D334" s="851"/>
      <c r="E334" s="852" t="s">
        <v>2033</v>
      </c>
      <c r="F334" s="848" t="str">
        <f>VLOOKUP(E334,DICH!B:C,2,FALSE)</f>
        <v xml:space="preserve">  C - Machine</v>
      </c>
      <c r="G334" s="846"/>
      <c r="H334" s="847"/>
      <c r="I334" s="848"/>
      <c r="J334" s="849">
        <f>SUM(J335:J337)</f>
        <v>205242.30059931817</v>
      </c>
      <c r="K334" s="850"/>
      <c r="L334" s="850"/>
      <c r="M334" s="850"/>
      <c r="N334" s="843" t="e">
        <f>SUMIF(#REF!,'8.Dgia'!A334,#REF!)+SUMIF(#REF!,'8.Dgia'!A334,#REF!)+SUMIF(#REF!,'8.Dgia'!A334,#REF!)+SUMIF(#REF!,'8.Dgia'!A334,#REF!)</f>
        <v>#REF!</v>
      </c>
      <c r="O334" s="844"/>
      <c r="P334" s="843" t="e">
        <f t="shared" ref="P334:P386" si="16">$H334*N334*(1+O334%)</f>
        <v>#REF!</v>
      </c>
    </row>
    <row r="335" spans="1:18" ht="15" customHeight="1">
      <c r="A335" s="657">
        <f>IF(B335="",MAX($A$8:A334)+0,MAX($A$8:A334)+1)</f>
        <v>35</v>
      </c>
      <c r="B335" s="835" t="str">
        <f>IF(C335="","",COUNTA($C$10:C336))</f>
        <v/>
      </c>
      <c r="C335" s="362"/>
      <c r="D335" s="851"/>
      <c r="E335" s="852" t="s">
        <v>288</v>
      </c>
      <c r="F335" s="848" t="str">
        <f>VLOOKUP(E335,'9.may'!E:F,2,FALSE)</f>
        <v>caterpillar crane 25T</v>
      </c>
      <c r="G335" s="362" t="s">
        <v>4902</v>
      </c>
      <c r="H335" s="847">
        <f>0.075*H332</f>
        <v>4.4999999999999998E-2</v>
      </c>
      <c r="I335" s="848">
        <f>VLOOKUP(E335,'9.may'!E:W,12,FALSE)</f>
        <v>2787996.6736363638</v>
      </c>
      <c r="J335" s="853">
        <f>I335*H335</f>
        <v>125459.85031363637</v>
      </c>
      <c r="N335" s="843" t="e">
        <f>SUMIF(#REF!,'8.Dgia'!A335,#REF!)+SUMIF(#REF!,'8.Dgia'!A335,#REF!)+SUMIF(#REF!,'8.Dgia'!A335,#REF!)+SUMIF(#REF!,'8.Dgia'!A335,#REF!)</f>
        <v>#REF!</v>
      </c>
      <c r="O335" s="844">
        <f>+$H$321</f>
        <v>5</v>
      </c>
      <c r="P335" s="843" t="e">
        <f t="shared" si="16"/>
        <v>#REF!</v>
      </c>
    </row>
    <row r="336" spans="1:18" ht="15" customHeight="1">
      <c r="A336" s="657">
        <f>IF(B336="",MAX($A$8:A335)+0,MAX($A$8:A335)+1)</f>
        <v>35</v>
      </c>
      <c r="B336" s="835" t="str">
        <f>IF(C336="","",COUNTA($C$10:C337))</f>
        <v/>
      </c>
      <c r="C336" s="362"/>
      <c r="D336" s="851"/>
      <c r="E336" s="852" t="s">
        <v>1522</v>
      </c>
      <c r="F336" s="848" t="str">
        <f>VLOOKUP(E336,'9.may'!E:F,2,FALSE)</f>
        <v>vibrator hammer 170kW</v>
      </c>
      <c r="G336" s="362" t="s">
        <v>4902</v>
      </c>
      <c r="H336" s="847">
        <f>0.075*H332</f>
        <v>4.4999999999999998E-2</v>
      </c>
      <c r="I336" s="848">
        <f>VLOOKUP(E336,'9.may'!E:W,12,FALSE)</f>
        <v>1555755.72</v>
      </c>
      <c r="J336" s="853">
        <f>I336*H336</f>
        <v>70009.007400000002</v>
      </c>
      <c r="N336" s="843" t="e">
        <f>SUMIF(#REF!,'8.Dgia'!A336,#REF!)+SUMIF(#REF!,'8.Dgia'!A336,#REF!)+SUMIF(#REF!,'8.Dgia'!A336,#REF!)+SUMIF(#REF!,'8.Dgia'!A336,#REF!)</f>
        <v>#REF!</v>
      </c>
      <c r="O336" s="844">
        <f>+$H$321</f>
        <v>5</v>
      </c>
      <c r="P336" s="843" t="e">
        <f t="shared" si="16"/>
        <v>#REF!</v>
      </c>
    </row>
    <row r="337" spans="1:18" ht="15" customHeight="1">
      <c r="A337" s="657">
        <f>IF(B337="",MAX($A$8:A336)+0,MAX($A$8:A336)+1)</f>
        <v>35</v>
      </c>
      <c r="B337" s="835" t="str">
        <f>IF(C337="","",COUNTA($C$10:C338))</f>
        <v/>
      </c>
      <c r="C337" s="362"/>
      <c r="D337" s="851"/>
      <c r="E337" s="852" t="s">
        <v>553</v>
      </c>
      <c r="F337" s="848" t="str">
        <f>VLOOKUP(E337,DICH!B:C,2,FALSE)</f>
        <v>Other machine</v>
      </c>
      <c r="G337" s="362" t="s">
        <v>554</v>
      </c>
      <c r="H337" s="847">
        <v>5</v>
      </c>
      <c r="I337" s="848">
        <f>SUM(J335:J336)</f>
        <v>195468.85771363636</v>
      </c>
      <c r="J337" s="853">
        <f>I337*H337%</f>
        <v>9773.4428856818176</v>
      </c>
      <c r="N337" s="843" t="e">
        <f>SUMIF(#REF!,'8.Dgia'!A337,#REF!)+SUMIF(#REF!,'8.Dgia'!A337,#REF!)+SUMIF(#REF!,'8.Dgia'!A337,#REF!)+SUMIF(#REF!,'8.Dgia'!A337,#REF!)</f>
        <v>#REF!</v>
      </c>
      <c r="O337" s="844"/>
      <c r="P337" s="843" t="e">
        <f t="shared" si="16"/>
        <v>#REF!</v>
      </c>
    </row>
    <row r="338" spans="1:18" ht="15" customHeight="1">
      <c r="A338" s="657">
        <f>IF(B338="",MAX($A$8:A337)+0,MAX($A$8:A337)+1)</f>
        <v>36</v>
      </c>
      <c r="B338" s="835">
        <f>IF(C338="","",COUNTA($C$10:C339))</f>
        <v>36</v>
      </c>
      <c r="C338" s="835">
        <f>IF(D338="","",1776)</f>
        <v>1776</v>
      </c>
      <c r="D338" s="851" t="s">
        <v>3923</v>
      </c>
      <c r="E338" s="855" t="s">
        <v>3924</v>
      </c>
      <c r="F338" s="1049" t="str">
        <f>VLOOKUP(E338,DICH!B:C,2,FALSE)</f>
        <v>Lifting casting pipe D&lt;=1300 (land)</v>
      </c>
      <c r="G338" s="856" t="s">
        <v>543</v>
      </c>
      <c r="H338" s="847">
        <v>0.6</v>
      </c>
      <c r="I338" s="848"/>
      <c r="J338" s="853"/>
      <c r="L338" s="842">
        <f>+J339</f>
        <v>651526.75199999998</v>
      </c>
      <c r="M338" s="842">
        <f>+J340</f>
        <v>191559.48055936364</v>
      </c>
      <c r="N338" s="843" t="e">
        <f>SUMIF(#REF!,'8.Dgia'!A338,#REF!)+SUMIF(#REF!,'8.Dgia'!A338,#REF!)+SUMIF(#REF!,'8.Dgia'!A338,#REF!)+SUMIF(#REF!,'8.Dgia'!A338,#REF!)</f>
        <v>#REF!</v>
      </c>
      <c r="O338" s="844"/>
      <c r="P338" s="843" t="e">
        <f t="shared" si="16"/>
        <v>#REF!</v>
      </c>
    </row>
    <row r="339" spans="1:18" s="658" customFormat="1" ht="15" customHeight="1">
      <c r="A339" s="657">
        <f>IF(B339="",MAX($A$8:A338)+0,MAX($A$8:A338)+1)</f>
        <v>36</v>
      </c>
      <c r="B339" s="835" t="str">
        <f>IF(C339="","",COUNTA($C$10:C340))</f>
        <v/>
      </c>
      <c r="C339" s="362"/>
      <c r="D339" s="851"/>
      <c r="E339" s="852" t="s">
        <v>2039</v>
      </c>
      <c r="F339" s="848" t="str">
        <f>VLOOKUP(E339,DICH!B:C,2,FALSE)</f>
        <v xml:space="preserve">  B - Labour 4.0/7</v>
      </c>
      <c r="G339" s="362" t="s">
        <v>4899</v>
      </c>
      <c r="H339" s="847">
        <f>4.96*H338</f>
        <v>2.976</v>
      </c>
      <c r="I339" s="848">
        <f>VLOOKUP(E339,'16.NC'!$C$11:$F$22,4,FALSE)</f>
        <v>218927</v>
      </c>
      <c r="J339" s="849">
        <f>I339*H339</f>
        <v>651526.75199999998</v>
      </c>
      <c r="K339" s="850"/>
      <c r="L339" s="850"/>
      <c r="M339" s="850"/>
      <c r="N339" s="843" t="e">
        <f>SUMIF(#REF!,'8.Dgia'!A339,#REF!)+SUMIF(#REF!,'8.Dgia'!A339,#REF!)+SUMIF(#REF!,'8.Dgia'!A339,#REF!)+SUMIF(#REF!,'8.Dgia'!A339,#REF!)</f>
        <v>#REF!</v>
      </c>
      <c r="O339" s="844"/>
      <c r="P339" s="843" t="e">
        <f t="shared" si="16"/>
        <v>#REF!</v>
      </c>
      <c r="R339" s="658">
        <v>1</v>
      </c>
    </row>
    <row r="340" spans="1:18" s="658" customFormat="1" ht="15" customHeight="1">
      <c r="A340" s="657">
        <f>IF(B340="",MAX($A$8:A339)+0,MAX($A$8:A339)+1)</f>
        <v>36</v>
      </c>
      <c r="B340" s="835" t="str">
        <f>IF(C340="","",COUNTA($C$10:C341))</f>
        <v/>
      </c>
      <c r="C340" s="362"/>
      <c r="D340" s="851"/>
      <c r="E340" s="852" t="s">
        <v>2033</v>
      </c>
      <c r="F340" s="848" t="str">
        <f>VLOOKUP(E340,DICH!B:C,2,FALSE)</f>
        <v xml:space="preserve">  C - Machine</v>
      </c>
      <c r="G340" s="846"/>
      <c r="H340" s="847"/>
      <c r="I340" s="848"/>
      <c r="J340" s="849">
        <f>SUM(J341:J343)</f>
        <v>191559.48055936364</v>
      </c>
      <c r="K340" s="850"/>
      <c r="L340" s="850"/>
      <c r="M340" s="850"/>
      <c r="N340" s="843" t="e">
        <f>SUMIF(#REF!,'8.Dgia'!A340,#REF!)+SUMIF(#REF!,'8.Dgia'!A340,#REF!)+SUMIF(#REF!,'8.Dgia'!A340,#REF!)+SUMIF(#REF!,'8.Dgia'!A340,#REF!)</f>
        <v>#REF!</v>
      </c>
      <c r="O340" s="844"/>
      <c r="P340" s="843" t="e">
        <f>$H340*N340*(1+O340%)</f>
        <v>#REF!</v>
      </c>
    </row>
    <row r="341" spans="1:18" ht="15" customHeight="1">
      <c r="A341" s="657">
        <f>IF(B341="",MAX($A$8:A340)+0,MAX($A$8:A340)+1)</f>
        <v>36</v>
      </c>
      <c r="B341" s="835" t="str">
        <f>IF(C341="","",COUNTA($C$10:C342))</f>
        <v/>
      </c>
      <c r="C341" s="362"/>
      <c r="D341" s="851"/>
      <c r="E341" s="852" t="s">
        <v>288</v>
      </c>
      <c r="F341" s="848" t="str">
        <f>VLOOKUP(E341,'9.may'!E:F,2,FALSE)</f>
        <v>caterpillar crane 25T</v>
      </c>
      <c r="G341" s="362" t="s">
        <v>4902</v>
      </c>
      <c r="H341" s="847">
        <f>0.07*H338</f>
        <v>4.2000000000000003E-2</v>
      </c>
      <c r="I341" s="848">
        <f>VLOOKUP(E341,'9.may'!E:W,12,FALSE)</f>
        <v>2787996.6736363638</v>
      </c>
      <c r="J341" s="853">
        <f>I341*H341</f>
        <v>117095.86029272729</v>
      </c>
      <c r="N341" s="843" t="e">
        <f>SUMIF(#REF!,'8.Dgia'!A341,#REF!)+SUMIF(#REF!,'8.Dgia'!A341,#REF!)+SUMIF(#REF!,'8.Dgia'!A341,#REF!)+SUMIF(#REF!,'8.Dgia'!A341,#REF!)</f>
        <v>#REF!</v>
      </c>
      <c r="O341" s="844">
        <f>+$H$321</f>
        <v>5</v>
      </c>
      <c r="P341" s="843" t="e">
        <f>$H341*N341*(1+O341%)</f>
        <v>#REF!</v>
      </c>
    </row>
    <row r="342" spans="1:18" ht="15" customHeight="1">
      <c r="A342" s="657">
        <f>IF(B342="",MAX($A$8:A341)+0,MAX($A$8:A341)+1)</f>
        <v>36</v>
      </c>
      <c r="B342" s="835" t="str">
        <f>IF(C342="","",COUNTA($C$10:C343))</f>
        <v/>
      </c>
      <c r="C342" s="362"/>
      <c r="D342" s="851"/>
      <c r="E342" s="852" t="s">
        <v>1522</v>
      </c>
      <c r="F342" s="848" t="str">
        <f>VLOOKUP(E342,'9.may'!E:F,2,FALSE)</f>
        <v>vibrator hammer 170kW</v>
      </c>
      <c r="G342" s="362" t="s">
        <v>4902</v>
      </c>
      <c r="H342" s="847">
        <f>0.07*H338</f>
        <v>4.2000000000000003E-2</v>
      </c>
      <c r="I342" s="848">
        <f>VLOOKUP(E342,'9.may'!E:W,12,FALSE)</f>
        <v>1555755.72</v>
      </c>
      <c r="J342" s="853">
        <f>I342*H342</f>
        <v>65341.740240000006</v>
      </c>
      <c r="N342" s="843" t="e">
        <f>SUMIF(#REF!,'8.Dgia'!A342,#REF!)+SUMIF(#REF!,'8.Dgia'!A342,#REF!)+SUMIF(#REF!,'8.Dgia'!A342,#REF!)+SUMIF(#REF!,'8.Dgia'!A342,#REF!)</f>
        <v>#REF!</v>
      </c>
      <c r="O342" s="844">
        <f>+$H$321</f>
        <v>5</v>
      </c>
      <c r="P342" s="843" t="e">
        <f>$H342*N342*(1+O342%)</f>
        <v>#REF!</v>
      </c>
    </row>
    <row r="343" spans="1:18" ht="15" customHeight="1">
      <c r="A343" s="657">
        <f>IF(B343="",MAX($A$8:A342)+0,MAX($A$8:A342)+1)</f>
        <v>36</v>
      </c>
      <c r="B343" s="835" t="str">
        <f>IF(C343="","",COUNTA($C$10:C344))</f>
        <v/>
      </c>
      <c r="C343" s="362"/>
      <c r="D343" s="851"/>
      <c r="E343" s="852" t="s">
        <v>553</v>
      </c>
      <c r="F343" s="848" t="str">
        <f>VLOOKUP(E343,DICH!B:C,2,FALSE)</f>
        <v>Other machine</v>
      </c>
      <c r="G343" s="362" t="s">
        <v>554</v>
      </c>
      <c r="H343" s="847">
        <v>5</v>
      </c>
      <c r="I343" s="848">
        <f>SUM(J341:J342)</f>
        <v>182437.60053272729</v>
      </c>
      <c r="J343" s="853">
        <f>I343*H343%</f>
        <v>9121.8800266363651</v>
      </c>
      <c r="N343" s="843" t="e">
        <f>SUMIF(#REF!,'8.Dgia'!A343,#REF!)+SUMIF(#REF!,'8.Dgia'!A343,#REF!)+SUMIF(#REF!,'8.Dgia'!A343,#REF!)+SUMIF(#REF!,'8.Dgia'!A343,#REF!)</f>
        <v>#REF!</v>
      </c>
      <c r="O343" s="844"/>
      <c r="P343" s="843" t="e">
        <f>$H343*N343*(1+O343%)</f>
        <v>#REF!</v>
      </c>
    </row>
    <row r="344" spans="1:18" ht="15" customHeight="1">
      <c r="A344" s="657">
        <f>IF(B344="",MAX($A$8:A343)+0,MAX($A$8:A343)+1)</f>
        <v>37</v>
      </c>
      <c r="B344" s="835">
        <f>IF(C344="","",COUNTA($C$10:C345))</f>
        <v>37</v>
      </c>
      <c r="C344" s="835">
        <f>IF(D344="","",1776)</f>
        <v>1776</v>
      </c>
      <c r="D344" s="851" t="s">
        <v>601</v>
      </c>
      <c r="E344" s="855" t="s">
        <v>4013</v>
      </c>
      <c r="F344" s="1049" t="str">
        <f>VLOOKUP(E344,DICH!B:C,2,FALSE)</f>
        <v>Concrete C30 of bored pile D&lt;=1000 (land)</v>
      </c>
      <c r="G344" s="856" t="s">
        <v>545</v>
      </c>
      <c r="H344" s="847"/>
      <c r="I344" s="848"/>
      <c r="J344" s="853"/>
      <c r="K344" s="842">
        <f>+J345</f>
        <v>1317667.8879744369</v>
      </c>
      <c r="L344" s="842">
        <f>+J349</f>
        <v>223148.2</v>
      </c>
      <c r="M344" s="842">
        <f>+J350</f>
        <v>502366.88863701816</v>
      </c>
      <c r="N344" s="843" t="e">
        <f>SUMIF(#REF!,'8.Dgia'!A344,#REF!)+SUMIF(#REF!,'8.Dgia'!A344,#REF!)+SUMIF(#REF!,'8.Dgia'!A344,#REF!)+SUMIF(#REF!,'8.Dgia'!A344,#REF!)</f>
        <v>#REF!</v>
      </c>
      <c r="O344" s="844"/>
      <c r="P344" s="843" t="e">
        <f t="shared" si="16"/>
        <v>#REF!</v>
      </c>
    </row>
    <row r="345" spans="1:18" s="658" customFormat="1" ht="15" customHeight="1">
      <c r="A345" s="657">
        <f>IF(B345="",MAX($A$8:A344)+0,MAX($A$8:A344)+1)</f>
        <v>37</v>
      </c>
      <c r="B345" s="835" t="str">
        <f>IF(C345="","",COUNTA($C$10:C346))</f>
        <v/>
      </c>
      <c r="C345" s="362"/>
      <c r="D345" s="845"/>
      <c r="E345" s="852" t="s">
        <v>2032</v>
      </c>
      <c r="F345" s="848" t="str">
        <f>VLOOKUP(E345,DICH!B:C,2,FALSE)</f>
        <v xml:space="preserve">  A - Material</v>
      </c>
      <c r="G345" s="846"/>
      <c r="H345" s="847"/>
      <c r="I345" s="848"/>
      <c r="J345" s="849">
        <f>SUM(J346:J348)</f>
        <v>1317667.8879744369</v>
      </c>
      <c r="K345" s="850"/>
      <c r="L345" s="850"/>
      <c r="M345" s="850"/>
      <c r="N345" s="843" t="e">
        <f>SUMIF(#REF!,'8.Dgia'!A345,#REF!)+SUMIF(#REF!,'8.Dgia'!A345,#REF!)+SUMIF(#REF!,'8.Dgia'!A345,#REF!)+SUMIF(#REF!,'8.Dgia'!A345,#REF!)</f>
        <v>#REF!</v>
      </c>
      <c r="O345" s="844"/>
      <c r="P345" s="843" t="e">
        <f t="shared" si="16"/>
        <v>#REF!</v>
      </c>
    </row>
    <row r="346" spans="1:18" ht="15" customHeight="1">
      <c r="A346" s="657">
        <f>IF(B346="",MAX($A$8:A345)+0,MAX($A$8:A345)+1)</f>
        <v>37</v>
      </c>
      <c r="B346" s="835" t="str">
        <f>IF(C346="","",COUNTA($C$10:C347))</f>
        <v/>
      </c>
      <c r="C346" s="851"/>
      <c r="D346" s="851" t="str">
        <f>'10.PLV'!$C$53</f>
        <v>C3326</v>
      </c>
      <c r="E346" s="852" t="str">
        <f>'10.PLV'!$D$53</f>
        <v>Vữa bê tông đá 1x2 C30 SN 14-17</v>
      </c>
      <c r="F346" s="848" t="str">
        <f>VLOOKUP(E346,DICH!B:C,2,FALSE)</f>
        <v>Concrete motar C30 stone 1x2 slump 14-17</v>
      </c>
      <c r="G346" s="362" t="s">
        <v>545</v>
      </c>
      <c r="H346" s="847">
        <v>1.1499999999999999</v>
      </c>
      <c r="I346" s="848">
        <f>VLOOKUP(E346,'11.gia '!B:I,8,FALSE)</f>
        <v>1130771.6239684112</v>
      </c>
      <c r="J346" s="853">
        <f>I346*H346</f>
        <v>1300387.3675636728</v>
      </c>
      <c r="N346" s="843" t="e">
        <f>SUMIF(#REF!,'8.Dgia'!A346,#REF!)+SUMIF(#REF!,'8.Dgia'!A346,#REF!)+SUMIF(#REF!,'8.Dgia'!A346,#REF!)+SUMIF(#REF!,'8.Dgia'!A346,#REF!)</f>
        <v>#REF!</v>
      </c>
      <c r="O346" s="844"/>
      <c r="P346" s="843" t="e">
        <f t="shared" si="16"/>
        <v>#REF!</v>
      </c>
    </row>
    <row r="347" spans="1:18" ht="15" customHeight="1">
      <c r="A347" s="657">
        <f>IF(B347="",MAX($A$8:A346)+0,MAX($A$8:A346)+1)</f>
        <v>37</v>
      </c>
      <c r="B347" s="835" t="str">
        <f>IF(C347="","",COUNTA($C$10:C348))</f>
        <v/>
      </c>
      <c r="C347" s="362"/>
      <c r="D347" s="851"/>
      <c r="E347" s="852" t="s">
        <v>669</v>
      </c>
      <c r="F347" s="848" t="str">
        <f>VLOOKUP(E347,DICH!B:C,2,FALSE)</f>
        <v>pouring pipe D300</v>
      </c>
      <c r="G347" s="362" t="s">
        <v>543</v>
      </c>
      <c r="H347" s="847">
        <v>1.2E-2</v>
      </c>
      <c r="I347" s="848">
        <f>VLOOKUP(E347,'11.gia '!$B:$I,8,FALSE)</f>
        <v>138000</v>
      </c>
      <c r="J347" s="853">
        <f>I347*H347</f>
        <v>1656</v>
      </c>
      <c r="N347" s="843" t="e">
        <f>SUMIF(#REF!,'8.Dgia'!A347,#REF!)+SUMIF(#REF!,'8.Dgia'!A347,#REF!)+SUMIF(#REF!,'8.Dgia'!A347,#REF!)+SUMIF(#REF!,'8.Dgia'!A347,#REF!)</f>
        <v>#REF!</v>
      </c>
      <c r="O347" s="844"/>
      <c r="P347" s="843" t="e">
        <f t="shared" si="16"/>
        <v>#REF!</v>
      </c>
    </row>
    <row r="348" spans="1:18" ht="15" customHeight="1">
      <c r="A348" s="657">
        <f>IF(B348="",MAX($A$8:A347)+0,MAX($A$8:A347)+1)</f>
        <v>37</v>
      </c>
      <c r="B348" s="835" t="str">
        <f>IF(C348="","",COUNTA($C$10:C349))</f>
        <v/>
      </c>
      <c r="C348" s="362"/>
      <c r="D348" s="851"/>
      <c r="E348" s="852" t="s">
        <v>555</v>
      </c>
      <c r="F348" s="848" t="str">
        <f>VLOOKUP(E348,DICH!B:C,2,FALSE)</f>
        <v>Other material</v>
      </c>
      <c r="G348" s="362" t="s">
        <v>554</v>
      </c>
      <c r="H348" s="847">
        <v>1.2</v>
      </c>
      <c r="I348" s="848">
        <f>SUM(J346:J347)</f>
        <v>1302043.3675636728</v>
      </c>
      <c r="J348" s="853">
        <f>I348*H348%</f>
        <v>15624.520410764075</v>
      </c>
      <c r="N348" s="843" t="e">
        <f>SUMIF(#REF!,'8.Dgia'!A348,#REF!)+SUMIF(#REF!,'8.Dgia'!A348,#REF!)+SUMIF(#REF!,'8.Dgia'!A348,#REF!)+SUMIF(#REF!,'8.Dgia'!A348,#REF!)</f>
        <v>#REF!</v>
      </c>
      <c r="O348" s="844"/>
      <c r="P348" s="843" t="e">
        <f t="shared" si="16"/>
        <v>#REF!</v>
      </c>
    </row>
    <row r="349" spans="1:18" s="658" customFormat="1" ht="15" customHeight="1">
      <c r="A349" s="657">
        <f>IF(B349="",MAX($A$8:A348)+0,MAX($A$8:A348)+1)</f>
        <v>37</v>
      </c>
      <c r="B349" s="835" t="str">
        <f>IF(C349="","",COUNTA($C$10:C350))</f>
        <v/>
      </c>
      <c r="C349" s="362"/>
      <c r="D349" s="845"/>
      <c r="E349" s="852" t="s">
        <v>2037</v>
      </c>
      <c r="F349" s="848" t="str">
        <f>VLOOKUP(E349,DICH!B:C,2,FALSE)</f>
        <v xml:space="preserve">  B - Labour 3.5/7</v>
      </c>
      <c r="G349" s="362" t="s">
        <v>4899</v>
      </c>
      <c r="H349" s="847">
        <v>1.1000000000000001</v>
      </c>
      <c r="I349" s="848">
        <f>VLOOKUP(E349,'16.NC'!$C$11:$F$22,4,FALSE)</f>
        <v>202862</v>
      </c>
      <c r="J349" s="849">
        <f>I349*H349</f>
        <v>223148.2</v>
      </c>
      <c r="K349" s="850"/>
      <c r="L349" s="850"/>
      <c r="M349" s="850"/>
      <c r="N349" s="843" t="e">
        <f>SUMIF(#REF!,'8.Dgia'!A349,#REF!)+SUMIF(#REF!,'8.Dgia'!A349,#REF!)+SUMIF(#REF!,'8.Dgia'!A349,#REF!)+SUMIF(#REF!,'8.Dgia'!A349,#REF!)</f>
        <v>#REF!</v>
      </c>
      <c r="O349" s="844"/>
      <c r="P349" s="843" t="e">
        <f t="shared" si="16"/>
        <v>#REF!</v>
      </c>
      <c r="R349" s="658">
        <v>1</v>
      </c>
    </row>
    <row r="350" spans="1:18" s="658" customFormat="1" ht="15" customHeight="1">
      <c r="A350" s="657">
        <f>IF(B350="",MAX($A$8:A349)+0,MAX($A$8:A349)+1)</f>
        <v>37</v>
      </c>
      <c r="B350" s="835" t="str">
        <f>IF(C350="","",COUNTA($C$10:C351))</f>
        <v/>
      </c>
      <c r="C350" s="362"/>
      <c r="D350" s="845"/>
      <c r="E350" s="852" t="s">
        <v>2033</v>
      </c>
      <c r="F350" s="848" t="str">
        <f>VLOOKUP(E350,DICH!B:C,2,FALSE)</f>
        <v xml:space="preserve">  C - Machine</v>
      </c>
      <c r="G350" s="846"/>
      <c r="H350" s="847"/>
      <c r="I350" s="848"/>
      <c r="J350" s="849">
        <f>SUM(J351:J353)</f>
        <v>502366.88863701816</v>
      </c>
      <c r="K350" s="850"/>
      <c r="L350" s="850"/>
      <c r="M350" s="850"/>
      <c r="N350" s="843" t="e">
        <f>SUMIF(#REF!,'8.Dgia'!A350,#REF!)+SUMIF(#REF!,'8.Dgia'!A350,#REF!)+SUMIF(#REF!,'8.Dgia'!A350,#REF!)+SUMIF(#REF!,'8.Dgia'!A350,#REF!)</f>
        <v>#REF!</v>
      </c>
      <c r="O350" s="844"/>
      <c r="P350" s="843" t="e">
        <f t="shared" si="16"/>
        <v>#REF!</v>
      </c>
    </row>
    <row r="351" spans="1:18" ht="15" customHeight="1">
      <c r="A351" s="657">
        <f>IF(B351="",MAX($A$8:A350)+0,MAX($A$8:A350)+1)</f>
        <v>37</v>
      </c>
      <c r="B351" s="835" t="str">
        <f>IF(C351="","",COUNTA($C$10:C352))</f>
        <v/>
      </c>
      <c r="C351" s="362"/>
      <c r="D351" s="851"/>
      <c r="E351" s="852" t="s">
        <v>288</v>
      </c>
      <c r="F351" s="848" t="str">
        <f>VLOOKUP(E351,'9.may'!E:F,2,FALSE)</f>
        <v>caterpillar crane 25T</v>
      </c>
      <c r="G351" s="362" t="s">
        <v>4902</v>
      </c>
      <c r="H351" s="847">
        <v>7.9000000000000001E-2</v>
      </c>
      <c r="I351" s="848">
        <f>VLOOKUP(E351,'9.may'!E:W,12,FALSE)</f>
        <v>2787996.6736363638</v>
      </c>
      <c r="J351" s="853">
        <f>I351*H351</f>
        <v>220251.73721727275</v>
      </c>
      <c r="N351" s="843" t="e">
        <f>SUMIF(#REF!,'8.Dgia'!A351,#REF!)+SUMIF(#REF!,'8.Dgia'!A351,#REF!)+SUMIF(#REF!,'8.Dgia'!A351,#REF!)+SUMIF(#REF!,'8.Dgia'!A351,#REF!)</f>
        <v>#REF!</v>
      </c>
      <c r="O351" s="844"/>
      <c r="P351" s="843" t="e">
        <f t="shared" si="16"/>
        <v>#REF!</v>
      </c>
    </row>
    <row r="352" spans="1:18" ht="15" customHeight="1">
      <c r="A352" s="657">
        <f>IF(B352="",MAX($A$8:A351)+0,MAX($A$8:A351)+1)</f>
        <v>37</v>
      </c>
      <c r="B352" s="835" t="str">
        <f>IF(C352="","",COUNTA($C$10:C353))</f>
        <v/>
      </c>
      <c r="C352" s="362"/>
      <c r="D352" s="851"/>
      <c r="E352" s="852" t="s">
        <v>1182</v>
      </c>
      <c r="F352" s="848" t="str">
        <f>VLOOKUP(E352,'9.may'!E:F,2,FALSE)</f>
        <v>concrete pump truck 50m3/h</v>
      </c>
      <c r="G352" s="362" t="s">
        <v>4902</v>
      </c>
      <c r="H352" s="847">
        <v>7.9000000000000001E-2</v>
      </c>
      <c r="I352" s="848">
        <f>VLOOKUP(E352,'9.may'!E:W,12,FALSE)</f>
        <v>3446390.13</v>
      </c>
      <c r="J352" s="853">
        <f>I352*H352</f>
        <v>272264.82026999997</v>
      </c>
      <c r="N352" s="843" t="e">
        <f>SUMIF(#REF!,'8.Dgia'!A352,#REF!)+SUMIF(#REF!,'8.Dgia'!A352,#REF!)+SUMIF(#REF!,'8.Dgia'!A352,#REF!)+SUMIF(#REF!,'8.Dgia'!A352,#REF!)</f>
        <v>#REF!</v>
      </c>
      <c r="O352" s="844"/>
      <c r="P352" s="843" t="e">
        <f t="shared" si="16"/>
        <v>#REF!</v>
      </c>
    </row>
    <row r="353" spans="1:19" ht="15" customHeight="1">
      <c r="A353" s="657">
        <f>IF(B353="",MAX($A$8:A352)+0,MAX($A$8:A352)+1)</f>
        <v>37</v>
      </c>
      <c r="B353" s="835" t="str">
        <f>IF(C353="","",COUNTA($C$10:C354))</f>
        <v/>
      </c>
      <c r="C353" s="362"/>
      <c r="D353" s="851"/>
      <c r="E353" s="852" t="s">
        <v>553</v>
      </c>
      <c r="F353" s="848" t="str">
        <f>VLOOKUP(E353,DICH!B:C,2,FALSE)</f>
        <v>Other machine</v>
      </c>
      <c r="G353" s="362" t="s">
        <v>554</v>
      </c>
      <c r="H353" s="847">
        <v>2</v>
      </c>
      <c r="I353" s="848">
        <f>SUM(J351:J352)</f>
        <v>492516.55748727272</v>
      </c>
      <c r="J353" s="853">
        <f>I353*H353%</f>
        <v>9850.3311497454542</v>
      </c>
      <c r="N353" s="843" t="e">
        <f>SUMIF(#REF!,'8.Dgia'!A353,#REF!)+SUMIF(#REF!,'8.Dgia'!A353,#REF!)+SUMIF(#REF!,'8.Dgia'!A353,#REF!)+SUMIF(#REF!,'8.Dgia'!A353,#REF!)</f>
        <v>#REF!</v>
      </c>
      <c r="O353" s="844"/>
      <c r="P353" s="843" t="e">
        <f t="shared" si="16"/>
        <v>#REF!</v>
      </c>
    </row>
    <row r="354" spans="1:19" ht="15" customHeight="1">
      <c r="A354" s="657">
        <f>IF(B354="",MAX($A$8:A353)+0,MAX($A$8:A353)+1)</f>
        <v>38</v>
      </c>
      <c r="B354" s="835">
        <f>IF(C354="","",COUNTA($C$10:C355))</f>
        <v>38</v>
      </c>
      <c r="C354" s="835">
        <f>IF(D354="","",1776)</f>
        <v>1776</v>
      </c>
      <c r="D354" s="851" t="s">
        <v>436</v>
      </c>
      <c r="E354" s="855" t="s">
        <v>4014</v>
      </c>
      <c r="F354" s="1049" t="str">
        <f>VLOOKUP(E354,DICH!B:C,2,FALSE)</f>
        <v>Concrete C30 of bored pile D&gt;1000 (land)</v>
      </c>
      <c r="G354" s="856" t="s">
        <v>545</v>
      </c>
      <c r="H354" s="847"/>
      <c r="I354" s="848"/>
      <c r="J354" s="853"/>
      <c r="K354" s="842">
        <f>+J355</f>
        <v>1318645.4799744368</v>
      </c>
      <c r="L354" s="842">
        <f>+J359</f>
        <v>188661.66</v>
      </c>
      <c r="M354" s="842">
        <f>+J360</f>
        <v>222567.60888981819</v>
      </c>
      <c r="N354" s="843" t="e">
        <f>SUMIF(#REF!,'8.Dgia'!A354,#REF!)+SUMIF(#REF!,'8.Dgia'!A354,#REF!)+SUMIF(#REF!,'8.Dgia'!A354,#REF!)+SUMIF(#REF!,'8.Dgia'!A354,#REF!)</f>
        <v>#REF!</v>
      </c>
      <c r="O354" s="844"/>
      <c r="P354" s="843" t="e">
        <f t="shared" si="16"/>
        <v>#REF!</v>
      </c>
    </row>
    <row r="355" spans="1:19" ht="15" customHeight="1">
      <c r="A355" s="657">
        <f>IF(B355="",MAX($A$8:A354)+0,MAX($A$8:A354)+1)</f>
        <v>38</v>
      </c>
      <c r="B355" s="835" t="str">
        <f>IF(C355="","",COUNTA($C$10:C356))</f>
        <v/>
      </c>
      <c r="C355" s="362"/>
      <c r="D355" s="845"/>
      <c r="E355" s="852" t="s">
        <v>2032</v>
      </c>
      <c r="F355" s="848" t="str">
        <f>VLOOKUP(E355,DICH!B:C,2,FALSE)</f>
        <v xml:space="preserve">  A - Material</v>
      </c>
      <c r="G355" s="846"/>
      <c r="H355" s="847"/>
      <c r="I355" s="848"/>
      <c r="J355" s="849">
        <f>SUM(J356:J358)</f>
        <v>1318645.4799744368</v>
      </c>
      <c r="K355" s="850"/>
      <c r="L355" s="850"/>
      <c r="M355" s="850"/>
      <c r="N355" s="843" t="e">
        <f>SUMIF(#REF!,'8.Dgia'!A355,#REF!)+SUMIF(#REF!,'8.Dgia'!A355,#REF!)+SUMIF(#REF!,'8.Dgia'!A355,#REF!)+SUMIF(#REF!,'8.Dgia'!A355,#REF!)</f>
        <v>#REF!</v>
      </c>
      <c r="O355" s="844"/>
      <c r="P355" s="843" t="e">
        <f t="shared" si="16"/>
        <v>#REF!</v>
      </c>
    </row>
    <row r="356" spans="1:19" ht="15" customHeight="1">
      <c r="A356" s="657">
        <f>IF(B356="",MAX($A$8:A355)+0,MAX($A$8:A355)+1)</f>
        <v>38</v>
      </c>
      <c r="B356" s="835" t="str">
        <f>IF(C356="","",COUNTA($C$10:C357))</f>
        <v/>
      </c>
      <c r="C356" s="851"/>
      <c r="D356" s="851" t="str">
        <f>+'10.PLV'!$C$53</f>
        <v>C3326</v>
      </c>
      <c r="E356" s="852" t="str">
        <f>+'10.PLV'!$D$53</f>
        <v>Vữa bê tông đá 1x2 C30 SN 14-17</v>
      </c>
      <c r="F356" s="848" t="str">
        <f>VLOOKUP(E356,DICH!B:C,2,FALSE)</f>
        <v>Concrete motar C30 stone 1x2 slump 14-17</v>
      </c>
      <c r="G356" s="362" t="s">
        <v>545</v>
      </c>
      <c r="H356" s="847">
        <v>1.1499999999999999</v>
      </c>
      <c r="I356" s="848">
        <f>VLOOKUP(E356,'11.gia '!B:I,8,FALSE)</f>
        <v>1130771.6239684112</v>
      </c>
      <c r="J356" s="853">
        <f>I356*H356</f>
        <v>1300387.3675636728</v>
      </c>
      <c r="N356" s="843" t="e">
        <f>SUMIF(#REF!,'8.Dgia'!A356,#REF!)+SUMIF(#REF!,'8.Dgia'!A356,#REF!)+SUMIF(#REF!,'8.Dgia'!A356,#REF!)+SUMIF(#REF!,'8.Dgia'!A356,#REF!)</f>
        <v>#REF!</v>
      </c>
      <c r="O356" s="844">
        <f>+$H$358</f>
        <v>1.2</v>
      </c>
      <c r="P356" s="843" t="e">
        <f t="shared" si="16"/>
        <v>#REF!</v>
      </c>
    </row>
    <row r="357" spans="1:19" ht="15" customHeight="1">
      <c r="A357" s="657">
        <f>IF(B357="",MAX($A$8:A356)+0,MAX($A$8:A356)+1)</f>
        <v>38</v>
      </c>
      <c r="B357" s="835" t="str">
        <f>IF(C357="","",COUNTA($C$10:C358))</f>
        <v/>
      </c>
      <c r="C357" s="362"/>
      <c r="D357" s="851"/>
      <c r="E357" s="852" t="s">
        <v>669</v>
      </c>
      <c r="F357" s="848" t="str">
        <f>VLOOKUP(E357,DICH!B:C,2,FALSE)</f>
        <v>pouring pipe D300</v>
      </c>
      <c r="G357" s="362" t="s">
        <v>543</v>
      </c>
      <c r="H357" s="847">
        <v>1.9E-2</v>
      </c>
      <c r="I357" s="848">
        <f>VLOOKUP(E357,'11.gia '!$B:$I,8,FALSE)</f>
        <v>138000</v>
      </c>
      <c r="J357" s="853">
        <f>I357*H357</f>
        <v>2622</v>
      </c>
      <c r="N357" s="843" t="e">
        <f>SUMIF(#REF!,'8.Dgia'!A357,#REF!)+SUMIF(#REF!,'8.Dgia'!A357,#REF!)+SUMIF(#REF!,'8.Dgia'!A357,#REF!)+SUMIF(#REF!,'8.Dgia'!A357,#REF!)</f>
        <v>#REF!</v>
      </c>
      <c r="O357" s="844">
        <f>+$H$358</f>
        <v>1.2</v>
      </c>
      <c r="P357" s="843" t="e">
        <f t="shared" si="16"/>
        <v>#REF!</v>
      </c>
    </row>
    <row r="358" spans="1:19" ht="15" customHeight="1">
      <c r="A358" s="657">
        <f>IF(B358="",MAX($A$8:A357)+0,MAX($A$8:A357)+1)</f>
        <v>38</v>
      </c>
      <c r="B358" s="835" t="str">
        <f>IF(C358="","",COUNTA($C$10:C359))</f>
        <v/>
      </c>
      <c r="C358" s="362"/>
      <c r="D358" s="851"/>
      <c r="E358" s="852" t="s">
        <v>555</v>
      </c>
      <c r="F358" s="848" t="str">
        <f>VLOOKUP(E358,DICH!B:C,2,FALSE)</f>
        <v>Other material</v>
      </c>
      <c r="G358" s="362" t="s">
        <v>554</v>
      </c>
      <c r="H358" s="847">
        <v>1.2</v>
      </c>
      <c r="I358" s="848">
        <f>SUM(J356:J357)</f>
        <v>1303009.3675636728</v>
      </c>
      <c r="J358" s="853">
        <f>I358*H358%</f>
        <v>15636.112410764074</v>
      </c>
      <c r="N358" s="843" t="e">
        <f>SUMIF(#REF!,'8.Dgia'!A358,#REF!)+SUMIF(#REF!,'8.Dgia'!A358,#REF!)+SUMIF(#REF!,'8.Dgia'!A358,#REF!)+SUMIF(#REF!,'8.Dgia'!A358,#REF!)</f>
        <v>#REF!</v>
      </c>
      <c r="O358" s="844"/>
      <c r="P358" s="843" t="e">
        <f t="shared" si="16"/>
        <v>#REF!</v>
      </c>
    </row>
    <row r="359" spans="1:19" ht="15" customHeight="1">
      <c r="A359" s="657">
        <f>IF(B359="",MAX($A$8:A358)+0,MAX($A$8:A358)+1)</f>
        <v>38</v>
      </c>
      <c r="B359" s="835" t="str">
        <f>IF(C359="","",COUNTA($C$10:C360))</f>
        <v/>
      </c>
      <c r="C359" s="362"/>
      <c r="D359" s="845"/>
      <c r="E359" s="852" t="s">
        <v>2037</v>
      </c>
      <c r="F359" s="848" t="str">
        <f>VLOOKUP(E359,DICH!B:C,2,FALSE)</f>
        <v xml:space="preserve">  B - Labour 3.5/7</v>
      </c>
      <c r="G359" s="362" t="s">
        <v>4899</v>
      </c>
      <c r="H359" s="847">
        <v>0.93</v>
      </c>
      <c r="I359" s="848">
        <f>VLOOKUP(E359,'16.NC'!$C$11:$F$22,4,FALSE)</f>
        <v>202862</v>
      </c>
      <c r="J359" s="849">
        <f>I359*H359</f>
        <v>188661.66</v>
      </c>
      <c r="K359" s="850"/>
      <c r="L359" s="850"/>
      <c r="M359" s="850"/>
      <c r="N359" s="843" t="e">
        <f>SUMIF(#REF!,'8.Dgia'!A359,#REF!)+SUMIF(#REF!,'8.Dgia'!A359,#REF!)+SUMIF(#REF!,'8.Dgia'!A359,#REF!)+SUMIF(#REF!,'8.Dgia'!A359,#REF!)</f>
        <v>#REF!</v>
      </c>
      <c r="O359" s="844"/>
      <c r="P359" s="843" t="e">
        <f t="shared" si="16"/>
        <v>#REF!</v>
      </c>
      <c r="R359" s="658">
        <v>1</v>
      </c>
    </row>
    <row r="360" spans="1:19" ht="15" customHeight="1">
      <c r="A360" s="657">
        <f>IF(B360="",MAX($A$8:A359)+0,MAX($A$8:A359)+1)</f>
        <v>38</v>
      </c>
      <c r="B360" s="835" t="str">
        <f>IF(C360="","",COUNTA($C$10:C361))</f>
        <v/>
      </c>
      <c r="C360" s="362"/>
      <c r="D360" s="845"/>
      <c r="E360" s="852" t="s">
        <v>2033</v>
      </c>
      <c r="F360" s="848" t="str">
        <f>VLOOKUP(E360,DICH!B:C,2,FALSE)</f>
        <v xml:space="preserve">  C - Machine</v>
      </c>
      <c r="G360" s="846"/>
      <c r="H360" s="847"/>
      <c r="I360" s="848"/>
      <c r="J360" s="849">
        <f>SUM(J361:J363)</f>
        <v>222567.60888981819</v>
      </c>
      <c r="K360" s="850"/>
      <c r="L360" s="850"/>
      <c r="M360" s="850"/>
      <c r="N360" s="843" t="e">
        <f>SUMIF(#REF!,'8.Dgia'!A360,#REF!)+SUMIF(#REF!,'8.Dgia'!A360,#REF!)+SUMIF(#REF!,'8.Dgia'!A360,#REF!)+SUMIF(#REF!,'8.Dgia'!A360,#REF!)</f>
        <v>#REF!</v>
      </c>
      <c r="O360" s="844"/>
      <c r="P360" s="843" t="e">
        <f t="shared" si="16"/>
        <v>#REF!</v>
      </c>
    </row>
    <row r="361" spans="1:19" ht="15" customHeight="1">
      <c r="A361" s="657">
        <f>IF(B361="",MAX($A$8:A360)+0,MAX($A$8:A360)+1)</f>
        <v>38</v>
      </c>
      <c r="B361" s="835" t="str">
        <f>IF(C361="","",COUNTA($C$10:C362))</f>
        <v/>
      </c>
      <c r="C361" s="362"/>
      <c r="D361" s="851"/>
      <c r="E361" s="852" t="s">
        <v>288</v>
      </c>
      <c r="F361" s="848" t="str">
        <f>VLOOKUP(E361,'9.may'!E:F,2,FALSE)</f>
        <v>caterpillar crane 25T</v>
      </c>
      <c r="G361" s="362" t="s">
        <v>4902</v>
      </c>
      <c r="H361" s="847">
        <v>3.5000000000000003E-2</v>
      </c>
      <c r="I361" s="848">
        <f>VLOOKUP(E361,'9.may'!E:W,12,FALSE)</f>
        <v>2787996.6736363638</v>
      </c>
      <c r="J361" s="853">
        <f>I361*H361</f>
        <v>97579.883577272747</v>
      </c>
      <c r="N361" s="843" t="e">
        <f>SUMIF(#REF!,'8.Dgia'!A361,#REF!)+SUMIF(#REF!,'8.Dgia'!A361,#REF!)+SUMIF(#REF!,'8.Dgia'!A361,#REF!)+SUMIF(#REF!,'8.Dgia'!A361,#REF!)</f>
        <v>#REF!</v>
      </c>
      <c r="O361" s="844">
        <f>+$H$363</f>
        <v>2</v>
      </c>
      <c r="P361" s="843" t="e">
        <f t="shared" si="16"/>
        <v>#REF!</v>
      </c>
    </row>
    <row r="362" spans="1:19" ht="15" customHeight="1">
      <c r="A362" s="657">
        <f>IF(B362="",MAX($A$8:A361)+0,MAX($A$8:A361)+1)</f>
        <v>38</v>
      </c>
      <c r="B362" s="835" t="str">
        <f>IF(C362="","",COUNTA($C$10:C363))</f>
        <v/>
      </c>
      <c r="C362" s="362"/>
      <c r="D362" s="851"/>
      <c r="E362" s="852" t="s">
        <v>1182</v>
      </c>
      <c r="F362" s="848" t="str">
        <f>VLOOKUP(E362,'9.may'!E:F,2,FALSE)</f>
        <v>concrete pump truck 50m3/h</v>
      </c>
      <c r="G362" s="362" t="s">
        <v>4902</v>
      </c>
      <c r="H362" s="847">
        <v>3.5000000000000003E-2</v>
      </c>
      <c r="I362" s="848">
        <f>VLOOKUP(E362,'9.may'!E:W,12,FALSE)</f>
        <v>3446390.13</v>
      </c>
      <c r="J362" s="853">
        <f>I362*H362</f>
        <v>120623.65455000001</v>
      </c>
      <c r="N362" s="843" t="e">
        <f>SUMIF(#REF!,'8.Dgia'!A362,#REF!)+SUMIF(#REF!,'8.Dgia'!A362,#REF!)+SUMIF(#REF!,'8.Dgia'!A362,#REF!)+SUMIF(#REF!,'8.Dgia'!A362,#REF!)</f>
        <v>#REF!</v>
      </c>
      <c r="O362" s="844">
        <f>+$H$363</f>
        <v>2</v>
      </c>
      <c r="P362" s="843" t="e">
        <f t="shared" si="16"/>
        <v>#REF!</v>
      </c>
    </row>
    <row r="363" spans="1:19" ht="15" customHeight="1">
      <c r="A363" s="657">
        <f>IF(B363="",MAX($A$8:A362)+0,MAX($A$8:A362)+1)</f>
        <v>38</v>
      </c>
      <c r="B363" s="835" t="str">
        <f>IF(C363="","",COUNTA($C$10:C364))</f>
        <v/>
      </c>
      <c r="C363" s="362"/>
      <c r="D363" s="851"/>
      <c r="E363" s="852" t="s">
        <v>553</v>
      </c>
      <c r="F363" s="848" t="str">
        <f>VLOOKUP(E363,DICH!B:C,2,FALSE)</f>
        <v>Other machine</v>
      </c>
      <c r="G363" s="362" t="s">
        <v>554</v>
      </c>
      <c r="H363" s="847">
        <v>2</v>
      </c>
      <c r="I363" s="848">
        <f>SUM(J361:J362)</f>
        <v>218203.53812727274</v>
      </c>
      <c r="J363" s="853">
        <f>I363*H363%</f>
        <v>4364.0707625454552</v>
      </c>
      <c r="N363" s="843" t="e">
        <f>SUMIF(#REF!,'8.Dgia'!A363,#REF!)+SUMIF(#REF!,'8.Dgia'!A363,#REF!)+SUMIF(#REF!,'8.Dgia'!A363,#REF!)+SUMIF(#REF!,'8.Dgia'!A363,#REF!)</f>
        <v>#REF!</v>
      </c>
      <c r="O363" s="844"/>
      <c r="P363" s="843" t="e">
        <f t="shared" si="16"/>
        <v>#REF!</v>
      </c>
    </row>
    <row r="364" spans="1:19" ht="15" customHeight="1">
      <c r="A364" s="657">
        <f>IF(B364="",MAX($A$8:A363)+0,MAX($A$8:A363)+1)</f>
        <v>39</v>
      </c>
      <c r="B364" s="835">
        <f>IF(C364="","",COUNTA($C$10:C365))</f>
        <v>39</v>
      </c>
      <c r="C364" s="835">
        <f>IF(D364="","",1776)</f>
        <v>1776</v>
      </c>
      <c r="D364" s="851" t="s">
        <v>503</v>
      </c>
      <c r="E364" s="855" t="s">
        <v>4050</v>
      </c>
      <c r="F364" s="1049" t="str">
        <f>VLOOKUP(E364,DICH!B:C,2,FALSE)</f>
        <v>Reinforcement D&lt;=18 of bored pile (land)</v>
      </c>
      <c r="G364" s="856" t="s">
        <v>4644</v>
      </c>
      <c r="H364" s="847"/>
      <c r="I364" s="848"/>
      <c r="J364" s="853"/>
      <c r="K364" s="842">
        <f>+J365</f>
        <v>17535945.975039274</v>
      </c>
      <c r="L364" s="842">
        <f>+J370</f>
        <v>2692802.1</v>
      </c>
      <c r="M364" s="842">
        <f>+J371</f>
        <v>794941.4569227274</v>
      </c>
      <c r="N364" s="843" t="e">
        <f>SUMIF(#REF!,'8.Dgia'!A364,#REF!)+SUMIF(#REF!,'8.Dgia'!A364,#REF!)+SUMIF(#REF!,'8.Dgia'!A364,#REF!)+SUMIF(#REF!,'8.Dgia'!A364,#REF!)</f>
        <v>#REF!</v>
      </c>
      <c r="O364" s="844"/>
      <c r="P364" s="843" t="e">
        <f t="shared" si="16"/>
        <v>#REF!</v>
      </c>
    </row>
    <row r="365" spans="1:19" s="658" customFormat="1" ht="15" customHeight="1">
      <c r="A365" s="657">
        <f>IF(B365="",MAX($A$8:A364)+0,MAX($A$8:A364)+1)</f>
        <v>39</v>
      </c>
      <c r="B365" s="835" t="str">
        <f>IF(C365="","",COUNTA($C$10:C366))</f>
        <v/>
      </c>
      <c r="C365" s="362"/>
      <c r="D365" s="845"/>
      <c r="E365" s="852" t="s">
        <v>2032</v>
      </c>
      <c r="F365" s="848" t="str">
        <f>VLOOKUP(E365,DICH!B:C,2,FALSE)</f>
        <v xml:space="preserve">  A - Material</v>
      </c>
      <c r="G365" s="846"/>
      <c r="H365" s="847"/>
      <c r="I365" s="848"/>
      <c r="J365" s="849">
        <f>SUM(J366:J369)</f>
        <v>17535945.975039274</v>
      </c>
      <c r="K365" s="850"/>
      <c r="L365" s="850"/>
      <c r="M365" s="850"/>
      <c r="N365" s="843" t="e">
        <f>SUMIF(#REF!,'8.Dgia'!A365,#REF!)+SUMIF(#REF!,'8.Dgia'!A365,#REF!)+SUMIF(#REF!,'8.Dgia'!A365,#REF!)+SUMIF(#REF!,'8.Dgia'!A365,#REF!)</f>
        <v>#REF!</v>
      </c>
      <c r="O365" s="844"/>
      <c r="P365" s="843" t="e">
        <f t="shared" si="16"/>
        <v>#REF!</v>
      </c>
      <c r="S365" s="658" t="s">
        <v>598</v>
      </c>
    </row>
    <row r="366" spans="1:19" ht="15" customHeight="1">
      <c r="A366" s="657">
        <f>IF(B366="",MAX($A$8:A365)+0,MAX($A$8:A365)+1)</f>
        <v>39</v>
      </c>
      <c r="B366" s="835" t="str">
        <f>IF(C366="","",COUNTA($C$10:C367))</f>
        <v/>
      </c>
      <c r="C366" s="362"/>
      <c r="D366" s="851"/>
      <c r="E366" s="852" t="s">
        <v>671</v>
      </c>
      <c r="F366" s="848" t="str">
        <f>VLOOKUP(E366,DICH!B:C,2,FALSE)</f>
        <v>steel bar D&lt;=18</v>
      </c>
      <c r="G366" s="362" t="s">
        <v>558</v>
      </c>
      <c r="H366" s="847">
        <v>1020</v>
      </c>
      <c r="I366" s="848">
        <f>VLOOKUP(E366,'11.gia '!$B:$I,8,FALSE)</f>
        <v>16604.075560000001</v>
      </c>
      <c r="J366" s="853">
        <f>I366*H366</f>
        <v>16936157.071200002</v>
      </c>
      <c r="N366" s="843" t="e">
        <f>SUMIF(#REF!,'8.Dgia'!A366,#REF!)+SUMIF(#REF!,'8.Dgia'!A366,#REF!)+SUMIF(#REF!,'8.Dgia'!A366,#REF!)+SUMIF(#REF!,'8.Dgia'!A366,#REF!)</f>
        <v>#REF!</v>
      </c>
      <c r="O366" s="844">
        <f>+$H$369</f>
        <v>1</v>
      </c>
      <c r="P366" s="843" t="e">
        <f t="shared" si="16"/>
        <v>#REF!</v>
      </c>
      <c r="S366" s="657" t="s">
        <v>526</v>
      </c>
    </row>
    <row r="367" spans="1:19" ht="15" customHeight="1">
      <c r="A367" s="657">
        <f>IF(B367="",MAX($A$8:A366)+0,MAX($A$8:A366)+1)</f>
        <v>39</v>
      </c>
      <c r="B367" s="835" t="str">
        <f>IF(C367="","",COUNTA($C$10:C368))</f>
        <v/>
      </c>
      <c r="C367" s="362"/>
      <c r="D367" s="851"/>
      <c r="E367" s="852" t="s">
        <v>459</v>
      </c>
      <c r="F367" s="848" t="str">
        <f>VLOOKUP(E367,DICH!B:C,2,FALSE)</f>
        <v>Steel ware</v>
      </c>
      <c r="G367" s="362" t="s">
        <v>558</v>
      </c>
      <c r="H367" s="847">
        <v>14.28</v>
      </c>
      <c r="I367" s="848">
        <f>VLOOKUP(E367,'11.gia '!$B:$I,8,FALSE)</f>
        <v>17143</v>
      </c>
      <c r="J367" s="853">
        <f>I367*H367</f>
        <v>244802.03999999998</v>
      </c>
      <c r="N367" s="843" t="e">
        <f>SUMIF(#REF!,'8.Dgia'!A367,#REF!)+SUMIF(#REF!,'8.Dgia'!A367,#REF!)+SUMIF(#REF!,'8.Dgia'!A367,#REF!)+SUMIF(#REF!,'8.Dgia'!A367,#REF!)</f>
        <v>#REF!</v>
      </c>
      <c r="O367" s="844">
        <f>+$H$369</f>
        <v>1</v>
      </c>
      <c r="P367" s="843" t="e">
        <f t="shared" si="16"/>
        <v>#REF!</v>
      </c>
      <c r="S367" s="657" t="s">
        <v>526</v>
      </c>
    </row>
    <row r="368" spans="1:19" ht="15" customHeight="1">
      <c r="A368" s="657">
        <f>IF(B368="",MAX($A$8:A367)+0,MAX($A$8:A367)+1)</f>
        <v>39</v>
      </c>
      <c r="B368" s="835" t="str">
        <f>IF(C368="","",COUNTA($C$10:C369))</f>
        <v/>
      </c>
      <c r="C368" s="362"/>
      <c r="D368" s="851"/>
      <c r="E368" s="852" t="s">
        <v>559</v>
      </c>
      <c r="F368" s="848" t="str">
        <f>VLOOKUP(E368,DICH!B:C,2,FALSE)</f>
        <v>welding electrode</v>
      </c>
      <c r="G368" s="362" t="s">
        <v>558</v>
      </c>
      <c r="H368" s="847">
        <v>9.5</v>
      </c>
      <c r="I368" s="848">
        <f>VLOOKUP(E368,'11.gia '!$B:$I,8,FALSE)</f>
        <v>19090.909090909088</v>
      </c>
      <c r="J368" s="853">
        <f>I368*H368</f>
        <v>181363.63636363635</v>
      </c>
      <c r="N368" s="843" t="e">
        <f>SUMIF(#REF!,'8.Dgia'!A368,#REF!)+SUMIF(#REF!,'8.Dgia'!A368,#REF!)+SUMIF(#REF!,'8.Dgia'!A368,#REF!)+SUMIF(#REF!,'8.Dgia'!A368,#REF!)</f>
        <v>#REF!</v>
      </c>
      <c r="O368" s="844">
        <f>+$H$369</f>
        <v>1</v>
      </c>
      <c r="P368" s="843" t="e">
        <f t="shared" si="16"/>
        <v>#REF!</v>
      </c>
      <c r="S368" s="657" t="s">
        <v>526</v>
      </c>
    </row>
    <row r="369" spans="1:19" ht="15" customHeight="1">
      <c r="A369" s="657">
        <f>IF(B369="",MAX($A$8:A368)+0,MAX($A$8:A368)+1)</f>
        <v>39</v>
      </c>
      <c r="B369" s="835" t="str">
        <f>IF(C369="","",COUNTA($C$10:C370))</f>
        <v/>
      </c>
      <c r="C369" s="362"/>
      <c r="D369" s="851"/>
      <c r="E369" s="852" t="s">
        <v>555</v>
      </c>
      <c r="F369" s="848" t="str">
        <f>VLOOKUP(E369,DICH!B:C,2,FALSE)</f>
        <v>Other material</v>
      </c>
      <c r="G369" s="362" t="s">
        <v>554</v>
      </c>
      <c r="H369" s="847">
        <v>1</v>
      </c>
      <c r="I369" s="848">
        <f>SUM(J366:J368)</f>
        <v>17362322.747563638</v>
      </c>
      <c r="J369" s="853">
        <f>I369*H369%</f>
        <v>173623.22747563638</v>
      </c>
      <c r="N369" s="843" t="e">
        <f>SUMIF(#REF!,'8.Dgia'!A369,#REF!)+SUMIF(#REF!,'8.Dgia'!A369,#REF!)+SUMIF(#REF!,'8.Dgia'!A369,#REF!)+SUMIF(#REF!,'8.Dgia'!A369,#REF!)</f>
        <v>#REF!</v>
      </c>
      <c r="O369" s="844"/>
      <c r="P369" s="843" t="e">
        <f t="shared" si="16"/>
        <v>#REF!</v>
      </c>
    </row>
    <row r="370" spans="1:19" s="658" customFormat="1" ht="15" customHeight="1">
      <c r="A370" s="657">
        <f>IF(B370="",MAX($A$8:A369)+0,MAX($A$8:A369)+1)</f>
        <v>39</v>
      </c>
      <c r="B370" s="835" t="str">
        <f>IF(C370="","",COUNTA($C$10:C371))</f>
        <v/>
      </c>
      <c r="C370" s="362"/>
      <c r="D370" s="845"/>
      <c r="E370" s="852" t="s">
        <v>2039</v>
      </c>
      <c r="F370" s="848" t="str">
        <f>VLOOKUP(E370,DICH!B:C,2,FALSE)</f>
        <v xml:space="preserve">  B - Labour 4.0/7</v>
      </c>
      <c r="G370" s="362" t="s">
        <v>4899</v>
      </c>
      <c r="H370" s="847">
        <v>12.3</v>
      </c>
      <c r="I370" s="848">
        <f>VLOOKUP(E370,'16.NC'!$C$11:$F$22,4,FALSE)</f>
        <v>218927</v>
      </c>
      <c r="J370" s="849">
        <f>I370*H370</f>
        <v>2692802.1</v>
      </c>
      <c r="K370" s="850"/>
      <c r="L370" s="850"/>
      <c r="M370" s="850"/>
      <c r="N370" s="843" t="e">
        <f>SUMIF(#REF!,'8.Dgia'!A370,#REF!)+SUMIF(#REF!,'8.Dgia'!A370,#REF!)+SUMIF(#REF!,'8.Dgia'!A370,#REF!)+SUMIF(#REF!,'8.Dgia'!A370,#REF!)</f>
        <v>#REF!</v>
      </c>
      <c r="O370" s="844"/>
      <c r="P370" s="843" t="e">
        <f t="shared" si="16"/>
        <v>#REF!</v>
      </c>
      <c r="R370" s="658">
        <v>1</v>
      </c>
      <c r="S370" s="658" t="s">
        <v>527</v>
      </c>
    </row>
    <row r="371" spans="1:19" s="658" customFormat="1" ht="15" customHeight="1">
      <c r="A371" s="657">
        <f>IF(B371="",MAX($A$8:A370)+0,MAX($A$8:A370)+1)</f>
        <v>39</v>
      </c>
      <c r="B371" s="835" t="str">
        <f>IF(C371="","",COUNTA($C$10:C372))</f>
        <v/>
      </c>
      <c r="C371" s="362"/>
      <c r="D371" s="845"/>
      <c r="E371" s="852" t="s">
        <v>2033</v>
      </c>
      <c r="F371" s="848" t="str">
        <f>VLOOKUP(E371,DICH!B:C,2,FALSE)</f>
        <v xml:space="preserve">  C - Machine</v>
      </c>
      <c r="G371" s="846"/>
      <c r="H371" s="847"/>
      <c r="I371" s="848"/>
      <c r="J371" s="849">
        <f>SUM(J372:J374)</f>
        <v>794941.4569227274</v>
      </c>
      <c r="K371" s="850"/>
      <c r="L371" s="850"/>
      <c r="M371" s="850"/>
      <c r="N371" s="843" t="e">
        <f>SUMIF(#REF!,'8.Dgia'!A371,#REF!)+SUMIF(#REF!,'8.Dgia'!A371,#REF!)+SUMIF(#REF!,'8.Dgia'!A371,#REF!)+SUMIF(#REF!,'8.Dgia'!A371,#REF!)</f>
        <v>#REF!</v>
      </c>
      <c r="O371" s="844"/>
      <c r="P371" s="843" t="e">
        <f t="shared" si="16"/>
        <v>#REF!</v>
      </c>
    </row>
    <row r="372" spans="1:19" ht="15" customHeight="1">
      <c r="A372" s="657">
        <f>IF(B372="",MAX($A$8:A371)+0,MAX($A$8:A371)+1)</f>
        <v>39</v>
      </c>
      <c r="B372" s="835" t="str">
        <f>IF(C372="","",COUNTA($C$10:C373))</f>
        <v/>
      </c>
      <c r="C372" s="362"/>
      <c r="D372" s="851"/>
      <c r="E372" s="852" t="s">
        <v>560</v>
      </c>
      <c r="F372" s="848" t="str">
        <f>VLOOKUP(E372,'9.may'!E:F,2,FALSE)</f>
        <v>welding machine 23kW</v>
      </c>
      <c r="G372" s="362" t="s">
        <v>4902</v>
      </c>
      <c r="H372" s="847">
        <v>2.37</v>
      </c>
      <c r="I372" s="848">
        <f>VLOOKUP(E372,'9.may'!E:W,12,FALSE)</f>
        <v>171649.155</v>
      </c>
      <c r="J372" s="853">
        <f>I372*H372</f>
        <v>406808.49735000002</v>
      </c>
      <c r="N372" s="843" t="e">
        <f>SUMIF(#REF!,'8.Dgia'!A372,#REF!)+SUMIF(#REF!,'8.Dgia'!A372,#REF!)+SUMIF(#REF!,'8.Dgia'!A372,#REF!)+SUMIF(#REF!,'8.Dgia'!A372,#REF!)</f>
        <v>#REF!</v>
      </c>
      <c r="O372" s="844"/>
      <c r="P372" s="843" t="e">
        <f t="shared" si="16"/>
        <v>#REF!</v>
      </c>
    </row>
    <row r="373" spans="1:19" ht="15" customHeight="1">
      <c r="A373" s="657">
        <f>IF(B373="",MAX($A$8:A372)+0,MAX($A$8:A372)+1)</f>
        <v>39</v>
      </c>
      <c r="B373" s="835" t="str">
        <f>IF(C373="","",COUNTA($C$10:C374))</f>
        <v/>
      </c>
      <c r="C373" s="362"/>
      <c r="D373" s="851"/>
      <c r="E373" s="852" t="s">
        <v>1424</v>
      </c>
      <c r="F373" s="848" t="str">
        <f>VLOOKUP(E373,'9.may'!E:F,2,FALSE)</f>
        <v>bender cutter 5Kw</v>
      </c>
      <c r="G373" s="362" t="s">
        <v>4902</v>
      </c>
      <c r="H373" s="847">
        <v>0.32</v>
      </c>
      <c r="I373" s="848">
        <f>VLOOKUP(E373,'9.may'!E:W,12,FALSE)</f>
        <v>80291.850000000006</v>
      </c>
      <c r="J373" s="853">
        <f>I373*H373</f>
        <v>25693.392000000003</v>
      </c>
      <c r="N373" s="843" t="e">
        <f>SUMIF(#REF!,'8.Dgia'!A373,#REF!)+SUMIF(#REF!,'8.Dgia'!A373,#REF!)+SUMIF(#REF!,'8.Dgia'!A373,#REF!)+SUMIF(#REF!,'8.Dgia'!A373,#REF!)</f>
        <v>#REF!</v>
      </c>
      <c r="O373" s="844"/>
      <c r="P373" s="843" t="e">
        <f t="shared" si="16"/>
        <v>#REF!</v>
      </c>
    </row>
    <row r="374" spans="1:19" ht="15" customHeight="1">
      <c r="A374" s="657">
        <f>IF(B374="",MAX($A$8:A373)+0,MAX($A$8:A373)+1)</f>
        <v>39</v>
      </c>
      <c r="B374" s="835" t="str">
        <f>IF(C374="","",COUNTA($C$10:C375))</f>
        <v/>
      </c>
      <c r="C374" s="362"/>
      <c r="D374" s="851"/>
      <c r="E374" s="1225" t="s">
        <v>288</v>
      </c>
      <c r="F374" s="848" t="str">
        <f>VLOOKUP(E374,'9.may'!E:F,2,FALSE)</f>
        <v>caterpillar crane 25T</v>
      </c>
      <c r="G374" s="362" t="s">
        <v>4902</v>
      </c>
      <c r="H374" s="847">
        <v>0.13</v>
      </c>
      <c r="I374" s="848">
        <f>VLOOKUP(E374,'9.may'!E:W,12,FALSE)</f>
        <v>2787996.6736363638</v>
      </c>
      <c r="J374" s="853">
        <f>I374*H374</f>
        <v>362439.56757272733</v>
      </c>
      <c r="N374" s="843" t="e">
        <f>SUMIF(#REF!,'8.Dgia'!A374,#REF!)+SUMIF(#REF!,'8.Dgia'!A374,#REF!)+SUMIF(#REF!,'8.Dgia'!A374,#REF!)+SUMIF(#REF!,'8.Dgia'!A374,#REF!)</f>
        <v>#REF!</v>
      </c>
      <c r="O374" s="844"/>
      <c r="P374" s="843" t="e">
        <f t="shared" si="16"/>
        <v>#REF!</v>
      </c>
    </row>
    <row r="375" spans="1:19" ht="15" customHeight="1">
      <c r="A375" s="657">
        <f>IF(B375="",MAX($A$8:A374)+0,MAX($A$8:A374)+1)</f>
        <v>40</v>
      </c>
      <c r="B375" s="835">
        <f>IF(C375="","",COUNTA($C$10:C376))</f>
        <v>40</v>
      </c>
      <c r="C375" s="835">
        <f>IF(D375="","",1776)</f>
        <v>1776</v>
      </c>
      <c r="D375" s="851" t="s">
        <v>2225</v>
      </c>
      <c r="E375" s="855" t="s">
        <v>4051</v>
      </c>
      <c r="F375" s="1049" t="str">
        <f>VLOOKUP(E375,DICH!B:C,2,FALSE)</f>
        <v>Reinforcement D&gt;18 of bored pile (land)</v>
      </c>
      <c r="G375" s="856" t="s">
        <v>4644</v>
      </c>
      <c r="H375" s="847"/>
      <c r="I375" s="848"/>
      <c r="J375" s="853"/>
      <c r="K375" s="842">
        <f>+J376</f>
        <v>17453998.247766547</v>
      </c>
      <c r="L375" s="842">
        <f>+J381</f>
        <v>2364411.6</v>
      </c>
      <c r="M375" s="842">
        <f>+J382</f>
        <v>572266.68988636369</v>
      </c>
      <c r="N375" s="843" t="e">
        <f>SUMIF(#REF!,'8.Dgia'!A375,#REF!)+SUMIF(#REF!,'8.Dgia'!A375,#REF!)+SUMIF(#REF!,'8.Dgia'!A375,#REF!)+SUMIF(#REF!,'8.Dgia'!A375,#REF!)</f>
        <v>#REF!</v>
      </c>
      <c r="O375" s="844"/>
      <c r="P375" s="843" t="e">
        <f t="shared" si="16"/>
        <v>#REF!</v>
      </c>
    </row>
    <row r="376" spans="1:19" s="658" customFormat="1" ht="15" customHeight="1">
      <c r="A376" s="657">
        <f>IF(B376="",MAX($A$8:A375)+0,MAX($A$8:A375)+1)</f>
        <v>40</v>
      </c>
      <c r="B376" s="835" t="str">
        <f>IF(C376="","",COUNTA($C$10:C377))</f>
        <v/>
      </c>
      <c r="C376" s="362"/>
      <c r="D376" s="704"/>
      <c r="E376" s="819" t="s">
        <v>2032</v>
      </c>
      <c r="F376" s="848" t="str">
        <f>VLOOKUP(E376,DICH!B:C,2,FALSE)</f>
        <v xml:space="preserve">  A - Material</v>
      </c>
      <c r="G376" s="704"/>
      <c r="H376" s="239"/>
      <c r="I376" s="848"/>
      <c r="J376" s="849">
        <f>SUM(J377:J380)</f>
        <v>17453998.247766547</v>
      </c>
      <c r="K376" s="850"/>
      <c r="L376" s="850"/>
      <c r="M376" s="850"/>
      <c r="N376" s="843" t="e">
        <f>SUMIF(#REF!,'8.Dgia'!A376,#REF!)+SUMIF(#REF!,'8.Dgia'!A376,#REF!)+SUMIF(#REF!,'8.Dgia'!A376,#REF!)+SUMIF(#REF!,'8.Dgia'!A376,#REF!)</f>
        <v>#REF!</v>
      </c>
      <c r="O376" s="844"/>
      <c r="P376" s="843" t="e">
        <f t="shared" si="16"/>
        <v>#REF!</v>
      </c>
      <c r="S376" s="658" t="s">
        <v>598</v>
      </c>
    </row>
    <row r="377" spans="1:19" ht="15" customHeight="1">
      <c r="A377" s="657">
        <f>IF(B377="",MAX($A$8:A376)+0,MAX($A$8:A376)+1)</f>
        <v>40</v>
      </c>
      <c r="B377" s="835" t="str">
        <f>IF(C377="","",COUNTA($C$10:C378))</f>
        <v/>
      </c>
      <c r="C377" s="362"/>
      <c r="D377" s="704"/>
      <c r="E377" s="819" t="s">
        <v>664</v>
      </c>
      <c r="F377" s="848" t="str">
        <f>VLOOKUP(E377,DICH!B:C,2,FALSE)</f>
        <v>steel bar D&gt;18</v>
      </c>
      <c r="G377" s="704" t="s">
        <v>558</v>
      </c>
      <c r="H377" s="239">
        <v>1020</v>
      </c>
      <c r="I377" s="848">
        <f>VLOOKUP(E377,'11.gia '!$B:$I,8,FALSE)</f>
        <v>16604.075560000001</v>
      </c>
      <c r="J377" s="853">
        <f>I377*H377</f>
        <v>16936157.071200002</v>
      </c>
      <c r="N377" s="843" t="e">
        <f>SUMIF(#REF!,'8.Dgia'!A377,#REF!)+SUMIF(#REF!,'8.Dgia'!A377,#REF!)+SUMIF(#REF!,'8.Dgia'!A377,#REF!)+SUMIF(#REF!,'8.Dgia'!A377,#REF!)</f>
        <v>#REF!</v>
      </c>
      <c r="O377" s="844">
        <f>+$H$369</f>
        <v>1</v>
      </c>
      <c r="P377" s="843" t="e">
        <f t="shared" si="16"/>
        <v>#REF!</v>
      </c>
      <c r="S377" s="657" t="s">
        <v>526</v>
      </c>
    </row>
    <row r="378" spans="1:19" ht="15" customHeight="1">
      <c r="A378" s="657">
        <f>IF(B378="",MAX($A$8:A377)+0,MAX($A$8:A377)+1)</f>
        <v>40</v>
      </c>
      <c r="B378" s="835" t="str">
        <f>IF(C378="","",COUNTA($C$10:C379))</f>
        <v/>
      </c>
      <c r="C378" s="362"/>
      <c r="D378" s="704"/>
      <c r="E378" s="819" t="s">
        <v>459</v>
      </c>
      <c r="F378" s="848" t="str">
        <f>VLOOKUP(E378,DICH!B:C,2,FALSE)</f>
        <v>Steel ware</v>
      </c>
      <c r="G378" s="704" t="s">
        <v>558</v>
      </c>
      <c r="H378" s="239">
        <v>14.28</v>
      </c>
      <c r="I378" s="848">
        <f>VLOOKUP(E378,'11.gia '!$B:$I,8,FALSE)</f>
        <v>17143</v>
      </c>
      <c r="J378" s="853">
        <f>I378*H378</f>
        <v>244802.03999999998</v>
      </c>
      <c r="N378" s="843" t="e">
        <f>SUMIF(#REF!,'8.Dgia'!A378,#REF!)+SUMIF(#REF!,'8.Dgia'!A378,#REF!)+SUMIF(#REF!,'8.Dgia'!A378,#REF!)+SUMIF(#REF!,'8.Dgia'!A378,#REF!)</f>
        <v>#REF!</v>
      </c>
      <c r="O378" s="844">
        <f>+$H$369</f>
        <v>1</v>
      </c>
      <c r="P378" s="843" t="e">
        <f t="shared" si="16"/>
        <v>#REF!</v>
      </c>
      <c r="S378" s="657" t="s">
        <v>526</v>
      </c>
    </row>
    <row r="379" spans="1:19" ht="15" customHeight="1">
      <c r="A379" s="657">
        <f>IF(B379="",MAX($A$8:A378)+0,MAX($A$8:A378)+1)</f>
        <v>40</v>
      </c>
      <c r="B379" s="835" t="str">
        <f>IF(C379="","",COUNTA($C$10:C380))</f>
        <v/>
      </c>
      <c r="C379" s="362"/>
      <c r="D379" s="704" t="s">
        <v>5664</v>
      </c>
      <c r="E379" s="819" t="s">
        <v>559</v>
      </c>
      <c r="F379" s="848" t="str">
        <f>VLOOKUP(E379,DICH!B:C,2,FALSE)</f>
        <v>welding electrode</v>
      </c>
      <c r="G379" s="704" t="s">
        <v>558</v>
      </c>
      <c r="H379" s="239">
        <f>10.5*0.5</f>
        <v>5.25</v>
      </c>
      <c r="I379" s="848">
        <f>VLOOKUP(E379,'11.gia '!$B:$I,8,FALSE)</f>
        <v>19090.909090909088</v>
      </c>
      <c r="J379" s="853">
        <f>I379*H379</f>
        <v>100227.27272727271</v>
      </c>
      <c r="N379" s="843" t="e">
        <f>SUMIF(#REF!,'8.Dgia'!A379,#REF!)+SUMIF(#REF!,'8.Dgia'!A379,#REF!)+SUMIF(#REF!,'8.Dgia'!A379,#REF!)+SUMIF(#REF!,'8.Dgia'!A379,#REF!)</f>
        <v>#REF!</v>
      </c>
      <c r="O379" s="844">
        <f>+$H$369</f>
        <v>1</v>
      </c>
      <c r="P379" s="843" t="e">
        <f t="shared" si="16"/>
        <v>#REF!</v>
      </c>
      <c r="S379" s="657" t="s">
        <v>526</v>
      </c>
    </row>
    <row r="380" spans="1:19" ht="15" customHeight="1">
      <c r="A380" s="657">
        <f>IF(B380="",MAX($A$8:A379)+0,MAX($A$8:A379)+1)</f>
        <v>40</v>
      </c>
      <c r="B380" s="835" t="str">
        <f>IF(C380="","",COUNTA($C$10:C381))</f>
        <v/>
      </c>
      <c r="C380" s="362"/>
      <c r="D380" s="704"/>
      <c r="E380" s="819" t="s">
        <v>555</v>
      </c>
      <c r="F380" s="848" t="str">
        <f>VLOOKUP(E380,DICH!B:C,2,FALSE)</f>
        <v>Other material</v>
      </c>
      <c r="G380" s="704" t="s">
        <v>554</v>
      </c>
      <c r="H380" s="239">
        <v>1</v>
      </c>
      <c r="I380" s="848">
        <f>SUM(J377:J379)</f>
        <v>17281186.383927274</v>
      </c>
      <c r="J380" s="853">
        <f>I380*H380%</f>
        <v>172811.86383927276</v>
      </c>
      <c r="N380" s="843" t="e">
        <f>SUMIF(#REF!,'8.Dgia'!A380,#REF!)+SUMIF(#REF!,'8.Dgia'!A380,#REF!)+SUMIF(#REF!,'8.Dgia'!A380,#REF!)+SUMIF(#REF!,'8.Dgia'!A380,#REF!)</f>
        <v>#REF!</v>
      </c>
      <c r="O380" s="844"/>
      <c r="P380" s="843" t="e">
        <f t="shared" si="16"/>
        <v>#REF!</v>
      </c>
    </row>
    <row r="381" spans="1:19" s="658" customFormat="1" ht="15" customHeight="1">
      <c r="A381" s="657">
        <f>IF(B381="",MAX($A$8:A380)+0,MAX($A$8:A380)+1)</f>
        <v>40</v>
      </c>
      <c r="B381" s="835" t="str">
        <f>IF(C381="","",COUNTA($C$10:C382))</f>
        <v/>
      </c>
      <c r="C381" s="362"/>
      <c r="D381" s="704"/>
      <c r="E381" s="852" t="s">
        <v>2039</v>
      </c>
      <c r="F381" s="848" t="str">
        <f>VLOOKUP(E381,DICH!B:C,2,FALSE)</f>
        <v xml:space="preserve">  B - Labour 4.0/7</v>
      </c>
      <c r="G381" s="704" t="s">
        <v>4899</v>
      </c>
      <c r="H381" s="239">
        <v>10.8</v>
      </c>
      <c r="I381" s="848">
        <f>VLOOKUP(E381,'16.NC'!$C$11:$F$22,4,FALSE)</f>
        <v>218927</v>
      </c>
      <c r="J381" s="849">
        <f>I381*H381</f>
        <v>2364411.6</v>
      </c>
      <c r="K381" s="850"/>
      <c r="L381" s="850"/>
      <c r="M381" s="850"/>
      <c r="N381" s="843" t="e">
        <f>SUMIF(#REF!,'8.Dgia'!A381,#REF!)+SUMIF(#REF!,'8.Dgia'!A381,#REF!)+SUMIF(#REF!,'8.Dgia'!A381,#REF!)+SUMIF(#REF!,'8.Dgia'!A381,#REF!)</f>
        <v>#REF!</v>
      </c>
      <c r="O381" s="844"/>
      <c r="P381" s="843" t="e">
        <f t="shared" si="16"/>
        <v>#REF!</v>
      </c>
      <c r="R381" s="658">
        <v>1</v>
      </c>
      <c r="S381" s="658" t="s">
        <v>527</v>
      </c>
    </row>
    <row r="382" spans="1:19" s="658" customFormat="1" ht="15" customHeight="1">
      <c r="A382" s="657">
        <f>IF(B382="",MAX($A$8:A381)+0,MAX($A$8:A381)+1)</f>
        <v>40</v>
      </c>
      <c r="B382" s="835" t="str">
        <f>IF(C382="","",COUNTA($C$10:C383))</f>
        <v/>
      </c>
      <c r="C382" s="362"/>
      <c r="D382" s="704"/>
      <c r="E382" s="819" t="s">
        <v>2033</v>
      </c>
      <c r="F382" s="848" t="str">
        <f>VLOOKUP(E382,DICH!B:C,2,FALSE)</f>
        <v xml:space="preserve">  C - Machine</v>
      </c>
      <c r="G382" s="240"/>
      <c r="H382" s="866"/>
      <c r="I382" s="848"/>
      <c r="J382" s="849">
        <f>SUM(J383:J385)</f>
        <v>572266.68988636369</v>
      </c>
      <c r="K382" s="850"/>
      <c r="L382" s="850"/>
      <c r="M382" s="850"/>
      <c r="N382" s="843" t="e">
        <f>SUMIF(#REF!,'8.Dgia'!A382,#REF!)+SUMIF(#REF!,'8.Dgia'!A382,#REF!)+SUMIF(#REF!,'8.Dgia'!A382,#REF!)+SUMIF(#REF!,'8.Dgia'!A382,#REF!)</f>
        <v>#REF!</v>
      </c>
      <c r="O382" s="844"/>
      <c r="P382" s="843" t="e">
        <f t="shared" si="16"/>
        <v>#REF!</v>
      </c>
    </row>
    <row r="383" spans="1:19" ht="15" customHeight="1">
      <c r="A383" s="657">
        <f>IF(B383="",MAX($A$8:A382)+0,MAX($A$8:A382)+1)</f>
        <v>40</v>
      </c>
      <c r="B383" s="835" t="str">
        <f>IF(C383="","",COUNTA($C$10:C384))</f>
        <v/>
      </c>
      <c r="C383" s="362"/>
      <c r="D383" s="704" t="s">
        <v>5664</v>
      </c>
      <c r="E383" s="819" t="s">
        <v>1978</v>
      </c>
      <c r="F383" s="848" t="str">
        <f>VLOOKUP(E383,'9.may'!E:F,2,FALSE)</f>
        <v>welding machine 23kW</v>
      </c>
      <c r="G383" s="704" t="s">
        <v>4902</v>
      </c>
      <c r="H383" s="239">
        <f>2.62*0.5</f>
        <v>1.31</v>
      </c>
      <c r="I383" s="848">
        <f>VLOOKUP(E383,'9.may'!E:W,12,FALSE)</f>
        <v>171649.155</v>
      </c>
      <c r="J383" s="853">
        <f>I383*H383</f>
        <v>224860.39305000001</v>
      </c>
      <c r="N383" s="843" t="e">
        <f>SUMIF(#REF!,'8.Dgia'!A383,#REF!)+SUMIF(#REF!,'8.Dgia'!A383,#REF!)+SUMIF(#REF!,'8.Dgia'!A383,#REF!)+SUMIF(#REF!,'8.Dgia'!A383,#REF!)</f>
        <v>#REF!</v>
      </c>
      <c r="O383" s="844"/>
      <c r="P383" s="843" t="e">
        <f t="shared" si="16"/>
        <v>#REF!</v>
      </c>
    </row>
    <row r="384" spans="1:19" ht="15" customHeight="1">
      <c r="A384" s="657">
        <f>IF(B384="",MAX($A$8:A383)+0,MAX($A$8:A383)+1)</f>
        <v>40</v>
      </c>
      <c r="B384" s="835" t="str">
        <f>IF(C384="","",COUNTA($C$10:C385))</f>
        <v/>
      </c>
      <c r="C384" s="362"/>
      <c r="D384" s="704"/>
      <c r="E384" s="852" t="s">
        <v>1424</v>
      </c>
      <c r="F384" s="848" t="str">
        <f>VLOOKUP(E384,'9.may'!E:F,2,FALSE)</f>
        <v>bender cutter 5Kw</v>
      </c>
      <c r="G384" s="704" t="s">
        <v>4902</v>
      </c>
      <c r="H384" s="239">
        <v>0.16</v>
      </c>
      <c r="I384" s="848">
        <f>VLOOKUP(E384,'9.may'!E:W,12,FALSE)</f>
        <v>80291.850000000006</v>
      </c>
      <c r="J384" s="853">
        <f>I384*H384</f>
        <v>12846.696000000002</v>
      </c>
      <c r="N384" s="843" t="e">
        <f>SUMIF(#REF!,'8.Dgia'!A384,#REF!)+SUMIF(#REF!,'8.Dgia'!A384,#REF!)+SUMIF(#REF!,'8.Dgia'!A384,#REF!)+SUMIF(#REF!,'8.Dgia'!A384,#REF!)</f>
        <v>#REF!</v>
      </c>
      <c r="O384" s="844"/>
      <c r="P384" s="843" t="e">
        <f t="shared" si="16"/>
        <v>#REF!</v>
      </c>
    </row>
    <row r="385" spans="1:19" ht="15" customHeight="1">
      <c r="A385" s="657">
        <f>IF(B385="",MAX($A$8:A384)+0,MAX($A$8:A384)+1)</f>
        <v>40</v>
      </c>
      <c r="B385" s="835" t="str">
        <f>IF(C385="","",COUNTA($C$10:C386))</f>
        <v/>
      </c>
      <c r="C385" s="362"/>
      <c r="D385" s="704"/>
      <c r="E385" s="1225" t="s">
        <v>288</v>
      </c>
      <c r="F385" s="848" t="str">
        <f>VLOOKUP(E385,'9.may'!E:F,2,FALSE)</f>
        <v>caterpillar crane 25T</v>
      </c>
      <c r="G385" s="704" t="s">
        <v>4902</v>
      </c>
      <c r="H385" s="239">
        <v>0.12</v>
      </c>
      <c r="I385" s="848">
        <f>VLOOKUP(E385,'9.may'!E:W,12,FALSE)</f>
        <v>2787996.6736363638</v>
      </c>
      <c r="J385" s="853">
        <f>I385*H385</f>
        <v>334559.60083636362</v>
      </c>
      <c r="N385" s="843" t="e">
        <f>SUMIF(#REF!,'8.Dgia'!A385,#REF!)+SUMIF(#REF!,'8.Dgia'!A385,#REF!)+SUMIF(#REF!,'8.Dgia'!A385,#REF!)+SUMIF(#REF!,'8.Dgia'!A385,#REF!)</f>
        <v>#REF!</v>
      </c>
      <c r="O385" s="844"/>
      <c r="P385" s="843" t="e">
        <f t="shared" si="16"/>
        <v>#REF!</v>
      </c>
    </row>
    <row r="386" spans="1:19" ht="15" customHeight="1">
      <c r="A386" s="657">
        <f>IF(B386="",MAX($A$8:A385)+0,MAX($A$8:A385)+1)</f>
        <v>41</v>
      </c>
      <c r="B386" s="835">
        <f>IF(C386="","",COUNTA($C$10:C387))</f>
        <v>41</v>
      </c>
      <c r="C386" s="362">
        <v>159</v>
      </c>
      <c r="D386" s="851" t="s">
        <v>678</v>
      </c>
      <c r="E386" s="855" t="s">
        <v>677</v>
      </c>
      <c r="F386" s="1049" t="str">
        <f>VLOOKUP(E386,DICH!B:C,2,FALSE)</f>
        <v>Coupler</v>
      </c>
      <c r="G386" s="856" t="s">
        <v>4651</v>
      </c>
      <c r="H386" s="847"/>
      <c r="I386" s="848"/>
      <c r="J386" s="853"/>
      <c r="K386" s="842">
        <f>+J387</f>
        <v>22672.064405014546</v>
      </c>
      <c r="L386" s="842">
        <f>+J392</f>
        <v>22289.171999999999</v>
      </c>
      <c r="M386" s="842">
        <f>+J393</f>
        <v>2487.6464774999999</v>
      </c>
      <c r="N386" s="843" t="e">
        <f>SUMIF(#REF!,'8.Dgia'!A386,#REF!)+SUMIF(#REF!,'8.Dgia'!A386,#REF!)+SUMIF(#REF!,'8.Dgia'!A386,#REF!)+SUMIF(#REF!,'8.Dgia'!A386,#REF!)</f>
        <v>#REF!</v>
      </c>
      <c r="O386" s="844"/>
      <c r="P386" s="843" t="e">
        <f t="shared" si="16"/>
        <v>#REF!</v>
      </c>
    </row>
    <row r="387" spans="1:19" s="658" customFormat="1" ht="15" customHeight="1">
      <c r="A387" s="657">
        <f>IF(B387="",MAX($A$8:A386)+0,MAX($A$8:A386)+1)</f>
        <v>41</v>
      </c>
      <c r="B387" s="835" t="str">
        <f>IF(C387="","",COUNTA($C$10:C388))</f>
        <v/>
      </c>
      <c r="C387" s="362"/>
      <c r="D387" s="845"/>
      <c r="E387" s="852" t="s">
        <v>2032</v>
      </c>
      <c r="F387" s="848" t="str">
        <f>VLOOKUP(E387,DICH!B:C,2,FALSE)</f>
        <v xml:space="preserve">  A - Material</v>
      </c>
      <c r="G387" s="846"/>
      <c r="H387" s="847"/>
      <c r="I387" s="848"/>
      <c r="J387" s="849">
        <f>SUM(J388:J391)</f>
        <v>22672.064405014546</v>
      </c>
      <c r="K387" s="850"/>
      <c r="L387" s="850"/>
      <c r="M387" s="850"/>
      <c r="N387" s="843" t="e">
        <f>SUMIF(#REF!,'8.Dgia'!A387,#REF!)+SUMIF(#REF!,'8.Dgia'!A387,#REF!)+SUMIF(#REF!,'8.Dgia'!A387,#REF!)+SUMIF(#REF!,'8.Dgia'!A387,#REF!)</f>
        <v>#REF!</v>
      </c>
      <c r="O387" s="844"/>
      <c r="P387" s="843" t="e">
        <f t="shared" ref="P387:P464" si="17">$H387*N387*(1+O387%)</f>
        <v>#REF!</v>
      </c>
      <c r="S387" s="658" t="s">
        <v>598</v>
      </c>
    </row>
    <row r="388" spans="1:19" ht="15" customHeight="1">
      <c r="A388" s="657">
        <f>IF(B388="",MAX($A$8:A387)+0,MAX($A$8:A387)+1)</f>
        <v>41</v>
      </c>
      <c r="B388" s="835" t="str">
        <f>IF(C388="","",COUNTA($C$10:C389))</f>
        <v/>
      </c>
      <c r="C388" s="362"/>
      <c r="D388" s="851"/>
      <c r="E388" s="852" t="s">
        <v>562</v>
      </c>
      <c r="F388" s="848" t="str">
        <f>VLOOKUP(E388,DICH!B:C,2,FALSE)</f>
        <v>Plate steel</v>
      </c>
      <c r="G388" s="362" t="s">
        <v>558</v>
      </c>
      <c r="H388" s="847">
        <v>0.91500000000000004</v>
      </c>
      <c r="I388" s="848">
        <f>VLOOKUP(E388,'11.gia '!$B:$I,8,FALSE)</f>
        <v>12871.348287272725</v>
      </c>
      <c r="J388" s="853">
        <f>I388*H388</f>
        <v>11777.283682854544</v>
      </c>
      <c r="N388" s="843" t="e">
        <f>SUMIF(#REF!,'8.Dgia'!A388,#REF!)+SUMIF(#REF!,'8.Dgia'!A388,#REF!)+SUMIF(#REF!,'8.Dgia'!A388,#REF!)+SUMIF(#REF!,'8.Dgia'!A388,#REF!)</f>
        <v>#REF!</v>
      </c>
      <c r="O388" s="844"/>
      <c r="P388" s="843" t="e">
        <f t="shared" si="17"/>
        <v>#REF!</v>
      </c>
      <c r="S388" s="657" t="s">
        <v>526</v>
      </c>
    </row>
    <row r="389" spans="1:19" ht="15" customHeight="1">
      <c r="A389" s="657">
        <f>IF(B389="",MAX($A$8:A388)+0,MAX($A$8:A388)+1)</f>
        <v>41</v>
      </c>
      <c r="B389" s="835" t="str">
        <f>IF(C389="","",COUNTA($C$10:C390))</f>
        <v/>
      </c>
      <c r="C389" s="362"/>
      <c r="D389" s="851"/>
      <c r="E389" s="852" t="s">
        <v>671</v>
      </c>
      <c r="F389" s="848" t="str">
        <f>VLOOKUP(E389,DICH!B:C,2,FALSE)</f>
        <v>steel bar D&lt;=18</v>
      </c>
      <c r="G389" s="362" t="s">
        <v>558</v>
      </c>
      <c r="H389" s="847">
        <v>0.48599999999999999</v>
      </c>
      <c r="I389" s="848">
        <f>VLOOKUP(E389,'11.gia '!$B:$I,8,FALSE)</f>
        <v>16604.075560000001</v>
      </c>
      <c r="J389" s="853">
        <f>I389*H389</f>
        <v>8069.5807221600007</v>
      </c>
      <c r="N389" s="843" t="e">
        <f>SUMIF(#REF!,'8.Dgia'!A389,#REF!)+SUMIF(#REF!,'8.Dgia'!A389,#REF!)+SUMIF(#REF!,'8.Dgia'!A389,#REF!)+SUMIF(#REF!,'8.Dgia'!A389,#REF!)</f>
        <v>#REF!</v>
      </c>
      <c r="O389" s="844"/>
      <c r="P389" s="843" t="e">
        <f t="shared" si="17"/>
        <v>#REF!</v>
      </c>
      <c r="S389" s="657" t="s">
        <v>526</v>
      </c>
    </row>
    <row r="390" spans="1:19" ht="15" customHeight="1">
      <c r="A390" s="657">
        <f>IF(B390="",MAX($A$8:A389)+0,MAX($A$8:A389)+1)</f>
        <v>41</v>
      </c>
      <c r="B390" s="835" t="str">
        <f>IF(C390="","",COUNTA($C$10:C391))</f>
        <v/>
      </c>
      <c r="C390" s="362"/>
      <c r="D390" s="851"/>
      <c r="E390" s="852" t="s">
        <v>564</v>
      </c>
      <c r="F390" s="848" t="str">
        <f>VLOOKUP(E390,DICH!B:C,2,FALSE)</f>
        <v>oxygen</v>
      </c>
      <c r="G390" s="362" t="s">
        <v>4647</v>
      </c>
      <c r="H390" s="847">
        <v>2.8000000000000001E-2</v>
      </c>
      <c r="I390" s="848">
        <f>VLOOKUP(E390,'11.gia '!$B:$I,8,FALSE)</f>
        <v>48000</v>
      </c>
      <c r="J390" s="853">
        <f>I390*H390</f>
        <v>1344</v>
      </c>
      <c r="N390" s="843" t="e">
        <f>SUMIF(#REF!,'8.Dgia'!A390,#REF!)+SUMIF(#REF!,'8.Dgia'!A390,#REF!)+SUMIF(#REF!,'8.Dgia'!A390,#REF!)+SUMIF(#REF!,'8.Dgia'!A390,#REF!)</f>
        <v>#REF!</v>
      </c>
      <c r="O390" s="844"/>
      <c r="P390" s="843" t="e">
        <f t="shared" si="17"/>
        <v>#REF!</v>
      </c>
      <c r="S390" s="657" t="s">
        <v>526</v>
      </c>
    </row>
    <row r="391" spans="1:19" ht="15" customHeight="1">
      <c r="A391" s="657">
        <f>IF(B391="",MAX($A$8:A390)+0,MAX($A$8:A390)+1)</f>
        <v>41</v>
      </c>
      <c r="B391" s="835" t="str">
        <f>IF(C391="","",COUNTA($C$10:C392))</f>
        <v/>
      </c>
      <c r="C391" s="362"/>
      <c r="D391" s="851"/>
      <c r="E391" s="852" t="s">
        <v>566</v>
      </c>
      <c r="F391" s="848" t="str">
        <f>VLOOKUP(E391,DICH!B:C,2,FALSE)</f>
        <v>Calcium carbide</v>
      </c>
      <c r="G391" s="362" t="s">
        <v>558</v>
      </c>
      <c r="H391" s="847">
        <v>0.10580000000000001</v>
      </c>
      <c r="I391" s="848">
        <f>VLOOKUP(E391,'11.gia '!$B:$I,8,FALSE)</f>
        <v>14000</v>
      </c>
      <c r="J391" s="853">
        <f>I391*H391</f>
        <v>1481.2</v>
      </c>
      <c r="N391" s="843" t="e">
        <f>SUMIF(#REF!,'8.Dgia'!A391,#REF!)+SUMIF(#REF!,'8.Dgia'!A391,#REF!)+SUMIF(#REF!,'8.Dgia'!A391,#REF!)+SUMIF(#REF!,'8.Dgia'!A391,#REF!)</f>
        <v>#REF!</v>
      </c>
      <c r="O391" s="844"/>
      <c r="P391" s="843" t="e">
        <f t="shared" si="17"/>
        <v>#REF!</v>
      </c>
    </row>
    <row r="392" spans="1:19" s="658" customFormat="1" ht="15" customHeight="1">
      <c r="A392" s="657">
        <f>IF(B392="",MAX($A$8:A391)+0,MAX($A$8:A391)+1)</f>
        <v>41</v>
      </c>
      <c r="B392" s="835" t="str">
        <f>IF(C392="","",COUNTA($C$10:C393))</f>
        <v/>
      </c>
      <c r="C392" s="362"/>
      <c r="D392" s="845"/>
      <c r="E392" s="852" t="s">
        <v>2041</v>
      </c>
      <c r="F392" s="848" t="str">
        <f>VLOOKUP(E392,DICH!B:C,2,FALSE)</f>
        <v xml:space="preserve">  B - Labour 3.7/7</v>
      </c>
      <c r="G392" s="362" t="s">
        <v>4899</v>
      </c>
      <c r="H392" s="847">
        <v>0.1065</v>
      </c>
      <c r="I392" s="848">
        <f>VLOOKUP(E392,'16.NC'!$C$11:$F$22,4,FALSE)</f>
        <v>209288</v>
      </c>
      <c r="J392" s="849">
        <f>I392*H392</f>
        <v>22289.171999999999</v>
      </c>
      <c r="K392" s="850"/>
      <c r="L392" s="850"/>
      <c r="M392" s="850"/>
      <c r="N392" s="843" t="e">
        <f>SUMIF(#REF!,'8.Dgia'!A392,#REF!)+SUMIF(#REF!,'8.Dgia'!A392,#REF!)+SUMIF(#REF!,'8.Dgia'!A392,#REF!)+SUMIF(#REF!,'8.Dgia'!A392,#REF!)</f>
        <v>#REF!</v>
      </c>
      <c r="O392" s="844"/>
      <c r="P392" s="843" t="e">
        <f t="shared" si="17"/>
        <v>#REF!</v>
      </c>
      <c r="R392" s="658">
        <v>1</v>
      </c>
      <c r="S392" s="658" t="s">
        <v>527</v>
      </c>
    </row>
    <row r="393" spans="1:19" s="658" customFormat="1" ht="15" customHeight="1">
      <c r="A393" s="657">
        <f>IF(B393="",MAX($A$8:A392)+0,MAX($A$8:A392)+1)</f>
        <v>41</v>
      </c>
      <c r="B393" s="835" t="str">
        <f>IF(C393="","",COUNTA($C$10:C394))</f>
        <v/>
      </c>
      <c r="C393" s="362"/>
      <c r="D393" s="845"/>
      <c r="E393" s="852" t="s">
        <v>2033</v>
      </c>
      <c r="F393" s="848" t="str">
        <f>VLOOKUP(E393,DICH!B:C,2,FALSE)</f>
        <v xml:space="preserve">  C - Machine</v>
      </c>
      <c r="G393" s="846"/>
      <c r="H393" s="847"/>
      <c r="I393" s="848"/>
      <c r="J393" s="849">
        <f>+J394</f>
        <v>2487.6464774999999</v>
      </c>
      <c r="K393" s="850"/>
      <c r="L393" s="850"/>
      <c r="M393" s="850"/>
      <c r="N393" s="843" t="e">
        <f>SUMIF(#REF!,'8.Dgia'!A393,#REF!)+SUMIF(#REF!,'8.Dgia'!A393,#REF!)+SUMIF(#REF!,'8.Dgia'!A393,#REF!)+SUMIF(#REF!,'8.Dgia'!A393,#REF!)</f>
        <v>#REF!</v>
      </c>
      <c r="O393" s="844"/>
      <c r="P393" s="843" t="e">
        <f t="shared" si="17"/>
        <v>#REF!</v>
      </c>
    </row>
    <row r="394" spans="1:19" ht="15" customHeight="1">
      <c r="A394" s="657">
        <f>IF(B394="",MAX($A$8:A393)+0,MAX($A$8:A393)+1)</f>
        <v>41</v>
      </c>
      <c r="B394" s="835" t="str">
        <f>IF(C394="","",COUNTA($C$10:C395))</f>
        <v/>
      </c>
      <c r="C394" s="362"/>
      <c r="D394" s="851"/>
      <c r="E394" s="852" t="s">
        <v>269</v>
      </c>
      <c r="F394" s="848" t="str">
        <f>VLOOKUP(E394,'9.may'!E:F,2,FALSE)</f>
        <v>driller 4.5kW</v>
      </c>
      <c r="G394" s="362" t="s">
        <v>4902</v>
      </c>
      <c r="H394" s="847">
        <v>2.3E-2</v>
      </c>
      <c r="I394" s="848">
        <f>VLOOKUP(E394,'9.may'!E:W,12,FALSE)</f>
        <v>108158.5425</v>
      </c>
      <c r="J394" s="853">
        <f>I394*H394</f>
        <v>2487.6464774999999</v>
      </c>
      <c r="N394" s="843" t="e">
        <f>SUMIF(#REF!,'8.Dgia'!A394,#REF!)+SUMIF(#REF!,'8.Dgia'!A394,#REF!)+SUMIF(#REF!,'8.Dgia'!A394,#REF!)+SUMIF(#REF!,'8.Dgia'!A394,#REF!)</f>
        <v>#REF!</v>
      </c>
      <c r="O394" s="844"/>
      <c r="P394" s="843" t="e">
        <f t="shared" si="17"/>
        <v>#REF!</v>
      </c>
    </row>
    <row r="395" spans="1:19" ht="15" customHeight="1">
      <c r="A395" s="657">
        <f>IF(B395="",MAX($A$8:A394)+0,MAX($A$8:A394)+1)</f>
        <v>42</v>
      </c>
      <c r="B395" s="835">
        <f>IF(C395="","",COUNTA($C$10:C396))</f>
        <v>42</v>
      </c>
      <c r="C395" s="835">
        <f>IF(D395="","",1776)</f>
        <v>1776</v>
      </c>
      <c r="D395" s="851" t="s">
        <v>3827</v>
      </c>
      <c r="E395" s="855" t="s">
        <v>3828</v>
      </c>
      <c r="F395" s="1049" t="str">
        <f>VLOOKUP(E395,DICH!B:C,2,FALSE)</f>
        <v>Installing ulltrasonic pipe D60 (by welding)</v>
      </c>
      <c r="G395" s="856" t="s">
        <v>546</v>
      </c>
      <c r="H395" s="847"/>
      <c r="I395" s="848"/>
      <c r="J395" s="853"/>
      <c r="K395" s="842">
        <f>+J396</f>
        <v>6383522.3793181814</v>
      </c>
      <c r="L395" s="842">
        <f>+J400</f>
        <v>9035473.4800000004</v>
      </c>
      <c r="M395" s="842">
        <f>J401</f>
        <v>57674.11608</v>
      </c>
      <c r="N395" s="843" t="e">
        <f>SUMIF(#REF!,'8.Dgia'!A395,#REF!)+SUMIF(#REF!,'8.Dgia'!A395,#REF!)+SUMIF(#REF!,'8.Dgia'!A395,#REF!)+SUMIF(#REF!,'8.Dgia'!A395,#REF!)</f>
        <v>#REF!</v>
      </c>
      <c r="O395" s="844"/>
      <c r="P395" s="843" t="e">
        <f t="shared" si="17"/>
        <v>#REF!</v>
      </c>
    </row>
    <row r="396" spans="1:19" s="658" customFormat="1" ht="15" customHeight="1">
      <c r="A396" s="657">
        <f>IF(B396="",MAX($A$8:A395)+0,MAX($A$8:A395)+1)</f>
        <v>42</v>
      </c>
      <c r="B396" s="835" t="str">
        <f>IF(C396="","",COUNTA($C$10:C397))</f>
        <v/>
      </c>
      <c r="C396" s="362"/>
      <c r="D396" s="845"/>
      <c r="E396" s="852" t="s">
        <v>2032</v>
      </c>
      <c r="F396" s="848" t="str">
        <f>VLOOKUP(E396,DICH!B:C,2,FALSE)</f>
        <v xml:space="preserve">  A - Material</v>
      </c>
      <c r="G396" s="846"/>
      <c r="H396" s="847"/>
      <c r="I396" s="848"/>
      <c r="J396" s="849">
        <f>SUM(J397:J399)</f>
        <v>6383522.3793181814</v>
      </c>
      <c r="K396" s="850"/>
      <c r="L396" s="850"/>
      <c r="M396" s="850"/>
      <c r="N396" s="843" t="e">
        <f>SUMIF(#REF!,'8.Dgia'!A396,#REF!)+SUMIF(#REF!,'8.Dgia'!A396,#REF!)+SUMIF(#REF!,'8.Dgia'!A396,#REF!)+SUMIF(#REF!,'8.Dgia'!A396,#REF!)</f>
        <v>#REF!</v>
      </c>
      <c r="O396" s="844"/>
      <c r="P396" s="843" t="e">
        <f t="shared" si="17"/>
        <v>#REF!</v>
      </c>
    </row>
    <row r="397" spans="1:19" ht="15" customHeight="1">
      <c r="A397" s="657">
        <f>IF(B397="",MAX($A$8:A396)+0,MAX($A$8:A396)+1)</f>
        <v>42</v>
      </c>
      <c r="B397" s="835" t="str">
        <f>IF(C397="","",COUNTA($C$10:C398))</f>
        <v/>
      </c>
      <c r="C397" s="362"/>
      <c r="D397" s="851"/>
      <c r="E397" s="852" t="s">
        <v>675</v>
      </c>
      <c r="F397" s="848" t="str">
        <f>VLOOKUP(E397,DICH!B:C,2,FALSE)</f>
        <v>Steel pipe D60</v>
      </c>
      <c r="G397" s="362" t="s">
        <v>543</v>
      </c>
      <c r="H397" s="847">
        <f>100.5</f>
        <v>100.5</v>
      </c>
      <c r="I397" s="848">
        <f>VLOOKUP(E397,'11.gia '!$B:$I,8,FALSE)</f>
        <v>63283.333333333336</v>
      </c>
      <c r="J397" s="853">
        <f>I397*H397</f>
        <v>6359975</v>
      </c>
      <c r="N397" s="843" t="e">
        <f>SUMIF(#REF!,'8.Dgia'!A397,#REF!)+SUMIF(#REF!,'8.Dgia'!A397,#REF!)+SUMIF(#REF!,'8.Dgia'!A397,#REF!)+SUMIF(#REF!,'8.Dgia'!A397,#REF!)</f>
        <v>#REF!</v>
      </c>
      <c r="O397" s="844">
        <f>+$H$399</f>
        <v>0.01</v>
      </c>
      <c r="P397" s="843" t="e">
        <f t="shared" si="17"/>
        <v>#REF!</v>
      </c>
    </row>
    <row r="398" spans="1:19" ht="15" customHeight="1">
      <c r="A398" s="657">
        <f>IF(B398="",MAX($A$8:A397)+0,MAX($A$8:A397)+1)</f>
        <v>42</v>
      </c>
      <c r="B398" s="835" t="str">
        <f>IF(C398="","",COUNTA($C$10:C399))</f>
        <v/>
      </c>
      <c r="C398" s="362"/>
      <c r="D398" s="851"/>
      <c r="E398" s="852" t="s">
        <v>559</v>
      </c>
      <c r="F398" s="848" t="str">
        <f>VLOOKUP(E398,DICH!B:C,2,FALSE)</f>
        <v>welding electrode</v>
      </c>
      <c r="G398" s="362" t="s">
        <v>558</v>
      </c>
      <c r="H398" s="847">
        <v>1.2</v>
      </c>
      <c r="I398" s="848">
        <f>VLOOKUP(E398,'11.gia '!$B:$I,8,FALSE)</f>
        <v>19090.909090909088</v>
      </c>
      <c r="J398" s="853">
        <f>I398*H398</f>
        <v>22909.090909090904</v>
      </c>
      <c r="N398" s="843" t="e">
        <f>SUMIF(#REF!,'8.Dgia'!A398,#REF!)+SUMIF(#REF!,'8.Dgia'!A398,#REF!)+SUMIF(#REF!,'8.Dgia'!A398,#REF!)+SUMIF(#REF!,'8.Dgia'!A398,#REF!)</f>
        <v>#REF!</v>
      </c>
      <c r="O398" s="844">
        <f>+$H$399</f>
        <v>0.01</v>
      </c>
      <c r="P398" s="843" t="e">
        <f t="shared" si="17"/>
        <v>#REF!</v>
      </c>
    </row>
    <row r="399" spans="1:19" ht="15" customHeight="1">
      <c r="A399" s="657">
        <f>IF(B399="",MAX($A$8:A398)+0,MAX($A$8:A398)+1)</f>
        <v>42</v>
      </c>
      <c r="B399" s="835" t="str">
        <f>IF(C399="","",COUNTA($C$10:C400))</f>
        <v/>
      </c>
      <c r="C399" s="362"/>
      <c r="D399" s="851"/>
      <c r="E399" s="852" t="s">
        <v>555</v>
      </c>
      <c r="F399" s="848" t="str">
        <f>VLOOKUP(E399,DICH!B:C,2,FALSE)</f>
        <v>Other material</v>
      </c>
      <c r="G399" s="362" t="s">
        <v>554</v>
      </c>
      <c r="H399" s="847">
        <v>0.01</v>
      </c>
      <c r="I399" s="848">
        <f>SUM(J397:J398)</f>
        <v>6382884.0909090908</v>
      </c>
      <c r="J399" s="853">
        <f>I399*H399%</f>
        <v>638.28840909090911</v>
      </c>
      <c r="N399" s="843" t="e">
        <f>SUMIF(#REF!,'8.Dgia'!A399,#REF!)+SUMIF(#REF!,'8.Dgia'!A399,#REF!)+SUMIF(#REF!,'8.Dgia'!A399,#REF!)+SUMIF(#REF!,'8.Dgia'!A399,#REF!)</f>
        <v>#REF!</v>
      </c>
      <c r="O399" s="844"/>
      <c r="P399" s="843" t="e">
        <f t="shared" si="17"/>
        <v>#REF!</v>
      </c>
    </row>
    <row r="400" spans="1:19" s="658" customFormat="1" ht="15" customHeight="1">
      <c r="A400" s="657">
        <f>IF(B400="",MAX($A$8:A399)+0,MAX($A$8:A399)+1)</f>
        <v>42</v>
      </c>
      <c r="B400" s="835" t="str">
        <f>IF(C400="","",COUNTA($C$10:C401))</f>
        <v/>
      </c>
      <c r="C400" s="362"/>
      <c r="D400" s="845"/>
      <c r="E400" s="852" t="s">
        <v>2037</v>
      </c>
      <c r="F400" s="848" t="str">
        <f>VLOOKUP(E400,DICH!B:C,2,FALSE)</f>
        <v xml:space="preserve">  B - Labour 3.5/7</v>
      </c>
      <c r="G400" s="362" t="s">
        <v>4899</v>
      </c>
      <c r="H400" s="847">
        <v>44.54</v>
      </c>
      <c r="I400" s="848">
        <f>VLOOKUP(E400,'16.NC'!$C$11:$F$22,4,FALSE)</f>
        <v>202862</v>
      </c>
      <c r="J400" s="849">
        <f>I400*H400</f>
        <v>9035473.4800000004</v>
      </c>
      <c r="K400" s="850"/>
      <c r="L400" s="850"/>
      <c r="M400" s="850"/>
      <c r="N400" s="843" t="e">
        <f>SUMIF(#REF!,'8.Dgia'!A400,#REF!)+SUMIF(#REF!,'8.Dgia'!A400,#REF!)+SUMIF(#REF!,'8.Dgia'!A400,#REF!)+SUMIF(#REF!,'8.Dgia'!A400,#REF!)</f>
        <v>#REF!</v>
      </c>
      <c r="O400" s="844"/>
      <c r="P400" s="843" t="e">
        <f t="shared" si="17"/>
        <v>#REF!</v>
      </c>
      <c r="R400" s="658">
        <v>1</v>
      </c>
    </row>
    <row r="401" spans="1:18" s="658" customFormat="1" ht="15" customHeight="1">
      <c r="A401" s="657">
        <f>IF(B401="",MAX($A$8:A400)+0,MAX($A$8:A400)+1)</f>
        <v>42</v>
      </c>
      <c r="B401" s="835" t="str">
        <f>IF(C401="","",COUNTA($C$10:C402))</f>
        <v/>
      </c>
      <c r="C401" s="362"/>
      <c r="D401" s="845"/>
      <c r="E401" s="852" t="s">
        <v>2033</v>
      </c>
      <c r="F401" s="848" t="str">
        <f>VLOOKUP(E401,DICH!B:C,2,FALSE)</f>
        <v xml:space="preserve">  C - Machine</v>
      </c>
      <c r="G401" s="846"/>
      <c r="H401" s="847"/>
      <c r="I401" s="848"/>
      <c r="J401" s="849">
        <f>SUM(J402:J403)</f>
        <v>57674.11608</v>
      </c>
      <c r="K401" s="850"/>
      <c r="L401" s="850"/>
      <c r="M401" s="850"/>
      <c r="N401" s="843" t="e">
        <f>SUMIF(#REF!,'8.Dgia'!A401,#REF!)+SUMIF(#REF!,'8.Dgia'!A401,#REF!)+SUMIF(#REF!,'8.Dgia'!A401,#REF!)+SUMIF(#REF!,'8.Dgia'!A401,#REF!)</f>
        <v>#REF!</v>
      </c>
      <c r="O401" s="844"/>
      <c r="P401" s="843" t="e">
        <f>$H401*N401*(1+O401%)</f>
        <v>#REF!</v>
      </c>
    </row>
    <row r="402" spans="1:18" ht="15" customHeight="1">
      <c r="A402" s="657">
        <f>IF(B402="",MAX($A$8:A401)+0,MAX($A$8:A401)+1)</f>
        <v>42</v>
      </c>
      <c r="B402" s="835" t="str">
        <f>IF(C402="","",COUNTA($C$10:C403))</f>
        <v/>
      </c>
      <c r="C402" s="362"/>
      <c r="D402" s="851"/>
      <c r="E402" s="852" t="s">
        <v>560</v>
      </c>
      <c r="F402" s="848" t="str">
        <f>VLOOKUP(E402,'9.may'!E:F,2,FALSE)</f>
        <v>welding machine 23kW</v>
      </c>
      <c r="G402" s="362" t="s">
        <v>4902</v>
      </c>
      <c r="H402" s="865">
        <v>0.32</v>
      </c>
      <c r="I402" s="848">
        <f>VLOOKUP(E402,'9.may'!E:W,12,FALSE)</f>
        <v>171649.155</v>
      </c>
      <c r="J402" s="853">
        <f>I402*H402</f>
        <v>54927.729599999999</v>
      </c>
      <c r="N402" s="843" t="e">
        <f>SUMIF(#REF!,'8.Dgia'!A402,#REF!)+SUMIF(#REF!,'8.Dgia'!A402,#REF!)+SUMIF(#REF!,'8.Dgia'!A402,#REF!)+SUMIF(#REF!,'8.Dgia'!A402,#REF!)</f>
        <v>#REF!</v>
      </c>
      <c r="O402" s="844"/>
      <c r="P402" s="843" t="e">
        <f>$H402*N402*(1+O402%)</f>
        <v>#REF!</v>
      </c>
    </row>
    <row r="403" spans="1:18" ht="15" customHeight="1">
      <c r="A403" s="657">
        <f>IF(B403="",MAX($A$8:A402)+0,MAX($A$8:A402)+1)</f>
        <v>42</v>
      </c>
      <c r="B403" s="835" t="str">
        <f>IF(C403="","",COUNTA($C$10:C404))</f>
        <v/>
      </c>
      <c r="C403" s="362"/>
      <c r="D403" s="851"/>
      <c r="E403" s="852" t="s">
        <v>553</v>
      </c>
      <c r="F403" s="848" t="str">
        <f>VLOOKUP(E403,DICH!B:C,2,FALSE)</f>
        <v>Other machine</v>
      </c>
      <c r="G403" s="362" t="s">
        <v>554</v>
      </c>
      <c r="H403" s="847">
        <v>5</v>
      </c>
      <c r="I403" s="848">
        <f>SUM(J402:J402)</f>
        <v>54927.729599999999</v>
      </c>
      <c r="J403" s="853">
        <f>I403*H403%</f>
        <v>2746.3864800000001</v>
      </c>
      <c r="N403" s="843" t="e">
        <f>SUMIF(#REF!,'8.Dgia'!A403,#REF!)+SUMIF(#REF!,'8.Dgia'!A403,#REF!)+SUMIF(#REF!,'8.Dgia'!A403,#REF!)+SUMIF(#REF!,'8.Dgia'!A403,#REF!)</f>
        <v>#REF!</v>
      </c>
      <c r="O403" s="844"/>
      <c r="P403" s="843" t="e">
        <f>$H403*N403*(1+O403%)</f>
        <v>#REF!</v>
      </c>
    </row>
    <row r="404" spans="1:18" ht="15" customHeight="1">
      <c r="A404" s="657">
        <f>IF(B404="",MAX($A$8:A403)+0,MAX($A$8:A403)+1)</f>
        <v>43</v>
      </c>
      <c r="B404" s="835">
        <f>IF(C404="","",COUNTA($C$10:C405))</f>
        <v>43</v>
      </c>
      <c r="C404" s="835">
        <f>IF(D404="","",1776)</f>
        <v>1776</v>
      </c>
      <c r="D404" s="851" t="s">
        <v>3977</v>
      </c>
      <c r="E404" s="855" t="s">
        <v>3829</v>
      </c>
      <c r="F404" s="1049" t="str">
        <f>VLOOKUP(E404,DICH!B:C,2,FALSE)</f>
        <v>Installing ulltrasonic pipe D114 (by welding)</v>
      </c>
      <c r="G404" s="856" t="s">
        <v>546</v>
      </c>
      <c r="H404" s="847"/>
      <c r="I404" s="848"/>
      <c r="J404" s="853"/>
      <c r="K404" s="842">
        <f>+J405</f>
        <v>17588540.496363636</v>
      </c>
      <c r="L404" s="842">
        <f>+J409</f>
        <v>12360381.66</v>
      </c>
      <c r="M404" s="842">
        <f>J410</f>
        <v>131569.0773075</v>
      </c>
      <c r="N404" s="843" t="e">
        <f>SUMIF(#REF!,'8.Dgia'!A404,#REF!)+SUMIF(#REF!,'8.Dgia'!A404,#REF!)+SUMIF(#REF!,'8.Dgia'!A404,#REF!)+SUMIF(#REF!,'8.Dgia'!A404,#REF!)</f>
        <v>#REF!</v>
      </c>
      <c r="O404" s="844"/>
      <c r="P404" s="843" t="e">
        <f t="shared" si="17"/>
        <v>#REF!</v>
      </c>
    </row>
    <row r="405" spans="1:18" s="658" customFormat="1" ht="15" customHeight="1">
      <c r="A405" s="657">
        <f>IF(B405="",MAX($A$8:A404)+0,MAX($A$8:A404)+1)</f>
        <v>43</v>
      </c>
      <c r="B405" s="835" t="str">
        <f>IF(C405="","",COUNTA($C$10:C406))</f>
        <v/>
      </c>
      <c r="C405" s="362"/>
      <c r="D405" s="845"/>
      <c r="E405" s="852" t="s">
        <v>2032</v>
      </c>
      <c r="F405" s="848" t="str">
        <f>VLOOKUP(E405,DICH!B:C,2,FALSE)</f>
        <v xml:space="preserve">  A - Material</v>
      </c>
      <c r="G405" s="846"/>
      <c r="H405" s="847"/>
      <c r="I405" s="848"/>
      <c r="J405" s="849">
        <f>SUM(J406:J408)</f>
        <v>17588540.496363636</v>
      </c>
      <c r="K405" s="850"/>
      <c r="L405" s="850"/>
      <c r="M405" s="850"/>
      <c r="N405" s="843" t="e">
        <f>SUMIF(#REF!,'8.Dgia'!A405,#REF!)+SUMIF(#REF!,'8.Dgia'!A405,#REF!)+SUMIF(#REF!,'8.Dgia'!A405,#REF!)+SUMIF(#REF!,'8.Dgia'!A405,#REF!)</f>
        <v>#REF!</v>
      </c>
      <c r="O405" s="844"/>
      <c r="P405" s="843" t="e">
        <f t="shared" si="17"/>
        <v>#REF!</v>
      </c>
    </row>
    <row r="406" spans="1:18" ht="15" customHeight="1">
      <c r="A406" s="657">
        <f>IF(B406="",MAX($A$8:A405)+0,MAX($A$8:A405)+1)</f>
        <v>43</v>
      </c>
      <c r="B406" s="835" t="str">
        <f>IF(C406="","",COUNTA($C$10:C407))</f>
        <v/>
      </c>
      <c r="C406" s="362"/>
      <c r="D406" s="851"/>
      <c r="E406" s="852" t="s">
        <v>676</v>
      </c>
      <c r="F406" s="848" t="str">
        <f>VLOOKUP(E406,DICH!B:C,2,FALSE)</f>
        <v>Steel pipe D114</v>
      </c>
      <c r="G406" s="362" t="s">
        <v>543</v>
      </c>
      <c r="H406" s="847">
        <f>100.5</f>
        <v>100.5</v>
      </c>
      <c r="I406" s="848">
        <f>VLOOKUP(E406,'11.gia '!$B:$I,8,FALSE)</f>
        <v>174466.66666666666</v>
      </c>
      <c r="J406" s="853">
        <f>I406*H406</f>
        <v>17533900</v>
      </c>
      <c r="N406" s="843" t="e">
        <f>SUMIF(#REF!,'8.Dgia'!A406,#REF!)+SUMIF(#REF!,'8.Dgia'!A406,#REF!)+SUMIF(#REF!,'8.Dgia'!A406,#REF!)+SUMIF(#REF!,'8.Dgia'!A406,#REF!)</f>
        <v>#REF!</v>
      </c>
      <c r="O406" s="844">
        <f>+$H$408</f>
        <v>0.01</v>
      </c>
      <c r="P406" s="843" t="e">
        <f t="shared" si="17"/>
        <v>#REF!</v>
      </c>
    </row>
    <row r="407" spans="1:18" ht="15" customHeight="1">
      <c r="A407" s="657">
        <f>IF(B407="",MAX($A$8:A406)+0,MAX($A$8:A406)+1)</f>
        <v>43</v>
      </c>
      <c r="B407" s="835" t="str">
        <f>IF(C407="","",COUNTA($C$10:C408))</f>
        <v/>
      </c>
      <c r="C407" s="362"/>
      <c r="D407" s="851"/>
      <c r="E407" s="852" t="s">
        <v>559</v>
      </c>
      <c r="F407" s="848" t="str">
        <f>VLOOKUP(E407,DICH!B:C,2,FALSE)</f>
        <v>welding electrode</v>
      </c>
      <c r="G407" s="362" t="s">
        <v>558</v>
      </c>
      <c r="H407" s="847">
        <v>2.77</v>
      </c>
      <c r="I407" s="848">
        <f>VLOOKUP(E407,'11.gia '!$B:$I,8,FALSE)</f>
        <v>19090.909090909088</v>
      </c>
      <c r="J407" s="853">
        <f>I407*H407</f>
        <v>52881.818181818177</v>
      </c>
      <c r="N407" s="843" t="e">
        <f>SUMIF(#REF!,'8.Dgia'!A407,#REF!)+SUMIF(#REF!,'8.Dgia'!A407,#REF!)+SUMIF(#REF!,'8.Dgia'!A407,#REF!)+SUMIF(#REF!,'8.Dgia'!A407,#REF!)</f>
        <v>#REF!</v>
      </c>
      <c r="O407" s="844">
        <f>+$H$408</f>
        <v>0.01</v>
      </c>
      <c r="P407" s="843" t="e">
        <f t="shared" si="17"/>
        <v>#REF!</v>
      </c>
    </row>
    <row r="408" spans="1:18" ht="15" customHeight="1">
      <c r="A408" s="657">
        <f>IF(B408="",MAX($A$8:A407)+0,MAX($A$8:A407)+1)</f>
        <v>43</v>
      </c>
      <c r="B408" s="835" t="str">
        <f>IF(C408="","",COUNTA($C$10:C409))</f>
        <v/>
      </c>
      <c r="C408" s="362"/>
      <c r="D408" s="851"/>
      <c r="E408" s="852" t="s">
        <v>555</v>
      </c>
      <c r="F408" s="848" t="str">
        <f>VLOOKUP(E408,DICH!B:C,2,FALSE)</f>
        <v>Other material</v>
      </c>
      <c r="G408" s="362" t="s">
        <v>554</v>
      </c>
      <c r="H408" s="847">
        <v>0.01</v>
      </c>
      <c r="I408" s="848">
        <f>SUM(J406:J407)</f>
        <v>17586781.818181816</v>
      </c>
      <c r="J408" s="853">
        <f>I408*H408%</f>
        <v>1758.6781818181817</v>
      </c>
      <c r="N408" s="843" t="e">
        <f>SUMIF(#REF!,'8.Dgia'!A408,#REF!)+SUMIF(#REF!,'8.Dgia'!A408,#REF!)+SUMIF(#REF!,'8.Dgia'!A408,#REF!)+SUMIF(#REF!,'8.Dgia'!A408,#REF!)</f>
        <v>#REF!</v>
      </c>
      <c r="O408" s="844"/>
      <c r="P408" s="843" t="e">
        <f t="shared" si="17"/>
        <v>#REF!</v>
      </c>
    </row>
    <row r="409" spans="1:18" s="658" customFormat="1" ht="15" customHeight="1">
      <c r="A409" s="657">
        <f>IF(B409="",MAX($A$8:A408)+0,MAX($A$8:A408)+1)</f>
        <v>43</v>
      </c>
      <c r="B409" s="835" t="str">
        <f>IF(C409="","",COUNTA($C$10:C410))</f>
        <v/>
      </c>
      <c r="C409" s="362"/>
      <c r="D409" s="845"/>
      <c r="E409" s="852" t="s">
        <v>2037</v>
      </c>
      <c r="F409" s="848" t="str">
        <f>VLOOKUP(E409,DICH!B:C,2,FALSE)</f>
        <v xml:space="preserve">  B - Labour 3.5/7</v>
      </c>
      <c r="G409" s="362" t="s">
        <v>4899</v>
      </c>
      <c r="H409" s="847">
        <v>60.93</v>
      </c>
      <c r="I409" s="848">
        <f>VLOOKUP(E409,'16.NC'!$C$11:$F$22,4,FALSE)</f>
        <v>202862</v>
      </c>
      <c r="J409" s="849">
        <f>I409*H409</f>
        <v>12360381.66</v>
      </c>
      <c r="K409" s="850"/>
      <c r="L409" s="850"/>
      <c r="M409" s="850"/>
      <c r="N409" s="843" t="e">
        <f>SUMIF(#REF!,'8.Dgia'!A409,#REF!)+SUMIF(#REF!,'8.Dgia'!A409,#REF!)+SUMIF(#REF!,'8.Dgia'!A409,#REF!)+SUMIF(#REF!,'8.Dgia'!A409,#REF!)</f>
        <v>#REF!</v>
      </c>
      <c r="O409" s="844"/>
      <c r="P409" s="843" t="e">
        <f t="shared" si="17"/>
        <v>#REF!</v>
      </c>
      <c r="R409" s="658">
        <v>1</v>
      </c>
    </row>
    <row r="410" spans="1:18" s="658" customFormat="1" ht="15" customHeight="1">
      <c r="A410" s="657">
        <f>IF(B410="",MAX($A$8:A409)+0,MAX($A$8:A409)+1)</f>
        <v>43</v>
      </c>
      <c r="B410" s="835" t="str">
        <f>IF(C410="","",COUNTA($C$10:C411))</f>
        <v/>
      </c>
      <c r="C410" s="362"/>
      <c r="D410" s="845"/>
      <c r="E410" s="852" t="s">
        <v>2033</v>
      </c>
      <c r="F410" s="848" t="str">
        <f>VLOOKUP(E410,DICH!B:C,2,FALSE)</f>
        <v xml:space="preserve">  C - Machine</v>
      </c>
      <c r="G410" s="846"/>
      <c r="H410" s="847"/>
      <c r="I410" s="848"/>
      <c r="J410" s="849">
        <f>SUM(J411:J412)</f>
        <v>131569.0773075</v>
      </c>
      <c r="K410" s="850"/>
      <c r="L410" s="850"/>
      <c r="M410" s="850"/>
      <c r="N410" s="843" t="e">
        <f>SUMIF(#REF!,'8.Dgia'!A410,#REF!)+SUMIF(#REF!,'8.Dgia'!A410,#REF!)+SUMIF(#REF!,'8.Dgia'!A410,#REF!)+SUMIF(#REF!,'8.Dgia'!A410,#REF!)</f>
        <v>#REF!</v>
      </c>
      <c r="O410" s="844"/>
      <c r="P410" s="843" t="e">
        <f t="shared" si="17"/>
        <v>#REF!</v>
      </c>
    </row>
    <row r="411" spans="1:18" ht="15" customHeight="1">
      <c r="A411" s="657">
        <f>IF(B411="",MAX($A$8:A410)+0,MAX($A$8:A410)+1)</f>
        <v>43</v>
      </c>
      <c r="B411" s="835" t="str">
        <f>IF(C411="","",COUNTA($C$10:C412))</f>
        <v/>
      </c>
      <c r="C411" s="362"/>
      <c r="D411" s="851"/>
      <c r="E411" s="852" t="s">
        <v>560</v>
      </c>
      <c r="F411" s="848" t="str">
        <f>VLOOKUP(E411,'9.may'!E:F,2,FALSE)</f>
        <v>welding machine 23kW</v>
      </c>
      <c r="G411" s="362" t="s">
        <v>4902</v>
      </c>
      <c r="H411" s="865">
        <v>0.73</v>
      </c>
      <c r="I411" s="848">
        <f>VLOOKUP(E411,'9.may'!E:W,12,FALSE)</f>
        <v>171649.155</v>
      </c>
      <c r="J411" s="853">
        <f>I411*H411</f>
        <v>125303.88314999999</v>
      </c>
      <c r="N411" s="843" t="e">
        <f>SUMIF(#REF!,'8.Dgia'!A411,#REF!)+SUMIF(#REF!,'8.Dgia'!A411,#REF!)+SUMIF(#REF!,'8.Dgia'!A411,#REF!)+SUMIF(#REF!,'8.Dgia'!A411,#REF!)</f>
        <v>#REF!</v>
      </c>
      <c r="O411" s="844"/>
      <c r="P411" s="843" t="e">
        <f t="shared" si="17"/>
        <v>#REF!</v>
      </c>
    </row>
    <row r="412" spans="1:18" ht="15" customHeight="1">
      <c r="A412" s="657">
        <f>IF(B412="",MAX($A$8:A411)+0,MAX($A$8:A411)+1)</f>
        <v>43</v>
      </c>
      <c r="B412" s="835" t="str">
        <f>IF(C412="","",COUNTA($C$10:C413))</f>
        <v/>
      </c>
      <c r="C412" s="362"/>
      <c r="D412" s="851"/>
      <c r="E412" s="852" t="s">
        <v>553</v>
      </c>
      <c r="F412" s="848" t="str">
        <f>VLOOKUP(E412,DICH!B:C,2,FALSE)</f>
        <v>Other machine</v>
      </c>
      <c r="G412" s="362" t="s">
        <v>554</v>
      </c>
      <c r="H412" s="847">
        <v>5</v>
      </c>
      <c r="I412" s="848">
        <f>SUM(J411:J411)</f>
        <v>125303.88314999999</v>
      </c>
      <c r="J412" s="853">
        <f>I412*H412%</f>
        <v>6265.1941575000001</v>
      </c>
      <c r="N412" s="843" t="e">
        <f>SUMIF(#REF!,'8.Dgia'!A412,#REF!)+SUMIF(#REF!,'8.Dgia'!A412,#REF!)+SUMIF(#REF!,'8.Dgia'!A412,#REF!)+SUMIF(#REF!,'8.Dgia'!A412,#REF!)</f>
        <v>#REF!</v>
      </c>
      <c r="O412" s="844"/>
      <c r="P412" s="843" t="e">
        <f t="shared" si="17"/>
        <v>#REF!</v>
      </c>
    </row>
    <row r="413" spans="1:18" ht="15" customHeight="1">
      <c r="A413" s="657">
        <f>IF(B413="",MAX($A$8:A412)+0,MAX($A$8:A412)+1)</f>
        <v>44</v>
      </c>
      <c r="B413" s="835">
        <f>IF(C413="","",COUNTA($C$10:C414))</f>
        <v>44</v>
      </c>
      <c r="C413" s="835">
        <f>IF(D413="","",1776)</f>
        <v>1776</v>
      </c>
      <c r="D413" s="851" t="s">
        <v>59</v>
      </c>
      <c r="E413" s="855" t="s">
        <v>92</v>
      </c>
      <c r="F413" s="1049" t="str">
        <f>VLOOKUP(E413,DICH!B:C,2,FALSE)</f>
        <v>Non - shringkage motar covering steel pipe</v>
      </c>
      <c r="G413" s="856" t="s">
        <v>545</v>
      </c>
      <c r="H413" s="847"/>
      <c r="I413" s="848"/>
      <c r="J413" s="853"/>
      <c r="K413" s="842">
        <f>+J414</f>
        <v>22208640.713</v>
      </c>
      <c r="L413" s="842">
        <f>+J417</f>
        <v>7815693.9000000004</v>
      </c>
      <c r="M413" s="842">
        <f>+J418</f>
        <v>102972.00913200001</v>
      </c>
      <c r="N413" s="843" t="e">
        <f>SUMIF(#REF!,'8.Dgia'!A413,#REF!)+SUMIF(#REF!,'8.Dgia'!A413,#REF!)+SUMIF(#REF!,'8.Dgia'!A413,#REF!)+SUMIF(#REF!,'8.Dgia'!A413,#REF!)</f>
        <v>#REF!</v>
      </c>
      <c r="O413" s="844"/>
      <c r="P413" s="843" t="e">
        <f t="shared" si="17"/>
        <v>#REF!</v>
      </c>
    </row>
    <row r="414" spans="1:18" s="658" customFormat="1" ht="15" customHeight="1">
      <c r="A414" s="657">
        <f>IF(B414="",MAX($A$8:A413)+0,MAX($A$8:A413)+1)</f>
        <v>44</v>
      </c>
      <c r="B414" s="835" t="str">
        <f>IF(C414="","",COUNTA($C$10:C415))</f>
        <v/>
      </c>
      <c r="C414" s="362"/>
      <c r="D414" s="845"/>
      <c r="E414" s="852" t="s">
        <v>2032</v>
      </c>
      <c r="F414" s="848" t="str">
        <f>VLOOKUP(E414,DICH!B:C,2,FALSE)</f>
        <v xml:space="preserve">  A - Material</v>
      </c>
      <c r="G414" s="846"/>
      <c r="H414" s="847"/>
      <c r="I414" s="848"/>
      <c r="J414" s="849">
        <f>SUM(J415:J416)</f>
        <v>22208640.713</v>
      </c>
      <c r="K414" s="850"/>
      <c r="L414" s="850"/>
      <c r="M414" s="850"/>
      <c r="N414" s="843" t="e">
        <f>SUMIF(#REF!,'8.Dgia'!A414,#REF!)+SUMIF(#REF!,'8.Dgia'!A414,#REF!)+SUMIF(#REF!,'8.Dgia'!A414,#REF!)+SUMIF(#REF!,'8.Dgia'!A414,#REF!)</f>
        <v>#REF!</v>
      </c>
      <c r="O414" s="844"/>
      <c r="P414" s="843" t="e">
        <f t="shared" si="17"/>
        <v>#REF!</v>
      </c>
    </row>
    <row r="415" spans="1:18" ht="15" customHeight="1">
      <c r="A415" s="657">
        <f>IF(B415="",MAX($A$8:A414)+0,MAX($A$8:A414)+1)</f>
        <v>44</v>
      </c>
      <c r="B415" s="835" t="str">
        <f>IF(C415="","",COUNTA($C$10:C416))</f>
        <v/>
      </c>
      <c r="C415" s="851"/>
      <c r="D415" s="851" t="str">
        <f>+'10.PLV'!$C$112</f>
        <v>VD</v>
      </c>
      <c r="E415" s="852" t="str">
        <f>+'10.PLV'!$D$112</f>
        <v>Vữa không co ngót</v>
      </c>
      <c r="F415" s="848" t="str">
        <f>VLOOKUP(E415,DICH!B:C,2,FALSE)</f>
        <v>Non-shringkage mortar</v>
      </c>
      <c r="G415" s="362" t="s">
        <v>545</v>
      </c>
      <c r="H415" s="847">
        <v>1.0149999999999999</v>
      </c>
      <c r="I415" s="848">
        <f>VLOOKUP(E415,'11.gia '!B:I,8,FALSE)</f>
        <v>21243140</v>
      </c>
      <c r="J415" s="853">
        <f>I415*H415</f>
        <v>21561787.099999998</v>
      </c>
      <c r="N415" s="843" t="e">
        <f>SUMIF(#REF!,'8.Dgia'!A415,#REF!)+SUMIF(#REF!,'8.Dgia'!A415,#REF!)+SUMIF(#REF!,'8.Dgia'!A415,#REF!)+SUMIF(#REF!,'8.Dgia'!A415,#REF!)</f>
        <v>#REF!</v>
      </c>
      <c r="O415" s="844"/>
      <c r="P415" s="843" t="e">
        <f t="shared" si="17"/>
        <v>#REF!</v>
      </c>
    </row>
    <row r="416" spans="1:18" ht="15" customHeight="1">
      <c r="A416" s="657">
        <f>IF(B416="",MAX($A$8:A415)+0,MAX($A$8:A415)+1)</f>
        <v>44</v>
      </c>
      <c r="B416" s="835" t="str">
        <f>IF(C416="","",COUNTA($C$10:C417))</f>
        <v/>
      </c>
      <c r="C416" s="362"/>
      <c r="D416" s="851"/>
      <c r="E416" s="852" t="s">
        <v>555</v>
      </c>
      <c r="F416" s="848" t="str">
        <f>VLOOKUP(E416,DICH!B:C,2,FALSE)</f>
        <v>Other material</v>
      </c>
      <c r="G416" s="362" t="s">
        <v>554</v>
      </c>
      <c r="H416" s="847">
        <v>3</v>
      </c>
      <c r="I416" s="848">
        <f>SUM(J415:J415)</f>
        <v>21561787.099999998</v>
      </c>
      <c r="J416" s="853">
        <f>I416*H416%</f>
        <v>646853.6129999999</v>
      </c>
      <c r="N416" s="843" t="e">
        <f>SUMIF(#REF!,'8.Dgia'!A416,#REF!)+SUMIF(#REF!,'8.Dgia'!A416,#REF!)+SUMIF(#REF!,'8.Dgia'!A416,#REF!)+SUMIF(#REF!,'8.Dgia'!A416,#REF!)</f>
        <v>#REF!</v>
      </c>
      <c r="O416" s="844"/>
      <c r="P416" s="843" t="e">
        <f t="shared" si="17"/>
        <v>#REF!</v>
      </c>
    </row>
    <row r="417" spans="1:18" s="658" customFormat="1" ht="15" customHeight="1">
      <c r="A417" s="657">
        <f>IF(B417="",MAX($A$8:A416)+0,MAX($A$8:A416)+1)</f>
        <v>44</v>
      </c>
      <c r="B417" s="835" t="str">
        <f>IF(C417="","",COUNTA($C$10:C418))</f>
        <v/>
      </c>
      <c r="C417" s="362"/>
      <c r="D417" s="845"/>
      <c r="E417" s="852" t="s">
        <v>2039</v>
      </c>
      <c r="F417" s="848" t="str">
        <f>VLOOKUP(E417,DICH!B:C,2,FALSE)</f>
        <v xml:space="preserve">  B - Labour 4.0/7</v>
      </c>
      <c r="G417" s="362" t="s">
        <v>4899</v>
      </c>
      <c r="H417" s="847">
        <v>35.700000000000003</v>
      </c>
      <c r="I417" s="848">
        <f>VLOOKUP(E417,'16.NC'!$C$11:$F$22,4,FALSE)</f>
        <v>218927</v>
      </c>
      <c r="J417" s="849">
        <f>I417*H417</f>
        <v>7815693.9000000004</v>
      </c>
      <c r="K417" s="850"/>
      <c r="L417" s="850"/>
      <c r="M417" s="850"/>
      <c r="N417" s="843" t="e">
        <f>SUMIF(#REF!,'8.Dgia'!A417,#REF!)+SUMIF(#REF!,'8.Dgia'!A417,#REF!)+SUMIF(#REF!,'8.Dgia'!A417,#REF!)+SUMIF(#REF!,'8.Dgia'!A417,#REF!)</f>
        <v>#REF!</v>
      </c>
      <c r="O417" s="844"/>
      <c r="P417" s="843" t="e">
        <f t="shared" si="17"/>
        <v>#REF!</v>
      </c>
      <c r="R417" s="658">
        <v>1</v>
      </c>
    </row>
    <row r="418" spans="1:18" s="658" customFormat="1" ht="15" customHeight="1">
      <c r="A418" s="657">
        <f>IF(B418="",MAX($A$8:A417)+0,MAX($A$8:A417)+1)</f>
        <v>44</v>
      </c>
      <c r="B418" s="835" t="str">
        <f>IF(C418="","",COUNTA($C$10:C419))</f>
        <v/>
      </c>
      <c r="C418" s="362"/>
      <c r="D418" s="845"/>
      <c r="E418" s="852" t="s">
        <v>2033</v>
      </c>
      <c r="F418" s="848" t="str">
        <f>VLOOKUP(E418,DICH!B:C,2,FALSE)</f>
        <v xml:space="preserve">  C - Machine</v>
      </c>
      <c r="G418" s="846"/>
      <c r="H418" s="847"/>
      <c r="I418" s="848"/>
      <c r="J418" s="849">
        <f>SUM(J419:J422)</f>
        <v>102972.00913200001</v>
      </c>
      <c r="K418" s="850"/>
      <c r="L418" s="850"/>
      <c r="M418" s="850"/>
      <c r="N418" s="843" t="e">
        <f>SUMIF(#REF!,'8.Dgia'!A418,#REF!)+SUMIF(#REF!,'8.Dgia'!A418,#REF!)+SUMIF(#REF!,'8.Dgia'!A418,#REF!)+SUMIF(#REF!,'8.Dgia'!A418,#REF!)</f>
        <v>#REF!</v>
      </c>
      <c r="O418" s="844"/>
      <c r="P418" s="843" t="e">
        <f t="shared" si="17"/>
        <v>#REF!</v>
      </c>
    </row>
    <row r="419" spans="1:18" ht="15" customHeight="1">
      <c r="A419" s="657">
        <f>IF(B419="",MAX($A$8:A418)+0,MAX($A$8:A418)+1)</f>
        <v>44</v>
      </c>
      <c r="B419" s="835" t="str">
        <f>IF(C419="","",COUNTA($C$10:C420))</f>
        <v/>
      </c>
      <c r="C419" s="362"/>
      <c r="D419" s="851"/>
      <c r="E419" s="852" t="s">
        <v>576</v>
      </c>
      <c r="F419" s="848" t="str">
        <f>VLOOKUP(E419,'9.may'!E:F,2,FALSE)</f>
        <v>mortar mixer 80L</v>
      </c>
      <c r="G419" s="362" t="s">
        <v>4902</v>
      </c>
      <c r="H419" s="867">
        <v>0.2</v>
      </c>
      <c r="I419" s="848">
        <f>VLOOKUP(E419,'9.may'!E:W,12,FALSE)</f>
        <v>85162.991999999998</v>
      </c>
      <c r="J419" s="853">
        <f>I419*H419</f>
        <v>17032.598399999999</v>
      </c>
      <c r="N419" s="843" t="e">
        <f>SUMIF(#REF!,'8.Dgia'!A419,#REF!)+SUMIF(#REF!,'8.Dgia'!A419,#REF!)+SUMIF(#REF!,'8.Dgia'!A419,#REF!)+SUMIF(#REF!,'8.Dgia'!A419,#REF!)</f>
        <v>#REF!</v>
      </c>
      <c r="O419" s="844"/>
      <c r="P419" s="843" t="e">
        <f t="shared" si="17"/>
        <v>#REF!</v>
      </c>
    </row>
    <row r="420" spans="1:18" ht="15" customHeight="1">
      <c r="A420" s="657">
        <f>IF(B420="",MAX($A$8:A419)+0,MAX($A$8:A419)+1)</f>
        <v>44</v>
      </c>
      <c r="B420" s="835" t="str">
        <f>IF(C420="","",COUNTA($C$10:C421))</f>
        <v/>
      </c>
      <c r="C420" s="362"/>
      <c r="D420" s="851"/>
      <c r="E420" s="852" t="s">
        <v>1172</v>
      </c>
      <c r="F420" s="848" t="str">
        <f>VLOOKUP(E420,'9.may'!E:F,2,FALSE)</f>
        <v>mortar pump 2m3/h</v>
      </c>
      <c r="G420" s="362" t="s">
        <v>4902</v>
      </c>
      <c r="H420" s="867">
        <v>0.2</v>
      </c>
      <c r="I420" s="848">
        <f>VLOOKUP(E420,'9.may'!E:W,12,FALSE)</f>
        <v>211608.30000000002</v>
      </c>
      <c r="J420" s="853">
        <f>I420*H420</f>
        <v>42321.66</v>
      </c>
      <c r="N420" s="843" t="e">
        <f>SUMIF(#REF!,'8.Dgia'!A420,#REF!)+SUMIF(#REF!,'8.Dgia'!A420,#REF!)+SUMIF(#REF!,'8.Dgia'!A420,#REF!)+SUMIF(#REF!,'8.Dgia'!A420,#REF!)</f>
        <v>#REF!</v>
      </c>
      <c r="O420" s="844"/>
      <c r="P420" s="843" t="e">
        <f t="shared" si="17"/>
        <v>#REF!</v>
      </c>
    </row>
    <row r="421" spans="1:18" ht="15" customHeight="1">
      <c r="A421" s="657">
        <f>IF(B421="",MAX($A$8:A420)+0,MAX($A$8:A420)+1)</f>
        <v>44</v>
      </c>
      <c r="B421" s="835" t="str">
        <f>IF(C421="","",COUNTA($C$10:C422))</f>
        <v/>
      </c>
      <c r="C421" s="362"/>
      <c r="D421" s="851"/>
      <c r="E421" s="852" t="s">
        <v>393</v>
      </c>
      <c r="F421" s="848" t="str">
        <f>VLOOKUP(E421,'9.may'!E:F,2,FALSE)</f>
        <v>water pump 20kW</v>
      </c>
      <c r="G421" s="362" t="s">
        <v>4902</v>
      </c>
      <c r="H421" s="867">
        <v>0.2</v>
      </c>
      <c r="I421" s="848">
        <f>VLOOKUP(E421,'9.may'!E:W,12,FALSE)</f>
        <v>203092.83000000002</v>
      </c>
      <c r="J421" s="853">
        <f>I421*H421</f>
        <v>40618.566000000006</v>
      </c>
      <c r="N421" s="843" t="e">
        <f>SUMIF(#REF!,'8.Dgia'!A421,#REF!)+SUMIF(#REF!,'8.Dgia'!A421,#REF!)+SUMIF(#REF!,'8.Dgia'!A421,#REF!)+SUMIF(#REF!,'8.Dgia'!A421,#REF!)</f>
        <v>#REF!</v>
      </c>
      <c r="O421" s="844"/>
      <c r="P421" s="843" t="e">
        <f t="shared" si="17"/>
        <v>#REF!</v>
      </c>
    </row>
    <row r="422" spans="1:18" ht="15" customHeight="1">
      <c r="A422" s="657">
        <f>IF(B422="",MAX($A$8:A421)+0,MAX($A$8:A421)+1)</f>
        <v>44</v>
      </c>
      <c r="B422" s="835" t="str">
        <f>IF(C422="","",COUNTA($C$10:C423))</f>
        <v/>
      </c>
      <c r="C422" s="362"/>
      <c r="D422" s="851"/>
      <c r="E422" s="852" t="s">
        <v>553</v>
      </c>
      <c r="F422" s="848" t="str">
        <f>VLOOKUP(E422,DICH!B:C,2,FALSE)</f>
        <v>Other machine</v>
      </c>
      <c r="G422" s="362" t="s">
        <v>554</v>
      </c>
      <c r="H422" s="847">
        <v>3</v>
      </c>
      <c r="I422" s="848">
        <f>SUM(J419:J421)</f>
        <v>99972.824400000012</v>
      </c>
      <c r="J422" s="853">
        <f>I422*H422%</f>
        <v>2999.1847320000002</v>
      </c>
      <c r="N422" s="843" t="e">
        <f>SUMIF(#REF!,'8.Dgia'!A422,#REF!)+SUMIF(#REF!,'8.Dgia'!A422,#REF!)+SUMIF(#REF!,'8.Dgia'!A422,#REF!)+SUMIF(#REF!,'8.Dgia'!A422,#REF!)</f>
        <v>#REF!</v>
      </c>
      <c r="O422" s="844"/>
      <c r="P422" s="843" t="e">
        <f t="shared" si="17"/>
        <v>#REF!</v>
      </c>
    </row>
    <row r="423" spans="1:18" ht="15" customHeight="1">
      <c r="A423" s="657">
        <f>IF(B423="",MAX($A$8:A422)+0,MAX($A$8:A422)+1)</f>
        <v>45</v>
      </c>
      <c r="B423" s="835">
        <f>IF(C423="","",COUNTA($C$10:C424))</f>
        <v>45</v>
      </c>
      <c r="C423" s="835">
        <f>IF(D423="","",1776)</f>
        <v>1776</v>
      </c>
      <c r="D423" s="851" t="s">
        <v>438</v>
      </c>
      <c r="E423" s="855" t="s">
        <v>41</v>
      </c>
      <c r="F423" s="1049" t="str">
        <f>VLOOKUP(E423,DICH!B:C,2,FALSE)</f>
        <v>Breaking concrete piercing pile (land)</v>
      </c>
      <c r="G423" s="856" t="s">
        <v>545</v>
      </c>
      <c r="H423" s="847"/>
      <c r="I423" s="848"/>
      <c r="J423" s="853"/>
      <c r="K423" s="842">
        <f>+J424</f>
        <v>22909.090909090904</v>
      </c>
      <c r="L423" s="842">
        <f>+J426</f>
        <v>157627.44</v>
      </c>
      <c r="M423" s="842">
        <f>+J427</f>
        <v>490856.07061636366</v>
      </c>
      <c r="N423" s="843" t="e">
        <f>SUMIF(#REF!,'8.Dgia'!A423,#REF!)+SUMIF(#REF!,'8.Dgia'!A423,#REF!)+SUMIF(#REF!,'8.Dgia'!A423,#REF!)+SUMIF(#REF!,'8.Dgia'!A423,#REF!)</f>
        <v>#REF!</v>
      </c>
      <c r="O423" s="844"/>
      <c r="P423" s="843" t="e">
        <f t="shared" si="17"/>
        <v>#REF!</v>
      </c>
    </row>
    <row r="424" spans="1:18" s="658" customFormat="1" ht="15" customHeight="1">
      <c r="A424" s="657">
        <f>IF(B424="",MAX($A$8:A423)+0,MAX($A$8:A423)+1)</f>
        <v>45</v>
      </c>
      <c r="B424" s="835" t="str">
        <f>IF(C424="","",COUNTA($C$10:C425))</f>
        <v/>
      </c>
      <c r="C424" s="362"/>
      <c r="D424" s="845"/>
      <c r="E424" s="852" t="s">
        <v>2032</v>
      </c>
      <c r="F424" s="848" t="str">
        <f>VLOOKUP(E424,DICH!B:C,2,FALSE)</f>
        <v xml:space="preserve">  A - Material</v>
      </c>
      <c r="G424" s="846"/>
      <c r="H424" s="847"/>
      <c r="I424" s="848"/>
      <c r="J424" s="849">
        <f>J425</f>
        <v>22909.090909090904</v>
      </c>
      <c r="K424" s="850"/>
      <c r="L424" s="850"/>
      <c r="M424" s="850"/>
      <c r="N424" s="843" t="e">
        <f>SUMIF(#REF!,'8.Dgia'!A424,#REF!)+SUMIF(#REF!,'8.Dgia'!A424,#REF!)+SUMIF(#REF!,'8.Dgia'!A424,#REF!)+SUMIF(#REF!,'8.Dgia'!A424,#REF!)</f>
        <v>#REF!</v>
      </c>
      <c r="O424" s="844"/>
      <c r="P424" s="843" t="e">
        <f t="shared" si="17"/>
        <v>#REF!</v>
      </c>
    </row>
    <row r="425" spans="1:18" ht="15" customHeight="1">
      <c r="A425" s="657">
        <f>IF(B425="",MAX($A$8:A424)+0,MAX($A$8:A424)+1)</f>
        <v>45</v>
      </c>
      <c r="B425" s="835" t="str">
        <f>IF(C425="","",COUNTA($C$10:C426))</f>
        <v/>
      </c>
      <c r="C425" s="362"/>
      <c r="D425" s="851"/>
      <c r="E425" s="852" t="s">
        <v>559</v>
      </c>
      <c r="F425" s="848" t="str">
        <f>VLOOKUP(E425,DICH!B:C,2,FALSE)</f>
        <v>welding electrode</v>
      </c>
      <c r="G425" s="362" t="s">
        <v>558</v>
      </c>
      <c r="H425" s="847">
        <v>1.2</v>
      </c>
      <c r="I425" s="848">
        <f>VLOOKUP(E425,'11.gia '!$B:$I,8,FALSE)</f>
        <v>19090.909090909088</v>
      </c>
      <c r="J425" s="853">
        <f>I425*H425</f>
        <v>22909.090909090904</v>
      </c>
      <c r="N425" s="843" t="e">
        <f>SUMIF(#REF!,'8.Dgia'!A425,#REF!)+SUMIF(#REF!,'8.Dgia'!A425,#REF!)+SUMIF(#REF!,'8.Dgia'!A425,#REF!)+SUMIF(#REF!,'8.Dgia'!A425,#REF!)</f>
        <v>#REF!</v>
      </c>
      <c r="O425" s="844"/>
      <c r="P425" s="843" t="e">
        <f t="shared" si="17"/>
        <v>#REF!</v>
      </c>
    </row>
    <row r="426" spans="1:18" s="658" customFormat="1" ht="15" customHeight="1">
      <c r="A426" s="657">
        <f>IF(B426="",MAX($A$8:A425)+0,MAX($A$8:A425)+1)</f>
        <v>45</v>
      </c>
      <c r="B426" s="835" t="str">
        <f>IF(C426="","",COUNTA($C$10:C427))</f>
        <v/>
      </c>
      <c r="C426" s="362"/>
      <c r="D426" s="845"/>
      <c r="E426" s="852" t="s">
        <v>2039</v>
      </c>
      <c r="F426" s="848" t="str">
        <f>VLOOKUP(E426,DICH!B:C,2,FALSE)</f>
        <v xml:space="preserve">  B - Labour 4.0/7</v>
      </c>
      <c r="G426" s="362" t="s">
        <v>4899</v>
      </c>
      <c r="H426" s="847">
        <v>0.72</v>
      </c>
      <c r="I426" s="848">
        <f>VLOOKUP(E426,'16.NC'!$C$11:$F$22,4,FALSE)</f>
        <v>218927</v>
      </c>
      <c r="J426" s="849">
        <f>I426*H426</f>
        <v>157627.44</v>
      </c>
      <c r="K426" s="850"/>
      <c r="L426" s="850"/>
      <c r="M426" s="850"/>
      <c r="N426" s="843" t="e">
        <f>SUMIF(#REF!,'8.Dgia'!A426,#REF!)+SUMIF(#REF!,'8.Dgia'!A426,#REF!)+SUMIF(#REF!,'8.Dgia'!A426,#REF!)+SUMIF(#REF!,'8.Dgia'!A426,#REF!)</f>
        <v>#REF!</v>
      </c>
      <c r="O426" s="844"/>
      <c r="P426" s="843" t="e">
        <f t="shared" si="17"/>
        <v>#REF!</v>
      </c>
      <c r="R426" s="658">
        <v>1</v>
      </c>
    </row>
    <row r="427" spans="1:18" s="658" customFormat="1" ht="15" customHeight="1">
      <c r="A427" s="657">
        <f>IF(B427="",MAX($A$8:A426)+0,MAX($A$8:A426)+1)</f>
        <v>45</v>
      </c>
      <c r="B427" s="835" t="str">
        <f>IF(C427="","",COUNTA($C$10:C428))</f>
        <v/>
      </c>
      <c r="C427" s="362"/>
      <c r="D427" s="845"/>
      <c r="E427" s="852" t="s">
        <v>2033</v>
      </c>
      <c r="F427" s="848" t="str">
        <f>VLOOKUP(E427,DICH!B:C,2,FALSE)</f>
        <v xml:space="preserve">  C - Machine</v>
      </c>
      <c r="G427" s="846"/>
      <c r="H427" s="847"/>
      <c r="I427" s="848"/>
      <c r="J427" s="849">
        <f>SUM(J428:J431)</f>
        <v>490856.07061636366</v>
      </c>
      <c r="K427" s="850"/>
      <c r="L427" s="850"/>
      <c r="M427" s="850"/>
      <c r="N427" s="843" t="e">
        <f>SUMIF(#REF!,'8.Dgia'!A427,#REF!)+SUMIF(#REF!,'8.Dgia'!A427,#REF!)+SUMIF(#REF!,'8.Dgia'!A427,#REF!)+SUMIF(#REF!,'8.Dgia'!A427,#REF!)</f>
        <v>#REF!</v>
      </c>
      <c r="O427" s="844"/>
      <c r="P427" s="843" t="e">
        <f t="shared" si="17"/>
        <v>#REF!</v>
      </c>
    </row>
    <row r="428" spans="1:18" ht="15" customHeight="1">
      <c r="A428" s="657">
        <f>IF(B428="",MAX($A$8:A427)+0,MAX($A$8:A427)+1)</f>
        <v>45</v>
      </c>
      <c r="B428" s="835" t="str">
        <f>IF(C428="","",COUNTA($C$10:C429))</f>
        <v/>
      </c>
      <c r="C428" s="362"/>
      <c r="D428" s="851"/>
      <c r="E428" s="852" t="s">
        <v>1408</v>
      </c>
      <c r="F428" s="848" t="str">
        <f>VLOOKUP(E428,'9.may'!E:F,2,FALSE)</f>
        <v>Air compressed hammer 1.5m3/min</v>
      </c>
      <c r="G428" s="362" t="s">
        <v>4902</v>
      </c>
      <c r="H428" s="847">
        <v>0.35</v>
      </c>
      <c r="I428" s="848">
        <f>VLOOKUP(E428,'9.may'!E:W,12,FALSE)</f>
        <v>66493.05</v>
      </c>
      <c r="J428" s="853">
        <f>I428*H428</f>
        <v>23272.567500000001</v>
      </c>
      <c r="N428" s="843" t="e">
        <f>SUMIF(#REF!,'8.Dgia'!A428,#REF!)+SUMIF(#REF!,'8.Dgia'!A428,#REF!)+SUMIF(#REF!,'8.Dgia'!A428,#REF!)+SUMIF(#REF!,'8.Dgia'!A428,#REF!)</f>
        <v>#REF!</v>
      </c>
      <c r="O428" s="844"/>
      <c r="P428" s="843" t="e">
        <f t="shared" si="17"/>
        <v>#REF!</v>
      </c>
    </row>
    <row r="429" spans="1:18" ht="15" customHeight="1">
      <c r="A429" s="657">
        <f>IF(B429="",MAX($A$8:A428)+0,MAX($A$8:A428)+1)</f>
        <v>45</v>
      </c>
      <c r="B429" s="835" t="str">
        <f>IF(C429="","",COUNTA($C$10:C430))</f>
        <v/>
      </c>
      <c r="C429" s="362"/>
      <c r="D429" s="851"/>
      <c r="E429" s="852" t="s">
        <v>439</v>
      </c>
      <c r="F429" s="848" t="str">
        <f>VLOOKUP(E429,'9.may'!E:F,2,FALSE)</f>
        <v>diesel air compressor 360m3/h</v>
      </c>
      <c r="G429" s="362" t="s">
        <v>4902</v>
      </c>
      <c r="H429" s="847">
        <v>0.18</v>
      </c>
      <c r="I429" s="848">
        <f>VLOOKUP(E429,'9.may'!E:W,12,FALSE)</f>
        <v>1130690.8450909092</v>
      </c>
      <c r="J429" s="853">
        <f>I429*H429</f>
        <v>203524.35211636365</v>
      </c>
      <c r="N429" s="843" t="e">
        <f>SUMIF(#REF!,'8.Dgia'!A429,#REF!)+SUMIF(#REF!,'8.Dgia'!A429,#REF!)+SUMIF(#REF!,'8.Dgia'!A429,#REF!)+SUMIF(#REF!,'8.Dgia'!A429,#REF!)</f>
        <v>#REF!</v>
      </c>
      <c r="O429" s="844"/>
      <c r="P429" s="843" t="e">
        <f t="shared" si="17"/>
        <v>#REF!</v>
      </c>
    </row>
    <row r="430" spans="1:18" ht="15" customHeight="1">
      <c r="A430" s="657">
        <f>IF(B430="",MAX($A$8:A429)+0,MAX($A$8:A429)+1)</f>
        <v>45</v>
      </c>
      <c r="B430" s="835" t="str">
        <f>IF(C430="","",COUNTA($C$10:C431))</f>
        <v/>
      </c>
      <c r="C430" s="362"/>
      <c r="D430" s="851"/>
      <c r="E430" s="852" t="s">
        <v>560</v>
      </c>
      <c r="F430" s="848" t="str">
        <f>VLOOKUP(E430,'9.may'!E:F,2,FALSE)</f>
        <v>welding machine 23kW</v>
      </c>
      <c r="G430" s="362" t="s">
        <v>4902</v>
      </c>
      <c r="H430" s="847">
        <v>0.23</v>
      </c>
      <c r="I430" s="848">
        <f>VLOOKUP(E430,'9.may'!E:W,12,FALSE)</f>
        <v>171649.155</v>
      </c>
      <c r="J430" s="853">
        <f>I430*H430</f>
        <v>39479.305650000002</v>
      </c>
      <c r="N430" s="843" t="e">
        <f>SUMIF(#REF!,'8.Dgia'!A430,#REF!)+SUMIF(#REF!,'8.Dgia'!A430,#REF!)+SUMIF(#REF!,'8.Dgia'!A430,#REF!)+SUMIF(#REF!,'8.Dgia'!A430,#REF!)</f>
        <v>#REF!</v>
      </c>
      <c r="O430" s="844"/>
      <c r="P430" s="843" t="e">
        <f t="shared" si="17"/>
        <v>#REF!</v>
      </c>
    </row>
    <row r="431" spans="1:18" ht="15" customHeight="1">
      <c r="A431" s="657">
        <f>IF(B431="",MAX($A$8:A430)+0,MAX($A$8:A430)+1)</f>
        <v>45</v>
      </c>
      <c r="B431" s="835" t="str">
        <f>IF(C431="","",COUNTA($C$10:C432))</f>
        <v/>
      </c>
      <c r="C431" s="362"/>
      <c r="D431" s="851"/>
      <c r="E431" s="852" t="s">
        <v>286</v>
      </c>
      <c r="F431" s="848" t="str">
        <f>VLOOKUP(E431,'9.may'!E:F,2,FALSE)</f>
        <v>tyre crane 16T</v>
      </c>
      <c r="G431" s="362" t="s">
        <v>4902</v>
      </c>
      <c r="H431" s="847">
        <v>0.111</v>
      </c>
      <c r="I431" s="848">
        <f>VLOOKUP(E431,'9.may'!E:W,12,FALSE)</f>
        <v>2023241.85</v>
      </c>
      <c r="J431" s="853">
        <f>I431*H431</f>
        <v>224579.84535000002</v>
      </c>
      <c r="N431" s="843" t="e">
        <f>SUMIF(#REF!,'8.Dgia'!A431,#REF!)+SUMIF(#REF!,'8.Dgia'!A431,#REF!)+SUMIF(#REF!,'8.Dgia'!A431,#REF!)+SUMIF(#REF!,'8.Dgia'!A431,#REF!)</f>
        <v>#REF!</v>
      </c>
      <c r="O431" s="844"/>
      <c r="P431" s="843" t="e">
        <f t="shared" si="17"/>
        <v>#REF!</v>
      </c>
    </row>
    <row r="432" spans="1:18" ht="15" customHeight="1">
      <c r="A432" s="657">
        <f>IF(B432="",MAX($A$8:A431)+0,MAX($A$8:A431)+1)</f>
        <v>46</v>
      </c>
      <c r="B432" s="835">
        <f>IF(C432="","",COUNTA($C$10:C433))</f>
        <v>46</v>
      </c>
      <c r="C432" s="835">
        <f>IF(D432="","",1776)</f>
        <v>1776</v>
      </c>
      <c r="D432" s="851" t="s">
        <v>3465</v>
      </c>
      <c r="E432" s="855" t="s">
        <v>3480</v>
      </c>
      <c r="F432" s="1049" t="str">
        <f>VLOOKUP(E432,DICH!B:C,2,FALSE)</f>
        <v>Demolishing casting bed</v>
      </c>
      <c r="G432" s="856" t="s">
        <v>545</v>
      </c>
      <c r="H432" s="847"/>
      <c r="I432" s="848"/>
      <c r="J432" s="853"/>
      <c r="K432" s="842">
        <f>+J433</f>
        <v>28636.363636363632</v>
      </c>
      <c r="L432" s="842">
        <f>+J435</f>
        <v>121717.2</v>
      </c>
      <c r="M432" s="842">
        <f>+J436</f>
        <v>229030.84741363637</v>
      </c>
      <c r="N432" s="843" t="s">
        <v>457</v>
      </c>
      <c r="O432" s="844"/>
      <c r="P432" s="843"/>
      <c r="Q432" s="657" t="s">
        <v>457</v>
      </c>
    </row>
    <row r="433" spans="1:18" s="658" customFormat="1" ht="15" customHeight="1">
      <c r="A433" s="657">
        <f>IF(B433="",MAX($A$8:A432)+0,MAX($A$8:A432)+1)</f>
        <v>46</v>
      </c>
      <c r="B433" s="835" t="str">
        <f>IF(C433="","",COUNTA($C$10:C434))</f>
        <v/>
      </c>
      <c r="C433" s="362"/>
      <c r="D433" s="845"/>
      <c r="E433" s="852" t="s">
        <v>2032</v>
      </c>
      <c r="F433" s="848" t="str">
        <f>VLOOKUP(E433,DICH!B:C,2,FALSE)</f>
        <v xml:space="preserve">  A - Material</v>
      </c>
      <c r="G433" s="846"/>
      <c r="H433" s="847"/>
      <c r="I433" s="848"/>
      <c r="J433" s="849">
        <f>J434</f>
        <v>28636.363636363632</v>
      </c>
      <c r="K433" s="850"/>
      <c r="L433" s="850"/>
      <c r="M433" s="850"/>
      <c r="N433" s="843" t="s">
        <v>457</v>
      </c>
      <c r="O433" s="844"/>
      <c r="P433" s="843"/>
      <c r="Q433" s="657" t="s">
        <v>457</v>
      </c>
    </row>
    <row r="434" spans="1:18" ht="15" customHeight="1">
      <c r="A434" s="657">
        <f>IF(B434="",MAX($A$8:A433)+0,MAX($A$8:A433)+1)</f>
        <v>46</v>
      </c>
      <c r="B434" s="835" t="str">
        <f>IF(C434="","",COUNTA($C$10:C435))</f>
        <v/>
      </c>
      <c r="C434" s="362"/>
      <c r="D434" s="851"/>
      <c r="E434" s="852" t="s">
        <v>559</v>
      </c>
      <c r="F434" s="848" t="str">
        <f>VLOOKUP(E434,DICH!B:C,2,FALSE)</f>
        <v>welding electrode</v>
      </c>
      <c r="G434" s="362" t="s">
        <v>558</v>
      </c>
      <c r="H434" s="847">
        <v>1.5</v>
      </c>
      <c r="I434" s="848">
        <f>VLOOKUP(E434,'11.gia '!$B:$I,8,FALSE)</f>
        <v>19090.909090909088</v>
      </c>
      <c r="J434" s="853">
        <f>I434*H434</f>
        <v>28636.363636363632</v>
      </c>
      <c r="N434" s="843" t="s">
        <v>457</v>
      </c>
      <c r="O434" s="844"/>
      <c r="P434" s="843"/>
      <c r="Q434" s="657" t="s">
        <v>457</v>
      </c>
    </row>
    <row r="435" spans="1:18" s="658" customFormat="1" ht="15" customHeight="1">
      <c r="A435" s="657">
        <f>IF(B435="",MAX($A$8:A434)+0,MAX($A$8:A434)+1)</f>
        <v>46</v>
      </c>
      <c r="B435" s="835" t="str">
        <f>IF(C435="","",COUNTA($C$10:C436))</f>
        <v/>
      </c>
      <c r="C435" s="362"/>
      <c r="D435" s="845"/>
      <c r="E435" s="852" t="s">
        <v>2037</v>
      </c>
      <c r="F435" s="848" t="str">
        <f>VLOOKUP(E435,DICH!B:C,2,FALSE)</f>
        <v xml:space="preserve">  B - Labour 3.5/7</v>
      </c>
      <c r="G435" s="362" t="s">
        <v>4899</v>
      </c>
      <c r="H435" s="847">
        <v>0.6</v>
      </c>
      <c r="I435" s="848">
        <f>VLOOKUP(E435,'16.NC'!$C$11:$F$22,4,FALSE)</f>
        <v>202862</v>
      </c>
      <c r="J435" s="849">
        <f>I435*H435</f>
        <v>121717.2</v>
      </c>
      <c r="K435" s="850"/>
      <c r="L435" s="850"/>
      <c r="M435" s="850"/>
      <c r="N435" s="843" t="s">
        <v>457</v>
      </c>
      <c r="O435" s="844"/>
      <c r="P435" s="843"/>
      <c r="Q435" s="657" t="s">
        <v>457</v>
      </c>
      <c r="R435" s="658">
        <v>1</v>
      </c>
    </row>
    <row r="436" spans="1:18" s="658" customFormat="1" ht="15" customHeight="1">
      <c r="A436" s="657">
        <f>IF(B436="",MAX($A$8:A435)+0,MAX($A$8:A435)+1)</f>
        <v>46</v>
      </c>
      <c r="B436" s="835" t="str">
        <f>IF(C436="","",COUNTA($C$10:C437))</f>
        <v/>
      </c>
      <c r="C436" s="362"/>
      <c r="D436" s="845"/>
      <c r="E436" s="852" t="s">
        <v>2033</v>
      </c>
      <c r="F436" s="848" t="str">
        <f>VLOOKUP(E436,DICH!B:C,2,FALSE)</f>
        <v xml:space="preserve">  C - Machine</v>
      </c>
      <c r="G436" s="846"/>
      <c r="H436" s="847"/>
      <c r="I436" s="848"/>
      <c r="J436" s="849">
        <f>SUM(J437:J439)</f>
        <v>229030.84741363637</v>
      </c>
      <c r="K436" s="850"/>
      <c r="L436" s="850"/>
      <c r="M436" s="850"/>
      <c r="N436" s="843" t="s">
        <v>457</v>
      </c>
      <c r="O436" s="844"/>
      <c r="P436" s="843"/>
      <c r="Q436" s="657" t="s">
        <v>457</v>
      </c>
    </row>
    <row r="437" spans="1:18" ht="15" customHeight="1">
      <c r="A437" s="657">
        <f>IF(B437="",MAX($A$8:A436)+0,MAX($A$8:A436)+1)</f>
        <v>46</v>
      </c>
      <c r="B437" s="835" t="str">
        <f>IF(C437="","",COUNTA($C$10:C438))</f>
        <v/>
      </c>
      <c r="C437" s="362"/>
      <c r="D437" s="851"/>
      <c r="E437" s="852" t="s">
        <v>1408</v>
      </c>
      <c r="F437" s="848" t="str">
        <f>VLOOKUP(E437,'9.may'!E:F,2,FALSE)</f>
        <v>Air compressed hammer 1.5m3/min</v>
      </c>
      <c r="G437" s="362" t="s">
        <v>4902</v>
      </c>
      <c r="H437" s="847">
        <v>0.3</v>
      </c>
      <c r="I437" s="848">
        <f>VLOOKUP(E437,'9.may'!E:W,12,FALSE)</f>
        <v>66493.05</v>
      </c>
      <c r="J437" s="853">
        <f>I437*H437</f>
        <v>19947.915000000001</v>
      </c>
      <c r="N437" s="843" t="s">
        <v>457</v>
      </c>
      <c r="O437" s="844"/>
      <c r="P437" s="843"/>
      <c r="Q437" s="657" t="s">
        <v>457</v>
      </c>
    </row>
    <row r="438" spans="1:18" ht="15" customHeight="1">
      <c r="A438" s="657">
        <f>IF(B438="",MAX($A$8:A437)+0,MAX($A$8:A437)+1)</f>
        <v>46</v>
      </c>
      <c r="B438" s="835" t="str">
        <f>IF(C438="","",COUNTA($C$10:C439))</f>
        <v/>
      </c>
      <c r="C438" s="362"/>
      <c r="D438" s="851"/>
      <c r="E438" s="852" t="s">
        <v>439</v>
      </c>
      <c r="F438" s="848" t="str">
        <f>VLOOKUP(E438,'9.may'!E:F,2,FALSE)</f>
        <v>diesel air compressor 360m3/h</v>
      </c>
      <c r="G438" s="362" t="s">
        <v>4902</v>
      </c>
      <c r="H438" s="847">
        <v>0.15</v>
      </c>
      <c r="I438" s="848">
        <f>VLOOKUP(E438,'9.may'!E:W,12,FALSE)</f>
        <v>1130690.8450909092</v>
      </c>
      <c r="J438" s="853">
        <f>I438*H438</f>
        <v>169603.62676363636</v>
      </c>
      <c r="N438" s="843" t="s">
        <v>457</v>
      </c>
      <c r="O438" s="844"/>
      <c r="P438" s="843"/>
      <c r="Q438" s="657" t="s">
        <v>457</v>
      </c>
    </row>
    <row r="439" spans="1:18" ht="15" customHeight="1">
      <c r="A439" s="657">
        <f>IF(B439="",MAX($A$8:A438)+0,MAX($A$8:A438)+1)</f>
        <v>46</v>
      </c>
      <c r="B439" s="835" t="str">
        <f>IF(C439="","",COUNTA($C$10:C440))</f>
        <v/>
      </c>
      <c r="C439" s="362"/>
      <c r="D439" s="851"/>
      <c r="E439" s="852" t="s">
        <v>560</v>
      </c>
      <c r="F439" s="848" t="str">
        <f>VLOOKUP(E439,'9.may'!E:F,2,FALSE)</f>
        <v>welding machine 23kW</v>
      </c>
      <c r="G439" s="362" t="s">
        <v>4902</v>
      </c>
      <c r="H439" s="847">
        <v>0.23</v>
      </c>
      <c r="I439" s="848">
        <f>VLOOKUP(E439,'9.may'!E:W,12,FALSE)</f>
        <v>171649.155</v>
      </c>
      <c r="J439" s="853">
        <f>I439*H439</f>
        <v>39479.305650000002</v>
      </c>
      <c r="N439" s="843" t="s">
        <v>457</v>
      </c>
      <c r="O439" s="844"/>
      <c r="P439" s="843"/>
      <c r="Q439" s="657" t="s">
        <v>457</v>
      </c>
    </row>
    <row r="440" spans="1:18" ht="15" customHeight="1">
      <c r="A440" s="657">
        <f>IF(B440="",MAX($A$8:A439)+0,MAX($A$8:A439)+1)</f>
        <v>47</v>
      </c>
      <c r="B440" s="835">
        <f>IF(C440="","",COUNTA($C$10:C441))</f>
        <v>47</v>
      </c>
      <c r="C440" s="835">
        <f>IF(D440="","",1776)</f>
        <v>1776</v>
      </c>
      <c r="D440" s="851" t="s">
        <v>679</v>
      </c>
      <c r="E440" s="855" t="s">
        <v>4010</v>
      </c>
      <c r="F440" s="1049" t="str">
        <f>VLOOKUP(E440,DICH!B:C,2,FALSE)</f>
        <v>Concrete C25 of approach slab casted in place</v>
      </c>
      <c r="G440" s="856" t="s">
        <v>545</v>
      </c>
      <c r="H440" s="847"/>
      <c r="I440" s="848"/>
      <c r="J440" s="853"/>
      <c r="K440" s="842">
        <f>+J441</f>
        <v>984460.54990591179</v>
      </c>
      <c r="L440" s="842">
        <f>+J444</f>
        <v>450180.77</v>
      </c>
      <c r="M440" s="842">
        <f>+J445</f>
        <v>23796.9734775</v>
      </c>
      <c r="N440" s="843" t="e">
        <f>SUMIF(#REF!,'8.Dgia'!A440,#REF!)+SUMIF(#REF!,'8.Dgia'!A440,#REF!)+SUMIF(#REF!,'8.Dgia'!A440,#REF!)+SUMIF(#REF!,'8.Dgia'!A440,#REF!)</f>
        <v>#REF!</v>
      </c>
      <c r="O440" s="844"/>
      <c r="P440" s="843" t="e">
        <f t="shared" si="17"/>
        <v>#REF!</v>
      </c>
    </row>
    <row r="441" spans="1:18" s="658" customFormat="1" ht="15" customHeight="1">
      <c r="A441" s="657">
        <f>IF(B441="",MAX($A$8:A440)+0,MAX($A$8:A440)+1)</f>
        <v>47</v>
      </c>
      <c r="B441" s="835" t="str">
        <f>IF(C441="","",COUNTA($C$10:C442))</f>
        <v/>
      </c>
      <c r="C441" s="362"/>
      <c r="D441" s="845"/>
      <c r="E441" s="852" t="s">
        <v>2032</v>
      </c>
      <c r="F441" s="848" t="str">
        <f>VLOOKUP(E441,DICH!B:C,2,FALSE)</f>
        <v xml:space="preserve">  A - Material</v>
      </c>
      <c r="G441" s="846"/>
      <c r="H441" s="847"/>
      <c r="I441" s="848"/>
      <c r="J441" s="849">
        <f>SUM(J442:J443)</f>
        <v>984460.54990591179</v>
      </c>
      <c r="K441" s="850"/>
      <c r="L441" s="850"/>
      <c r="M441" s="850"/>
      <c r="N441" s="843" t="e">
        <f>SUMIF(#REF!,'8.Dgia'!A441,#REF!)+SUMIF(#REF!,'8.Dgia'!A441,#REF!)+SUMIF(#REF!,'8.Dgia'!A441,#REF!)+SUMIF(#REF!,'8.Dgia'!A441,#REF!)</f>
        <v>#REF!</v>
      </c>
      <c r="O441" s="844"/>
      <c r="P441" s="843" t="e">
        <f t="shared" si="17"/>
        <v>#REF!</v>
      </c>
    </row>
    <row r="442" spans="1:18" ht="15" customHeight="1">
      <c r="A442" s="657">
        <f>IF(B442="",MAX($A$8:A441)+0,MAX($A$8:A441)+1)</f>
        <v>47</v>
      </c>
      <c r="B442" s="835" t="str">
        <f>IF(C442="","",COUNTA($C$10:C443))</f>
        <v/>
      </c>
      <c r="C442" s="851"/>
      <c r="D442" s="851" t="str">
        <f>+'10.PLV'!$C$22</f>
        <v>C3125</v>
      </c>
      <c r="E442" s="852" t="str">
        <f>+'10.PLV'!$D$22</f>
        <v>Vữa bê tông đá 1x2 C25 SN 2-4</v>
      </c>
      <c r="F442" s="848" t="str">
        <f>VLOOKUP(E442,DICH!B:C,2,FALSE)</f>
        <v>Concrete motar C25 stone 1x2 slump 2-4</v>
      </c>
      <c r="G442" s="362" t="s">
        <v>545</v>
      </c>
      <c r="H442" s="847">
        <v>1.0249999999999999</v>
      </c>
      <c r="I442" s="848">
        <f>VLOOKUP(E442,'11.gia '!B:I,8,FALSE)</f>
        <v>950939.91780334397</v>
      </c>
      <c r="J442" s="853">
        <f>I442*H442</f>
        <v>974713.41574842751</v>
      </c>
      <c r="N442" s="843" t="e">
        <f>SUMIF(#REF!,'8.Dgia'!A442,#REF!)+SUMIF(#REF!,'8.Dgia'!A442,#REF!)+SUMIF(#REF!,'8.Dgia'!A442,#REF!)+SUMIF(#REF!,'8.Dgia'!A442,#REF!)</f>
        <v>#REF!</v>
      </c>
      <c r="O442" s="844">
        <f>+$H$443</f>
        <v>1</v>
      </c>
      <c r="P442" s="843" t="e">
        <f t="shared" si="17"/>
        <v>#REF!</v>
      </c>
    </row>
    <row r="443" spans="1:18" ht="15" customHeight="1">
      <c r="A443" s="657">
        <f>IF(B443="",MAX($A$8:A442)+0,MAX($A$8:A442)+1)</f>
        <v>47</v>
      </c>
      <c r="B443" s="835" t="str">
        <f>IF(C443="","",COUNTA($C$10:C444))</f>
        <v/>
      </c>
      <c r="C443" s="362"/>
      <c r="D443" s="851"/>
      <c r="E443" s="852" t="s">
        <v>555</v>
      </c>
      <c r="F443" s="848" t="str">
        <f>VLOOKUP(E443,DICH!B:C,2,FALSE)</f>
        <v>Other material</v>
      </c>
      <c r="G443" s="362" t="s">
        <v>554</v>
      </c>
      <c r="H443" s="847">
        <v>1</v>
      </c>
      <c r="I443" s="848">
        <f>J442</f>
        <v>974713.41574842751</v>
      </c>
      <c r="J443" s="853">
        <f>I443*H443%</f>
        <v>9747.1341574842754</v>
      </c>
      <c r="N443" s="843" t="e">
        <f>SUMIF(#REF!,'8.Dgia'!A443,#REF!)+SUMIF(#REF!,'8.Dgia'!A443,#REF!)+SUMIF(#REF!,'8.Dgia'!A443,#REF!)+SUMIF(#REF!,'8.Dgia'!A443,#REF!)</f>
        <v>#REF!</v>
      </c>
      <c r="O443" s="844"/>
      <c r="P443" s="843" t="e">
        <f t="shared" si="17"/>
        <v>#REF!</v>
      </c>
    </row>
    <row r="444" spans="1:18" s="658" customFormat="1" ht="15" customHeight="1">
      <c r="A444" s="657">
        <f>IF(B444="",MAX($A$8:A443)+0,MAX($A$8:A443)+1)</f>
        <v>47</v>
      </c>
      <c r="B444" s="835" t="str">
        <f>IF(C444="","",COUNTA($C$10:C445))</f>
        <v/>
      </c>
      <c r="C444" s="362"/>
      <c r="D444" s="845"/>
      <c r="E444" s="852" t="s">
        <v>2038</v>
      </c>
      <c r="F444" s="848" t="str">
        <f>VLOOKUP(E444,DICH!B:C,2,FALSE)</f>
        <v xml:space="preserve">  B - Labour 3.0/7</v>
      </c>
      <c r="G444" s="362" t="s">
        <v>4899</v>
      </c>
      <c r="H444" s="847">
        <v>2.41</v>
      </c>
      <c r="I444" s="848">
        <f>VLOOKUP(E444,'16.NC'!$C$11:$F$22,4,FALSE)</f>
        <v>186797</v>
      </c>
      <c r="J444" s="849">
        <f>I444*H444</f>
        <v>450180.77</v>
      </c>
      <c r="K444" s="850"/>
      <c r="L444" s="850"/>
      <c r="M444" s="850"/>
      <c r="N444" s="843" t="e">
        <f>SUMIF(#REF!,'8.Dgia'!A444,#REF!)+SUMIF(#REF!,'8.Dgia'!A444,#REF!)+SUMIF(#REF!,'8.Dgia'!A444,#REF!)+SUMIF(#REF!,'8.Dgia'!A444,#REF!)</f>
        <v>#REF!</v>
      </c>
      <c r="O444" s="844"/>
      <c r="P444" s="843" t="e">
        <f t="shared" si="17"/>
        <v>#REF!</v>
      </c>
      <c r="R444" s="658">
        <v>1</v>
      </c>
    </row>
    <row r="445" spans="1:18" s="658" customFormat="1" ht="15" customHeight="1">
      <c r="A445" s="657">
        <f>IF(B445="",MAX($A$8:A444)+0,MAX($A$8:A444)+1)</f>
        <v>47</v>
      </c>
      <c r="B445" s="835" t="str">
        <f>IF(C445="","",COUNTA($C$10:C446))</f>
        <v/>
      </c>
      <c r="C445" s="362"/>
      <c r="D445" s="845"/>
      <c r="E445" s="852" t="s">
        <v>2033</v>
      </c>
      <c r="F445" s="848" t="str">
        <f>VLOOKUP(E445,DICH!B:C,2,FALSE)</f>
        <v xml:space="preserve">  C - Machine</v>
      </c>
      <c r="G445" s="846"/>
      <c r="H445" s="847"/>
      <c r="I445" s="848"/>
      <c r="J445" s="849">
        <f>SUM(J446:J447)</f>
        <v>23796.9734775</v>
      </c>
      <c r="K445" s="850"/>
      <c r="L445" s="850"/>
      <c r="M445" s="850"/>
      <c r="N445" s="843" t="e">
        <f>SUMIF(#REF!,'8.Dgia'!A445,#REF!)+SUMIF(#REF!,'8.Dgia'!A445,#REF!)+SUMIF(#REF!,'8.Dgia'!A445,#REF!)+SUMIF(#REF!,'8.Dgia'!A445,#REF!)</f>
        <v>#REF!</v>
      </c>
      <c r="O445" s="844"/>
      <c r="P445" s="843" t="e">
        <f t="shared" si="17"/>
        <v>#REF!</v>
      </c>
    </row>
    <row r="446" spans="1:18" ht="15" customHeight="1">
      <c r="A446" s="657">
        <f>IF(B446="",MAX($A$8:A445)+0,MAX($A$8:A445)+1)</f>
        <v>47</v>
      </c>
      <c r="B446" s="835" t="str">
        <f>IF(C446="","",COUNTA($C$10:C447))</f>
        <v/>
      </c>
      <c r="C446" s="362"/>
      <c r="D446" s="851"/>
      <c r="E446" s="852" t="s">
        <v>582</v>
      </c>
      <c r="F446" s="848" t="str">
        <f>VLOOKUP(E446,'9.may'!E:F,2,FALSE)</f>
        <v>concrete mixer 250L</v>
      </c>
      <c r="G446" s="362" t="s">
        <v>4902</v>
      </c>
      <c r="H446" s="847">
        <v>9.5000000000000001E-2</v>
      </c>
      <c r="I446" s="848">
        <f>VLOOKUP(E446,'9.may'!E:W,12,FALSE)</f>
        <v>180447.90000000002</v>
      </c>
      <c r="J446" s="853">
        <f>I446*H446</f>
        <v>17142.550500000001</v>
      </c>
      <c r="N446" s="843" t="e">
        <f>SUMIF(#REF!,'8.Dgia'!A446,#REF!)+SUMIF(#REF!,'8.Dgia'!A446,#REF!)+SUMIF(#REF!,'8.Dgia'!A446,#REF!)+SUMIF(#REF!,'8.Dgia'!A446,#REF!)</f>
        <v>#REF!</v>
      </c>
      <c r="O446" s="844"/>
      <c r="P446" s="843" t="e">
        <f t="shared" si="17"/>
        <v>#REF!</v>
      </c>
    </row>
    <row r="447" spans="1:18" ht="15" customHeight="1">
      <c r="A447" s="657">
        <f>IF(B447="",MAX($A$8:A446)+0,MAX($A$8:A446)+1)</f>
        <v>47</v>
      </c>
      <c r="B447" s="835" t="str">
        <f>IF(C447="","",COUNTA($C$10:C448))</f>
        <v/>
      </c>
      <c r="C447" s="362"/>
      <c r="D447" s="851"/>
      <c r="E447" s="852" t="s">
        <v>620</v>
      </c>
      <c r="F447" s="848" t="str">
        <f>VLOOKUP(E447,'9.may'!E:F,2,FALSE)</f>
        <v>concrete vibrating compactor 1.5Kw</v>
      </c>
      <c r="G447" s="362" t="s">
        <v>4902</v>
      </c>
      <c r="H447" s="847">
        <v>8.8999999999999996E-2</v>
      </c>
      <c r="I447" s="848">
        <f>VLOOKUP(E447,'9.may'!E:W,12,FALSE)</f>
        <v>74768.797500000001</v>
      </c>
      <c r="J447" s="853">
        <f>I447*H447</f>
        <v>6654.4229774999994</v>
      </c>
      <c r="N447" s="843" t="e">
        <f>SUMIF(#REF!,'8.Dgia'!A447,#REF!)+SUMIF(#REF!,'8.Dgia'!A447,#REF!)+SUMIF(#REF!,'8.Dgia'!A447,#REF!)+SUMIF(#REF!,'8.Dgia'!A447,#REF!)</f>
        <v>#REF!</v>
      </c>
      <c r="O447" s="844"/>
      <c r="P447" s="843" t="e">
        <f t="shared" si="17"/>
        <v>#REF!</v>
      </c>
    </row>
    <row r="448" spans="1:18" ht="15" customHeight="1">
      <c r="A448" s="657">
        <f>IF(B448="",MAX($A$8:A447)+0,MAX($A$8:A447)+1)</f>
        <v>48</v>
      </c>
      <c r="B448" s="835">
        <f>IF(C448="","",COUNTA($C$10:C449))</f>
        <v>48</v>
      </c>
      <c r="C448" s="835">
        <f>IF(D448="","",1776)</f>
        <v>1776</v>
      </c>
      <c r="D448" s="851" t="s">
        <v>679</v>
      </c>
      <c r="E448" s="855" t="s">
        <v>4038</v>
      </c>
      <c r="F448" s="1049" t="str">
        <f>VLOOKUP(E448,DICH!B:C,2,FALSE)</f>
        <v>Concrete C20 of apron</v>
      </c>
      <c r="G448" s="856" t="s">
        <v>545</v>
      </c>
      <c r="H448" s="847"/>
      <c r="I448" s="848"/>
      <c r="J448" s="853"/>
      <c r="K448" s="842">
        <f>+J449</f>
        <v>915552.66503722349</v>
      </c>
      <c r="L448" s="842">
        <f>+J452</f>
        <v>450180.77</v>
      </c>
      <c r="M448" s="842">
        <f>+J453</f>
        <v>23796.9734775</v>
      </c>
      <c r="N448" s="843" t="e">
        <f>SUMIF(#REF!,'8.Dgia'!A448,#REF!)+SUMIF(#REF!,'8.Dgia'!A448,#REF!)+SUMIF(#REF!,'8.Dgia'!A448,#REF!)+SUMIF(#REF!,'8.Dgia'!A448,#REF!)</f>
        <v>#REF!</v>
      </c>
      <c r="O448" s="844"/>
      <c r="P448" s="843" t="e">
        <f t="shared" si="17"/>
        <v>#REF!</v>
      </c>
    </row>
    <row r="449" spans="1:18" s="658" customFormat="1" ht="15" customHeight="1">
      <c r="A449" s="657">
        <f>IF(B449="",MAX($A$8:A448)+0,MAX($A$8:A448)+1)</f>
        <v>48</v>
      </c>
      <c r="B449" s="835" t="str">
        <f>IF(C449="","",COUNTA($C$10:C450))</f>
        <v/>
      </c>
      <c r="C449" s="362"/>
      <c r="D449" s="845"/>
      <c r="E449" s="852" t="s">
        <v>2032</v>
      </c>
      <c r="F449" s="848" t="str">
        <f>VLOOKUP(E449,DICH!B:C,2,FALSE)</f>
        <v xml:space="preserve">  A - Material</v>
      </c>
      <c r="G449" s="846"/>
      <c r="H449" s="847"/>
      <c r="I449" s="848"/>
      <c r="J449" s="849">
        <f>SUM(J450:J451)</f>
        <v>915552.66503722349</v>
      </c>
      <c r="K449" s="850"/>
      <c r="L449" s="850"/>
      <c r="M449" s="850"/>
      <c r="N449" s="843" t="e">
        <f>SUMIF(#REF!,'8.Dgia'!A449,#REF!)+SUMIF(#REF!,'8.Dgia'!A449,#REF!)+SUMIF(#REF!,'8.Dgia'!A449,#REF!)+SUMIF(#REF!,'8.Dgia'!A449,#REF!)</f>
        <v>#REF!</v>
      </c>
      <c r="O449" s="844"/>
      <c r="P449" s="843" t="e">
        <f t="shared" si="17"/>
        <v>#REF!</v>
      </c>
    </row>
    <row r="450" spans="1:18" ht="15" customHeight="1">
      <c r="A450" s="657">
        <f>IF(B450="",MAX($A$8:A449)+0,MAX($A$8:A449)+1)</f>
        <v>48</v>
      </c>
      <c r="B450" s="835" t="str">
        <f>IF(C450="","",COUNTA($C$10:C451))</f>
        <v/>
      </c>
      <c r="C450" s="851"/>
      <c r="D450" s="851" t="str">
        <f>+'10.PLV'!$C$17</f>
        <v>C3124</v>
      </c>
      <c r="E450" s="852" t="str">
        <f>+'10.PLV'!$D$17</f>
        <v>Vữa bê tông đá 1x2 C20 SN 2-4</v>
      </c>
      <c r="F450" s="848" t="str">
        <f>VLOOKUP(E450,DICH!B:C,2,FALSE)</f>
        <v>Concrete motar C20 stone 1x2 slump 2-4</v>
      </c>
      <c r="G450" s="362" t="s">
        <v>545</v>
      </c>
      <c r="H450" s="847">
        <v>1.0249999999999999</v>
      </c>
      <c r="I450" s="848">
        <f>VLOOKUP(E450,'11.gia '!B:I,8,FALSE)</f>
        <v>884378.32894201751</v>
      </c>
      <c r="J450" s="853">
        <f>I450*H450</f>
        <v>906487.78716556786</v>
      </c>
      <c r="N450" s="843" t="e">
        <f>SUMIF(#REF!,'8.Dgia'!A450,#REF!)+SUMIF(#REF!,'8.Dgia'!A450,#REF!)+SUMIF(#REF!,'8.Dgia'!A450,#REF!)+SUMIF(#REF!,'8.Dgia'!A450,#REF!)</f>
        <v>#REF!</v>
      </c>
      <c r="O450" s="844">
        <f>+$H$451</f>
        <v>1</v>
      </c>
      <c r="P450" s="843" t="e">
        <f t="shared" si="17"/>
        <v>#REF!</v>
      </c>
    </row>
    <row r="451" spans="1:18" ht="15" customHeight="1">
      <c r="A451" s="657">
        <f>IF(B451="",MAX($A$8:A450)+0,MAX($A$8:A450)+1)</f>
        <v>48</v>
      </c>
      <c r="B451" s="835" t="str">
        <f>IF(C451="","",COUNTA($C$10:C452))</f>
        <v/>
      </c>
      <c r="C451" s="362"/>
      <c r="D451" s="851"/>
      <c r="E451" s="852" t="s">
        <v>555</v>
      </c>
      <c r="F451" s="848" t="str">
        <f>VLOOKUP(E451,DICH!B:C,2,FALSE)</f>
        <v>Other material</v>
      </c>
      <c r="G451" s="362" t="s">
        <v>554</v>
      </c>
      <c r="H451" s="847">
        <v>1</v>
      </c>
      <c r="I451" s="848">
        <f>J450</f>
        <v>906487.78716556786</v>
      </c>
      <c r="J451" s="853">
        <f>I451*H451%</f>
        <v>9064.877871655679</v>
      </c>
      <c r="N451" s="843" t="e">
        <f>SUMIF(#REF!,'8.Dgia'!A451,#REF!)+SUMIF(#REF!,'8.Dgia'!A451,#REF!)+SUMIF(#REF!,'8.Dgia'!A451,#REF!)+SUMIF(#REF!,'8.Dgia'!A451,#REF!)</f>
        <v>#REF!</v>
      </c>
      <c r="O451" s="844"/>
      <c r="P451" s="843" t="e">
        <f t="shared" si="17"/>
        <v>#REF!</v>
      </c>
    </row>
    <row r="452" spans="1:18" s="658" customFormat="1" ht="15" customHeight="1">
      <c r="A452" s="657">
        <f>IF(B452="",MAX($A$8:A451)+0,MAX($A$8:A451)+1)</f>
        <v>48</v>
      </c>
      <c r="B452" s="835" t="str">
        <f>IF(C452="","",COUNTA($C$10:C453))</f>
        <v/>
      </c>
      <c r="C452" s="362"/>
      <c r="D452" s="845"/>
      <c r="E452" s="852" t="s">
        <v>2038</v>
      </c>
      <c r="F452" s="848" t="str">
        <f>VLOOKUP(E452,DICH!B:C,2,FALSE)</f>
        <v xml:space="preserve">  B - Labour 3.0/7</v>
      </c>
      <c r="G452" s="362" t="s">
        <v>4899</v>
      </c>
      <c r="H452" s="847">
        <v>2.41</v>
      </c>
      <c r="I452" s="848">
        <f>VLOOKUP(E452,'16.NC'!$C$11:$F$22,4,FALSE)</f>
        <v>186797</v>
      </c>
      <c r="J452" s="849">
        <f>I452*H452</f>
        <v>450180.77</v>
      </c>
      <c r="K452" s="850"/>
      <c r="L452" s="850"/>
      <c r="M452" s="850"/>
      <c r="N452" s="843" t="e">
        <f>SUMIF(#REF!,'8.Dgia'!A452,#REF!)+SUMIF(#REF!,'8.Dgia'!A452,#REF!)+SUMIF(#REF!,'8.Dgia'!A452,#REF!)+SUMIF(#REF!,'8.Dgia'!A452,#REF!)</f>
        <v>#REF!</v>
      </c>
      <c r="O452" s="844"/>
      <c r="P452" s="843" t="e">
        <f t="shared" si="17"/>
        <v>#REF!</v>
      </c>
      <c r="R452" s="658">
        <v>1</v>
      </c>
    </row>
    <row r="453" spans="1:18" s="658" customFormat="1" ht="15" customHeight="1">
      <c r="A453" s="657">
        <f>IF(B453="",MAX($A$8:A452)+0,MAX($A$8:A452)+1)</f>
        <v>48</v>
      </c>
      <c r="B453" s="835" t="str">
        <f>IF(C453="","",COUNTA($C$10:C454))</f>
        <v/>
      </c>
      <c r="C453" s="362"/>
      <c r="D453" s="845"/>
      <c r="E453" s="852" t="s">
        <v>2033</v>
      </c>
      <c r="F453" s="848" t="str">
        <f>VLOOKUP(E453,DICH!B:C,2,FALSE)</f>
        <v xml:space="preserve">  C - Machine</v>
      </c>
      <c r="G453" s="846"/>
      <c r="H453" s="847"/>
      <c r="I453" s="848"/>
      <c r="J453" s="849">
        <f>SUM(J454:J455)</f>
        <v>23796.9734775</v>
      </c>
      <c r="K453" s="850"/>
      <c r="L453" s="850"/>
      <c r="M453" s="850"/>
      <c r="N453" s="843" t="e">
        <f>SUMIF(#REF!,'8.Dgia'!A453,#REF!)+SUMIF(#REF!,'8.Dgia'!A453,#REF!)+SUMIF(#REF!,'8.Dgia'!A453,#REF!)+SUMIF(#REF!,'8.Dgia'!A453,#REF!)</f>
        <v>#REF!</v>
      </c>
      <c r="O453" s="844"/>
      <c r="P453" s="843" t="e">
        <f t="shared" si="17"/>
        <v>#REF!</v>
      </c>
    </row>
    <row r="454" spans="1:18" ht="15" customHeight="1">
      <c r="A454" s="657">
        <f>IF(B454="",MAX($A$8:A453)+0,MAX($A$8:A453)+1)</f>
        <v>48</v>
      </c>
      <c r="B454" s="835" t="str">
        <f>IF(C454="","",COUNTA($C$10:C455))</f>
        <v/>
      </c>
      <c r="C454" s="362"/>
      <c r="D454" s="851"/>
      <c r="E454" s="852" t="s">
        <v>582</v>
      </c>
      <c r="F454" s="848" t="str">
        <f>VLOOKUP(E454,'9.may'!E:F,2,FALSE)</f>
        <v>concrete mixer 250L</v>
      </c>
      <c r="G454" s="362" t="s">
        <v>4902</v>
      </c>
      <c r="H454" s="847">
        <v>9.5000000000000001E-2</v>
      </c>
      <c r="I454" s="848">
        <f>VLOOKUP(E454,'9.may'!E:W,12,FALSE)</f>
        <v>180447.90000000002</v>
      </c>
      <c r="J454" s="853">
        <f>I454*H454</f>
        <v>17142.550500000001</v>
      </c>
      <c r="N454" s="843" t="e">
        <f>SUMIF(#REF!,'8.Dgia'!A454,#REF!)+SUMIF(#REF!,'8.Dgia'!A454,#REF!)+SUMIF(#REF!,'8.Dgia'!A454,#REF!)+SUMIF(#REF!,'8.Dgia'!A454,#REF!)</f>
        <v>#REF!</v>
      </c>
      <c r="O454" s="844"/>
      <c r="P454" s="843" t="e">
        <f t="shared" si="17"/>
        <v>#REF!</v>
      </c>
    </row>
    <row r="455" spans="1:18" ht="15" customHeight="1">
      <c r="A455" s="657">
        <f>IF(B455="",MAX($A$8:A454)+0,MAX($A$8:A454)+1)</f>
        <v>48</v>
      </c>
      <c r="B455" s="835" t="str">
        <f>IF(C455="","",COUNTA($C$10:C456))</f>
        <v/>
      </c>
      <c r="C455" s="362"/>
      <c r="D455" s="851"/>
      <c r="E455" s="852" t="s">
        <v>620</v>
      </c>
      <c r="F455" s="848" t="str">
        <f>VLOOKUP(E455,'9.may'!E:F,2,FALSE)</f>
        <v>concrete vibrating compactor 1.5Kw</v>
      </c>
      <c r="G455" s="362" t="s">
        <v>4902</v>
      </c>
      <c r="H455" s="847">
        <v>8.8999999999999996E-2</v>
      </c>
      <c r="I455" s="848">
        <f>VLOOKUP(E455,'9.may'!E:W,12,FALSE)</f>
        <v>74768.797500000001</v>
      </c>
      <c r="J455" s="853">
        <f>I455*H455</f>
        <v>6654.4229774999994</v>
      </c>
      <c r="N455" s="843" t="e">
        <f>SUMIF(#REF!,'8.Dgia'!A455,#REF!)+SUMIF(#REF!,'8.Dgia'!A455,#REF!)+SUMIF(#REF!,'8.Dgia'!A455,#REF!)+SUMIF(#REF!,'8.Dgia'!A455,#REF!)</f>
        <v>#REF!</v>
      </c>
      <c r="O455" s="844"/>
      <c r="P455" s="843" t="e">
        <f t="shared" si="17"/>
        <v>#REF!</v>
      </c>
    </row>
    <row r="456" spans="1:18" ht="15" customHeight="1">
      <c r="A456" s="657">
        <f>IF(B456="",MAX($A$8:A455)+0,MAX($A$8:A455)+1)</f>
        <v>49</v>
      </c>
      <c r="B456" s="835">
        <f>IF(C456="","",COUNTA($C$10:C457))</f>
        <v>49</v>
      </c>
      <c r="C456" s="835">
        <f>IF(D456="","",1776)</f>
        <v>1776</v>
      </c>
      <c r="D456" s="851" t="s">
        <v>102</v>
      </c>
      <c r="E456" s="855" t="s">
        <v>3551</v>
      </c>
      <c r="F456" s="1049" t="str">
        <f>VLOOKUP(E456,DICH!B:C,2,FALSE)</f>
        <v>Reinforcement D&lt;=18 of slab, approach slab, casting bed super T…</v>
      </c>
      <c r="G456" s="856" t="s">
        <v>4644</v>
      </c>
      <c r="H456" s="847"/>
      <c r="I456" s="848"/>
      <c r="J456" s="857"/>
      <c r="K456" s="842">
        <f>+J457</f>
        <v>17269540.929381818</v>
      </c>
      <c r="L456" s="842">
        <f>+J461</f>
        <v>1691869.08</v>
      </c>
      <c r="M456" s="842">
        <f>+J462</f>
        <v>217940.44560000001</v>
      </c>
      <c r="N456" s="843" t="e">
        <f>SUMIF(#REF!,'8.Dgia'!A456,#REF!)+SUMIF(#REF!,'8.Dgia'!A456,#REF!)+SUMIF(#REF!,'8.Dgia'!A456,#REF!)+SUMIF(#REF!,'8.Dgia'!A456,#REF!)</f>
        <v>#REF!</v>
      </c>
      <c r="O456" s="844"/>
      <c r="P456" s="843" t="e">
        <f t="shared" si="17"/>
        <v>#REF!</v>
      </c>
      <c r="Q456" s="657" t="s">
        <v>457</v>
      </c>
    </row>
    <row r="457" spans="1:18" s="658" customFormat="1" ht="15" customHeight="1">
      <c r="A457" s="657">
        <f>IF(B457="",MAX($A$8:A456)+0,MAX($A$8:A456)+1)</f>
        <v>49</v>
      </c>
      <c r="B457" s="835" t="str">
        <f>IF(C457="","",COUNTA($C$10:C458))</f>
        <v/>
      </c>
      <c r="C457" s="362"/>
      <c r="D457" s="845"/>
      <c r="E457" s="852" t="s">
        <v>2032</v>
      </c>
      <c r="F457" s="848" t="str">
        <f>VLOOKUP(E457,DICH!B:C,2,FALSE)</f>
        <v xml:space="preserve">  A - Material</v>
      </c>
      <c r="G457" s="846"/>
      <c r="H457" s="847"/>
      <c r="I457" s="848"/>
      <c r="J457" s="849">
        <f>SUM(J458:J460)</f>
        <v>17269540.929381818</v>
      </c>
      <c r="K457" s="850"/>
      <c r="L457" s="850"/>
      <c r="M457" s="850"/>
      <c r="N457" s="843" t="e">
        <f>SUMIF(#REF!,'8.Dgia'!A457,#REF!)+SUMIF(#REF!,'8.Dgia'!A457,#REF!)+SUMIF(#REF!,'8.Dgia'!A457,#REF!)+SUMIF(#REF!,'8.Dgia'!A457,#REF!)</f>
        <v>#REF!</v>
      </c>
      <c r="O457" s="844"/>
      <c r="P457" s="843" t="e">
        <f t="shared" si="17"/>
        <v>#REF!</v>
      </c>
      <c r="Q457" s="657" t="s">
        <v>457</v>
      </c>
    </row>
    <row r="458" spans="1:18" ht="15" customHeight="1">
      <c r="A458" s="657">
        <f>IF(B458="",MAX($A$8:A457)+0,MAX($A$8:A457)+1)</f>
        <v>49</v>
      </c>
      <c r="B458" s="835" t="str">
        <f>IF(C458="","",COUNTA($C$10:C459))</f>
        <v/>
      </c>
      <c r="C458" s="362"/>
      <c r="D458" s="851"/>
      <c r="E458" s="852" t="s">
        <v>671</v>
      </c>
      <c r="F458" s="848" t="str">
        <f>VLOOKUP(E458,DICH!B:C,2,FALSE)</f>
        <v>steel bar D&lt;=18</v>
      </c>
      <c r="G458" s="362" t="s">
        <v>558</v>
      </c>
      <c r="H458" s="847">
        <v>1020</v>
      </c>
      <c r="I458" s="848">
        <f>VLOOKUP(E458,'11.gia '!$B:$I,8,FALSE)</f>
        <v>16604.075560000001</v>
      </c>
      <c r="J458" s="853">
        <f>I458*H458</f>
        <v>16936157.071200002</v>
      </c>
      <c r="N458" s="843" t="e">
        <f>SUMIF(#REF!,'8.Dgia'!A458,#REF!)+SUMIF(#REF!,'8.Dgia'!A458,#REF!)+SUMIF(#REF!,'8.Dgia'!A458,#REF!)+SUMIF(#REF!,'8.Dgia'!A458,#REF!)</f>
        <v>#REF!</v>
      </c>
      <c r="O458" s="844"/>
      <c r="P458" s="843" t="e">
        <f t="shared" si="17"/>
        <v>#REF!</v>
      </c>
      <c r="Q458" s="657" t="s">
        <v>457</v>
      </c>
    </row>
    <row r="459" spans="1:18" ht="15" customHeight="1">
      <c r="A459" s="657">
        <f>IF(B459="",MAX($A$8:A458)+0,MAX($A$8:A458)+1)</f>
        <v>49</v>
      </c>
      <c r="B459" s="835" t="str">
        <f>IF(C459="","",COUNTA($C$10:C460))</f>
        <v/>
      </c>
      <c r="C459" s="362"/>
      <c r="D459" s="851"/>
      <c r="E459" s="852" t="s">
        <v>459</v>
      </c>
      <c r="F459" s="848" t="str">
        <f>VLOOKUP(E459,DICH!B:C,2,FALSE)</f>
        <v>Steel ware</v>
      </c>
      <c r="G459" s="362" t="s">
        <v>558</v>
      </c>
      <c r="H459" s="847">
        <v>14.28</v>
      </c>
      <c r="I459" s="848">
        <f>VLOOKUP(E459,'11.gia '!$B:$I,8,FALSE)</f>
        <v>17143</v>
      </c>
      <c r="J459" s="853">
        <f>I459*H459</f>
        <v>244802.03999999998</v>
      </c>
      <c r="N459" s="843" t="e">
        <f>SUMIF(#REF!,'8.Dgia'!A459,#REF!)+SUMIF(#REF!,'8.Dgia'!A459,#REF!)+SUMIF(#REF!,'8.Dgia'!A459,#REF!)+SUMIF(#REF!,'8.Dgia'!A459,#REF!)</f>
        <v>#REF!</v>
      </c>
      <c r="O459" s="844"/>
      <c r="P459" s="843" t="e">
        <f t="shared" si="17"/>
        <v>#REF!</v>
      </c>
      <c r="Q459" s="657" t="s">
        <v>457</v>
      </c>
    </row>
    <row r="460" spans="1:18" ht="15" customHeight="1">
      <c r="A460" s="657">
        <f>IF(B460="",MAX($A$8:A459)+0,MAX($A$8:A459)+1)</f>
        <v>49</v>
      </c>
      <c r="B460" s="835" t="str">
        <f>IF(C460="","",COUNTA($C$10:C461))</f>
        <v/>
      </c>
      <c r="C460" s="362"/>
      <c r="D460" s="851"/>
      <c r="E460" s="852" t="s">
        <v>559</v>
      </c>
      <c r="F460" s="848" t="str">
        <f>VLOOKUP(E460,DICH!B:C,2,FALSE)</f>
        <v>welding electrode</v>
      </c>
      <c r="G460" s="362" t="s">
        <v>558</v>
      </c>
      <c r="H460" s="847">
        <v>4.6399999999999997</v>
      </c>
      <c r="I460" s="848">
        <f>VLOOKUP(E460,'11.gia '!$B:$I,8,FALSE)</f>
        <v>19090.909090909088</v>
      </c>
      <c r="J460" s="853">
        <f>I460*H460</f>
        <v>88581.818181818162</v>
      </c>
      <c r="N460" s="843" t="e">
        <f>SUMIF(#REF!,'8.Dgia'!A460,#REF!)+SUMIF(#REF!,'8.Dgia'!A460,#REF!)+SUMIF(#REF!,'8.Dgia'!A460,#REF!)+SUMIF(#REF!,'8.Dgia'!A460,#REF!)</f>
        <v>#REF!</v>
      </c>
      <c r="O460" s="844"/>
      <c r="P460" s="843" t="e">
        <f t="shared" si="17"/>
        <v>#REF!</v>
      </c>
      <c r="Q460" s="657" t="s">
        <v>457</v>
      </c>
    </row>
    <row r="461" spans="1:18" s="658" customFormat="1" ht="15" customHeight="1">
      <c r="A461" s="657">
        <f>IF(B461="",MAX($A$8:A460)+0,MAX($A$8:A460)+1)</f>
        <v>49</v>
      </c>
      <c r="B461" s="835" t="str">
        <f>IF(C461="","",COUNTA($C$10:C462))</f>
        <v/>
      </c>
      <c r="C461" s="362"/>
      <c r="D461" s="845"/>
      <c r="E461" s="852" t="s">
        <v>2037</v>
      </c>
      <c r="F461" s="848" t="str">
        <f>VLOOKUP(E461,DICH!B:C,2,FALSE)</f>
        <v xml:space="preserve">  B - Labour 3.5/7</v>
      </c>
      <c r="G461" s="362" t="s">
        <v>4899</v>
      </c>
      <c r="H461" s="847">
        <v>8.34</v>
      </c>
      <c r="I461" s="848">
        <f>VLOOKUP(E461,'16.NC'!$C$11:$F$22,4,FALSE)</f>
        <v>202862</v>
      </c>
      <c r="J461" s="849">
        <f>I461*H461</f>
        <v>1691869.08</v>
      </c>
      <c r="K461" s="850"/>
      <c r="L461" s="850"/>
      <c r="M461" s="850"/>
      <c r="N461" s="843" t="e">
        <f>SUMIF(#REF!,'8.Dgia'!A461,#REF!)+SUMIF(#REF!,'8.Dgia'!A461,#REF!)+SUMIF(#REF!,'8.Dgia'!A461,#REF!)+SUMIF(#REF!,'8.Dgia'!A461,#REF!)</f>
        <v>#REF!</v>
      </c>
      <c r="O461" s="844"/>
      <c r="P461" s="843" t="e">
        <f t="shared" si="17"/>
        <v>#REF!</v>
      </c>
      <c r="Q461" s="657" t="s">
        <v>457</v>
      </c>
      <c r="R461" s="658">
        <v>1</v>
      </c>
    </row>
    <row r="462" spans="1:18" s="658" customFormat="1" ht="15" customHeight="1">
      <c r="A462" s="657">
        <f>IF(B462="",MAX($A$8:A461)+0,MAX($A$8:A461)+1)</f>
        <v>49</v>
      </c>
      <c r="B462" s="835" t="str">
        <f>IF(C462="","",COUNTA($C$10:C463))</f>
        <v/>
      </c>
      <c r="C462" s="362"/>
      <c r="D462" s="845"/>
      <c r="E462" s="852" t="s">
        <v>2033</v>
      </c>
      <c r="F462" s="848" t="str">
        <f>VLOOKUP(E462,DICH!B:C,2,FALSE)</f>
        <v xml:space="preserve">  C - Machine</v>
      </c>
      <c r="G462" s="846"/>
      <c r="H462" s="847"/>
      <c r="I462" s="848"/>
      <c r="J462" s="849">
        <f>SUM(J463:J464)</f>
        <v>217940.44560000001</v>
      </c>
      <c r="K462" s="850"/>
      <c r="L462" s="850"/>
      <c r="M462" s="850"/>
      <c r="N462" s="843" t="e">
        <f>SUMIF(#REF!,'8.Dgia'!A462,#REF!)+SUMIF(#REF!,'8.Dgia'!A462,#REF!)+SUMIF(#REF!,'8.Dgia'!A462,#REF!)+SUMIF(#REF!,'8.Dgia'!A462,#REF!)</f>
        <v>#REF!</v>
      </c>
      <c r="O462" s="844"/>
      <c r="P462" s="843" t="e">
        <f t="shared" si="17"/>
        <v>#REF!</v>
      </c>
      <c r="Q462" s="657" t="s">
        <v>457</v>
      </c>
    </row>
    <row r="463" spans="1:18" ht="15" customHeight="1">
      <c r="A463" s="657">
        <f>IF(B463="",MAX($A$8:A462)+0,MAX($A$8:A462)+1)</f>
        <v>49</v>
      </c>
      <c r="B463" s="835" t="str">
        <f>IF(C463="","",COUNTA($C$10:C464))</f>
        <v/>
      </c>
      <c r="C463" s="362"/>
      <c r="D463" s="851"/>
      <c r="E463" s="852" t="s">
        <v>560</v>
      </c>
      <c r="F463" s="848" t="str">
        <f>VLOOKUP(E463,'9.may'!E:F,2,FALSE)</f>
        <v>welding machine 23kW</v>
      </c>
      <c r="G463" s="362" t="s">
        <v>4902</v>
      </c>
      <c r="H463" s="847">
        <v>1.1200000000000001</v>
      </c>
      <c r="I463" s="848">
        <f>VLOOKUP(E463,'9.may'!E:W,12,FALSE)</f>
        <v>171649.155</v>
      </c>
      <c r="J463" s="853">
        <f>I463*H463</f>
        <v>192247.05360000001</v>
      </c>
      <c r="N463" s="843" t="e">
        <f>SUMIF(#REF!,'8.Dgia'!A463,#REF!)+SUMIF(#REF!,'8.Dgia'!A463,#REF!)+SUMIF(#REF!,'8.Dgia'!A463,#REF!)+SUMIF(#REF!,'8.Dgia'!A463,#REF!)</f>
        <v>#REF!</v>
      </c>
      <c r="O463" s="844"/>
      <c r="P463" s="843" t="e">
        <f t="shared" si="17"/>
        <v>#REF!</v>
      </c>
      <c r="Q463" s="657" t="s">
        <v>457</v>
      </c>
    </row>
    <row r="464" spans="1:18" ht="15" customHeight="1">
      <c r="A464" s="657">
        <f>IF(B464="",MAX($A$8:A463)+0,MAX($A$8:A463)+1)</f>
        <v>49</v>
      </c>
      <c r="B464" s="835" t="str">
        <f>IF(C464="","",COUNTA($C$10:C465))</f>
        <v/>
      </c>
      <c r="C464" s="362"/>
      <c r="D464" s="851"/>
      <c r="E464" s="852" t="s">
        <v>1424</v>
      </c>
      <c r="F464" s="848" t="str">
        <f>VLOOKUP(E464,'9.may'!E:F,2,FALSE)</f>
        <v>bender cutter 5Kw</v>
      </c>
      <c r="G464" s="362" t="s">
        <v>4902</v>
      </c>
      <c r="H464" s="847">
        <v>0.32</v>
      </c>
      <c r="I464" s="848">
        <f>VLOOKUP(E464,'9.may'!E:W,12,FALSE)</f>
        <v>80291.850000000006</v>
      </c>
      <c r="J464" s="853">
        <f>I464*H464</f>
        <v>25693.392000000003</v>
      </c>
      <c r="N464" s="843" t="e">
        <f>SUMIF(#REF!,'8.Dgia'!A464,#REF!)+SUMIF(#REF!,'8.Dgia'!A464,#REF!)+SUMIF(#REF!,'8.Dgia'!A464,#REF!)+SUMIF(#REF!,'8.Dgia'!A464,#REF!)</f>
        <v>#REF!</v>
      </c>
      <c r="O464" s="844"/>
      <c r="P464" s="843" t="e">
        <f t="shared" si="17"/>
        <v>#REF!</v>
      </c>
      <c r="Q464" s="657" t="s">
        <v>457</v>
      </c>
    </row>
    <row r="465" spans="1:18" s="1336" customFormat="1" ht="28.5" customHeight="1">
      <c r="A465" s="1336">
        <f>IF(B465="",MAX($A$8:A464)+0,MAX($A$8:A464)+1)</f>
        <v>50</v>
      </c>
      <c r="B465" s="1337">
        <f>IF(C465="","",COUNTA($C$10:C466))</f>
        <v>50</v>
      </c>
      <c r="C465" s="1337">
        <f>IF(D465="","",1776)</f>
        <v>1776</v>
      </c>
      <c r="D465" s="1459" t="s">
        <v>2121</v>
      </c>
      <c r="E465" s="1419" t="s">
        <v>3550</v>
      </c>
      <c r="F465" s="1420" t="str">
        <f>VLOOKUP(E465,DICH!B:C,2,FALSE)</f>
        <v>Reinforcement D&lt;=10 of slab, approach slab, casting bed super T…</v>
      </c>
      <c r="G465" s="1429" t="s">
        <v>4644</v>
      </c>
      <c r="H465" s="1001"/>
      <c r="I465" s="1331"/>
      <c r="J465" s="1460"/>
      <c r="K465" s="1425">
        <f>+J466</f>
        <v>17205048.9978</v>
      </c>
      <c r="L465" s="1425">
        <f>+J470</f>
        <v>2296397.84</v>
      </c>
      <c r="M465" s="1425">
        <f>+J471</f>
        <v>32116.740000000005</v>
      </c>
      <c r="N465" s="1343" t="e">
        <f>SUMIF(#REF!,'8.Dgia'!A465,#REF!)+SUMIF(#REF!,'8.Dgia'!A465,#REF!)+SUMIF(#REF!,'8.Dgia'!A465,#REF!)+SUMIF(#REF!,'8.Dgia'!A465,#REF!)</f>
        <v>#REF!</v>
      </c>
      <c r="O465" s="1426"/>
      <c r="P465" s="1343" t="e">
        <f t="shared" ref="P465:P473" si="18">$H465*N465*(1+O465%)</f>
        <v>#REF!</v>
      </c>
    </row>
    <row r="466" spans="1:18" s="658" customFormat="1" ht="15" customHeight="1">
      <c r="A466" s="657">
        <f>IF(B466="",MAX($A$8:A465)+0,MAX($A$8:A465)+1)</f>
        <v>50</v>
      </c>
      <c r="B466" s="835" t="str">
        <f>IF(C466="","",COUNTA($C$10:C467))</f>
        <v/>
      </c>
      <c r="C466" s="362"/>
      <c r="D466" s="845"/>
      <c r="E466" s="852" t="s">
        <v>2032</v>
      </c>
      <c r="F466" s="848" t="str">
        <f>VLOOKUP(E466,DICH!B:C,2,FALSE)</f>
        <v xml:space="preserve">  A - Material</v>
      </c>
      <c r="G466" s="846"/>
      <c r="H466" s="847"/>
      <c r="I466" s="848"/>
      <c r="J466" s="849">
        <f>SUM(J467:J469)</f>
        <v>17205048.9978</v>
      </c>
      <c r="K466" s="850"/>
      <c r="L466" s="850"/>
      <c r="M466" s="850"/>
      <c r="N466" s="843" t="e">
        <f>SUMIF(#REF!,'8.Dgia'!A466,#REF!)+SUMIF(#REF!,'8.Dgia'!A466,#REF!)+SUMIF(#REF!,'8.Dgia'!A466,#REF!)+SUMIF(#REF!,'8.Dgia'!A466,#REF!)</f>
        <v>#REF!</v>
      </c>
      <c r="O466" s="844"/>
      <c r="P466" s="843" t="e">
        <f t="shared" si="18"/>
        <v>#REF!</v>
      </c>
    </row>
    <row r="467" spans="1:18" ht="15" customHeight="1">
      <c r="A467" s="657">
        <f>IF(B467="",MAX($A$8:A466)+0,MAX($A$8:A466)+1)</f>
        <v>50</v>
      </c>
      <c r="B467" s="835" t="str">
        <f>IF(C467="","",COUNTA($C$10:C468))</f>
        <v/>
      </c>
      <c r="C467" s="362"/>
      <c r="D467" s="851"/>
      <c r="E467" s="852" t="s">
        <v>371</v>
      </c>
      <c r="F467" s="848" t="str">
        <f>VLOOKUP(E467,DICH!B:C,2,FALSE)</f>
        <v>steel bar D&lt;=10</v>
      </c>
      <c r="G467" s="362" t="s">
        <v>558</v>
      </c>
      <c r="H467" s="847">
        <v>1005</v>
      </c>
      <c r="I467" s="848">
        <f>VLOOKUP(E467,'11.gia '!$B:$I,8,FALSE)</f>
        <v>16754.075560000001</v>
      </c>
      <c r="J467" s="853">
        <f>I467*H467</f>
        <v>16837845.937800001</v>
      </c>
      <c r="N467" s="843" t="e">
        <f>SUMIF(#REF!,'8.Dgia'!A467,#REF!)+SUMIF(#REF!,'8.Dgia'!A467,#REF!)+SUMIF(#REF!,'8.Dgia'!A467,#REF!)+SUMIF(#REF!,'8.Dgia'!A467,#REF!)</f>
        <v>#REF!</v>
      </c>
      <c r="O467" s="844"/>
      <c r="P467" s="843" t="e">
        <f t="shared" si="18"/>
        <v>#REF!</v>
      </c>
    </row>
    <row r="468" spans="1:18" ht="15" customHeight="1">
      <c r="A468" s="657">
        <f>IF(B468="",MAX($A$8:A467)+0,MAX($A$8:A467)+1)</f>
        <v>50</v>
      </c>
      <c r="B468" s="835" t="str">
        <f>IF(C468="","",COUNTA($C$10:C469))</f>
        <v/>
      </c>
      <c r="C468" s="362"/>
      <c r="D468" s="851"/>
      <c r="E468" s="852" t="s">
        <v>459</v>
      </c>
      <c r="F468" s="848" t="str">
        <f>VLOOKUP(E468,DICH!B:C,2,FALSE)</f>
        <v>Steel ware</v>
      </c>
      <c r="G468" s="362" t="s">
        <v>558</v>
      </c>
      <c r="H468" s="847">
        <v>21.42</v>
      </c>
      <c r="I468" s="848">
        <f>VLOOKUP(E468,'11.gia '!$B:$I,8,FALSE)</f>
        <v>17143</v>
      </c>
      <c r="J468" s="853">
        <f>I468*H468</f>
        <v>367203.06000000006</v>
      </c>
      <c r="N468" s="843" t="e">
        <f>SUMIF(#REF!,'8.Dgia'!A468,#REF!)+SUMIF(#REF!,'8.Dgia'!A468,#REF!)+SUMIF(#REF!,'8.Dgia'!A468,#REF!)+SUMIF(#REF!,'8.Dgia'!A468,#REF!)</f>
        <v>#REF!</v>
      </c>
      <c r="O468" s="844"/>
      <c r="P468" s="843" t="e">
        <f t="shared" si="18"/>
        <v>#REF!</v>
      </c>
    </row>
    <row r="469" spans="1:18" ht="15" customHeight="1">
      <c r="A469" s="657">
        <f>IF(B469="",MAX($A$8:A468)+0,MAX($A$8:A468)+1)</f>
        <v>50</v>
      </c>
      <c r="B469" s="835" t="str">
        <f>IF(C469="","",COUNTA($C$10:C470))</f>
        <v/>
      </c>
      <c r="C469" s="362"/>
      <c r="D469" s="851"/>
      <c r="E469" s="852" t="s">
        <v>559</v>
      </c>
      <c r="F469" s="848" t="str">
        <f>VLOOKUP(E469,DICH!B:C,2,FALSE)</f>
        <v>welding electrode</v>
      </c>
      <c r="G469" s="362" t="s">
        <v>558</v>
      </c>
      <c r="H469" s="847"/>
      <c r="I469" s="848">
        <f>VLOOKUP(E469,'11.gia '!$B:$I,8,FALSE)</f>
        <v>19090.909090909088</v>
      </c>
      <c r="J469" s="853">
        <f>I469*H469</f>
        <v>0</v>
      </c>
      <c r="N469" s="843" t="e">
        <f>SUMIF(#REF!,'8.Dgia'!A469,#REF!)+SUMIF(#REF!,'8.Dgia'!A469,#REF!)+SUMIF(#REF!,'8.Dgia'!A469,#REF!)+SUMIF(#REF!,'8.Dgia'!A469,#REF!)</f>
        <v>#REF!</v>
      </c>
      <c r="O469" s="844"/>
      <c r="P469" s="843" t="e">
        <f t="shared" si="18"/>
        <v>#REF!</v>
      </c>
    </row>
    <row r="470" spans="1:18" s="658" customFormat="1" ht="15" customHeight="1">
      <c r="A470" s="657">
        <f>IF(B470="",MAX($A$8:A469)+0,MAX($A$8:A469)+1)</f>
        <v>50</v>
      </c>
      <c r="B470" s="835" t="str">
        <f>IF(C470="","",COUNTA($C$10:C471))</f>
        <v/>
      </c>
      <c r="C470" s="362"/>
      <c r="D470" s="845"/>
      <c r="E470" s="852" t="s">
        <v>2037</v>
      </c>
      <c r="F470" s="848" t="str">
        <f>VLOOKUP(E470,DICH!B:C,2,FALSE)</f>
        <v xml:space="preserve">  B - Labour 3.5/7</v>
      </c>
      <c r="G470" s="362" t="s">
        <v>4899</v>
      </c>
      <c r="H470" s="847">
        <v>11.32</v>
      </c>
      <c r="I470" s="848">
        <f>VLOOKUP(E470,'16.NC'!$C$11:$F$22,4,FALSE)</f>
        <v>202862</v>
      </c>
      <c r="J470" s="849">
        <f>I470*H470</f>
        <v>2296397.84</v>
      </c>
      <c r="K470" s="850"/>
      <c r="L470" s="850"/>
      <c r="M470" s="850"/>
      <c r="N470" s="843" t="e">
        <f>SUMIF(#REF!,'8.Dgia'!A470,#REF!)+SUMIF(#REF!,'8.Dgia'!A470,#REF!)+SUMIF(#REF!,'8.Dgia'!A470,#REF!)+SUMIF(#REF!,'8.Dgia'!A470,#REF!)</f>
        <v>#REF!</v>
      </c>
      <c r="O470" s="844"/>
      <c r="P470" s="843" t="e">
        <f t="shared" si="18"/>
        <v>#REF!</v>
      </c>
      <c r="R470" s="658">
        <v>1</v>
      </c>
    </row>
    <row r="471" spans="1:18" s="658" customFormat="1" ht="15" customHeight="1">
      <c r="A471" s="657">
        <f>IF(B471="",MAX($A$8:A470)+0,MAX($A$8:A470)+1)</f>
        <v>50</v>
      </c>
      <c r="B471" s="835" t="str">
        <f>IF(C471="","",COUNTA($C$10:C472))</f>
        <v/>
      </c>
      <c r="C471" s="362"/>
      <c r="D471" s="845"/>
      <c r="E471" s="852" t="s">
        <v>2033</v>
      </c>
      <c r="F471" s="848" t="str">
        <f>VLOOKUP(E471,DICH!B:C,2,FALSE)</f>
        <v xml:space="preserve">  C - Machine</v>
      </c>
      <c r="G471" s="846"/>
      <c r="H471" s="847"/>
      <c r="I471" s="848"/>
      <c r="J471" s="849">
        <f>SUM(J472:J473)</f>
        <v>32116.740000000005</v>
      </c>
      <c r="K471" s="850"/>
      <c r="L471" s="850"/>
      <c r="M471" s="850"/>
      <c r="N471" s="843" t="e">
        <f>SUMIF(#REF!,'8.Dgia'!A471,#REF!)+SUMIF(#REF!,'8.Dgia'!A471,#REF!)+SUMIF(#REF!,'8.Dgia'!A471,#REF!)+SUMIF(#REF!,'8.Dgia'!A471,#REF!)</f>
        <v>#REF!</v>
      </c>
      <c r="O471" s="844"/>
      <c r="P471" s="843" t="e">
        <f t="shared" si="18"/>
        <v>#REF!</v>
      </c>
    </row>
    <row r="472" spans="1:18" ht="15" customHeight="1">
      <c r="A472" s="657">
        <f>IF(B472="",MAX($A$8:A471)+0,MAX($A$8:A471)+1)</f>
        <v>50</v>
      </c>
      <c r="B472" s="835" t="str">
        <f>IF(C472="","",COUNTA($C$10:C473))</f>
        <v/>
      </c>
      <c r="C472" s="362"/>
      <c r="D472" s="851"/>
      <c r="E472" s="852" t="s">
        <v>560</v>
      </c>
      <c r="F472" s="848" t="str">
        <f>VLOOKUP(E472,'9.may'!E:F,2,FALSE)</f>
        <v>welding machine 23kW</v>
      </c>
      <c r="G472" s="362" t="s">
        <v>4902</v>
      </c>
      <c r="H472" s="847"/>
      <c r="I472" s="848">
        <f>VLOOKUP(E472,'9.may'!E:W,12,FALSE)</f>
        <v>171649.155</v>
      </c>
      <c r="J472" s="853">
        <f>I472*H472</f>
        <v>0</v>
      </c>
      <c r="N472" s="843" t="e">
        <f>SUMIF(#REF!,'8.Dgia'!A472,#REF!)+SUMIF(#REF!,'8.Dgia'!A472,#REF!)+SUMIF(#REF!,'8.Dgia'!A472,#REF!)+SUMIF(#REF!,'8.Dgia'!A472,#REF!)</f>
        <v>#REF!</v>
      </c>
      <c r="O472" s="844"/>
      <c r="P472" s="843" t="e">
        <f t="shared" si="18"/>
        <v>#REF!</v>
      </c>
    </row>
    <row r="473" spans="1:18" ht="15" customHeight="1">
      <c r="A473" s="657">
        <f>IF(B473="",MAX($A$8:A472)+0,MAX($A$8:A472)+1)</f>
        <v>50</v>
      </c>
      <c r="B473" s="835" t="str">
        <f>IF(C473="","",COUNTA($C$10:C474))</f>
        <v/>
      </c>
      <c r="C473" s="362"/>
      <c r="D473" s="851"/>
      <c r="E473" s="852" t="s">
        <v>1424</v>
      </c>
      <c r="F473" s="848" t="str">
        <f>VLOOKUP(E473,'9.may'!E:F,2,FALSE)</f>
        <v>bender cutter 5Kw</v>
      </c>
      <c r="G473" s="362" t="s">
        <v>4902</v>
      </c>
      <c r="H473" s="847">
        <v>0.4</v>
      </c>
      <c r="I473" s="848">
        <f>VLOOKUP(E473,'9.may'!E:W,12,FALSE)</f>
        <v>80291.850000000006</v>
      </c>
      <c r="J473" s="853">
        <f>I473*H473</f>
        <v>32116.740000000005</v>
      </c>
      <c r="N473" s="843" t="e">
        <f>SUMIF(#REF!,'8.Dgia'!A473,#REF!)+SUMIF(#REF!,'8.Dgia'!A473,#REF!)+SUMIF(#REF!,'8.Dgia'!A473,#REF!)+SUMIF(#REF!,'8.Dgia'!A473,#REF!)</f>
        <v>#REF!</v>
      </c>
      <c r="O473" s="844"/>
      <c r="P473" s="843" t="e">
        <f t="shared" si="18"/>
        <v>#REF!</v>
      </c>
    </row>
    <row r="474" spans="1:18" ht="15" customHeight="1">
      <c r="A474" s="657">
        <f>IF(B474="",MAX($A$8:A473)+0,MAX($A$8:A473)+1)</f>
        <v>51</v>
      </c>
      <c r="B474" s="835">
        <f>IF(C474="","",COUNTA($C$10:C475))</f>
        <v>51</v>
      </c>
      <c r="C474" s="835">
        <f>IF(D474="","",1776)</f>
        <v>1776</v>
      </c>
      <c r="D474" s="851" t="s">
        <v>102</v>
      </c>
      <c r="E474" s="855" t="s">
        <v>3549</v>
      </c>
      <c r="F474" s="1049" t="str">
        <f>VLOOKUP(E474,DICH!B:C,2,FALSE)</f>
        <v>Reinforcement D&gt;18 of slab, approach slab, casting bed super T…</v>
      </c>
      <c r="G474" s="856" t="s">
        <v>4644</v>
      </c>
      <c r="H474" s="847"/>
      <c r="I474" s="848"/>
      <c r="J474" s="857"/>
      <c r="K474" s="842">
        <f>+J475</f>
        <v>17282140.929381818</v>
      </c>
      <c r="L474" s="842">
        <f>+J479</f>
        <v>1288173.7</v>
      </c>
      <c r="M474" s="842">
        <f>+J480</f>
        <v>230841.12284999999</v>
      </c>
      <c r="N474" s="843" t="e">
        <f>SUMIF(#REF!,'8.Dgia'!A474,#REF!)+SUMIF(#REF!,'8.Dgia'!A474,#REF!)+SUMIF(#REF!,'8.Dgia'!A474,#REF!)+SUMIF(#REF!,'8.Dgia'!A474,#REF!)</f>
        <v>#REF!</v>
      </c>
      <c r="O474" s="844"/>
      <c r="P474" s="843" t="e">
        <f t="shared" ref="P474:P482" si="19">$H474*N474*(1+O474%)</f>
        <v>#REF!</v>
      </c>
    </row>
    <row r="475" spans="1:18" s="658" customFormat="1" ht="15" customHeight="1">
      <c r="A475" s="657">
        <f>IF(B475="",MAX($A$8:A474)+0,MAX($A$8:A474)+1)</f>
        <v>51</v>
      </c>
      <c r="B475" s="835" t="str">
        <f>IF(C475="","",COUNTA($C$10:C476))</f>
        <v/>
      </c>
      <c r="C475" s="362"/>
      <c r="D475" s="845"/>
      <c r="E475" s="852" t="s">
        <v>2032</v>
      </c>
      <c r="F475" s="848" t="str">
        <f>VLOOKUP(E475,DICH!B:C,2,FALSE)</f>
        <v xml:space="preserve">  A - Material</v>
      </c>
      <c r="G475" s="846"/>
      <c r="H475" s="847"/>
      <c r="I475" s="848"/>
      <c r="J475" s="849">
        <f>SUM(J476:J478)</f>
        <v>17282140.929381818</v>
      </c>
      <c r="K475" s="850"/>
      <c r="L475" s="850"/>
      <c r="M475" s="850"/>
      <c r="N475" s="843" t="e">
        <f>SUMIF(#REF!,'8.Dgia'!A475,#REF!)+SUMIF(#REF!,'8.Dgia'!A475,#REF!)+SUMIF(#REF!,'8.Dgia'!A475,#REF!)+SUMIF(#REF!,'8.Dgia'!A475,#REF!)</f>
        <v>#REF!</v>
      </c>
      <c r="O475" s="844"/>
      <c r="P475" s="843" t="e">
        <f t="shared" si="19"/>
        <v>#REF!</v>
      </c>
    </row>
    <row r="476" spans="1:18" ht="15" customHeight="1">
      <c r="A476" s="657">
        <f>IF(B476="",MAX($A$8:A475)+0,MAX($A$8:A475)+1)</f>
        <v>51</v>
      </c>
      <c r="B476" s="835" t="str">
        <f>IF(C476="","",COUNTA($C$10:C477))</f>
        <v/>
      </c>
      <c r="C476" s="362"/>
      <c r="D476" s="851"/>
      <c r="E476" s="852" t="s">
        <v>664</v>
      </c>
      <c r="F476" s="848" t="str">
        <f>VLOOKUP(E476,DICH!B:C,2,FALSE)</f>
        <v>steel bar D&gt;18</v>
      </c>
      <c r="G476" s="362" t="s">
        <v>558</v>
      </c>
      <c r="H476" s="847">
        <v>1020</v>
      </c>
      <c r="I476" s="848">
        <f>VLOOKUP(E476,'11.gia '!$B:$I,8,FALSE)</f>
        <v>16604.075560000001</v>
      </c>
      <c r="J476" s="853">
        <f>I476*H476</f>
        <v>16936157.071200002</v>
      </c>
      <c r="N476" s="843" t="e">
        <f>SUMIF(#REF!,'8.Dgia'!A476,#REF!)+SUMIF(#REF!,'8.Dgia'!A476,#REF!)+SUMIF(#REF!,'8.Dgia'!A476,#REF!)+SUMIF(#REF!,'8.Dgia'!A476,#REF!)</f>
        <v>#REF!</v>
      </c>
      <c r="O476" s="844"/>
      <c r="P476" s="843" t="e">
        <f t="shared" si="19"/>
        <v>#REF!</v>
      </c>
    </row>
    <row r="477" spans="1:18" ht="15" customHeight="1">
      <c r="A477" s="657">
        <f>IF(B477="",MAX($A$8:A476)+0,MAX($A$8:A476)+1)</f>
        <v>51</v>
      </c>
      <c r="B477" s="835" t="str">
        <f>IF(C477="","",COUNTA($C$10:C478))</f>
        <v/>
      </c>
      <c r="C477" s="362"/>
      <c r="D477" s="851"/>
      <c r="E477" s="852" t="s">
        <v>459</v>
      </c>
      <c r="F477" s="848" t="str">
        <f>VLOOKUP(E477,DICH!B:C,2,FALSE)</f>
        <v>Steel ware</v>
      </c>
      <c r="G477" s="362" t="s">
        <v>558</v>
      </c>
      <c r="H477" s="847">
        <v>14.28</v>
      </c>
      <c r="I477" s="848">
        <f>VLOOKUP(E477,'11.gia '!$B:$I,8,FALSE)</f>
        <v>17143</v>
      </c>
      <c r="J477" s="853">
        <f>I477*H477</f>
        <v>244802.03999999998</v>
      </c>
      <c r="N477" s="843" t="e">
        <f>SUMIF(#REF!,'8.Dgia'!A477,#REF!)+SUMIF(#REF!,'8.Dgia'!A477,#REF!)+SUMIF(#REF!,'8.Dgia'!A477,#REF!)+SUMIF(#REF!,'8.Dgia'!A477,#REF!)</f>
        <v>#REF!</v>
      </c>
      <c r="O477" s="844"/>
      <c r="P477" s="843" t="e">
        <f t="shared" si="19"/>
        <v>#REF!</v>
      </c>
    </row>
    <row r="478" spans="1:18" ht="15" customHeight="1">
      <c r="A478" s="657">
        <f>IF(B478="",MAX($A$8:A477)+0,MAX($A$8:A477)+1)</f>
        <v>51</v>
      </c>
      <c r="B478" s="835" t="str">
        <f>IF(C478="","",COUNTA($C$10:C479))</f>
        <v/>
      </c>
      <c r="C478" s="362"/>
      <c r="D478" s="851"/>
      <c r="E478" s="852" t="s">
        <v>559</v>
      </c>
      <c r="F478" s="848" t="str">
        <f>VLOOKUP(E478,DICH!B:C,2,FALSE)</f>
        <v>welding electrode</v>
      </c>
      <c r="G478" s="362" t="s">
        <v>558</v>
      </c>
      <c r="H478" s="847">
        <v>5.3</v>
      </c>
      <c r="I478" s="848">
        <f>VLOOKUP(E478,'11.gia '!$B:$I,8,FALSE)</f>
        <v>19090.909090909088</v>
      </c>
      <c r="J478" s="853">
        <f>I478*H478</f>
        <v>101181.81818181816</v>
      </c>
      <c r="N478" s="843" t="e">
        <f>SUMIF(#REF!,'8.Dgia'!A478,#REF!)+SUMIF(#REF!,'8.Dgia'!A478,#REF!)+SUMIF(#REF!,'8.Dgia'!A478,#REF!)+SUMIF(#REF!,'8.Dgia'!A478,#REF!)</f>
        <v>#REF!</v>
      </c>
      <c r="O478" s="844"/>
      <c r="P478" s="843" t="e">
        <f t="shared" si="19"/>
        <v>#REF!</v>
      </c>
    </row>
    <row r="479" spans="1:18" s="658" customFormat="1" ht="15" customHeight="1">
      <c r="A479" s="657">
        <f>IF(B479="",MAX($A$8:A478)+0,MAX($A$8:A478)+1)</f>
        <v>51</v>
      </c>
      <c r="B479" s="835" t="str">
        <f>IF(C479="","",COUNTA($C$10:C480))</f>
        <v/>
      </c>
      <c r="C479" s="362"/>
      <c r="D479" s="845"/>
      <c r="E479" s="852" t="s">
        <v>2037</v>
      </c>
      <c r="F479" s="848" t="str">
        <f>VLOOKUP(E479,DICH!B:C,2,FALSE)</f>
        <v xml:space="preserve">  B - Labour 3.5/7</v>
      </c>
      <c r="G479" s="362" t="s">
        <v>4899</v>
      </c>
      <c r="H479" s="847">
        <v>6.35</v>
      </c>
      <c r="I479" s="848">
        <f>VLOOKUP(E479,'16.NC'!$C$11:$F$22,4,FALSE)</f>
        <v>202862</v>
      </c>
      <c r="J479" s="849">
        <f>I479*H479</f>
        <v>1288173.7</v>
      </c>
      <c r="K479" s="850"/>
      <c r="L479" s="850"/>
      <c r="M479" s="850"/>
      <c r="N479" s="843" t="e">
        <f>SUMIF(#REF!,'8.Dgia'!A479,#REF!)+SUMIF(#REF!,'8.Dgia'!A479,#REF!)+SUMIF(#REF!,'8.Dgia'!A479,#REF!)+SUMIF(#REF!,'8.Dgia'!A479,#REF!)</f>
        <v>#REF!</v>
      </c>
      <c r="O479" s="844"/>
      <c r="P479" s="843" t="e">
        <f t="shared" si="19"/>
        <v>#REF!</v>
      </c>
      <c r="R479" s="658">
        <v>1</v>
      </c>
    </row>
    <row r="480" spans="1:18" s="658" customFormat="1" ht="15" customHeight="1">
      <c r="A480" s="657">
        <f>IF(B480="",MAX($A$8:A479)+0,MAX($A$8:A479)+1)</f>
        <v>51</v>
      </c>
      <c r="B480" s="835" t="str">
        <f>IF(C480="","",COUNTA($C$10:C481))</f>
        <v/>
      </c>
      <c r="C480" s="362"/>
      <c r="D480" s="845"/>
      <c r="E480" s="852" t="s">
        <v>2033</v>
      </c>
      <c r="F480" s="848" t="str">
        <f>VLOOKUP(E480,DICH!B:C,2,FALSE)</f>
        <v xml:space="preserve">  C - Machine</v>
      </c>
      <c r="G480" s="846"/>
      <c r="H480" s="847"/>
      <c r="I480" s="848"/>
      <c r="J480" s="849">
        <f>SUM(J481:J482)</f>
        <v>230841.12284999999</v>
      </c>
      <c r="K480" s="850"/>
      <c r="L480" s="850"/>
      <c r="M480" s="850"/>
      <c r="N480" s="843" t="e">
        <f>SUMIF(#REF!,'8.Dgia'!A480,#REF!)+SUMIF(#REF!,'8.Dgia'!A480,#REF!)+SUMIF(#REF!,'8.Dgia'!A480,#REF!)+SUMIF(#REF!,'8.Dgia'!A480,#REF!)</f>
        <v>#REF!</v>
      </c>
      <c r="O480" s="844"/>
      <c r="P480" s="843" t="e">
        <f t="shared" si="19"/>
        <v>#REF!</v>
      </c>
    </row>
    <row r="481" spans="1:18" ht="15" customHeight="1">
      <c r="A481" s="657">
        <f>IF(B481="",MAX($A$8:A480)+0,MAX($A$8:A480)+1)</f>
        <v>51</v>
      </c>
      <c r="B481" s="835" t="str">
        <f>IF(C481="","",COUNTA($C$10:C482))</f>
        <v/>
      </c>
      <c r="C481" s="362"/>
      <c r="D481" s="851"/>
      <c r="E481" s="852" t="s">
        <v>560</v>
      </c>
      <c r="F481" s="848" t="str">
        <f>VLOOKUP(E481,'9.may'!E:F,2,FALSE)</f>
        <v>welding machine 23kW</v>
      </c>
      <c r="G481" s="362" t="s">
        <v>4902</v>
      </c>
      <c r="H481" s="847">
        <v>1.27</v>
      </c>
      <c r="I481" s="848">
        <f>VLOOKUP(E481,'9.may'!E:W,12,FALSE)</f>
        <v>171649.155</v>
      </c>
      <c r="J481" s="853">
        <f>I481*H481</f>
        <v>217994.42684999999</v>
      </c>
      <c r="N481" s="843" t="e">
        <f>SUMIF(#REF!,'8.Dgia'!A481,#REF!)+SUMIF(#REF!,'8.Dgia'!A481,#REF!)+SUMIF(#REF!,'8.Dgia'!A481,#REF!)+SUMIF(#REF!,'8.Dgia'!A481,#REF!)</f>
        <v>#REF!</v>
      </c>
      <c r="O481" s="844"/>
      <c r="P481" s="843" t="e">
        <f t="shared" si="19"/>
        <v>#REF!</v>
      </c>
    </row>
    <row r="482" spans="1:18" ht="15" customHeight="1">
      <c r="A482" s="657">
        <f>IF(B482="",MAX($A$8:A481)+0,MAX($A$8:A481)+1)</f>
        <v>51</v>
      </c>
      <c r="B482" s="835" t="str">
        <f>IF(C482="","",COUNTA($C$10:C483))</f>
        <v/>
      </c>
      <c r="C482" s="362"/>
      <c r="D482" s="851"/>
      <c r="E482" s="852" t="s">
        <v>1424</v>
      </c>
      <c r="F482" s="848" t="str">
        <f>VLOOKUP(E482,'9.may'!E:F,2,FALSE)</f>
        <v>bender cutter 5Kw</v>
      </c>
      <c r="G482" s="362" t="s">
        <v>4902</v>
      </c>
      <c r="H482" s="847">
        <v>0.16</v>
      </c>
      <c r="I482" s="848">
        <f>VLOOKUP(E482,'9.may'!E:W,12,FALSE)</f>
        <v>80291.850000000006</v>
      </c>
      <c r="J482" s="853">
        <f>I482*H482</f>
        <v>12846.696000000002</v>
      </c>
      <c r="N482" s="843" t="e">
        <f>SUMIF(#REF!,'8.Dgia'!A482,#REF!)+SUMIF(#REF!,'8.Dgia'!A482,#REF!)+SUMIF(#REF!,'8.Dgia'!A482,#REF!)+SUMIF(#REF!,'8.Dgia'!A482,#REF!)</f>
        <v>#REF!</v>
      </c>
      <c r="O482" s="844"/>
      <c r="P482" s="843" t="e">
        <f t="shared" si="19"/>
        <v>#REF!</v>
      </c>
    </row>
    <row r="483" spans="1:18" ht="15" customHeight="1">
      <c r="A483" s="657">
        <f>IF(B483="",MAX($A$8:A482)+0,MAX($A$8:A482)+1)</f>
        <v>52</v>
      </c>
      <c r="B483" s="835">
        <f>IF(C483="","",COUNTA($C$10:C484))</f>
        <v>52</v>
      </c>
      <c r="C483" s="835">
        <f>IF(D483="","",1776)</f>
        <v>1776</v>
      </c>
      <c r="D483" s="851" t="s">
        <v>680</v>
      </c>
      <c r="E483" s="855" t="s">
        <v>625</v>
      </c>
      <c r="F483" s="1049" t="str">
        <f>VLOOKUP(E483,DICH!B:C,2,FALSE)</f>
        <v>Formwork</v>
      </c>
      <c r="G483" s="856" t="s">
        <v>547</v>
      </c>
      <c r="H483" s="847"/>
      <c r="I483" s="848"/>
      <c r="J483" s="853"/>
      <c r="K483" s="842">
        <f>+J484</f>
        <v>425719.84460154537</v>
      </c>
      <c r="L483" s="842">
        <f>+J487</f>
        <v>2735562.5</v>
      </c>
      <c r="N483" s="843" t="e">
        <f>SUMIF(#REF!,'8.Dgia'!A483,#REF!)+SUMIF(#REF!,'8.Dgia'!A483,#REF!)+SUMIF(#REF!,'8.Dgia'!A483,#REF!)+SUMIF(#REF!,'8.Dgia'!A483,#REF!)</f>
        <v>#REF!</v>
      </c>
      <c r="O483" s="844"/>
      <c r="P483" s="843" t="e">
        <f t="shared" ref="P483:P557" si="20">$H483*N483*(1+O483%)</f>
        <v>#REF!</v>
      </c>
      <c r="Q483" s="657" t="s">
        <v>457</v>
      </c>
    </row>
    <row r="484" spans="1:18" s="658" customFormat="1" ht="15" customHeight="1">
      <c r="A484" s="657">
        <f>IF(B484="",MAX($A$8:A483)+0,MAX($A$8:A483)+1)</f>
        <v>52</v>
      </c>
      <c r="B484" s="835" t="str">
        <f>IF(C484="","",COUNTA($C$10:C485))</f>
        <v/>
      </c>
      <c r="C484" s="362"/>
      <c r="D484" s="845"/>
      <c r="E484" s="852" t="s">
        <v>2032</v>
      </c>
      <c r="F484" s="848" t="str">
        <f>VLOOKUP(E484,DICH!B:C,2,FALSE)</f>
        <v xml:space="preserve">  A - Material</v>
      </c>
      <c r="G484" s="846"/>
      <c r="H484" s="847"/>
      <c r="I484" s="848"/>
      <c r="J484" s="849">
        <f>SUM(J485:J486)</f>
        <v>425719.84460154537</v>
      </c>
      <c r="K484" s="850"/>
      <c r="L484" s="850"/>
      <c r="M484" s="850"/>
      <c r="N484" s="843" t="e">
        <f>SUMIF(#REF!,'8.Dgia'!A484,#REF!)+SUMIF(#REF!,'8.Dgia'!A484,#REF!)+SUMIF(#REF!,'8.Dgia'!A484,#REF!)+SUMIF(#REF!,'8.Dgia'!A484,#REF!)</f>
        <v>#REF!</v>
      </c>
      <c r="O484" s="844"/>
      <c r="P484" s="843" t="e">
        <f t="shared" si="20"/>
        <v>#REF!</v>
      </c>
      <c r="Q484" s="657" t="s">
        <v>457</v>
      </c>
    </row>
    <row r="485" spans="1:18" ht="15" customHeight="1">
      <c r="A485" s="657">
        <f>IF(B485="",MAX($A$8:A484)+0,MAX($A$8:A484)+1)</f>
        <v>52</v>
      </c>
      <c r="B485" s="835" t="str">
        <f>IF(C485="","",COUNTA($C$10:C486))</f>
        <v/>
      </c>
      <c r="C485" s="362"/>
      <c r="D485" s="851"/>
      <c r="E485" s="852" t="s">
        <v>562</v>
      </c>
      <c r="F485" s="848" t="str">
        <f>VLOOKUP(E485,DICH!B:C,2,FALSE)</f>
        <v>Plate steel</v>
      </c>
      <c r="G485" s="362" t="s">
        <v>558</v>
      </c>
      <c r="H485" s="847">
        <v>31.5</v>
      </c>
      <c r="I485" s="848">
        <f>VLOOKUP(E485,'11.gia '!$B:$I,8,FALSE)</f>
        <v>12871.348287272725</v>
      </c>
      <c r="J485" s="853">
        <f>I485*H485</f>
        <v>405447.47104909085</v>
      </c>
      <c r="N485" s="843" t="e">
        <f>SUMIF(#REF!,'8.Dgia'!A485,#REF!)+SUMIF(#REF!,'8.Dgia'!A485,#REF!)+SUMIF(#REF!,'8.Dgia'!A485,#REF!)+SUMIF(#REF!,'8.Dgia'!A485,#REF!)</f>
        <v>#REF!</v>
      </c>
      <c r="O485" s="844">
        <f>+$H$486</f>
        <v>5</v>
      </c>
      <c r="P485" s="843" t="e">
        <f t="shared" si="20"/>
        <v>#REF!</v>
      </c>
      <c r="Q485" s="657" t="s">
        <v>457</v>
      </c>
    </row>
    <row r="486" spans="1:18" ht="15" customHeight="1">
      <c r="A486" s="657">
        <f>IF(B486="",MAX($A$8:A485)+0,MAX($A$8:A485)+1)</f>
        <v>52</v>
      </c>
      <c r="B486" s="835" t="str">
        <f>IF(C486="","",COUNTA($C$10:C487))</f>
        <v/>
      </c>
      <c r="C486" s="362"/>
      <c r="D486" s="851"/>
      <c r="E486" s="852" t="s">
        <v>555</v>
      </c>
      <c r="F486" s="848" t="str">
        <f>VLOOKUP(E486,DICH!B:C,2,FALSE)</f>
        <v>Other material</v>
      </c>
      <c r="G486" s="362" t="s">
        <v>554</v>
      </c>
      <c r="H486" s="847">
        <v>5</v>
      </c>
      <c r="I486" s="848">
        <f>SUM(J485:J485)</f>
        <v>405447.47104909085</v>
      </c>
      <c r="J486" s="853">
        <f>I486*H486%</f>
        <v>20272.373552454545</v>
      </c>
      <c r="N486" s="843" t="e">
        <f>SUMIF(#REF!,'8.Dgia'!A486,#REF!)+SUMIF(#REF!,'8.Dgia'!A486,#REF!)+SUMIF(#REF!,'8.Dgia'!A486,#REF!)+SUMIF(#REF!,'8.Dgia'!A486,#REF!)</f>
        <v>#REF!</v>
      </c>
      <c r="O486" s="844"/>
      <c r="P486" s="843" t="e">
        <f t="shared" si="20"/>
        <v>#REF!</v>
      </c>
      <c r="Q486" s="657" t="s">
        <v>457</v>
      </c>
    </row>
    <row r="487" spans="1:18" s="658" customFormat="1" ht="15" customHeight="1">
      <c r="A487" s="657">
        <f>IF(B487="",MAX($A$8:A486)+0,MAX($A$8:A486)+1)</f>
        <v>52</v>
      </c>
      <c r="B487" s="835" t="str">
        <f>IF(C487="","",COUNTA($C$10:C488))</f>
        <v/>
      </c>
      <c r="C487" s="362"/>
      <c r="D487" s="845"/>
      <c r="E487" s="852" t="s">
        <v>2040</v>
      </c>
      <c r="F487" s="848" t="str">
        <f>VLOOKUP(E487,DICH!B:C,2,FALSE)</f>
        <v xml:space="preserve">  B - Labour 4.5/7</v>
      </c>
      <c r="G487" s="362" t="s">
        <v>4899</v>
      </c>
      <c r="H487" s="847">
        <v>11.5</v>
      </c>
      <c r="I487" s="848">
        <f>VLOOKUP(E487,'16.NC'!$C$11:$F$22,4,FALSE)</f>
        <v>237875</v>
      </c>
      <c r="J487" s="849">
        <f>I487*H487</f>
        <v>2735562.5</v>
      </c>
      <c r="K487" s="850"/>
      <c r="L487" s="850"/>
      <c r="M487" s="850"/>
      <c r="N487" s="843" t="e">
        <f>SUMIF(#REF!,'8.Dgia'!A487,#REF!)+SUMIF(#REF!,'8.Dgia'!A487,#REF!)+SUMIF(#REF!,'8.Dgia'!A487,#REF!)+SUMIF(#REF!,'8.Dgia'!A487,#REF!)</f>
        <v>#REF!</v>
      </c>
      <c r="O487" s="844"/>
      <c r="P487" s="843" t="e">
        <f t="shared" si="20"/>
        <v>#REF!</v>
      </c>
      <c r="Q487" s="657" t="s">
        <v>457</v>
      </c>
      <c r="R487" s="658">
        <v>1</v>
      </c>
    </row>
    <row r="488" spans="1:18" ht="15" customHeight="1">
      <c r="A488" s="657">
        <f>IF(B488="",MAX($A$8:A487)+0,MAX($A$8:A487)+1)</f>
        <v>53</v>
      </c>
      <c r="B488" s="835">
        <f>IF(C488="","",COUNTA($C$10:C489))</f>
        <v>53</v>
      </c>
      <c r="C488" s="835">
        <f>IF(D488="","",1776)</f>
        <v>1776</v>
      </c>
      <c r="D488" s="851" t="s">
        <v>450</v>
      </c>
      <c r="E488" s="855" t="s">
        <v>4017</v>
      </c>
      <c r="F488" s="1049" t="str">
        <f>VLOOKUP(E488,DICH!B:C,2,FALSE)</f>
        <v>Lean concrete C10, stone 1x2</v>
      </c>
      <c r="G488" s="856" t="s">
        <v>545</v>
      </c>
      <c r="H488" s="847"/>
      <c r="I488" s="848"/>
      <c r="J488" s="853"/>
      <c r="K488" s="842">
        <f>+J489</f>
        <v>779112.37487813749</v>
      </c>
      <c r="L488" s="842">
        <f>+J492</f>
        <v>306347.07999999996</v>
      </c>
      <c r="M488" s="842">
        <f>+J493</f>
        <v>23796.9734775</v>
      </c>
      <c r="N488" s="843" t="e">
        <f>SUMIF(#REF!,'8.Dgia'!A488,#REF!)+SUMIF(#REF!,'8.Dgia'!A488,#REF!)+SUMIF(#REF!,'8.Dgia'!A488,#REF!)+SUMIF(#REF!,'8.Dgia'!A488,#REF!)</f>
        <v>#REF!</v>
      </c>
      <c r="O488" s="844"/>
      <c r="P488" s="843" t="e">
        <f t="shared" si="20"/>
        <v>#REF!</v>
      </c>
    </row>
    <row r="489" spans="1:18" s="658" customFormat="1" ht="15" customHeight="1">
      <c r="A489" s="657">
        <f>IF(B489="",MAX($A$8:A488)+0,MAX($A$8:A488)+1)</f>
        <v>53</v>
      </c>
      <c r="B489" s="835" t="str">
        <f>IF(C489="","",COUNTA($C$10:C490))</f>
        <v/>
      </c>
      <c r="C489" s="362"/>
      <c r="D489" s="845"/>
      <c r="E489" s="852" t="s">
        <v>2032</v>
      </c>
      <c r="F489" s="848" t="str">
        <f>VLOOKUP(E489,DICH!B:C,2,FALSE)</f>
        <v xml:space="preserve">  A - Material</v>
      </c>
      <c r="G489" s="846"/>
      <c r="H489" s="847"/>
      <c r="I489" s="848"/>
      <c r="J489" s="849">
        <f>SUM(J490:J491)</f>
        <v>779112.37487813749</v>
      </c>
      <c r="K489" s="850"/>
      <c r="L489" s="850"/>
      <c r="M489" s="850"/>
      <c r="N489" s="843" t="e">
        <f>SUMIF(#REF!,'8.Dgia'!A489,#REF!)+SUMIF(#REF!,'8.Dgia'!A489,#REF!)+SUMIF(#REF!,'8.Dgia'!A489,#REF!)+SUMIF(#REF!,'8.Dgia'!A489,#REF!)</f>
        <v>#REF!</v>
      </c>
      <c r="O489" s="844"/>
      <c r="P489" s="843" t="e">
        <f t="shared" si="20"/>
        <v>#REF!</v>
      </c>
    </row>
    <row r="490" spans="1:18" ht="15" customHeight="1">
      <c r="A490" s="657">
        <f>IF(B490="",MAX($A$8:A489)+0,MAX($A$8:A489)+1)</f>
        <v>53</v>
      </c>
      <c r="B490" s="835" t="str">
        <f>IF(C490="","",COUNTA($C$10:C491))</f>
        <v/>
      </c>
      <c r="C490" s="851"/>
      <c r="D490" s="851" t="str">
        <f>'10.PLV'!$C$7</f>
        <v>C3122</v>
      </c>
      <c r="E490" s="852" t="str">
        <f>'10.PLV'!$D$7</f>
        <v>Vữa Bê tông C10 đá 1x2 SN 2-4</v>
      </c>
      <c r="F490" s="848" t="str">
        <f>VLOOKUP(E490,DICH!B:C,2,FALSE)</f>
        <v>Concrete motar C10 stone 1x2 slump 2-4</v>
      </c>
      <c r="G490" s="362" t="s">
        <v>545</v>
      </c>
      <c r="H490" s="847">
        <v>1.0249999999999999</v>
      </c>
      <c r="I490" s="848">
        <f>VLOOKUP(E490,'11.gia '!B:I,8,FALSE)</f>
        <v>752583.79606678337</v>
      </c>
      <c r="J490" s="853">
        <f>I490*H490</f>
        <v>771398.39096845291</v>
      </c>
      <c r="N490" s="843" t="e">
        <f>SUMIF(#REF!,'8.Dgia'!A490,#REF!)+SUMIF(#REF!,'8.Dgia'!A490,#REF!)+SUMIF(#REF!,'8.Dgia'!A490,#REF!)+SUMIF(#REF!,'8.Dgia'!A490,#REF!)</f>
        <v>#REF!</v>
      </c>
      <c r="O490" s="844">
        <f>+$H$491</f>
        <v>1</v>
      </c>
      <c r="P490" s="843" t="e">
        <f t="shared" si="20"/>
        <v>#REF!</v>
      </c>
    </row>
    <row r="491" spans="1:18" ht="15" customHeight="1">
      <c r="A491" s="657">
        <f>IF(B491="",MAX($A$8:A490)+0,MAX($A$8:A490)+1)</f>
        <v>53</v>
      </c>
      <c r="B491" s="835" t="str">
        <f>IF(C491="","",COUNTA($C$10:C492))</f>
        <v/>
      </c>
      <c r="C491" s="362"/>
      <c r="D491" s="851"/>
      <c r="E491" s="852" t="s">
        <v>555</v>
      </c>
      <c r="F491" s="848" t="str">
        <f>VLOOKUP(E491,DICH!B:C,2,FALSE)</f>
        <v>Other material</v>
      </c>
      <c r="G491" s="362" t="s">
        <v>554</v>
      </c>
      <c r="H491" s="847">
        <v>1</v>
      </c>
      <c r="I491" s="848">
        <f>J490</f>
        <v>771398.39096845291</v>
      </c>
      <c r="J491" s="853">
        <f>I491*H491%</f>
        <v>7713.983909684529</v>
      </c>
      <c r="N491" s="843" t="e">
        <f>SUMIF(#REF!,'8.Dgia'!A491,#REF!)+SUMIF(#REF!,'8.Dgia'!A491,#REF!)+SUMIF(#REF!,'8.Dgia'!A491,#REF!)+SUMIF(#REF!,'8.Dgia'!A491,#REF!)</f>
        <v>#REF!</v>
      </c>
      <c r="O491" s="844"/>
      <c r="P491" s="843" t="e">
        <f t="shared" si="20"/>
        <v>#REF!</v>
      </c>
    </row>
    <row r="492" spans="1:18" s="658" customFormat="1" ht="15" customHeight="1">
      <c r="A492" s="657">
        <f>IF(B492="",MAX($A$8:A491)+0,MAX($A$8:A491)+1)</f>
        <v>53</v>
      </c>
      <c r="B492" s="835" t="str">
        <f>IF(C492="","",COUNTA($C$10:C493))</f>
        <v/>
      </c>
      <c r="C492" s="362"/>
      <c r="D492" s="845"/>
      <c r="E492" s="852" t="s">
        <v>2038</v>
      </c>
      <c r="F492" s="848" t="str">
        <f>VLOOKUP(E492,DICH!B:C,2,FALSE)</f>
        <v xml:space="preserve">  B - Labour 3.0/7</v>
      </c>
      <c r="G492" s="362" t="s">
        <v>4899</v>
      </c>
      <c r="H492" s="847">
        <v>1.64</v>
      </c>
      <c r="I492" s="848">
        <f>VLOOKUP(E492,'16.NC'!$C$11:$F$22,4,FALSE)</f>
        <v>186797</v>
      </c>
      <c r="J492" s="849">
        <f>I492*H492</f>
        <v>306347.07999999996</v>
      </c>
      <c r="K492" s="850"/>
      <c r="L492" s="850"/>
      <c r="M492" s="850"/>
      <c r="N492" s="843" t="e">
        <f>SUMIF(#REF!,'8.Dgia'!A492,#REF!)+SUMIF(#REF!,'8.Dgia'!A492,#REF!)+SUMIF(#REF!,'8.Dgia'!A492,#REF!)+SUMIF(#REF!,'8.Dgia'!A492,#REF!)</f>
        <v>#REF!</v>
      </c>
      <c r="O492" s="844"/>
      <c r="P492" s="843" t="e">
        <f t="shared" si="20"/>
        <v>#REF!</v>
      </c>
      <c r="R492" s="658">
        <v>1</v>
      </c>
    </row>
    <row r="493" spans="1:18" s="658" customFormat="1" ht="15" customHeight="1">
      <c r="A493" s="657">
        <f>IF(B493="",MAX($A$8:A492)+0,MAX($A$8:A492)+1)</f>
        <v>53</v>
      </c>
      <c r="B493" s="835" t="str">
        <f>IF(C493="","",COUNTA($C$10:C494))</f>
        <v/>
      </c>
      <c r="C493" s="362"/>
      <c r="D493" s="845"/>
      <c r="E493" s="852" t="s">
        <v>2033</v>
      </c>
      <c r="F493" s="848" t="str">
        <f>VLOOKUP(E493,DICH!B:C,2,FALSE)</f>
        <v xml:space="preserve">  C - Machine</v>
      </c>
      <c r="G493" s="846"/>
      <c r="H493" s="847"/>
      <c r="I493" s="848"/>
      <c r="J493" s="849">
        <f>SUM(J494:J495)</f>
        <v>23796.9734775</v>
      </c>
      <c r="K493" s="850"/>
      <c r="L493" s="850"/>
      <c r="M493" s="850"/>
      <c r="N493" s="843" t="e">
        <f>SUMIF(#REF!,'8.Dgia'!A493,#REF!)+SUMIF(#REF!,'8.Dgia'!A493,#REF!)+SUMIF(#REF!,'8.Dgia'!A493,#REF!)+SUMIF(#REF!,'8.Dgia'!A493,#REF!)</f>
        <v>#REF!</v>
      </c>
      <c r="O493" s="844"/>
      <c r="P493" s="843" t="e">
        <f t="shared" si="20"/>
        <v>#REF!</v>
      </c>
    </row>
    <row r="494" spans="1:18" ht="15" customHeight="1">
      <c r="A494" s="657">
        <f>IF(B494="",MAX($A$8:A493)+0,MAX($A$8:A493)+1)</f>
        <v>53</v>
      </c>
      <c r="B494" s="835" t="str">
        <f>IF(C494="","",COUNTA($C$10:C495))</f>
        <v/>
      </c>
      <c r="C494" s="362"/>
      <c r="D494" s="851"/>
      <c r="E494" s="852" t="s">
        <v>582</v>
      </c>
      <c r="F494" s="848" t="str">
        <f>VLOOKUP(E494,'9.may'!E:F,2,FALSE)</f>
        <v>concrete mixer 250L</v>
      </c>
      <c r="G494" s="362" t="s">
        <v>4902</v>
      </c>
      <c r="H494" s="847">
        <v>9.5000000000000001E-2</v>
      </c>
      <c r="I494" s="848">
        <f>VLOOKUP(E494,'9.may'!E:W,12,FALSE)</f>
        <v>180447.90000000002</v>
      </c>
      <c r="J494" s="853">
        <f>I494*H494</f>
        <v>17142.550500000001</v>
      </c>
      <c r="N494" s="843" t="e">
        <f>SUMIF(#REF!,'8.Dgia'!A494,#REF!)+SUMIF(#REF!,'8.Dgia'!A494,#REF!)+SUMIF(#REF!,'8.Dgia'!A494,#REF!)+SUMIF(#REF!,'8.Dgia'!A494,#REF!)</f>
        <v>#REF!</v>
      </c>
      <c r="O494" s="844"/>
      <c r="P494" s="843" t="e">
        <f t="shared" si="20"/>
        <v>#REF!</v>
      </c>
    </row>
    <row r="495" spans="1:18" ht="15" customHeight="1">
      <c r="A495" s="657">
        <f>IF(B495="",MAX($A$8:A494)+0,MAX($A$8:A494)+1)</f>
        <v>53</v>
      </c>
      <c r="B495" s="835" t="str">
        <f>IF(C495="","",COUNTA($C$10:C496))</f>
        <v/>
      </c>
      <c r="C495" s="362"/>
      <c r="D495" s="851"/>
      <c r="E495" s="852" t="s">
        <v>293</v>
      </c>
      <c r="F495" s="848" t="str">
        <f>VLOOKUP(E495,'9.may'!E:F,2,FALSE)</f>
        <v>concrete vibrating compactor 1.5Kw</v>
      </c>
      <c r="G495" s="362" t="s">
        <v>4902</v>
      </c>
      <c r="H495" s="847">
        <v>8.8999999999999996E-2</v>
      </c>
      <c r="I495" s="848">
        <f>VLOOKUP(E495,'9.may'!E:W,12,FALSE)</f>
        <v>74768.797500000001</v>
      </c>
      <c r="J495" s="853">
        <f>I495*H495</f>
        <v>6654.4229774999994</v>
      </c>
      <c r="N495" s="843" t="e">
        <f>SUMIF(#REF!,'8.Dgia'!A495,#REF!)+SUMIF(#REF!,'8.Dgia'!A495,#REF!)+SUMIF(#REF!,'8.Dgia'!A495,#REF!)+SUMIF(#REF!,'8.Dgia'!A495,#REF!)</f>
        <v>#REF!</v>
      </c>
      <c r="O495" s="844"/>
      <c r="P495" s="843" t="e">
        <f t="shared" si="20"/>
        <v>#REF!</v>
      </c>
    </row>
    <row r="496" spans="1:18" ht="15" customHeight="1">
      <c r="A496" s="657">
        <f>IF(B496="",MAX($A$8:A495)+0,MAX($A$8:A495)+1)</f>
        <v>54</v>
      </c>
      <c r="B496" s="835">
        <f>IF(C496="","",COUNTA($C$10:C497))</f>
        <v>54</v>
      </c>
      <c r="C496" s="835">
        <f>IF(D496="","",1776)</f>
        <v>1776</v>
      </c>
      <c r="D496" s="851" t="s">
        <v>681</v>
      </c>
      <c r="E496" s="855" t="s">
        <v>683</v>
      </c>
      <c r="F496" s="1049" t="str">
        <f>VLOOKUP(E496,DICH!B:C,2,FALSE)</f>
        <v>Bituminous cover, pasting bag 1 class</v>
      </c>
      <c r="G496" s="856" t="s">
        <v>548</v>
      </c>
      <c r="H496" s="847"/>
      <c r="I496" s="848"/>
      <c r="J496" s="853"/>
      <c r="K496" s="842">
        <f>+J497</f>
        <v>66653.909710000007</v>
      </c>
      <c r="L496" s="842">
        <f>+J502</f>
        <v>101431</v>
      </c>
      <c r="N496" s="843" t="e">
        <f>SUMIF(#REF!,'8.Dgia'!A496,#REF!)+SUMIF(#REF!,'8.Dgia'!A496,#REF!)+SUMIF(#REF!,'8.Dgia'!A496,#REF!)+SUMIF(#REF!,'8.Dgia'!A496,#REF!)</f>
        <v>#REF!</v>
      </c>
      <c r="O496" s="844"/>
      <c r="P496" s="843" t="e">
        <f t="shared" si="20"/>
        <v>#REF!</v>
      </c>
    </row>
    <row r="497" spans="1:18" s="658" customFormat="1" ht="15" customHeight="1">
      <c r="A497" s="657">
        <f>IF(B497="",MAX($A$8:A496)+0,MAX($A$8:A496)+1)</f>
        <v>54</v>
      </c>
      <c r="B497" s="835" t="str">
        <f>IF(C497="","",COUNTA($C$10:C498))</f>
        <v/>
      </c>
      <c r="C497" s="362"/>
      <c r="D497" s="845"/>
      <c r="E497" s="852" t="s">
        <v>2032</v>
      </c>
      <c r="F497" s="848" t="str">
        <f>VLOOKUP(E497,DICH!B:C,2,FALSE)</f>
        <v xml:space="preserve">  A - Material</v>
      </c>
      <c r="G497" s="846"/>
      <c r="H497" s="847"/>
      <c r="I497" s="848"/>
      <c r="J497" s="849">
        <f>SUM(J498:J501)</f>
        <v>66653.909710000007</v>
      </c>
      <c r="K497" s="850"/>
      <c r="L497" s="850"/>
      <c r="M497" s="850"/>
      <c r="N497" s="843" t="e">
        <f>SUMIF(#REF!,'8.Dgia'!A497,#REF!)+SUMIF(#REF!,'8.Dgia'!A497,#REF!)+SUMIF(#REF!,'8.Dgia'!A497,#REF!)+SUMIF(#REF!,'8.Dgia'!A497,#REF!)</f>
        <v>#REF!</v>
      </c>
      <c r="O497" s="844"/>
      <c r="P497" s="843" t="e">
        <f t="shared" si="20"/>
        <v>#REF!</v>
      </c>
    </row>
    <row r="498" spans="1:18" ht="15" customHeight="1">
      <c r="A498" s="657">
        <f>IF(B498="",MAX($A$8:A497)+0,MAX($A$8:A497)+1)</f>
        <v>54</v>
      </c>
      <c r="B498" s="835" t="str">
        <f>IF(C498="","",COUNTA($C$10:C499))</f>
        <v/>
      </c>
      <c r="C498" s="362"/>
      <c r="D498" s="851"/>
      <c r="E498" s="852" t="s">
        <v>660</v>
      </c>
      <c r="F498" s="848" t="str">
        <f>VLOOKUP(E498,DICH!B:C,2,FALSE)</f>
        <v>bitumen</v>
      </c>
      <c r="G498" s="362" t="s">
        <v>558</v>
      </c>
      <c r="H498" s="847">
        <v>3.15</v>
      </c>
      <c r="I498" s="858">
        <f>VLOOKUP(E498,'11.gia '!$B:$I,8,FALSE)</f>
        <v>15823.463400000001</v>
      </c>
      <c r="J498" s="853">
        <f>I498*H498</f>
        <v>49843.90971</v>
      </c>
      <c r="N498" s="843" t="e">
        <f>SUMIF(#REF!,'8.Dgia'!A498,#REF!)+SUMIF(#REF!,'8.Dgia'!A498,#REF!)+SUMIF(#REF!,'8.Dgia'!A498,#REF!)+SUMIF(#REF!,'8.Dgia'!A498,#REF!)</f>
        <v>#REF!</v>
      </c>
      <c r="O498" s="844"/>
      <c r="P498" s="843" t="e">
        <f t="shared" si="20"/>
        <v>#REF!</v>
      </c>
    </row>
    <row r="499" spans="1:18" ht="15" customHeight="1">
      <c r="A499" s="657">
        <f>IF(B499="",MAX($A$8:A498)+0,MAX($A$8:A498)+1)</f>
        <v>54</v>
      </c>
      <c r="B499" s="835" t="str">
        <f>IF(C499="","",COUNTA($C$10:C500))</f>
        <v/>
      </c>
      <c r="C499" s="362"/>
      <c r="D499" s="851"/>
      <c r="E499" s="852" t="s">
        <v>682</v>
      </c>
      <c r="F499" s="848" t="str">
        <f>VLOOKUP(E499,DICH!B:C,2,FALSE)</f>
        <v>Bag</v>
      </c>
      <c r="G499" s="362" t="s">
        <v>548</v>
      </c>
      <c r="H499" s="847">
        <v>1.2</v>
      </c>
      <c r="I499" s="858">
        <f>VLOOKUP(E499,'11.gia '!$B:$I,8,FALSE)</f>
        <v>10000</v>
      </c>
      <c r="J499" s="853">
        <f>I499*H499</f>
        <v>12000</v>
      </c>
      <c r="N499" s="843" t="e">
        <f>SUMIF(#REF!,'8.Dgia'!A499,#REF!)+SUMIF(#REF!,'8.Dgia'!A499,#REF!)+SUMIF(#REF!,'8.Dgia'!A499,#REF!)+SUMIF(#REF!,'8.Dgia'!A499,#REF!)</f>
        <v>#REF!</v>
      </c>
      <c r="O499" s="844"/>
      <c r="P499" s="843" t="e">
        <f t="shared" si="20"/>
        <v>#REF!</v>
      </c>
    </row>
    <row r="500" spans="1:18" ht="15" customHeight="1">
      <c r="A500" s="657">
        <f>IF(B500="",MAX($A$8:A499)+0,MAX($A$8:A499)+1)</f>
        <v>54</v>
      </c>
      <c r="B500" s="835" t="str">
        <f>IF(C500="","",COUNTA($C$10:C501))</f>
        <v/>
      </c>
      <c r="C500" s="362"/>
      <c r="D500" s="851"/>
      <c r="E500" s="852" t="s">
        <v>592</v>
      </c>
      <c r="F500" s="848" t="str">
        <f>VLOOKUP(E500,DICH!B:C,2,FALSE)</f>
        <v>Stone powder</v>
      </c>
      <c r="G500" s="362" t="s">
        <v>558</v>
      </c>
      <c r="H500" s="847">
        <v>1.81</v>
      </c>
      <c r="I500" s="848">
        <f>VLOOKUP(E500,'11.gia '!$B:$I,8,FALSE)</f>
        <v>1000</v>
      </c>
      <c r="J500" s="853">
        <f>I500*H500</f>
        <v>1810</v>
      </c>
      <c r="N500" s="843" t="e">
        <f>SUMIF(#REF!,'8.Dgia'!A500,#REF!)+SUMIF(#REF!,'8.Dgia'!A500,#REF!)+SUMIF(#REF!,'8.Dgia'!A500,#REF!)+SUMIF(#REF!,'8.Dgia'!A500,#REF!)</f>
        <v>#REF!</v>
      </c>
      <c r="O500" s="844"/>
      <c r="P500" s="843" t="e">
        <f t="shared" si="20"/>
        <v>#REF!</v>
      </c>
    </row>
    <row r="501" spans="1:18" ht="15" customHeight="1">
      <c r="A501" s="657">
        <f>IF(B501="",MAX($A$8:A500)+0,MAX($A$8:A500)+1)</f>
        <v>54</v>
      </c>
      <c r="B501" s="835" t="str">
        <f>IF(C501="","",COUNTA($C$10:C502))</f>
        <v/>
      </c>
      <c r="C501" s="362"/>
      <c r="D501" s="851"/>
      <c r="E501" s="852" t="s">
        <v>593</v>
      </c>
      <c r="F501" s="848" t="str">
        <f>VLOOKUP(E501,DICH!B:C,2,FALSE)</f>
        <v>Firewood</v>
      </c>
      <c r="G501" s="362" t="s">
        <v>558</v>
      </c>
      <c r="H501" s="847">
        <v>3</v>
      </c>
      <c r="I501" s="848">
        <f>VLOOKUP(E501,'11.gia '!$B:$I,8,FALSE)</f>
        <v>1000</v>
      </c>
      <c r="J501" s="853">
        <f>I501*H501</f>
        <v>3000</v>
      </c>
      <c r="N501" s="843" t="e">
        <f>SUMIF(#REF!,'8.Dgia'!A501,#REF!)+SUMIF(#REF!,'8.Dgia'!A501,#REF!)+SUMIF(#REF!,'8.Dgia'!A501,#REF!)+SUMIF(#REF!,'8.Dgia'!A501,#REF!)</f>
        <v>#REF!</v>
      </c>
      <c r="O501" s="844"/>
      <c r="P501" s="843" t="e">
        <f t="shared" si="20"/>
        <v>#REF!</v>
      </c>
    </row>
    <row r="502" spans="1:18" s="658" customFormat="1" ht="15" customHeight="1">
      <c r="A502" s="657">
        <f>IF(B502="",MAX($A$8:A501)+0,MAX($A$8:A501)+1)</f>
        <v>54</v>
      </c>
      <c r="B502" s="835" t="str">
        <f>IF(C502="","",COUNTA($C$10:C503))</f>
        <v/>
      </c>
      <c r="C502" s="362"/>
      <c r="D502" s="845"/>
      <c r="E502" s="852" t="s">
        <v>2037</v>
      </c>
      <c r="F502" s="848" t="str">
        <f>VLOOKUP(E502,DICH!B:C,2,FALSE)</f>
        <v xml:space="preserve">  B - Labour 3.5/7</v>
      </c>
      <c r="G502" s="362" t="s">
        <v>4899</v>
      </c>
      <c r="H502" s="847">
        <v>0.5</v>
      </c>
      <c r="I502" s="848">
        <f>VLOOKUP(E502,'16.NC'!$C$11:$F$22,4,FALSE)</f>
        <v>202862</v>
      </c>
      <c r="J502" s="849">
        <f>I502*H502</f>
        <v>101431</v>
      </c>
      <c r="K502" s="850"/>
      <c r="L502" s="850"/>
      <c r="M502" s="850"/>
      <c r="N502" s="843" t="e">
        <f>SUMIF(#REF!,'8.Dgia'!A502,#REF!)+SUMIF(#REF!,'8.Dgia'!A502,#REF!)+SUMIF(#REF!,'8.Dgia'!A502,#REF!)+SUMIF(#REF!,'8.Dgia'!A502,#REF!)</f>
        <v>#REF!</v>
      </c>
      <c r="O502" s="844"/>
      <c r="P502" s="843" t="e">
        <f t="shared" si="20"/>
        <v>#REF!</v>
      </c>
      <c r="R502" s="658">
        <v>1</v>
      </c>
    </row>
    <row r="503" spans="1:18" ht="15" customHeight="1">
      <c r="A503" s="657">
        <f>IF(B503="",MAX($A$8:A502)+0,MAX($A$8:A502)+1)</f>
        <v>55</v>
      </c>
      <c r="B503" s="835">
        <f>IF(C503="","",COUNTA($C$10:C504))</f>
        <v>55</v>
      </c>
      <c r="C503" s="835">
        <f>IF(D503="","",1776)</f>
        <v>1776</v>
      </c>
      <c r="D503" s="851" t="s">
        <v>60</v>
      </c>
      <c r="E503" s="855" t="s">
        <v>4034</v>
      </c>
      <c r="F503" s="1049" t="str">
        <f>VLOOKUP(E503,DICH!B:C,2,FALSE)</f>
        <v>Concrete C40 of abutment-pier on land</v>
      </c>
      <c r="G503" s="856" t="s">
        <v>545</v>
      </c>
      <c r="H503" s="847"/>
      <c r="I503" s="848"/>
      <c r="J503" s="853"/>
      <c r="K503" s="842">
        <f>+J504</f>
        <v>1270383.2306347387</v>
      </c>
      <c r="L503" s="842">
        <f>+J507</f>
        <v>634958.05999999994</v>
      </c>
      <c r="M503" s="842">
        <f>+J508</f>
        <v>428299.85626744776</v>
      </c>
      <c r="N503" s="843" t="e">
        <f>SUMIF(#REF!,'8.Dgia'!A503,#REF!)+SUMIF(#REF!,'8.Dgia'!A503,#REF!)+SUMIF(#REF!,'8.Dgia'!A503,#REF!)+SUMIF(#REF!,'8.Dgia'!A503,#REF!)</f>
        <v>#REF!</v>
      </c>
      <c r="O503" s="844"/>
      <c r="P503" s="843" t="e">
        <f t="shared" si="20"/>
        <v>#REF!</v>
      </c>
    </row>
    <row r="504" spans="1:18" s="658" customFormat="1" ht="15" customHeight="1">
      <c r="A504" s="657">
        <f>IF(B504="",MAX($A$8:A503)+0,MAX($A$8:A503)+1)</f>
        <v>55</v>
      </c>
      <c r="B504" s="835" t="str">
        <f>IF(C504="","",COUNTA($C$10:C505))</f>
        <v/>
      </c>
      <c r="C504" s="362"/>
      <c r="D504" s="845"/>
      <c r="E504" s="852" t="s">
        <v>2032</v>
      </c>
      <c r="F504" s="848" t="str">
        <f>VLOOKUP(E504,DICH!B:C,2,FALSE)</f>
        <v xml:space="preserve">  A - Material</v>
      </c>
      <c r="G504" s="846"/>
      <c r="H504" s="847"/>
      <c r="I504" s="848"/>
      <c r="J504" s="849">
        <f>SUM(J505:J506)</f>
        <v>1270383.2306347387</v>
      </c>
      <c r="K504" s="850"/>
      <c r="L504" s="850"/>
      <c r="M504" s="850"/>
      <c r="N504" s="843" t="e">
        <f>SUMIF(#REF!,'8.Dgia'!A504,#REF!)+SUMIF(#REF!,'8.Dgia'!A504,#REF!)+SUMIF(#REF!,'8.Dgia'!A504,#REF!)+SUMIF(#REF!,'8.Dgia'!A504,#REF!)</f>
        <v>#REF!</v>
      </c>
      <c r="O504" s="844"/>
      <c r="P504" s="843" t="e">
        <f t="shared" si="20"/>
        <v>#REF!</v>
      </c>
    </row>
    <row r="505" spans="1:18" ht="15" customHeight="1">
      <c r="A505" s="657">
        <f>IF(B505="",MAX($A$8:A504)+0,MAX($A$8:A504)+1)</f>
        <v>55</v>
      </c>
      <c r="B505" s="835" t="str">
        <f>IF(C505="","",COUNTA($C$10:C506))</f>
        <v/>
      </c>
      <c r="C505" s="851"/>
      <c r="D505" s="851" t="str">
        <f>'10.PLV'!$C$60</f>
        <v>ĐM</v>
      </c>
      <c r="E505" s="852" t="str">
        <f>'10.PLV'!$D$60</f>
        <v>Vữa bê tông đá 1x2 C40 (M450, độ sụt 12-16cm)</v>
      </c>
      <c r="F505" s="848" t="str">
        <f>VLOOKUP(E505,DICH!B:C,2,FALSE)</f>
        <v>Concrete motar C40 stone 1x2 slump 12-16</v>
      </c>
      <c r="G505" s="362" t="s">
        <v>545</v>
      </c>
      <c r="H505" s="847">
        <v>1.0149999999999999</v>
      </c>
      <c r="I505" s="848">
        <f>VLOOKUP(E505,'11.gia '!B:I,8,FALSE)</f>
        <v>1233112.4080999186</v>
      </c>
      <c r="J505" s="853">
        <f>I505*H505</f>
        <v>1251609.0942214173</v>
      </c>
      <c r="N505" s="843" t="e">
        <f>SUMIF(#REF!,'8.Dgia'!A505,#REF!)+SUMIF(#REF!,'8.Dgia'!A505,#REF!)+SUMIF(#REF!,'8.Dgia'!A505,#REF!)+SUMIF(#REF!,'8.Dgia'!A505,#REF!)</f>
        <v>#REF!</v>
      </c>
      <c r="O505" s="844">
        <f>+$H$506</f>
        <v>1.5</v>
      </c>
      <c r="P505" s="843" t="e">
        <f t="shared" si="20"/>
        <v>#REF!</v>
      </c>
    </row>
    <row r="506" spans="1:18" ht="15" customHeight="1">
      <c r="A506" s="657">
        <f>IF(B506="",MAX($A$8:A505)+0,MAX($A$8:A505)+1)</f>
        <v>55</v>
      </c>
      <c r="B506" s="835" t="str">
        <f>IF(C506="","",COUNTA($C$10:C507))</f>
        <v/>
      </c>
      <c r="C506" s="362"/>
      <c r="D506" s="851"/>
      <c r="E506" s="852" t="s">
        <v>555</v>
      </c>
      <c r="F506" s="848" t="str">
        <f>VLOOKUP(E506,DICH!B:C,2,FALSE)</f>
        <v>Other material</v>
      </c>
      <c r="G506" s="362" t="s">
        <v>554</v>
      </c>
      <c r="H506" s="847">
        <v>1.5</v>
      </c>
      <c r="I506" s="848">
        <f>J505</f>
        <v>1251609.0942214173</v>
      </c>
      <c r="J506" s="853">
        <f>I506*H506%</f>
        <v>18774.136413321259</v>
      </c>
      <c r="N506" s="843" t="e">
        <f>SUMIF(#REF!,'8.Dgia'!A506,#REF!)+SUMIF(#REF!,'8.Dgia'!A506,#REF!)+SUMIF(#REF!,'8.Dgia'!A506,#REF!)+SUMIF(#REF!,'8.Dgia'!A506,#REF!)</f>
        <v>#REF!</v>
      </c>
      <c r="O506" s="844"/>
      <c r="P506" s="843" t="e">
        <f t="shared" si="20"/>
        <v>#REF!</v>
      </c>
    </row>
    <row r="507" spans="1:18" s="658" customFormat="1" ht="15" customHeight="1">
      <c r="A507" s="657">
        <f>IF(B507="",MAX($A$8:A506)+0,MAX($A$8:A506)+1)</f>
        <v>55</v>
      </c>
      <c r="B507" s="835" t="str">
        <f>IF(C507="","",COUNTA($C$10:C508))</f>
        <v/>
      </c>
      <c r="C507" s="362"/>
      <c r="D507" s="845"/>
      <c r="E507" s="852" t="s">
        <v>2037</v>
      </c>
      <c r="F507" s="848" t="str">
        <f>VLOOKUP(E507,DICH!B:C,2,FALSE)</f>
        <v xml:space="preserve">  B - Labour 3.5/7</v>
      </c>
      <c r="G507" s="362" t="s">
        <v>4899</v>
      </c>
      <c r="H507" s="847">
        <v>3.13</v>
      </c>
      <c r="I507" s="848">
        <f>VLOOKUP(E507,'16.NC'!$C$11:$F$22,4,FALSE)</f>
        <v>202862</v>
      </c>
      <c r="J507" s="849">
        <f>I507*H507</f>
        <v>634958.05999999994</v>
      </c>
      <c r="K507" s="850"/>
      <c r="L507" s="850"/>
      <c r="M507" s="850"/>
      <c r="N507" s="843" t="e">
        <f>SUMIF(#REF!,'8.Dgia'!A507,#REF!)+SUMIF(#REF!,'8.Dgia'!A507,#REF!)+SUMIF(#REF!,'8.Dgia'!A507,#REF!)+SUMIF(#REF!,'8.Dgia'!A507,#REF!)</f>
        <v>#REF!</v>
      </c>
      <c r="O507" s="844"/>
      <c r="P507" s="843" t="e">
        <f t="shared" si="20"/>
        <v>#REF!</v>
      </c>
      <c r="R507" s="658">
        <v>1</v>
      </c>
    </row>
    <row r="508" spans="1:18" s="658" customFormat="1" ht="15" customHeight="1">
      <c r="A508" s="657">
        <f>IF(B508="",MAX($A$8:A507)+0,MAX($A$8:A507)+1)</f>
        <v>55</v>
      </c>
      <c r="B508" s="835" t="str">
        <f>IF(C508="","",COUNTA($C$10:C509))</f>
        <v/>
      </c>
      <c r="C508" s="362"/>
      <c r="D508" s="845"/>
      <c r="E508" s="852" t="s">
        <v>2033</v>
      </c>
      <c r="F508" s="848" t="str">
        <f>VLOOKUP(E508,DICH!B:C,2,FALSE)</f>
        <v xml:space="preserve">  C - Machine</v>
      </c>
      <c r="G508" s="846"/>
      <c r="H508" s="847"/>
      <c r="I508" s="848"/>
      <c r="J508" s="849">
        <f>SUM(J509:J512)</f>
        <v>428299.85626744776</v>
      </c>
      <c r="K508" s="850"/>
      <c r="L508" s="850"/>
      <c r="M508" s="850"/>
      <c r="N508" s="843" t="e">
        <f>SUMIF(#REF!,'8.Dgia'!A508,#REF!)+SUMIF(#REF!,'8.Dgia'!A508,#REF!)+SUMIF(#REF!,'8.Dgia'!A508,#REF!)+SUMIF(#REF!,'8.Dgia'!A508,#REF!)</f>
        <v>#REF!</v>
      </c>
      <c r="O508" s="844"/>
      <c r="P508" s="843" t="e">
        <f t="shared" si="20"/>
        <v>#REF!</v>
      </c>
    </row>
    <row r="509" spans="1:18" ht="15" customHeight="1">
      <c r="A509" s="657">
        <f>IF(B509="",MAX($A$8:A508)+0,MAX($A$8:A508)+1)</f>
        <v>55</v>
      </c>
      <c r="B509" s="835" t="str">
        <f>IF(C509="","",COUNTA($C$10:C510))</f>
        <v/>
      </c>
      <c r="C509" s="362"/>
      <c r="D509" s="851"/>
      <c r="E509" s="852" t="s">
        <v>288</v>
      </c>
      <c r="F509" s="848" t="str">
        <f>VLOOKUP(E509,'9.may'!E:F,2,FALSE)</f>
        <v>caterpillar crane 25T</v>
      </c>
      <c r="G509" s="362" t="s">
        <v>4902</v>
      </c>
      <c r="H509" s="847">
        <v>6.7000000000000004E-2</v>
      </c>
      <c r="I509" s="848">
        <f>VLOOKUP(E509,'9.may'!E:W,12,FALSE)</f>
        <v>2787996.6736363638</v>
      </c>
      <c r="J509" s="853">
        <f>I509*H509</f>
        <v>186795.77713363638</v>
      </c>
      <c r="N509" s="843" t="e">
        <f>SUMIF(#REF!,'8.Dgia'!A509,#REF!)+SUMIF(#REF!,'8.Dgia'!A509,#REF!)+SUMIF(#REF!,'8.Dgia'!A509,#REF!)+SUMIF(#REF!,'8.Dgia'!A509,#REF!)</f>
        <v>#REF!</v>
      </c>
      <c r="O509" s="844">
        <f>+$H$512</f>
        <v>1</v>
      </c>
      <c r="P509" s="843" t="e">
        <f t="shared" si="20"/>
        <v>#REF!</v>
      </c>
    </row>
    <row r="510" spans="1:18" ht="15" customHeight="1">
      <c r="A510" s="657">
        <f>IF(B510="",MAX($A$8:A509)+0,MAX($A$8:A509)+1)</f>
        <v>55</v>
      </c>
      <c r="B510" s="835" t="str">
        <f>IF(C510="","",COUNTA($C$10:C511))</f>
        <v/>
      </c>
      <c r="C510" s="362"/>
      <c r="D510" s="851"/>
      <c r="E510" s="852" t="s">
        <v>1182</v>
      </c>
      <c r="F510" s="848" t="str">
        <f>VLOOKUP(E510,'9.may'!E:F,2,FALSE)</f>
        <v>concrete pump truck 50m3/h</v>
      </c>
      <c r="G510" s="362" t="s">
        <v>4902</v>
      </c>
      <c r="H510" s="847">
        <v>6.7000000000000004E-2</v>
      </c>
      <c r="I510" s="848">
        <f>VLOOKUP(E510,'9.may'!E:W,12,FALSE)</f>
        <v>3446390.13</v>
      </c>
      <c r="J510" s="853">
        <f>I510*H510</f>
        <v>230908.13871</v>
      </c>
      <c r="N510" s="843" t="e">
        <f>SUMIF(#REF!,'8.Dgia'!A510,#REF!)+SUMIF(#REF!,'8.Dgia'!A510,#REF!)+SUMIF(#REF!,'8.Dgia'!A510,#REF!)+SUMIF(#REF!,'8.Dgia'!A510,#REF!)</f>
        <v>#REF!</v>
      </c>
      <c r="O510" s="844">
        <f>+$H$512</f>
        <v>1</v>
      </c>
      <c r="P510" s="843" t="e">
        <f t="shared" si="20"/>
        <v>#REF!</v>
      </c>
    </row>
    <row r="511" spans="1:18" ht="15" customHeight="1">
      <c r="A511" s="657">
        <f>IF(B511="",MAX($A$8:A510)+0,MAX($A$8:A510)+1)</f>
        <v>55</v>
      </c>
      <c r="B511" s="835" t="str">
        <f>IF(C511="","",COUNTA($C$10:C512))</f>
        <v/>
      </c>
      <c r="C511" s="362"/>
      <c r="D511" s="851"/>
      <c r="E511" s="852" t="s">
        <v>620</v>
      </c>
      <c r="F511" s="848" t="str">
        <f>VLOOKUP(E511,'9.may'!E:F,2,FALSE)</f>
        <v>concrete vibrating compactor 1.5Kw</v>
      </c>
      <c r="G511" s="362" t="s">
        <v>4902</v>
      </c>
      <c r="H511" s="847">
        <v>8.5000000000000006E-2</v>
      </c>
      <c r="I511" s="848">
        <f>VLOOKUP(E511,'9.may'!E:W,12,FALSE)</f>
        <v>74768.797500000001</v>
      </c>
      <c r="J511" s="853">
        <f>I511*H511</f>
        <v>6355.3477875000008</v>
      </c>
      <c r="N511" s="843" t="e">
        <f>SUMIF(#REF!,'8.Dgia'!A511,#REF!)+SUMIF(#REF!,'8.Dgia'!A511,#REF!)+SUMIF(#REF!,'8.Dgia'!A511,#REF!)+SUMIF(#REF!,'8.Dgia'!A511,#REF!)</f>
        <v>#REF!</v>
      </c>
      <c r="O511" s="844">
        <f>+$H$512</f>
        <v>1</v>
      </c>
      <c r="P511" s="843" t="e">
        <f t="shared" si="20"/>
        <v>#REF!</v>
      </c>
    </row>
    <row r="512" spans="1:18" ht="15" customHeight="1">
      <c r="A512" s="657">
        <f>IF(B512="",MAX($A$8:A511)+0,MAX($A$8:A511)+1)</f>
        <v>55</v>
      </c>
      <c r="B512" s="835" t="str">
        <f>IF(C512="","",COUNTA($C$10:C513))</f>
        <v/>
      </c>
      <c r="C512" s="362"/>
      <c r="D512" s="851"/>
      <c r="E512" s="852" t="s">
        <v>553</v>
      </c>
      <c r="F512" s="848" t="str">
        <f>VLOOKUP(E512,DICH!B:C,2,FALSE)</f>
        <v>Other machine</v>
      </c>
      <c r="G512" s="362" t="s">
        <v>554</v>
      </c>
      <c r="H512" s="847">
        <v>1</v>
      </c>
      <c r="I512" s="848">
        <f>SUM(J509:J511)</f>
        <v>424059.26363113639</v>
      </c>
      <c r="J512" s="853">
        <f>I512*H512%</f>
        <v>4240.592636311364</v>
      </c>
      <c r="N512" s="843" t="e">
        <f>SUMIF(#REF!,'8.Dgia'!A512,#REF!)+SUMIF(#REF!,'8.Dgia'!A512,#REF!)+SUMIF(#REF!,'8.Dgia'!A512,#REF!)+SUMIF(#REF!,'8.Dgia'!A512,#REF!)</f>
        <v>#REF!</v>
      </c>
      <c r="O512" s="844"/>
      <c r="P512" s="843" t="e">
        <f t="shared" si="20"/>
        <v>#REF!</v>
      </c>
    </row>
    <row r="513" spans="1:18" ht="15" customHeight="1">
      <c r="A513" s="657">
        <f>IF(B513="",MAX($A$8:A512)+0,MAX($A$8:A512)+1)</f>
        <v>56</v>
      </c>
      <c r="B513" s="835">
        <f>IF(C513="","",COUNTA($C$10:C514))</f>
        <v>56</v>
      </c>
      <c r="C513" s="835">
        <f>IF(D513="","",1776)</f>
        <v>1776</v>
      </c>
      <c r="D513" s="851" t="s">
        <v>60</v>
      </c>
      <c r="E513" s="855" t="s">
        <v>4035</v>
      </c>
      <c r="F513" s="1049" t="str">
        <f>VLOOKUP(E513,DICH!B:C,2,FALSE)</f>
        <v>Concrete C42 of pier cap (land)</v>
      </c>
      <c r="G513" s="856" t="s">
        <v>545</v>
      </c>
      <c r="H513" s="847"/>
      <c r="I513" s="848"/>
      <c r="J513" s="853"/>
      <c r="K513" s="842">
        <f>+J514</f>
        <v>1258544.340158981</v>
      </c>
      <c r="L513" s="842">
        <f>+J517</f>
        <v>634958.05999999994</v>
      </c>
      <c r="M513" s="842">
        <f>+J518</f>
        <v>428299.85626744776</v>
      </c>
      <c r="N513" s="843" t="e">
        <f>SUMIF(#REF!,'8.Dgia'!A513,#REF!)+SUMIF(#REF!,'8.Dgia'!A513,#REF!)+SUMIF(#REF!,'8.Dgia'!A513,#REF!)+SUMIF(#REF!,'8.Dgia'!A513,#REF!)</f>
        <v>#REF!</v>
      </c>
      <c r="O513" s="844"/>
      <c r="P513" s="843" t="e">
        <f t="shared" si="20"/>
        <v>#REF!</v>
      </c>
    </row>
    <row r="514" spans="1:18" s="658" customFormat="1" ht="15" customHeight="1">
      <c r="A514" s="657">
        <f>IF(B514="",MAX($A$8:A513)+0,MAX($A$8:A513)+1)</f>
        <v>56</v>
      </c>
      <c r="B514" s="835" t="str">
        <f>IF(C514="","",COUNTA($C$10:C515))</f>
        <v/>
      </c>
      <c r="C514" s="362"/>
      <c r="D514" s="845"/>
      <c r="E514" s="852" t="s">
        <v>2032</v>
      </c>
      <c r="F514" s="848" t="str">
        <f>VLOOKUP(E514,DICH!B:C,2,FALSE)</f>
        <v xml:space="preserve">  A - Material</v>
      </c>
      <c r="G514" s="846"/>
      <c r="H514" s="847"/>
      <c r="I514" s="848"/>
      <c r="J514" s="849">
        <f>SUM(J515:J516)</f>
        <v>1258544.340158981</v>
      </c>
      <c r="K514" s="850"/>
      <c r="L514" s="850"/>
      <c r="M514" s="850"/>
      <c r="N514" s="843" t="e">
        <f>SUMIF(#REF!,'8.Dgia'!A514,#REF!)+SUMIF(#REF!,'8.Dgia'!A514,#REF!)+SUMIF(#REF!,'8.Dgia'!A514,#REF!)+SUMIF(#REF!,'8.Dgia'!A514,#REF!)</f>
        <v>#REF!</v>
      </c>
      <c r="O514" s="844"/>
      <c r="P514" s="843" t="e">
        <f t="shared" si="20"/>
        <v>#REF!</v>
      </c>
    </row>
    <row r="515" spans="1:18" ht="15" customHeight="1">
      <c r="A515" s="657">
        <f>IF(B515="",MAX($A$8:A514)+0,MAX($A$8:A514)+1)</f>
        <v>56</v>
      </c>
      <c r="B515" s="835" t="str">
        <f>IF(C515="","",COUNTA($C$10:C516))</f>
        <v/>
      </c>
      <c r="C515" s="851"/>
      <c r="D515" s="851" t="str">
        <f>'10.PLV'!$C$66</f>
        <v>ĐM</v>
      </c>
      <c r="E515" s="852" t="str">
        <f>'10.PLV'!$D$66</f>
        <v>Vữa bê tông đá 1x2 C42 (độ sụt 8-12cm)</v>
      </c>
      <c r="F515" s="848" t="str">
        <f>VLOOKUP(E515,DICH!B:C,2,FALSE)</f>
        <v>Concrete motar C42 stone 1x2 slump 8-12</v>
      </c>
      <c r="G515" s="362" t="s">
        <v>545</v>
      </c>
      <c r="H515" s="847">
        <v>1.0149999999999999</v>
      </c>
      <c r="I515" s="848">
        <f>VLOOKUP(E515,'11.gia '!B:I,8,FALSE)</f>
        <v>1221620.8499686779</v>
      </c>
      <c r="J515" s="853">
        <f>I515*H515</f>
        <v>1239945.1627182078</v>
      </c>
      <c r="N515" s="843" t="e">
        <f>SUMIF(#REF!,'8.Dgia'!A515,#REF!)+SUMIF(#REF!,'8.Dgia'!A515,#REF!)+SUMIF(#REF!,'8.Dgia'!A515,#REF!)+SUMIF(#REF!,'8.Dgia'!A515,#REF!)</f>
        <v>#REF!</v>
      </c>
      <c r="O515" s="844">
        <f>+$H$516</f>
        <v>1.5</v>
      </c>
      <c r="P515" s="843" t="e">
        <f t="shared" si="20"/>
        <v>#REF!</v>
      </c>
    </row>
    <row r="516" spans="1:18" ht="15" customHeight="1">
      <c r="A516" s="657">
        <f>IF(B516="",MAX($A$8:A515)+0,MAX($A$8:A515)+1)</f>
        <v>56</v>
      </c>
      <c r="B516" s="835" t="str">
        <f>IF(C516="","",COUNTA($C$10:C517))</f>
        <v/>
      </c>
      <c r="C516" s="362"/>
      <c r="D516" s="851"/>
      <c r="E516" s="852" t="s">
        <v>555</v>
      </c>
      <c r="F516" s="848" t="str">
        <f>VLOOKUP(E516,DICH!B:C,2,FALSE)</f>
        <v>Other material</v>
      </c>
      <c r="G516" s="362" t="s">
        <v>554</v>
      </c>
      <c r="H516" s="847">
        <v>1.5</v>
      </c>
      <c r="I516" s="848">
        <f>J515</f>
        <v>1239945.1627182078</v>
      </c>
      <c r="J516" s="853">
        <f>I516*H516%</f>
        <v>18599.177440773117</v>
      </c>
      <c r="N516" s="843" t="e">
        <f>SUMIF(#REF!,'8.Dgia'!A516,#REF!)+SUMIF(#REF!,'8.Dgia'!A516,#REF!)+SUMIF(#REF!,'8.Dgia'!A516,#REF!)+SUMIF(#REF!,'8.Dgia'!A516,#REF!)</f>
        <v>#REF!</v>
      </c>
      <c r="O516" s="844"/>
      <c r="P516" s="843" t="e">
        <f t="shared" si="20"/>
        <v>#REF!</v>
      </c>
    </row>
    <row r="517" spans="1:18" s="658" customFormat="1" ht="15" customHeight="1">
      <c r="A517" s="657">
        <f>IF(B517="",MAX($A$8:A516)+0,MAX($A$8:A516)+1)</f>
        <v>56</v>
      </c>
      <c r="B517" s="835" t="str">
        <f>IF(C517="","",COUNTA($C$10:C518))</f>
        <v/>
      </c>
      <c r="C517" s="362"/>
      <c r="D517" s="845"/>
      <c r="E517" s="852" t="s">
        <v>2037</v>
      </c>
      <c r="F517" s="848" t="str">
        <f>VLOOKUP(E517,DICH!B:C,2,FALSE)</f>
        <v xml:space="preserve">  B - Labour 3.5/7</v>
      </c>
      <c r="G517" s="362" t="s">
        <v>4899</v>
      </c>
      <c r="H517" s="847">
        <v>3.13</v>
      </c>
      <c r="I517" s="848">
        <f>VLOOKUP(E517,'16.NC'!$C$11:$F$22,4,FALSE)</f>
        <v>202862</v>
      </c>
      <c r="J517" s="849">
        <f>I517*H517</f>
        <v>634958.05999999994</v>
      </c>
      <c r="K517" s="850"/>
      <c r="L517" s="850"/>
      <c r="M517" s="850"/>
      <c r="N517" s="843" t="e">
        <f>SUMIF(#REF!,'8.Dgia'!A517,#REF!)+SUMIF(#REF!,'8.Dgia'!A517,#REF!)+SUMIF(#REF!,'8.Dgia'!A517,#REF!)+SUMIF(#REF!,'8.Dgia'!A517,#REF!)</f>
        <v>#REF!</v>
      </c>
      <c r="O517" s="844"/>
      <c r="P517" s="843" t="e">
        <f t="shared" si="20"/>
        <v>#REF!</v>
      </c>
      <c r="R517" s="658">
        <v>1</v>
      </c>
    </row>
    <row r="518" spans="1:18" s="658" customFormat="1" ht="15" customHeight="1">
      <c r="A518" s="657">
        <f>IF(B518="",MAX($A$8:A517)+0,MAX($A$8:A517)+1)</f>
        <v>56</v>
      </c>
      <c r="B518" s="835" t="str">
        <f>IF(C518="","",COUNTA($C$10:C519))</f>
        <v/>
      </c>
      <c r="C518" s="362"/>
      <c r="D518" s="845"/>
      <c r="E518" s="852" t="s">
        <v>2033</v>
      </c>
      <c r="F518" s="848" t="str">
        <f>VLOOKUP(E518,DICH!B:C,2,FALSE)</f>
        <v xml:space="preserve">  C - Machine</v>
      </c>
      <c r="G518" s="846"/>
      <c r="H518" s="847"/>
      <c r="I518" s="848"/>
      <c r="J518" s="849">
        <f>SUM(J519:J522)</f>
        <v>428299.85626744776</v>
      </c>
      <c r="K518" s="850"/>
      <c r="L518" s="850"/>
      <c r="M518" s="850"/>
      <c r="N518" s="843" t="e">
        <f>SUMIF(#REF!,'8.Dgia'!A518,#REF!)+SUMIF(#REF!,'8.Dgia'!A518,#REF!)+SUMIF(#REF!,'8.Dgia'!A518,#REF!)+SUMIF(#REF!,'8.Dgia'!A518,#REF!)</f>
        <v>#REF!</v>
      </c>
      <c r="O518" s="844"/>
      <c r="P518" s="843" t="e">
        <f t="shared" si="20"/>
        <v>#REF!</v>
      </c>
    </row>
    <row r="519" spans="1:18" ht="15" customHeight="1">
      <c r="A519" s="657">
        <f>IF(B519="",MAX($A$8:A518)+0,MAX($A$8:A518)+1)</f>
        <v>56</v>
      </c>
      <c r="B519" s="835" t="str">
        <f>IF(C519="","",COUNTA($C$10:C520))</f>
        <v/>
      </c>
      <c r="C519" s="362"/>
      <c r="D519" s="851"/>
      <c r="E519" s="852" t="s">
        <v>288</v>
      </c>
      <c r="F519" s="848" t="str">
        <f>VLOOKUP(E519,'9.may'!E:F,2,FALSE)</f>
        <v>caterpillar crane 25T</v>
      </c>
      <c r="G519" s="362" t="s">
        <v>4902</v>
      </c>
      <c r="H519" s="847">
        <v>6.7000000000000004E-2</v>
      </c>
      <c r="I519" s="848">
        <f>VLOOKUP(E519,'9.may'!E:W,12,FALSE)</f>
        <v>2787996.6736363638</v>
      </c>
      <c r="J519" s="853">
        <f>I519*H519</f>
        <v>186795.77713363638</v>
      </c>
      <c r="N519" s="843" t="e">
        <f>SUMIF(#REF!,'8.Dgia'!A519,#REF!)+SUMIF(#REF!,'8.Dgia'!A519,#REF!)+SUMIF(#REF!,'8.Dgia'!A519,#REF!)+SUMIF(#REF!,'8.Dgia'!A519,#REF!)</f>
        <v>#REF!</v>
      </c>
      <c r="O519" s="844">
        <f>+$H$522</f>
        <v>1</v>
      </c>
      <c r="P519" s="843" t="e">
        <f t="shared" si="20"/>
        <v>#REF!</v>
      </c>
    </row>
    <row r="520" spans="1:18" ht="15" customHeight="1">
      <c r="A520" s="657">
        <f>IF(B520="",MAX($A$8:A519)+0,MAX($A$8:A519)+1)</f>
        <v>56</v>
      </c>
      <c r="B520" s="835" t="str">
        <f>IF(C520="","",COUNTA($C$10:C521))</f>
        <v/>
      </c>
      <c r="C520" s="362"/>
      <c r="D520" s="851"/>
      <c r="E520" s="852" t="s">
        <v>1182</v>
      </c>
      <c r="F520" s="848" t="str">
        <f>VLOOKUP(E520,'9.may'!E:F,2,FALSE)</f>
        <v>concrete pump truck 50m3/h</v>
      </c>
      <c r="G520" s="362" t="s">
        <v>4902</v>
      </c>
      <c r="H520" s="847">
        <v>6.7000000000000004E-2</v>
      </c>
      <c r="I520" s="848">
        <f>VLOOKUP(E520,'9.may'!E:W,12,FALSE)</f>
        <v>3446390.13</v>
      </c>
      <c r="J520" s="853">
        <f>I520*H520</f>
        <v>230908.13871</v>
      </c>
      <c r="N520" s="843" t="e">
        <f>SUMIF(#REF!,'8.Dgia'!A520,#REF!)+SUMIF(#REF!,'8.Dgia'!A520,#REF!)+SUMIF(#REF!,'8.Dgia'!A520,#REF!)+SUMIF(#REF!,'8.Dgia'!A520,#REF!)</f>
        <v>#REF!</v>
      </c>
      <c r="O520" s="844">
        <f>+$H$522</f>
        <v>1</v>
      </c>
      <c r="P520" s="843" t="e">
        <f t="shared" si="20"/>
        <v>#REF!</v>
      </c>
    </row>
    <row r="521" spans="1:18" ht="15" customHeight="1">
      <c r="A521" s="657">
        <f>IF(B521="",MAX($A$8:A520)+0,MAX($A$8:A520)+1)</f>
        <v>56</v>
      </c>
      <c r="B521" s="835" t="str">
        <f>IF(C521="","",COUNTA($C$10:C522))</f>
        <v/>
      </c>
      <c r="C521" s="362"/>
      <c r="D521" s="851"/>
      <c r="E521" s="852" t="s">
        <v>620</v>
      </c>
      <c r="F521" s="848" t="str">
        <f>VLOOKUP(E521,'9.may'!E:F,2,FALSE)</f>
        <v>concrete vibrating compactor 1.5Kw</v>
      </c>
      <c r="G521" s="362" t="s">
        <v>4902</v>
      </c>
      <c r="H521" s="847">
        <v>8.5000000000000006E-2</v>
      </c>
      <c r="I521" s="848">
        <f>VLOOKUP(E521,'9.may'!E:W,12,FALSE)</f>
        <v>74768.797500000001</v>
      </c>
      <c r="J521" s="853">
        <f>I521*H521</f>
        <v>6355.3477875000008</v>
      </c>
      <c r="N521" s="843" t="e">
        <f>SUMIF(#REF!,'8.Dgia'!A521,#REF!)+SUMIF(#REF!,'8.Dgia'!A521,#REF!)+SUMIF(#REF!,'8.Dgia'!A521,#REF!)+SUMIF(#REF!,'8.Dgia'!A521,#REF!)</f>
        <v>#REF!</v>
      </c>
      <c r="O521" s="844">
        <f>+$H$522</f>
        <v>1</v>
      </c>
      <c r="P521" s="843" t="e">
        <f t="shared" si="20"/>
        <v>#REF!</v>
      </c>
    </row>
    <row r="522" spans="1:18" ht="15" customHeight="1">
      <c r="A522" s="657">
        <f>IF(B522="",MAX($A$8:A521)+0,MAX($A$8:A521)+1)</f>
        <v>56</v>
      </c>
      <c r="B522" s="835" t="str">
        <f>IF(C522="","",COUNTA($C$10:C523))</f>
        <v/>
      </c>
      <c r="C522" s="362"/>
      <c r="D522" s="851"/>
      <c r="E522" s="852" t="s">
        <v>553</v>
      </c>
      <c r="F522" s="848" t="str">
        <f>VLOOKUP(E522,DICH!B:C,2,FALSE)</f>
        <v>Other machine</v>
      </c>
      <c r="G522" s="362" t="s">
        <v>554</v>
      </c>
      <c r="H522" s="847">
        <v>1</v>
      </c>
      <c r="I522" s="848">
        <f>SUM(J519:J521)</f>
        <v>424059.26363113639</v>
      </c>
      <c r="J522" s="853">
        <f>I522*H522%</f>
        <v>4240.592636311364</v>
      </c>
      <c r="N522" s="843" t="e">
        <f>SUMIF(#REF!,'8.Dgia'!A522,#REF!)+SUMIF(#REF!,'8.Dgia'!A522,#REF!)+SUMIF(#REF!,'8.Dgia'!A522,#REF!)+SUMIF(#REF!,'8.Dgia'!A522,#REF!)</f>
        <v>#REF!</v>
      </c>
      <c r="O522" s="844"/>
      <c r="P522" s="843" t="e">
        <f t="shared" si="20"/>
        <v>#REF!</v>
      </c>
    </row>
    <row r="523" spans="1:18" ht="15" customHeight="1">
      <c r="A523" s="657">
        <f>IF(B523="",MAX($A$8:A522)+0,MAX($A$8:A522)+1)</f>
        <v>57</v>
      </c>
      <c r="B523" s="835">
        <f>IF(C523="","",COUNTA($C$10:C524))</f>
        <v>57</v>
      </c>
      <c r="C523" s="835">
        <f>IF(D523="","",1776)</f>
        <v>1776</v>
      </c>
      <c r="D523" s="836" t="s">
        <v>502</v>
      </c>
      <c r="E523" s="868" t="s">
        <v>170</v>
      </c>
      <c r="F523" s="1049" t="str">
        <f>VLOOKUP(E523,DICH!B:C,2,FALSE)</f>
        <v>Concrete C42 of cantilever box girder (land)</v>
      </c>
      <c r="G523" s="838" t="s">
        <v>545</v>
      </c>
      <c r="H523" s="839"/>
      <c r="I523" s="840"/>
      <c r="J523" s="869"/>
      <c r="K523" s="842">
        <f>+J524</f>
        <v>1326140.5692269362</v>
      </c>
      <c r="L523" s="842">
        <f>+J528</f>
        <v>3642945.2800000003</v>
      </c>
      <c r="M523" s="842">
        <f>+J529</f>
        <v>449576.90564400004</v>
      </c>
      <c r="N523" s="843" t="e">
        <f>SUMIF(#REF!,'8.Dgia'!A523,#REF!)+SUMIF(#REF!,'8.Dgia'!A523,#REF!)+SUMIF(#REF!,'8.Dgia'!A523,#REF!)+SUMIF(#REF!,'8.Dgia'!A523,#REF!)</f>
        <v>#REF!</v>
      </c>
      <c r="O523" s="844"/>
      <c r="P523" s="843" t="e">
        <f t="shared" ref="P523:P533" si="21">$H523*N523*(1+O523%)</f>
        <v>#REF!</v>
      </c>
    </row>
    <row r="524" spans="1:18" s="658" customFormat="1" ht="15" customHeight="1">
      <c r="A524" s="657">
        <f>IF(B524="",MAX($A$8:A523)+0,MAX($A$8:A523)+1)</f>
        <v>57</v>
      </c>
      <c r="B524" s="835" t="str">
        <f>IF(C524="","",COUNTA($C$10:C525))</f>
        <v/>
      </c>
      <c r="C524" s="362"/>
      <c r="D524" s="845"/>
      <c r="E524" s="852" t="s">
        <v>2032</v>
      </c>
      <c r="F524" s="848" t="str">
        <f>VLOOKUP(E524,DICH!B:C,2,FALSE)</f>
        <v xml:space="preserve">  A - Material</v>
      </c>
      <c r="G524" s="846"/>
      <c r="H524" s="847"/>
      <c r="I524" s="848"/>
      <c r="J524" s="849">
        <f>SUM(J525:J527)</f>
        <v>1326140.5692269362</v>
      </c>
      <c r="K524" s="850"/>
      <c r="L524" s="850"/>
      <c r="M524" s="850"/>
      <c r="N524" s="843" t="e">
        <f>SUMIF(#REF!,'8.Dgia'!A524,#REF!)+SUMIF(#REF!,'8.Dgia'!A524,#REF!)+SUMIF(#REF!,'8.Dgia'!A524,#REF!)+SUMIF(#REF!,'8.Dgia'!A524,#REF!)</f>
        <v>#REF!</v>
      </c>
      <c r="O524" s="844"/>
      <c r="P524" s="843" t="e">
        <f t="shared" si="21"/>
        <v>#REF!</v>
      </c>
    </row>
    <row r="525" spans="1:18" ht="15" customHeight="1">
      <c r="A525" s="657">
        <f>IF(B525="",MAX($A$8:A524)+0,MAX($A$8:A524)+1)</f>
        <v>57</v>
      </c>
      <c r="B525" s="835" t="str">
        <f>IF(C525="","",COUNTA($C$10:C526))</f>
        <v/>
      </c>
      <c r="C525" s="851"/>
      <c r="D525" s="851" t="str">
        <f>+'10.PLV'!$C$66</f>
        <v>ĐM</v>
      </c>
      <c r="E525" s="852" t="str">
        <f>+'10.PLV'!$D$66</f>
        <v>Vữa bê tông đá 1x2 C42 (độ sụt 8-12cm)</v>
      </c>
      <c r="F525" s="848" t="str">
        <f>VLOOKUP(E525,DICH!B:C,2,FALSE)</f>
        <v>Concrete motar C42 stone 1x2 slump 8-12</v>
      </c>
      <c r="G525" s="362" t="s">
        <v>545</v>
      </c>
      <c r="H525" s="847">
        <v>1.0149999999999999</v>
      </c>
      <c r="I525" s="848">
        <f>VLOOKUP(E525,'11.gia '!B:I,8,FALSE)</f>
        <v>1221620.8499686779</v>
      </c>
      <c r="J525" s="853">
        <f>I525*H525</f>
        <v>1239945.1627182078</v>
      </c>
      <c r="N525" s="843" t="e">
        <f>SUMIF(#REF!,'8.Dgia'!A525,#REF!)+SUMIF(#REF!,'8.Dgia'!A525,#REF!)+SUMIF(#REF!,'8.Dgia'!A525,#REF!)+SUMIF(#REF!,'8.Dgia'!A525,#REF!)</f>
        <v>#REF!</v>
      </c>
      <c r="O525" s="844">
        <f>+$H$527</f>
        <v>4</v>
      </c>
      <c r="P525" s="843" t="e">
        <f t="shared" si="21"/>
        <v>#REF!</v>
      </c>
    </row>
    <row r="526" spans="1:18" ht="15" customHeight="1">
      <c r="A526" s="657">
        <f>IF(B526="",MAX($A$8:A525)+0,MAX($A$8:A525)+1)</f>
        <v>57</v>
      </c>
      <c r="B526" s="835" t="str">
        <f>IF(C526="","",COUNTA($C$10:C527))</f>
        <v/>
      </c>
      <c r="C526" s="362"/>
      <c r="D526" s="851"/>
      <c r="E526" s="852" t="s">
        <v>2229</v>
      </c>
      <c r="F526" s="848" t="str">
        <f>VLOOKUP(E526,DICH!B:C,2,FALSE)</f>
        <v>Pipe PVC D75</v>
      </c>
      <c r="G526" s="362" t="s">
        <v>543</v>
      </c>
      <c r="H526" s="847">
        <v>1.02</v>
      </c>
      <c r="I526" s="848">
        <f>VLOOKUP(E526,'11.gia '!$B:$I,8,FALSE)</f>
        <v>34500</v>
      </c>
      <c r="J526" s="853">
        <f>I526*H526</f>
        <v>35190</v>
      </c>
      <c r="N526" s="843" t="e">
        <f>SUMIF(#REF!,'8.Dgia'!A526,#REF!)+SUMIF(#REF!,'8.Dgia'!A526,#REF!)+SUMIF(#REF!,'8.Dgia'!A526,#REF!)+SUMIF(#REF!,'8.Dgia'!A526,#REF!)</f>
        <v>#REF!</v>
      </c>
      <c r="O526" s="844">
        <f>+$H$527</f>
        <v>4</v>
      </c>
      <c r="P526" s="843" t="e">
        <f t="shared" si="21"/>
        <v>#REF!</v>
      </c>
    </row>
    <row r="527" spans="1:18" ht="15" customHeight="1">
      <c r="A527" s="657">
        <f>IF(B527="",MAX($A$8:A526)+0,MAX($A$8:A526)+1)</f>
        <v>57</v>
      </c>
      <c r="B527" s="835" t="str">
        <f>IF(C527="","",COUNTA($C$10:C528))</f>
        <v/>
      </c>
      <c r="C527" s="362"/>
      <c r="D527" s="851"/>
      <c r="E527" s="852" t="s">
        <v>555</v>
      </c>
      <c r="F527" s="848" t="str">
        <f>VLOOKUP(E527,DICH!B:C,2,FALSE)</f>
        <v>Other material</v>
      </c>
      <c r="G527" s="362" t="s">
        <v>554</v>
      </c>
      <c r="H527" s="847">
        <v>4</v>
      </c>
      <c r="I527" s="848">
        <f>SUM(J525:J526)</f>
        <v>1275135.1627182078</v>
      </c>
      <c r="J527" s="853">
        <f>I527*H527%</f>
        <v>51005.406508728316</v>
      </c>
      <c r="N527" s="843" t="e">
        <f>SUMIF(#REF!,'8.Dgia'!A527,#REF!)+SUMIF(#REF!,'8.Dgia'!A527,#REF!)+SUMIF(#REF!,'8.Dgia'!A527,#REF!)+SUMIF(#REF!,'8.Dgia'!A527,#REF!)</f>
        <v>#REF!</v>
      </c>
      <c r="O527" s="844"/>
      <c r="P527" s="843" t="e">
        <f t="shared" si="21"/>
        <v>#REF!</v>
      </c>
    </row>
    <row r="528" spans="1:18" s="658" customFormat="1" ht="15" customHeight="1">
      <c r="A528" s="657">
        <f>IF(B528="",MAX($A$8:A527)+0,MAX($A$8:A527)+1)</f>
        <v>57</v>
      </c>
      <c r="B528" s="835" t="str">
        <f>IF(C528="","",COUNTA($C$10:C529))</f>
        <v/>
      </c>
      <c r="C528" s="362"/>
      <c r="D528" s="845"/>
      <c r="E528" s="852" t="s">
        <v>2039</v>
      </c>
      <c r="F528" s="848" t="str">
        <f>VLOOKUP(E528,DICH!B:C,2,FALSE)</f>
        <v xml:space="preserve">  B - Labour 4.0/7</v>
      </c>
      <c r="G528" s="362" t="s">
        <v>4899</v>
      </c>
      <c r="H528" s="847">
        <v>16.64</v>
      </c>
      <c r="I528" s="848">
        <f>VLOOKUP(E528,'16.NC'!$C$11:$F$22,4,FALSE)</f>
        <v>218927</v>
      </c>
      <c r="J528" s="849">
        <f>I528*H528</f>
        <v>3642945.2800000003</v>
      </c>
      <c r="K528" s="850"/>
      <c r="L528" s="850"/>
      <c r="M528" s="850"/>
      <c r="N528" s="843" t="e">
        <f>SUMIF(#REF!,'8.Dgia'!A528,#REF!)+SUMIF(#REF!,'8.Dgia'!A528,#REF!)+SUMIF(#REF!,'8.Dgia'!A528,#REF!)+SUMIF(#REF!,'8.Dgia'!A528,#REF!)</f>
        <v>#REF!</v>
      </c>
      <c r="O528" s="844"/>
      <c r="P528" s="843" t="e">
        <f t="shared" si="21"/>
        <v>#REF!</v>
      </c>
      <c r="R528" s="658">
        <v>1</v>
      </c>
    </row>
    <row r="529" spans="1:18" s="658" customFormat="1" ht="15" customHeight="1">
      <c r="A529" s="657">
        <f>IF(B529="",MAX($A$8:A528)+0,MAX($A$8:A528)+1)</f>
        <v>57</v>
      </c>
      <c r="B529" s="835" t="str">
        <f>IF(C529="","",COUNTA($C$10:C530))</f>
        <v/>
      </c>
      <c r="C529" s="362"/>
      <c r="D529" s="845"/>
      <c r="E529" s="852" t="s">
        <v>2033</v>
      </c>
      <c r="F529" s="848" t="str">
        <f>VLOOKUP(E529,DICH!B:C,2,FALSE)</f>
        <v xml:space="preserve">  C - Machine</v>
      </c>
      <c r="G529" s="846"/>
      <c r="H529" s="847"/>
      <c r="I529" s="848"/>
      <c r="J529" s="849">
        <f>SUM(J530:J533)</f>
        <v>449576.90564400004</v>
      </c>
      <c r="K529" s="850"/>
      <c r="L529" s="850"/>
      <c r="M529" s="850"/>
      <c r="N529" s="843" t="e">
        <f>SUMIF(#REF!,'8.Dgia'!A529,#REF!)+SUMIF(#REF!,'8.Dgia'!A529,#REF!)+SUMIF(#REF!,'8.Dgia'!A529,#REF!)+SUMIF(#REF!,'8.Dgia'!A529,#REF!)</f>
        <v>#REF!</v>
      </c>
      <c r="O529" s="844"/>
      <c r="P529" s="843" t="e">
        <f t="shared" si="21"/>
        <v>#REF!</v>
      </c>
    </row>
    <row r="530" spans="1:18" ht="15" customHeight="1">
      <c r="A530" s="657">
        <f>IF(B530="",MAX($A$8:A529)+0,MAX($A$8:A529)+1)</f>
        <v>57</v>
      </c>
      <c r="B530" s="835" t="str">
        <f>IF(C530="","",COUNTA($C$10:C531))</f>
        <v/>
      </c>
      <c r="C530" s="362"/>
      <c r="D530" s="851"/>
      <c r="E530" s="852" t="s">
        <v>620</v>
      </c>
      <c r="F530" s="848" t="str">
        <f>VLOOKUP(E530,'9.may'!E:F,2,FALSE)</f>
        <v>concrete vibrating compactor 1.5Kw</v>
      </c>
      <c r="G530" s="362" t="s">
        <v>4902</v>
      </c>
      <c r="H530" s="847">
        <v>0.18</v>
      </c>
      <c r="I530" s="848">
        <f>VLOOKUP(E530,'9.may'!E:W,12,FALSE)</f>
        <v>74768.797500000001</v>
      </c>
      <c r="J530" s="853">
        <f>I530*H530</f>
        <v>13458.38355</v>
      </c>
      <c r="N530" s="843" t="e">
        <f>SUMIF(#REF!,'8.Dgia'!A530,#REF!)+SUMIF(#REF!,'8.Dgia'!A530,#REF!)+SUMIF(#REF!,'8.Dgia'!A530,#REF!)+SUMIF(#REF!,'8.Dgia'!A530,#REF!)</f>
        <v>#REF!</v>
      </c>
      <c r="O530" s="844">
        <f>+$H$533</f>
        <v>2</v>
      </c>
      <c r="P530" s="843" t="e">
        <f t="shared" si="21"/>
        <v>#REF!</v>
      </c>
    </row>
    <row r="531" spans="1:18" ht="15" customHeight="1">
      <c r="A531" s="657">
        <f>IF(B531="",MAX($A$8:A530)+0,MAX($A$8:A530)+1)</f>
        <v>57</v>
      </c>
      <c r="B531" s="835" t="str">
        <f>IF(C531="","",COUNTA($C$10:C532))</f>
        <v/>
      </c>
      <c r="C531" s="362"/>
      <c r="D531" s="851"/>
      <c r="E531" s="852" t="s">
        <v>288</v>
      </c>
      <c r="F531" s="848" t="str">
        <f>VLOOKUP(E531,'9.may'!E:F,2,FALSE)</f>
        <v>caterpillar crane 25T</v>
      </c>
      <c r="G531" s="362" t="s">
        <v>4902</v>
      </c>
      <c r="H531" s="847">
        <v>0.11</v>
      </c>
      <c r="I531" s="848">
        <f>VLOOKUP(E531,'9.may'!E:W,12,FALSE)</f>
        <v>2787996.6736363638</v>
      </c>
      <c r="J531" s="853">
        <f>I531*H531</f>
        <v>306679.63410000002</v>
      </c>
      <c r="N531" s="843" t="e">
        <f>SUMIF(#REF!,'8.Dgia'!A531,#REF!)+SUMIF(#REF!,'8.Dgia'!A531,#REF!)+SUMIF(#REF!,'8.Dgia'!A531,#REF!)+SUMIF(#REF!,'8.Dgia'!A531,#REF!)</f>
        <v>#REF!</v>
      </c>
      <c r="O531" s="844">
        <f>+$H$533</f>
        <v>2</v>
      </c>
      <c r="P531" s="843" t="e">
        <f t="shared" si="21"/>
        <v>#REF!</v>
      </c>
    </row>
    <row r="532" spans="1:18" ht="15" customHeight="1">
      <c r="A532" s="657">
        <f>IF(B532="",MAX($A$8:A531)+0,MAX($A$8:A531)+1)</f>
        <v>57</v>
      </c>
      <c r="B532" s="835" t="str">
        <f>IF(C532="","",COUNTA($C$10:C533))</f>
        <v/>
      </c>
      <c r="C532" s="362"/>
      <c r="D532" s="851"/>
      <c r="E532" s="852" t="s">
        <v>1182</v>
      </c>
      <c r="F532" s="848" t="str">
        <f>VLOOKUP(E532,'9.may'!E:F,2,FALSE)</f>
        <v>concrete pump truck 50m3/h</v>
      </c>
      <c r="G532" s="362" t="s">
        <v>4902</v>
      </c>
      <c r="H532" s="847">
        <v>3.5000000000000003E-2</v>
      </c>
      <c r="I532" s="848">
        <f>VLOOKUP(E532,'9.may'!E:W,12,FALSE)</f>
        <v>3446390.13</v>
      </c>
      <c r="J532" s="853">
        <f>I532*H532</f>
        <v>120623.65455000001</v>
      </c>
      <c r="N532" s="843" t="e">
        <f>SUMIF(#REF!,'8.Dgia'!A532,#REF!)+SUMIF(#REF!,'8.Dgia'!A532,#REF!)+SUMIF(#REF!,'8.Dgia'!A532,#REF!)+SUMIF(#REF!,'8.Dgia'!A532,#REF!)</f>
        <v>#REF!</v>
      </c>
      <c r="O532" s="844">
        <f>+$H$533</f>
        <v>2</v>
      </c>
      <c r="P532" s="843" t="e">
        <f t="shared" si="21"/>
        <v>#REF!</v>
      </c>
    </row>
    <row r="533" spans="1:18" ht="15" customHeight="1">
      <c r="A533" s="657">
        <f>IF(B533="",MAX($A$8:A532)+0,MAX($A$8:A532)+1)</f>
        <v>57</v>
      </c>
      <c r="B533" s="835" t="str">
        <f>IF(C533="","",COUNTA($C$10:C534))</f>
        <v/>
      </c>
      <c r="C533" s="362"/>
      <c r="D533" s="851"/>
      <c r="E533" s="852" t="s">
        <v>553</v>
      </c>
      <c r="F533" s="848" t="str">
        <f>VLOOKUP(E533,DICH!B:C,2,FALSE)</f>
        <v>Other machine</v>
      </c>
      <c r="G533" s="362" t="s">
        <v>554</v>
      </c>
      <c r="H533" s="847">
        <v>2</v>
      </c>
      <c r="I533" s="848">
        <f>SUM(J530:J532)</f>
        <v>440761.67220000003</v>
      </c>
      <c r="J533" s="853">
        <f>I533*H533%</f>
        <v>8815.2334440000013</v>
      </c>
      <c r="N533" s="843" t="e">
        <f>SUMIF(#REF!,'8.Dgia'!A533,#REF!)+SUMIF(#REF!,'8.Dgia'!A533,#REF!)+SUMIF(#REF!,'8.Dgia'!A533,#REF!)+SUMIF(#REF!,'8.Dgia'!A533,#REF!)</f>
        <v>#REF!</v>
      </c>
      <c r="O533" s="844"/>
      <c r="P533" s="843" t="e">
        <f t="shared" si="21"/>
        <v>#REF!</v>
      </c>
    </row>
    <row r="534" spans="1:18" s="1336" customFormat="1" ht="15" customHeight="1">
      <c r="A534" s="1336">
        <f>IF(B534="",MAX($A$8:A533)+0,MAX($A$8:A533)+1)</f>
        <v>58</v>
      </c>
      <c r="B534" s="1337">
        <f>IF(C534="","",COUNTA($C$10:C535))</f>
        <v>58</v>
      </c>
      <c r="C534" s="1337">
        <f>IF(D534="","",1776)</f>
        <v>1776</v>
      </c>
      <c r="D534" s="1459" t="s">
        <v>387</v>
      </c>
      <c r="E534" s="1419" t="s">
        <v>710</v>
      </c>
      <c r="F534" s="1420" t="str">
        <f>VLOOKUP(E534,DICH!B:C,2,FALSE)</f>
        <v>Concrete C42 of cantilever box girder (water)</v>
      </c>
      <c r="G534" s="1429" t="s">
        <v>545</v>
      </c>
      <c r="H534" s="1001"/>
      <c r="I534" s="1331"/>
      <c r="J534" s="1460"/>
      <c r="K534" s="1425">
        <f>+J535</f>
        <v>1326140.5692269362</v>
      </c>
      <c r="L534" s="1425">
        <f>+J539</f>
        <v>4325997.5200000005</v>
      </c>
      <c r="M534" s="1425">
        <f>+J540</f>
        <v>502306.67463300005</v>
      </c>
      <c r="N534" s="1343" t="e">
        <f>SUMIF(#REF!,'8.Dgia'!A534,#REF!)+SUMIF(#REF!,'8.Dgia'!A534,#REF!)+SUMIF(#REF!,'8.Dgia'!A534,#REF!)+SUMIF(#REF!,'8.Dgia'!A534,#REF!)</f>
        <v>#REF!</v>
      </c>
      <c r="O534" s="1426"/>
      <c r="P534" s="1343" t="e">
        <f t="shared" si="20"/>
        <v>#REF!</v>
      </c>
    </row>
    <row r="535" spans="1:18" s="658" customFormat="1" ht="15" customHeight="1">
      <c r="A535" s="657">
        <f>IF(B535="",MAX($A$8:A534)+0,MAX($A$8:A534)+1)</f>
        <v>58</v>
      </c>
      <c r="B535" s="835" t="str">
        <f>IF(C535="","",COUNTA($C$10:C536))</f>
        <v/>
      </c>
      <c r="C535" s="362"/>
      <c r="D535" s="845"/>
      <c r="E535" s="852" t="s">
        <v>2032</v>
      </c>
      <c r="F535" s="848" t="str">
        <f>VLOOKUP(E535,DICH!B:C,2,FALSE)</f>
        <v xml:space="preserve">  A - Material</v>
      </c>
      <c r="G535" s="846"/>
      <c r="H535" s="847"/>
      <c r="I535" s="848"/>
      <c r="J535" s="849">
        <f>SUM(J536:J538)</f>
        <v>1326140.5692269362</v>
      </c>
      <c r="K535" s="850"/>
      <c r="L535" s="850"/>
      <c r="M535" s="850"/>
      <c r="N535" s="843" t="e">
        <f>SUMIF(#REF!,'8.Dgia'!A535,#REF!)+SUMIF(#REF!,'8.Dgia'!A535,#REF!)+SUMIF(#REF!,'8.Dgia'!A535,#REF!)+SUMIF(#REF!,'8.Dgia'!A535,#REF!)</f>
        <v>#REF!</v>
      </c>
      <c r="O535" s="844"/>
      <c r="P535" s="843" t="e">
        <f t="shared" si="20"/>
        <v>#REF!</v>
      </c>
    </row>
    <row r="536" spans="1:18" ht="15" customHeight="1">
      <c r="A536" s="657">
        <f>IF(B536="",MAX($A$8:A535)+0,MAX($A$8:A535)+1)</f>
        <v>58</v>
      </c>
      <c r="B536" s="835" t="str">
        <f>IF(C536="","",COUNTA($C$10:C537))</f>
        <v/>
      </c>
      <c r="C536" s="851"/>
      <c r="D536" s="851" t="str">
        <f>+'10.PLV'!$C$66</f>
        <v>ĐM</v>
      </c>
      <c r="E536" s="852" t="str">
        <f>+'10.PLV'!$D$66</f>
        <v>Vữa bê tông đá 1x2 C42 (độ sụt 8-12cm)</v>
      </c>
      <c r="F536" s="848" t="str">
        <f>VLOOKUP(E536,DICH!B:C,2,FALSE)</f>
        <v>Concrete motar C42 stone 1x2 slump 8-12</v>
      </c>
      <c r="G536" s="362" t="s">
        <v>545</v>
      </c>
      <c r="H536" s="847">
        <v>1.0149999999999999</v>
      </c>
      <c r="I536" s="848">
        <f>VLOOKUP(E536,'11.gia '!B:I,8,FALSE)</f>
        <v>1221620.8499686779</v>
      </c>
      <c r="J536" s="853">
        <f>I536*H536</f>
        <v>1239945.1627182078</v>
      </c>
      <c r="N536" s="843" t="e">
        <f>SUMIF(#REF!,'8.Dgia'!A536,#REF!)+SUMIF(#REF!,'8.Dgia'!A536,#REF!)+SUMIF(#REF!,'8.Dgia'!A536,#REF!)+SUMIF(#REF!,'8.Dgia'!A536,#REF!)</f>
        <v>#REF!</v>
      </c>
      <c r="O536" s="844">
        <f>+$H$538</f>
        <v>4</v>
      </c>
      <c r="P536" s="843" t="e">
        <f t="shared" si="20"/>
        <v>#REF!</v>
      </c>
    </row>
    <row r="537" spans="1:18" ht="15" customHeight="1">
      <c r="A537" s="657">
        <f>IF(B537="",MAX($A$8:A536)+0,MAX($A$8:A536)+1)</f>
        <v>58</v>
      </c>
      <c r="B537" s="835" t="str">
        <f>IF(C537="","",COUNTA($C$10:C538))</f>
        <v/>
      </c>
      <c r="C537" s="362"/>
      <c r="D537" s="851"/>
      <c r="E537" s="852" t="s">
        <v>2229</v>
      </c>
      <c r="F537" s="848" t="str">
        <f>VLOOKUP(E537,DICH!B:C,2,FALSE)</f>
        <v>Pipe PVC D75</v>
      </c>
      <c r="G537" s="362" t="s">
        <v>543</v>
      </c>
      <c r="H537" s="847">
        <v>1.02</v>
      </c>
      <c r="I537" s="848">
        <f>VLOOKUP(E537,'11.gia '!$B:$I,8,FALSE)</f>
        <v>34500</v>
      </c>
      <c r="J537" s="853">
        <f>I537*H537</f>
        <v>35190</v>
      </c>
      <c r="N537" s="843" t="e">
        <f>SUMIF(#REF!,'8.Dgia'!A537,#REF!)+SUMIF(#REF!,'8.Dgia'!A537,#REF!)+SUMIF(#REF!,'8.Dgia'!A537,#REF!)+SUMIF(#REF!,'8.Dgia'!A537,#REF!)</f>
        <v>#REF!</v>
      </c>
      <c r="O537" s="844">
        <f>+$H$538</f>
        <v>4</v>
      </c>
      <c r="P537" s="843" t="e">
        <f t="shared" si="20"/>
        <v>#REF!</v>
      </c>
    </row>
    <row r="538" spans="1:18" ht="15" customHeight="1">
      <c r="A538" s="657">
        <f>IF(B538="",MAX($A$8:A537)+0,MAX($A$8:A537)+1)</f>
        <v>58</v>
      </c>
      <c r="B538" s="835" t="str">
        <f>IF(C538="","",COUNTA($C$10:C539))</f>
        <v/>
      </c>
      <c r="C538" s="362"/>
      <c r="D538" s="851"/>
      <c r="E538" s="852" t="s">
        <v>555</v>
      </c>
      <c r="F538" s="848" t="str">
        <f>VLOOKUP(E538,DICH!B:C,2,FALSE)</f>
        <v>Other material</v>
      </c>
      <c r="G538" s="362" t="s">
        <v>554</v>
      </c>
      <c r="H538" s="847">
        <v>4</v>
      </c>
      <c r="I538" s="848">
        <f>SUM(J536:J537)</f>
        <v>1275135.1627182078</v>
      </c>
      <c r="J538" s="853">
        <f>I538*H538%</f>
        <v>51005.406508728316</v>
      </c>
      <c r="N538" s="843" t="e">
        <f>SUMIF(#REF!,'8.Dgia'!A538,#REF!)+SUMIF(#REF!,'8.Dgia'!A538,#REF!)+SUMIF(#REF!,'8.Dgia'!A538,#REF!)+SUMIF(#REF!,'8.Dgia'!A538,#REF!)</f>
        <v>#REF!</v>
      </c>
      <c r="O538" s="844"/>
      <c r="P538" s="843" t="e">
        <f t="shared" si="20"/>
        <v>#REF!</v>
      </c>
    </row>
    <row r="539" spans="1:18" s="658" customFormat="1" ht="15" customHeight="1">
      <c r="A539" s="657">
        <f>IF(B539="",MAX($A$8:A538)+0,MAX($A$8:A538)+1)</f>
        <v>58</v>
      </c>
      <c r="B539" s="835" t="str">
        <f>IF(C539="","",COUNTA($C$10:C540))</f>
        <v/>
      </c>
      <c r="C539" s="362"/>
      <c r="D539" s="845"/>
      <c r="E539" s="852" t="s">
        <v>2039</v>
      </c>
      <c r="F539" s="848" t="str">
        <f>VLOOKUP(E539,DICH!B:C,2,FALSE)</f>
        <v xml:space="preserve">  B - Labour 4.0/7</v>
      </c>
      <c r="G539" s="362" t="s">
        <v>4899</v>
      </c>
      <c r="H539" s="847">
        <v>19.760000000000002</v>
      </c>
      <c r="I539" s="848">
        <f>VLOOKUP(E539,'16.NC'!$C$11:$F$22,4,FALSE)</f>
        <v>218927</v>
      </c>
      <c r="J539" s="849">
        <f>I539*H539</f>
        <v>4325997.5200000005</v>
      </c>
      <c r="K539" s="850"/>
      <c r="L539" s="850"/>
      <c r="M539" s="850"/>
      <c r="N539" s="843" t="e">
        <f>SUMIF(#REF!,'8.Dgia'!A539,#REF!)+SUMIF(#REF!,'8.Dgia'!A539,#REF!)+SUMIF(#REF!,'8.Dgia'!A539,#REF!)+SUMIF(#REF!,'8.Dgia'!A539,#REF!)</f>
        <v>#REF!</v>
      </c>
      <c r="O539" s="844"/>
      <c r="P539" s="843" t="e">
        <f t="shared" si="20"/>
        <v>#REF!</v>
      </c>
      <c r="R539" s="658">
        <v>1</v>
      </c>
    </row>
    <row r="540" spans="1:18" s="658" customFormat="1" ht="15" customHeight="1">
      <c r="A540" s="657">
        <f>IF(B540="",MAX($A$8:A539)+0,MAX($A$8:A539)+1)</f>
        <v>58</v>
      </c>
      <c r="B540" s="835" t="str">
        <f>IF(C540="","",COUNTA($C$10:C541))</f>
        <v/>
      </c>
      <c r="C540" s="362"/>
      <c r="D540" s="845"/>
      <c r="E540" s="852" t="s">
        <v>2033</v>
      </c>
      <c r="F540" s="848" t="str">
        <f>VLOOKUP(E540,DICH!B:C,2,FALSE)</f>
        <v xml:space="preserve">  C - Machine</v>
      </c>
      <c r="G540" s="846"/>
      <c r="H540" s="847"/>
      <c r="I540" s="848"/>
      <c r="J540" s="849">
        <f>SUM(J541:J546)</f>
        <v>502306.67463300005</v>
      </c>
      <c r="K540" s="850"/>
      <c r="L540" s="850"/>
      <c r="M540" s="850"/>
      <c r="N540" s="843" t="e">
        <f>SUMIF(#REF!,'8.Dgia'!A540,#REF!)+SUMIF(#REF!,'8.Dgia'!A540,#REF!)+SUMIF(#REF!,'8.Dgia'!A540,#REF!)+SUMIF(#REF!,'8.Dgia'!A540,#REF!)</f>
        <v>#REF!</v>
      </c>
      <c r="O540" s="844"/>
      <c r="P540" s="843" t="e">
        <f t="shared" si="20"/>
        <v>#REF!</v>
      </c>
    </row>
    <row r="541" spans="1:18" ht="15" customHeight="1">
      <c r="A541" s="657">
        <f>IF(B541="",MAX($A$8:A540)+0,MAX($A$8:A540)+1)</f>
        <v>58</v>
      </c>
      <c r="B541" s="835" t="str">
        <f>IF(C541="","",COUNTA($C$10:C542))</f>
        <v/>
      </c>
      <c r="C541" s="362"/>
      <c r="D541" s="851"/>
      <c r="E541" s="852" t="s">
        <v>620</v>
      </c>
      <c r="F541" s="848" t="str">
        <f>VLOOKUP(E541,'9.may'!E:F,2,FALSE)</f>
        <v>concrete vibrating compactor 1.5Kw</v>
      </c>
      <c r="G541" s="362" t="s">
        <v>4902</v>
      </c>
      <c r="H541" s="847">
        <v>0.18</v>
      </c>
      <c r="I541" s="848">
        <f>VLOOKUP(E541,'9.may'!E:W,12,FALSE)</f>
        <v>74768.797500000001</v>
      </c>
      <c r="J541" s="853">
        <f>I541*H541</f>
        <v>13458.38355</v>
      </c>
      <c r="N541" s="843" t="e">
        <f>SUMIF(#REF!,'8.Dgia'!A541,#REF!)+SUMIF(#REF!,'8.Dgia'!A541,#REF!)+SUMIF(#REF!,'8.Dgia'!A541,#REF!)+SUMIF(#REF!,'8.Dgia'!A541,#REF!)</f>
        <v>#REF!</v>
      </c>
      <c r="O541" s="844">
        <f>+$H$546</f>
        <v>2</v>
      </c>
      <c r="P541" s="843" t="e">
        <f t="shared" si="20"/>
        <v>#REF!</v>
      </c>
    </row>
    <row r="542" spans="1:18" ht="15" customHeight="1">
      <c r="A542" s="657">
        <f>IF(B542="",MAX($A$8:A541)+0,MAX($A$8:A541)+1)</f>
        <v>58</v>
      </c>
      <c r="B542" s="835" t="str">
        <f>IF(C542="","",COUNTA($C$10:C543))</f>
        <v/>
      </c>
      <c r="C542" s="362"/>
      <c r="D542" s="851"/>
      <c r="E542" s="852" t="s">
        <v>288</v>
      </c>
      <c r="F542" s="848" t="str">
        <f>VLOOKUP(E542,'9.may'!E:F,2,FALSE)</f>
        <v>caterpillar crane 25T</v>
      </c>
      <c r="G542" s="362" t="s">
        <v>4902</v>
      </c>
      <c r="H542" s="847">
        <v>0.11</v>
      </c>
      <c r="I542" s="848">
        <f>VLOOKUP(E542,'9.may'!E:W,12,FALSE)</f>
        <v>2787996.6736363638</v>
      </c>
      <c r="J542" s="853">
        <f>I542*H542</f>
        <v>306679.63410000002</v>
      </c>
      <c r="N542" s="843" t="e">
        <f>SUMIF(#REF!,'8.Dgia'!A542,#REF!)+SUMIF(#REF!,'8.Dgia'!A542,#REF!)+SUMIF(#REF!,'8.Dgia'!A542,#REF!)+SUMIF(#REF!,'8.Dgia'!A542,#REF!)</f>
        <v>#REF!</v>
      </c>
      <c r="O542" s="844">
        <f>+$H$546</f>
        <v>2</v>
      </c>
      <c r="P542" s="843" t="e">
        <f t="shared" si="20"/>
        <v>#REF!</v>
      </c>
    </row>
    <row r="543" spans="1:18" ht="15" customHeight="1">
      <c r="A543" s="657">
        <f>IF(B543="",MAX($A$8:A542)+0,MAX($A$8:A542)+1)</f>
        <v>58</v>
      </c>
      <c r="B543" s="835" t="str">
        <f>IF(C543="","",COUNTA($C$10:C544))</f>
        <v/>
      </c>
      <c r="C543" s="362"/>
      <c r="D543" s="851"/>
      <c r="E543" s="852" t="s">
        <v>1182</v>
      </c>
      <c r="F543" s="848" t="str">
        <f>VLOOKUP(E543,'9.may'!E:F,2,FALSE)</f>
        <v>concrete pump truck 50m3/h</v>
      </c>
      <c r="G543" s="362" t="s">
        <v>4902</v>
      </c>
      <c r="H543" s="847">
        <v>0.05</v>
      </c>
      <c r="I543" s="848">
        <f>VLOOKUP(E543,'9.may'!E:W,12,FALSE)</f>
        <v>3446390.13</v>
      </c>
      <c r="J543" s="853">
        <f>I543*H543</f>
        <v>172319.50650000002</v>
      </c>
      <c r="N543" s="843" t="e">
        <f>SUMIF(#REF!,'8.Dgia'!A543,#REF!)+SUMIF(#REF!,'8.Dgia'!A543,#REF!)+SUMIF(#REF!,'8.Dgia'!A543,#REF!)+SUMIF(#REF!,'8.Dgia'!A543,#REF!)</f>
        <v>#REF!</v>
      </c>
      <c r="O543" s="844">
        <f>+$H$546</f>
        <v>2</v>
      </c>
      <c r="P543" s="843" t="e">
        <f t="shared" si="20"/>
        <v>#REF!</v>
      </c>
    </row>
    <row r="544" spans="1:18" ht="15" customHeight="1">
      <c r="A544" s="657">
        <f>IF(B544="",MAX($A$8:A543)+0,MAX($A$8:A543)+1)</f>
        <v>58</v>
      </c>
      <c r="B544" s="835" t="str">
        <f>IF(C544="","",COUNTA($C$10:C545))</f>
        <v/>
      </c>
      <c r="C544" s="362"/>
      <c r="D544" s="851"/>
      <c r="E544" s="852" t="s">
        <v>556</v>
      </c>
      <c r="F544" s="848" t="str">
        <f>VLOOKUP(E544,'9.may'!E:F,2,FALSE)</f>
        <v>barge 400Ton</v>
      </c>
      <c r="G544" s="362" t="s">
        <v>4902</v>
      </c>
      <c r="H544" s="847"/>
      <c r="I544" s="848">
        <f>VLOOKUP(E544,'9.may'!E:W,12,FALSE)</f>
        <v>1144511.22</v>
      </c>
      <c r="J544" s="853">
        <f>I544*H544</f>
        <v>0</v>
      </c>
      <c r="N544" s="843" t="e">
        <f>SUMIF(#REF!,'8.Dgia'!A544,#REF!)+SUMIF(#REF!,'8.Dgia'!A544,#REF!)+SUMIF(#REF!,'8.Dgia'!A544,#REF!)+SUMIF(#REF!,'8.Dgia'!A544,#REF!)</f>
        <v>#REF!</v>
      </c>
      <c r="O544" s="844">
        <f>+$H$546</f>
        <v>2</v>
      </c>
      <c r="P544" s="843" t="e">
        <f t="shared" si="20"/>
        <v>#REF!</v>
      </c>
    </row>
    <row r="545" spans="1:18" ht="15" customHeight="1">
      <c r="A545" s="657">
        <f>IF(B545="",MAX($A$8:A544)+0,MAX($A$8:A544)+1)</f>
        <v>58</v>
      </c>
      <c r="B545" s="835" t="str">
        <f>IF(C545="","",COUNTA($C$10:C546))</f>
        <v/>
      </c>
      <c r="C545" s="362"/>
      <c r="D545" s="851"/>
      <c r="E545" s="852" t="s">
        <v>611</v>
      </c>
      <c r="F545" s="848" t="str">
        <f>VLOOKUP(E545,'9.may'!E:F,2,FALSE)</f>
        <v>tug boat 150CV</v>
      </c>
      <c r="G545" s="362" t="s">
        <v>4902</v>
      </c>
      <c r="H545" s="847"/>
      <c r="I545" s="848">
        <f>VLOOKUP(E545,'9.may'!E:W,12,FALSE)</f>
        <v>3329663.6045454545</v>
      </c>
      <c r="J545" s="853">
        <f>I545*H545</f>
        <v>0</v>
      </c>
      <c r="N545" s="843" t="e">
        <f>SUMIF(#REF!,'8.Dgia'!A545,#REF!)+SUMIF(#REF!,'8.Dgia'!A545,#REF!)+SUMIF(#REF!,'8.Dgia'!A545,#REF!)+SUMIF(#REF!,'8.Dgia'!A545,#REF!)</f>
        <v>#REF!</v>
      </c>
      <c r="O545" s="844">
        <f>+$H$546</f>
        <v>2</v>
      </c>
      <c r="P545" s="843" t="e">
        <f t="shared" si="20"/>
        <v>#REF!</v>
      </c>
    </row>
    <row r="546" spans="1:18" ht="15" customHeight="1">
      <c r="A546" s="657">
        <f>IF(B546="",MAX($A$8:A545)+0,MAX($A$8:A545)+1)</f>
        <v>58</v>
      </c>
      <c r="B546" s="835" t="str">
        <f>IF(C546="","",COUNTA($C$10:C547))</f>
        <v/>
      </c>
      <c r="C546" s="362"/>
      <c r="D546" s="851"/>
      <c r="E546" s="852" t="s">
        <v>553</v>
      </c>
      <c r="F546" s="848" t="str">
        <f>VLOOKUP(E546,DICH!B:C,2,FALSE)</f>
        <v>Other machine</v>
      </c>
      <c r="G546" s="362" t="s">
        <v>554</v>
      </c>
      <c r="H546" s="847">
        <v>2</v>
      </c>
      <c r="I546" s="848">
        <f>SUM(J541:J545)</f>
        <v>492457.52415000007</v>
      </c>
      <c r="J546" s="853">
        <f>I546*H546%</f>
        <v>9849.1504830000013</v>
      </c>
      <c r="N546" s="843" t="e">
        <f>SUMIF(#REF!,'8.Dgia'!A546,#REF!)+SUMIF(#REF!,'8.Dgia'!A546,#REF!)+SUMIF(#REF!,'8.Dgia'!A546,#REF!)+SUMIF(#REF!,'8.Dgia'!A546,#REF!)</f>
        <v>#REF!</v>
      </c>
      <c r="O546" s="844"/>
      <c r="P546" s="843" t="e">
        <f t="shared" si="20"/>
        <v>#REF!</v>
      </c>
    </row>
    <row r="547" spans="1:18" ht="30.75" customHeight="1">
      <c r="A547" s="657">
        <f>IF(B547="",MAX($A$8:A546)+0,MAX($A$8:A546)+1)</f>
        <v>59</v>
      </c>
      <c r="B547" s="835">
        <f>IF(C547="","",COUNTA($C$10:C548))</f>
        <v>59</v>
      </c>
      <c r="C547" s="239">
        <v>1091</v>
      </c>
      <c r="D547" s="704" t="s">
        <v>2195</v>
      </c>
      <c r="E547" s="855" t="s">
        <v>5549</v>
      </c>
      <c r="F547" s="1049" t="str">
        <f>VLOOKUP(E547,DICH!B:C,2,FALSE)</f>
        <v>Concrete C42 of box girder casted on scaffolding (land) (K0, K1)</v>
      </c>
      <c r="G547" s="856" t="s">
        <v>545</v>
      </c>
      <c r="H547" s="847"/>
      <c r="I547" s="848"/>
      <c r="J547" s="857"/>
      <c r="K547" s="842">
        <f>+J548</f>
        <v>1326140.5692269362</v>
      </c>
      <c r="L547" s="842">
        <f>+J552</f>
        <v>2550499.5500000003</v>
      </c>
      <c r="M547" s="842">
        <f>+J553</f>
        <v>236295.16011081822</v>
      </c>
      <c r="N547" s="843" t="e">
        <f>SUMIF(#REF!,'8.Dgia'!A547,#REF!)+SUMIF(#REF!,'8.Dgia'!A547,#REF!)+SUMIF(#REF!,'8.Dgia'!A547,#REF!)+SUMIF(#REF!,'8.Dgia'!A547,#REF!)</f>
        <v>#REF!</v>
      </c>
      <c r="O547" s="844"/>
      <c r="P547" s="843" t="e">
        <f t="shared" si="20"/>
        <v>#REF!</v>
      </c>
    </row>
    <row r="548" spans="1:18" s="658" customFormat="1" ht="15" customHeight="1">
      <c r="A548" s="657">
        <f>IF(B548="",MAX($A$8:A547)+0,MAX($A$8:A547)+1)</f>
        <v>59</v>
      </c>
      <c r="B548" s="835" t="str">
        <f>IF(C548="","",COUNTA($C$10:C549))</f>
        <v/>
      </c>
      <c r="C548" s="362"/>
      <c r="D548" s="845"/>
      <c r="E548" s="852" t="s">
        <v>2032</v>
      </c>
      <c r="F548" s="848" t="str">
        <f>VLOOKUP(E548,DICH!B:C,2,FALSE)</f>
        <v xml:space="preserve">  A - Material</v>
      </c>
      <c r="G548" s="846"/>
      <c r="H548" s="847"/>
      <c r="I548" s="848"/>
      <c r="J548" s="849">
        <f>SUM(J549:J551)</f>
        <v>1326140.5692269362</v>
      </c>
      <c r="K548" s="850"/>
      <c r="L548" s="850"/>
      <c r="M548" s="850"/>
      <c r="N548" s="843" t="e">
        <f>SUMIF(#REF!,'8.Dgia'!A548,#REF!)+SUMIF(#REF!,'8.Dgia'!A548,#REF!)+SUMIF(#REF!,'8.Dgia'!A548,#REF!)+SUMIF(#REF!,'8.Dgia'!A548,#REF!)</f>
        <v>#REF!</v>
      </c>
      <c r="O548" s="844"/>
      <c r="P548" s="843" t="e">
        <f t="shared" si="20"/>
        <v>#REF!</v>
      </c>
    </row>
    <row r="549" spans="1:18" ht="15" customHeight="1">
      <c r="A549" s="657">
        <f>IF(B549="",MAX($A$8:A548)+0,MAX($A$8:A548)+1)</f>
        <v>59</v>
      </c>
      <c r="B549" s="835" t="str">
        <f>IF(C549="","",COUNTA($C$10:C550))</f>
        <v/>
      </c>
      <c r="C549" s="851"/>
      <c r="D549" s="851" t="str">
        <f>+'10.PLV'!$C$66</f>
        <v>ĐM</v>
      </c>
      <c r="E549" s="852" t="str">
        <f>+'10.PLV'!$D$66</f>
        <v>Vữa bê tông đá 1x2 C42 (độ sụt 8-12cm)</v>
      </c>
      <c r="F549" s="848" t="str">
        <f>VLOOKUP(E549,DICH!B:C,2,FALSE)</f>
        <v>Concrete motar C42 stone 1x2 slump 8-12</v>
      </c>
      <c r="G549" s="362" t="s">
        <v>545</v>
      </c>
      <c r="H549" s="847">
        <v>1.0149999999999999</v>
      </c>
      <c r="I549" s="848">
        <f>VLOOKUP(E549,'11.gia '!B:I,8,FALSE)</f>
        <v>1221620.8499686779</v>
      </c>
      <c r="J549" s="853">
        <f>I549*H549</f>
        <v>1239945.1627182078</v>
      </c>
      <c r="N549" s="843" t="e">
        <f>SUMIF(#REF!,'8.Dgia'!A549,#REF!)+SUMIF(#REF!,'8.Dgia'!A549,#REF!)+SUMIF(#REF!,'8.Dgia'!A549,#REF!)+SUMIF(#REF!,'8.Dgia'!A549,#REF!)</f>
        <v>#REF!</v>
      </c>
      <c r="O549" s="844">
        <f>+$H$551</f>
        <v>4</v>
      </c>
      <c r="P549" s="843" t="e">
        <f t="shared" si="20"/>
        <v>#REF!</v>
      </c>
    </row>
    <row r="550" spans="1:18" ht="15" customHeight="1">
      <c r="A550" s="657">
        <f>IF(B550="",MAX($A$8:A549)+0,MAX($A$8:A549)+1)</f>
        <v>59</v>
      </c>
      <c r="B550" s="835" t="str">
        <f>IF(C550="","",COUNTA($C$10:C551))</f>
        <v/>
      </c>
      <c r="C550" s="851"/>
      <c r="D550" s="851"/>
      <c r="E550" s="819" t="s">
        <v>2229</v>
      </c>
      <c r="F550" s="848" t="str">
        <f>VLOOKUP(E550,DICH!B:C,2,FALSE)</f>
        <v>Pipe PVC D75</v>
      </c>
      <c r="G550" s="362" t="s">
        <v>543</v>
      </c>
      <c r="H550" s="847">
        <v>1.02</v>
      </c>
      <c r="I550" s="848">
        <f>VLOOKUP(E550,'11.gia '!B:I,8,FALSE)</f>
        <v>34500</v>
      </c>
      <c r="J550" s="853">
        <f>I550*H550</f>
        <v>35190</v>
      </c>
      <c r="N550" s="843" t="e">
        <f>SUMIF(#REF!,'8.Dgia'!A550,#REF!)+SUMIF(#REF!,'8.Dgia'!A550,#REF!)+SUMIF(#REF!,'8.Dgia'!A550,#REF!)+SUMIF(#REF!,'8.Dgia'!A550,#REF!)</f>
        <v>#REF!</v>
      </c>
      <c r="O550" s="844">
        <f>+$H$551</f>
        <v>4</v>
      </c>
      <c r="P550" s="843" t="e">
        <f t="shared" si="20"/>
        <v>#REF!</v>
      </c>
    </row>
    <row r="551" spans="1:18" ht="15" customHeight="1">
      <c r="A551" s="657">
        <f>IF(B551="",MAX($A$8:A550)+0,MAX($A$8:A550)+1)</f>
        <v>59</v>
      </c>
      <c r="B551" s="835" t="str">
        <f>IF(C551="","",COUNTA($C$10:C552))</f>
        <v/>
      </c>
      <c r="C551" s="362"/>
      <c r="D551" s="851"/>
      <c r="E551" s="852" t="s">
        <v>555</v>
      </c>
      <c r="F551" s="848" t="str">
        <f>VLOOKUP(E551,DICH!B:C,2,FALSE)</f>
        <v>Other material</v>
      </c>
      <c r="G551" s="362" t="s">
        <v>554</v>
      </c>
      <c r="H551" s="847">
        <v>4</v>
      </c>
      <c r="I551" s="848">
        <f>SUM(J549:J550)</f>
        <v>1275135.1627182078</v>
      </c>
      <c r="J551" s="853">
        <f>I551*H551%</f>
        <v>51005.406508728316</v>
      </c>
      <c r="N551" s="843" t="e">
        <f>SUMIF(#REF!,'8.Dgia'!A551,#REF!)+SUMIF(#REF!,'8.Dgia'!A551,#REF!)+SUMIF(#REF!,'8.Dgia'!A551,#REF!)+SUMIF(#REF!,'8.Dgia'!A551,#REF!)</f>
        <v>#REF!</v>
      </c>
      <c r="O551" s="844"/>
      <c r="P551" s="843" t="e">
        <f t="shared" si="20"/>
        <v>#REF!</v>
      </c>
    </row>
    <row r="552" spans="1:18" s="658" customFormat="1" ht="15" customHeight="1">
      <c r="A552" s="657">
        <f>IF(B552="",MAX($A$8:A551)+0,MAX($A$8:A551)+1)</f>
        <v>59</v>
      </c>
      <c r="B552" s="835" t="str">
        <f>IF(C552="","",COUNTA($C$10:C553))</f>
        <v/>
      </c>
      <c r="C552" s="362"/>
      <c r="D552" s="845"/>
      <c r="E552" s="852" t="s">
        <v>2039</v>
      </c>
      <c r="F552" s="848" t="str">
        <f>VLOOKUP(E552,DICH!B:C,2,FALSE)</f>
        <v xml:space="preserve">  B - Labour 4.0/7</v>
      </c>
      <c r="G552" s="704" t="s">
        <v>4899</v>
      </c>
      <c r="H552" s="239">
        <v>11.65</v>
      </c>
      <c r="I552" s="848">
        <f>VLOOKUP(E552,'16.NC'!$C$11:$F$22,4,FALSE)</f>
        <v>218927</v>
      </c>
      <c r="J552" s="849">
        <f>I552*H552</f>
        <v>2550499.5500000003</v>
      </c>
      <c r="K552" s="850"/>
      <c r="L552" s="850"/>
      <c r="M552" s="850"/>
      <c r="N552" s="843" t="e">
        <f>SUMIF(#REF!,'8.Dgia'!A552,#REF!)+SUMIF(#REF!,'8.Dgia'!A552,#REF!)+SUMIF(#REF!,'8.Dgia'!A552,#REF!)+SUMIF(#REF!,'8.Dgia'!A552,#REF!)</f>
        <v>#REF!</v>
      </c>
      <c r="O552" s="844"/>
      <c r="P552" s="843" t="e">
        <f t="shared" si="20"/>
        <v>#REF!</v>
      </c>
      <c r="R552" s="658">
        <v>1</v>
      </c>
    </row>
    <row r="553" spans="1:18" s="658" customFormat="1" ht="15" customHeight="1">
      <c r="A553" s="657">
        <f>IF(B553="",MAX($A$8:A552)+0,MAX($A$8:A552)+1)</f>
        <v>59</v>
      </c>
      <c r="B553" s="835" t="str">
        <f>IF(C553="","",COUNTA($C$10:C554))</f>
        <v/>
      </c>
      <c r="C553" s="362"/>
      <c r="D553" s="845"/>
      <c r="E553" s="819" t="s">
        <v>2033</v>
      </c>
      <c r="F553" s="848" t="str">
        <f>VLOOKUP(E553,DICH!B:C,2,FALSE)</f>
        <v xml:space="preserve">  C - Machine</v>
      </c>
      <c r="G553" s="240"/>
      <c r="H553" s="239"/>
      <c r="I553" s="848"/>
      <c r="J553" s="849">
        <f>SUM(J554:J557)</f>
        <v>236295.16011081822</v>
      </c>
      <c r="K553" s="850">
        <v>594497</v>
      </c>
      <c r="L553" s="850"/>
      <c r="M553" s="850"/>
      <c r="N553" s="843" t="e">
        <f>SUMIF(#REF!,'8.Dgia'!A553,#REF!)+SUMIF(#REF!,'8.Dgia'!A553,#REF!)+SUMIF(#REF!,'8.Dgia'!A553,#REF!)+SUMIF(#REF!,'8.Dgia'!A553,#REF!)</f>
        <v>#REF!</v>
      </c>
      <c r="O553" s="844"/>
      <c r="P553" s="843" t="e">
        <f t="shared" si="20"/>
        <v>#REF!</v>
      </c>
    </row>
    <row r="554" spans="1:18" ht="15" customHeight="1">
      <c r="A554" s="657">
        <f>IF(B554="",MAX($A$8:A553)+0,MAX($A$8:A553)+1)</f>
        <v>59</v>
      </c>
      <c r="B554" s="835" t="str">
        <f>IF(C554="","",COUNTA($C$10:C555))</f>
        <v/>
      </c>
      <c r="C554" s="362"/>
      <c r="D554" s="851"/>
      <c r="E554" s="819" t="s">
        <v>1182</v>
      </c>
      <c r="F554" s="848" t="str">
        <f>VLOOKUP(E554,'9.may'!E:F,2,FALSE)</f>
        <v>concrete pump truck 50m3/h</v>
      </c>
      <c r="G554" s="704" t="s">
        <v>4902</v>
      </c>
      <c r="H554" s="239">
        <v>3.5000000000000003E-2</v>
      </c>
      <c r="I554" s="848">
        <f>VLOOKUP(E554,'9.may'!E:W,12,FALSE)</f>
        <v>3446390.13</v>
      </c>
      <c r="J554" s="853">
        <f>I554*H554</f>
        <v>120623.65455000001</v>
      </c>
      <c r="N554" s="843" t="e">
        <f>SUMIF(#REF!,'8.Dgia'!A554,#REF!)+SUMIF(#REF!,'8.Dgia'!A554,#REF!)+SUMIF(#REF!,'8.Dgia'!A554,#REF!)+SUMIF(#REF!,'8.Dgia'!A554,#REF!)</f>
        <v>#REF!</v>
      </c>
      <c r="O554" s="844">
        <v>2</v>
      </c>
      <c r="P554" s="843" t="e">
        <f t="shared" si="20"/>
        <v>#REF!</v>
      </c>
    </row>
    <row r="555" spans="1:18" ht="15" customHeight="1">
      <c r="A555" s="657">
        <f>IF(B555="",MAX($A$8:A554)+0,MAX($A$8:A554)+1)</f>
        <v>59</v>
      </c>
      <c r="B555" s="835" t="str">
        <f>IF(C555="","",COUNTA($C$10:C556))</f>
        <v/>
      </c>
      <c r="C555" s="362"/>
      <c r="D555" s="851"/>
      <c r="E555" s="819" t="s">
        <v>1205</v>
      </c>
      <c r="F555" s="848" t="str">
        <f>VLOOKUP(E555,'9.may'!E:F,2,FALSE)</f>
        <v>concrete vibrating compactor 1.5Kw</v>
      </c>
      <c r="G555" s="704" t="s">
        <v>4902</v>
      </c>
      <c r="H555" s="239">
        <v>0.18</v>
      </c>
      <c r="I555" s="848">
        <f>VLOOKUP(E555,'9.may'!E:W,12,FALSE)</f>
        <v>74768.797500000001</v>
      </c>
      <c r="J555" s="853">
        <f>I555*H555</f>
        <v>13458.38355</v>
      </c>
      <c r="N555" s="843" t="e">
        <f>SUMIF(#REF!,'8.Dgia'!A555,#REF!)+SUMIF(#REF!,'8.Dgia'!A555,#REF!)+SUMIF(#REF!,'8.Dgia'!A555,#REF!)+SUMIF(#REF!,'8.Dgia'!A555,#REF!)</f>
        <v>#REF!</v>
      </c>
      <c r="O555" s="844">
        <v>2</v>
      </c>
      <c r="P555" s="843" t="e">
        <f t="shared" si="20"/>
        <v>#REF!</v>
      </c>
    </row>
    <row r="556" spans="1:18" ht="15" customHeight="1">
      <c r="A556" s="657">
        <f>IF(B556="",MAX($A$8:A555)+0,MAX($A$8:A555)+1)</f>
        <v>59</v>
      </c>
      <c r="B556" s="835" t="str">
        <f>IF(C556="","",COUNTA($C$10:C557))</f>
        <v/>
      </c>
      <c r="C556" s="362"/>
      <c r="D556" s="851"/>
      <c r="E556" s="819" t="s">
        <v>288</v>
      </c>
      <c r="F556" s="848" t="str">
        <f>VLOOKUP(E556,'9.may'!E:F,2,FALSE)</f>
        <v>caterpillar crane 25T</v>
      </c>
      <c r="G556" s="704" t="s">
        <v>4902</v>
      </c>
      <c r="H556" s="239">
        <v>3.5000000000000003E-2</v>
      </c>
      <c r="I556" s="848">
        <f>VLOOKUP(E556,'9.may'!E:W,12,FALSE)</f>
        <v>2787996.6736363638</v>
      </c>
      <c r="J556" s="853">
        <f>I556*H556</f>
        <v>97579.883577272747</v>
      </c>
      <c r="N556" s="843" t="e">
        <f>SUMIF(#REF!,'8.Dgia'!A556,#REF!)+SUMIF(#REF!,'8.Dgia'!A556,#REF!)+SUMIF(#REF!,'8.Dgia'!A556,#REF!)+SUMIF(#REF!,'8.Dgia'!A556,#REF!)</f>
        <v>#REF!</v>
      </c>
      <c r="O556" s="844">
        <v>2</v>
      </c>
      <c r="P556" s="843" t="e">
        <f t="shared" si="20"/>
        <v>#REF!</v>
      </c>
    </row>
    <row r="557" spans="1:18" ht="15" customHeight="1">
      <c r="A557" s="657">
        <f>IF(B557="",MAX($A$8:A556)+0,MAX($A$8:A556)+1)</f>
        <v>59</v>
      </c>
      <c r="B557" s="835" t="str">
        <f>IF(C557="","",COUNTA($C$10:C558))</f>
        <v/>
      </c>
      <c r="C557" s="362"/>
      <c r="D557" s="851"/>
      <c r="E557" s="819" t="s">
        <v>553</v>
      </c>
      <c r="F557" s="848" t="str">
        <f>VLOOKUP(E557,DICH!B:C,2,FALSE)</f>
        <v>Other machine</v>
      </c>
      <c r="G557" s="240" t="s">
        <v>554</v>
      </c>
      <c r="H557" s="239">
        <v>2</v>
      </c>
      <c r="I557" s="848">
        <f>SUM(J554:J556)</f>
        <v>231661.92167727277</v>
      </c>
      <c r="J557" s="853">
        <f>I557*H557%</f>
        <v>4633.2384335454553</v>
      </c>
      <c r="N557" s="843" t="e">
        <f>SUMIF(#REF!,'8.Dgia'!A557,#REF!)+SUMIF(#REF!,'8.Dgia'!A557,#REF!)+SUMIF(#REF!,'8.Dgia'!A557,#REF!)+SUMIF(#REF!,'8.Dgia'!A557,#REF!)</f>
        <v>#REF!</v>
      </c>
      <c r="O557" s="844">
        <v>2</v>
      </c>
      <c r="P557" s="843" t="e">
        <f t="shared" si="20"/>
        <v>#REF!</v>
      </c>
    </row>
    <row r="558" spans="1:18" ht="15" customHeight="1">
      <c r="A558" s="657">
        <f>IF(B558="",MAX($A$8:A557)+0,MAX($A$8:A557)+1)</f>
        <v>60</v>
      </c>
      <c r="B558" s="835">
        <f>IF(C558="","",COUNTA($C$10:C559))</f>
        <v>60</v>
      </c>
      <c r="C558" s="239">
        <v>1091</v>
      </c>
      <c r="D558" s="704" t="s">
        <v>2195</v>
      </c>
      <c r="E558" s="855" t="s">
        <v>3538</v>
      </c>
      <c r="F558" s="1049" t="str">
        <f>VLOOKUP(E558,DICH!B:C,2,FALSE)</f>
        <v>Concrete C42 of box girder casted on scaffolding (land) (K17)</v>
      </c>
      <c r="G558" s="856" t="s">
        <v>545</v>
      </c>
      <c r="H558" s="847"/>
      <c r="I558" s="848"/>
      <c r="J558" s="857"/>
      <c r="K558" s="842">
        <f>+J559</f>
        <v>1326140.5692269362</v>
      </c>
      <c r="L558" s="842">
        <f>+J563</f>
        <v>2550499.5500000003</v>
      </c>
      <c r="M558" s="842">
        <f>+J564</f>
        <v>236295.16011081819</v>
      </c>
      <c r="N558" s="843" t="e">
        <f>SUMIF(#REF!,'8.Dgia'!A558,#REF!)+SUMIF(#REF!,'8.Dgia'!A558,#REF!)+SUMIF(#REF!,'8.Dgia'!A558,#REF!)+SUMIF(#REF!,'8.Dgia'!A558,#REF!)</f>
        <v>#REF!</v>
      </c>
      <c r="O558" s="844"/>
      <c r="P558" s="843" t="e">
        <f t="shared" ref="P558:P631" si="22">$H558*N558*(1+O558%)</f>
        <v>#REF!</v>
      </c>
    </row>
    <row r="559" spans="1:18" s="658" customFormat="1" ht="15" customHeight="1">
      <c r="A559" s="657">
        <f>IF(B559="",MAX($A$8:A558)+0,MAX($A$8:A558)+1)</f>
        <v>60</v>
      </c>
      <c r="B559" s="835" t="str">
        <f>IF(C559="","",COUNTA($C$10:C560))</f>
        <v/>
      </c>
      <c r="C559" s="362"/>
      <c r="D559" s="845"/>
      <c r="E559" s="852" t="s">
        <v>2032</v>
      </c>
      <c r="F559" s="848" t="str">
        <f>VLOOKUP(E559,DICH!B:C,2,FALSE)</f>
        <v xml:space="preserve">  A - Material</v>
      </c>
      <c r="G559" s="846"/>
      <c r="H559" s="847"/>
      <c r="I559" s="848"/>
      <c r="J559" s="849">
        <f>SUM(J560:J562)</f>
        <v>1326140.5692269362</v>
      </c>
      <c r="K559" s="850"/>
      <c r="L559" s="850"/>
      <c r="M559" s="850"/>
      <c r="N559" s="843" t="e">
        <f>SUMIF(#REF!,'8.Dgia'!A559,#REF!)+SUMIF(#REF!,'8.Dgia'!A559,#REF!)+SUMIF(#REF!,'8.Dgia'!A559,#REF!)+SUMIF(#REF!,'8.Dgia'!A559,#REF!)</f>
        <v>#REF!</v>
      </c>
      <c r="O559" s="844"/>
      <c r="P559" s="843" t="e">
        <f t="shared" si="22"/>
        <v>#REF!</v>
      </c>
    </row>
    <row r="560" spans="1:18" ht="15" customHeight="1">
      <c r="A560" s="657">
        <f>IF(B560="",MAX($A$8:A559)+0,MAX($A$8:A559)+1)</f>
        <v>60</v>
      </c>
      <c r="B560" s="835" t="str">
        <f>IF(C560="","",COUNTA($C$10:C561))</f>
        <v/>
      </c>
      <c r="C560" s="851"/>
      <c r="D560" s="851" t="str">
        <f>+'10.PLV'!$C$66</f>
        <v>ĐM</v>
      </c>
      <c r="E560" s="852" t="str">
        <f>+'10.PLV'!$D$66</f>
        <v>Vữa bê tông đá 1x2 C42 (độ sụt 8-12cm)</v>
      </c>
      <c r="F560" s="848" t="str">
        <f>VLOOKUP(E560,DICH!B:C,2,FALSE)</f>
        <v>Concrete motar C42 stone 1x2 slump 8-12</v>
      </c>
      <c r="G560" s="362" t="s">
        <v>545</v>
      </c>
      <c r="H560" s="847">
        <v>1.0149999999999999</v>
      </c>
      <c r="I560" s="848">
        <f>VLOOKUP(E560,'11.gia '!B:I,8,FALSE)</f>
        <v>1221620.8499686779</v>
      </c>
      <c r="J560" s="853">
        <f>I560*H560</f>
        <v>1239945.1627182078</v>
      </c>
      <c r="N560" s="843" t="e">
        <f>SUMIF(#REF!,'8.Dgia'!A560,#REF!)+SUMIF(#REF!,'8.Dgia'!A560,#REF!)+SUMIF(#REF!,'8.Dgia'!A560,#REF!)+SUMIF(#REF!,'8.Dgia'!A560,#REF!)</f>
        <v>#REF!</v>
      </c>
      <c r="O560" s="844">
        <f>+$H$562</f>
        <v>4</v>
      </c>
      <c r="P560" s="843" t="e">
        <f t="shared" si="22"/>
        <v>#REF!</v>
      </c>
    </row>
    <row r="561" spans="1:18" ht="15" customHeight="1">
      <c r="A561" s="657">
        <f>IF(B561="",MAX($A$8:A560)+0,MAX($A$8:A560)+1)</f>
        <v>60</v>
      </c>
      <c r="B561" s="835" t="str">
        <f>IF(C561="","",COUNTA($C$10:C562))</f>
        <v/>
      </c>
      <c r="C561" s="362"/>
      <c r="D561" s="851"/>
      <c r="E561" s="852" t="s">
        <v>2229</v>
      </c>
      <c r="F561" s="848" t="str">
        <f>VLOOKUP(E561,DICH!B:C,2,FALSE)</f>
        <v>Pipe PVC D75</v>
      </c>
      <c r="G561" s="362" t="s">
        <v>543</v>
      </c>
      <c r="H561" s="847">
        <v>1.02</v>
      </c>
      <c r="I561" s="848">
        <f>VLOOKUP(E561,'11.gia '!$B:$I,8,FALSE)</f>
        <v>34500</v>
      </c>
      <c r="J561" s="853">
        <f>I561*H561</f>
        <v>35190</v>
      </c>
      <c r="N561" s="843" t="e">
        <f>SUMIF(#REF!,'8.Dgia'!A561,#REF!)+SUMIF(#REF!,'8.Dgia'!A561,#REF!)+SUMIF(#REF!,'8.Dgia'!A561,#REF!)+SUMIF(#REF!,'8.Dgia'!A561,#REF!)</f>
        <v>#REF!</v>
      </c>
      <c r="O561" s="844">
        <f>+$H$562</f>
        <v>4</v>
      </c>
      <c r="P561" s="843" t="e">
        <f t="shared" si="22"/>
        <v>#REF!</v>
      </c>
    </row>
    <row r="562" spans="1:18" ht="15" customHeight="1">
      <c r="A562" s="657">
        <f>IF(B562="",MAX($A$8:A561)+0,MAX($A$8:A561)+1)</f>
        <v>60</v>
      </c>
      <c r="B562" s="835" t="str">
        <f>IF(C562="","",COUNTA($C$10:C563))</f>
        <v/>
      </c>
      <c r="C562" s="362"/>
      <c r="D562" s="851"/>
      <c r="E562" s="852" t="s">
        <v>555</v>
      </c>
      <c r="F562" s="848" t="str">
        <f>VLOOKUP(E562,DICH!B:C,2,FALSE)</f>
        <v>Other material</v>
      </c>
      <c r="G562" s="362" t="s">
        <v>554</v>
      </c>
      <c r="H562" s="847">
        <v>4</v>
      </c>
      <c r="I562" s="848">
        <f>SUM(J560:J561)</f>
        <v>1275135.1627182078</v>
      </c>
      <c r="J562" s="853">
        <f>I562*H562%</f>
        <v>51005.406508728316</v>
      </c>
      <c r="N562" s="843" t="e">
        <f>SUMIF(#REF!,'8.Dgia'!A562,#REF!)+SUMIF(#REF!,'8.Dgia'!A562,#REF!)+SUMIF(#REF!,'8.Dgia'!A562,#REF!)+SUMIF(#REF!,'8.Dgia'!A562,#REF!)</f>
        <v>#REF!</v>
      </c>
      <c r="O562" s="844"/>
      <c r="P562" s="843" t="e">
        <f t="shared" si="22"/>
        <v>#REF!</v>
      </c>
    </row>
    <row r="563" spans="1:18" s="658" customFormat="1" ht="15" customHeight="1">
      <c r="A563" s="657">
        <f>IF(B563="",MAX($A$8:A562)+0,MAX($A$8:A562)+1)</f>
        <v>60</v>
      </c>
      <c r="B563" s="835" t="str">
        <f>IF(C563="","",COUNTA($C$10:C564))</f>
        <v/>
      </c>
      <c r="C563" s="362"/>
      <c r="D563" s="845"/>
      <c r="E563" s="852" t="s">
        <v>2039</v>
      </c>
      <c r="F563" s="848" t="str">
        <f>VLOOKUP(E563,DICH!B:C,2,FALSE)</f>
        <v xml:space="preserve">  B - Labour 4.0/7</v>
      </c>
      <c r="G563" s="362" t="s">
        <v>4899</v>
      </c>
      <c r="H563" s="847">
        <v>11.65</v>
      </c>
      <c r="I563" s="848">
        <f>VLOOKUP(E563,'16.NC'!$C$11:$F$22,4,FALSE)</f>
        <v>218927</v>
      </c>
      <c r="J563" s="849">
        <f>I563*H563</f>
        <v>2550499.5500000003</v>
      </c>
      <c r="K563" s="850"/>
      <c r="L563" s="850"/>
      <c r="M563" s="850"/>
      <c r="N563" s="843" t="e">
        <f>SUMIF(#REF!,'8.Dgia'!A563,#REF!)+SUMIF(#REF!,'8.Dgia'!A563,#REF!)+SUMIF(#REF!,'8.Dgia'!A563,#REF!)+SUMIF(#REF!,'8.Dgia'!A563,#REF!)</f>
        <v>#REF!</v>
      </c>
      <c r="O563" s="844"/>
      <c r="P563" s="843" t="e">
        <f t="shared" si="22"/>
        <v>#REF!</v>
      </c>
      <c r="R563" s="658">
        <v>1</v>
      </c>
    </row>
    <row r="564" spans="1:18" s="658" customFormat="1" ht="15" customHeight="1">
      <c r="A564" s="657">
        <f>IF(B564="",MAX($A$8:A563)+0,MAX($A$8:A563)+1)</f>
        <v>60</v>
      </c>
      <c r="B564" s="835" t="str">
        <f>IF(C564="","",COUNTA($C$10:C565))</f>
        <v/>
      </c>
      <c r="C564" s="362"/>
      <c r="D564" s="845"/>
      <c r="E564" s="852" t="s">
        <v>2033</v>
      </c>
      <c r="F564" s="848" t="str">
        <f>VLOOKUP(E564,DICH!B:C,2,FALSE)</f>
        <v xml:space="preserve">  C - Machine</v>
      </c>
      <c r="G564" s="846"/>
      <c r="H564" s="847"/>
      <c r="I564" s="848"/>
      <c r="J564" s="849">
        <f>SUM(J565:J568)</f>
        <v>236295.16011081819</v>
      </c>
      <c r="K564" s="850"/>
      <c r="L564" s="850"/>
      <c r="M564" s="850"/>
      <c r="N564" s="843" t="e">
        <f>SUMIF(#REF!,'8.Dgia'!A564,#REF!)+SUMIF(#REF!,'8.Dgia'!A564,#REF!)+SUMIF(#REF!,'8.Dgia'!A564,#REF!)+SUMIF(#REF!,'8.Dgia'!A564,#REF!)</f>
        <v>#REF!</v>
      </c>
      <c r="O564" s="844"/>
      <c r="P564" s="843" t="e">
        <f t="shared" si="22"/>
        <v>#REF!</v>
      </c>
    </row>
    <row r="565" spans="1:18" ht="15" customHeight="1">
      <c r="A565" s="657">
        <f>IF(B565="",MAX($A$8:A564)+0,MAX($A$8:A564)+1)</f>
        <v>60</v>
      </c>
      <c r="B565" s="835" t="str">
        <f>IF(C565="","",COUNTA($C$10:C566))</f>
        <v/>
      </c>
      <c r="C565" s="362"/>
      <c r="D565" s="851"/>
      <c r="E565" s="852" t="s">
        <v>288</v>
      </c>
      <c r="F565" s="848" t="str">
        <f>VLOOKUP(E565,'9.may'!E:F,2,FALSE)</f>
        <v>caterpillar crane 25T</v>
      </c>
      <c r="G565" s="362" t="s">
        <v>4902</v>
      </c>
      <c r="H565" s="847">
        <v>3.5000000000000003E-2</v>
      </c>
      <c r="I565" s="848">
        <f>VLOOKUP(E565,'9.may'!E:W,12,FALSE)</f>
        <v>2787996.6736363638</v>
      </c>
      <c r="J565" s="853">
        <f>I565*H565</f>
        <v>97579.883577272747</v>
      </c>
      <c r="N565" s="843" t="e">
        <f>SUMIF(#REF!,'8.Dgia'!A565,#REF!)+SUMIF(#REF!,'8.Dgia'!A565,#REF!)+SUMIF(#REF!,'8.Dgia'!A565,#REF!)+SUMIF(#REF!,'8.Dgia'!A565,#REF!)</f>
        <v>#REF!</v>
      </c>
      <c r="O565" s="844">
        <f>+$H$568</f>
        <v>2</v>
      </c>
      <c r="P565" s="843" t="e">
        <f t="shared" si="22"/>
        <v>#REF!</v>
      </c>
    </row>
    <row r="566" spans="1:18" ht="15" customHeight="1">
      <c r="A566" s="657">
        <f>IF(B566="",MAX($A$8:A565)+0,MAX($A$8:A565)+1)</f>
        <v>60</v>
      </c>
      <c r="B566" s="835" t="str">
        <f>IF(C566="","",COUNTA($C$10:C567))</f>
        <v/>
      </c>
      <c r="C566" s="362"/>
      <c r="D566" s="851"/>
      <c r="E566" s="852" t="s">
        <v>1182</v>
      </c>
      <c r="F566" s="848" t="str">
        <f>VLOOKUP(E566,'9.may'!E:F,2,FALSE)</f>
        <v>concrete pump truck 50m3/h</v>
      </c>
      <c r="G566" s="362" t="s">
        <v>4902</v>
      </c>
      <c r="H566" s="847">
        <v>3.5000000000000003E-2</v>
      </c>
      <c r="I566" s="848">
        <f>VLOOKUP(E566,'9.may'!E:W,12,FALSE)</f>
        <v>3446390.13</v>
      </c>
      <c r="J566" s="853">
        <f>I566*H566</f>
        <v>120623.65455000001</v>
      </c>
      <c r="N566" s="843" t="e">
        <f>SUMIF(#REF!,'8.Dgia'!A566,#REF!)+SUMIF(#REF!,'8.Dgia'!A566,#REF!)+SUMIF(#REF!,'8.Dgia'!A566,#REF!)+SUMIF(#REF!,'8.Dgia'!A566,#REF!)</f>
        <v>#REF!</v>
      </c>
      <c r="O566" s="844">
        <f>+$H$568</f>
        <v>2</v>
      </c>
      <c r="P566" s="843" t="e">
        <f t="shared" si="22"/>
        <v>#REF!</v>
      </c>
    </row>
    <row r="567" spans="1:18" ht="15" customHeight="1">
      <c r="A567" s="657">
        <f>IF(B567="",MAX($A$8:A566)+0,MAX($A$8:A566)+1)</f>
        <v>60</v>
      </c>
      <c r="B567" s="835" t="str">
        <f>IF(C567="","",COUNTA($C$10:C568))</f>
        <v/>
      </c>
      <c r="C567" s="362"/>
      <c r="D567" s="851"/>
      <c r="E567" s="852" t="s">
        <v>293</v>
      </c>
      <c r="F567" s="848" t="str">
        <f>VLOOKUP(E567,'9.may'!E:F,2,FALSE)</f>
        <v>concrete vibrating compactor 1.5Kw</v>
      </c>
      <c r="G567" s="362" t="s">
        <v>4902</v>
      </c>
      <c r="H567" s="847">
        <v>0.18</v>
      </c>
      <c r="I567" s="848">
        <f>VLOOKUP(E567,'9.may'!E:W,12,FALSE)</f>
        <v>74768.797500000001</v>
      </c>
      <c r="J567" s="853">
        <f>I567*H567</f>
        <v>13458.38355</v>
      </c>
      <c r="N567" s="843" t="e">
        <f>SUMIF(#REF!,'8.Dgia'!A567,#REF!)+SUMIF(#REF!,'8.Dgia'!A567,#REF!)+SUMIF(#REF!,'8.Dgia'!A567,#REF!)+SUMIF(#REF!,'8.Dgia'!A567,#REF!)</f>
        <v>#REF!</v>
      </c>
      <c r="O567" s="844">
        <f>+$H$568</f>
        <v>2</v>
      </c>
      <c r="P567" s="843" t="e">
        <f t="shared" si="22"/>
        <v>#REF!</v>
      </c>
    </row>
    <row r="568" spans="1:18" ht="15" customHeight="1">
      <c r="A568" s="657">
        <f>IF(B568="",MAX($A$8:A567)+0,MAX($A$8:A567)+1)</f>
        <v>60</v>
      </c>
      <c r="B568" s="835" t="str">
        <f>IF(C568="","",COUNTA($C$10:C569))</f>
        <v/>
      </c>
      <c r="C568" s="362"/>
      <c r="D568" s="851"/>
      <c r="E568" s="852" t="s">
        <v>553</v>
      </c>
      <c r="F568" s="848" t="str">
        <f>VLOOKUP(E568,DICH!B:C,2,FALSE)</f>
        <v>Other machine</v>
      </c>
      <c r="G568" s="362" t="s">
        <v>554</v>
      </c>
      <c r="H568" s="847">
        <v>2</v>
      </c>
      <c r="I568" s="848">
        <f>SUM(J565:J567)</f>
        <v>231661.92167727274</v>
      </c>
      <c r="J568" s="853">
        <f>I568*H568%</f>
        <v>4633.2384335454544</v>
      </c>
      <c r="N568" s="843" t="e">
        <f>SUMIF(#REF!,'8.Dgia'!A568,#REF!)+SUMIF(#REF!,'8.Dgia'!A568,#REF!)+SUMIF(#REF!,'8.Dgia'!A568,#REF!)+SUMIF(#REF!,'8.Dgia'!A568,#REF!)</f>
        <v>#REF!</v>
      </c>
      <c r="O568" s="844"/>
      <c r="P568" s="843" t="e">
        <f t="shared" si="22"/>
        <v>#REF!</v>
      </c>
    </row>
    <row r="569" spans="1:18" ht="15" customHeight="1">
      <c r="A569" s="657">
        <f>IF(B569="",MAX($A$8:A568)+0,MAX($A$8:A568)+1)</f>
        <v>61</v>
      </c>
      <c r="B569" s="835">
        <f>IF(C569="","",COUNTA($C$10:C570))</f>
        <v>61</v>
      </c>
      <c r="C569" s="835">
        <f>IF(D569="","",1776)</f>
        <v>1776</v>
      </c>
      <c r="D569" s="851" t="s">
        <v>417</v>
      </c>
      <c r="E569" s="855" t="s">
        <v>57</v>
      </c>
      <c r="F569" s="1049" t="str">
        <f>VLOOKUP(E569,DICH!B:C,2,FALSE)</f>
        <v>Handling steel</v>
      </c>
      <c r="G569" s="856" t="s">
        <v>4644</v>
      </c>
      <c r="H569" s="847"/>
      <c r="I569" s="848"/>
      <c r="J569" s="857"/>
      <c r="K569" s="842">
        <f>+J570</f>
        <v>17313259.111200001</v>
      </c>
      <c r="L569" s="842">
        <f>+J574</f>
        <v>2561445.9</v>
      </c>
      <c r="M569" s="842">
        <f>+J575</f>
        <v>523856.10994090908</v>
      </c>
      <c r="N569" s="843" t="e">
        <f>SUMIF(#REF!,'8.Dgia'!A569,#REF!)+SUMIF(#REF!,'8.Dgia'!A569,#REF!)+SUMIF(#REF!,'8.Dgia'!A569,#REF!)+SUMIF(#REF!,'8.Dgia'!A569,#REF!)</f>
        <v>#REF!</v>
      </c>
      <c r="O569" s="844"/>
      <c r="P569" s="843" t="e">
        <f t="shared" si="22"/>
        <v>#REF!</v>
      </c>
    </row>
    <row r="570" spans="1:18" s="658" customFormat="1" ht="15" customHeight="1">
      <c r="A570" s="657">
        <f>IF(B570="",MAX($A$8:A569)+0,MAX($A$8:A569)+1)</f>
        <v>61</v>
      </c>
      <c r="B570" s="835" t="str">
        <f>IF(C570="","",COUNTA($C$10:C571))</f>
        <v/>
      </c>
      <c r="C570" s="362"/>
      <c r="D570" s="845"/>
      <c r="E570" s="852" t="s">
        <v>2032</v>
      </c>
      <c r="F570" s="848" t="str">
        <f>VLOOKUP(E570,DICH!B:C,2,FALSE)</f>
        <v xml:space="preserve">  A - Material</v>
      </c>
      <c r="G570" s="846"/>
      <c r="H570" s="847"/>
      <c r="I570" s="848"/>
      <c r="J570" s="849">
        <f>SUM(J571:J573)</f>
        <v>17313259.111200001</v>
      </c>
      <c r="K570" s="850"/>
      <c r="L570" s="850"/>
      <c r="M570" s="850"/>
      <c r="N570" s="843" t="e">
        <f>SUMIF(#REF!,'8.Dgia'!A570,#REF!)+SUMIF(#REF!,'8.Dgia'!A570,#REF!)+SUMIF(#REF!,'8.Dgia'!A570,#REF!)+SUMIF(#REF!,'8.Dgia'!A570,#REF!)</f>
        <v>#REF!</v>
      </c>
      <c r="O570" s="844"/>
      <c r="P570" s="843" t="e">
        <f t="shared" si="22"/>
        <v>#REF!</v>
      </c>
    </row>
    <row r="571" spans="1:18" ht="15" customHeight="1">
      <c r="A571" s="657">
        <f>IF(B571="",MAX($A$8:A570)+0,MAX($A$8:A570)+1)</f>
        <v>61</v>
      </c>
      <c r="B571" s="835" t="str">
        <f>IF(C571="","",COUNTA($C$10:C572))</f>
        <v/>
      </c>
      <c r="C571" s="362"/>
      <c r="D571" s="851"/>
      <c r="E571" s="852" t="s">
        <v>664</v>
      </c>
      <c r="F571" s="848" t="str">
        <f>VLOOKUP(E571,DICH!B:C,2,FALSE)</f>
        <v>steel bar D&gt;18</v>
      </c>
      <c r="G571" s="362" t="s">
        <v>558</v>
      </c>
      <c r="H571" s="847">
        <v>1020</v>
      </c>
      <c r="I571" s="848">
        <f>VLOOKUP(E571,'11.gia '!$B:$I,8,FALSE)</f>
        <v>16604.075560000001</v>
      </c>
      <c r="J571" s="853">
        <f>I571*H571</f>
        <v>16936157.071200002</v>
      </c>
      <c r="N571" s="843" t="e">
        <f>SUMIF(#REF!,'8.Dgia'!A571,#REF!)+SUMIF(#REF!,'8.Dgia'!A571,#REF!)+SUMIF(#REF!,'8.Dgia'!A571,#REF!)+SUMIF(#REF!,'8.Dgia'!A571,#REF!)</f>
        <v>#REF!</v>
      </c>
      <c r="O571" s="844"/>
      <c r="P571" s="843" t="e">
        <f t="shared" si="22"/>
        <v>#REF!</v>
      </c>
    </row>
    <row r="572" spans="1:18" ht="15" customHeight="1">
      <c r="A572" s="657">
        <f>IF(B572="",MAX($A$8:A571)+0,MAX($A$8:A571)+1)</f>
        <v>61</v>
      </c>
      <c r="B572" s="835" t="str">
        <f>IF(C572="","",COUNTA($C$10:C573))</f>
        <v/>
      </c>
      <c r="C572" s="362"/>
      <c r="D572" s="851"/>
      <c r="E572" s="852" t="s">
        <v>459</v>
      </c>
      <c r="F572" s="848" t="str">
        <f>VLOOKUP(E572,DICH!B:C,2,FALSE)</f>
        <v>Steel ware</v>
      </c>
      <c r="G572" s="362" t="s">
        <v>558</v>
      </c>
      <c r="H572" s="847">
        <v>14.28</v>
      </c>
      <c r="I572" s="848">
        <f>VLOOKUP(E572,'11.gia '!$B:$I,8,FALSE)</f>
        <v>17143</v>
      </c>
      <c r="J572" s="853">
        <f>I572*H572</f>
        <v>244802.03999999998</v>
      </c>
      <c r="N572" s="843" t="e">
        <f>SUMIF(#REF!,'8.Dgia'!A572,#REF!)+SUMIF(#REF!,'8.Dgia'!A572,#REF!)+SUMIF(#REF!,'8.Dgia'!A572,#REF!)+SUMIF(#REF!,'8.Dgia'!A572,#REF!)</f>
        <v>#REF!</v>
      </c>
      <c r="O572" s="844"/>
      <c r="P572" s="843" t="e">
        <f t="shared" si="22"/>
        <v>#REF!</v>
      </c>
    </row>
    <row r="573" spans="1:18" ht="15" customHeight="1">
      <c r="A573" s="657">
        <f>IF(B573="",MAX($A$8:A572)+0,MAX($A$8:A572)+1)</f>
        <v>61</v>
      </c>
      <c r="B573" s="835" t="str">
        <f>IF(C573="","",COUNTA($C$10:C574))</f>
        <v/>
      </c>
      <c r="C573" s="362"/>
      <c r="D573" s="851"/>
      <c r="E573" s="852" t="s">
        <v>559</v>
      </c>
      <c r="F573" s="848" t="str">
        <f>VLOOKUP(E573,DICH!B:C,2,FALSE)</f>
        <v>welding electrode</v>
      </c>
      <c r="G573" s="362" t="s">
        <v>558</v>
      </c>
      <c r="H573" s="847">
        <v>6.93</v>
      </c>
      <c r="I573" s="848">
        <f>VLOOKUP(E573,'11.gia '!$B:$I,8,FALSE)</f>
        <v>19090.909090909088</v>
      </c>
      <c r="J573" s="853">
        <f>I573*H573</f>
        <v>132299.99999999997</v>
      </c>
      <c r="N573" s="843" t="e">
        <f>SUMIF(#REF!,'8.Dgia'!A573,#REF!)+SUMIF(#REF!,'8.Dgia'!A573,#REF!)+SUMIF(#REF!,'8.Dgia'!A573,#REF!)+SUMIF(#REF!,'8.Dgia'!A573,#REF!)</f>
        <v>#REF!</v>
      </c>
      <c r="O573" s="844"/>
      <c r="P573" s="843" t="e">
        <f t="shared" si="22"/>
        <v>#REF!</v>
      </c>
    </row>
    <row r="574" spans="1:18" s="658" customFormat="1" ht="15" customHeight="1">
      <c r="A574" s="657">
        <f>IF(B574="",MAX($A$8:A573)+0,MAX($A$8:A573)+1)</f>
        <v>61</v>
      </c>
      <c r="B574" s="835" t="str">
        <f>IF(C574="","",COUNTA($C$10:C575))</f>
        <v/>
      </c>
      <c r="C574" s="362"/>
      <c r="D574" s="845"/>
      <c r="E574" s="852" t="s">
        <v>2039</v>
      </c>
      <c r="F574" s="848" t="str">
        <f>VLOOKUP(E574,DICH!B:C,2,FALSE)</f>
        <v xml:space="preserve">  B - Labour 4.0/7</v>
      </c>
      <c r="G574" s="362" t="s">
        <v>4899</v>
      </c>
      <c r="H574" s="847">
        <v>11.7</v>
      </c>
      <c r="I574" s="848">
        <f>VLOOKUP(E574,'16.NC'!$C$11:$F$22,4,FALSE)</f>
        <v>218927</v>
      </c>
      <c r="J574" s="849">
        <f>I574*H574</f>
        <v>2561445.9</v>
      </c>
      <c r="K574" s="850"/>
      <c r="L574" s="850"/>
      <c r="M574" s="850"/>
      <c r="N574" s="843" t="e">
        <f>SUMIF(#REF!,'8.Dgia'!A574,#REF!)+SUMIF(#REF!,'8.Dgia'!A574,#REF!)+SUMIF(#REF!,'8.Dgia'!A574,#REF!)+SUMIF(#REF!,'8.Dgia'!A574,#REF!)</f>
        <v>#REF!</v>
      </c>
      <c r="O574" s="844"/>
      <c r="P574" s="843" t="e">
        <f t="shared" si="22"/>
        <v>#REF!</v>
      </c>
      <c r="R574" s="658">
        <v>1</v>
      </c>
    </row>
    <row r="575" spans="1:18" s="658" customFormat="1" ht="15" customHeight="1">
      <c r="A575" s="657">
        <f>IF(B575="",MAX($A$8:A574)+0,MAX($A$8:A574)+1)</f>
        <v>61</v>
      </c>
      <c r="B575" s="835" t="str">
        <f>IF(C575="","",COUNTA($C$10:C576))</f>
        <v/>
      </c>
      <c r="C575" s="362"/>
      <c r="D575" s="845"/>
      <c r="E575" s="852" t="s">
        <v>2033</v>
      </c>
      <c r="F575" s="848" t="str">
        <f>VLOOKUP(E575,DICH!B:C,2,FALSE)</f>
        <v xml:space="preserve">  C - Machine</v>
      </c>
      <c r="G575" s="846"/>
      <c r="H575" s="847"/>
      <c r="I575" s="848"/>
      <c r="J575" s="849">
        <f>SUM(J576:J581)</f>
        <v>523856.10994090908</v>
      </c>
      <c r="K575" s="850"/>
      <c r="L575" s="850"/>
      <c r="M575" s="850"/>
      <c r="N575" s="843" t="e">
        <f>SUMIF(#REF!,'8.Dgia'!A575,#REF!)+SUMIF(#REF!,'8.Dgia'!A575,#REF!)+SUMIF(#REF!,'8.Dgia'!A575,#REF!)+SUMIF(#REF!,'8.Dgia'!A575,#REF!)</f>
        <v>#REF!</v>
      </c>
      <c r="O575" s="844"/>
      <c r="P575" s="843" t="e">
        <f t="shared" si="22"/>
        <v>#REF!</v>
      </c>
    </row>
    <row r="576" spans="1:18" ht="15" customHeight="1">
      <c r="A576" s="657">
        <f>IF(B576="",MAX($A$8:A575)+0,MAX($A$8:A575)+1)</f>
        <v>61</v>
      </c>
      <c r="B576" s="835" t="str">
        <f>IF(C576="","",COUNTA($C$10:C577))</f>
        <v/>
      </c>
      <c r="C576" s="362"/>
      <c r="D576" s="851"/>
      <c r="E576" s="852" t="s">
        <v>560</v>
      </c>
      <c r="F576" s="848" t="str">
        <f>VLOOKUP(E576,'9.may'!E:F,2,FALSE)</f>
        <v>welding machine 23kW</v>
      </c>
      <c r="G576" s="362" t="s">
        <v>4902</v>
      </c>
      <c r="H576" s="847">
        <v>1.73</v>
      </c>
      <c r="I576" s="848">
        <f>VLOOKUP(E576,'9.may'!E:W,12,FALSE)</f>
        <v>171649.155</v>
      </c>
      <c r="J576" s="853">
        <f t="shared" ref="J576:J581" si="23">I576*H576</f>
        <v>296953.03814999998</v>
      </c>
      <c r="N576" s="843" t="e">
        <f>SUMIF(#REF!,'8.Dgia'!A576,#REF!)+SUMIF(#REF!,'8.Dgia'!A576,#REF!)+SUMIF(#REF!,'8.Dgia'!A576,#REF!)+SUMIF(#REF!,'8.Dgia'!A576,#REF!)</f>
        <v>#REF!</v>
      </c>
      <c r="O576" s="844"/>
      <c r="P576" s="843" t="e">
        <f t="shared" si="22"/>
        <v>#REF!</v>
      </c>
    </row>
    <row r="577" spans="1:18" ht="15" customHeight="1">
      <c r="A577" s="657">
        <f>IF(B577="",MAX($A$8:A576)+0,MAX($A$8:A576)+1)</f>
        <v>61</v>
      </c>
      <c r="B577" s="835" t="str">
        <f>IF(C577="","",COUNTA($C$10:C578))</f>
        <v/>
      </c>
      <c r="C577" s="362"/>
      <c r="D577" s="851"/>
      <c r="E577" s="852" t="s">
        <v>1424</v>
      </c>
      <c r="F577" s="848" t="str">
        <f>VLOOKUP(E577,'9.may'!E:F,2,FALSE)</f>
        <v>bender cutter 5Kw</v>
      </c>
      <c r="G577" s="362" t="s">
        <v>4902</v>
      </c>
      <c r="H577" s="847">
        <v>0.16</v>
      </c>
      <c r="I577" s="848">
        <f>VLOOKUP(E577,'9.may'!E:W,12,FALSE)</f>
        <v>80291.850000000006</v>
      </c>
      <c r="J577" s="853">
        <f t="shared" si="23"/>
        <v>12846.696000000002</v>
      </c>
      <c r="N577" s="843" t="e">
        <f>SUMIF(#REF!,'8.Dgia'!A577,#REF!)+SUMIF(#REF!,'8.Dgia'!A577,#REF!)+SUMIF(#REF!,'8.Dgia'!A577,#REF!)+SUMIF(#REF!,'8.Dgia'!A577,#REF!)</f>
        <v>#REF!</v>
      </c>
      <c r="O577" s="844"/>
      <c r="P577" s="843" t="e">
        <f t="shared" si="22"/>
        <v>#REF!</v>
      </c>
    </row>
    <row r="578" spans="1:18" ht="15" customHeight="1">
      <c r="A578" s="657">
        <f>IF(B578="",MAX($A$8:A577)+0,MAX($A$8:A577)+1)</f>
        <v>61</v>
      </c>
      <c r="B578" s="835" t="str">
        <f>IF(C578="","",COUNTA($C$10:C579))</f>
        <v/>
      </c>
      <c r="C578" s="362"/>
      <c r="D578" s="851"/>
      <c r="E578" s="852" t="s">
        <v>288</v>
      </c>
      <c r="F578" s="848" t="str">
        <f>VLOOKUP(E578,'9.may'!E:F,2,FALSE)</f>
        <v>caterpillar crane 25T</v>
      </c>
      <c r="G578" s="362" t="s">
        <v>4902</v>
      </c>
      <c r="H578" s="847">
        <v>0.04</v>
      </c>
      <c r="I578" s="848">
        <f>VLOOKUP(E578,'9.may'!E:W,12,FALSE)</f>
        <v>2787996.6736363638</v>
      </c>
      <c r="J578" s="853">
        <f t="shared" si="23"/>
        <v>111519.86694545456</v>
      </c>
      <c r="N578" s="843" t="e">
        <f>SUMIF(#REF!,'8.Dgia'!A578,#REF!)+SUMIF(#REF!,'8.Dgia'!A578,#REF!)+SUMIF(#REF!,'8.Dgia'!A578,#REF!)+SUMIF(#REF!,'8.Dgia'!A578,#REF!)</f>
        <v>#REF!</v>
      </c>
      <c r="O578" s="844"/>
      <c r="P578" s="843" t="e">
        <f t="shared" si="22"/>
        <v>#REF!</v>
      </c>
    </row>
    <row r="579" spans="1:18" ht="15" customHeight="1">
      <c r="A579" s="657">
        <f>IF(B579="",MAX($A$8:A578)+0,MAX($A$8:A578)+1)</f>
        <v>61</v>
      </c>
      <c r="B579" s="835" t="str">
        <f>IF(C579="","",COUNTA($C$10:C580))</f>
        <v/>
      </c>
      <c r="C579" s="362"/>
      <c r="D579" s="851"/>
      <c r="E579" s="852" t="s">
        <v>561</v>
      </c>
      <c r="F579" s="848" t="str">
        <f>VLOOKUP(E579,'9.may'!E:F,2,FALSE)</f>
        <v>barge 200Ton</v>
      </c>
      <c r="G579" s="362" t="s">
        <v>4902</v>
      </c>
      <c r="H579" s="847">
        <v>0.04</v>
      </c>
      <c r="I579" s="848">
        <f>VLOOKUP(E579,'9.may'!E:W,12,FALSE)</f>
        <v>586485.6</v>
      </c>
      <c r="J579" s="853">
        <f t="shared" si="23"/>
        <v>23459.423999999999</v>
      </c>
      <c r="N579" s="843" t="e">
        <f>SUMIF(#REF!,'8.Dgia'!A579,#REF!)+SUMIF(#REF!,'8.Dgia'!A579,#REF!)+SUMIF(#REF!,'8.Dgia'!A579,#REF!)+SUMIF(#REF!,'8.Dgia'!A579,#REF!)</f>
        <v>#REF!</v>
      </c>
      <c r="O579" s="844"/>
      <c r="P579" s="843" t="e">
        <f t="shared" si="22"/>
        <v>#REF!</v>
      </c>
    </row>
    <row r="580" spans="1:18" ht="15" customHeight="1">
      <c r="A580" s="657">
        <f>IF(B580="",MAX($A$8:A579)+0,MAX($A$8:A579)+1)</f>
        <v>61</v>
      </c>
      <c r="B580" s="835" t="str">
        <f>IF(C580="","",COUNTA($C$10:C581))</f>
        <v/>
      </c>
      <c r="C580" s="362"/>
      <c r="D580" s="851"/>
      <c r="E580" s="852" t="s">
        <v>556</v>
      </c>
      <c r="F580" s="848" t="str">
        <f>VLOOKUP(E580,'9.may'!E:F,2,FALSE)</f>
        <v>barge 400Ton</v>
      </c>
      <c r="G580" s="362" t="s">
        <v>4902</v>
      </c>
      <c r="H580" s="847">
        <v>0.04</v>
      </c>
      <c r="I580" s="848">
        <f>VLOOKUP(E580,'9.may'!E:W,12,FALSE)</f>
        <v>1144511.22</v>
      </c>
      <c r="J580" s="853">
        <f t="shared" si="23"/>
        <v>45780.448799999998</v>
      </c>
      <c r="N580" s="843" t="e">
        <f>SUMIF(#REF!,'8.Dgia'!A580,#REF!)+SUMIF(#REF!,'8.Dgia'!A580,#REF!)+SUMIF(#REF!,'8.Dgia'!A580,#REF!)+SUMIF(#REF!,'8.Dgia'!A580,#REF!)</f>
        <v>#REF!</v>
      </c>
      <c r="O580" s="844"/>
      <c r="P580" s="843" t="e">
        <f t="shared" si="22"/>
        <v>#REF!</v>
      </c>
    </row>
    <row r="581" spans="1:18" ht="15" customHeight="1">
      <c r="A581" s="657">
        <f>IF(B581="",MAX($A$8:A580)+0,MAX($A$8:A580)+1)</f>
        <v>61</v>
      </c>
      <c r="B581" s="835" t="str">
        <f>IF(C581="","",COUNTA($C$10:C582))</f>
        <v/>
      </c>
      <c r="C581" s="362"/>
      <c r="D581" s="851"/>
      <c r="E581" s="852" t="s">
        <v>611</v>
      </c>
      <c r="F581" s="848" t="str">
        <f>VLOOKUP(E581,'9.may'!E:F,2,FALSE)</f>
        <v>tug boat 150CV</v>
      </c>
      <c r="G581" s="362" t="s">
        <v>4902</v>
      </c>
      <c r="H581" s="847">
        <v>0.01</v>
      </c>
      <c r="I581" s="848">
        <f>VLOOKUP(E581,'9.may'!E:W,12,FALSE)</f>
        <v>3329663.6045454545</v>
      </c>
      <c r="J581" s="853">
        <f t="shared" si="23"/>
        <v>33296.636045454543</v>
      </c>
      <c r="N581" s="843" t="e">
        <f>SUMIF(#REF!,'8.Dgia'!A581,#REF!)+SUMIF(#REF!,'8.Dgia'!A581,#REF!)+SUMIF(#REF!,'8.Dgia'!A581,#REF!)+SUMIF(#REF!,'8.Dgia'!A581,#REF!)</f>
        <v>#REF!</v>
      </c>
      <c r="O581" s="844"/>
      <c r="P581" s="843" t="e">
        <f t="shared" si="22"/>
        <v>#REF!</v>
      </c>
    </row>
    <row r="582" spans="1:18" ht="28.5" customHeight="1">
      <c r="A582" s="657">
        <f>IF(B582="",MAX($A$8:A581)+0,MAX($A$8:A581)+1)</f>
        <v>62</v>
      </c>
      <c r="B582" s="835">
        <f>IF(C582="","",COUNTA($C$10:C583))</f>
        <v>62</v>
      </c>
      <c r="C582" s="239">
        <v>1091</v>
      </c>
      <c r="D582" s="704" t="s">
        <v>2232</v>
      </c>
      <c r="E582" s="808" t="s">
        <v>4056</v>
      </c>
      <c r="F582" s="1049" t="str">
        <f>VLOOKUP(E582,DICH!B:C,2,FALSE)</f>
        <v>Reinforcement D&lt;=18 of girder on land (precast)</v>
      </c>
      <c r="G582" s="856" t="s">
        <v>4644</v>
      </c>
      <c r="H582" s="847"/>
      <c r="I582" s="848"/>
      <c r="J582" s="857"/>
      <c r="K582" s="842">
        <f>+J583</f>
        <v>17305050.020290911</v>
      </c>
      <c r="L582" s="842">
        <f>+J587</f>
        <v>3078113.62</v>
      </c>
      <c r="M582" s="842">
        <f>+J588</f>
        <v>530362.77301090909</v>
      </c>
      <c r="N582" s="843" t="e">
        <f>SUMIF(#REF!,'8.Dgia'!A582,#REF!)+SUMIF(#REF!,'8.Dgia'!A582,#REF!)+SUMIF(#REF!,'8.Dgia'!A582,#REF!)+SUMIF(#REF!,'8.Dgia'!A582,#REF!)</f>
        <v>#REF!</v>
      </c>
      <c r="O582" s="844"/>
      <c r="P582" s="843" t="e">
        <f t="shared" si="22"/>
        <v>#REF!</v>
      </c>
    </row>
    <row r="583" spans="1:18" s="658" customFormat="1" ht="15" customHeight="1">
      <c r="A583" s="657">
        <f>IF(B583="",MAX($A$8:A582)+0,MAX($A$8:A582)+1)</f>
        <v>62</v>
      </c>
      <c r="B583" s="835" t="str">
        <f>IF(C583="","",COUNTA($C$10:C584))</f>
        <v/>
      </c>
      <c r="C583" s="362"/>
      <c r="D583" s="845"/>
      <c r="E583" s="852" t="s">
        <v>2032</v>
      </c>
      <c r="F583" s="848" t="str">
        <f>VLOOKUP(E583,DICH!B:C,2,FALSE)</f>
        <v xml:space="preserve">  A - Material</v>
      </c>
      <c r="G583" s="846"/>
      <c r="H583" s="847"/>
      <c r="I583" s="848"/>
      <c r="J583" s="849">
        <f>SUM(J584:J586)</f>
        <v>17305050.020290911</v>
      </c>
      <c r="K583" s="850"/>
      <c r="L583" s="850"/>
      <c r="M583" s="850"/>
      <c r="N583" s="843" t="e">
        <f>SUMIF(#REF!,'8.Dgia'!A583,#REF!)+SUMIF(#REF!,'8.Dgia'!A583,#REF!)+SUMIF(#REF!,'8.Dgia'!A583,#REF!)+SUMIF(#REF!,'8.Dgia'!A583,#REF!)</f>
        <v>#REF!</v>
      </c>
      <c r="O583" s="844"/>
      <c r="P583" s="843" t="e">
        <f t="shared" si="22"/>
        <v>#REF!</v>
      </c>
    </row>
    <row r="584" spans="1:18" ht="15" customHeight="1">
      <c r="A584" s="657">
        <f>IF(B584="",MAX($A$8:A583)+0,MAX($A$8:A583)+1)</f>
        <v>62</v>
      </c>
      <c r="B584" s="835" t="str">
        <f>IF(C584="","",COUNTA($C$10:C585))</f>
        <v/>
      </c>
      <c r="C584" s="362"/>
      <c r="D584" s="851"/>
      <c r="E584" s="819" t="s">
        <v>671</v>
      </c>
      <c r="F584" s="848" t="str">
        <f>VLOOKUP(E584,DICH!B:C,2,FALSE)</f>
        <v>steel bar D&lt;=18</v>
      </c>
      <c r="G584" s="362" t="s">
        <v>558</v>
      </c>
      <c r="H584" s="239">
        <v>1020</v>
      </c>
      <c r="I584" s="848">
        <f>VLOOKUP(E584,'11.gia '!$B:$I,8,FALSE)</f>
        <v>16604.075560000001</v>
      </c>
      <c r="J584" s="853">
        <f>I584*H584</f>
        <v>16936157.071200002</v>
      </c>
      <c r="N584" s="843" t="e">
        <f>SUMIF(#REF!,'8.Dgia'!A584,#REF!)+SUMIF(#REF!,'8.Dgia'!A584,#REF!)+SUMIF(#REF!,'8.Dgia'!A584,#REF!)+SUMIF(#REF!,'8.Dgia'!A584,#REF!)</f>
        <v>#REF!</v>
      </c>
      <c r="O584" s="844"/>
      <c r="P584" s="843" t="e">
        <f t="shared" si="22"/>
        <v>#REF!</v>
      </c>
    </row>
    <row r="585" spans="1:18" ht="15" customHeight="1">
      <c r="A585" s="657">
        <f>IF(B585="",MAX($A$8:A584)+0,MAX($A$8:A584)+1)</f>
        <v>62</v>
      </c>
      <c r="B585" s="835" t="str">
        <f>IF(C585="","",COUNTA($C$10:C586))</f>
        <v/>
      </c>
      <c r="C585" s="362"/>
      <c r="D585" s="851"/>
      <c r="E585" s="819" t="s">
        <v>459</v>
      </c>
      <c r="F585" s="848" t="str">
        <f>VLOOKUP(E585,DICH!B:C,2,FALSE)</f>
        <v>Steel ware</v>
      </c>
      <c r="G585" s="362" t="s">
        <v>558</v>
      </c>
      <c r="H585" s="239">
        <v>14.28</v>
      </c>
      <c r="I585" s="848">
        <f>VLOOKUP(E585,'11.gia '!$B:$I,8,FALSE)</f>
        <v>17143</v>
      </c>
      <c r="J585" s="853">
        <f>I585*H585</f>
        <v>244802.03999999998</v>
      </c>
      <c r="N585" s="843" t="e">
        <f>SUMIF(#REF!,'8.Dgia'!A585,#REF!)+SUMIF(#REF!,'8.Dgia'!A585,#REF!)+SUMIF(#REF!,'8.Dgia'!A585,#REF!)+SUMIF(#REF!,'8.Dgia'!A585,#REF!)</f>
        <v>#REF!</v>
      </c>
      <c r="O585" s="844"/>
      <c r="P585" s="843" t="e">
        <f t="shared" si="22"/>
        <v>#REF!</v>
      </c>
    </row>
    <row r="586" spans="1:18" ht="15" customHeight="1">
      <c r="A586" s="657">
        <f>IF(B586="",MAX($A$8:A585)+0,MAX($A$8:A585)+1)</f>
        <v>62</v>
      </c>
      <c r="B586" s="835" t="str">
        <f>IF(C586="","",COUNTA($C$10:C587))</f>
        <v/>
      </c>
      <c r="C586" s="362"/>
      <c r="D586" s="851"/>
      <c r="E586" s="819" t="s">
        <v>559</v>
      </c>
      <c r="F586" s="848" t="str">
        <f>VLOOKUP(E586,DICH!B:C,2,FALSE)</f>
        <v>welding electrode</v>
      </c>
      <c r="G586" s="362" t="s">
        <v>558</v>
      </c>
      <c r="H586" s="239">
        <v>6.5</v>
      </c>
      <c r="I586" s="848">
        <f>VLOOKUP(E586,'11.gia '!$B:$I,8,FALSE)</f>
        <v>19090.909090909088</v>
      </c>
      <c r="J586" s="853">
        <f>I586*H586</f>
        <v>124090.90909090907</v>
      </c>
      <c r="N586" s="843" t="e">
        <f>SUMIF(#REF!,'8.Dgia'!A586,#REF!)+SUMIF(#REF!,'8.Dgia'!A586,#REF!)+SUMIF(#REF!,'8.Dgia'!A586,#REF!)+SUMIF(#REF!,'8.Dgia'!A586,#REF!)</f>
        <v>#REF!</v>
      </c>
      <c r="O586" s="844"/>
      <c r="P586" s="843" t="e">
        <f t="shared" si="22"/>
        <v>#REF!</v>
      </c>
    </row>
    <row r="587" spans="1:18" s="658" customFormat="1" ht="15" customHeight="1">
      <c r="A587" s="657">
        <f>IF(B587="",MAX($A$8:A586)+0,MAX($A$8:A586)+1)</f>
        <v>62</v>
      </c>
      <c r="B587" s="835" t="str">
        <f>IF(C587="","",COUNTA($C$10:C588))</f>
        <v/>
      </c>
      <c r="C587" s="362"/>
      <c r="D587" s="845"/>
      <c r="E587" s="852" t="s">
        <v>2039</v>
      </c>
      <c r="F587" s="848" t="str">
        <f>VLOOKUP(E587,DICH!B:C,2,FALSE)</f>
        <v xml:space="preserve">  B - Labour 4.0/7</v>
      </c>
      <c r="G587" s="362" t="s">
        <v>4899</v>
      </c>
      <c r="H587" s="239">
        <v>14.06</v>
      </c>
      <c r="I587" s="848">
        <f>VLOOKUP(E587,'16.NC'!$C$11:$F$22,4,FALSE)</f>
        <v>218927</v>
      </c>
      <c r="J587" s="849">
        <f>I587*H587</f>
        <v>3078113.62</v>
      </c>
      <c r="K587" s="850"/>
      <c r="L587" s="850"/>
      <c r="M587" s="850"/>
      <c r="N587" s="843" t="e">
        <f>SUMIF(#REF!,'8.Dgia'!A587,#REF!)+SUMIF(#REF!,'8.Dgia'!A587,#REF!)+SUMIF(#REF!,'8.Dgia'!A587,#REF!)+SUMIF(#REF!,'8.Dgia'!A587,#REF!)</f>
        <v>#REF!</v>
      </c>
      <c r="O587" s="844"/>
      <c r="P587" s="843" t="e">
        <f t="shared" si="22"/>
        <v>#REF!</v>
      </c>
      <c r="R587" s="658">
        <v>1</v>
      </c>
    </row>
    <row r="588" spans="1:18" s="658" customFormat="1" ht="15" customHeight="1">
      <c r="A588" s="657">
        <f>IF(B588="",MAX($A$8:A587)+0,MAX($A$8:A587)+1)</f>
        <v>62</v>
      </c>
      <c r="B588" s="835" t="str">
        <f>IF(C588="","",COUNTA($C$10:C589))</f>
        <v/>
      </c>
      <c r="C588" s="362"/>
      <c r="D588" s="845"/>
      <c r="E588" s="852" t="s">
        <v>2033</v>
      </c>
      <c r="F588" s="848" t="str">
        <f>VLOOKUP(E588,DICH!B:C,2,FALSE)</f>
        <v xml:space="preserve">  C - Machine</v>
      </c>
      <c r="G588" s="846"/>
      <c r="H588" s="847"/>
      <c r="I588" s="848"/>
      <c r="J588" s="849">
        <f>SUM(J589:J591)</f>
        <v>530362.77301090909</v>
      </c>
      <c r="K588" s="850"/>
      <c r="L588" s="850"/>
      <c r="M588" s="850"/>
      <c r="N588" s="843" t="e">
        <f>SUMIF(#REF!,'8.Dgia'!A588,#REF!)+SUMIF(#REF!,'8.Dgia'!A588,#REF!)+SUMIF(#REF!,'8.Dgia'!A588,#REF!)+SUMIF(#REF!,'8.Dgia'!A588,#REF!)</f>
        <v>#REF!</v>
      </c>
      <c r="O588" s="844"/>
      <c r="P588" s="843" t="e">
        <f t="shared" si="22"/>
        <v>#REF!</v>
      </c>
    </row>
    <row r="589" spans="1:18" ht="15" customHeight="1">
      <c r="A589" s="657">
        <f>IF(B589="",MAX($A$8:A588)+0,MAX($A$8:A588)+1)</f>
        <v>62</v>
      </c>
      <c r="B589" s="835" t="str">
        <f>IF(C589="","",COUNTA($C$10:C590))</f>
        <v/>
      </c>
      <c r="C589" s="362"/>
      <c r="D589" s="851"/>
      <c r="E589" s="852" t="s">
        <v>560</v>
      </c>
      <c r="F589" s="848" t="str">
        <f>VLOOKUP(E589,'9.may'!E:F,2,FALSE)</f>
        <v>welding machine 23kW</v>
      </c>
      <c r="G589" s="362" t="s">
        <v>4902</v>
      </c>
      <c r="H589" s="239">
        <v>1.6</v>
      </c>
      <c r="I589" s="848">
        <f>VLOOKUP(E589,'9.may'!E:W,12,FALSE)</f>
        <v>171649.155</v>
      </c>
      <c r="J589" s="853">
        <f>I589*H589</f>
        <v>274638.64799999999</v>
      </c>
      <c r="N589" s="843" t="e">
        <f>SUMIF(#REF!,'8.Dgia'!A589,#REF!)+SUMIF(#REF!,'8.Dgia'!A589,#REF!)+SUMIF(#REF!,'8.Dgia'!A589,#REF!)+SUMIF(#REF!,'8.Dgia'!A589,#REF!)</f>
        <v>#REF!</v>
      </c>
      <c r="O589" s="844"/>
      <c r="P589" s="843" t="e">
        <f t="shared" si="22"/>
        <v>#REF!</v>
      </c>
    </row>
    <row r="590" spans="1:18" ht="15" customHeight="1">
      <c r="A590" s="657">
        <f>IF(B590="",MAX($A$8:A589)+0,MAX($A$8:A589)+1)</f>
        <v>62</v>
      </c>
      <c r="B590" s="835" t="str">
        <f>IF(C590="","",COUNTA($C$10:C591))</f>
        <v/>
      </c>
      <c r="C590" s="362"/>
      <c r="D590" s="851"/>
      <c r="E590" s="852" t="s">
        <v>1424</v>
      </c>
      <c r="F590" s="848" t="str">
        <f>VLOOKUP(E590,'9.may'!E:F,2,FALSE)</f>
        <v>bender cutter 5Kw</v>
      </c>
      <c r="G590" s="362" t="s">
        <v>4902</v>
      </c>
      <c r="H590" s="239">
        <v>0.32</v>
      </c>
      <c r="I590" s="848">
        <f>VLOOKUP(E590,'9.may'!E:W,12,FALSE)</f>
        <v>80291.850000000006</v>
      </c>
      <c r="J590" s="853">
        <f>I590*H590</f>
        <v>25693.392000000003</v>
      </c>
      <c r="N590" s="843" t="e">
        <f>SUMIF(#REF!,'8.Dgia'!A590,#REF!)+SUMIF(#REF!,'8.Dgia'!A590,#REF!)+SUMIF(#REF!,'8.Dgia'!A590,#REF!)+SUMIF(#REF!,'8.Dgia'!A590,#REF!)</f>
        <v>#REF!</v>
      </c>
      <c r="O590" s="844"/>
      <c r="P590" s="843" t="e">
        <f t="shared" si="22"/>
        <v>#REF!</v>
      </c>
    </row>
    <row r="591" spans="1:18" ht="15" customHeight="1">
      <c r="A591" s="657">
        <f>IF(B591="",MAX($A$8:A590)+0,MAX($A$8:A590)+1)</f>
        <v>62</v>
      </c>
      <c r="B591" s="835" t="str">
        <f>IF(C591="","",COUNTA($C$10:C592))</f>
        <v/>
      </c>
      <c r="C591" s="362"/>
      <c r="D591" s="851"/>
      <c r="E591" s="852" t="s">
        <v>287</v>
      </c>
      <c r="F591" s="848" t="str">
        <f>VLOOKUP(E591,'9.may'!E:F,2,FALSE)</f>
        <v>caterpillar crane 16T</v>
      </c>
      <c r="G591" s="362" t="s">
        <v>4902</v>
      </c>
      <c r="H591" s="239">
        <v>0.108</v>
      </c>
      <c r="I591" s="848">
        <f>VLOOKUP(E591,'9.may'!E:W,12,FALSE)</f>
        <v>2129914.1945454543</v>
      </c>
      <c r="J591" s="853">
        <f>I591*H591</f>
        <v>230030.73301090905</v>
      </c>
      <c r="N591" s="843" t="e">
        <f>SUMIF(#REF!,'8.Dgia'!A591,#REF!)+SUMIF(#REF!,'8.Dgia'!A591,#REF!)+SUMIF(#REF!,'8.Dgia'!A591,#REF!)+SUMIF(#REF!,'8.Dgia'!A591,#REF!)</f>
        <v>#REF!</v>
      </c>
      <c r="O591" s="844"/>
      <c r="P591" s="843" t="e">
        <f t="shared" si="22"/>
        <v>#REF!</v>
      </c>
    </row>
    <row r="592" spans="1:18" ht="28.5" customHeight="1">
      <c r="A592" s="657">
        <f>IF(B592="",MAX($A$8:A591)+0,MAX($A$8:A591)+1)</f>
        <v>63</v>
      </c>
      <c r="B592" s="835">
        <f>IF(C592="","",COUNTA($C$10:C593))</f>
        <v>63</v>
      </c>
      <c r="C592" s="239">
        <v>1091</v>
      </c>
      <c r="D592" s="813" t="s">
        <v>3553</v>
      </c>
      <c r="E592" s="808" t="s">
        <v>4057</v>
      </c>
      <c r="F592" s="1049" t="str">
        <f>VLOOKUP(E592,DICH!B:C,2,FALSE)</f>
        <v>Reinforcement D&gt;18 of girder on land (precast)</v>
      </c>
      <c r="G592" s="856" t="s">
        <v>4644</v>
      </c>
      <c r="H592" s="847"/>
      <c r="I592" s="848"/>
      <c r="J592" s="857"/>
      <c r="K592" s="842">
        <f>+J593</f>
        <v>17313259.111200001</v>
      </c>
      <c r="L592" s="842">
        <f>+J597</f>
        <v>2561445.9</v>
      </c>
      <c r="M592" s="842">
        <f>+J598</f>
        <v>514271.49682636361</v>
      </c>
      <c r="N592" s="843" t="e">
        <f>SUMIF(#REF!,'8.Dgia'!A592,#REF!)+SUMIF(#REF!,'8.Dgia'!A592,#REF!)+SUMIF(#REF!,'8.Dgia'!A592,#REF!)+SUMIF(#REF!,'8.Dgia'!A592,#REF!)</f>
        <v>#REF!</v>
      </c>
      <c r="O592" s="844"/>
      <c r="P592" s="843" t="e">
        <f t="shared" ref="P592:P601" si="24">$H592*N592*(1+O592%)</f>
        <v>#REF!</v>
      </c>
    </row>
    <row r="593" spans="1:18" s="658" customFormat="1" ht="15" customHeight="1">
      <c r="A593" s="657">
        <f>IF(B593="",MAX($A$8:A592)+0,MAX($A$8:A592)+1)</f>
        <v>63</v>
      </c>
      <c r="B593" s="835" t="str">
        <f>IF(C593="","",COUNTA($C$10:C594))</f>
        <v/>
      </c>
      <c r="C593" s="362"/>
      <c r="D593" s="845"/>
      <c r="E593" s="852" t="s">
        <v>2032</v>
      </c>
      <c r="F593" s="848" t="str">
        <f>VLOOKUP(E593,DICH!B:C,2,FALSE)</f>
        <v xml:space="preserve">  A - Material</v>
      </c>
      <c r="G593" s="846"/>
      <c r="H593" s="847"/>
      <c r="I593" s="848"/>
      <c r="J593" s="849">
        <f>SUM(J594:J596)</f>
        <v>17313259.111200001</v>
      </c>
      <c r="K593" s="850"/>
      <c r="L593" s="850"/>
      <c r="M593" s="850"/>
      <c r="N593" s="843" t="e">
        <f>SUMIF(#REF!,'8.Dgia'!A593,#REF!)+SUMIF(#REF!,'8.Dgia'!A593,#REF!)+SUMIF(#REF!,'8.Dgia'!A593,#REF!)+SUMIF(#REF!,'8.Dgia'!A593,#REF!)</f>
        <v>#REF!</v>
      </c>
      <c r="O593" s="844"/>
      <c r="P593" s="843" t="e">
        <f t="shared" si="24"/>
        <v>#REF!</v>
      </c>
    </row>
    <row r="594" spans="1:18" ht="15" customHeight="1">
      <c r="A594" s="657">
        <f>IF(B594="",MAX($A$8:A593)+0,MAX($A$8:A593)+1)</f>
        <v>63</v>
      </c>
      <c r="B594" s="835" t="str">
        <f>IF(C594="","",COUNTA($C$10:C595))</f>
        <v/>
      </c>
      <c r="C594" s="362"/>
      <c r="D594" s="851"/>
      <c r="E594" s="852" t="s">
        <v>664</v>
      </c>
      <c r="F594" s="848" t="str">
        <f>VLOOKUP(E594,DICH!B:C,2,FALSE)</f>
        <v>steel bar D&gt;18</v>
      </c>
      <c r="G594" s="362" t="s">
        <v>558</v>
      </c>
      <c r="H594" s="239">
        <v>1020</v>
      </c>
      <c r="I594" s="848">
        <f>VLOOKUP(E594,'11.gia '!$B:$I,8,FALSE)</f>
        <v>16604.075560000001</v>
      </c>
      <c r="J594" s="853">
        <f>I594*H594</f>
        <v>16936157.071200002</v>
      </c>
      <c r="N594" s="843" t="e">
        <f>SUMIF(#REF!,'8.Dgia'!A594,#REF!)+SUMIF(#REF!,'8.Dgia'!A594,#REF!)+SUMIF(#REF!,'8.Dgia'!A594,#REF!)+SUMIF(#REF!,'8.Dgia'!A594,#REF!)</f>
        <v>#REF!</v>
      </c>
      <c r="O594" s="844"/>
      <c r="P594" s="843" t="e">
        <f t="shared" si="24"/>
        <v>#REF!</v>
      </c>
    </row>
    <row r="595" spans="1:18" ht="15" customHeight="1">
      <c r="A595" s="657">
        <f>IF(B595="",MAX($A$8:A594)+0,MAX($A$8:A594)+1)</f>
        <v>63</v>
      </c>
      <c r="B595" s="835" t="str">
        <f>IF(C595="","",COUNTA($C$10:C596))</f>
        <v/>
      </c>
      <c r="C595" s="362"/>
      <c r="D595" s="851"/>
      <c r="E595" s="819" t="s">
        <v>459</v>
      </c>
      <c r="F595" s="848" t="str">
        <f>VLOOKUP(E595,DICH!B:C,2,FALSE)</f>
        <v>Steel ware</v>
      </c>
      <c r="G595" s="362" t="s">
        <v>558</v>
      </c>
      <c r="H595" s="239">
        <v>14.28</v>
      </c>
      <c r="I595" s="848">
        <f>VLOOKUP(E595,'11.gia '!$B:$I,8,FALSE)</f>
        <v>17143</v>
      </c>
      <c r="J595" s="853">
        <f>I595*H595</f>
        <v>244802.03999999998</v>
      </c>
      <c r="N595" s="843" t="e">
        <f>SUMIF(#REF!,'8.Dgia'!A595,#REF!)+SUMIF(#REF!,'8.Dgia'!A595,#REF!)+SUMIF(#REF!,'8.Dgia'!A595,#REF!)+SUMIF(#REF!,'8.Dgia'!A595,#REF!)</f>
        <v>#REF!</v>
      </c>
      <c r="O595" s="844"/>
      <c r="P595" s="843" t="e">
        <f t="shared" si="24"/>
        <v>#REF!</v>
      </c>
    </row>
    <row r="596" spans="1:18" ht="15" customHeight="1">
      <c r="A596" s="657">
        <f>IF(B596="",MAX($A$8:A595)+0,MAX($A$8:A595)+1)</f>
        <v>63</v>
      </c>
      <c r="B596" s="835" t="str">
        <f>IF(C596="","",COUNTA($C$10:C597))</f>
        <v/>
      </c>
      <c r="C596" s="362"/>
      <c r="D596" s="851"/>
      <c r="E596" s="819" t="s">
        <v>559</v>
      </c>
      <c r="F596" s="848" t="str">
        <f>VLOOKUP(E596,DICH!B:C,2,FALSE)</f>
        <v>welding electrode</v>
      </c>
      <c r="G596" s="362" t="s">
        <v>558</v>
      </c>
      <c r="H596" s="239">
        <v>6.93</v>
      </c>
      <c r="I596" s="848">
        <f>VLOOKUP(E596,'11.gia '!$B:$I,8,FALSE)</f>
        <v>19090.909090909088</v>
      </c>
      <c r="J596" s="853">
        <f>I596*H596</f>
        <v>132299.99999999997</v>
      </c>
      <c r="N596" s="843" t="e">
        <f>SUMIF(#REF!,'8.Dgia'!A596,#REF!)+SUMIF(#REF!,'8.Dgia'!A596,#REF!)+SUMIF(#REF!,'8.Dgia'!A596,#REF!)+SUMIF(#REF!,'8.Dgia'!A596,#REF!)</f>
        <v>#REF!</v>
      </c>
      <c r="O596" s="844"/>
      <c r="P596" s="843" t="e">
        <f t="shared" si="24"/>
        <v>#REF!</v>
      </c>
    </row>
    <row r="597" spans="1:18" s="658" customFormat="1" ht="15" customHeight="1">
      <c r="A597" s="657">
        <f>IF(B597="",MAX($A$8:A596)+0,MAX($A$8:A596)+1)</f>
        <v>63</v>
      </c>
      <c r="B597" s="835" t="str">
        <f>IF(C597="","",COUNTA($C$10:C598))</f>
        <v/>
      </c>
      <c r="C597" s="362"/>
      <c r="D597" s="845"/>
      <c r="E597" s="852" t="s">
        <v>2039</v>
      </c>
      <c r="F597" s="848" t="str">
        <f>VLOOKUP(E597,DICH!B:C,2,FALSE)</f>
        <v xml:space="preserve">  B - Labour 4.0/7</v>
      </c>
      <c r="G597" s="362" t="s">
        <v>4899</v>
      </c>
      <c r="H597" s="239">
        <v>11.7</v>
      </c>
      <c r="I597" s="848">
        <f>VLOOKUP(E597,'16.NC'!$C$11:$F$22,4,FALSE)</f>
        <v>218927</v>
      </c>
      <c r="J597" s="849">
        <f>I597*H597</f>
        <v>2561445.9</v>
      </c>
      <c r="K597" s="850"/>
      <c r="L597" s="850"/>
      <c r="M597" s="850"/>
      <c r="N597" s="843" t="e">
        <f>SUMIF(#REF!,'8.Dgia'!A597,#REF!)+SUMIF(#REF!,'8.Dgia'!A597,#REF!)+SUMIF(#REF!,'8.Dgia'!A597,#REF!)+SUMIF(#REF!,'8.Dgia'!A597,#REF!)</f>
        <v>#REF!</v>
      </c>
      <c r="O597" s="844"/>
      <c r="P597" s="843" t="e">
        <f t="shared" si="24"/>
        <v>#REF!</v>
      </c>
      <c r="R597" s="658">
        <v>1</v>
      </c>
    </row>
    <row r="598" spans="1:18" s="658" customFormat="1" ht="15" customHeight="1">
      <c r="A598" s="657">
        <f>IF(B598="",MAX($A$8:A597)+0,MAX($A$8:A597)+1)</f>
        <v>63</v>
      </c>
      <c r="B598" s="835" t="str">
        <f>IF(C598="","",COUNTA($C$10:C599))</f>
        <v/>
      </c>
      <c r="C598" s="362"/>
      <c r="D598" s="845"/>
      <c r="E598" s="852" t="s">
        <v>2033</v>
      </c>
      <c r="F598" s="848" t="str">
        <f>VLOOKUP(E598,DICH!B:C,2,FALSE)</f>
        <v xml:space="preserve">  C - Machine</v>
      </c>
      <c r="G598" s="846"/>
      <c r="H598" s="239"/>
      <c r="I598" s="848"/>
      <c r="J598" s="849">
        <f>SUM(J599:J601)</f>
        <v>514271.49682636361</v>
      </c>
      <c r="K598" s="850"/>
      <c r="L598" s="850"/>
      <c r="M598" s="850"/>
      <c r="N598" s="843" t="e">
        <f>SUMIF(#REF!,'8.Dgia'!A598,#REF!)+SUMIF(#REF!,'8.Dgia'!A598,#REF!)+SUMIF(#REF!,'8.Dgia'!A598,#REF!)+SUMIF(#REF!,'8.Dgia'!A598,#REF!)</f>
        <v>#REF!</v>
      </c>
      <c r="O598" s="844"/>
      <c r="P598" s="843" t="e">
        <f t="shared" si="24"/>
        <v>#REF!</v>
      </c>
    </row>
    <row r="599" spans="1:18" ht="15" customHeight="1">
      <c r="A599" s="657">
        <f>IF(B599="",MAX($A$8:A598)+0,MAX($A$8:A598)+1)</f>
        <v>63</v>
      </c>
      <c r="B599" s="835" t="str">
        <f>IF(C599="","",COUNTA($C$10:C600))</f>
        <v/>
      </c>
      <c r="C599" s="362"/>
      <c r="D599" s="851"/>
      <c r="E599" s="852" t="s">
        <v>560</v>
      </c>
      <c r="F599" s="848" t="str">
        <f>VLOOKUP(E599,'9.may'!E:F,2,FALSE)</f>
        <v>welding machine 23kW</v>
      </c>
      <c r="G599" s="362" t="s">
        <v>4902</v>
      </c>
      <c r="H599" s="239">
        <v>1.73</v>
      </c>
      <c r="I599" s="848">
        <f>VLOOKUP(E599,'9.may'!E:W,12,FALSE)</f>
        <v>171649.155</v>
      </c>
      <c r="J599" s="853">
        <f>I599*H599</f>
        <v>296953.03814999998</v>
      </c>
      <c r="N599" s="843" t="e">
        <f>SUMIF(#REF!,'8.Dgia'!A599,#REF!)+SUMIF(#REF!,'8.Dgia'!A599,#REF!)+SUMIF(#REF!,'8.Dgia'!A599,#REF!)+SUMIF(#REF!,'8.Dgia'!A599,#REF!)</f>
        <v>#REF!</v>
      </c>
      <c r="O599" s="844"/>
      <c r="P599" s="843" t="e">
        <f t="shared" si="24"/>
        <v>#REF!</v>
      </c>
    </row>
    <row r="600" spans="1:18" ht="15" customHeight="1">
      <c r="A600" s="657">
        <f>IF(B600="",MAX($A$8:A599)+0,MAX($A$8:A599)+1)</f>
        <v>63</v>
      </c>
      <c r="B600" s="835" t="str">
        <f>IF(C600="","",COUNTA($C$10:C601))</f>
        <v/>
      </c>
      <c r="C600" s="362"/>
      <c r="D600" s="851"/>
      <c r="E600" s="852" t="s">
        <v>1424</v>
      </c>
      <c r="F600" s="848" t="str">
        <f>VLOOKUP(E600,'9.may'!E:F,2,FALSE)</f>
        <v>bender cutter 5Kw</v>
      </c>
      <c r="G600" s="362" t="s">
        <v>4902</v>
      </c>
      <c r="H600" s="239">
        <v>0.16</v>
      </c>
      <c r="I600" s="848">
        <f>VLOOKUP(E600,'9.may'!E:W,12,FALSE)</f>
        <v>80291.850000000006</v>
      </c>
      <c r="J600" s="853">
        <f>I600*H600</f>
        <v>12846.696000000002</v>
      </c>
      <c r="N600" s="843" t="e">
        <f>SUMIF(#REF!,'8.Dgia'!A600,#REF!)+SUMIF(#REF!,'8.Dgia'!A600,#REF!)+SUMIF(#REF!,'8.Dgia'!A600,#REF!)+SUMIF(#REF!,'8.Dgia'!A600,#REF!)</f>
        <v>#REF!</v>
      </c>
      <c r="O600" s="844"/>
      <c r="P600" s="843" t="e">
        <f t="shared" si="24"/>
        <v>#REF!</v>
      </c>
    </row>
    <row r="601" spans="1:18" ht="15" customHeight="1">
      <c r="A601" s="657">
        <f>IF(B601="",MAX($A$8:A600)+0,MAX($A$8:A600)+1)</f>
        <v>63</v>
      </c>
      <c r="B601" s="835" t="str">
        <f>IF(C601="","",COUNTA($C$10:C602))</f>
        <v/>
      </c>
      <c r="C601" s="362"/>
      <c r="D601" s="851"/>
      <c r="E601" s="852" t="s">
        <v>287</v>
      </c>
      <c r="F601" s="848" t="str">
        <f>VLOOKUP(E601,'9.may'!E:F,2,FALSE)</f>
        <v>caterpillar crane 16T</v>
      </c>
      <c r="G601" s="362" t="s">
        <v>4902</v>
      </c>
      <c r="H601" s="239">
        <v>9.6000000000000002E-2</v>
      </c>
      <c r="I601" s="848">
        <f>VLOOKUP(E601,'9.may'!E:W,12,FALSE)</f>
        <v>2129914.1945454543</v>
      </c>
      <c r="J601" s="853">
        <f>I601*H601</f>
        <v>204471.76267636361</v>
      </c>
      <c r="N601" s="843" t="e">
        <f>SUMIF(#REF!,'8.Dgia'!A601,#REF!)+SUMIF(#REF!,'8.Dgia'!A601,#REF!)+SUMIF(#REF!,'8.Dgia'!A601,#REF!)+SUMIF(#REF!,'8.Dgia'!A601,#REF!)</f>
        <v>#REF!</v>
      </c>
      <c r="O601" s="844"/>
      <c r="P601" s="843" t="e">
        <f t="shared" si="24"/>
        <v>#REF!</v>
      </c>
    </row>
    <row r="602" spans="1:18" s="1336" customFormat="1" ht="25.5">
      <c r="A602" s="1336">
        <f>IF(B602="",MAX($A$8:A601)+0,MAX($A$8:A601)+1)</f>
        <v>64</v>
      </c>
      <c r="B602" s="1337">
        <f>IF(C602="","",COUNTA($C$10:C603))</f>
        <v>64</v>
      </c>
      <c r="C602" s="1004">
        <v>1091</v>
      </c>
      <c r="D602" s="1014" t="s">
        <v>2233</v>
      </c>
      <c r="E602" s="1463" t="s">
        <v>4054</v>
      </c>
      <c r="F602" s="1420" t="str">
        <f>VLOOKUP(E602,DICH!B:C,2,FALSE)</f>
        <v>Reinforcement D&lt;=18 of girder in water (precast)</v>
      </c>
      <c r="G602" s="1429" t="s">
        <v>4644</v>
      </c>
      <c r="H602" s="1001"/>
      <c r="I602" s="1331"/>
      <c r="J602" s="1460"/>
      <c r="K602" s="1425">
        <f>+J603</f>
        <v>17305050.020290911</v>
      </c>
      <c r="L602" s="1425">
        <f>+J607</f>
        <v>3693298.49</v>
      </c>
      <c r="M602" s="1425">
        <f>+J608</f>
        <v>501067.80050181819</v>
      </c>
      <c r="N602" s="1343" t="e">
        <f>SUMIF(#REF!,'8.Dgia'!A602,#REF!)+SUMIF(#REF!,'8.Dgia'!A602,#REF!)+SUMIF(#REF!,'8.Dgia'!A602,#REF!)+SUMIF(#REF!,'8.Dgia'!A602,#REF!)</f>
        <v>#REF!</v>
      </c>
      <c r="O602" s="1426"/>
      <c r="P602" s="1343" t="e">
        <f t="shared" si="22"/>
        <v>#REF!</v>
      </c>
    </row>
    <row r="603" spans="1:18" s="658" customFormat="1" ht="15" customHeight="1">
      <c r="A603" s="657">
        <f>IF(B603="",MAX($A$8:A602)+0,MAX($A$8:A602)+1)</f>
        <v>64</v>
      </c>
      <c r="B603" s="835" t="str">
        <f>IF(C603="","",COUNTA($C$10:C604))</f>
        <v/>
      </c>
      <c r="C603" s="362"/>
      <c r="D603" s="845"/>
      <c r="E603" s="852" t="s">
        <v>2032</v>
      </c>
      <c r="F603" s="848" t="str">
        <f>VLOOKUP(E603,DICH!B:C,2,FALSE)</f>
        <v xml:space="preserve">  A - Material</v>
      </c>
      <c r="G603" s="846"/>
      <c r="H603" s="847"/>
      <c r="I603" s="848"/>
      <c r="J603" s="849">
        <f>SUM(J604:J606)</f>
        <v>17305050.020290911</v>
      </c>
      <c r="K603" s="850"/>
      <c r="L603" s="850"/>
      <c r="M603" s="850"/>
      <c r="N603" s="843" t="e">
        <f>SUMIF(#REF!,'8.Dgia'!A603,#REF!)+SUMIF(#REF!,'8.Dgia'!A603,#REF!)+SUMIF(#REF!,'8.Dgia'!A603,#REF!)+SUMIF(#REF!,'8.Dgia'!A603,#REF!)</f>
        <v>#REF!</v>
      </c>
      <c r="O603" s="844"/>
      <c r="P603" s="843" t="e">
        <f t="shared" si="22"/>
        <v>#REF!</v>
      </c>
    </row>
    <row r="604" spans="1:18" ht="15" customHeight="1">
      <c r="A604" s="657">
        <f>IF(B604="",MAX($A$8:A603)+0,MAX($A$8:A603)+1)</f>
        <v>64</v>
      </c>
      <c r="B604" s="835" t="str">
        <f>IF(C604="","",COUNTA($C$10:C605))</f>
        <v/>
      </c>
      <c r="C604" s="362"/>
      <c r="D604" s="851"/>
      <c r="E604" s="819" t="s">
        <v>671</v>
      </c>
      <c r="F604" s="848" t="str">
        <f>VLOOKUP(E604,DICH!B:C,2,FALSE)</f>
        <v>steel bar D&lt;=18</v>
      </c>
      <c r="G604" s="362" t="s">
        <v>558</v>
      </c>
      <c r="H604" s="239">
        <v>1020</v>
      </c>
      <c r="I604" s="848">
        <f>VLOOKUP(E604,'11.gia '!$B:$I,8,FALSE)</f>
        <v>16604.075560000001</v>
      </c>
      <c r="J604" s="853">
        <f>I604*H604</f>
        <v>16936157.071200002</v>
      </c>
      <c r="N604" s="843" t="e">
        <f>SUMIF(#REF!,'8.Dgia'!A604,#REF!)+SUMIF(#REF!,'8.Dgia'!A604,#REF!)+SUMIF(#REF!,'8.Dgia'!A604,#REF!)+SUMIF(#REF!,'8.Dgia'!A604,#REF!)</f>
        <v>#REF!</v>
      </c>
      <c r="O604" s="844"/>
      <c r="P604" s="843" t="e">
        <f t="shared" si="22"/>
        <v>#REF!</v>
      </c>
    </row>
    <row r="605" spans="1:18" ht="15" customHeight="1">
      <c r="A605" s="657">
        <f>IF(B605="",MAX($A$8:A604)+0,MAX($A$8:A604)+1)</f>
        <v>64</v>
      </c>
      <c r="B605" s="835" t="str">
        <f>IF(C605="","",COUNTA($C$10:C606))</f>
        <v/>
      </c>
      <c r="C605" s="362"/>
      <c r="D605" s="851"/>
      <c r="E605" s="819" t="s">
        <v>459</v>
      </c>
      <c r="F605" s="848" t="str">
        <f>VLOOKUP(E605,DICH!B:C,2,FALSE)</f>
        <v>Steel ware</v>
      </c>
      <c r="G605" s="362" t="s">
        <v>558</v>
      </c>
      <c r="H605" s="239">
        <v>14.28</v>
      </c>
      <c r="I605" s="848">
        <f>VLOOKUP(E605,'11.gia '!$B:$I,8,FALSE)</f>
        <v>17143</v>
      </c>
      <c r="J605" s="853">
        <f>I605*H605</f>
        <v>244802.03999999998</v>
      </c>
      <c r="N605" s="843" t="e">
        <f>SUMIF(#REF!,'8.Dgia'!A605,#REF!)+SUMIF(#REF!,'8.Dgia'!A605,#REF!)+SUMIF(#REF!,'8.Dgia'!A605,#REF!)+SUMIF(#REF!,'8.Dgia'!A605,#REF!)</f>
        <v>#REF!</v>
      </c>
      <c r="O605" s="844"/>
      <c r="P605" s="843" t="e">
        <f t="shared" si="22"/>
        <v>#REF!</v>
      </c>
    </row>
    <row r="606" spans="1:18" ht="15" customHeight="1">
      <c r="A606" s="657">
        <f>IF(B606="",MAX($A$8:A605)+0,MAX($A$8:A605)+1)</f>
        <v>64</v>
      </c>
      <c r="B606" s="835" t="str">
        <f>IF(C606="","",COUNTA($C$10:C607))</f>
        <v/>
      </c>
      <c r="C606" s="362"/>
      <c r="D606" s="851"/>
      <c r="E606" s="819" t="s">
        <v>559</v>
      </c>
      <c r="F606" s="848" t="str">
        <f>VLOOKUP(E606,DICH!B:C,2,FALSE)</f>
        <v>welding electrode</v>
      </c>
      <c r="G606" s="362" t="s">
        <v>558</v>
      </c>
      <c r="H606" s="239">
        <v>6.5</v>
      </c>
      <c r="I606" s="848">
        <f>VLOOKUP(E606,'11.gia '!$B:$I,8,FALSE)</f>
        <v>19090.909090909088</v>
      </c>
      <c r="J606" s="853">
        <f>I606*H606</f>
        <v>124090.90909090907</v>
      </c>
      <c r="N606" s="843" t="e">
        <f>SUMIF(#REF!,'8.Dgia'!A606,#REF!)+SUMIF(#REF!,'8.Dgia'!A606,#REF!)+SUMIF(#REF!,'8.Dgia'!A606,#REF!)+SUMIF(#REF!,'8.Dgia'!A606,#REF!)</f>
        <v>#REF!</v>
      </c>
      <c r="O606" s="844"/>
      <c r="P606" s="843" t="e">
        <f t="shared" si="22"/>
        <v>#REF!</v>
      </c>
    </row>
    <row r="607" spans="1:18" s="658" customFormat="1" ht="15" customHeight="1">
      <c r="A607" s="657">
        <f>IF(B607="",MAX($A$8:A606)+0,MAX($A$8:A606)+1)</f>
        <v>64</v>
      </c>
      <c r="B607" s="835" t="str">
        <f>IF(C607="","",COUNTA($C$10:C608))</f>
        <v/>
      </c>
      <c r="C607" s="362"/>
      <c r="D607" s="845"/>
      <c r="E607" s="852" t="s">
        <v>2039</v>
      </c>
      <c r="F607" s="848" t="str">
        <f>VLOOKUP(E607,DICH!B:C,2,FALSE)</f>
        <v xml:space="preserve">  B - Labour 4.0/7</v>
      </c>
      <c r="G607" s="362" t="s">
        <v>4899</v>
      </c>
      <c r="H607" s="239">
        <v>16.87</v>
      </c>
      <c r="I607" s="848">
        <f>VLOOKUP(E607,'16.NC'!$C$11:$F$22,4,FALSE)</f>
        <v>218927</v>
      </c>
      <c r="J607" s="849">
        <f>I607*H607</f>
        <v>3693298.49</v>
      </c>
      <c r="K607" s="850"/>
      <c r="L607" s="850"/>
      <c r="M607" s="850"/>
      <c r="N607" s="843" t="e">
        <f>SUMIF(#REF!,'8.Dgia'!A607,#REF!)+SUMIF(#REF!,'8.Dgia'!A607,#REF!)+SUMIF(#REF!,'8.Dgia'!A607,#REF!)+SUMIF(#REF!,'8.Dgia'!A607,#REF!)</f>
        <v>#REF!</v>
      </c>
      <c r="O607" s="844"/>
      <c r="P607" s="843" t="e">
        <f t="shared" si="22"/>
        <v>#REF!</v>
      </c>
      <c r="R607" s="658">
        <v>1</v>
      </c>
    </row>
    <row r="608" spans="1:18" s="658" customFormat="1" ht="15" customHeight="1">
      <c r="A608" s="657">
        <f>IF(B608="",MAX($A$8:A607)+0,MAX($A$8:A607)+1)</f>
        <v>64</v>
      </c>
      <c r="B608" s="835" t="str">
        <f>IF(C608="","",COUNTA($C$10:C609))</f>
        <v/>
      </c>
      <c r="C608" s="362"/>
      <c r="D608" s="845"/>
      <c r="E608" s="852" t="s">
        <v>2033</v>
      </c>
      <c r="F608" s="848" t="str">
        <f>VLOOKUP(E608,DICH!B:C,2,FALSE)</f>
        <v xml:space="preserve">  C - Machine</v>
      </c>
      <c r="G608" s="846"/>
      <c r="H608" s="847"/>
      <c r="I608" s="848"/>
      <c r="J608" s="849">
        <f>SUM(J609:J614)</f>
        <v>501067.80050181819</v>
      </c>
      <c r="K608" s="850"/>
      <c r="L608" s="850"/>
      <c r="M608" s="850"/>
      <c r="N608" s="843" t="e">
        <f>SUMIF(#REF!,'8.Dgia'!A608,#REF!)+SUMIF(#REF!,'8.Dgia'!A608,#REF!)+SUMIF(#REF!,'8.Dgia'!A608,#REF!)+SUMIF(#REF!,'8.Dgia'!A608,#REF!)</f>
        <v>#REF!</v>
      </c>
      <c r="O608" s="844"/>
      <c r="P608" s="843" t="e">
        <f t="shared" si="22"/>
        <v>#REF!</v>
      </c>
    </row>
    <row r="609" spans="1:18" ht="15" customHeight="1">
      <c r="A609" s="657">
        <f>IF(B609="",MAX($A$8:A608)+0,MAX($A$8:A608)+1)</f>
        <v>64</v>
      </c>
      <c r="B609" s="835" t="str">
        <f>IF(C609="","",COUNTA($C$10:C610))</f>
        <v/>
      </c>
      <c r="C609" s="362"/>
      <c r="D609" s="851"/>
      <c r="E609" s="819" t="s">
        <v>1978</v>
      </c>
      <c r="F609" s="848" t="str">
        <f>VLOOKUP(E609,'9.may'!E:F,2,FALSE)</f>
        <v>welding machine 23kW</v>
      </c>
      <c r="G609" s="704" t="s">
        <v>4902</v>
      </c>
      <c r="H609" s="239">
        <v>1.6</v>
      </c>
      <c r="I609" s="848">
        <f>VLOOKUP(E609,'9.may'!E:W,12,FALSE)</f>
        <v>171649.155</v>
      </c>
      <c r="J609" s="853">
        <f t="shared" ref="J609:J614" si="25">I609*H609</f>
        <v>274638.64799999999</v>
      </c>
      <c r="N609" s="843" t="e">
        <f>SUMIF(#REF!,'8.Dgia'!A609,#REF!)+SUMIF(#REF!,'8.Dgia'!A609,#REF!)+SUMIF(#REF!,'8.Dgia'!A609,#REF!)+SUMIF(#REF!,'8.Dgia'!A609,#REF!)</f>
        <v>#REF!</v>
      </c>
      <c r="O609" s="844"/>
      <c r="P609" s="843" t="e">
        <f t="shared" si="22"/>
        <v>#REF!</v>
      </c>
    </row>
    <row r="610" spans="1:18" ht="15" customHeight="1">
      <c r="A610" s="657">
        <f>IF(B610="",MAX($A$8:A609)+0,MAX($A$8:A609)+1)</f>
        <v>64</v>
      </c>
      <c r="B610" s="835" t="str">
        <f>IF(C610="","",COUNTA($C$10:C611))</f>
        <v/>
      </c>
      <c r="C610" s="362"/>
      <c r="D610" s="851"/>
      <c r="E610" s="819" t="s">
        <v>1424</v>
      </c>
      <c r="F610" s="848" t="str">
        <f>VLOOKUP(E610,'9.may'!E:F,2,FALSE)</f>
        <v>bender cutter 5Kw</v>
      </c>
      <c r="G610" s="704" t="s">
        <v>4902</v>
      </c>
      <c r="H610" s="239">
        <v>0.32</v>
      </c>
      <c r="I610" s="848">
        <f>VLOOKUP(E610,'9.may'!E:W,12,FALSE)</f>
        <v>80291.850000000006</v>
      </c>
      <c r="J610" s="853">
        <f t="shared" si="25"/>
        <v>25693.392000000003</v>
      </c>
      <c r="N610" s="843" t="e">
        <f>SUMIF(#REF!,'8.Dgia'!A610,#REF!)+SUMIF(#REF!,'8.Dgia'!A610,#REF!)+SUMIF(#REF!,'8.Dgia'!A610,#REF!)+SUMIF(#REF!,'8.Dgia'!A610,#REF!)</f>
        <v>#REF!</v>
      </c>
      <c r="O610" s="844"/>
      <c r="P610" s="843" t="e">
        <f t="shared" si="22"/>
        <v>#REF!</v>
      </c>
    </row>
    <row r="611" spans="1:18" ht="15" customHeight="1">
      <c r="A611" s="657">
        <f>IF(B611="",MAX($A$8:A610)+0,MAX($A$8:A610)+1)</f>
        <v>64</v>
      </c>
      <c r="B611" s="835" t="str">
        <f>IF(C611="","",COUNTA($C$10:C612))</f>
        <v/>
      </c>
      <c r="C611" s="362"/>
      <c r="D611" s="851"/>
      <c r="E611" s="819" t="s">
        <v>288</v>
      </c>
      <c r="F611" s="848" t="str">
        <f>VLOOKUP(E611,'9.may'!E:F,2,FALSE)</f>
        <v>caterpillar crane 25T</v>
      </c>
      <c r="G611" s="704" t="s">
        <v>4902</v>
      </c>
      <c r="H611" s="239">
        <v>7.1999999999999995E-2</v>
      </c>
      <c r="I611" s="848">
        <f>VLOOKUP(E611,'9.may'!E:W,12,FALSE)</f>
        <v>2787996.6736363638</v>
      </c>
      <c r="J611" s="853">
        <f t="shared" si="25"/>
        <v>200735.76050181818</v>
      </c>
      <c r="N611" s="843" t="e">
        <f>SUMIF(#REF!,'8.Dgia'!A611,#REF!)+SUMIF(#REF!,'8.Dgia'!A611,#REF!)+SUMIF(#REF!,'8.Dgia'!A611,#REF!)+SUMIF(#REF!,'8.Dgia'!A611,#REF!)</f>
        <v>#REF!</v>
      </c>
      <c r="O611" s="844"/>
      <c r="P611" s="843" t="e">
        <f t="shared" si="22"/>
        <v>#REF!</v>
      </c>
    </row>
    <row r="612" spans="1:18" ht="15" customHeight="1">
      <c r="A612" s="657">
        <f>IF(B612="",MAX($A$8:A611)+0,MAX($A$8:A611)+1)</f>
        <v>64</v>
      </c>
      <c r="B612" s="835" t="str">
        <f>IF(C612="","",COUNTA($C$10:C613))</f>
        <v/>
      </c>
      <c r="C612" s="362"/>
      <c r="D612" s="851"/>
      <c r="E612" s="819" t="s">
        <v>561</v>
      </c>
      <c r="F612" s="848" t="str">
        <f>VLOOKUP(E612,'9.may'!E:F,2,FALSE)</f>
        <v>barge 200Ton</v>
      </c>
      <c r="G612" s="704" t="s">
        <v>4902</v>
      </c>
      <c r="H612" s="239"/>
      <c r="I612" s="848">
        <f>VLOOKUP(E612,'9.may'!E:W,12,FALSE)</f>
        <v>586485.6</v>
      </c>
      <c r="J612" s="853">
        <f t="shared" si="25"/>
        <v>0</v>
      </c>
      <c r="N612" s="843" t="e">
        <f>SUMIF(#REF!,'8.Dgia'!A612,#REF!)+SUMIF(#REF!,'8.Dgia'!A612,#REF!)+SUMIF(#REF!,'8.Dgia'!A612,#REF!)+SUMIF(#REF!,'8.Dgia'!A612,#REF!)</f>
        <v>#REF!</v>
      </c>
      <c r="O612" s="844"/>
      <c r="P612" s="843" t="e">
        <f t="shared" si="22"/>
        <v>#REF!</v>
      </c>
    </row>
    <row r="613" spans="1:18" ht="15" customHeight="1">
      <c r="A613" s="657">
        <f>IF(B613="",MAX($A$8:A612)+0,MAX($A$8:A612)+1)</f>
        <v>64</v>
      </c>
      <c r="B613" s="835" t="str">
        <f>IF(C613="","",COUNTA($C$10:C614))</f>
        <v/>
      </c>
      <c r="C613" s="362"/>
      <c r="D613" s="851"/>
      <c r="E613" s="819" t="s">
        <v>556</v>
      </c>
      <c r="F613" s="848" t="str">
        <f>VLOOKUP(E613,'9.may'!E:F,2,FALSE)</f>
        <v>barge 400Ton</v>
      </c>
      <c r="G613" s="704" t="s">
        <v>4902</v>
      </c>
      <c r="H613" s="239"/>
      <c r="I613" s="848">
        <f>VLOOKUP(E613,'9.may'!E:W,12,FALSE)</f>
        <v>1144511.22</v>
      </c>
      <c r="J613" s="853">
        <f t="shared" si="25"/>
        <v>0</v>
      </c>
      <c r="N613" s="843" t="e">
        <f>SUMIF(#REF!,'8.Dgia'!A613,#REF!)+SUMIF(#REF!,'8.Dgia'!A613,#REF!)+SUMIF(#REF!,'8.Dgia'!A613,#REF!)+SUMIF(#REF!,'8.Dgia'!A613,#REF!)</f>
        <v>#REF!</v>
      </c>
      <c r="O613" s="844"/>
      <c r="P613" s="843" t="e">
        <f t="shared" si="22"/>
        <v>#REF!</v>
      </c>
    </row>
    <row r="614" spans="1:18" ht="15" customHeight="1">
      <c r="A614" s="657">
        <f>IF(B614="",MAX($A$8:A613)+0,MAX($A$8:A613)+1)</f>
        <v>64</v>
      </c>
      <c r="B614" s="835" t="str">
        <f>IF(C614="","",COUNTA($C$10:C615))</f>
        <v/>
      </c>
      <c r="C614" s="362"/>
      <c r="D614" s="851"/>
      <c r="E614" s="819" t="s">
        <v>1604</v>
      </c>
      <c r="F614" s="848" t="str">
        <f>VLOOKUP(E614,'9.may'!E:F,2,FALSE)</f>
        <v>tug boat 150CV</v>
      </c>
      <c r="G614" s="704" t="s">
        <v>4902</v>
      </c>
      <c r="H614" s="239"/>
      <c r="I614" s="848">
        <f>VLOOKUP(E614,'9.may'!E:W,12,FALSE)</f>
        <v>3329663.6045454545</v>
      </c>
      <c r="J614" s="853">
        <f t="shared" si="25"/>
        <v>0</v>
      </c>
      <c r="N614" s="843" t="e">
        <f>SUMIF(#REF!,'8.Dgia'!A614,#REF!)+SUMIF(#REF!,'8.Dgia'!A614,#REF!)+SUMIF(#REF!,'8.Dgia'!A614,#REF!)+SUMIF(#REF!,'8.Dgia'!A614,#REF!)</f>
        <v>#REF!</v>
      </c>
      <c r="O614" s="844"/>
      <c r="P614" s="843" t="e">
        <f t="shared" si="22"/>
        <v>#REF!</v>
      </c>
    </row>
    <row r="615" spans="1:18" s="1336" customFormat="1" ht="25.5">
      <c r="A615" s="1336">
        <f>IF(B615="",MAX($A$8:A614)+0,MAX($A$8:A614)+1)</f>
        <v>65</v>
      </c>
      <c r="B615" s="1337">
        <f>IF(C615="","",COUNTA($C$10:C616))</f>
        <v>65</v>
      </c>
      <c r="C615" s="1004">
        <v>1091</v>
      </c>
      <c r="D615" s="1014" t="s">
        <v>2234</v>
      </c>
      <c r="E615" s="1463" t="s">
        <v>4055</v>
      </c>
      <c r="F615" s="1420" t="str">
        <f>VLOOKUP(E615,DICH!B:C,2,FALSE)</f>
        <v>Reinforcement D&gt;18 of girder in water (precast)</v>
      </c>
      <c r="G615" s="1429" t="s">
        <v>4644</v>
      </c>
      <c r="H615" s="1001"/>
      <c r="I615" s="1331"/>
      <c r="J615" s="1460"/>
      <c r="K615" s="1425">
        <f>+J616</f>
        <v>17313259.111200001</v>
      </c>
      <c r="L615" s="1425">
        <f>+J620</f>
        <v>3073735.0799999996</v>
      </c>
      <c r="M615" s="1425">
        <f>+J621</f>
        <v>443623.57448454545</v>
      </c>
      <c r="N615" s="1343" t="e">
        <f>SUMIF(#REF!,'8.Dgia'!A615,#REF!)+SUMIF(#REF!,'8.Dgia'!A615,#REF!)+SUMIF(#REF!,'8.Dgia'!A615,#REF!)+SUMIF(#REF!,'8.Dgia'!A615,#REF!)</f>
        <v>#REF!</v>
      </c>
      <c r="O615" s="1426"/>
      <c r="P615" s="1343" t="e">
        <f t="shared" si="22"/>
        <v>#REF!</v>
      </c>
    </row>
    <row r="616" spans="1:18" s="658" customFormat="1" ht="15" customHeight="1">
      <c r="A616" s="657">
        <f>IF(B616="",MAX($A$8:A615)+0,MAX($A$8:A615)+1)</f>
        <v>65</v>
      </c>
      <c r="B616" s="835" t="str">
        <f>IF(C616="","",COUNTA($C$10:C617))</f>
        <v/>
      </c>
      <c r="C616" s="362"/>
      <c r="D616" s="845"/>
      <c r="E616" s="819" t="s">
        <v>2032</v>
      </c>
      <c r="F616" s="848" t="str">
        <f>VLOOKUP(E616,DICH!B:C,2,FALSE)</f>
        <v xml:space="preserve">  A - Material</v>
      </c>
      <c r="G616" s="846"/>
      <c r="H616" s="847"/>
      <c r="I616" s="848"/>
      <c r="J616" s="849">
        <f>SUM(J617:J619)</f>
        <v>17313259.111200001</v>
      </c>
      <c r="K616" s="850"/>
      <c r="L616" s="850"/>
      <c r="M616" s="850"/>
      <c r="N616" s="843" t="e">
        <f>SUMIF(#REF!,'8.Dgia'!A616,#REF!)+SUMIF(#REF!,'8.Dgia'!A616,#REF!)+SUMIF(#REF!,'8.Dgia'!A616,#REF!)+SUMIF(#REF!,'8.Dgia'!A616,#REF!)</f>
        <v>#REF!</v>
      </c>
      <c r="O616" s="844"/>
      <c r="P616" s="843" t="e">
        <f t="shared" si="22"/>
        <v>#REF!</v>
      </c>
    </row>
    <row r="617" spans="1:18" ht="15" customHeight="1">
      <c r="A617" s="657">
        <f>IF(B617="",MAX($A$8:A616)+0,MAX($A$8:A616)+1)</f>
        <v>65</v>
      </c>
      <c r="B617" s="835" t="str">
        <f>IF(C617="","",COUNTA($C$10:C618))</f>
        <v/>
      </c>
      <c r="C617" s="362"/>
      <c r="D617" s="851"/>
      <c r="E617" s="819" t="s">
        <v>664</v>
      </c>
      <c r="F617" s="848" t="str">
        <f>VLOOKUP(E617,DICH!B:C,2,FALSE)</f>
        <v>steel bar D&gt;18</v>
      </c>
      <c r="G617" s="362" t="s">
        <v>558</v>
      </c>
      <c r="H617" s="239">
        <v>1020</v>
      </c>
      <c r="I617" s="848">
        <f>VLOOKUP(E617,'11.gia '!$B:$I,8,FALSE)</f>
        <v>16604.075560000001</v>
      </c>
      <c r="J617" s="853">
        <f>I617*H617</f>
        <v>16936157.071200002</v>
      </c>
      <c r="N617" s="843" t="e">
        <f>SUMIF(#REF!,'8.Dgia'!A617,#REF!)+SUMIF(#REF!,'8.Dgia'!A617,#REF!)+SUMIF(#REF!,'8.Dgia'!A617,#REF!)+SUMIF(#REF!,'8.Dgia'!A617,#REF!)</f>
        <v>#REF!</v>
      </c>
      <c r="O617" s="844"/>
      <c r="P617" s="843" t="e">
        <f t="shared" si="22"/>
        <v>#REF!</v>
      </c>
    </row>
    <row r="618" spans="1:18" ht="15" customHeight="1">
      <c r="A618" s="657">
        <f>IF(B618="",MAX($A$8:A617)+0,MAX($A$8:A617)+1)</f>
        <v>65</v>
      </c>
      <c r="B618" s="835" t="str">
        <f>IF(C618="","",COUNTA($C$10:C619))</f>
        <v/>
      </c>
      <c r="C618" s="362"/>
      <c r="D618" s="851"/>
      <c r="E618" s="819" t="s">
        <v>459</v>
      </c>
      <c r="F618" s="848" t="str">
        <f>VLOOKUP(E618,DICH!B:C,2,FALSE)</f>
        <v>Steel ware</v>
      </c>
      <c r="G618" s="362" t="s">
        <v>558</v>
      </c>
      <c r="H618" s="239">
        <v>14.28</v>
      </c>
      <c r="I618" s="848">
        <f>VLOOKUP(E618,'11.gia '!$B:$I,8,FALSE)</f>
        <v>17143</v>
      </c>
      <c r="J618" s="853">
        <f>I618*H618</f>
        <v>244802.03999999998</v>
      </c>
      <c r="N618" s="843" t="e">
        <f>SUMIF(#REF!,'8.Dgia'!A618,#REF!)+SUMIF(#REF!,'8.Dgia'!A618,#REF!)+SUMIF(#REF!,'8.Dgia'!A618,#REF!)+SUMIF(#REF!,'8.Dgia'!A618,#REF!)</f>
        <v>#REF!</v>
      </c>
      <c r="O618" s="844"/>
      <c r="P618" s="843" t="e">
        <f t="shared" si="22"/>
        <v>#REF!</v>
      </c>
    </row>
    <row r="619" spans="1:18" ht="15" customHeight="1">
      <c r="A619" s="657">
        <f>IF(B619="",MAX($A$8:A618)+0,MAX($A$8:A618)+1)</f>
        <v>65</v>
      </c>
      <c r="B619" s="835" t="str">
        <f>IF(C619="","",COUNTA($C$10:C620))</f>
        <v/>
      </c>
      <c r="C619" s="362"/>
      <c r="D619" s="851"/>
      <c r="E619" s="819" t="s">
        <v>559</v>
      </c>
      <c r="F619" s="848" t="str">
        <f>VLOOKUP(E619,DICH!B:C,2,FALSE)</f>
        <v>welding electrode</v>
      </c>
      <c r="G619" s="362" t="s">
        <v>558</v>
      </c>
      <c r="H619" s="239">
        <v>6.93</v>
      </c>
      <c r="I619" s="848">
        <f>VLOOKUP(E619,'11.gia '!$B:$I,8,FALSE)</f>
        <v>19090.909090909088</v>
      </c>
      <c r="J619" s="853">
        <f>I619*H619</f>
        <v>132299.99999999997</v>
      </c>
      <c r="N619" s="843" t="e">
        <f>SUMIF(#REF!,'8.Dgia'!A619,#REF!)+SUMIF(#REF!,'8.Dgia'!A619,#REF!)+SUMIF(#REF!,'8.Dgia'!A619,#REF!)+SUMIF(#REF!,'8.Dgia'!A619,#REF!)</f>
        <v>#REF!</v>
      </c>
      <c r="O619" s="844"/>
      <c r="P619" s="843" t="e">
        <f t="shared" si="22"/>
        <v>#REF!</v>
      </c>
    </row>
    <row r="620" spans="1:18" s="658" customFormat="1" ht="15" customHeight="1">
      <c r="A620" s="657">
        <f>IF(B620="",MAX($A$8:A619)+0,MAX($A$8:A619)+1)</f>
        <v>65</v>
      </c>
      <c r="B620" s="835" t="str">
        <f>IF(C620="","",COUNTA($C$10:C621))</f>
        <v/>
      </c>
      <c r="C620" s="362"/>
      <c r="D620" s="845"/>
      <c r="E620" s="852" t="s">
        <v>2039</v>
      </c>
      <c r="F620" s="848" t="str">
        <f>VLOOKUP(E620,DICH!B:C,2,FALSE)</f>
        <v xml:space="preserve">  B - Labour 4.0/7</v>
      </c>
      <c r="G620" s="362" t="s">
        <v>4899</v>
      </c>
      <c r="H620" s="239">
        <v>14.04</v>
      </c>
      <c r="I620" s="848">
        <f>VLOOKUP(E620,'16.NC'!$C$11:$F$22,4,FALSE)</f>
        <v>218927</v>
      </c>
      <c r="J620" s="849">
        <f>I620*H620</f>
        <v>3073735.0799999996</v>
      </c>
      <c r="K620" s="850"/>
      <c r="L620" s="850"/>
      <c r="M620" s="850"/>
      <c r="N620" s="843" t="e">
        <f>SUMIF(#REF!,'8.Dgia'!A620,#REF!)+SUMIF(#REF!,'8.Dgia'!A620,#REF!)+SUMIF(#REF!,'8.Dgia'!A620,#REF!)+SUMIF(#REF!,'8.Dgia'!A620,#REF!)</f>
        <v>#REF!</v>
      </c>
      <c r="O620" s="844"/>
      <c r="P620" s="843" t="e">
        <f t="shared" si="22"/>
        <v>#REF!</v>
      </c>
      <c r="R620" s="658">
        <v>1</v>
      </c>
    </row>
    <row r="621" spans="1:18" s="658" customFormat="1" ht="15" customHeight="1">
      <c r="A621" s="657">
        <f>IF(B621="",MAX($A$8:A620)+0,MAX($A$8:A620)+1)</f>
        <v>65</v>
      </c>
      <c r="B621" s="835" t="str">
        <f>IF(C621="","",COUNTA($C$10:C622))</f>
        <v/>
      </c>
      <c r="C621" s="362"/>
      <c r="D621" s="845"/>
      <c r="E621" s="852" t="s">
        <v>2033</v>
      </c>
      <c r="F621" s="848" t="str">
        <f>VLOOKUP(E621,DICH!B:C,2,FALSE)</f>
        <v xml:space="preserve">  C - Machine</v>
      </c>
      <c r="G621" s="846"/>
      <c r="H621" s="239"/>
      <c r="I621" s="848"/>
      <c r="J621" s="849">
        <f>SUM(J622:J627)</f>
        <v>443623.57448454545</v>
      </c>
      <c r="K621" s="850"/>
      <c r="L621" s="850"/>
      <c r="M621" s="850"/>
      <c r="N621" s="843" t="e">
        <f>SUMIF(#REF!,'8.Dgia'!A621,#REF!)+SUMIF(#REF!,'8.Dgia'!A621,#REF!)+SUMIF(#REF!,'8.Dgia'!A621,#REF!)+SUMIF(#REF!,'8.Dgia'!A621,#REF!)</f>
        <v>#REF!</v>
      </c>
      <c r="O621" s="844"/>
      <c r="P621" s="843" t="e">
        <f t="shared" si="22"/>
        <v>#REF!</v>
      </c>
    </row>
    <row r="622" spans="1:18" ht="15" customHeight="1">
      <c r="A622" s="657">
        <f>IF(B622="",MAX($A$8:A621)+0,MAX($A$8:A621)+1)</f>
        <v>65</v>
      </c>
      <c r="B622" s="835" t="str">
        <f>IF(C622="","",COUNTA($C$10:C623))</f>
        <v/>
      </c>
      <c r="C622" s="362"/>
      <c r="D622" s="851"/>
      <c r="E622" s="819" t="s">
        <v>1978</v>
      </c>
      <c r="F622" s="848" t="str">
        <f>VLOOKUP(E622,'9.may'!E:F,2,FALSE)</f>
        <v>welding machine 23kW</v>
      </c>
      <c r="G622" s="704" t="s">
        <v>4902</v>
      </c>
      <c r="H622" s="239">
        <v>1.73</v>
      </c>
      <c r="I622" s="848">
        <f>VLOOKUP(E622,'9.may'!E:W,12,FALSE)</f>
        <v>171649.155</v>
      </c>
      <c r="J622" s="853">
        <f t="shared" ref="J622:J627" si="26">I622*H622</f>
        <v>296953.03814999998</v>
      </c>
      <c r="N622" s="843" t="e">
        <f>SUMIF(#REF!,'8.Dgia'!A622,#REF!)+SUMIF(#REF!,'8.Dgia'!A622,#REF!)+SUMIF(#REF!,'8.Dgia'!A622,#REF!)+SUMIF(#REF!,'8.Dgia'!A622,#REF!)</f>
        <v>#REF!</v>
      </c>
      <c r="O622" s="844"/>
      <c r="P622" s="843" t="e">
        <f t="shared" si="22"/>
        <v>#REF!</v>
      </c>
    </row>
    <row r="623" spans="1:18" ht="15" customHeight="1">
      <c r="A623" s="657">
        <f>IF(B623="",MAX($A$8:A622)+0,MAX($A$8:A622)+1)</f>
        <v>65</v>
      </c>
      <c r="B623" s="835" t="str">
        <f>IF(C623="","",COUNTA($C$10:C624))</f>
        <v/>
      </c>
      <c r="C623" s="362"/>
      <c r="D623" s="851"/>
      <c r="E623" s="819" t="s">
        <v>1424</v>
      </c>
      <c r="F623" s="848" t="str">
        <f>VLOOKUP(E623,'9.may'!E:F,2,FALSE)</f>
        <v>bender cutter 5Kw</v>
      </c>
      <c r="G623" s="704" t="s">
        <v>4902</v>
      </c>
      <c r="H623" s="239">
        <v>0.16</v>
      </c>
      <c r="I623" s="848">
        <f>VLOOKUP(E623,'9.may'!E:W,12,FALSE)</f>
        <v>80291.850000000006</v>
      </c>
      <c r="J623" s="853">
        <f t="shared" si="26"/>
        <v>12846.696000000002</v>
      </c>
      <c r="N623" s="843" t="e">
        <f>SUMIF(#REF!,'8.Dgia'!A623,#REF!)+SUMIF(#REF!,'8.Dgia'!A623,#REF!)+SUMIF(#REF!,'8.Dgia'!A623,#REF!)+SUMIF(#REF!,'8.Dgia'!A623,#REF!)</f>
        <v>#REF!</v>
      </c>
      <c r="O623" s="844"/>
      <c r="P623" s="843" t="e">
        <f t="shared" si="22"/>
        <v>#REF!</v>
      </c>
    </row>
    <row r="624" spans="1:18" ht="15" customHeight="1">
      <c r="A624" s="657">
        <f>IF(B624="",MAX($A$8:A623)+0,MAX($A$8:A623)+1)</f>
        <v>65</v>
      </c>
      <c r="B624" s="835" t="str">
        <f>IF(C624="","",COUNTA($C$10:C625))</f>
        <v/>
      </c>
      <c r="C624" s="362"/>
      <c r="D624" s="851"/>
      <c r="E624" s="819" t="s">
        <v>288</v>
      </c>
      <c r="F624" s="848" t="str">
        <f>VLOOKUP(E624,'9.may'!E:F,2,FALSE)</f>
        <v>caterpillar crane 25T</v>
      </c>
      <c r="G624" s="704" t="s">
        <v>4902</v>
      </c>
      <c r="H624" s="239">
        <v>4.8000000000000001E-2</v>
      </c>
      <c r="I624" s="848">
        <f>VLOOKUP(E624,'9.may'!E:W,12,FALSE)</f>
        <v>2787996.6736363638</v>
      </c>
      <c r="J624" s="853">
        <f t="shared" si="26"/>
        <v>133823.84033454547</v>
      </c>
      <c r="N624" s="843" t="e">
        <f>SUMIF(#REF!,'8.Dgia'!A624,#REF!)+SUMIF(#REF!,'8.Dgia'!A624,#REF!)+SUMIF(#REF!,'8.Dgia'!A624,#REF!)+SUMIF(#REF!,'8.Dgia'!A624,#REF!)</f>
        <v>#REF!</v>
      </c>
      <c r="O624" s="844"/>
      <c r="P624" s="843" t="e">
        <f t="shared" si="22"/>
        <v>#REF!</v>
      </c>
    </row>
    <row r="625" spans="1:18" ht="15" customHeight="1">
      <c r="A625" s="657">
        <f>IF(B625="",MAX($A$8:A624)+0,MAX($A$8:A624)+1)</f>
        <v>65</v>
      </c>
      <c r="B625" s="835" t="str">
        <f>IF(C625="","",COUNTA($C$10:C626))</f>
        <v/>
      </c>
      <c r="C625" s="362"/>
      <c r="D625" s="851"/>
      <c r="E625" s="819" t="s">
        <v>561</v>
      </c>
      <c r="F625" s="848" t="str">
        <f>VLOOKUP(E625,'9.may'!E:F,2,FALSE)</f>
        <v>barge 200Ton</v>
      </c>
      <c r="G625" s="704" t="s">
        <v>4902</v>
      </c>
      <c r="H625" s="239"/>
      <c r="I625" s="848">
        <f>VLOOKUP(E625,'9.may'!E:W,12,FALSE)</f>
        <v>586485.6</v>
      </c>
      <c r="J625" s="853">
        <f t="shared" si="26"/>
        <v>0</v>
      </c>
      <c r="N625" s="843" t="e">
        <f>SUMIF(#REF!,'8.Dgia'!A625,#REF!)+SUMIF(#REF!,'8.Dgia'!A625,#REF!)+SUMIF(#REF!,'8.Dgia'!A625,#REF!)+SUMIF(#REF!,'8.Dgia'!A625,#REF!)</f>
        <v>#REF!</v>
      </c>
      <c r="O625" s="844"/>
      <c r="P625" s="843" t="e">
        <f t="shared" si="22"/>
        <v>#REF!</v>
      </c>
    </row>
    <row r="626" spans="1:18" ht="15" customHeight="1">
      <c r="A626" s="657">
        <f>IF(B626="",MAX($A$8:A625)+0,MAX($A$8:A625)+1)</f>
        <v>65</v>
      </c>
      <c r="B626" s="835" t="str">
        <f>IF(C626="","",COUNTA($C$10:C627))</f>
        <v/>
      </c>
      <c r="C626" s="362"/>
      <c r="D626" s="851"/>
      <c r="E626" s="819" t="s">
        <v>556</v>
      </c>
      <c r="F626" s="848" t="str">
        <f>VLOOKUP(E626,'9.may'!E:F,2,FALSE)</f>
        <v>barge 400Ton</v>
      </c>
      <c r="G626" s="704" t="s">
        <v>4902</v>
      </c>
      <c r="H626" s="239"/>
      <c r="I626" s="848">
        <f>VLOOKUP(E626,'9.may'!E:W,12,FALSE)</f>
        <v>1144511.22</v>
      </c>
      <c r="J626" s="853">
        <f t="shared" si="26"/>
        <v>0</v>
      </c>
      <c r="N626" s="843" t="e">
        <f>SUMIF(#REF!,'8.Dgia'!A626,#REF!)+SUMIF(#REF!,'8.Dgia'!A626,#REF!)+SUMIF(#REF!,'8.Dgia'!A626,#REF!)+SUMIF(#REF!,'8.Dgia'!A626,#REF!)</f>
        <v>#REF!</v>
      </c>
      <c r="O626" s="844"/>
      <c r="P626" s="843" t="e">
        <f t="shared" si="22"/>
        <v>#REF!</v>
      </c>
    </row>
    <row r="627" spans="1:18" ht="15" customHeight="1">
      <c r="A627" s="657">
        <f>IF(B627="",MAX($A$8:A626)+0,MAX($A$8:A626)+1)</f>
        <v>65</v>
      </c>
      <c r="B627" s="835" t="str">
        <f>IF(C627="","",COUNTA($C$10:C628))</f>
        <v/>
      </c>
      <c r="C627" s="362"/>
      <c r="D627" s="851"/>
      <c r="E627" s="819" t="s">
        <v>1604</v>
      </c>
      <c r="F627" s="848" t="str">
        <f>VLOOKUP(E627,'9.may'!E:F,2,FALSE)</f>
        <v>tug boat 150CV</v>
      </c>
      <c r="G627" s="704" t="s">
        <v>4902</v>
      </c>
      <c r="H627" s="239"/>
      <c r="I627" s="848">
        <f>VLOOKUP(E627,'9.may'!E:W,12,FALSE)</f>
        <v>3329663.6045454545</v>
      </c>
      <c r="J627" s="853">
        <f t="shared" si="26"/>
        <v>0</v>
      </c>
      <c r="N627" s="843" t="e">
        <f>SUMIF(#REF!,'8.Dgia'!A627,#REF!)+SUMIF(#REF!,'8.Dgia'!A627,#REF!)+SUMIF(#REF!,'8.Dgia'!A627,#REF!)+SUMIF(#REF!,'8.Dgia'!A627,#REF!)</f>
        <v>#REF!</v>
      </c>
      <c r="O627" s="844"/>
      <c r="P627" s="843" t="e">
        <f t="shared" si="22"/>
        <v>#REF!</v>
      </c>
    </row>
    <row r="628" spans="1:18" ht="20.25" customHeight="1">
      <c r="A628" s="657">
        <f>IF(B628="",MAX($A$8:A627)+0,MAX($A$8:A627)+1)</f>
        <v>66</v>
      </c>
      <c r="B628" s="835">
        <f>IF(C628="","",COUNTA($C$10:C629))</f>
        <v>66</v>
      </c>
      <c r="C628" s="239">
        <v>1091</v>
      </c>
      <c r="D628" s="239" t="s">
        <v>2230</v>
      </c>
      <c r="E628" s="808" t="s">
        <v>2231</v>
      </c>
      <c r="F628" s="1049" t="str">
        <f>VLOOKUP(E628,DICH!B:C,2,FALSE)</f>
        <v>Formwork of girder casted on scaffolding</v>
      </c>
      <c r="G628" s="809" t="s">
        <v>548</v>
      </c>
      <c r="H628" s="847"/>
      <c r="I628" s="848"/>
      <c r="J628" s="857"/>
      <c r="K628" s="842">
        <f>+J629</f>
        <v>59584.766875326495</v>
      </c>
      <c r="L628" s="842">
        <f>+J634</f>
        <v>259283.75000000003</v>
      </c>
      <c r="M628" s="842">
        <f>+J635</f>
        <v>45836.175593249995</v>
      </c>
      <c r="N628" s="843" t="e">
        <f>SUMIF(#REF!,'8.Dgia'!A628,#REF!)+SUMIF(#REF!,'8.Dgia'!A628,#REF!)+SUMIF(#REF!,'8.Dgia'!A628,#REF!)+SUMIF(#REF!,'8.Dgia'!A628,#REF!)</f>
        <v>#REF!</v>
      </c>
      <c r="O628" s="844"/>
      <c r="P628" s="843" t="e">
        <f t="shared" si="22"/>
        <v>#REF!</v>
      </c>
    </row>
    <row r="629" spans="1:18" s="658" customFormat="1" ht="15" customHeight="1">
      <c r="A629" s="657">
        <f>IF(B629="",MAX($A$8:A628)+0,MAX($A$8:A628)+1)</f>
        <v>66</v>
      </c>
      <c r="B629" s="835" t="str">
        <f>IF(C629="","",COUNTA($C$10:C630))</f>
        <v/>
      </c>
      <c r="C629" s="362"/>
      <c r="D629" s="845"/>
      <c r="E629" s="852" t="s">
        <v>2032</v>
      </c>
      <c r="F629" s="848" t="str">
        <f>VLOOKUP(E629,DICH!B:C,2,FALSE)</f>
        <v xml:space="preserve">  A - Material</v>
      </c>
      <c r="G629" s="846"/>
      <c r="H629" s="847"/>
      <c r="I629" s="848"/>
      <c r="J629" s="849">
        <f>SUM(J630:J633)</f>
        <v>59584.766875326495</v>
      </c>
      <c r="K629" s="850"/>
      <c r="L629" s="850"/>
      <c r="M629" s="850"/>
      <c r="N629" s="843" t="e">
        <f>SUMIF(#REF!,'8.Dgia'!A629,#REF!)+SUMIF(#REF!,'8.Dgia'!A629,#REF!)+SUMIF(#REF!,'8.Dgia'!A629,#REF!)+SUMIF(#REF!,'8.Dgia'!A629,#REF!)</f>
        <v>#REF!</v>
      </c>
      <c r="O629" s="844">
        <v>3</v>
      </c>
      <c r="P629" s="843" t="e">
        <f t="shared" si="22"/>
        <v>#REF!</v>
      </c>
    </row>
    <row r="630" spans="1:18" ht="15" customHeight="1">
      <c r="A630" s="657">
        <f>IF(B630="",MAX($A$8:A629)+0,MAX($A$8:A629)+1)</f>
        <v>66</v>
      </c>
      <c r="B630" s="835" t="str">
        <f>IF(C630="","",COUNTA($C$10:C631))</f>
        <v/>
      </c>
      <c r="C630" s="362"/>
      <c r="D630" s="851"/>
      <c r="E630" s="819" t="s">
        <v>562</v>
      </c>
      <c r="F630" s="848" t="str">
        <f>VLOOKUP(E630,DICH!B:C,2,FALSE)</f>
        <v>Plate steel</v>
      </c>
      <c r="G630" s="704" t="s">
        <v>558</v>
      </c>
      <c r="H630" s="239">
        <v>1.25</v>
      </c>
      <c r="I630" s="848">
        <f>VLOOKUP(E630,'11.gia '!$B:$I,8,FALSE)</f>
        <v>12871.348287272725</v>
      </c>
      <c r="J630" s="853">
        <f>I630*H630</f>
        <v>16089.185359090907</v>
      </c>
      <c r="N630" s="843" t="e">
        <f>SUMIF(#REF!,'8.Dgia'!A630,#REF!)+SUMIF(#REF!,'8.Dgia'!A630,#REF!)+SUMIF(#REF!,'8.Dgia'!A630,#REF!)+SUMIF(#REF!,'8.Dgia'!A630,#REF!)</f>
        <v>#REF!</v>
      </c>
      <c r="O630" s="844">
        <v>3</v>
      </c>
      <c r="P630" s="843" t="e">
        <f t="shared" si="22"/>
        <v>#REF!</v>
      </c>
    </row>
    <row r="631" spans="1:18" ht="15" customHeight="1">
      <c r="A631" s="657">
        <f>IF(B631="",MAX($A$8:A630)+0,MAX($A$8:A630)+1)</f>
        <v>66</v>
      </c>
      <c r="B631" s="835" t="str">
        <f>IF(C631="","",COUNTA($C$10:C632))</f>
        <v/>
      </c>
      <c r="C631" s="362"/>
      <c r="D631" s="851"/>
      <c r="E631" s="819" t="s">
        <v>563</v>
      </c>
      <c r="F631" s="848" t="str">
        <f>VLOOKUP(E631,DICH!B:C,2,FALSE)</f>
        <v>Shaped steel</v>
      </c>
      <c r="G631" s="704" t="s">
        <v>558</v>
      </c>
      <c r="H631" s="239">
        <v>0.97199999999999998</v>
      </c>
      <c r="I631" s="848">
        <f>VLOOKUP(E631,'11.gia '!$B:$I,8,FALSE)</f>
        <v>16703.248369172808</v>
      </c>
      <c r="J631" s="853">
        <f>I631*H631</f>
        <v>16235.55741483597</v>
      </c>
      <c r="N631" s="843" t="e">
        <f>SUMIF(#REF!,'8.Dgia'!A631,#REF!)+SUMIF(#REF!,'8.Dgia'!A631,#REF!)+SUMIF(#REF!,'8.Dgia'!A631,#REF!)+SUMIF(#REF!,'8.Dgia'!A631,#REF!)</f>
        <v>#REF!</v>
      </c>
      <c r="O631" s="844">
        <v>3</v>
      </c>
      <c r="P631" s="843" t="e">
        <f t="shared" si="22"/>
        <v>#REF!</v>
      </c>
    </row>
    <row r="632" spans="1:18" ht="15" customHeight="1">
      <c r="A632" s="657">
        <f>IF(B632="",MAX($A$8:A631)+0,MAX($A$8:A631)+1)</f>
        <v>66</v>
      </c>
      <c r="B632" s="835" t="str">
        <f>IF(C632="","",COUNTA($C$10:C633))</f>
        <v/>
      </c>
      <c r="C632" s="362"/>
      <c r="D632" s="851"/>
      <c r="E632" s="819" t="s">
        <v>559</v>
      </c>
      <c r="F632" s="848" t="str">
        <f>VLOOKUP(E632,DICH!B:C,2,FALSE)</f>
        <v>welding electrode</v>
      </c>
      <c r="G632" s="704" t="s">
        <v>558</v>
      </c>
      <c r="H632" s="239">
        <v>1.337</v>
      </c>
      <c r="I632" s="848">
        <f>VLOOKUP(E632,'11.gia '!$B:$I,8,FALSE)</f>
        <v>19090.909090909088</v>
      </c>
      <c r="J632" s="853">
        <f>I632*H632</f>
        <v>25524.545454545449</v>
      </c>
      <c r="N632" s="843" t="e">
        <f>SUMIF(#REF!,'8.Dgia'!A632,#REF!)+SUMIF(#REF!,'8.Dgia'!A632,#REF!)+SUMIF(#REF!,'8.Dgia'!A632,#REF!)+SUMIF(#REF!,'8.Dgia'!A632,#REF!)</f>
        <v>#REF!</v>
      </c>
      <c r="O632" s="844">
        <v>3</v>
      </c>
      <c r="P632" s="843" t="e">
        <f t="shared" ref="P632:P695" si="27">$H632*N632*(1+O632%)</f>
        <v>#REF!</v>
      </c>
    </row>
    <row r="633" spans="1:18" ht="15" customHeight="1">
      <c r="A633" s="657">
        <f>IF(B633="",MAX($A$8:A632)+0,MAX($A$8:A632)+1)</f>
        <v>66</v>
      </c>
      <c r="B633" s="835" t="str">
        <f>IF(C633="","",COUNTA($C$10:C634))</f>
        <v/>
      </c>
      <c r="C633" s="362"/>
      <c r="D633" s="851"/>
      <c r="E633" s="852" t="s">
        <v>555</v>
      </c>
      <c r="F633" s="848" t="str">
        <f>VLOOKUP(E633,DICH!B:C,2,FALSE)</f>
        <v>Other material</v>
      </c>
      <c r="G633" s="362" t="s">
        <v>554</v>
      </c>
      <c r="H633" s="847">
        <v>3</v>
      </c>
      <c r="I633" s="848">
        <f>SUM(J630:J632)</f>
        <v>57849.288228472324</v>
      </c>
      <c r="J633" s="853">
        <f>I633*H633%</f>
        <v>1735.4786468541697</v>
      </c>
      <c r="N633" s="843" t="e">
        <f>SUMIF(#REF!,'8.Dgia'!A633,#REF!)+SUMIF(#REF!,'8.Dgia'!A633,#REF!)+SUMIF(#REF!,'8.Dgia'!A633,#REF!)+SUMIF(#REF!,'8.Dgia'!A633,#REF!)</f>
        <v>#REF!</v>
      </c>
      <c r="O633" s="844"/>
      <c r="P633" s="843" t="e">
        <f t="shared" si="27"/>
        <v>#REF!</v>
      </c>
    </row>
    <row r="634" spans="1:18" s="658" customFormat="1" ht="15" customHeight="1">
      <c r="A634" s="657">
        <f>IF(B634="",MAX($A$8:A633)+0,MAX($A$8:A633)+1)</f>
        <v>66</v>
      </c>
      <c r="B634" s="835" t="str">
        <f>IF(C634="","",COUNTA($C$10:C635))</f>
        <v/>
      </c>
      <c r="C634" s="362"/>
      <c r="D634" s="845"/>
      <c r="E634" s="852" t="s">
        <v>2040</v>
      </c>
      <c r="F634" s="848" t="str">
        <f>VLOOKUP(E634,DICH!B:C,2,FALSE)</f>
        <v xml:space="preserve">  B - Labour 4.5/7</v>
      </c>
      <c r="G634" s="362" t="s">
        <v>4899</v>
      </c>
      <c r="H634" s="239">
        <v>1.0900000000000001</v>
      </c>
      <c r="I634" s="848">
        <f>VLOOKUP(E634,'16.NC'!$C$11:$F$22,4,FALSE)</f>
        <v>237875</v>
      </c>
      <c r="J634" s="849">
        <f>I634*H634</f>
        <v>259283.75000000003</v>
      </c>
      <c r="K634" s="850"/>
      <c r="L634" s="850"/>
      <c r="M634" s="850"/>
      <c r="N634" s="843" t="e">
        <f>SUMIF(#REF!,'8.Dgia'!A634,#REF!)+SUMIF(#REF!,'8.Dgia'!A634,#REF!)+SUMIF(#REF!,'8.Dgia'!A634,#REF!)+SUMIF(#REF!,'8.Dgia'!A634,#REF!)</f>
        <v>#REF!</v>
      </c>
      <c r="O634" s="844"/>
      <c r="P634" s="843" t="e">
        <f t="shared" si="27"/>
        <v>#REF!</v>
      </c>
      <c r="R634" s="658">
        <v>1</v>
      </c>
    </row>
    <row r="635" spans="1:18" s="658" customFormat="1" ht="15" customHeight="1">
      <c r="A635" s="657">
        <f>IF(B635="",MAX($A$8:A634)+0,MAX($A$8:A634)+1)</f>
        <v>66</v>
      </c>
      <c r="B635" s="835" t="str">
        <f>IF(C635="","",COUNTA($C$10:C636))</f>
        <v/>
      </c>
      <c r="C635" s="362"/>
      <c r="D635" s="845"/>
      <c r="E635" s="852" t="s">
        <v>2033</v>
      </c>
      <c r="F635" s="848" t="str">
        <f>VLOOKUP(E635,DICH!B:C,2,FALSE)</f>
        <v xml:space="preserve">  C - Machine</v>
      </c>
      <c r="G635" s="846"/>
      <c r="H635" s="847"/>
      <c r="I635" s="848"/>
      <c r="J635" s="849">
        <f>SUM(J636:J639)</f>
        <v>45836.175593249995</v>
      </c>
      <c r="K635" s="850"/>
      <c r="L635" s="850"/>
      <c r="M635" s="850"/>
      <c r="N635" s="843" t="e">
        <f>SUMIF(#REF!,'8.Dgia'!A635,#REF!)+SUMIF(#REF!,'8.Dgia'!A635,#REF!)+SUMIF(#REF!,'8.Dgia'!A635,#REF!)+SUMIF(#REF!,'8.Dgia'!A635,#REF!)</f>
        <v>#REF!</v>
      </c>
      <c r="O635" s="844"/>
      <c r="P635" s="843" t="e">
        <f t="shared" si="27"/>
        <v>#REF!</v>
      </c>
    </row>
    <row r="636" spans="1:18" ht="15" customHeight="1">
      <c r="A636" s="657">
        <f>IF(B636="",MAX($A$8:A635)+0,MAX($A$8:A635)+1)</f>
        <v>66</v>
      </c>
      <c r="B636" s="835" t="str">
        <f>IF(C636="","",COUNTA($C$10:C637))</f>
        <v/>
      </c>
      <c r="C636" s="362"/>
      <c r="D636" s="851"/>
      <c r="E636" s="852" t="s">
        <v>560</v>
      </c>
      <c r="F636" s="848" t="str">
        <f>VLOOKUP(E636,'9.may'!E:F,2,FALSE)</f>
        <v>welding machine 23kW</v>
      </c>
      <c r="G636" s="362" t="s">
        <v>4902</v>
      </c>
      <c r="H636" s="239">
        <v>0.125</v>
      </c>
      <c r="I636" s="848">
        <f>VLOOKUP(E636,'9.may'!E:W,12,FALSE)</f>
        <v>171649.155</v>
      </c>
      <c r="J636" s="853">
        <f>I636*H636</f>
        <v>21456.144375</v>
      </c>
      <c r="N636" s="843" t="e">
        <f>SUMIF(#REF!,'8.Dgia'!A636,#REF!)+SUMIF(#REF!,'8.Dgia'!A636,#REF!)+SUMIF(#REF!,'8.Dgia'!A636,#REF!)+SUMIF(#REF!,'8.Dgia'!A636,#REF!)</f>
        <v>#REF!</v>
      </c>
      <c r="O636" s="844">
        <f>+$H$655</f>
        <v>5</v>
      </c>
      <c r="P636" s="843" t="e">
        <f t="shared" si="27"/>
        <v>#REF!</v>
      </c>
    </row>
    <row r="637" spans="1:18" ht="15" customHeight="1">
      <c r="A637" s="657">
        <f>IF(B637="",MAX($A$8:A636)+0,MAX($A$8:A636)+1)</f>
        <v>66</v>
      </c>
      <c r="B637" s="835" t="str">
        <f>IF(C637="","",COUNTA($C$10:C638))</f>
        <v/>
      </c>
      <c r="C637" s="362"/>
      <c r="D637" s="851"/>
      <c r="E637" s="819" t="s">
        <v>748</v>
      </c>
      <c r="F637" s="848" t="str">
        <f>VLOOKUP(E637,'9.may'!E:F,2,FALSE)</f>
        <v xml:space="preserve">plasma cutting machine </v>
      </c>
      <c r="G637" s="362" t="s">
        <v>4902</v>
      </c>
      <c r="H637" s="239">
        <v>1.7000000000000001E-2</v>
      </c>
      <c r="I637" s="848">
        <f>VLOOKUP(E637,'9.may'!E:W,12,FALSE)</f>
        <v>115584.57</v>
      </c>
      <c r="J637" s="853">
        <f>I637*H637</f>
        <v>1964.9376900000002</v>
      </c>
      <c r="N637" s="843" t="e">
        <f>SUMIF(#REF!,'8.Dgia'!A637,#REF!)+SUMIF(#REF!,'8.Dgia'!A637,#REF!)+SUMIF(#REF!,'8.Dgia'!A637,#REF!)+SUMIF(#REF!,'8.Dgia'!A637,#REF!)</f>
        <v>#REF!</v>
      </c>
      <c r="O637" s="844">
        <f>+$H$655</f>
        <v>5</v>
      </c>
      <c r="P637" s="843" t="e">
        <f t="shared" si="27"/>
        <v>#REF!</v>
      </c>
    </row>
    <row r="638" spans="1:18" ht="15" customHeight="1">
      <c r="A638" s="657">
        <f>IF(B638="",MAX($A$8:A637)+0,MAX($A$8:A637)+1)</f>
        <v>66</v>
      </c>
      <c r="B638" s="835" t="str">
        <f>IF(C638="","",COUNTA($C$10:C639))</f>
        <v/>
      </c>
      <c r="C638" s="362"/>
      <c r="D638" s="851"/>
      <c r="E638" s="324" t="s">
        <v>286</v>
      </c>
      <c r="F638" s="848" t="str">
        <f>VLOOKUP(E638,'9.may'!E:F,2,FALSE)</f>
        <v>tyre crane 16T</v>
      </c>
      <c r="G638" s="362" t="s">
        <v>4902</v>
      </c>
      <c r="H638" s="239">
        <v>0.01</v>
      </c>
      <c r="I638" s="848">
        <f>VLOOKUP(E638,'9.may'!E:W,12,FALSE)</f>
        <v>2023241.85</v>
      </c>
      <c r="J638" s="853">
        <f>I638*H638</f>
        <v>20232.4185</v>
      </c>
      <c r="N638" s="843" t="e">
        <f>SUMIF(#REF!,'8.Dgia'!A638,#REF!)+SUMIF(#REF!,'8.Dgia'!A638,#REF!)+SUMIF(#REF!,'8.Dgia'!A638,#REF!)+SUMIF(#REF!,'8.Dgia'!A638,#REF!)</f>
        <v>#REF!</v>
      </c>
      <c r="O638" s="844">
        <f>+$H$655</f>
        <v>5</v>
      </c>
      <c r="P638" s="843" t="e">
        <f t="shared" si="27"/>
        <v>#REF!</v>
      </c>
    </row>
    <row r="639" spans="1:18" ht="15" customHeight="1">
      <c r="A639" s="657">
        <f>IF(B639="",MAX($A$8:A638)+0,MAX($A$8:A638)+1)</f>
        <v>66</v>
      </c>
      <c r="B639" s="835" t="str">
        <f>IF(C639="","",COUNTA($C$10:C640))</f>
        <v/>
      </c>
      <c r="C639" s="362"/>
      <c r="D639" s="851"/>
      <c r="E639" s="852" t="s">
        <v>553</v>
      </c>
      <c r="F639" s="848" t="str">
        <f>VLOOKUP(E639,DICH!B:C,2,FALSE)</f>
        <v>Other machine</v>
      </c>
      <c r="G639" s="362" t="s">
        <v>554</v>
      </c>
      <c r="H639" s="239">
        <v>5</v>
      </c>
      <c r="I639" s="848">
        <f>SUM(J636:J638)</f>
        <v>43653.500564999995</v>
      </c>
      <c r="J639" s="853">
        <f>I639*H639%</f>
        <v>2182.6750282499997</v>
      </c>
      <c r="N639" s="843" t="e">
        <f>SUMIF(#REF!,'8.Dgia'!A639,#REF!)+SUMIF(#REF!,'8.Dgia'!A639,#REF!)+SUMIF(#REF!,'8.Dgia'!A639,#REF!)+SUMIF(#REF!,'8.Dgia'!A639,#REF!)</f>
        <v>#REF!</v>
      </c>
      <c r="O639" s="844"/>
      <c r="P639" s="843" t="e">
        <f t="shared" si="27"/>
        <v>#REF!</v>
      </c>
    </row>
    <row r="640" spans="1:18" ht="26.25" customHeight="1">
      <c r="A640" s="657">
        <f>IF(B640="",MAX($A$8:A639)+0,MAX($A$8:A639)+1)</f>
        <v>67</v>
      </c>
      <c r="B640" s="835">
        <f>IF(C640="","",COUNTA($C$10:C641))</f>
        <v>67</v>
      </c>
      <c r="C640" s="835">
        <f>IF(D640="","",1776)</f>
        <v>1776</v>
      </c>
      <c r="D640" s="851" t="s">
        <v>388</v>
      </c>
      <c r="E640" s="855" t="s">
        <v>389</v>
      </c>
      <c r="F640" s="1049" t="str">
        <f>VLOOKUP(E640,DICH!B:C,2,FALSE)</f>
        <v>Producing formwork, supporting system of cantilever girder</v>
      </c>
      <c r="G640" s="856" t="s">
        <v>548</v>
      </c>
      <c r="H640" s="847"/>
      <c r="I640" s="848"/>
      <c r="J640" s="857"/>
      <c r="K640" s="842">
        <f>+J641</f>
        <v>197197.78890525457</v>
      </c>
      <c r="L640" s="842">
        <f>+J648</f>
        <v>297343.75</v>
      </c>
      <c r="M640" s="842">
        <f>+J649</f>
        <v>43720.378159499996</v>
      </c>
      <c r="N640" s="843" t="e">
        <f>SUMIF(#REF!,'8.Dgia'!A640,#REF!)+SUMIF(#REF!,'8.Dgia'!A640,#REF!)+SUMIF(#REF!,'8.Dgia'!A640,#REF!)+SUMIF(#REF!,'8.Dgia'!A640,#REF!)</f>
        <v>#REF!</v>
      </c>
      <c r="O640" s="844"/>
      <c r="P640" s="843" t="e">
        <f t="shared" si="27"/>
        <v>#REF!</v>
      </c>
    </row>
    <row r="641" spans="1:18" s="658" customFormat="1" ht="15" customHeight="1">
      <c r="A641" s="657">
        <f>IF(B641="",MAX($A$8:A640)+0,MAX($A$8:A640)+1)</f>
        <v>67</v>
      </c>
      <c r="B641" s="835" t="str">
        <f>IF(C641="","",COUNTA($C$10:C642))</f>
        <v/>
      </c>
      <c r="C641" s="362"/>
      <c r="D641" s="845"/>
      <c r="E641" s="852" t="s">
        <v>2032</v>
      </c>
      <c r="F641" s="848" t="str">
        <f>VLOOKUP(E641,DICH!B:C,2,FALSE)</f>
        <v xml:space="preserve">  A - Material</v>
      </c>
      <c r="G641" s="846"/>
      <c r="H641" s="847"/>
      <c r="I641" s="848"/>
      <c r="J641" s="849">
        <f>SUM(J642:J647)</f>
        <v>197197.78890525457</v>
      </c>
      <c r="K641" s="850"/>
      <c r="L641" s="850"/>
      <c r="M641" s="850"/>
      <c r="N641" s="843" t="e">
        <f>SUMIF(#REF!,'8.Dgia'!A641,#REF!)+SUMIF(#REF!,'8.Dgia'!A641,#REF!)+SUMIF(#REF!,'8.Dgia'!A641,#REF!)+SUMIF(#REF!,'8.Dgia'!A641,#REF!)</f>
        <v>#REF!</v>
      </c>
      <c r="O641" s="844">
        <f t="shared" ref="O641:O646" si="28">+$H$647</f>
        <v>1.5</v>
      </c>
      <c r="P641" s="843" t="e">
        <f t="shared" si="27"/>
        <v>#REF!</v>
      </c>
    </row>
    <row r="642" spans="1:18" ht="15" customHeight="1">
      <c r="A642" s="657">
        <f>IF(B642="",MAX($A$8:A641)+0,MAX($A$8:A641)+1)</f>
        <v>67</v>
      </c>
      <c r="B642" s="835" t="str">
        <f>IF(C642="","",COUNTA($C$10:C643))</f>
        <v/>
      </c>
      <c r="C642" s="362"/>
      <c r="D642" s="851"/>
      <c r="E642" s="852" t="s">
        <v>3978</v>
      </c>
      <c r="F642" s="848" t="str">
        <f>VLOOKUP(E642,DICH!B:C,2,FALSE)</f>
        <v>Shaped steel of supporting frame system</v>
      </c>
      <c r="G642" s="362" t="s">
        <v>558</v>
      </c>
      <c r="H642" s="847">
        <v>6.25</v>
      </c>
      <c r="I642" s="848">
        <f>VLOOKUP(E642,'11.gia '!$B:$I,8,FALSE)</f>
        <v>16703.248369172808</v>
      </c>
      <c r="J642" s="853">
        <f>I642*H642</f>
        <v>104395.30230733006</v>
      </c>
      <c r="N642" s="843" t="e">
        <f>SUMIF(#REF!,'8.Dgia'!A642,#REF!)+SUMIF(#REF!,'8.Dgia'!A642,#REF!)+SUMIF(#REF!,'8.Dgia'!A642,#REF!)+SUMIF(#REF!,'8.Dgia'!A642,#REF!)</f>
        <v>#REF!</v>
      </c>
      <c r="O642" s="844">
        <f t="shared" si="28"/>
        <v>1.5</v>
      </c>
      <c r="P642" s="843" t="e">
        <f t="shared" si="27"/>
        <v>#REF!</v>
      </c>
    </row>
    <row r="643" spans="1:18" ht="15" customHeight="1">
      <c r="A643" s="657">
        <f>IF(B643="",MAX($A$8:A642)+0,MAX($A$8:A642)+1)</f>
        <v>67</v>
      </c>
      <c r="B643" s="835" t="str">
        <f>IF(C643="","",COUNTA($C$10:C644))</f>
        <v/>
      </c>
      <c r="C643" s="362"/>
      <c r="D643" s="851"/>
      <c r="E643" s="852" t="s">
        <v>3980</v>
      </c>
      <c r="F643" s="848" t="str">
        <f>VLOOKUP(E643,DICH!B:C,2,FALSE)</f>
        <v>plate steel of supporting frame system</v>
      </c>
      <c r="G643" s="362" t="s">
        <v>558</v>
      </c>
      <c r="H643" s="847">
        <v>2.25</v>
      </c>
      <c r="I643" s="848">
        <f>VLOOKUP(E643,'11.gia '!$B:$I,8,FALSE)</f>
        <v>12871.348287272725</v>
      </c>
      <c r="J643" s="853">
        <f>I643*H643</f>
        <v>28960.533646363634</v>
      </c>
      <c r="N643" s="843" t="e">
        <f>SUMIF(#REF!,'8.Dgia'!A643,#REF!)+SUMIF(#REF!,'8.Dgia'!A643,#REF!)+SUMIF(#REF!,'8.Dgia'!A643,#REF!)+SUMIF(#REF!,'8.Dgia'!A643,#REF!)</f>
        <v>#REF!</v>
      </c>
      <c r="O643" s="844">
        <f t="shared" si="28"/>
        <v>1.5</v>
      </c>
      <c r="P643" s="843" t="e">
        <f t="shared" si="27"/>
        <v>#REF!</v>
      </c>
    </row>
    <row r="644" spans="1:18" ht="15" customHeight="1">
      <c r="A644" s="657">
        <f>IF(B644="",MAX($A$8:A643)+0,MAX($A$8:A643)+1)</f>
        <v>67</v>
      </c>
      <c r="B644" s="835" t="str">
        <f>IF(C644="","",COUNTA($C$10:C645))</f>
        <v/>
      </c>
      <c r="C644" s="362"/>
      <c r="D644" s="851"/>
      <c r="E644" s="852" t="s">
        <v>3979</v>
      </c>
      <c r="F644" s="848" t="str">
        <f>VLOOKUP(E644,DICH!B:C,2,FALSE)</f>
        <v>Shaped steel of formwork system</v>
      </c>
      <c r="G644" s="362" t="s">
        <v>558</v>
      </c>
      <c r="H644" s="847">
        <v>0.97</v>
      </c>
      <c r="I644" s="848">
        <f>VLOOKUP(E644,'11.gia '!$B:$I,8,FALSE)</f>
        <v>16703.248369172808</v>
      </c>
      <c r="J644" s="853">
        <f>I644*H644</f>
        <v>16202.150918097625</v>
      </c>
      <c r="N644" s="843" t="e">
        <f>SUMIF(#REF!,'8.Dgia'!A644,#REF!)+SUMIF(#REF!,'8.Dgia'!A644,#REF!)+SUMIF(#REF!,'8.Dgia'!A644,#REF!)+SUMIF(#REF!,'8.Dgia'!A644,#REF!)</f>
        <v>#REF!</v>
      </c>
      <c r="O644" s="844">
        <f t="shared" si="28"/>
        <v>1.5</v>
      </c>
      <c r="P644" s="843" t="e">
        <f t="shared" si="27"/>
        <v>#REF!</v>
      </c>
    </row>
    <row r="645" spans="1:18" ht="15" customHeight="1">
      <c r="A645" s="657">
        <f>IF(B645="",MAX($A$8:A644)+0,MAX($A$8:A644)+1)</f>
        <v>67</v>
      </c>
      <c r="B645" s="835" t="str">
        <f>IF(C645="","",COUNTA($C$10:C646))</f>
        <v/>
      </c>
      <c r="C645" s="362"/>
      <c r="D645" s="851"/>
      <c r="E645" s="852" t="s">
        <v>3981</v>
      </c>
      <c r="F645" s="848" t="str">
        <f>VLOOKUP(E645,DICH!B:C,2,FALSE)</f>
        <v>plate steel of formwork system</v>
      </c>
      <c r="G645" s="362" t="s">
        <v>558</v>
      </c>
      <c r="H645" s="847">
        <v>1.25</v>
      </c>
      <c r="I645" s="848">
        <f>VLOOKUP(E645,'11.gia '!$B:$I,8,FALSE)</f>
        <v>12871.348287272725</v>
      </c>
      <c r="J645" s="853">
        <f>I645*H645</f>
        <v>16089.185359090907</v>
      </c>
      <c r="N645" s="843" t="e">
        <f>SUMIF(#REF!,'8.Dgia'!A645,#REF!)+SUMIF(#REF!,'8.Dgia'!A645,#REF!)+SUMIF(#REF!,'8.Dgia'!A645,#REF!)+SUMIF(#REF!,'8.Dgia'!A645,#REF!)</f>
        <v>#REF!</v>
      </c>
      <c r="O645" s="844">
        <f t="shared" si="28"/>
        <v>1.5</v>
      </c>
      <c r="P645" s="843" t="e">
        <f t="shared" si="27"/>
        <v>#REF!</v>
      </c>
    </row>
    <row r="646" spans="1:18" ht="15" customHeight="1">
      <c r="A646" s="657">
        <f>IF(B646="",MAX($A$8:A645)+0,MAX($A$8:A645)+1)</f>
        <v>67</v>
      </c>
      <c r="B646" s="835" t="str">
        <f>IF(C646="","",COUNTA($C$10:C647))</f>
        <v/>
      </c>
      <c r="C646" s="362"/>
      <c r="D646" s="851"/>
      <c r="E646" s="852" t="s">
        <v>559</v>
      </c>
      <c r="F646" s="848" t="str">
        <f>VLOOKUP(E646,DICH!B:C,2,FALSE)</f>
        <v>welding electrode</v>
      </c>
      <c r="G646" s="362" t="s">
        <v>558</v>
      </c>
      <c r="H646" s="847">
        <v>1.5</v>
      </c>
      <c r="I646" s="848">
        <f>VLOOKUP(E646,'11.gia '!$B:$I,8,FALSE)</f>
        <v>19090.909090909088</v>
      </c>
      <c r="J646" s="853">
        <f>I646*H646</f>
        <v>28636.363636363632</v>
      </c>
      <c r="N646" s="843" t="e">
        <f>SUMIF(#REF!,'8.Dgia'!A646,#REF!)+SUMIF(#REF!,'8.Dgia'!A646,#REF!)+SUMIF(#REF!,'8.Dgia'!A646,#REF!)+SUMIF(#REF!,'8.Dgia'!A646,#REF!)</f>
        <v>#REF!</v>
      </c>
      <c r="O646" s="844">
        <f t="shared" si="28"/>
        <v>1.5</v>
      </c>
      <c r="P646" s="843" t="e">
        <f t="shared" si="27"/>
        <v>#REF!</v>
      </c>
    </row>
    <row r="647" spans="1:18" ht="15" customHeight="1">
      <c r="A647" s="657">
        <f>IF(B647="",MAX($A$8:A646)+0,MAX($A$8:A646)+1)</f>
        <v>67</v>
      </c>
      <c r="B647" s="835" t="str">
        <f>IF(C647="","",COUNTA($C$10:C648))</f>
        <v/>
      </c>
      <c r="C647" s="362"/>
      <c r="D647" s="851"/>
      <c r="E647" s="852" t="s">
        <v>555</v>
      </c>
      <c r="F647" s="848" t="str">
        <f>VLOOKUP(E647,DICH!B:C,2,FALSE)</f>
        <v>Other material</v>
      </c>
      <c r="G647" s="362" t="s">
        <v>554</v>
      </c>
      <c r="H647" s="847">
        <v>1.5</v>
      </c>
      <c r="I647" s="848">
        <f>SUM(J642:J646)</f>
        <v>194283.53586724587</v>
      </c>
      <c r="J647" s="853">
        <f>I647*H647%</f>
        <v>2914.2530380086878</v>
      </c>
      <c r="N647" s="843" t="e">
        <f>SUMIF(#REF!,'8.Dgia'!A647,#REF!)+SUMIF(#REF!,'8.Dgia'!A647,#REF!)+SUMIF(#REF!,'8.Dgia'!A647,#REF!)+SUMIF(#REF!,'8.Dgia'!A647,#REF!)</f>
        <v>#REF!</v>
      </c>
      <c r="O647" s="844"/>
      <c r="P647" s="843" t="e">
        <f t="shared" si="27"/>
        <v>#REF!</v>
      </c>
    </row>
    <row r="648" spans="1:18" s="658" customFormat="1" ht="15" customHeight="1">
      <c r="A648" s="657">
        <f>IF(B648="",MAX($A$8:A647)+0,MAX($A$8:A647)+1)</f>
        <v>67</v>
      </c>
      <c r="B648" s="835" t="str">
        <f>IF(C648="","",COUNTA($C$10:C649))</f>
        <v/>
      </c>
      <c r="C648" s="362"/>
      <c r="D648" s="845"/>
      <c r="E648" s="852" t="s">
        <v>2040</v>
      </c>
      <c r="F648" s="848" t="str">
        <f>VLOOKUP(E648,DICH!B:C,2,FALSE)</f>
        <v xml:space="preserve">  B - Labour 4.5/7</v>
      </c>
      <c r="G648" s="362" t="s">
        <v>4899</v>
      </c>
      <c r="H648" s="847">
        <v>1.25</v>
      </c>
      <c r="I648" s="848">
        <f>VLOOKUP(E648,'16.NC'!$C$11:$F$22,4,FALSE)</f>
        <v>237875</v>
      </c>
      <c r="J648" s="849">
        <f>I648*H648</f>
        <v>297343.75</v>
      </c>
      <c r="K648" s="850"/>
      <c r="L648" s="850"/>
      <c r="M648" s="850"/>
      <c r="N648" s="843" t="e">
        <f>SUMIF(#REF!,'8.Dgia'!A648,#REF!)+SUMIF(#REF!,'8.Dgia'!A648,#REF!)+SUMIF(#REF!,'8.Dgia'!A648,#REF!)+SUMIF(#REF!,'8.Dgia'!A648,#REF!)</f>
        <v>#REF!</v>
      </c>
      <c r="O648" s="844"/>
      <c r="P648" s="843" t="e">
        <f t="shared" si="27"/>
        <v>#REF!</v>
      </c>
      <c r="R648" s="658">
        <v>1</v>
      </c>
    </row>
    <row r="649" spans="1:18" s="658" customFormat="1" ht="15" customHeight="1">
      <c r="A649" s="657">
        <f>IF(B649="",MAX($A$8:A648)+0,MAX($A$8:A648)+1)</f>
        <v>67</v>
      </c>
      <c r="B649" s="835" t="str">
        <f>IF(C649="","",COUNTA($C$10:C650))</f>
        <v/>
      </c>
      <c r="C649" s="362"/>
      <c r="D649" s="845"/>
      <c r="E649" s="852" t="s">
        <v>2033</v>
      </c>
      <c r="F649" s="848" t="str">
        <f>VLOOKUP(E649,DICH!B:C,2,FALSE)</f>
        <v xml:space="preserve">  C - Machine</v>
      </c>
      <c r="G649" s="846"/>
      <c r="H649" s="847"/>
      <c r="I649" s="848"/>
      <c r="J649" s="849">
        <f>SUM(J650:J655)</f>
        <v>43720.378159499996</v>
      </c>
      <c r="K649" s="850"/>
      <c r="L649" s="850"/>
      <c r="M649" s="850"/>
      <c r="N649" s="843" t="e">
        <f>SUMIF(#REF!,'8.Dgia'!A649,#REF!)+SUMIF(#REF!,'8.Dgia'!A649,#REF!)+SUMIF(#REF!,'8.Dgia'!A649,#REF!)+SUMIF(#REF!,'8.Dgia'!A649,#REF!)</f>
        <v>#REF!</v>
      </c>
      <c r="O649" s="844"/>
      <c r="P649" s="843" t="e">
        <f t="shared" si="27"/>
        <v>#REF!</v>
      </c>
    </row>
    <row r="650" spans="1:18" ht="15" customHeight="1">
      <c r="A650" s="657">
        <f>IF(B650="",MAX($A$8:A649)+0,MAX($A$8:A649)+1)</f>
        <v>67</v>
      </c>
      <c r="B650" s="835" t="str">
        <f>IF(C650="","",COUNTA($C$10:C651))</f>
        <v/>
      </c>
      <c r="C650" s="362"/>
      <c r="D650" s="851"/>
      <c r="E650" s="852" t="s">
        <v>560</v>
      </c>
      <c r="F650" s="848" t="str">
        <f>VLOOKUP(E650,'9.may'!E:F,2,FALSE)</f>
        <v>welding machine 23kW</v>
      </c>
      <c r="G650" s="362" t="s">
        <v>4902</v>
      </c>
      <c r="H650" s="847">
        <v>0.15</v>
      </c>
      <c r="I650" s="848">
        <f>VLOOKUP(E650,'9.may'!E:W,12,FALSE)</f>
        <v>171649.155</v>
      </c>
      <c r="J650" s="853">
        <f>I650*H650</f>
        <v>25747.373250000001</v>
      </c>
      <c r="N650" s="843" t="e">
        <f>SUMIF(#REF!,'8.Dgia'!A650,#REF!)+SUMIF(#REF!,'8.Dgia'!A650,#REF!)+SUMIF(#REF!,'8.Dgia'!A650,#REF!)+SUMIF(#REF!,'8.Dgia'!A650,#REF!)</f>
        <v>#REF!</v>
      </c>
      <c r="O650" s="844">
        <f>+$H$655</f>
        <v>5</v>
      </c>
      <c r="P650" s="843" t="e">
        <f t="shared" si="27"/>
        <v>#REF!</v>
      </c>
    </row>
    <row r="651" spans="1:18" ht="15" customHeight="1">
      <c r="A651" s="657">
        <f>IF(B651="",MAX($A$8:A650)+0,MAX($A$8:A650)+1)</f>
        <v>67</v>
      </c>
      <c r="B651" s="835" t="str">
        <f>IF(C651="","",COUNTA($C$10:C652))</f>
        <v/>
      </c>
      <c r="C651" s="362"/>
      <c r="D651" s="851"/>
      <c r="E651" s="852" t="s">
        <v>1424</v>
      </c>
      <c r="F651" s="848" t="str">
        <f>VLOOKUP(E651,'9.may'!E:F,2,FALSE)</f>
        <v>bender cutter 5Kw</v>
      </c>
      <c r="G651" s="362" t="s">
        <v>4902</v>
      </c>
      <c r="H651" s="847">
        <v>0.02</v>
      </c>
      <c r="I651" s="848">
        <f>VLOOKUP(E651,'9.may'!E:W,12,FALSE)</f>
        <v>80291.850000000006</v>
      </c>
      <c r="J651" s="853">
        <f>I651*H651</f>
        <v>1605.8370000000002</v>
      </c>
      <c r="N651" s="843" t="e">
        <f>SUMIF(#REF!,'8.Dgia'!A651,#REF!)+SUMIF(#REF!,'8.Dgia'!A651,#REF!)+SUMIF(#REF!,'8.Dgia'!A651,#REF!)+SUMIF(#REF!,'8.Dgia'!A651,#REF!)</f>
        <v>#REF!</v>
      </c>
      <c r="O651" s="844">
        <f>+$H$655</f>
        <v>5</v>
      </c>
      <c r="P651" s="843" t="e">
        <f t="shared" si="27"/>
        <v>#REF!</v>
      </c>
    </row>
    <row r="652" spans="1:18" ht="15" customHeight="1">
      <c r="A652" s="657">
        <f>IF(B652="",MAX($A$8:A651)+0,MAX($A$8:A651)+1)</f>
        <v>67</v>
      </c>
      <c r="B652" s="835" t="str">
        <f>IF(C652="","",COUNTA($C$10:C653))</f>
        <v/>
      </c>
      <c r="C652" s="362"/>
      <c r="D652" s="851"/>
      <c r="E652" s="852" t="s">
        <v>302</v>
      </c>
      <c r="F652" s="848" t="str">
        <f>VLOOKUP(E652,'9.may'!E:F,2,FALSE)</f>
        <v>driller 4.5kW</v>
      </c>
      <c r="G652" s="362" t="s">
        <v>4902</v>
      </c>
      <c r="H652" s="847">
        <v>0.02</v>
      </c>
      <c r="I652" s="848">
        <f>VLOOKUP(E652,'9.may'!E:W,12,FALSE)</f>
        <v>108158.5425</v>
      </c>
      <c r="J652" s="853">
        <f>I652*H652</f>
        <v>2163.17085</v>
      </c>
      <c r="N652" s="843" t="e">
        <f>SUMIF(#REF!,'8.Dgia'!A652,#REF!)+SUMIF(#REF!,'8.Dgia'!A652,#REF!)+SUMIF(#REF!,'8.Dgia'!A652,#REF!)+SUMIF(#REF!,'8.Dgia'!A652,#REF!)</f>
        <v>#REF!</v>
      </c>
      <c r="O652" s="844">
        <f>+$H$655</f>
        <v>5</v>
      </c>
      <c r="P652" s="843" t="e">
        <f t="shared" si="27"/>
        <v>#REF!</v>
      </c>
    </row>
    <row r="653" spans="1:18" ht="15" customHeight="1">
      <c r="A653" s="657">
        <f>IF(B653="",MAX($A$8:A652)+0,MAX($A$8:A652)+1)</f>
        <v>67</v>
      </c>
      <c r="B653" s="835" t="str">
        <f>IF(C653="","",COUNTA($C$10:C654))</f>
        <v/>
      </c>
      <c r="C653" s="362"/>
      <c r="D653" s="851"/>
      <c r="E653" s="852" t="s">
        <v>1352</v>
      </c>
      <c r="F653" s="848" t="str">
        <f>VLOOKUP(E653,'9.may'!E:F,2,FALSE)</f>
        <v>Electric air compressor 600m3/h</v>
      </c>
      <c r="G653" s="362" t="s">
        <v>4902</v>
      </c>
      <c r="H653" s="847">
        <v>0.02</v>
      </c>
      <c r="I653" s="848">
        <f>VLOOKUP(E653,'9.may'!E:W,12,FALSE)</f>
        <v>561449.38199999998</v>
      </c>
      <c r="J653" s="853">
        <f>I653*H653</f>
        <v>11228.987639999999</v>
      </c>
      <c r="N653" s="843" t="e">
        <f>SUMIF(#REF!,'8.Dgia'!A653,#REF!)+SUMIF(#REF!,'8.Dgia'!A653,#REF!)+SUMIF(#REF!,'8.Dgia'!A653,#REF!)+SUMIF(#REF!,'8.Dgia'!A653,#REF!)</f>
        <v>#REF!</v>
      </c>
      <c r="O653" s="844">
        <f>+$H$655</f>
        <v>5</v>
      </c>
      <c r="P653" s="843" t="e">
        <f t="shared" si="27"/>
        <v>#REF!</v>
      </c>
    </row>
    <row r="654" spans="1:18" ht="15" customHeight="1">
      <c r="A654" s="657">
        <f>IF(B654="",MAX($A$8:A653)+0,MAX($A$8:A653)+1)</f>
        <v>67</v>
      </c>
      <c r="B654" s="835" t="str">
        <f>IF(C654="","",COUNTA($C$10:C655))</f>
        <v/>
      </c>
      <c r="C654" s="362"/>
      <c r="D654" s="851"/>
      <c r="E654" s="852" t="s">
        <v>1985</v>
      </c>
      <c r="F654" s="848" t="str">
        <f>VLOOKUP(E654,'9.may'!E:F,2,FALSE)</f>
        <v>sharpener 1kW</v>
      </c>
      <c r="G654" s="362" t="s">
        <v>4902</v>
      </c>
      <c r="H654" s="847">
        <v>1.4999999999999999E-2</v>
      </c>
      <c r="I654" s="848">
        <f>VLOOKUP(E654,'9.may'!E:W,12,FALSE)</f>
        <v>59539.11</v>
      </c>
      <c r="J654" s="853">
        <f>I654*H654</f>
        <v>893.08664999999996</v>
      </c>
      <c r="N654" s="843" t="e">
        <f>SUMIF(#REF!,'8.Dgia'!A654,#REF!)+SUMIF(#REF!,'8.Dgia'!A654,#REF!)+SUMIF(#REF!,'8.Dgia'!A654,#REF!)+SUMIF(#REF!,'8.Dgia'!A654,#REF!)</f>
        <v>#REF!</v>
      </c>
      <c r="O654" s="844">
        <f>+$H$655</f>
        <v>5</v>
      </c>
      <c r="P654" s="843" t="e">
        <f t="shared" si="27"/>
        <v>#REF!</v>
      </c>
    </row>
    <row r="655" spans="1:18" ht="15" customHeight="1">
      <c r="A655" s="657">
        <f>IF(B655="",MAX($A$8:A654)+0,MAX($A$8:A654)+1)</f>
        <v>67</v>
      </c>
      <c r="B655" s="835" t="str">
        <f>IF(C655="","",COUNTA($C$10:C656))</f>
        <v/>
      </c>
      <c r="C655" s="362"/>
      <c r="D655" s="851"/>
      <c r="E655" s="852" t="s">
        <v>553</v>
      </c>
      <c r="F655" s="848" t="str">
        <f>VLOOKUP(E655,DICH!B:C,2,FALSE)</f>
        <v>Other machine</v>
      </c>
      <c r="G655" s="362" t="s">
        <v>554</v>
      </c>
      <c r="H655" s="847">
        <v>5</v>
      </c>
      <c r="I655" s="848">
        <f>SUM(J650:J654)</f>
        <v>41638.455389999996</v>
      </c>
      <c r="J655" s="853">
        <f>I655*H655%</f>
        <v>2081.9227695</v>
      </c>
      <c r="N655" s="843" t="e">
        <f>SUMIF(#REF!,'8.Dgia'!A655,#REF!)+SUMIF(#REF!,'8.Dgia'!A655,#REF!)+SUMIF(#REF!,'8.Dgia'!A655,#REF!)+SUMIF(#REF!,'8.Dgia'!A655,#REF!)</f>
        <v>#REF!</v>
      </c>
      <c r="O655" s="844"/>
      <c r="P655" s="843" t="e">
        <f t="shared" si="27"/>
        <v>#REF!</v>
      </c>
    </row>
    <row r="656" spans="1:18" s="1336" customFormat="1" ht="25.5" customHeight="1">
      <c r="A656" s="1336">
        <f>IF(B656="",MAX($A$8:A655)+0,MAX($A$8:A655)+1)</f>
        <v>68</v>
      </c>
      <c r="B656" s="1337">
        <f>IF(C656="","",COUNTA($C$10:C657))</f>
        <v>68</v>
      </c>
      <c r="C656" s="1337">
        <f>IF(D656="","",1776)</f>
        <v>1776</v>
      </c>
      <c r="D656" s="1459" t="s">
        <v>390</v>
      </c>
      <c r="E656" s="1419" t="s">
        <v>305</v>
      </c>
      <c r="F656" s="1420" t="str">
        <f>VLOOKUP(E656,DICH!B:C,2,FALSE)</f>
        <v>Installing formwork, formwork supporting system of cantilever girder in water</v>
      </c>
      <c r="G656" s="1462" t="s">
        <v>4645</v>
      </c>
      <c r="H656" s="1001"/>
      <c r="I656" s="1331"/>
      <c r="J656" s="1460"/>
      <c r="K656" s="1425">
        <f>+J657</f>
        <v>160540.07856840483</v>
      </c>
      <c r="L656" s="1425">
        <f>+J663</f>
        <v>504295</v>
      </c>
      <c r="M656" s="1425">
        <f>+J664</f>
        <v>149587.26908236364</v>
      </c>
      <c r="N656" s="1343" t="e">
        <f>SUMIF(#REF!,'8.Dgia'!A656,#REF!)+SUMIF(#REF!,'8.Dgia'!A656,#REF!)+SUMIF(#REF!,'8.Dgia'!A656,#REF!)+SUMIF(#REF!,'8.Dgia'!A656,#REF!)</f>
        <v>#REF!</v>
      </c>
      <c r="O656" s="1426"/>
      <c r="P656" s="1343" t="e">
        <f t="shared" si="27"/>
        <v>#REF!</v>
      </c>
    </row>
    <row r="657" spans="1:18" s="658" customFormat="1" ht="15" customHeight="1">
      <c r="A657" s="657">
        <f>IF(B657="",MAX($A$8:A656)+0,MAX($A$8:A656)+1)</f>
        <v>68</v>
      </c>
      <c r="B657" s="835" t="str">
        <f>IF(C657="","",COUNTA($C$10:C658))</f>
        <v/>
      </c>
      <c r="C657" s="362"/>
      <c r="D657" s="845"/>
      <c r="E657" s="852" t="s">
        <v>2032</v>
      </c>
      <c r="F657" s="848" t="str">
        <f>VLOOKUP(E657,DICH!B:C,2,FALSE)</f>
        <v xml:space="preserve">  A - Material</v>
      </c>
      <c r="G657" s="846"/>
      <c r="H657" s="847"/>
      <c r="I657" s="848"/>
      <c r="J657" s="849">
        <f>SUM(J658:J662)</f>
        <v>160540.07856840483</v>
      </c>
      <c r="K657" s="850"/>
      <c r="L657" s="850"/>
      <c r="M657" s="850"/>
      <c r="N657" s="843" t="e">
        <f>SUMIF(#REF!,'8.Dgia'!A657,#REF!)+SUMIF(#REF!,'8.Dgia'!A657,#REF!)+SUMIF(#REF!,'8.Dgia'!A657,#REF!)+SUMIF(#REF!,'8.Dgia'!A657,#REF!)</f>
        <v>#REF!</v>
      </c>
      <c r="O657" s="844"/>
      <c r="P657" s="843" t="e">
        <f t="shared" si="27"/>
        <v>#REF!</v>
      </c>
    </row>
    <row r="658" spans="1:18" ht="15" customHeight="1">
      <c r="A658" s="657">
        <f>IF(B658="",MAX($A$8:A657)+0,MAX($A$8:A657)+1)</f>
        <v>68</v>
      </c>
      <c r="B658" s="835" t="str">
        <f>IF(C658="","",COUNTA($C$10:C659))</f>
        <v/>
      </c>
      <c r="C658" s="362"/>
      <c r="D658" s="851"/>
      <c r="E658" s="852" t="s">
        <v>84</v>
      </c>
      <c r="F658" s="848" t="str">
        <f>VLOOKUP(E658,DICH!B:C,2,FALSE)</f>
        <v>High strengthen bar D36 (kg)</v>
      </c>
      <c r="G658" s="362" t="s">
        <v>558</v>
      </c>
      <c r="H658" s="847">
        <v>0.73</v>
      </c>
      <c r="I658" s="848">
        <f>VLOOKUP(E658,'11.gia '!$B:$I,8,FALSE)</f>
        <v>86980.172563393309</v>
      </c>
      <c r="J658" s="853">
        <f>I658*H658</f>
        <v>63495.525971277115</v>
      </c>
      <c r="N658" s="843" t="e">
        <f>SUMIF(#REF!,'8.Dgia'!A658,#REF!)+SUMIF(#REF!,'8.Dgia'!A658,#REF!)+SUMIF(#REF!,'8.Dgia'!A658,#REF!)+SUMIF(#REF!,'8.Dgia'!A658,#REF!)</f>
        <v>#REF!</v>
      </c>
      <c r="O658" s="844">
        <f>+$H$662</f>
        <v>10</v>
      </c>
      <c r="P658" s="843" t="e">
        <f t="shared" si="27"/>
        <v>#REF!</v>
      </c>
    </row>
    <row r="659" spans="1:18" ht="15" customHeight="1">
      <c r="A659" s="657">
        <f>IF(B659="",MAX($A$8:A658)+0,MAX($A$8:A658)+1)</f>
        <v>68</v>
      </c>
      <c r="B659" s="835" t="str">
        <f>IF(C659="","",COUNTA($C$10:C660))</f>
        <v/>
      </c>
      <c r="C659" s="362"/>
      <c r="D659" s="851"/>
      <c r="E659" s="852" t="s">
        <v>372</v>
      </c>
      <c r="F659" s="848" t="str">
        <f>VLOOKUP(E659,DICH!B:C,2,FALSE)</f>
        <v>Bbolt D22</v>
      </c>
      <c r="G659" s="362" t="s">
        <v>4649</v>
      </c>
      <c r="H659" s="847">
        <v>0.42</v>
      </c>
      <c r="I659" s="848">
        <f>VLOOKUP(E659,'11.gia '!$B:$I,8,FALSE)</f>
        <v>10000</v>
      </c>
      <c r="J659" s="853">
        <f>I659*H659</f>
        <v>4200</v>
      </c>
      <c r="N659" s="843" t="e">
        <f>SUMIF(#REF!,'8.Dgia'!A659,#REF!)+SUMIF(#REF!,'8.Dgia'!A659,#REF!)+SUMIF(#REF!,'8.Dgia'!A659,#REF!)+SUMIF(#REF!,'8.Dgia'!A659,#REF!)</f>
        <v>#REF!</v>
      </c>
      <c r="O659" s="844">
        <f>+$H$662</f>
        <v>10</v>
      </c>
      <c r="P659" s="843" t="e">
        <f t="shared" si="27"/>
        <v>#REF!</v>
      </c>
    </row>
    <row r="660" spans="1:18" ht="15" customHeight="1">
      <c r="A660" s="657">
        <f>IF(B660="",MAX($A$8:A659)+0,MAX($A$8:A659)+1)</f>
        <v>68</v>
      </c>
      <c r="B660" s="835" t="str">
        <f>IF(C660="","",COUNTA($C$10:C661))</f>
        <v/>
      </c>
      <c r="C660" s="362"/>
      <c r="D660" s="851"/>
      <c r="E660" s="852" t="s">
        <v>617</v>
      </c>
      <c r="F660" s="848" t="str">
        <f>VLOOKUP(E660,DICH!B:C,2,FALSE)</f>
        <v>turn buckle D38mm</v>
      </c>
      <c r="G660" s="362" t="s">
        <v>4649</v>
      </c>
      <c r="H660" s="847">
        <v>0.05</v>
      </c>
      <c r="I660" s="848">
        <f>VLOOKUP(E660,'11.gia '!$B:$I,8,FALSE)</f>
        <v>65000</v>
      </c>
      <c r="J660" s="853">
        <f>I660*H660</f>
        <v>3250</v>
      </c>
      <c r="N660" s="843" t="e">
        <f>SUMIF(#REF!,'8.Dgia'!A660,#REF!)+SUMIF(#REF!,'8.Dgia'!A660,#REF!)+SUMIF(#REF!,'8.Dgia'!A660,#REF!)+SUMIF(#REF!,'8.Dgia'!A660,#REF!)</f>
        <v>#REF!</v>
      </c>
      <c r="O660" s="844">
        <f>+$H$662</f>
        <v>10</v>
      </c>
      <c r="P660" s="843" t="e">
        <f t="shared" si="27"/>
        <v>#REF!</v>
      </c>
    </row>
    <row r="661" spans="1:18" ht="15" customHeight="1">
      <c r="A661" s="657">
        <f>IF(B661="",MAX($A$8:A660)+0,MAX($A$8:A660)+1)</f>
        <v>68</v>
      </c>
      <c r="B661" s="835" t="str">
        <f>IF(C661="","",COUNTA($C$10:C662))</f>
        <v/>
      </c>
      <c r="C661" s="362"/>
      <c r="D661" s="851"/>
      <c r="E661" s="852" t="s">
        <v>134</v>
      </c>
      <c r="F661" s="848" t="str">
        <f>VLOOKUP(E661,DICH!B:C,2,FALSE)</f>
        <v>Wooden</v>
      </c>
      <c r="G661" s="362" t="s">
        <v>545</v>
      </c>
      <c r="H661" s="847">
        <v>1.4999999999999999E-2</v>
      </c>
      <c r="I661" s="848">
        <f>VLOOKUP(E661,'11.gia '!$B:$I,8,FALSE)</f>
        <v>5000000</v>
      </c>
      <c r="J661" s="853">
        <f>I661*H661</f>
        <v>75000</v>
      </c>
      <c r="N661" s="843" t="e">
        <f>SUMIF(#REF!,'8.Dgia'!A661,#REF!)+SUMIF(#REF!,'8.Dgia'!A661,#REF!)+SUMIF(#REF!,'8.Dgia'!A661,#REF!)+SUMIF(#REF!,'8.Dgia'!A661,#REF!)</f>
        <v>#REF!</v>
      </c>
      <c r="O661" s="844">
        <f>+$H$662</f>
        <v>10</v>
      </c>
      <c r="P661" s="843" t="e">
        <f t="shared" si="27"/>
        <v>#REF!</v>
      </c>
    </row>
    <row r="662" spans="1:18" ht="15" customHeight="1">
      <c r="A662" s="657">
        <f>IF(B662="",MAX($A$8:A661)+0,MAX($A$8:A661)+1)</f>
        <v>68</v>
      </c>
      <c r="B662" s="835" t="str">
        <f>IF(C662="","",COUNTA($C$10:C663))</f>
        <v/>
      </c>
      <c r="C662" s="362"/>
      <c r="D662" s="851"/>
      <c r="E662" s="852" t="s">
        <v>555</v>
      </c>
      <c r="F662" s="848" t="str">
        <f>VLOOKUP(E662,DICH!B:C,2,FALSE)</f>
        <v>Other material</v>
      </c>
      <c r="G662" s="362" t="s">
        <v>554</v>
      </c>
      <c r="H662" s="847">
        <v>10</v>
      </c>
      <c r="I662" s="848">
        <f>SUM(J658:J661)</f>
        <v>145945.52597127712</v>
      </c>
      <c r="J662" s="853">
        <f>I662*H662%</f>
        <v>14594.552597127713</v>
      </c>
      <c r="N662" s="843" t="e">
        <f>SUMIF(#REF!,'8.Dgia'!A662,#REF!)+SUMIF(#REF!,'8.Dgia'!A662,#REF!)+SUMIF(#REF!,'8.Dgia'!A662,#REF!)+SUMIF(#REF!,'8.Dgia'!A662,#REF!)</f>
        <v>#REF!</v>
      </c>
      <c r="O662" s="844"/>
      <c r="P662" s="843" t="e">
        <f t="shared" si="27"/>
        <v>#REF!</v>
      </c>
    </row>
    <row r="663" spans="1:18" s="658" customFormat="1" ht="15" customHeight="1">
      <c r="A663" s="657">
        <f>IF(B663="",MAX($A$8:A662)+0,MAX($A$8:A662)+1)</f>
        <v>68</v>
      </c>
      <c r="B663" s="835" t="str">
        <f>IF(C663="","",COUNTA($C$10:C664))</f>
        <v/>
      </c>
      <c r="C663" s="362"/>
      <c r="D663" s="845"/>
      <c r="E663" s="852" t="s">
        <v>2040</v>
      </c>
      <c r="F663" s="848" t="str">
        <f>VLOOKUP(E663,DICH!B:C,2,FALSE)</f>
        <v xml:space="preserve">  B - Labour 4.5/7</v>
      </c>
      <c r="G663" s="362" t="s">
        <v>4899</v>
      </c>
      <c r="H663" s="847">
        <v>2.12</v>
      </c>
      <c r="I663" s="848">
        <f>VLOOKUP(E663,'16.NC'!$C$11:$F$22,4,FALSE)</f>
        <v>237875</v>
      </c>
      <c r="J663" s="849">
        <f>I663*H663</f>
        <v>504295</v>
      </c>
      <c r="K663" s="850"/>
      <c r="L663" s="850"/>
      <c r="M663" s="850"/>
      <c r="N663" s="843" t="e">
        <f>SUMIF(#REF!,'8.Dgia'!A663,#REF!)+SUMIF(#REF!,'8.Dgia'!A663,#REF!)+SUMIF(#REF!,'8.Dgia'!A663,#REF!)+SUMIF(#REF!,'8.Dgia'!A663,#REF!)</f>
        <v>#REF!</v>
      </c>
      <c r="O663" s="844"/>
      <c r="P663" s="843" t="e">
        <f t="shared" si="27"/>
        <v>#REF!</v>
      </c>
      <c r="R663" s="658">
        <v>1</v>
      </c>
    </row>
    <row r="664" spans="1:18" s="658" customFormat="1" ht="15" customHeight="1">
      <c r="A664" s="657">
        <f>IF(B664="",MAX($A$8:A663)+0,MAX($A$8:A663)+1)</f>
        <v>68</v>
      </c>
      <c r="B664" s="835" t="str">
        <f>IF(C664="","",COUNTA($C$10:C665))</f>
        <v/>
      </c>
      <c r="C664" s="362"/>
      <c r="D664" s="845"/>
      <c r="E664" s="852" t="s">
        <v>2033</v>
      </c>
      <c r="F664" s="848" t="str">
        <f>VLOOKUP(E664,DICH!B:C,2,FALSE)</f>
        <v xml:space="preserve">  C - Machine</v>
      </c>
      <c r="G664" s="846"/>
      <c r="H664" s="847"/>
      <c r="I664" s="848"/>
      <c r="J664" s="849">
        <f>SUM(J665:J670)</f>
        <v>149587.26908236364</v>
      </c>
      <c r="K664" s="850"/>
      <c r="L664" s="850"/>
      <c r="M664" s="850"/>
      <c r="N664" s="843" t="e">
        <f>SUMIF(#REF!,'8.Dgia'!A664,#REF!)+SUMIF(#REF!,'8.Dgia'!A664,#REF!)+SUMIF(#REF!,'8.Dgia'!A664,#REF!)+SUMIF(#REF!,'8.Dgia'!A664,#REF!)</f>
        <v>#REF!</v>
      </c>
      <c r="O664" s="844"/>
      <c r="P664" s="843" t="e">
        <f t="shared" si="27"/>
        <v>#REF!</v>
      </c>
    </row>
    <row r="665" spans="1:18" ht="15" customHeight="1">
      <c r="A665" s="657">
        <f>IF(B665="",MAX($A$8:A664)+0,MAX($A$8:A664)+1)</f>
        <v>68</v>
      </c>
      <c r="B665" s="835" t="str">
        <f>IF(C665="","",COUNTA($C$10:C666))</f>
        <v/>
      </c>
      <c r="C665" s="362"/>
      <c r="D665" s="851"/>
      <c r="E665" s="852" t="s">
        <v>612</v>
      </c>
      <c r="F665" s="848" t="str">
        <f>VLOOKUP(E665,'9.may'!E:F,2,FALSE)</f>
        <v>jack 50T</v>
      </c>
      <c r="G665" s="362" t="s">
        <v>4902</v>
      </c>
      <c r="H665" s="847">
        <v>0.35</v>
      </c>
      <c r="I665" s="848">
        <f>VLOOKUP(E665,'9.may'!E:W,12,FALSE)</f>
        <v>209878.78500000003</v>
      </c>
      <c r="J665" s="853">
        <f>I665*H665</f>
        <v>73457.57475</v>
      </c>
      <c r="N665" s="843" t="e">
        <f>SUMIF(#REF!,'8.Dgia'!A665,#REF!)+SUMIF(#REF!,'8.Dgia'!A665,#REF!)+SUMIF(#REF!,'8.Dgia'!A665,#REF!)+SUMIF(#REF!,'8.Dgia'!A665,#REF!)</f>
        <v>#REF!</v>
      </c>
      <c r="O665" s="844">
        <f>+$H$670</f>
        <v>5</v>
      </c>
      <c r="P665" s="843" t="e">
        <f t="shared" si="27"/>
        <v>#REF!</v>
      </c>
    </row>
    <row r="666" spans="1:18" ht="15" customHeight="1">
      <c r="A666" s="657">
        <f>IF(B666="",MAX($A$8:A665)+0,MAX($A$8:A665)+1)</f>
        <v>68</v>
      </c>
      <c r="B666" s="835" t="str">
        <f>IF(C666="","",COUNTA($C$10:C667))</f>
        <v/>
      </c>
      <c r="C666" s="362"/>
      <c r="D666" s="851"/>
      <c r="E666" s="852" t="s">
        <v>289</v>
      </c>
      <c r="F666" s="848" t="str">
        <f>VLOOKUP(E666,'9.may'!E:F,2,FALSE)</f>
        <v>caterpillar crane 50T</v>
      </c>
      <c r="G666" s="362" t="s">
        <v>4902</v>
      </c>
      <c r="H666" s="847">
        <v>1.7999999999999999E-2</v>
      </c>
      <c r="I666" s="848">
        <f>VLOOKUP(E666,'9.may'!E:W,12,FALSE)</f>
        <v>3833693.9468181818</v>
      </c>
      <c r="J666" s="853">
        <f>I666*H666</f>
        <v>69006.49104272727</v>
      </c>
      <c r="N666" s="843" t="e">
        <f>SUMIF(#REF!,'8.Dgia'!A666,#REF!)+SUMIF(#REF!,'8.Dgia'!A666,#REF!)+SUMIF(#REF!,'8.Dgia'!A666,#REF!)+SUMIF(#REF!,'8.Dgia'!A666,#REF!)</f>
        <v>#REF!</v>
      </c>
      <c r="O666" s="844">
        <f>+$H$670</f>
        <v>5</v>
      </c>
      <c r="P666" s="843" t="e">
        <f t="shared" si="27"/>
        <v>#REF!</v>
      </c>
    </row>
    <row r="667" spans="1:18" ht="15" customHeight="1">
      <c r="A667" s="657">
        <f>IF(B667="",MAX($A$8:A666)+0,MAX($A$8:A666)+1)</f>
        <v>68</v>
      </c>
      <c r="B667" s="835" t="str">
        <f>IF(C667="","",COUNTA($C$10:C668))</f>
        <v/>
      </c>
      <c r="C667" s="362"/>
      <c r="D667" s="851"/>
      <c r="E667" s="852" t="s">
        <v>556</v>
      </c>
      <c r="F667" s="848" t="str">
        <f>VLOOKUP(E667,'9.may'!E:F,2,FALSE)</f>
        <v>barge 400Ton</v>
      </c>
      <c r="G667" s="362" t="s">
        <v>4902</v>
      </c>
      <c r="H667" s="847"/>
      <c r="I667" s="848">
        <f>VLOOKUP(E667,'9.may'!E:W,12,FALSE)</f>
        <v>1144511.22</v>
      </c>
      <c r="J667" s="853">
        <f>I667*H667</f>
        <v>0</v>
      </c>
      <c r="N667" s="843" t="e">
        <f>SUMIF(#REF!,'8.Dgia'!A667,#REF!)+SUMIF(#REF!,'8.Dgia'!A667,#REF!)+SUMIF(#REF!,'8.Dgia'!A667,#REF!)+SUMIF(#REF!,'8.Dgia'!A667,#REF!)</f>
        <v>#REF!</v>
      </c>
      <c r="O667" s="844">
        <f>+$H$670</f>
        <v>5</v>
      </c>
      <c r="P667" s="843" t="e">
        <f t="shared" si="27"/>
        <v>#REF!</v>
      </c>
    </row>
    <row r="668" spans="1:18" ht="15" customHeight="1">
      <c r="A668" s="657">
        <f>IF(B668="",MAX($A$8:A667)+0,MAX($A$8:A667)+1)</f>
        <v>68</v>
      </c>
      <c r="B668" s="835" t="str">
        <f>IF(C668="","",COUNTA($C$10:C669))</f>
        <v/>
      </c>
      <c r="C668" s="362"/>
      <c r="D668" s="851"/>
      <c r="E668" s="852" t="s">
        <v>561</v>
      </c>
      <c r="F668" s="848" t="str">
        <f>VLOOKUP(E668,'9.may'!E:F,2,FALSE)</f>
        <v>barge 200Ton</v>
      </c>
      <c r="G668" s="362" t="s">
        <v>4902</v>
      </c>
      <c r="H668" s="847"/>
      <c r="I668" s="848">
        <f>VLOOKUP(E668,'9.may'!E:W,12,FALSE)</f>
        <v>586485.6</v>
      </c>
      <c r="J668" s="853">
        <f>I668*H668</f>
        <v>0</v>
      </c>
      <c r="N668" s="843" t="e">
        <f>SUMIF(#REF!,'8.Dgia'!A668,#REF!)+SUMIF(#REF!,'8.Dgia'!A668,#REF!)+SUMIF(#REF!,'8.Dgia'!A668,#REF!)+SUMIF(#REF!,'8.Dgia'!A668,#REF!)</f>
        <v>#REF!</v>
      </c>
      <c r="O668" s="844">
        <f>+$H$670</f>
        <v>5</v>
      </c>
      <c r="P668" s="843" t="e">
        <f t="shared" si="27"/>
        <v>#REF!</v>
      </c>
    </row>
    <row r="669" spans="1:18" ht="15" customHeight="1">
      <c r="A669" s="657">
        <f>IF(B669="",MAX($A$8:A668)+0,MAX($A$8:A668)+1)</f>
        <v>68</v>
      </c>
      <c r="B669" s="835" t="str">
        <f>IF(C669="","",COUNTA($C$10:C670))</f>
        <v/>
      </c>
      <c r="C669" s="362"/>
      <c r="D669" s="851"/>
      <c r="E669" s="852" t="s">
        <v>1986</v>
      </c>
      <c r="F669" s="848" t="str">
        <f>VLOOKUP(E669,'9.may'!E:F,2,FALSE)</f>
        <v>canoe 120CV</v>
      </c>
      <c r="G669" s="362" t="s">
        <v>4902</v>
      </c>
      <c r="H669" s="847"/>
      <c r="I669" s="848">
        <f>VLOOKUP(E669,'9.may'!E:W,12,FALSE)</f>
        <v>807573.68181818177</v>
      </c>
      <c r="J669" s="853">
        <f>I669*H669</f>
        <v>0</v>
      </c>
      <c r="N669" s="843" t="e">
        <f>SUMIF(#REF!,'8.Dgia'!A669,#REF!)+SUMIF(#REF!,'8.Dgia'!A669,#REF!)+SUMIF(#REF!,'8.Dgia'!A669,#REF!)+SUMIF(#REF!,'8.Dgia'!A669,#REF!)</f>
        <v>#REF!</v>
      </c>
      <c r="O669" s="844">
        <f>+$H$670</f>
        <v>5</v>
      </c>
      <c r="P669" s="843" t="e">
        <f t="shared" si="27"/>
        <v>#REF!</v>
      </c>
    </row>
    <row r="670" spans="1:18" ht="15" customHeight="1">
      <c r="A670" s="657">
        <f>IF(B670="",MAX($A$8:A669)+0,MAX($A$8:A669)+1)</f>
        <v>68</v>
      </c>
      <c r="B670" s="835" t="str">
        <f>IF(C670="","",COUNTA($C$10:C671))</f>
        <v/>
      </c>
      <c r="C670" s="362"/>
      <c r="D670" s="851"/>
      <c r="E670" s="852" t="s">
        <v>553</v>
      </c>
      <c r="F670" s="848" t="str">
        <f>VLOOKUP(E670,DICH!B:C,2,FALSE)</f>
        <v>Other machine</v>
      </c>
      <c r="G670" s="362" t="s">
        <v>554</v>
      </c>
      <c r="H670" s="847">
        <v>5</v>
      </c>
      <c r="I670" s="848">
        <f>SUM(J665:J669)</f>
        <v>142464.06579272728</v>
      </c>
      <c r="J670" s="853">
        <f>I670*H670%</f>
        <v>7123.2032896363644</v>
      </c>
      <c r="N670" s="843" t="e">
        <f>SUMIF(#REF!,'8.Dgia'!A670,#REF!)+SUMIF(#REF!,'8.Dgia'!A670,#REF!)+SUMIF(#REF!,'8.Dgia'!A670,#REF!)+SUMIF(#REF!,'8.Dgia'!A670,#REF!)</f>
        <v>#REF!</v>
      </c>
      <c r="O670" s="844"/>
      <c r="P670" s="843" t="e">
        <f t="shared" si="27"/>
        <v>#REF!</v>
      </c>
    </row>
    <row r="671" spans="1:18" s="1336" customFormat="1" ht="44.25" customHeight="1">
      <c r="A671" s="1336">
        <f>IF(B671="",MAX($A$8:A670)+0,MAX($A$8:A670)+1)</f>
        <v>69</v>
      </c>
      <c r="B671" s="1337">
        <f>IF(C671="","",COUNTA($C$10:C672))</f>
        <v>69</v>
      </c>
      <c r="C671" s="1337">
        <f>IF(D671="","",1776)</f>
        <v>1776</v>
      </c>
      <c r="D671" s="1459" t="s">
        <v>391</v>
      </c>
      <c r="E671" s="1419" t="s">
        <v>428</v>
      </c>
      <c r="F671" s="1420" t="str">
        <f>VLOOKUP(E671,DICH!B:C,2,FALSE)</f>
        <v>Removing, transpotring formwork, formwork supporting system of cantilever girder in water</v>
      </c>
      <c r="G671" s="1461" t="s">
        <v>4646</v>
      </c>
      <c r="H671" s="1001"/>
      <c r="I671" s="1331"/>
      <c r="J671" s="1460"/>
      <c r="K671" s="1425">
        <f>+J672</f>
        <v>150452.06649070265</v>
      </c>
      <c r="L671" s="1425">
        <f>+J680</f>
        <v>392493.75</v>
      </c>
      <c r="M671" s="1425">
        <f>+J681</f>
        <v>419656.65535022726</v>
      </c>
      <c r="N671" s="1343" t="e">
        <f>SUMIF(#REF!,'8.Dgia'!A671,#REF!)+SUMIF(#REF!,'8.Dgia'!A671,#REF!)+SUMIF(#REF!,'8.Dgia'!A671,#REF!)+SUMIF(#REF!,'8.Dgia'!A671,#REF!)</f>
        <v>#REF!</v>
      </c>
      <c r="O671" s="1426"/>
      <c r="P671" s="1343" t="e">
        <f t="shared" si="27"/>
        <v>#REF!</v>
      </c>
    </row>
    <row r="672" spans="1:18" s="658" customFormat="1" ht="15" customHeight="1">
      <c r="A672" s="657">
        <f>IF(B672="",MAX($A$8:A671)+0,MAX($A$8:A671)+1)</f>
        <v>69</v>
      </c>
      <c r="B672" s="835" t="str">
        <f>IF(C672="","",COUNTA($C$10:C673))</f>
        <v/>
      </c>
      <c r="C672" s="362"/>
      <c r="D672" s="845"/>
      <c r="E672" s="852" t="s">
        <v>2032</v>
      </c>
      <c r="F672" s="848" t="str">
        <f>VLOOKUP(E672,DICH!B:C,2,FALSE)</f>
        <v xml:space="preserve">  A - Material</v>
      </c>
      <c r="G672" s="846"/>
      <c r="H672" s="847"/>
      <c r="I672" s="848"/>
      <c r="J672" s="849">
        <f>SUM(J673:J679)</f>
        <v>150452.06649070265</v>
      </c>
      <c r="K672" s="850"/>
      <c r="L672" s="850"/>
      <c r="M672" s="850"/>
      <c r="N672" s="843" t="e">
        <f>SUMIF(#REF!,'8.Dgia'!A672,#REF!)+SUMIF(#REF!,'8.Dgia'!A672,#REF!)+SUMIF(#REF!,'8.Dgia'!A672,#REF!)+SUMIF(#REF!,'8.Dgia'!A672,#REF!)</f>
        <v>#REF!</v>
      </c>
      <c r="O672" s="844"/>
      <c r="P672" s="843" t="e">
        <f t="shared" si="27"/>
        <v>#REF!</v>
      </c>
    </row>
    <row r="673" spans="1:18" ht="15" customHeight="1">
      <c r="A673" s="657">
        <f>IF(B673="",MAX($A$8:A672)+0,MAX($A$8:A672)+1)</f>
        <v>69</v>
      </c>
      <c r="B673" s="835" t="str">
        <f>IF(C673="","",COUNTA($C$10:C674))</f>
        <v/>
      </c>
      <c r="C673" s="362"/>
      <c r="D673" s="851"/>
      <c r="E673" s="852" t="s">
        <v>84</v>
      </c>
      <c r="F673" s="848" t="str">
        <f>VLOOKUP(E673,DICH!B:C,2,FALSE)</f>
        <v>High strengthen bar D36 (kg)</v>
      </c>
      <c r="G673" s="362" t="s">
        <v>558</v>
      </c>
      <c r="H673" s="847">
        <v>0.73</v>
      </c>
      <c r="I673" s="848">
        <f>VLOOKUP(E673,'11.gia '!$B:$I,8,FALSE)</f>
        <v>86980.172563393309</v>
      </c>
      <c r="J673" s="853">
        <f t="shared" ref="J673:J678" si="29">I673*H673</f>
        <v>63495.525971277115</v>
      </c>
      <c r="N673" s="843" t="e">
        <f>SUMIF(#REF!,'8.Dgia'!A673,#REF!)+SUMIF(#REF!,'8.Dgia'!A673,#REF!)+SUMIF(#REF!,'8.Dgia'!A673,#REF!)+SUMIF(#REF!,'8.Dgia'!A673,#REF!)</f>
        <v>#REF!</v>
      </c>
      <c r="O673" s="844">
        <f t="shared" ref="O673:O678" si="30">+$H$679</f>
        <v>2</v>
      </c>
      <c r="P673" s="843" t="e">
        <f t="shared" si="27"/>
        <v>#REF!</v>
      </c>
    </row>
    <row r="674" spans="1:18" ht="15" customHeight="1">
      <c r="A674" s="657">
        <f>IF(B674="",MAX($A$8:A673)+0,MAX($A$8:A673)+1)</f>
        <v>69</v>
      </c>
      <c r="B674" s="835" t="str">
        <f>IF(C674="","",COUNTA($C$10:C675))</f>
        <v/>
      </c>
      <c r="C674" s="362"/>
      <c r="D674" s="851"/>
      <c r="E674" s="852" t="s">
        <v>372</v>
      </c>
      <c r="F674" s="848" t="str">
        <f>VLOOKUP(E674,DICH!B:C,2,FALSE)</f>
        <v>Bbolt D22</v>
      </c>
      <c r="G674" s="362" t="s">
        <v>4649</v>
      </c>
      <c r="H674" s="847">
        <v>0.11</v>
      </c>
      <c r="I674" s="848">
        <f>VLOOKUP(E674,'11.gia '!$B:$I,8,FALSE)</f>
        <v>10000</v>
      </c>
      <c r="J674" s="853">
        <f t="shared" si="29"/>
        <v>1100</v>
      </c>
      <c r="N674" s="843" t="e">
        <f>SUMIF(#REF!,'8.Dgia'!A674,#REF!)+SUMIF(#REF!,'8.Dgia'!A674,#REF!)+SUMIF(#REF!,'8.Dgia'!A674,#REF!)+SUMIF(#REF!,'8.Dgia'!A674,#REF!)</f>
        <v>#REF!</v>
      </c>
      <c r="O674" s="844">
        <f t="shared" si="30"/>
        <v>2</v>
      </c>
      <c r="P674" s="843" t="e">
        <f t="shared" si="27"/>
        <v>#REF!</v>
      </c>
    </row>
    <row r="675" spans="1:18" ht="15" customHeight="1">
      <c r="A675" s="657">
        <f>IF(B675="",MAX($A$8:A674)+0,MAX($A$8:A674)+1)</f>
        <v>69</v>
      </c>
      <c r="B675" s="835" t="str">
        <f>IF(C675="","",COUNTA($C$10:C676))</f>
        <v/>
      </c>
      <c r="C675" s="362"/>
      <c r="D675" s="851"/>
      <c r="E675" s="852" t="s">
        <v>617</v>
      </c>
      <c r="F675" s="848" t="str">
        <f>VLOOKUP(E675,DICH!B:C,2,FALSE)</f>
        <v>turn buckle D38mm</v>
      </c>
      <c r="G675" s="362" t="s">
        <v>4649</v>
      </c>
      <c r="H675" s="847">
        <v>0.05</v>
      </c>
      <c r="I675" s="848">
        <f>VLOOKUP(E675,'11.gia '!$B:$I,8,FALSE)</f>
        <v>65000</v>
      </c>
      <c r="J675" s="853">
        <f t="shared" si="29"/>
        <v>3250</v>
      </c>
      <c r="N675" s="843" t="e">
        <f>SUMIF(#REF!,'8.Dgia'!A675,#REF!)+SUMIF(#REF!,'8.Dgia'!A675,#REF!)+SUMIF(#REF!,'8.Dgia'!A675,#REF!)+SUMIF(#REF!,'8.Dgia'!A675,#REF!)</f>
        <v>#REF!</v>
      </c>
      <c r="O675" s="844">
        <f t="shared" si="30"/>
        <v>2</v>
      </c>
      <c r="P675" s="843" t="e">
        <f t="shared" si="27"/>
        <v>#REF!</v>
      </c>
    </row>
    <row r="676" spans="1:18" ht="15" customHeight="1">
      <c r="A676" s="657">
        <f>IF(B676="",MAX($A$8:A675)+0,MAX($A$8:A675)+1)</f>
        <v>69</v>
      </c>
      <c r="B676" s="835" t="str">
        <f>IF(C676="","",COUNTA($C$10:C677))</f>
        <v/>
      </c>
      <c r="C676" s="362"/>
      <c r="D676" s="851"/>
      <c r="E676" s="852" t="s">
        <v>615</v>
      </c>
      <c r="F676" s="848" t="str">
        <f>VLOOKUP(E676,DICH!B:C,2,FALSE)</f>
        <v>Oil CS46</v>
      </c>
      <c r="G676" s="362" t="s">
        <v>558</v>
      </c>
      <c r="H676" s="847">
        <v>0.15</v>
      </c>
      <c r="I676" s="848">
        <f>VLOOKUP(E676,'11.gia '!$B:$I,8,FALSE)</f>
        <v>17454</v>
      </c>
      <c r="J676" s="853">
        <f t="shared" si="29"/>
        <v>2618.1</v>
      </c>
      <c r="N676" s="843" t="e">
        <f>SUMIF(#REF!,'8.Dgia'!A676,#REF!)+SUMIF(#REF!,'8.Dgia'!A676,#REF!)+SUMIF(#REF!,'8.Dgia'!A676,#REF!)+SUMIF(#REF!,'8.Dgia'!A676,#REF!)</f>
        <v>#REF!</v>
      </c>
      <c r="O676" s="844">
        <f t="shared" si="30"/>
        <v>2</v>
      </c>
      <c r="P676" s="843" t="e">
        <f t="shared" si="27"/>
        <v>#REF!</v>
      </c>
    </row>
    <row r="677" spans="1:18" ht="15" customHeight="1">
      <c r="A677" s="657">
        <f>IF(B677="",MAX($A$8:A676)+0,MAX($A$8:A676)+1)</f>
        <v>69</v>
      </c>
      <c r="B677" s="835" t="str">
        <f>IF(C677="","",COUNTA($C$10:C678))</f>
        <v/>
      </c>
      <c r="C677" s="362"/>
      <c r="D677" s="851"/>
      <c r="E677" s="852" t="s">
        <v>616</v>
      </c>
      <c r="F677" s="848" t="str">
        <f>VLOOKUP(E677,DICH!B:C,2,FALSE)</f>
        <v>Lubricant grease</v>
      </c>
      <c r="G677" s="362" t="s">
        <v>558</v>
      </c>
      <c r="H677" s="847">
        <v>0.14000000000000001</v>
      </c>
      <c r="I677" s="848">
        <f>VLOOKUP(E677,'11.gia '!$B:$I,8,FALSE)</f>
        <v>14560</v>
      </c>
      <c r="J677" s="853">
        <f t="shared" si="29"/>
        <v>2038.4</v>
      </c>
      <c r="N677" s="843" t="e">
        <f>SUMIF(#REF!,'8.Dgia'!A677,#REF!)+SUMIF(#REF!,'8.Dgia'!A677,#REF!)+SUMIF(#REF!,'8.Dgia'!A677,#REF!)+SUMIF(#REF!,'8.Dgia'!A677,#REF!)</f>
        <v>#REF!</v>
      </c>
      <c r="O677" s="844">
        <f t="shared" si="30"/>
        <v>2</v>
      </c>
      <c r="P677" s="843" t="e">
        <f t="shared" si="27"/>
        <v>#REF!</v>
      </c>
    </row>
    <row r="678" spans="1:18" ht="15" customHeight="1">
      <c r="A678" s="657">
        <f>IF(B678="",MAX($A$8:A677)+0,MAX($A$8:A677)+1)</f>
        <v>69</v>
      </c>
      <c r="B678" s="835" t="str">
        <f>IF(C678="","",COUNTA($C$10:C679))</f>
        <v/>
      </c>
      <c r="C678" s="362"/>
      <c r="D678" s="851"/>
      <c r="E678" s="852" t="s">
        <v>134</v>
      </c>
      <c r="F678" s="848" t="str">
        <f>VLOOKUP(E678,DICH!B:C,2,FALSE)</f>
        <v>Wooden</v>
      </c>
      <c r="G678" s="362" t="s">
        <v>545</v>
      </c>
      <c r="H678" s="847">
        <v>1.4999999999999999E-2</v>
      </c>
      <c r="I678" s="848">
        <f>VLOOKUP(E678,'11.gia '!$B:$I,8,FALSE)</f>
        <v>5000000</v>
      </c>
      <c r="J678" s="853">
        <f t="shared" si="29"/>
        <v>75000</v>
      </c>
      <c r="N678" s="843" t="e">
        <f>SUMIF(#REF!,'8.Dgia'!A678,#REF!)+SUMIF(#REF!,'8.Dgia'!A678,#REF!)+SUMIF(#REF!,'8.Dgia'!A678,#REF!)+SUMIF(#REF!,'8.Dgia'!A678,#REF!)</f>
        <v>#REF!</v>
      </c>
      <c r="O678" s="844">
        <f t="shared" si="30"/>
        <v>2</v>
      </c>
      <c r="P678" s="843" t="e">
        <f t="shared" si="27"/>
        <v>#REF!</v>
      </c>
    </row>
    <row r="679" spans="1:18" ht="15" customHeight="1">
      <c r="A679" s="657">
        <f>IF(B679="",MAX($A$8:A678)+0,MAX($A$8:A678)+1)</f>
        <v>69</v>
      </c>
      <c r="B679" s="835" t="str">
        <f>IF(C679="","",COUNTA($C$10:C680))</f>
        <v/>
      </c>
      <c r="C679" s="362"/>
      <c r="D679" s="851"/>
      <c r="E679" s="852" t="s">
        <v>555</v>
      </c>
      <c r="F679" s="848" t="str">
        <f>VLOOKUP(E679,DICH!B:C,2,FALSE)</f>
        <v>Other material</v>
      </c>
      <c r="G679" s="362" t="s">
        <v>554</v>
      </c>
      <c r="H679" s="847">
        <v>2</v>
      </c>
      <c r="I679" s="848">
        <f>SUM(J673:J678)</f>
        <v>147502.02597127712</v>
      </c>
      <c r="J679" s="853">
        <f>I679*H679%</f>
        <v>2950.0405194255427</v>
      </c>
      <c r="N679" s="843" t="e">
        <f>SUMIF(#REF!,'8.Dgia'!A679,#REF!)+SUMIF(#REF!,'8.Dgia'!A679,#REF!)+SUMIF(#REF!,'8.Dgia'!A679,#REF!)+SUMIF(#REF!,'8.Dgia'!A679,#REF!)</f>
        <v>#REF!</v>
      </c>
      <c r="O679" s="844"/>
      <c r="P679" s="843" t="e">
        <f t="shared" si="27"/>
        <v>#REF!</v>
      </c>
    </row>
    <row r="680" spans="1:18" s="658" customFormat="1" ht="15" customHeight="1">
      <c r="A680" s="657">
        <f>IF(B680="",MAX($A$8:A679)+0,MAX($A$8:A679)+1)</f>
        <v>69</v>
      </c>
      <c r="B680" s="835" t="str">
        <f>IF(C680="","",COUNTA($C$10:C681))</f>
        <v/>
      </c>
      <c r="C680" s="362"/>
      <c r="D680" s="845"/>
      <c r="E680" s="852" t="s">
        <v>2040</v>
      </c>
      <c r="F680" s="848" t="str">
        <f>VLOOKUP(E680,DICH!B:C,2,FALSE)</f>
        <v xml:space="preserve">  B - Labour 4.5/7</v>
      </c>
      <c r="G680" s="362" t="s">
        <v>4899</v>
      </c>
      <c r="H680" s="847">
        <v>1.65</v>
      </c>
      <c r="I680" s="848">
        <f>VLOOKUP(E680,'16.NC'!$C$11:$F$22,4,FALSE)</f>
        <v>237875</v>
      </c>
      <c r="J680" s="849">
        <f>I680*H680</f>
        <v>392493.75</v>
      </c>
      <c r="K680" s="850"/>
      <c r="L680" s="850"/>
      <c r="M680" s="850"/>
      <c r="N680" s="843" t="e">
        <f>SUMIF(#REF!,'8.Dgia'!A680,#REF!)+SUMIF(#REF!,'8.Dgia'!A680,#REF!)+SUMIF(#REF!,'8.Dgia'!A680,#REF!)+SUMIF(#REF!,'8.Dgia'!A680,#REF!)</f>
        <v>#REF!</v>
      </c>
      <c r="O680" s="844"/>
      <c r="P680" s="843" t="e">
        <f t="shared" si="27"/>
        <v>#REF!</v>
      </c>
      <c r="R680" s="658">
        <v>1</v>
      </c>
    </row>
    <row r="681" spans="1:18" s="658" customFormat="1" ht="15" customHeight="1">
      <c r="A681" s="657">
        <f>IF(B681="",MAX($A$8:A680)+0,MAX($A$8:A680)+1)</f>
        <v>69</v>
      </c>
      <c r="B681" s="835" t="str">
        <f>IF(C681="","",COUNTA($C$10:C682))</f>
        <v/>
      </c>
      <c r="C681" s="362"/>
      <c r="D681" s="845"/>
      <c r="E681" s="852" t="s">
        <v>2033</v>
      </c>
      <c r="F681" s="848" t="str">
        <f>VLOOKUP(E681,DICH!B:C,2,FALSE)</f>
        <v xml:space="preserve">  C - Machine</v>
      </c>
      <c r="G681" s="846"/>
      <c r="H681" s="847"/>
      <c r="I681" s="848"/>
      <c r="J681" s="849">
        <f>SUM(J682:J687)</f>
        <v>419656.65535022726</v>
      </c>
      <c r="K681" s="850"/>
      <c r="L681" s="850"/>
      <c r="M681" s="850"/>
      <c r="N681" s="843" t="e">
        <f>SUMIF(#REF!,'8.Dgia'!A681,#REF!)+SUMIF(#REF!,'8.Dgia'!A681,#REF!)+SUMIF(#REF!,'8.Dgia'!A681,#REF!)+SUMIF(#REF!,'8.Dgia'!A681,#REF!)</f>
        <v>#REF!</v>
      </c>
      <c r="O681" s="844"/>
      <c r="P681" s="843" t="e">
        <f t="shared" si="27"/>
        <v>#REF!</v>
      </c>
    </row>
    <row r="682" spans="1:18" ht="15" customHeight="1">
      <c r="A682" s="657">
        <f>IF(B682="",MAX($A$8:A681)+0,MAX($A$8:A681)+1)</f>
        <v>69</v>
      </c>
      <c r="B682" s="835" t="str">
        <f>IF(C682="","",COUNTA($C$10:C683))</f>
        <v/>
      </c>
      <c r="C682" s="362"/>
      <c r="D682" s="851"/>
      <c r="E682" s="852" t="s">
        <v>612</v>
      </c>
      <c r="F682" s="848" t="str">
        <f>VLOOKUP(E682,'9.may'!E:F,2,FALSE)</f>
        <v>jack 50T</v>
      </c>
      <c r="G682" s="362" t="s">
        <v>4902</v>
      </c>
      <c r="H682" s="847">
        <v>0.35</v>
      </c>
      <c r="I682" s="848">
        <f>VLOOKUP(E682,'9.may'!E:W,12,FALSE)</f>
        <v>209878.78500000003</v>
      </c>
      <c r="J682" s="853">
        <f>I682*H682</f>
        <v>73457.57475</v>
      </c>
      <c r="N682" s="843" t="e">
        <f>SUMIF(#REF!,'8.Dgia'!A682,#REF!)+SUMIF(#REF!,'8.Dgia'!A682,#REF!)+SUMIF(#REF!,'8.Dgia'!A682,#REF!)+SUMIF(#REF!,'8.Dgia'!A682,#REF!)</f>
        <v>#REF!</v>
      </c>
      <c r="O682" s="844">
        <f>+$H$687</f>
        <v>5</v>
      </c>
      <c r="P682" s="843" t="e">
        <f t="shared" si="27"/>
        <v>#REF!</v>
      </c>
    </row>
    <row r="683" spans="1:18" ht="15" customHeight="1">
      <c r="A683" s="657">
        <f>IF(B683="",MAX($A$8:A682)+0,MAX($A$8:A682)+1)</f>
        <v>69</v>
      </c>
      <c r="B683" s="835" t="str">
        <f>IF(C683="","",COUNTA($C$10:C684))</f>
        <v/>
      </c>
      <c r="C683" s="362"/>
      <c r="D683" s="851"/>
      <c r="E683" s="852" t="s">
        <v>614</v>
      </c>
      <c r="F683" s="848" t="str">
        <f>VLOOKUP(E683,'9.may'!E:F,2,FALSE)</f>
        <v>electric winch 3Ton</v>
      </c>
      <c r="G683" s="362" t="s">
        <v>4902</v>
      </c>
      <c r="H683" s="847">
        <v>0.18</v>
      </c>
      <c r="I683" s="848">
        <f>VLOOKUP(E683,'9.may'!E:W,12,FALSE)</f>
        <v>108443.97000000002</v>
      </c>
      <c r="J683" s="853">
        <f>I683*H683</f>
        <v>19519.914600000004</v>
      </c>
      <c r="N683" s="843" t="e">
        <f>SUMIF(#REF!,'8.Dgia'!A683,#REF!)+SUMIF(#REF!,'8.Dgia'!A683,#REF!)+SUMIF(#REF!,'8.Dgia'!A683,#REF!)+SUMIF(#REF!,'8.Dgia'!A683,#REF!)</f>
        <v>#REF!</v>
      </c>
      <c r="O683" s="844">
        <f>+$H$687</f>
        <v>5</v>
      </c>
      <c r="P683" s="843" t="e">
        <f t="shared" si="27"/>
        <v>#REF!</v>
      </c>
    </row>
    <row r="684" spans="1:18" ht="15" customHeight="1">
      <c r="A684" s="657">
        <f>IF(B684="",MAX($A$8:A683)+0,MAX($A$8:A683)+1)</f>
        <v>69</v>
      </c>
      <c r="B684" s="835" t="str">
        <f>IF(C684="","",COUNTA($C$10:C685))</f>
        <v/>
      </c>
      <c r="C684" s="362"/>
      <c r="D684" s="851"/>
      <c r="E684" s="852" t="s">
        <v>289</v>
      </c>
      <c r="F684" s="848" t="str">
        <f>VLOOKUP(E684,'9.may'!E:F,2,FALSE)</f>
        <v>caterpillar crane 50T</v>
      </c>
      <c r="G684" s="362" t="s">
        <v>4902</v>
      </c>
      <c r="H684" s="847">
        <v>0.08</v>
      </c>
      <c r="I684" s="848">
        <f>VLOOKUP(E684,'9.may'!E:W,12,FALSE)</f>
        <v>3833693.9468181818</v>
      </c>
      <c r="J684" s="853">
        <f>I684*H684</f>
        <v>306695.51574545453</v>
      </c>
      <c r="N684" s="843" t="e">
        <f>SUMIF(#REF!,'8.Dgia'!A684,#REF!)+SUMIF(#REF!,'8.Dgia'!A684,#REF!)+SUMIF(#REF!,'8.Dgia'!A684,#REF!)+SUMIF(#REF!,'8.Dgia'!A684,#REF!)</f>
        <v>#REF!</v>
      </c>
      <c r="O684" s="844">
        <f>+$H$687</f>
        <v>5</v>
      </c>
      <c r="P684" s="843" t="e">
        <f t="shared" si="27"/>
        <v>#REF!</v>
      </c>
    </row>
    <row r="685" spans="1:18" ht="15" customHeight="1">
      <c r="A685" s="657">
        <f>IF(B685="",MAX($A$8:A684)+0,MAX($A$8:A684)+1)</f>
        <v>69</v>
      </c>
      <c r="B685" s="835" t="str">
        <f>IF(C685="","",COUNTA($C$10:C686))</f>
        <v/>
      </c>
      <c r="C685" s="362"/>
      <c r="D685" s="851"/>
      <c r="E685" s="852" t="s">
        <v>556</v>
      </c>
      <c r="F685" s="848" t="str">
        <f>VLOOKUP(E685,'9.may'!E:F,2,FALSE)</f>
        <v>barge 400Ton</v>
      </c>
      <c r="G685" s="362" t="s">
        <v>4902</v>
      </c>
      <c r="H685" s="847"/>
      <c r="I685" s="848">
        <f>VLOOKUP(E685,'9.may'!E:W,12,FALSE)</f>
        <v>1144511.22</v>
      </c>
      <c r="J685" s="853">
        <f>I685*H685</f>
        <v>0</v>
      </c>
      <c r="N685" s="843" t="e">
        <f>SUMIF(#REF!,'8.Dgia'!A685,#REF!)+SUMIF(#REF!,'8.Dgia'!A685,#REF!)+SUMIF(#REF!,'8.Dgia'!A685,#REF!)+SUMIF(#REF!,'8.Dgia'!A685,#REF!)</f>
        <v>#REF!</v>
      </c>
      <c r="O685" s="844">
        <f>+$H$687</f>
        <v>5</v>
      </c>
      <c r="P685" s="843" t="e">
        <f t="shared" si="27"/>
        <v>#REF!</v>
      </c>
    </row>
    <row r="686" spans="1:18" ht="15" customHeight="1">
      <c r="A686" s="657">
        <f>IF(B686="",MAX($A$8:A685)+0,MAX($A$8:A685)+1)</f>
        <v>69</v>
      </c>
      <c r="B686" s="835" t="str">
        <f>IF(C686="","",COUNTA($C$10:C687))</f>
        <v/>
      </c>
      <c r="C686" s="362"/>
      <c r="D686" s="851"/>
      <c r="E686" s="852" t="s">
        <v>1986</v>
      </c>
      <c r="F686" s="848" t="str">
        <f>VLOOKUP(E686,'9.may'!E:F,2,FALSE)</f>
        <v>canoe 120CV</v>
      </c>
      <c r="G686" s="362" t="s">
        <v>4902</v>
      </c>
      <c r="H686" s="847"/>
      <c r="I686" s="848">
        <f>VLOOKUP(E686,'9.may'!E:W,12,FALSE)</f>
        <v>807573.68181818177</v>
      </c>
      <c r="J686" s="853">
        <f>I686*H686</f>
        <v>0</v>
      </c>
      <c r="N686" s="843" t="e">
        <f>SUMIF(#REF!,'8.Dgia'!A686,#REF!)+SUMIF(#REF!,'8.Dgia'!A686,#REF!)+SUMIF(#REF!,'8.Dgia'!A686,#REF!)+SUMIF(#REF!,'8.Dgia'!A686,#REF!)</f>
        <v>#REF!</v>
      </c>
      <c r="O686" s="844">
        <f>+$H$687</f>
        <v>5</v>
      </c>
      <c r="P686" s="843" t="e">
        <f t="shared" si="27"/>
        <v>#REF!</v>
      </c>
      <c r="Q686" s="657">
        <f>25000*15900</f>
        <v>397500000</v>
      </c>
    </row>
    <row r="687" spans="1:18" ht="15" customHeight="1">
      <c r="A687" s="657">
        <f>IF(B687="",MAX($A$8:A686)+0,MAX($A$8:A686)+1)</f>
        <v>69</v>
      </c>
      <c r="B687" s="835" t="str">
        <f>IF(C687="","",COUNTA($C$10:C688))</f>
        <v/>
      </c>
      <c r="C687" s="362"/>
      <c r="D687" s="851"/>
      <c r="E687" s="852" t="s">
        <v>553</v>
      </c>
      <c r="F687" s="848" t="str">
        <f>VLOOKUP(E687,DICH!B:C,2,FALSE)</f>
        <v>Other machine</v>
      </c>
      <c r="G687" s="362" t="s">
        <v>554</v>
      </c>
      <c r="H687" s="847">
        <v>5</v>
      </c>
      <c r="I687" s="848">
        <f>SUM(J682:J686)</f>
        <v>399673.00509545451</v>
      </c>
      <c r="J687" s="853">
        <f>I687*H687%</f>
        <v>19983.650254772729</v>
      </c>
      <c r="N687" s="843" t="e">
        <f>SUMIF(#REF!,'8.Dgia'!A687,#REF!)+SUMIF(#REF!,'8.Dgia'!A687,#REF!)+SUMIF(#REF!,'8.Dgia'!A687,#REF!)+SUMIF(#REF!,'8.Dgia'!A687,#REF!)</f>
        <v>#REF!</v>
      </c>
      <c r="O687" s="844"/>
      <c r="P687" s="843" t="e">
        <f t="shared" si="27"/>
        <v>#REF!</v>
      </c>
    </row>
    <row r="688" spans="1:18" ht="15" customHeight="1">
      <c r="A688" s="657">
        <f>IF(B688="",MAX($A$8:A687)+0,MAX($A$8:A687)+1)</f>
        <v>70</v>
      </c>
      <c r="B688" s="835">
        <f>IF(C688="","",COUNTA($C$10:C689))</f>
        <v>70</v>
      </c>
      <c r="C688" s="835">
        <f>IF(D688="","",1776)</f>
        <v>1776</v>
      </c>
      <c r="D688" s="851" t="s">
        <v>392</v>
      </c>
      <c r="E688" s="855" t="s">
        <v>570</v>
      </c>
      <c r="F688" s="1049" t="str">
        <f>VLOOKUP(E688,DICH!B:C,2,FALSE)</f>
        <v>Cable of cantilever beam (land)</v>
      </c>
      <c r="G688" s="856" t="s">
        <v>4644</v>
      </c>
      <c r="H688" s="847"/>
      <c r="I688" s="848"/>
      <c r="J688" s="857"/>
      <c r="K688" s="842">
        <f>+J689</f>
        <v>26851917.272727273</v>
      </c>
      <c r="L688" s="842">
        <f>+J693</f>
        <v>6660500</v>
      </c>
      <c r="M688" s="842">
        <f>+J694</f>
        <v>7187113.0471254541</v>
      </c>
      <c r="N688" s="843" t="e">
        <f>SUMIF(#REF!,'8.Dgia'!A688,#REF!)+SUMIF(#REF!,'8.Dgia'!A688,#REF!)+SUMIF(#REF!,'8.Dgia'!A688,#REF!)+SUMIF(#REF!,'8.Dgia'!A688,#REF!)</f>
        <v>#REF!</v>
      </c>
      <c r="O688" s="844"/>
      <c r="P688" s="843" t="e">
        <f t="shared" si="27"/>
        <v>#REF!</v>
      </c>
    </row>
    <row r="689" spans="1:18" s="658" customFormat="1" ht="15" customHeight="1">
      <c r="A689" s="657">
        <f>IF(B689="",MAX($A$8:A688)+0,MAX($A$8:A688)+1)</f>
        <v>70</v>
      </c>
      <c r="B689" s="835" t="str">
        <f>IF(C689="","",COUNTA($C$10:C690))</f>
        <v/>
      </c>
      <c r="C689" s="362"/>
      <c r="D689" s="845"/>
      <c r="E689" s="852" t="s">
        <v>2032</v>
      </c>
      <c r="F689" s="848" t="str">
        <f>VLOOKUP(E689,DICH!B:C,2,FALSE)</f>
        <v xml:space="preserve">  A - Material</v>
      </c>
      <c r="G689" s="846"/>
      <c r="H689" s="847"/>
      <c r="I689" s="848"/>
      <c r="J689" s="849">
        <f>SUM(J690:J692)</f>
        <v>26851917.272727273</v>
      </c>
      <c r="K689" s="850"/>
      <c r="L689" s="850"/>
      <c r="M689" s="850"/>
      <c r="N689" s="843" t="e">
        <f>SUMIF(#REF!,'8.Dgia'!A689,#REF!)+SUMIF(#REF!,'8.Dgia'!A689,#REF!)+SUMIF(#REF!,'8.Dgia'!A689,#REF!)+SUMIF(#REF!,'8.Dgia'!A689,#REF!)</f>
        <v>#REF!</v>
      </c>
      <c r="O689" s="844"/>
      <c r="P689" s="843" t="e">
        <f t="shared" si="27"/>
        <v>#REF!</v>
      </c>
    </row>
    <row r="690" spans="1:18" ht="15" customHeight="1">
      <c r="A690" s="657">
        <f>IF(B690="",MAX($A$8:A689)+0,MAX($A$8:A689)+1)</f>
        <v>70</v>
      </c>
      <c r="B690" s="835" t="str">
        <f>IF(C690="","",COUNTA($C$10:C691))</f>
        <v/>
      </c>
      <c r="C690" s="362"/>
      <c r="D690" s="851"/>
      <c r="E690" s="852" t="s">
        <v>571</v>
      </c>
      <c r="F690" s="848" t="str">
        <f>VLOOKUP(E690,DICH!B:C,2,FALSE)</f>
        <v>high strength cable</v>
      </c>
      <c r="G690" s="362" t="s">
        <v>558</v>
      </c>
      <c r="H690" s="847">
        <v>1025</v>
      </c>
      <c r="I690" s="848">
        <f>VLOOKUP(E690,'11.gia '!$B:$I,8,FALSE)</f>
        <v>25454.545454545452</v>
      </c>
      <c r="J690" s="853">
        <f>I690*H690</f>
        <v>26090909.09090909</v>
      </c>
      <c r="N690" s="843" t="e">
        <f>SUMIF(#REF!,'8.Dgia'!A690,#REF!)+SUMIF(#REF!,'8.Dgia'!A690,#REF!)+SUMIF(#REF!,'8.Dgia'!A690,#REF!)+SUMIF(#REF!,'8.Dgia'!A690,#REF!)</f>
        <v>#REF!</v>
      </c>
      <c r="O690" s="844">
        <f>+$H$692</f>
        <v>2</v>
      </c>
      <c r="P690" s="843" t="e">
        <f t="shared" si="27"/>
        <v>#REF!</v>
      </c>
    </row>
    <row r="691" spans="1:18" ht="15" customHeight="1">
      <c r="A691" s="657">
        <f>IF(B691="",MAX($A$8:A690)+0,MAX($A$8:A690)+1)</f>
        <v>70</v>
      </c>
      <c r="B691" s="835" t="str">
        <f>IF(C691="","",COUNTA($C$10:C692))</f>
        <v/>
      </c>
      <c r="C691" s="362"/>
      <c r="D691" s="851"/>
      <c r="E691" s="852" t="s">
        <v>572</v>
      </c>
      <c r="F691" s="848" t="str">
        <f>VLOOKUP(E691,DICH!B:C,2,FALSE)</f>
        <v>Split stone</v>
      </c>
      <c r="G691" s="362" t="s">
        <v>573</v>
      </c>
      <c r="H691" s="847">
        <v>6.7</v>
      </c>
      <c r="I691" s="848">
        <f>VLOOKUP(E691,'11.gia '!$B:$I,8,FALSE)</f>
        <v>35000</v>
      </c>
      <c r="J691" s="853">
        <f>I691*H691</f>
        <v>234500</v>
      </c>
      <c r="N691" s="843" t="e">
        <f>SUMIF(#REF!,'8.Dgia'!A691,#REF!)+SUMIF(#REF!,'8.Dgia'!A691,#REF!)+SUMIF(#REF!,'8.Dgia'!A691,#REF!)+SUMIF(#REF!,'8.Dgia'!A691,#REF!)</f>
        <v>#REF!</v>
      </c>
      <c r="O691" s="844">
        <f>+$H$692</f>
        <v>2</v>
      </c>
      <c r="P691" s="843" t="e">
        <f t="shared" si="27"/>
        <v>#REF!</v>
      </c>
    </row>
    <row r="692" spans="1:18" ht="15" customHeight="1">
      <c r="A692" s="657">
        <f>IF(B692="",MAX($A$8:A691)+0,MAX($A$8:A691)+1)</f>
        <v>70</v>
      </c>
      <c r="B692" s="835" t="str">
        <f>IF(C692="","",COUNTA($C$10:C693))</f>
        <v/>
      </c>
      <c r="C692" s="362"/>
      <c r="D692" s="851"/>
      <c r="E692" s="852" t="s">
        <v>555</v>
      </c>
      <c r="F692" s="848" t="str">
        <f>VLOOKUP(E692,DICH!B:C,2,FALSE)</f>
        <v>Other material</v>
      </c>
      <c r="G692" s="362" t="s">
        <v>554</v>
      </c>
      <c r="H692" s="847">
        <v>2</v>
      </c>
      <c r="I692" s="848">
        <f>SUM(J690:J691)</f>
        <v>26325409.09090909</v>
      </c>
      <c r="J692" s="853">
        <f>I692*H692%</f>
        <v>526508.18181818177</v>
      </c>
      <c r="N692" s="843" t="e">
        <f>SUMIF(#REF!,'8.Dgia'!A692,#REF!)+SUMIF(#REF!,'8.Dgia'!A692,#REF!)+SUMIF(#REF!,'8.Dgia'!A692,#REF!)+SUMIF(#REF!,'8.Dgia'!A692,#REF!)</f>
        <v>#REF!</v>
      </c>
      <c r="O692" s="844"/>
      <c r="P692" s="843" t="e">
        <f t="shared" si="27"/>
        <v>#REF!</v>
      </c>
    </row>
    <row r="693" spans="1:18" s="658" customFormat="1" ht="15" customHeight="1">
      <c r="A693" s="657">
        <f>IF(B693="",MAX($A$8:A692)+0,MAX($A$8:A692)+1)</f>
        <v>70</v>
      </c>
      <c r="B693" s="835" t="str">
        <f>IF(C693="","",COUNTA($C$10:C694))</f>
        <v/>
      </c>
      <c r="C693" s="362"/>
      <c r="D693" s="845"/>
      <c r="E693" s="852" t="s">
        <v>2040</v>
      </c>
      <c r="F693" s="848" t="str">
        <f>VLOOKUP(E693,DICH!B:C,2,FALSE)</f>
        <v xml:space="preserve">  B - Labour 4.5/7</v>
      </c>
      <c r="G693" s="362" t="s">
        <v>4899</v>
      </c>
      <c r="H693" s="847">
        <v>28</v>
      </c>
      <c r="I693" s="848">
        <f>VLOOKUP(E693,'16.NC'!$C$11:$F$22,4,FALSE)</f>
        <v>237875</v>
      </c>
      <c r="J693" s="849">
        <f>I693*H693</f>
        <v>6660500</v>
      </c>
      <c r="K693" s="850"/>
      <c r="L693" s="850"/>
      <c r="M693" s="850"/>
      <c r="N693" s="843" t="e">
        <f>SUMIF(#REF!,'8.Dgia'!A693,#REF!)+SUMIF(#REF!,'8.Dgia'!A693,#REF!)+SUMIF(#REF!,'8.Dgia'!A693,#REF!)+SUMIF(#REF!,'8.Dgia'!A693,#REF!)</f>
        <v>#REF!</v>
      </c>
      <c r="O693" s="844"/>
      <c r="P693" s="843" t="e">
        <f t="shared" si="27"/>
        <v>#REF!</v>
      </c>
      <c r="R693" s="658">
        <v>1</v>
      </c>
    </row>
    <row r="694" spans="1:18" s="658" customFormat="1" ht="15" customHeight="1">
      <c r="A694" s="657">
        <f>IF(B694="",MAX($A$8:A693)+0,MAX($A$8:A693)+1)</f>
        <v>70</v>
      </c>
      <c r="B694" s="835" t="str">
        <f>IF(C694="","",COUNTA($C$10:C695))</f>
        <v/>
      </c>
      <c r="C694" s="362"/>
      <c r="D694" s="845"/>
      <c r="E694" s="852" t="s">
        <v>2033</v>
      </c>
      <c r="F694" s="848" t="str">
        <f>VLOOKUP(E694,DICH!B:C,2,FALSE)</f>
        <v xml:space="preserve">  C - Machine</v>
      </c>
      <c r="G694" s="846"/>
      <c r="H694" s="847"/>
      <c r="I694" s="848"/>
      <c r="J694" s="849">
        <f>SUM(J695:J704)</f>
        <v>7187113.0471254541</v>
      </c>
      <c r="K694" s="850"/>
      <c r="L694" s="850"/>
      <c r="M694" s="850"/>
      <c r="N694" s="843" t="e">
        <f>SUMIF(#REF!,'8.Dgia'!A694,#REF!)+SUMIF(#REF!,'8.Dgia'!A694,#REF!)+SUMIF(#REF!,'8.Dgia'!A694,#REF!)+SUMIF(#REF!,'8.Dgia'!A694,#REF!)</f>
        <v>#REF!</v>
      </c>
      <c r="O694" s="844"/>
      <c r="P694" s="843" t="e">
        <f t="shared" si="27"/>
        <v>#REF!</v>
      </c>
    </row>
    <row r="695" spans="1:18" ht="15" customHeight="1">
      <c r="A695" s="657">
        <f>IF(B695="",MAX($A$8:A694)+0,MAX($A$8:A694)+1)</f>
        <v>70</v>
      </c>
      <c r="B695" s="835" t="str">
        <f>IF(C695="","",COUNTA($C$10:C696))</f>
        <v/>
      </c>
      <c r="C695" s="362"/>
      <c r="D695" s="851"/>
      <c r="E695" s="852" t="s">
        <v>288</v>
      </c>
      <c r="F695" s="848" t="str">
        <f>VLOOKUP(E695,'9.may'!E:F,2,FALSE)</f>
        <v>caterpillar crane 25T</v>
      </c>
      <c r="G695" s="362" t="s">
        <v>4902</v>
      </c>
      <c r="H695" s="847">
        <v>0.17</v>
      </c>
      <c r="I695" s="848">
        <f>VLOOKUP(E695,'9.may'!E:W,12,FALSE)</f>
        <v>2787996.6736363638</v>
      </c>
      <c r="J695" s="853">
        <f t="shared" ref="J695:J703" si="31">I695*H695</f>
        <v>473959.43451818189</v>
      </c>
      <c r="N695" s="843" t="e">
        <f>SUMIF(#REF!,'8.Dgia'!A695,#REF!)+SUMIF(#REF!,'8.Dgia'!A695,#REF!)+SUMIF(#REF!,'8.Dgia'!A695,#REF!)+SUMIF(#REF!,'8.Dgia'!A695,#REF!)</f>
        <v>#REF!</v>
      </c>
      <c r="O695" s="844">
        <f>+$H$704</f>
        <v>1.5</v>
      </c>
      <c r="P695" s="843" t="e">
        <f t="shared" si="27"/>
        <v>#REF!</v>
      </c>
    </row>
    <row r="696" spans="1:18" ht="15" customHeight="1">
      <c r="A696" s="657">
        <f>IF(B696="",MAX($A$8:A695)+0,MAX($A$8:A695)+1)</f>
        <v>70</v>
      </c>
      <c r="B696" s="835" t="str">
        <f>IF(C696="","",COUNTA($C$10:C697))</f>
        <v/>
      </c>
      <c r="C696" s="362"/>
      <c r="D696" s="851"/>
      <c r="E696" s="852" t="s">
        <v>1109</v>
      </c>
      <c r="F696" s="848" t="str">
        <f>VLOOKUP(E696,'9.may'!E:F,2,FALSE)</f>
        <v>electric winch 5Ton</v>
      </c>
      <c r="G696" s="362" t="s">
        <v>4902</v>
      </c>
      <c r="H696" s="847">
        <v>0.42</v>
      </c>
      <c r="I696" s="848">
        <f>VLOOKUP(E696,'9.may'!E:W,12,FALSE)</f>
        <v>135809.41500000001</v>
      </c>
      <c r="J696" s="853">
        <f t="shared" si="31"/>
        <v>57039.954300000005</v>
      </c>
      <c r="N696" s="843" t="e">
        <f>SUMIF(#REF!,'8.Dgia'!A696,#REF!)+SUMIF(#REF!,'8.Dgia'!A696,#REF!)+SUMIF(#REF!,'8.Dgia'!A696,#REF!)+SUMIF(#REF!,'8.Dgia'!A696,#REF!)</f>
        <v>#REF!</v>
      </c>
      <c r="O696" s="844">
        <f t="shared" ref="O696:O703" si="32">+$H$704</f>
        <v>1.5</v>
      </c>
      <c r="P696" s="843" t="e">
        <f t="shared" ref="P696:P759" si="33">$H696*N696*(1+O696%)</f>
        <v>#REF!</v>
      </c>
    </row>
    <row r="697" spans="1:18" ht="15" customHeight="1">
      <c r="A697" s="657">
        <f>IF(B697="",MAX($A$8:A696)+0,MAX($A$8:A696)+1)</f>
        <v>70</v>
      </c>
      <c r="B697" s="835" t="str">
        <f>IF(C697="","",COUNTA($C$10:C698))</f>
        <v/>
      </c>
      <c r="C697" s="362"/>
      <c r="D697" s="851"/>
      <c r="E697" s="852" t="s">
        <v>618</v>
      </c>
      <c r="F697" s="848" t="str">
        <f>VLOOKUP(E697,'9.may'!E:F,2,FALSE)</f>
        <v>cable-cutting machine 10kW</v>
      </c>
      <c r="G697" s="362" t="s">
        <v>4902</v>
      </c>
      <c r="H697" s="847">
        <v>3.3</v>
      </c>
      <c r="I697" s="848">
        <f>VLOOKUP(E697,'9.may'!E:W,12,FALSE)</f>
        <v>93919.01999999999</v>
      </c>
      <c r="J697" s="853">
        <f t="shared" si="31"/>
        <v>309932.76599999995</v>
      </c>
      <c r="N697" s="843" t="e">
        <f>SUMIF(#REF!,'8.Dgia'!A697,#REF!)+SUMIF(#REF!,'8.Dgia'!A697,#REF!)+SUMIF(#REF!,'8.Dgia'!A697,#REF!)+SUMIF(#REF!,'8.Dgia'!A697,#REF!)</f>
        <v>#REF!</v>
      </c>
      <c r="O697" s="844">
        <f t="shared" si="32"/>
        <v>1.5</v>
      </c>
      <c r="P697" s="843" t="e">
        <f t="shared" si="33"/>
        <v>#REF!</v>
      </c>
    </row>
    <row r="698" spans="1:18" ht="15" customHeight="1">
      <c r="A698" s="657">
        <f>IF(B698="",MAX($A$8:A697)+0,MAX($A$8:A697)+1)</f>
        <v>70</v>
      </c>
      <c r="B698" s="835" t="str">
        <f>IF(C698="","",COUNTA($C$10:C699))</f>
        <v/>
      </c>
      <c r="C698" s="362"/>
      <c r="D698" s="851"/>
      <c r="E698" s="852" t="s">
        <v>303</v>
      </c>
      <c r="F698" s="848" t="str">
        <f>VLOOKUP(E698,'9.may'!E:F,2,FALSE)</f>
        <v>cable passing machine 15kW</v>
      </c>
      <c r="G698" s="362" t="s">
        <v>4902</v>
      </c>
      <c r="H698" s="847">
        <v>9</v>
      </c>
      <c r="I698" s="848">
        <f>VLOOKUP(E698,'9.may'!E:W,12,FALSE)</f>
        <v>399767.43</v>
      </c>
      <c r="J698" s="853">
        <f t="shared" si="31"/>
        <v>3597906.87</v>
      </c>
      <c r="N698" s="843" t="e">
        <f>SUMIF(#REF!,'8.Dgia'!A698,#REF!)+SUMIF(#REF!,'8.Dgia'!A698,#REF!)+SUMIF(#REF!,'8.Dgia'!A698,#REF!)+SUMIF(#REF!,'8.Dgia'!A698,#REF!)</f>
        <v>#REF!</v>
      </c>
      <c r="O698" s="844">
        <f t="shared" si="32"/>
        <v>1.5</v>
      </c>
      <c r="P698" s="843" t="e">
        <f t="shared" si="33"/>
        <v>#REF!</v>
      </c>
    </row>
    <row r="699" spans="1:18" ht="15" customHeight="1">
      <c r="A699" s="657">
        <f>IF(B699="",MAX($A$8:A698)+0,MAX($A$8:A698)+1)</f>
        <v>70</v>
      </c>
      <c r="B699" s="835" t="str">
        <f>IF(C699="","",COUNTA($C$10:C700))</f>
        <v/>
      </c>
      <c r="C699" s="362"/>
      <c r="D699" s="851"/>
      <c r="E699" s="852" t="s">
        <v>580</v>
      </c>
      <c r="F699" s="848" t="str">
        <f>VLOOKUP(E699,'9.may'!E:F,2,FALSE)</f>
        <v>water pump 20kW</v>
      </c>
      <c r="G699" s="362" t="s">
        <v>4902</v>
      </c>
      <c r="H699" s="847">
        <v>1.3</v>
      </c>
      <c r="I699" s="848">
        <f>VLOOKUP(E699,'9.may'!E:W,12,FALSE)</f>
        <v>203092.83000000002</v>
      </c>
      <c r="J699" s="853">
        <f t="shared" si="31"/>
        <v>264020.679</v>
      </c>
      <c r="N699" s="843" t="e">
        <f>SUMIF(#REF!,'8.Dgia'!A699,#REF!)+SUMIF(#REF!,'8.Dgia'!A699,#REF!)+SUMIF(#REF!,'8.Dgia'!A699,#REF!)+SUMIF(#REF!,'8.Dgia'!A699,#REF!)</f>
        <v>#REF!</v>
      </c>
      <c r="O699" s="844">
        <f t="shared" si="32"/>
        <v>1.5</v>
      </c>
      <c r="P699" s="843" t="e">
        <f t="shared" si="33"/>
        <v>#REF!</v>
      </c>
    </row>
    <row r="700" spans="1:18" ht="15" customHeight="1">
      <c r="A700" s="657">
        <f>IF(B700="",MAX($A$8:A699)+0,MAX($A$8:A699)+1)</f>
        <v>70</v>
      </c>
      <c r="B700" s="835" t="str">
        <f>IF(C700="","",COUNTA($C$10:C701))</f>
        <v/>
      </c>
      <c r="C700" s="362"/>
      <c r="D700" s="851"/>
      <c r="E700" s="852" t="s">
        <v>610</v>
      </c>
      <c r="F700" s="848" t="str">
        <f>VLOOKUP(E700,'9.may'!E:F,2,FALSE)</f>
        <v>diesel air compressor 600m3/h</v>
      </c>
      <c r="G700" s="362" t="s">
        <v>4902</v>
      </c>
      <c r="H700" s="847">
        <v>0.99</v>
      </c>
      <c r="I700" s="848">
        <f>VLOOKUP(E700,'9.may'!E:W,12,FALSE)</f>
        <v>1323272.1545454543</v>
      </c>
      <c r="J700" s="853">
        <f t="shared" si="31"/>
        <v>1310039.4329999997</v>
      </c>
      <c r="N700" s="843" t="e">
        <f>SUMIF(#REF!,'8.Dgia'!A700,#REF!)+SUMIF(#REF!,'8.Dgia'!A700,#REF!)+SUMIF(#REF!,'8.Dgia'!A700,#REF!)+SUMIF(#REF!,'8.Dgia'!A700,#REF!)</f>
        <v>#REF!</v>
      </c>
      <c r="O700" s="844">
        <f t="shared" si="32"/>
        <v>1.5</v>
      </c>
      <c r="P700" s="843" t="e">
        <f t="shared" si="33"/>
        <v>#REF!</v>
      </c>
    </row>
    <row r="701" spans="1:18" ht="15" customHeight="1">
      <c r="A701" s="657">
        <f>IF(B701="",MAX($A$8:A700)+0,MAX($A$8:A700)+1)</f>
        <v>70</v>
      </c>
      <c r="B701" s="835" t="str">
        <f>IF(C701="","",COUNTA($C$10:C702))</f>
        <v/>
      </c>
      <c r="C701" s="362"/>
      <c r="D701" s="851"/>
      <c r="E701" s="852" t="s">
        <v>619</v>
      </c>
      <c r="F701" s="848" t="str">
        <f>VLOOKUP(E701,'9.may'!E:F,2,FALSE)</f>
        <v>jack 250T</v>
      </c>
      <c r="G701" s="362" t="s">
        <v>4902</v>
      </c>
      <c r="H701" s="847">
        <v>3.3</v>
      </c>
      <c r="I701" s="848">
        <f>VLOOKUP(E701,'9.may'!E:W,12,FALSE)</f>
        <v>95119.44</v>
      </c>
      <c r="J701" s="853">
        <f t="shared" si="31"/>
        <v>313894.152</v>
      </c>
      <c r="N701" s="843" t="e">
        <f>SUMIF(#REF!,'8.Dgia'!A701,#REF!)+SUMIF(#REF!,'8.Dgia'!A701,#REF!)+SUMIF(#REF!,'8.Dgia'!A701,#REF!)+SUMIF(#REF!,'8.Dgia'!A701,#REF!)</f>
        <v>#REF!</v>
      </c>
      <c r="O701" s="844">
        <f t="shared" si="32"/>
        <v>1.5</v>
      </c>
      <c r="P701" s="843" t="e">
        <f t="shared" si="33"/>
        <v>#REF!</v>
      </c>
    </row>
    <row r="702" spans="1:18" ht="15" customHeight="1">
      <c r="A702" s="657">
        <f>IF(B702="",MAX($A$8:A701)+0,MAX($A$8:A701)+1)</f>
        <v>70</v>
      </c>
      <c r="B702" s="835" t="str">
        <f>IF(C702="","",COUNTA($C$10:C703))</f>
        <v/>
      </c>
      <c r="C702" s="362"/>
      <c r="D702" s="851"/>
      <c r="E702" s="852" t="s">
        <v>663</v>
      </c>
      <c r="F702" s="848" t="str">
        <f>VLOOKUP(E702,'9.may'!E:F,2,FALSE)</f>
        <v>jack 500T</v>
      </c>
      <c r="G702" s="362" t="s">
        <v>4902</v>
      </c>
      <c r="H702" s="847">
        <v>3.3</v>
      </c>
      <c r="I702" s="848">
        <f>VLOOKUP(E702,'9.may'!E:W,12,FALSE)</f>
        <v>132935.79</v>
      </c>
      <c r="J702" s="853">
        <f t="shared" si="31"/>
        <v>438688.10700000002</v>
      </c>
      <c r="N702" s="843" t="e">
        <f>SUMIF(#REF!,'8.Dgia'!A702,#REF!)+SUMIF(#REF!,'8.Dgia'!A702,#REF!)+SUMIF(#REF!,'8.Dgia'!A702,#REF!)+SUMIF(#REF!,'8.Dgia'!A702,#REF!)</f>
        <v>#REF!</v>
      </c>
      <c r="O702" s="844">
        <f t="shared" si="32"/>
        <v>1.5</v>
      </c>
      <c r="P702" s="843" t="e">
        <f t="shared" si="33"/>
        <v>#REF!</v>
      </c>
    </row>
    <row r="703" spans="1:18" ht="15" customHeight="1">
      <c r="A703" s="657">
        <f>IF(B703="",MAX($A$8:A702)+0,MAX($A$8:A702)+1)</f>
        <v>70</v>
      </c>
      <c r="B703" s="835" t="str">
        <f>IF(C703="","",COUNTA($C$10:C704))</f>
        <v/>
      </c>
      <c r="C703" s="362"/>
      <c r="D703" s="851"/>
      <c r="E703" s="852" t="s">
        <v>1678</v>
      </c>
      <c r="F703" s="848" t="str">
        <f>VLOOKUP(E703,'9.may'!E:F,2,FALSE)</f>
        <v>chain pulley 3T</v>
      </c>
      <c r="G703" s="362" t="s">
        <v>4902</v>
      </c>
      <c r="H703" s="847">
        <v>5.3</v>
      </c>
      <c r="I703" s="848">
        <f>VLOOKUP(E703,'9.may'!E:W,12,FALSE)</f>
        <v>59512.86</v>
      </c>
      <c r="J703" s="853">
        <f t="shared" si="31"/>
        <v>315418.158</v>
      </c>
      <c r="N703" s="843" t="e">
        <f>SUMIF(#REF!,'8.Dgia'!A703,#REF!)+SUMIF(#REF!,'8.Dgia'!A703,#REF!)+SUMIF(#REF!,'8.Dgia'!A703,#REF!)+SUMIF(#REF!,'8.Dgia'!A703,#REF!)</f>
        <v>#REF!</v>
      </c>
      <c r="O703" s="844">
        <f t="shared" si="32"/>
        <v>1.5</v>
      </c>
      <c r="P703" s="843" t="e">
        <f t="shared" si="33"/>
        <v>#REF!</v>
      </c>
    </row>
    <row r="704" spans="1:18" ht="15" customHeight="1">
      <c r="A704" s="657">
        <f>IF(B704="",MAX($A$8:A703)+0,MAX($A$8:A703)+1)</f>
        <v>70</v>
      </c>
      <c r="B704" s="835" t="str">
        <f>IF(C704="","",COUNTA($C$10:C705))</f>
        <v/>
      </c>
      <c r="C704" s="362"/>
      <c r="D704" s="851"/>
      <c r="E704" s="852" t="s">
        <v>553</v>
      </c>
      <c r="F704" s="848" t="str">
        <f>VLOOKUP(E704,DICH!B:C,2,FALSE)</f>
        <v>Other machine</v>
      </c>
      <c r="G704" s="362" t="s">
        <v>554</v>
      </c>
      <c r="H704" s="847">
        <v>1.5</v>
      </c>
      <c r="I704" s="848">
        <f>SUM(J695:J703)</f>
        <v>7080899.5538181812</v>
      </c>
      <c r="J704" s="853">
        <f>I704*H704%</f>
        <v>106213.49330727271</v>
      </c>
      <c r="N704" s="843" t="e">
        <f>SUMIF(#REF!,'8.Dgia'!A704,#REF!)+SUMIF(#REF!,'8.Dgia'!A704,#REF!)+SUMIF(#REF!,'8.Dgia'!A704,#REF!)+SUMIF(#REF!,'8.Dgia'!A704,#REF!)</f>
        <v>#REF!</v>
      </c>
      <c r="O704" s="844"/>
      <c r="P704" s="843" t="e">
        <f t="shared" si="33"/>
        <v>#REF!</v>
      </c>
    </row>
    <row r="705" spans="1:18" s="1336" customFormat="1" ht="15" customHeight="1">
      <c r="A705" s="1336">
        <f>IF(B705="",MAX($A$8:A704)+0,MAX($A$8:A704)+1)</f>
        <v>71</v>
      </c>
      <c r="B705" s="1337">
        <f>IF(C705="","",COUNTA($C$10:C706))</f>
        <v>71</v>
      </c>
      <c r="C705" s="1337">
        <f>IF(D705="","",1776)</f>
        <v>1776</v>
      </c>
      <c r="D705" s="1459" t="s">
        <v>394</v>
      </c>
      <c r="E705" s="1419" t="s">
        <v>574</v>
      </c>
      <c r="F705" s="1420" t="str">
        <f>VLOOKUP(E705,DICH!B:C,2,FALSE)</f>
        <v>Cable of cantilever beam (water)</v>
      </c>
      <c r="G705" s="1429" t="s">
        <v>4644</v>
      </c>
      <c r="H705" s="1001"/>
      <c r="I705" s="1331"/>
      <c r="J705" s="1460"/>
      <c r="K705" s="1425">
        <f>+J706</f>
        <v>26851917.272727273</v>
      </c>
      <c r="L705" s="1425">
        <f>+J710</f>
        <v>7612000</v>
      </c>
      <c r="M705" s="1425">
        <f>+J711</f>
        <v>7879437.5713810911</v>
      </c>
      <c r="N705" s="1343" t="e">
        <f>SUMIF(#REF!,'8.Dgia'!A705,#REF!)+SUMIF(#REF!,'8.Dgia'!A705,#REF!)+SUMIF(#REF!,'8.Dgia'!A705,#REF!)+SUMIF(#REF!,'8.Dgia'!A705,#REF!)</f>
        <v>#REF!</v>
      </c>
      <c r="O705" s="1426"/>
      <c r="P705" s="1343" t="e">
        <f t="shared" si="33"/>
        <v>#REF!</v>
      </c>
    </row>
    <row r="706" spans="1:18" s="658" customFormat="1" ht="15" customHeight="1">
      <c r="A706" s="657">
        <f>IF(B706="",MAX($A$8:A705)+0,MAX($A$8:A705)+1)</f>
        <v>71</v>
      </c>
      <c r="B706" s="835" t="str">
        <f>IF(C706="","",COUNTA($C$10:C707))</f>
        <v/>
      </c>
      <c r="C706" s="362"/>
      <c r="D706" s="845"/>
      <c r="E706" s="852" t="s">
        <v>2032</v>
      </c>
      <c r="F706" s="848" t="str">
        <f>VLOOKUP(E706,DICH!B:C,2,FALSE)</f>
        <v xml:space="preserve">  A - Material</v>
      </c>
      <c r="G706" s="846"/>
      <c r="H706" s="847"/>
      <c r="I706" s="848"/>
      <c r="J706" s="849">
        <f>SUM(J707:J709)</f>
        <v>26851917.272727273</v>
      </c>
      <c r="K706" s="850"/>
      <c r="L706" s="850"/>
      <c r="M706" s="850"/>
      <c r="N706" s="843" t="e">
        <f>SUMIF(#REF!,'8.Dgia'!A706,#REF!)+SUMIF(#REF!,'8.Dgia'!A706,#REF!)+SUMIF(#REF!,'8.Dgia'!A706,#REF!)+SUMIF(#REF!,'8.Dgia'!A706,#REF!)</f>
        <v>#REF!</v>
      </c>
      <c r="O706" s="844"/>
      <c r="P706" s="843" t="e">
        <f t="shared" si="33"/>
        <v>#REF!</v>
      </c>
    </row>
    <row r="707" spans="1:18" ht="15" customHeight="1">
      <c r="A707" s="657">
        <f>IF(B707="",MAX($A$8:A706)+0,MAX($A$8:A706)+1)</f>
        <v>71</v>
      </c>
      <c r="B707" s="835" t="str">
        <f>IF(C707="","",COUNTA($C$10:C708))</f>
        <v/>
      </c>
      <c r="C707" s="362"/>
      <c r="D707" s="851"/>
      <c r="E707" s="852" t="s">
        <v>571</v>
      </c>
      <c r="F707" s="848" t="str">
        <f>VLOOKUP(E707,DICH!B:C,2,FALSE)</f>
        <v>high strength cable</v>
      </c>
      <c r="G707" s="362" t="s">
        <v>558</v>
      </c>
      <c r="H707" s="847">
        <v>1025</v>
      </c>
      <c r="I707" s="848">
        <f>VLOOKUP(E707,'11.gia '!$B:$I,8,FALSE)</f>
        <v>25454.545454545452</v>
      </c>
      <c r="J707" s="853">
        <f>I707*H707</f>
        <v>26090909.09090909</v>
      </c>
      <c r="N707" s="843" t="e">
        <f>SUMIF(#REF!,'8.Dgia'!A707,#REF!)+SUMIF(#REF!,'8.Dgia'!A707,#REF!)+SUMIF(#REF!,'8.Dgia'!A707,#REF!)+SUMIF(#REF!,'8.Dgia'!A707,#REF!)</f>
        <v>#REF!</v>
      </c>
      <c r="O707" s="844">
        <f>+$H$709</f>
        <v>2</v>
      </c>
      <c r="P707" s="843" t="e">
        <f t="shared" si="33"/>
        <v>#REF!</v>
      </c>
    </row>
    <row r="708" spans="1:18" ht="15" customHeight="1">
      <c r="A708" s="657">
        <f>IF(B708="",MAX($A$8:A707)+0,MAX($A$8:A707)+1)</f>
        <v>71</v>
      </c>
      <c r="B708" s="835" t="str">
        <f>IF(C708="","",COUNTA($C$10:C709))</f>
        <v/>
      </c>
      <c r="C708" s="362"/>
      <c r="D708" s="851"/>
      <c r="E708" s="852" t="s">
        <v>572</v>
      </c>
      <c r="F708" s="848" t="str">
        <f>VLOOKUP(E708,DICH!B:C,2,FALSE)</f>
        <v>Split stone</v>
      </c>
      <c r="G708" s="362" t="s">
        <v>573</v>
      </c>
      <c r="H708" s="847">
        <v>6.7</v>
      </c>
      <c r="I708" s="848">
        <f>VLOOKUP(E708,'11.gia '!$B:$I,8,FALSE)</f>
        <v>35000</v>
      </c>
      <c r="J708" s="853">
        <f>I708*H708</f>
        <v>234500</v>
      </c>
      <c r="N708" s="843" t="e">
        <f>SUMIF(#REF!,'8.Dgia'!A708,#REF!)+SUMIF(#REF!,'8.Dgia'!A708,#REF!)+SUMIF(#REF!,'8.Dgia'!A708,#REF!)+SUMIF(#REF!,'8.Dgia'!A708,#REF!)</f>
        <v>#REF!</v>
      </c>
      <c r="O708" s="844">
        <f>+$H$709</f>
        <v>2</v>
      </c>
      <c r="P708" s="843" t="e">
        <f t="shared" si="33"/>
        <v>#REF!</v>
      </c>
    </row>
    <row r="709" spans="1:18" ht="15" customHeight="1">
      <c r="A709" s="657">
        <f>IF(B709="",MAX($A$8:A708)+0,MAX($A$8:A708)+1)</f>
        <v>71</v>
      </c>
      <c r="B709" s="835" t="str">
        <f>IF(C709="","",COUNTA($C$10:C710))</f>
        <v/>
      </c>
      <c r="C709" s="362"/>
      <c r="D709" s="851"/>
      <c r="E709" s="852" t="s">
        <v>555</v>
      </c>
      <c r="F709" s="848" t="str">
        <f>VLOOKUP(E709,DICH!B:C,2,FALSE)</f>
        <v>Other material</v>
      </c>
      <c r="G709" s="362" t="s">
        <v>554</v>
      </c>
      <c r="H709" s="847">
        <v>2</v>
      </c>
      <c r="I709" s="848">
        <f>SUM(J707:J708)</f>
        <v>26325409.09090909</v>
      </c>
      <c r="J709" s="853">
        <f>I709*H709%</f>
        <v>526508.18181818177</v>
      </c>
      <c r="N709" s="843" t="e">
        <f>SUMIF(#REF!,'8.Dgia'!A709,#REF!)+SUMIF(#REF!,'8.Dgia'!A709,#REF!)+SUMIF(#REF!,'8.Dgia'!A709,#REF!)+SUMIF(#REF!,'8.Dgia'!A709,#REF!)</f>
        <v>#REF!</v>
      </c>
      <c r="O709" s="844"/>
      <c r="P709" s="843" t="e">
        <f t="shared" si="33"/>
        <v>#REF!</v>
      </c>
    </row>
    <row r="710" spans="1:18" s="658" customFormat="1" ht="15" customHeight="1">
      <c r="A710" s="657">
        <f>IF(B710="",MAX($A$8:A709)+0,MAX($A$8:A709)+1)</f>
        <v>71</v>
      </c>
      <c r="B710" s="835" t="str">
        <f>IF(C710="","",COUNTA($C$10:C711))</f>
        <v/>
      </c>
      <c r="C710" s="362"/>
      <c r="D710" s="845"/>
      <c r="E710" s="852" t="s">
        <v>2040</v>
      </c>
      <c r="F710" s="848" t="str">
        <f>VLOOKUP(E710,DICH!B:C,2,FALSE)</f>
        <v xml:space="preserve">  B - Labour 4.5/7</v>
      </c>
      <c r="G710" s="362" t="s">
        <v>4899</v>
      </c>
      <c r="H710" s="847">
        <v>32</v>
      </c>
      <c r="I710" s="848">
        <f>VLOOKUP(E710,'16.NC'!$C$11:$F$22,4,FALSE)</f>
        <v>237875</v>
      </c>
      <c r="J710" s="849">
        <f>I710*H710</f>
        <v>7612000</v>
      </c>
      <c r="K710" s="850"/>
      <c r="L710" s="850"/>
      <c r="M710" s="850"/>
      <c r="N710" s="843" t="e">
        <f>SUMIF(#REF!,'8.Dgia'!A710,#REF!)+SUMIF(#REF!,'8.Dgia'!A710,#REF!)+SUMIF(#REF!,'8.Dgia'!A710,#REF!)+SUMIF(#REF!,'8.Dgia'!A710,#REF!)</f>
        <v>#REF!</v>
      </c>
      <c r="O710" s="844"/>
      <c r="P710" s="843" t="e">
        <f t="shared" si="33"/>
        <v>#REF!</v>
      </c>
      <c r="R710" s="658">
        <v>1</v>
      </c>
    </row>
    <row r="711" spans="1:18" s="658" customFormat="1" ht="15" customHeight="1">
      <c r="A711" s="657">
        <f>IF(B711="",MAX($A$8:A710)+0,MAX($A$8:A710)+1)</f>
        <v>71</v>
      </c>
      <c r="B711" s="835" t="str">
        <f>IF(C711="","",COUNTA($C$10:C712))</f>
        <v/>
      </c>
      <c r="C711" s="362"/>
      <c r="D711" s="845"/>
      <c r="E711" s="852" t="s">
        <v>2033</v>
      </c>
      <c r="F711" s="848" t="str">
        <f>VLOOKUP(E711,DICH!B:C,2,FALSE)</f>
        <v xml:space="preserve">  C - Machine</v>
      </c>
      <c r="G711" s="846"/>
      <c r="H711" s="847"/>
      <c r="I711" s="848"/>
      <c r="J711" s="849">
        <f>SUM(J712:J723)</f>
        <v>7879437.5713810911</v>
      </c>
      <c r="K711" s="850"/>
      <c r="L711" s="850"/>
      <c r="M711" s="850"/>
      <c r="N711" s="843" t="e">
        <f>SUMIF(#REF!,'8.Dgia'!A711,#REF!)+SUMIF(#REF!,'8.Dgia'!A711,#REF!)+SUMIF(#REF!,'8.Dgia'!A711,#REF!)+SUMIF(#REF!,'8.Dgia'!A711,#REF!)</f>
        <v>#REF!</v>
      </c>
      <c r="O711" s="844"/>
      <c r="P711" s="843" t="e">
        <f t="shared" si="33"/>
        <v>#REF!</v>
      </c>
    </row>
    <row r="712" spans="1:18" ht="15" customHeight="1">
      <c r="A712" s="657">
        <f>IF(B712="",MAX($A$8:A711)+0,MAX($A$8:A711)+1)</f>
        <v>71</v>
      </c>
      <c r="B712" s="835" t="str">
        <f>IF(C712="","",COUNTA($C$10:C713))</f>
        <v/>
      </c>
      <c r="C712" s="362"/>
      <c r="D712" s="851"/>
      <c r="E712" s="852" t="s">
        <v>288</v>
      </c>
      <c r="F712" s="848" t="str">
        <f>VLOOKUP(E712,'9.may'!E:F,2,FALSE)</f>
        <v>caterpillar crane 25T</v>
      </c>
      <c r="G712" s="362" t="s">
        <v>4902</v>
      </c>
      <c r="H712" s="847">
        <v>0.25</v>
      </c>
      <c r="I712" s="848">
        <f>VLOOKUP(E712,'9.may'!E:W,12,FALSE)</f>
        <v>2787996.6736363638</v>
      </c>
      <c r="J712" s="853">
        <f t="shared" ref="J712:J722" si="34">I712*H712</f>
        <v>696999.16840909095</v>
      </c>
      <c r="N712" s="843" t="e">
        <f>SUMIF(#REF!,'8.Dgia'!A712,#REF!)+SUMIF(#REF!,'8.Dgia'!A712,#REF!)+SUMIF(#REF!,'8.Dgia'!A712,#REF!)+SUMIF(#REF!,'8.Dgia'!A712,#REF!)</f>
        <v>#REF!</v>
      </c>
      <c r="O712" s="844">
        <f>+$H$723</f>
        <v>1.5</v>
      </c>
      <c r="P712" s="843" t="e">
        <f t="shared" si="33"/>
        <v>#REF!</v>
      </c>
    </row>
    <row r="713" spans="1:18" ht="15" customHeight="1">
      <c r="A713" s="657">
        <f>IF(B713="",MAX($A$8:A712)+0,MAX($A$8:A712)+1)</f>
        <v>71</v>
      </c>
      <c r="B713" s="835" t="str">
        <f>IF(C713="","",COUNTA($C$10:C714))</f>
        <v/>
      </c>
      <c r="C713" s="362"/>
      <c r="D713" s="851"/>
      <c r="E713" s="852" t="s">
        <v>1109</v>
      </c>
      <c r="F713" s="848" t="str">
        <f>VLOOKUP(E713,'9.may'!E:F,2,FALSE)</f>
        <v>electric winch 5Ton</v>
      </c>
      <c r="G713" s="362" t="s">
        <v>4902</v>
      </c>
      <c r="H713" s="847">
        <v>0.62</v>
      </c>
      <c r="I713" s="848">
        <f>VLOOKUP(E713,'9.may'!E:W,12,FALSE)</f>
        <v>135809.41500000001</v>
      </c>
      <c r="J713" s="853">
        <f t="shared" si="34"/>
        <v>84201.837299999999</v>
      </c>
      <c r="N713" s="843" t="e">
        <f>SUMIF(#REF!,'8.Dgia'!A713,#REF!)+SUMIF(#REF!,'8.Dgia'!A713,#REF!)+SUMIF(#REF!,'8.Dgia'!A713,#REF!)+SUMIF(#REF!,'8.Dgia'!A713,#REF!)</f>
        <v>#REF!</v>
      </c>
      <c r="O713" s="844">
        <f t="shared" ref="O713:O722" si="35">+$H$723</f>
        <v>1.5</v>
      </c>
      <c r="P713" s="843" t="e">
        <f t="shared" si="33"/>
        <v>#REF!</v>
      </c>
    </row>
    <row r="714" spans="1:18" ht="15" customHeight="1">
      <c r="A714" s="657">
        <f>IF(B714="",MAX($A$8:A713)+0,MAX($A$8:A713)+1)</f>
        <v>71</v>
      </c>
      <c r="B714" s="835" t="str">
        <f>IF(C714="","",COUNTA($C$10:C715))</f>
        <v/>
      </c>
      <c r="C714" s="362"/>
      <c r="D714" s="851"/>
      <c r="E714" s="852" t="s">
        <v>618</v>
      </c>
      <c r="F714" s="848" t="str">
        <f>VLOOKUP(E714,'9.may'!E:F,2,FALSE)</f>
        <v>cable-cutting machine 10kW</v>
      </c>
      <c r="G714" s="362" t="s">
        <v>4902</v>
      </c>
      <c r="H714" s="847">
        <v>3.3</v>
      </c>
      <c r="I714" s="848">
        <f>VLOOKUP(E714,'9.may'!E:W,12,FALSE)</f>
        <v>93919.01999999999</v>
      </c>
      <c r="J714" s="853">
        <f t="shared" si="34"/>
        <v>309932.76599999995</v>
      </c>
      <c r="N714" s="843" t="e">
        <f>SUMIF(#REF!,'8.Dgia'!A714,#REF!)+SUMIF(#REF!,'8.Dgia'!A714,#REF!)+SUMIF(#REF!,'8.Dgia'!A714,#REF!)+SUMIF(#REF!,'8.Dgia'!A714,#REF!)</f>
        <v>#REF!</v>
      </c>
      <c r="O714" s="844">
        <f t="shared" si="35"/>
        <v>1.5</v>
      </c>
      <c r="P714" s="843" t="e">
        <f t="shared" si="33"/>
        <v>#REF!</v>
      </c>
    </row>
    <row r="715" spans="1:18" ht="15" customHeight="1">
      <c r="A715" s="657">
        <f>IF(B715="",MAX($A$8:A714)+0,MAX($A$8:A714)+1)</f>
        <v>71</v>
      </c>
      <c r="B715" s="835" t="str">
        <f>IF(C715="","",COUNTA($C$10:C716))</f>
        <v/>
      </c>
      <c r="C715" s="362"/>
      <c r="D715" s="851"/>
      <c r="E715" s="852" t="s">
        <v>303</v>
      </c>
      <c r="F715" s="848" t="str">
        <f>VLOOKUP(E715,'9.may'!E:F,2,FALSE)</f>
        <v>cable passing machine 15kW</v>
      </c>
      <c r="G715" s="362" t="s">
        <v>4902</v>
      </c>
      <c r="H715" s="847">
        <v>9.1</v>
      </c>
      <c r="I715" s="848">
        <f>VLOOKUP(E715,'9.may'!E:W,12,FALSE)</f>
        <v>399767.43</v>
      </c>
      <c r="J715" s="853">
        <f t="shared" si="34"/>
        <v>3637883.6129999999</v>
      </c>
      <c r="N715" s="843" t="e">
        <f>SUMIF(#REF!,'8.Dgia'!A715,#REF!)+SUMIF(#REF!,'8.Dgia'!A715,#REF!)+SUMIF(#REF!,'8.Dgia'!A715,#REF!)+SUMIF(#REF!,'8.Dgia'!A715,#REF!)</f>
        <v>#REF!</v>
      </c>
      <c r="O715" s="844">
        <f t="shared" si="35"/>
        <v>1.5</v>
      </c>
      <c r="P715" s="843" t="e">
        <f t="shared" si="33"/>
        <v>#REF!</v>
      </c>
    </row>
    <row r="716" spans="1:18" ht="15" customHeight="1">
      <c r="A716" s="657">
        <f>IF(B716="",MAX($A$8:A715)+0,MAX($A$8:A715)+1)</f>
        <v>71</v>
      </c>
      <c r="B716" s="835" t="str">
        <f>IF(C716="","",COUNTA($C$10:C717))</f>
        <v/>
      </c>
      <c r="C716" s="362"/>
      <c r="D716" s="851"/>
      <c r="E716" s="852" t="s">
        <v>580</v>
      </c>
      <c r="F716" s="848" t="str">
        <f>VLOOKUP(E716,'9.may'!E:F,2,FALSE)</f>
        <v>water pump 20kW</v>
      </c>
      <c r="G716" s="362" t="s">
        <v>4902</v>
      </c>
      <c r="H716" s="847">
        <v>1.3</v>
      </c>
      <c r="I716" s="848">
        <f>VLOOKUP(E716,'9.may'!E:W,12,FALSE)</f>
        <v>203092.83000000002</v>
      </c>
      <c r="J716" s="853">
        <f t="shared" si="34"/>
        <v>264020.679</v>
      </c>
      <c r="N716" s="843" t="e">
        <f>SUMIF(#REF!,'8.Dgia'!A716,#REF!)+SUMIF(#REF!,'8.Dgia'!A716,#REF!)+SUMIF(#REF!,'8.Dgia'!A716,#REF!)+SUMIF(#REF!,'8.Dgia'!A716,#REF!)</f>
        <v>#REF!</v>
      </c>
      <c r="O716" s="844">
        <f t="shared" si="35"/>
        <v>1.5</v>
      </c>
      <c r="P716" s="843" t="e">
        <f t="shared" si="33"/>
        <v>#REF!</v>
      </c>
    </row>
    <row r="717" spans="1:18" ht="15" customHeight="1">
      <c r="A717" s="657">
        <f>IF(B717="",MAX($A$8:A716)+0,MAX($A$8:A716)+1)</f>
        <v>71</v>
      </c>
      <c r="B717" s="835" t="str">
        <f>IF(C717="","",COUNTA($C$10:C718))</f>
        <v/>
      </c>
      <c r="C717" s="362"/>
      <c r="D717" s="851"/>
      <c r="E717" s="852" t="s">
        <v>610</v>
      </c>
      <c r="F717" s="848" t="str">
        <f>VLOOKUP(E717,'9.may'!E:F,2,FALSE)</f>
        <v>diesel air compressor 600m3/h</v>
      </c>
      <c r="G717" s="362" t="s">
        <v>4902</v>
      </c>
      <c r="H717" s="847">
        <v>1.2</v>
      </c>
      <c r="I717" s="848">
        <f>VLOOKUP(E717,'9.may'!E:W,12,FALSE)</f>
        <v>1323272.1545454543</v>
      </c>
      <c r="J717" s="853">
        <f t="shared" si="34"/>
        <v>1587926.5854545452</v>
      </c>
      <c r="N717" s="843" t="e">
        <f>SUMIF(#REF!,'8.Dgia'!A717,#REF!)+SUMIF(#REF!,'8.Dgia'!A717,#REF!)+SUMIF(#REF!,'8.Dgia'!A717,#REF!)+SUMIF(#REF!,'8.Dgia'!A717,#REF!)</f>
        <v>#REF!</v>
      </c>
      <c r="O717" s="844">
        <f t="shared" si="35"/>
        <v>1.5</v>
      </c>
      <c r="P717" s="843" t="e">
        <f t="shared" si="33"/>
        <v>#REF!</v>
      </c>
    </row>
    <row r="718" spans="1:18" ht="15" customHeight="1">
      <c r="A718" s="657">
        <f>IF(B718="",MAX($A$8:A717)+0,MAX($A$8:A717)+1)</f>
        <v>71</v>
      </c>
      <c r="B718" s="835" t="str">
        <f>IF(C718="","",COUNTA($C$10:C719))</f>
        <v/>
      </c>
      <c r="C718" s="362"/>
      <c r="D718" s="851"/>
      <c r="E718" s="852" t="s">
        <v>561</v>
      </c>
      <c r="F718" s="848" t="str">
        <f>VLOOKUP(E718,'9.may'!E:F,2,FALSE)</f>
        <v>barge 200Ton</v>
      </c>
      <c r="G718" s="362" t="s">
        <v>4902</v>
      </c>
      <c r="H718" s="847"/>
      <c r="I718" s="848">
        <f>VLOOKUP(E718,'9.may'!E:W,12,FALSE)</f>
        <v>586485.6</v>
      </c>
      <c r="J718" s="853">
        <f t="shared" si="34"/>
        <v>0</v>
      </c>
      <c r="N718" s="843" t="e">
        <f>SUMIF(#REF!,'8.Dgia'!A718,#REF!)+SUMIF(#REF!,'8.Dgia'!A718,#REF!)+SUMIF(#REF!,'8.Dgia'!A718,#REF!)+SUMIF(#REF!,'8.Dgia'!A718,#REF!)</f>
        <v>#REF!</v>
      </c>
      <c r="O718" s="844">
        <f t="shared" si="35"/>
        <v>1.5</v>
      </c>
      <c r="P718" s="843" t="e">
        <f t="shared" si="33"/>
        <v>#REF!</v>
      </c>
    </row>
    <row r="719" spans="1:18" ht="15" customHeight="1">
      <c r="A719" s="657">
        <f>IF(B719="",MAX($A$8:A718)+0,MAX($A$8:A718)+1)</f>
        <v>71</v>
      </c>
      <c r="B719" s="835" t="str">
        <f>IF(C719="","",COUNTA($C$10:C720))</f>
        <v/>
      </c>
      <c r="C719" s="362"/>
      <c r="D719" s="851"/>
      <c r="E719" s="852" t="s">
        <v>611</v>
      </c>
      <c r="F719" s="848" t="str">
        <f>VLOOKUP(E719,'9.may'!E:F,2,FALSE)</f>
        <v>tug boat 150CV</v>
      </c>
      <c r="G719" s="362" t="s">
        <v>4902</v>
      </c>
      <c r="H719" s="847"/>
      <c r="I719" s="848">
        <f>VLOOKUP(E719,'9.may'!E:W,12,FALSE)</f>
        <v>3329663.6045454545</v>
      </c>
      <c r="J719" s="853">
        <f t="shared" si="34"/>
        <v>0</v>
      </c>
      <c r="N719" s="843" t="e">
        <f>SUMIF(#REF!,'8.Dgia'!A719,#REF!)+SUMIF(#REF!,'8.Dgia'!A719,#REF!)+SUMIF(#REF!,'8.Dgia'!A719,#REF!)+SUMIF(#REF!,'8.Dgia'!A719,#REF!)</f>
        <v>#REF!</v>
      </c>
      <c r="O719" s="844">
        <f t="shared" si="35"/>
        <v>1.5</v>
      </c>
      <c r="P719" s="843" t="e">
        <f t="shared" si="33"/>
        <v>#REF!</v>
      </c>
    </row>
    <row r="720" spans="1:18" ht="15" customHeight="1">
      <c r="A720" s="657">
        <f>IF(B720="",MAX($A$8:A719)+0,MAX($A$8:A719)+1)</f>
        <v>71</v>
      </c>
      <c r="B720" s="835" t="str">
        <f>IF(C720="","",COUNTA($C$10:C721))</f>
        <v/>
      </c>
      <c r="C720" s="362"/>
      <c r="D720" s="851"/>
      <c r="E720" s="852" t="s">
        <v>619</v>
      </c>
      <c r="F720" s="848" t="str">
        <f>VLOOKUP(E720,'9.may'!E:F,2,FALSE)</f>
        <v>jack 250T</v>
      </c>
      <c r="G720" s="362" t="s">
        <v>4902</v>
      </c>
      <c r="H720" s="847">
        <v>3.8</v>
      </c>
      <c r="I720" s="848">
        <f>VLOOKUP(E720,'9.may'!E:W,12,FALSE)</f>
        <v>95119.44</v>
      </c>
      <c r="J720" s="853">
        <f t="shared" si="34"/>
        <v>361453.87199999997</v>
      </c>
      <c r="N720" s="843" t="e">
        <f>SUMIF(#REF!,'8.Dgia'!A720,#REF!)+SUMIF(#REF!,'8.Dgia'!A720,#REF!)+SUMIF(#REF!,'8.Dgia'!A720,#REF!)+SUMIF(#REF!,'8.Dgia'!A720,#REF!)</f>
        <v>#REF!</v>
      </c>
      <c r="O720" s="844">
        <f t="shared" si="35"/>
        <v>1.5</v>
      </c>
      <c r="P720" s="843" t="e">
        <f t="shared" si="33"/>
        <v>#REF!</v>
      </c>
    </row>
    <row r="721" spans="1:18" ht="15" customHeight="1">
      <c r="A721" s="657">
        <f>IF(B721="",MAX($A$8:A720)+0,MAX($A$8:A720)+1)</f>
        <v>71</v>
      </c>
      <c r="B721" s="835" t="str">
        <f>IF(C721="","",COUNTA($C$10:C722))</f>
        <v/>
      </c>
      <c r="C721" s="362"/>
      <c r="D721" s="851"/>
      <c r="E721" s="852" t="s">
        <v>663</v>
      </c>
      <c r="F721" s="848" t="str">
        <f>VLOOKUP(E721,'9.may'!E:F,2,FALSE)</f>
        <v>jack 500T</v>
      </c>
      <c r="G721" s="362" t="s">
        <v>4902</v>
      </c>
      <c r="H721" s="847">
        <v>3.8</v>
      </c>
      <c r="I721" s="848">
        <f>VLOOKUP(E721,'9.may'!E:W,12,FALSE)</f>
        <v>132935.79</v>
      </c>
      <c r="J721" s="853">
        <f t="shared" si="34"/>
        <v>505156.00199999998</v>
      </c>
      <c r="N721" s="843" t="e">
        <f>SUMIF(#REF!,'8.Dgia'!A721,#REF!)+SUMIF(#REF!,'8.Dgia'!A721,#REF!)+SUMIF(#REF!,'8.Dgia'!A721,#REF!)+SUMIF(#REF!,'8.Dgia'!A721,#REF!)</f>
        <v>#REF!</v>
      </c>
      <c r="O721" s="844">
        <f t="shared" si="35"/>
        <v>1.5</v>
      </c>
      <c r="P721" s="843" t="e">
        <f t="shared" si="33"/>
        <v>#REF!</v>
      </c>
    </row>
    <row r="722" spans="1:18" ht="15" customHeight="1">
      <c r="A722" s="657">
        <f>IF(B722="",MAX($A$8:A721)+0,MAX($A$8:A721)+1)</f>
        <v>71</v>
      </c>
      <c r="B722" s="835" t="str">
        <f>IF(C722="","",COUNTA($C$10:C723))</f>
        <v/>
      </c>
      <c r="C722" s="362"/>
      <c r="D722" s="851"/>
      <c r="E722" s="852" t="s">
        <v>1678</v>
      </c>
      <c r="F722" s="848" t="str">
        <f>VLOOKUP(E722,'9.may'!E:F,2,FALSE)</f>
        <v>chain pulley 3T</v>
      </c>
      <c r="G722" s="362" t="s">
        <v>4902</v>
      </c>
      <c r="H722" s="847">
        <v>5.3</v>
      </c>
      <c r="I722" s="848">
        <f>VLOOKUP(E722,'9.may'!E:W,12,FALSE)</f>
        <v>59512.86</v>
      </c>
      <c r="J722" s="853">
        <f t="shared" si="34"/>
        <v>315418.158</v>
      </c>
      <c r="N722" s="843" t="e">
        <f>SUMIF(#REF!,'8.Dgia'!A722,#REF!)+SUMIF(#REF!,'8.Dgia'!A722,#REF!)+SUMIF(#REF!,'8.Dgia'!A722,#REF!)+SUMIF(#REF!,'8.Dgia'!A722,#REF!)</f>
        <v>#REF!</v>
      </c>
      <c r="O722" s="844">
        <f t="shared" si="35"/>
        <v>1.5</v>
      </c>
      <c r="P722" s="843" t="e">
        <f t="shared" si="33"/>
        <v>#REF!</v>
      </c>
    </row>
    <row r="723" spans="1:18" ht="15" customHeight="1">
      <c r="A723" s="657">
        <f>IF(B723="",MAX($A$8:A722)+0,MAX($A$8:A722)+1)</f>
        <v>71</v>
      </c>
      <c r="B723" s="835" t="str">
        <f>IF(C723="","",COUNTA($C$10:C724))</f>
        <v/>
      </c>
      <c r="C723" s="362"/>
      <c r="D723" s="851"/>
      <c r="E723" s="852" t="s">
        <v>553</v>
      </c>
      <c r="F723" s="848" t="str">
        <f>VLOOKUP(E723,DICH!B:C,2,FALSE)</f>
        <v>Other machine</v>
      </c>
      <c r="G723" s="362" t="s">
        <v>554</v>
      </c>
      <c r="H723" s="847">
        <v>1.5</v>
      </c>
      <c r="I723" s="848">
        <f>SUM(J712:J722)</f>
        <v>7762992.681163637</v>
      </c>
      <c r="J723" s="853">
        <f>I723*H723%</f>
        <v>116444.89021745455</v>
      </c>
      <c r="N723" s="843" t="e">
        <f>SUMIF(#REF!,'8.Dgia'!A723,#REF!)+SUMIF(#REF!,'8.Dgia'!A723,#REF!)+SUMIF(#REF!,'8.Dgia'!A723,#REF!)+SUMIF(#REF!,'8.Dgia'!A723,#REF!)</f>
        <v>#REF!</v>
      </c>
      <c r="O723" s="844"/>
      <c r="P723" s="843" t="e">
        <f t="shared" si="33"/>
        <v>#REF!</v>
      </c>
    </row>
    <row r="724" spans="1:18" ht="15" customHeight="1">
      <c r="A724" s="657">
        <f>IF(B724="",MAX($A$8:A723)+0,MAX($A$8:A723)+1)</f>
        <v>72</v>
      </c>
      <c r="B724" s="835">
        <f>IF(C724="","",COUNTA($C$10:C725))</f>
        <v>72</v>
      </c>
      <c r="C724" s="239">
        <v>1091</v>
      </c>
      <c r="D724" s="704" t="s">
        <v>2235</v>
      </c>
      <c r="E724" s="808" t="s">
        <v>2236</v>
      </c>
      <c r="F724" s="1049" t="str">
        <f>VLOOKUP(E724,DICH!B:C,2,FALSE)</f>
        <v>Prestressed steel for post- pulling bridge beam</v>
      </c>
      <c r="G724" s="856" t="s">
        <v>4644</v>
      </c>
      <c r="H724" s="847"/>
      <c r="I724" s="848"/>
      <c r="J724" s="857"/>
      <c r="K724" s="842">
        <f>+J725</f>
        <v>26851917.272727273</v>
      </c>
      <c r="L724" s="842">
        <f>+J729</f>
        <v>5994450</v>
      </c>
      <c r="M724" s="842">
        <f>+J730</f>
        <v>6524729.0402435577</v>
      </c>
      <c r="N724" s="843" t="e">
        <f>SUMIF(#REF!,'8.Dgia'!A724,#REF!)+SUMIF(#REF!,'8.Dgia'!A724,#REF!)+SUMIF(#REF!,'8.Dgia'!A724,#REF!)+SUMIF(#REF!,'8.Dgia'!A724,#REF!)</f>
        <v>#REF!</v>
      </c>
      <c r="O724" s="844"/>
      <c r="P724" s="843" t="e">
        <f t="shared" si="33"/>
        <v>#REF!</v>
      </c>
    </row>
    <row r="725" spans="1:18" s="658" customFormat="1" ht="15" customHeight="1">
      <c r="A725" s="657">
        <f>IF(B725="",MAX($A$8:A724)+0,MAX($A$8:A724)+1)</f>
        <v>72</v>
      </c>
      <c r="B725" s="835" t="str">
        <f>IF(C725="","",COUNTA($C$10:C726))</f>
        <v/>
      </c>
      <c r="C725" s="362"/>
      <c r="D725" s="845"/>
      <c r="E725" s="852" t="s">
        <v>2032</v>
      </c>
      <c r="F725" s="848" t="str">
        <f>VLOOKUP(E725,DICH!B:C,2,FALSE)</f>
        <v xml:space="preserve">  A - Material</v>
      </c>
      <c r="G725" s="846"/>
      <c r="H725" s="847"/>
      <c r="I725" s="848"/>
      <c r="J725" s="849">
        <f>SUM(J726:J728)</f>
        <v>26851917.272727273</v>
      </c>
      <c r="K725" s="850"/>
      <c r="L725" s="850"/>
      <c r="M725" s="850"/>
      <c r="N725" s="843" t="e">
        <f>SUMIF(#REF!,'8.Dgia'!A725,#REF!)+SUMIF(#REF!,'8.Dgia'!A725,#REF!)+SUMIF(#REF!,'8.Dgia'!A725,#REF!)+SUMIF(#REF!,'8.Dgia'!A725,#REF!)</f>
        <v>#REF!</v>
      </c>
      <c r="O725" s="844"/>
      <c r="P725" s="843" t="e">
        <f t="shared" si="33"/>
        <v>#REF!</v>
      </c>
    </row>
    <row r="726" spans="1:18" ht="15" customHeight="1">
      <c r="A726" s="657">
        <f>IF(B726="",MAX($A$8:A725)+0,MAX($A$8:A725)+1)</f>
        <v>72</v>
      </c>
      <c r="B726" s="835" t="str">
        <f>IF(C726="","",COUNTA($C$10:C727))</f>
        <v/>
      </c>
      <c r="C726" s="362"/>
      <c r="D726" s="851"/>
      <c r="E726" s="852" t="s">
        <v>571</v>
      </c>
      <c r="F726" s="848" t="str">
        <f>VLOOKUP(E726,DICH!B:C,2,FALSE)</f>
        <v>high strength cable</v>
      </c>
      <c r="G726" s="362" t="s">
        <v>558</v>
      </c>
      <c r="H726" s="239">
        <v>1025</v>
      </c>
      <c r="I726" s="848">
        <f>VLOOKUP(E726,'11.gia '!$B:$I,8,FALSE)</f>
        <v>25454.545454545452</v>
      </c>
      <c r="J726" s="853">
        <f>I726*H726</f>
        <v>26090909.09090909</v>
      </c>
      <c r="N726" s="843" t="e">
        <f>SUMIF(#REF!,'8.Dgia'!A726,#REF!)+SUMIF(#REF!,'8.Dgia'!A726,#REF!)+SUMIF(#REF!,'8.Dgia'!A726,#REF!)+SUMIF(#REF!,'8.Dgia'!A726,#REF!)</f>
        <v>#REF!</v>
      </c>
      <c r="O726" s="844">
        <f>+$H$709</f>
        <v>2</v>
      </c>
      <c r="P726" s="843" t="e">
        <f t="shared" si="33"/>
        <v>#REF!</v>
      </c>
    </row>
    <row r="727" spans="1:18" ht="15" customHeight="1">
      <c r="A727" s="657">
        <f>IF(B727="",MAX($A$8:A726)+0,MAX($A$8:A726)+1)</f>
        <v>72</v>
      </c>
      <c r="B727" s="835" t="str">
        <f>IF(C727="","",COUNTA($C$10:C728))</f>
        <v/>
      </c>
      <c r="C727" s="362"/>
      <c r="D727" s="851"/>
      <c r="E727" s="852" t="s">
        <v>572</v>
      </c>
      <c r="F727" s="848" t="str">
        <f>VLOOKUP(E727,DICH!B:C,2,FALSE)</f>
        <v>Split stone</v>
      </c>
      <c r="G727" s="362" t="s">
        <v>573</v>
      </c>
      <c r="H727" s="239">
        <v>6.7</v>
      </c>
      <c r="I727" s="848">
        <f>VLOOKUP(E727,'11.gia '!$B:$I,8,FALSE)</f>
        <v>35000</v>
      </c>
      <c r="J727" s="853">
        <f>I727*H727</f>
        <v>234500</v>
      </c>
      <c r="N727" s="843" t="e">
        <f>SUMIF(#REF!,'8.Dgia'!A727,#REF!)+SUMIF(#REF!,'8.Dgia'!A727,#REF!)+SUMIF(#REF!,'8.Dgia'!A727,#REF!)+SUMIF(#REF!,'8.Dgia'!A727,#REF!)</f>
        <v>#REF!</v>
      </c>
      <c r="O727" s="844">
        <f>+$H$709</f>
        <v>2</v>
      </c>
      <c r="P727" s="843" t="e">
        <f t="shared" si="33"/>
        <v>#REF!</v>
      </c>
    </row>
    <row r="728" spans="1:18" ht="15" customHeight="1">
      <c r="A728" s="657">
        <f>IF(B728="",MAX($A$8:A727)+0,MAX($A$8:A727)+1)</f>
        <v>72</v>
      </c>
      <c r="B728" s="835" t="str">
        <f>IF(C728="","",COUNTA($C$10:C729))</f>
        <v/>
      </c>
      <c r="C728" s="362"/>
      <c r="D728" s="851"/>
      <c r="E728" s="852" t="s">
        <v>555</v>
      </c>
      <c r="F728" s="848" t="str">
        <f>VLOOKUP(E728,DICH!B:C,2,FALSE)</f>
        <v>Other material</v>
      </c>
      <c r="G728" s="362" t="s">
        <v>554</v>
      </c>
      <c r="H728" s="239">
        <v>2</v>
      </c>
      <c r="I728" s="848">
        <f>SUM(J726:J727)</f>
        <v>26325409.09090909</v>
      </c>
      <c r="J728" s="853">
        <f>I728*H728%</f>
        <v>526508.18181818177</v>
      </c>
      <c r="N728" s="843" t="e">
        <f>SUMIF(#REF!,'8.Dgia'!A728,#REF!)+SUMIF(#REF!,'8.Dgia'!A728,#REF!)+SUMIF(#REF!,'8.Dgia'!A728,#REF!)+SUMIF(#REF!,'8.Dgia'!A728,#REF!)</f>
        <v>#REF!</v>
      </c>
      <c r="O728" s="844"/>
      <c r="P728" s="843" t="e">
        <f t="shared" si="33"/>
        <v>#REF!</v>
      </c>
    </row>
    <row r="729" spans="1:18" s="658" customFormat="1" ht="15" customHeight="1">
      <c r="A729" s="657">
        <f>IF(B729="",MAX($A$8:A728)+0,MAX($A$8:A728)+1)</f>
        <v>72</v>
      </c>
      <c r="B729" s="835" t="str">
        <f>IF(C729="","",COUNTA($C$10:C730))</f>
        <v/>
      </c>
      <c r="C729" s="362"/>
      <c r="D729" s="845"/>
      <c r="E729" s="852" t="s">
        <v>2040</v>
      </c>
      <c r="F729" s="848" t="str">
        <f>VLOOKUP(E729,DICH!B:C,2,FALSE)</f>
        <v xml:space="preserve">  B - Labour 4.5/7</v>
      </c>
      <c r="G729" s="362" t="s">
        <v>4899</v>
      </c>
      <c r="H729" s="239">
        <v>25.2</v>
      </c>
      <c r="I729" s="848">
        <f>VLOOKUP(E729,'16.NC'!$C$11:$F$22,4,FALSE)</f>
        <v>237875</v>
      </c>
      <c r="J729" s="849">
        <f>I729*H729</f>
        <v>5994450</v>
      </c>
      <c r="K729" s="850"/>
      <c r="L729" s="850"/>
      <c r="M729" s="850"/>
      <c r="N729" s="843" t="e">
        <f>SUMIF(#REF!,'8.Dgia'!A729,#REF!)+SUMIF(#REF!,'8.Dgia'!A729,#REF!)+SUMIF(#REF!,'8.Dgia'!A729,#REF!)+SUMIF(#REF!,'8.Dgia'!A729,#REF!)</f>
        <v>#REF!</v>
      </c>
      <c r="O729" s="844"/>
      <c r="P729" s="843" t="e">
        <f t="shared" si="33"/>
        <v>#REF!</v>
      </c>
      <c r="R729" s="658">
        <v>1</v>
      </c>
    </row>
    <row r="730" spans="1:18" s="658" customFormat="1" ht="15" customHeight="1">
      <c r="A730" s="657">
        <f>IF(B730="",MAX($A$8:A729)+0,MAX($A$8:A729)+1)</f>
        <v>72</v>
      </c>
      <c r="B730" s="835" t="str">
        <f>IF(C730="","",COUNTA($C$10:C731))</f>
        <v/>
      </c>
      <c r="C730" s="362"/>
      <c r="D730" s="845"/>
      <c r="E730" s="852" t="s">
        <v>2033</v>
      </c>
      <c r="F730" s="848" t="str">
        <f>VLOOKUP(E730,DICH!B:C,2,FALSE)</f>
        <v xml:space="preserve">  C - Machine</v>
      </c>
      <c r="G730" s="846"/>
      <c r="H730" s="847"/>
      <c r="I730" s="848"/>
      <c r="J730" s="849">
        <f>SUM(J731:J740)</f>
        <v>6524729.0402435577</v>
      </c>
      <c r="K730" s="850"/>
      <c r="L730" s="850"/>
      <c r="M730" s="850"/>
      <c r="N730" s="843" t="e">
        <f>SUMIF(#REF!,'8.Dgia'!A730,#REF!)+SUMIF(#REF!,'8.Dgia'!A730,#REF!)+SUMIF(#REF!,'8.Dgia'!A730,#REF!)+SUMIF(#REF!,'8.Dgia'!A730,#REF!)</f>
        <v>#REF!</v>
      </c>
      <c r="O730" s="844"/>
      <c r="P730" s="843" t="e">
        <f t="shared" si="33"/>
        <v>#REF!</v>
      </c>
    </row>
    <row r="731" spans="1:18" ht="15" customHeight="1">
      <c r="A731" s="657">
        <f>IF(B731="",MAX($A$8:A730)+0,MAX($A$8:A730)+1)</f>
        <v>72</v>
      </c>
      <c r="B731" s="835" t="str">
        <f>IF(C731="","",COUNTA($C$10:C732))</f>
        <v/>
      </c>
      <c r="C731" s="362"/>
      <c r="D731" s="851"/>
      <c r="E731" s="819" t="s">
        <v>630</v>
      </c>
      <c r="F731" s="848" t="str">
        <f>VLOOKUP(E731,'9.may'!E:F,2,FALSE)</f>
        <v>tyre crane 25T</v>
      </c>
      <c r="G731" s="704" t="s">
        <v>4902</v>
      </c>
      <c r="H731" s="239">
        <v>0.153</v>
      </c>
      <c r="I731" s="848">
        <f>VLOOKUP(E731,'9.may'!E:W,12,FALSE)</f>
        <v>2658824.4436363634</v>
      </c>
      <c r="J731" s="853">
        <f t="shared" ref="J731:J739" si="36">I731*H731</f>
        <v>406800.13987636357</v>
      </c>
      <c r="N731" s="843" t="e">
        <f>SUMIF(#REF!,'8.Dgia'!A731,#REF!)+SUMIF(#REF!,'8.Dgia'!A731,#REF!)+SUMIF(#REF!,'8.Dgia'!A731,#REF!)+SUMIF(#REF!,'8.Dgia'!A731,#REF!)</f>
        <v>#REF!</v>
      </c>
      <c r="O731" s="844">
        <f>+$H$723</f>
        <v>1.5</v>
      </c>
      <c r="P731" s="843" t="e">
        <f t="shared" si="33"/>
        <v>#REF!</v>
      </c>
    </row>
    <row r="732" spans="1:18" ht="15" customHeight="1">
      <c r="A732" s="657">
        <f>IF(B732="",MAX($A$8:A731)+0,MAX($A$8:A731)+1)</f>
        <v>72</v>
      </c>
      <c r="B732" s="835" t="str">
        <f>IF(C732="","",COUNTA($C$10:C733))</f>
        <v/>
      </c>
      <c r="C732" s="362"/>
      <c r="D732" s="851"/>
      <c r="E732" s="819" t="s">
        <v>1109</v>
      </c>
      <c r="F732" s="848" t="str">
        <f>VLOOKUP(E732,'9.may'!E:F,2,FALSE)</f>
        <v>electric winch 5Ton</v>
      </c>
      <c r="G732" s="704" t="s">
        <v>4902</v>
      </c>
      <c r="H732" s="239">
        <v>0.378</v>
      </c>
      <c r="I732" s="848">
        <f>VLOOKUP(E732,'9.may'!E:W,12,FALSE)</f>
        <v>135809.41500000001</v>
      </c>
      <c r="J732" s="853">
        <f t="shared" si="36"/>
        <v>51335.958870000002</v>
      </c>
      <c r="N732" s="843" t="e">
        <f>SUMIF(#REF!,'8.Dgia'!A732,#REF!)+SUMIF(#REF!,'8.Dgia'!A732,#REF!)+SUMIF(#REF!,'8.Dgia'!A732,#REF!)+SUMIF(#REF!,'8.Dgia'!A732,#REF!)</f>
        <v>#REF!</v>
      </c>
      <c r="O732" s="844">
        <f t="shared" ref="O732:O739" si="37">+$H$723</f>
        <v>1.5</v>
      </c>
      <c r="P732" s="843" t="e">
        <f t="shared" si="33"/>
        <v>#REF!</v>
      </c>
    </row>
    <row r="733" spans="1:18" ht="15" customHeight="1">
      <c r="A733" s="657">
        <f>IF(B733="",MAX($A$8:A732)+0,MAX($A$8:A732)+1)</f>
        <v>72</v>
      </c>
      <c r="B733" s="835" t="str">
        <f>IF(C733="","",COUNTA($C$10:C734))</f>
        <v/>
      </c>
      <c r="C733" s="362"/>
      <c r="D733" s="851"/>
      <c r="E733" s="819" t="s">
        <v>1742</v>
      </c>
      <c r="F733" s="848" t="str">
        <f>VLOOKUP(E733,'9.may'!E:F,2,FALSE)</f>
        <v>cable-cutting machine 10kW</v>
      </c>
      <c r="G733" s="704" t="s">
        <v>4902</v>
      </c>
      <c r="H733" s="239">
        <v>2.97</v>
      </c>
      <c r="I733" s="848">
        <f>VLOOKUP(E733,'9.may'!E:W,12,FALSE)</f>
        <v>93919.01999999999</v>
      </c>
      <c r="J733" s="853">
        <f t="shared" si="36"/>
        <v>278939.48939999996</v>
      </c>
      <c r="N733" s="843" t="e">
        <f>SUMIF(#REF!,'8.Dgia'!A733,#REF!)+SUMIF(#REF!,'8.Dgia'!A733,#REF!)+SUMIF(#REF!,'8.Dgia'!A733,#REF!)+SUMIF(#REF!,'8.Dgia'!A733,#REF!)</f>
        <v>#REF!</v>
      </c>
      <c r="O733" s="844">
        <f t="shared" si="37"/>
        <v>1.5</v>
      </c>
      <c r="P733" s="843" t="e">
        <f t="shared" si="33"/>
        <v>#REF!</v>
      </c>
    </row>
    <row r="734" spans="1:18" ht="15" customHeight="1">
      <c r="A734" s="657">
        <f>IF(B734="",MAX($A$8:A733)+0,MAX($A$8:A733)+1)</f>
        <v>72</v>
      </c>
      <c r="B734" s="835" t="str">
        <f>IF(C734="","",COUNTA($C$10:C735))</f>
        <v/>
      </c>
      <c r="C734" s="362"/>
      <c r="D734" s="851"/>
      <c r="E734" s="819" t="s">
        <v>1122</v>
      </c>
      <c r="F734" s="848" t="str">
        <f>VLOOKUP(E734,'9.may'!E:F,2,FALSE)</f>
        <v>cable passing machine 15kW</v>
      </c>
      <c r="G734" s="704" t="s">
        <v>4902</v>
      </c>
      <c r="H734" s="239">
        <v>8.1</v>
      </c>
      <c r="I734" s="848">
        <f>VLOOKUP(E734,'9.may'!E:W,12,FALSE)</f>
        <v>399767.43</v>
      </c>
      <c r="J734" s="853">
        <f t="shared" si="36"/>
        <v>3238116.1829999997</v>
      </c>
      <c r="N734" s="843" t="e">
        <f>SUMIF(#REF!,'8.Dgia'!A734,#REF!)+SUMIF(#REF!,'8.Dgia'!A734,#REF!)+SUMIF(#REF!,'8.Dgia'!A734,#REF!)+SUMIF(#REF!,'8.Dgia'!A734,#REF!)</f>
        <v>#REF!</v>
      </c>
      <c r="O734" s="844">
        <f t="shared" si="37"/>
        <v>1.5</v>
      </c>
      <c r="P734" s="843" t="e">
        <f t="shared" si="33"/>
        <v>#REF!</v>
      </c>
    </row>
    <row r="735" spans="1:18" ht="15" customHeight="1">
      <c r="A735" s="657">
        <f>IF(B735="",MAX($A$8:A734)+0,MAX($A$8:A734)+1)</f>
        <v>72</v>
      </c>
      <c r="B735" s="835" t="str">
        <f>IF(C735="","",COUNTA($C$10:C736))</f>
        <v/>
      </c>
      <c r="C735" s="362"/>
      <c r="D735" s="851"/>
      <c r="E735" s="819" t="s">
        <v>1260</v>
      </c>
      <c r="F735" s="848" t="str">
        <f>VLOOKUP(E735,'9.may'!E:F,2,FALSE)</f>
        <v>water pump 20kW</v>
      </c>
      <c r="G735" s="704" t="s">
        <v>4902</v>
      </c>
      <c r="H735" s="239">
        <v>1.17</v>
      </c>
      <c r="I735" s="848">
        <f>VLOOKUP(E735,'9.may'!E:W,12,FALSE)</f>
        <v>203092.83000000002</v>
      </c>
      <c r="J735" s="853">
        <f t="shared" si="36"/>
        <v>237618.61110000001</v>
      </c>
      <c r="N735" s="843" t="e">
        <f>SUMIF(#REF!,'8.Dgia'!A735,#REF!)+SUMIF(#REF!,'8.Dgia'!A735,#REF!)+SUMIF(#REF!,'8.Dgia'!A735,#REF!)+SUMIF(#REF!,'8.Dgia'!A735,#REF!)</f>
        <v>#REF!</v>
      </c>
      <c r="O735" s="844">
        <f t="shared" si="37"/>
        <v>1.5</v>
      </c>
      <c r="P735" s="843" t="e">
        <f t="shared" si="33"/>
        <v>#REF!</v>
      </c>
    </row>
    <row r="736" spans="1:18" ht="15" customHeight="1">
      <c r="A736" s="657">
        <f>IF(B736="",MAX($A$8:A735)+0,MAX($A$8:A735)+1)</f>
        <v>72</v>
      </c>
      <c r="B736" s="835" t="str">
        <f>IF(C736="","",COUNTA($C$10:C737))</f>
        <v/>
      </c>
      <c r="C736" s="362"/>
      <c r="D736" s="851"/>
      <c r="E736" s="819" t="s">
        <v>610</v>
      </c>
      <c r="F736" s="848" t="str">
        <f>VLOOKUP(E736,'9.may'!E:F,2,FALSE)</f>
        <v>diesel air compressor 600m3/h</v>
      </c>
      <c r="G736" s="704" t="s">
        <v>4902</v>
      </c>
      <c r="H736" s="239">
        <v>0.89100000000000001</v>
      </c>
      <c r="I736" s="848">
        <f>VLOOKUP(E736,'9.may'!E:W,12,FALSE)</f>
        <v>1323272.1545454543</v>
      </c>
      <c r="J736" s="853">
        <f t="shared" si="36"/>
        <v>1179035.4896999998</v>
      </c>
      <c r="N736" s="843" t="e">
        <f>SUMIF(#REF!,'8.Dgia'!A736,#REF!)+SUMIF(#REF!,'8.Dgia'!A736,#REF!)+SUMIF(#REF!,'8.Dgia'!A736,#REF!)+SUMIF(#REF!,'8.Dgia'!A736,#REF!)</f>
        <v>#REF!</v>
      </c>
      <c r="O736" s="844">
        <f t="shared" si="37"/>
        <v>1.5</v>
      </c>
      <c r="P736" s="843" t="e">
        <f t="shared" si="33"/>
        <v>#REF!</v>
      </c>
    </row>
    <row r="737" spans="1:18" ht="15" customHeight="1">
      <c r="A737" s="657">
        <f>IF(B737="",MAX($A$8:A736)+0,MAX($A$8:A736)+1)</f>
        <v>72</v>
      </c>
      <c r="B737" s="835" t="str">
        <f>IF(C737="","",COUNTA($C$10:C738))</f>
        <v/>
      </c>
      <c r="C737" s="362"/>
      <c r="D737" s="851"/>
      <c r="E737" s="819" t="s">
        <v>619</v>
      </c>
      <c r="F737" s="848" t="str">
        <f>VLOOKUP(E737,'9.may'!E:F,2,FALSE)</f>
        <v>jack 250T</v>
      </c>
      <c r="G737" s="704" t="s">
        <v>4902</v>
      </c>
      <c r="H737" s="239">
        <v>3.3</v>
      </c>
      <c r="I737" s="848">
        <f>VLOOKUP(E737,'9.may'!E:W,12,FALSE)</f>
        <v>95119.44</v>
      </c>
      <c r="J737" s="853">
        <f t="shared" si="36"/>
        <v>313894.152</v>
      </c>
      <c r="N737" s="843" t="e">
        <f>SUMIF(#REF!,'8.Dgia'!A737,#REF!)+SUMIF(#REF!,'8.Dgia'!A737,#REF!)+SUMIF(#REF!,'8.Dgia'!A737,#REF!)+SUMIF(#REF!,'8.Dgia'!A737,#REF!)</f>
        <v>#REF!</v>
      </c>
      <c r="O737" s="844">
        <f t="shared" si="37"/>
        <v>1.5</v>
      </c>
      <c r="P737" s="843" t="e">
        <f t="shared" si="33"/>
        <v>#REF!</v>
      </c>
    </row>
    <row r="738" spans="1:18" ht="15" customHeight="1">
      <c r="A738" s="657">
        <f>IF(B738="",MAX($A$8:A737)+0,MAX($A$8:A737)+1)</f>
        <v>72</v>
      </c>
      <c r="B738" s="835" t="str">
        <f>IF(C738="","",COUNTA($C$10:C739))</f>
        <v/>
      </c>
      <c r="C738" s="362"/>
      <c r="D738" s="851"/>
      <c r="E738" s="819" t="s">
        <v>663</v>
      </c>
      <c r="F738" s="848" t="str">
        <f>VLOOKUP(E738,'9.may'!E:F,2,FALSE)</f>
        <v>jack 500T</v>
      </c>
      <c r="G738" s="704" t="s">
        <v>4902</v>
      </c>
      <c r="H738" s="239">
        <v>3.3</v>
      </c>
      <c r="I738" s="848">
        <f>VLOOKUP(E738,'9.may'!E:W,12,FALSE)</f>
        <v>132935.79</v>
      </c>
      <c r="J738" s="853">
        <f t="shared" si="36"/>
        <v>438688.10700000002</v>
      </c>
      <c r="N738" s="843" t="e">
        <f>SUMIF(#REF!,'8.Dgia'!A738,#REF!)+SUMIF(#REF!,'8.Dgia'!A738,#REF!)+SUMIF(#REF!,'8.Dgia'!A738,#REF!)+SUMIF(#REF!,'8.Dgia'!A738,#REF!)</f>
        <v>#REF!</v>
      </c>
      <c r="O738" s="844">
        <f t="shared" si="37"/>
        <v>1.5</v>
      </c>
      <c r="P738" s="843" t="e">
        <f t="shared" si="33"/>
        <v>#REF!</v>
      </c>
    </row>
    <row r="739" spans="1:18" ht="15" customHeight="1">
      <c r="A739" s="657">
        <f>IF(B739="",MAX($A$8:A738)+0,MAX($A$8:A738)+1)</f>
        <v>72</v>
      </c>
      <c r="B739" s="835" t="str">
        <f>IF(C739="","",COUNTA($C$10:C740))</f>
        <v/>
      </c>
      <c r="C739" s="362"/>
      <c r="D739" s="851"/>
      <c r="E739" s="819" t="s">
        <v>1678</v>
      </c>
      <c r="F739" s="848" t="str">
        <f>VLOOKUP(E739,'9.may'!E:F,2,FALSE)</f>
        <v>chain pulley 3T</v>
      </c>
      <c r="G739" s="704" t="s">
        <v>4902</v>
      </c>
      <c r="H739" s="239">
        <v>4.7699999999999996</v>
      </c>
      <c r="I739" s="848">
        <f>VLOOKUP(E739,'9.may'!E:W,12,FALSE)</f>
        <v>59512.86</v>
      </c>
      <c r="J739" s="853">
        <f t="shared" si="36"/>
        <v>283876.34219999996</v>
      </c>
      <c r="N739" s="843" t="e">
        <f>SUMIF(#REF!,'8.Dgia'!A739,#REF!)+SUMIF(#REF!,'8.Dgia'!A739,#REF!)+SUMIF(#REF!,'8.Dgia'!A739,#REF!)+SUMIF(#REF!,'8.Dgia'!A739,#REF!)</f>
        <v>#REF!</v>
      </c>
      <c r="O739" s="844">
        <f t="shared" si="37"/>
        <v>1.5</v>
      </c>
      <c r="P739" s="843" t="e">
        <f t="shared" si="33"/>
        <v>#REF!</v>
      </c>
    </row>
    <row r="740" spans="1:18" ht="15" customHeight="1">
      <c r="A740" s="657">
        <f>IF(B740="",MAX($A$8:A739)+0,MAX($A$8:A739)+1)</f>
        <v>72</v>
      </c>
      <c r="B740" s="835" t="str">
        <f>IF(C740="","",COUNTA($C$10:C741))</f>
        <v/>
      </c>
      <c r="C740" s="362"/>
      <c r="D740" s="851"/>
      <c r="E740" s="852" t="s">
        <v>553</v>
      </c>
      <c r="F740" s="848" t="str">
        <f>VLOOKUP(E740,DICH!B:C,2,FALSE)</f>
        <v>Other machine</v>
      </c>
      <c r="G740" s="362" t="s">
        <v>554</v>
      </c>
      <c r="H740" s="847">
        <v>1.5</v>
      </c>
      <c r="I740" s="848">
        <f>SUM(J731:J739)</f>
        <v>6428304.4731463622</v>
      </c>
      <c r="J740" s="853">
        <f>I740*H740%</f>
        <v>96424.567097195424</v>
      </c>
      <c r="N740" s="843" t="e">
        <f>SUMIF(#REF!,'8.Dgia'!A740,#REF!)+SUMIF(#REF!,'8.Dgia'!A740,#REF!)+SUMIF(#REF!,'8.Dgia'!A740,#REF!)+SUMIF(#REF!,'8.Dgia'!A740,#REF!)</f>
        <v>#REF!</v>
      </c>
      <c r="O740" s="844"/>
      <c r="P740" s="843" t="e">
        <f t="shared" si="33"/>
        <v>#REF!</v>
      </c>
    </row>
    <row r="741" spans="1:18" ht="15" customHeight="1">
      <c r="A741" s="657">
        <f>IF(B741="",MAX($A$8:A740)+0,MAX($A$8:A740)+1)</f>
        <v>73</v>
      </c>
      <c r="B741" s="835">
        <f>IF(C741="","",COUNTA($C$10:C742))</f>
        <v>73</v>
      </c>
      <c r="C741" s="835">
        <f>IF(D741="","",1776)</f>
        <v>1776</v>
      </c>
      <c r="D741" s="851" t="s">
        <v>395</v>
      </c>
      <c r="E741" s="855" t="s">
        <v>2063</v>
      </c>
      <c r="F741" s="1049" t="str">
        <f>VLOOKUP(E741,DICH!B:C,2,FALSE)</f>
        <v>Installing active cable anchorage 27s 15.2mm</v>
      </c>
      <c r="G741" s="856" t="s">
        <v>4651</v>
      </c>
      <c r="H741" s="847"/>
      <c r="I741" s="848"/>
      <c r="J741" s="857"/>
      <c r="K741" s="842">
        <f>+J742</f>
        <v>3205050.8538791486</v>
      </c>
      <c r="L741" s="842">
        <f>+J749</f>
        <v>59468.75</v>
      </c>
      <c r="N741" s="843" t="e">
        <f>SUMIF(#REF!,'8.Dgia'!A741,#REF!)+SUMIF(#REF!,'8.Dgia'!A741,#REF!)+SUMIF(#REF!,'8.Dgia'!A741,#REF!)+SUMIF(#REF!,'8.Dgia'!A741,#REF!)</f>
        <v>#REF!</v>
      </c>
      <c r="O741" s="844"/>
      <c r="P741" s="843" t="e">
        <f t="shared" si="33"/>
        <v>#REF!</v>
      </c>
    </row>
    <row r="742" spans="1:18" s="658" customFormat="1" ht="15" customHeight="1">
      <c r="A742" s="657">
        <f>IF(B742="",MAX($A$8:A741)+0,MAX($A$8:A741)+1)</f>
        <v>73</v>
      </c>
      <c r="B742" s="835" t="str">
        <f>IF(C742="","",COUNTA($C$10:C743))</f>
        <v/>
      </c>
      <c r="C742" s="362"/>
      <c r="D742" s="845"/>
      <c r="E742" s="852" t="s">
        <v>2032</v>
      </c>
      <c r="F742" s="848" t="str">
        <f>VLOOKUP(E742,DICH!B:C,2,FALSE)</f>
        <v xml:space="preserve">  A - Material</v>
      </c>
      <c r="G742" s="846"/>
      <c r="H742" s="847"/>
      <c r="I742" s="848"/>
      <c r="J742" s="849">
        <f>SUM(J743:J748)</f>
        <v>3205050.8538791486</v>
      </c>
      <c r="K742" s="850"/>
      <c r="L742" s="850"/>
      <c r="M742" s="850"/>
      <c r="N742" s="843" t="e">
        <f>SUMIF(#REF!,'8.Dgia'!A742,#REF!)+SUMIF(#REF!,'8.Dgia'!A742,#REF!)+SUMIF(#REF!,'8.Dgia'!A742,#REF!)+SUMIF(#REF!,'8.Dgia'!A742,#REF!)</f>
        <v>#REF!</v>
      </c>
      <c r="O742" s="844"/>
      <c r="P742" s="843" t="e">
        <f t="shared" si="33"/>
        <v>#REF!</v>
      </c>
    </row>
    <row r="743" spans="1:18" ht="15" customHeight="1">
      <c r="A743" s="657">
        <f>IF(B743="",MAX($A$8:A742)+0,MAX($A$8:A742)+1)</f>
        <v>73</v>
      </c>
      <c r="B743" s="835" t="str">
        <f>IF(C743="","",COUNTA($C$10:C744))</f>
        <v/>
      </c>
      <c r="C743" s="362"/>
      <c r="D743" s="851"/>
      <c r="E743" s="852" t="s">
        <v>2024</v>
      </c>
      <c r="F743" s="848" t="str">
        <f>VLOOKUP(E743,DICH!B:C,2,FALSE)</f>
        <v xml:space="preserve"> Active cable anchorage 27s D15.2</v>
      </c>
      <c r="G743" s="362" t="s">
        <v>4649</v>
      </c>
      <c r="H743" s="847">
        <v>1</v>
      </c>
      <c r="I743" s="848">
        <f>VLOOKUP(E743,'11.gia '!$B:$I,8,FALSE)</f>
        <v>3137989.9999999995</v>
      </c>
      <c r="J743" s="853">
        <f>I743*H743</f>
        <v>3137989.9999999995</v>
      </c>
      <c r="N743" s="843" t="e">
        <f>SUMIF(#REF!,'8.Dgia'!A743,#REF!)+SUMIF(#REF!,'8.Dgia'!A743,#REF!)+SUMIF(#REF!,'8.Dgia'!A743,#REF!)+SUMIF(#REF!,'8.Dgia'!A743,#REF!)</f>
        <v>#REF!</v>
      </c>
      <c r="O743" s="844">
        <f>+$H$748</f>
        <v>2</v>
      </c>
      <c r="P743" s="843" t="e">
        <f t="shared" si="33"/>
        <v>#REF!</v>
      </c>
    </row>
    <row r="744" spans="1:18" ht="15" customHeight="1">
      <c r="A744" s="657">
        <f>IF(B744="",MAX($A$8:A743)+0,MAX($A$8:A743)+1)</f>
        <v>73</v>
      </c>
      <c r="B744" s="835" t="str">
        <f>IF(C744="","",COUNTA($C$10:C745))</f>
        <v/>
      </c>
      <c r="C744" s="362"/>
      <c r="D744" s="851"/>
      <c r="E744" s="852" t="s">
        <v>145</v>
      </c>
      <c r="F744" s="848" t="str">
        <f>VLOOKUP(E744,DICH!B:C,2,FALSE)</f>
        <v xml:space="preserve"> plastic cudgel </v>
      </c>
      <c r="G744" s="362" t="s">
        <v>4649</v>
      </c>
      <c r="H744" s="847">
        <v>1</v>
      </c>
      <c r="I744" s="848">
        <f>VLOOKUP(E744,'11.gia '!$B:$I,8,FALSE)</f>
        <v>500</v>
      </c>
      <c r="J744" s="853">
        <f>I744*H744</f>
        <v>500</v>
      </c>
      <c r="N744" s="843" t="e">
        <f>SUMIF(#REF!,'8.Dgia'!A744,#REF!)+SUMIF(#REF!,'8.Dgia'!A744,#REF!)+SUMIF(#REF!,'8.Dgia'!A744,#REF!)+SUMIF(#REF!,'8.Dgia'!A744,#REF!)</f>
        <v>#REF!</v>
      </c>
      <c r="O744" s="844">
        <f>+$H$748</f>
        <v>2</v>
      </c>
      <c r="P744" s="843" t="e">
        <f t="shared" si="33"/>
        <v>#REF!</v>
      </c>
    </row>
    <row r="745" spans="1:18" ht="15" customHeight="1">
      <c r="A745" s="657">
        <f>IF(B745="",MAX($A$8:A744)+0,MAX($A$8:A744)+1)</f>
        <v>73</v>
      </c>
      <c r="B745" s="835" t="str">
        <f>IF(C745="","",COUNTA($C$10:C746))</f>
        <v/>
      </c>
      <c r="C745" s="362"/>
      <c r="D745" s="851"/>
      <c r="E745" s="852" t="s">
        <v>146</v>
      </c>
      <c r="F745" s="848" t="str">
        <f>VLOOKUP(E745,DICH!B:C,2,FALSE)</f>
        <v>Plastic cup</v>
      </c>
      <c r="G745" s="362" t="s">
        <v>4649</v>
      </c>
      <c r="H745" s="847">
        <v>1</v>
      </c>
      <c r="I745" s="848">
        <f>VLOOKUP(E745,'11.gia '!$B:$I,8,FALSE)</f>
        <v>1000</v>
      </c>
      <c r="J745" s="853">
        <f>I745*H745</f>
        <v>1000</v>
      </c>
      <c r="N745" s="843" t="e">
        <f>SUMIF(#REF!,'8.Dgia'!A745,#REF!)+SUMIF(#REF!,'8.Dgia'!A745,#REF!)+SUMIF(#REF!,'8.Dgia'!A745,#REF!)+SUMIF(#REF!,'8.Dgia'!A745,#REF!)</f>
        <v>#REF!</v>
      </c>
      <c r="O745" s="844">
        <f>+$H$748</f>
        <v>2</v>
      </c>
      <c r="P745" s="843" t="e">
        <f t="shared" si="33"/>
        <v>#REF!</v>
      </c>
    </row>
    <row r="746" spans="1:18" ht="15" customHeight="1">
      <c r="A746" s="657">
        <f>IF(B746="",MAX($A$8:A745)+0,MAX($A$8:A745)+1)</f>
        <v>73</v>
      </c>
      <c r="B746" s="835" t="str">
        <f>IF(C746="","",COUNTA($C$10:C747))</f>
        <v/>
      </c>
      <c r="C746" s="362"/>
      <c r="D746" s="851"/>
      <c r="E746" s="852" t="s">
        <v>616</v>
      </c>
      <c r="F746" s="848" t="str">
        <f>VLOOKUP(E746,DICH!B:C,2,FALSE)</f>
        <v>Lubricant grease</v>
      </c>
      <c r="G746" s="362" t="s">
        <v>558</v>
      </c>
      <c r="H746" s="847">
        <v>0.05</v>
      </c>
      <c r="I746" s="848">
        <f>VLOOKUP(E746,'11.gia '!$B:$I,8,FALSE)</f>
        <v>14560</v>
      </c>
      <c r="J746" s="853">
        <f>I746*H746</f>
        <v>728</v>
      </c>
      <c r="N746" s="843" t="e">
        <f>SUMIF(#REF!,'8.Dgia'!A746,#REF!)+SUMIF(#REF!,'8.Dgia'!A746,#REF!)+SUMIF(#REF!,'8.Dgia'!A746,#REF!)+SUMIF(#REF!,'8.Dgia'!A746,#REF!)</f>
        <v>#REF!</v>
      </c>
      <c r="O746" s="844">
        <f>+$H$748</f>
        <v>2</v>
      </c>
      <c r="P746" s="843" t="e">
        <f t="shared" si="33"/>
        <v>#REF!</v>
      </c>
    </row>
    <row r="747" spans="1:18" ht="15" customHeight="1">
      <c r="A747" s="657">
        <f>IF(B747="",MAX($A$8:A746)+0,MAX($A$8:A746)+1)</f>
        <v>73</v>
      </c>
      <c r="B747" s="835" t="str">
        <f>IF(C747="","",COUNTA($C$10:C748))</f>
        <v/>
      </c>
      <c r="C747" s="851"/>
      <c r="D747" s="851" t="str">
        <f>'10.PLV'!$C$112</f>
        <v>VD</v>
      </c>
      <c r="E747" s="852" t="s">
        <v>2151</v>
      </c>
      <c r="F747" s="848" t="str">
        <f>VLOOKUP(E747,DICH!B:C,2,FALSE)</f>
        <v>Non-shringkage mortar (kg)</v>
      </c>
      <c r="G747" s="362" t="s">
        <v>558</v>
      </c>
      <c r="H747" s="847">
        <v>0.22</v>
      </c>
      <c r="I747" s="848">
        <f>VLOOKUP(E747,'11.gia '!$B:$I,8,FALSE)</f>
        <v>9039.6340425531907</v>
      </c>
      <c r="J747" s="853">
        <f>I747*H747</f>
        <v>1988.719489361702</v>
      </c>
      <c r="N747" s="843" t="e">
        <f>SUMIF(#REF!,'8.Dgia'!A747,#REF!)+SUMIF(#REF!,'8.Dgia'!A747,#REF!)+SUMIF(#REF!,'8.Dgia'!A747,#REF!)+SUMIF(#REF!,'8.Dgia'!A747,#REF!)</f>
        <v>#REF!</v>
      </c>
      <c r="O747" s="844">
        <f>+$H$748</f>
        <v>2</v>
      </c>
      <c r="P747" s="843" t="e">
        <f t="shared" si="33"/>
        <v>#REF!</v>
      </c>
    </row>
    <row r="748" spans="1:18" ht="15" customHeight="1">
      <c r="A748" s="657">
        <f>IF(B748="",MAX($A$8:A747)+0,MAX($A$8:A747)+1)</f>
        <v>73</v>
      </c>
      <c r="B748" s="835" t="str">
        <f>IF(C748="","",COUNTA($C$10:C749))</f>
        <v/>
      </c>
      <c r="C748" s="362"/>
      <c r="D748" s="851"/>
      <c r="E748" s="852" t="s">
        <v>555</v>
      </c>
      <c r="F748" s="848" t="str">
        <f>VLOOKUP(E748,DICH!B:C,2,FALSE)</f>
        <v>Other material</v>
      </c>
      <c r="G748" s="362" t="s">
        <v>554</v>
      </c>
      <c r="H748" s="847">
        <v>2</v>
      </c>
      <c r="I748" s="848">
        <f>SUM(J743:J747)</f>
        <v>3142206.7194893612</v>
      </c>
      <c r="J748" s="853">
        <f>I748*H748%</f>
        <v>62844.134389787221</v>
      </c>
      <c r="N748" s="843" t="e">
        <f>SUMIF(#REF!,'8.Dgia'!A748,#REF!)+SUMIF(#REF!,'8.Dgia'!A748,#REF!)+SUMIF(#REF!,'8.Dgia'!A748,#REF!)+SUMIF(#REF!,'8.Dgia'!A748,#REF!)</f>
        <v>#REF!</v>
      </c>
      <c r="O748" s="844"/>
      <c r="P748" s="843" t="e">
        <f t="shared" si="33"/>
        <v>#REF!</v>
      </c>
    </row>
    <row r="749" spans="1:18" s="658" customFormat="1" ht="15" customHeight="1">
      <c r="A749" s="657">
        <f>IF(B749="",MAX($A$8:A748)+0,MAX($A$8:A748)+1)</f>
        <v>73</v>
      </c>
      <c r="B749" s="835" t="str">
        <f>IF(C749="","",COUNTA($C$10:C750))</f>
        <v/>
      </c>
      <c r="C749" s="362"/>
      <c r="D749" s="845"/>
      <c r="E749" s="852" t="s">
        <v>2040</v>
      </c>
      <c r="F749" s="848" t="str">
        <f>VLOOKUP(E749,DICH!B:C,2,FALSE)</f>
        <v xml:space="preserve">  B - Labour 4.5/7</v>
      </c>
      <c r="G749" s="362" t="s">
        <v>4899</v>
      </c>
      <c r="H749" s="847">
        <v>0.25</v>
      </c>
      <c r="I749" s="848">
        <f>VLOOKUP(E749,'16.NC'!$C$11:$F$22,4,FALSE)</f>
        <v>237875</v>
      </c>
      <c r="J749" s="849">
        <f>I749*H749</f>
        <v>59468.75</v>
      </c>
      <c r="K749" s="850"/>
      <c r="L749" s="850"/>
      <c r="M749" s="850"/>
      <c r="N749" s="843" t="e">
        <f>SUMIF(#REF!,'8.Dgia'!A749,#REF!)+SUMIF(#REF!,'8.Dgia'!A749,#REF!)+SUMIF(#REF!,'8.Dgia'!A749,#REF!)+SUMIF(#REF!,'8.Dgia'!A749,#REF!)</f>
        <v>#REF!</v>
      </c>
      <c r="O749" s="844"/>
      <c r="P749" s="843" t="e">
        <f t="shared" si="33"/>
        <v>#REF!</v>
      </c>
      <c r="R749" s="658">
        <v>1</v>
      </c>
    </row>
    <row r="750" spans="1:18" ht="15" customHeight="1">
      <c r="A750" s="657">
        <f>IF(B750="",MAX($A$8:A749)+0,MAX($A$8:A749)+1)</f>
        <v>74</v>
      </c>
      <c r="B750" s="835">
        <f>IF(C750="","",COUNTA($C$10:C751))</f>
        <v>74</v>
      </c>
      <c r="C750" s="835">
        <f>IF(D750="","",1776)</f>
        <v>1776</v>
      </c>
      <c r="D750" s="851" t="s">
        <v>395</v>
      </c>
      <c r="E750" s="870" t="s">
        <v>2064</v>
      </c>
      <c r="F750" s="1049" t="str">
        <f>VLOOKUP(E750,DICH!B:C,2,FALSE)</f>
        <v>Installing active cable anchorage 12s 15.2mm</v>
      </c>
      <c r="G750" s="856" t="s">
        <v>4651</v>
      </c>
      <c r="H750" s="847"/>
      <c r="I750" s="848"/>
      <c r="J750" s="857"/>
      <c r="K750" s="842">
        <f>+J751</f>
        <v>1830101.0538791488</v>
      </c>
      <c r="L750" s="842">
        <f>+J758</f>
        <v>59468.75</v>
      </c>
      <c r="N750" s="843" t="e">
        <f>SUMIF(#REF!,'8.Dgia'!A750,#REF!)+SUMIF(#REF!,'8.Dgia'!A750,#REF!)+SUMIF(#REF!,'8.Dgia'!A750,#REF!)+SUMIF(#REF!,'8.Dgia'!A750,#REF!)</f>
        <v>#REF!</v>
      </c>
      <c r="O750" s="844"/>
      <c r="P750" s="843" t="e">
        <f t="shared" si="33"/>
        <v>#REF!</v>
      </c>
    </row>
    <row r="751" spans="1:18" s="658" customFormat="1" ht="15" customHeight="1">
      <c r="A751" s="657">
        <f>IF(B751="",MAX($A$8:A750)+0,MAX($A$8:A750)+1)</f>
        <v>74</v>
      </c>
      <c r="B751" s="835" t="str">
        <f>IF(C751="","",COUNTA($C$10:C752))</f>
        <v/>
      </c>
      <c r="C751" s="362"/>
      <c r="D751" s="845"/>
      <c r="E751" s="852" t="s">
        <v>2032</v>
      </c>
      <c r="F751" s="848" t="str">
        <f>VLOOKUP(E751,DICH!B:C,2,FALSE)</f>
        <v xml:space="preserve">  A - Material</v>
      </c>
      <c r="G751" s="846"/>
      <c r="H751" s="847"/>
      <c r="I751" s="848"/>
      <c r="J751" s="849">
        <f>SUM(J752:J757)</f>
        <v>1830101.0538791488</v>
      </c>
      <c r="K751" s="850"/>
      <c r="L751" s="850"/>
      <c r="M751" s="850"/>
      <c r="N751" s="843" t="e">
        <f>SUMIF(#REF!,'8.Dgia'!A751,#REF!)+SUMIF(#REF!,'8.Dgia'!A751,#REF!)+SUMIF(#REF!,'8.Dgia'!A751,#REF!)+SUMIF(#REF!,'8.Dgia'!A751,#REF!)</f>
        <v>#REF!</v>
      </c>
      <c r="O751" s="844"/>
      <c r="P751" s="843" t="e">
        <f t="shared" si="33"/>
        <v>#REF!</v>
      </c>
    </row>
    <row r="752" spans="1:18" ht="15" customHeight="1">
      <c r="A752" s="657">
        <f>IF(B752="",MAX($A$8:A751)+0,MAX($A$8:A751)+1)</f>
        <v>74</v>
      </c>
      <c r="B752" s="835" t="str">
        <f>IF(C752="","",COUNTA($C$10:C753))</f>
        <v/>
      </c>
      <c r="C752" s="362"/>
      <c r="D752" s="851"/>
      <c r="E752" s="852" t="s">
        <v>665</v>
      </c>
      <c r="F752" s="848" t="str">
        <f>VLOOKUP(E752,DICH!B:C,2,FALSE)</f>
        <v xml:space="preserve"> Active cable anchorage 12s D15.2</v>
      </c>
      <c r="G752" s="362" t="s">
        <v>4649</v>
      </c>
      <c r="H752" s="847">
        <v>1</v>
      </c>
      <c r="I752" s="848">
        <f>VLOOKUP(E752,'11.gia '!$B:$I,8,FALSE)</f>
        <v>1790000</v>
      </c>
      <c r="J752" s="853">
        <f>I752*H752</f>
        <v>1790000</v>
      </c>
      <c r="N752" s="843" t="e">
        <f>SUMIF(#REF!,'8.Dgia'!A752,#REF!)+SUMIF(#REF!,'8.Dgia'!A752,#REF!)+SUMIF(#REF!,'8.Dgia'!A752,#REF!)+SUMIF(#REF!,'8.Dgia'!A752,#REF!)</f>
        <v>#REF!</v>
      </c>
      <c r="O752" s="844">
        <f>+$H$757</f>
        <v>2</v>
      </c>
      <c r="P752" s="843" t="e">
        <f t="shared" si="33"/>
        <v>#REF!</v>
      </c>
    </row>
    <row r="753" spans="1:18" ht="15" customHeight="1">
      <c r="A753" s="657">
        <f>IF(B753="",MAX($A$8:A752)+0,MAX($A$8:A752)+1)</f>
        <v>74</v>
      </c>
      <c r="B753" s="835" t="str">
        <f>IF(C753="","",COUNTA($C$10:C754))</f>
        <v/>
      </c>
      <c r="C753" s="362"/>
      <c r="D753" s="851"/>
      <c r="E753" s="852" t="s">
        <v>145</v>
      </c>
      <c r="F753" s="848" t="str">
        <f>VLOOKUP(E753,DICH!B:C,2,FALSE)</f>
        <v xml:space="preserve"> plastic cudgel </v>
      </c>
      <c r="G753" s="362" t="s">
        <v>4649</v>
      </c>
      <c r="H753" s="847">
        <v>1</v>
      </c>
      <c r="I753" s="848">
        <f>VLOOKUP(E753,'11.gia '!$B:$I,8,FALSE)</f>
        <v>500</v>
      </c>
      <c r="J753" s="853">
        <f>I753*H753</f>
        <v>500</v>
      </c>
      <c r="N753" s="843" t="e">
        <f>SUMIF(#REF!,'8.Dgia'!A753,#REF!)+SUMIF(#REF!,'8.Dgia'!A753,#REF!)+SUMIF(#REF!,'8.Dgia'!A753,#REF!)+SUMIF(#REF!,'8.Dgia'!A753,#REF!)</f>
        <v>#REF!</v>
      </c>
      <c r="O753" s="844">
        <f>+$H$757</f>
        <v>2</v>
      </c>
      <c r="P753" s="843" t="e">
        <f t="shared" si="33"/>
        <v>#REF!</v>
      </c>
    </row>
    <row r="754" spans="1:18" ht="15" customHeight="1">
      <c r="A754" s="657">
        <f>IF(B754="",MAX($A$8:A753)+0,MAX($A$8:A753)+1)</f>
        <v>74</v>
      </c>
      <c r="B754" s="835" t="str">
        <f>IF(C754="","",COUNTA($C$10:C755))</f>
        <v/>
      </c>
      <c r="C754" s="362"/>
      <c r="D754" s="851"/>
      <c r="E754" s="852" t="s">
        <v>146</v>
      </c>
      <c r="F754" s="848" t="str">
        <f>VLOOKUP(E754,DICH!B:C,2,FALSE)</f>
        <v>Plastic cup</v>
      </c>
      <c r="G754" s="362" t="s">
        <v>4649</v>
      </c>
      <c r="H754" s="847">
        <v>1</v>
      </c>
      <c r="I754" s="848">
        <f>VLOOKUP(E754,'11.gia '!$B:$I,8,FALSE)</f>
        <v>1000</v>
      </c>
      <c r="J754" s="853">
        <f>I754*H754</f>
        <v>1000</v>
      </c>
      <c r="N754" s="843" t="e">
        <f>SUMIF(#REF!,'8.Dgia'!A754,#REF!)+SUMIF(#REF!,'8.Dgia'!A754,#REF!)+SUMIF(#REF!,'8.Dgia'!A754,#REF!)+SUMIF(#REF!,'8.Dgia'!A754,#REF!)</f>
        <v>#REF!</v>
      </c>
      <c r="O754" s="844">
        <f>+$H$757</f>
        <v>2</v>
      </c>
      <c r="P754" s="843" t="e">
        <f t="shared" si="33"/>
        <v>#REF!</v>
      </c>
    </row>
    <row r="755" spans="1:18" ht="15" customHeight="1">
      <c r="A755" s="657">
        <f>IF(B755="",MAX($A$8:A754)+0,MAX($A$8:A754)+1)</f>
        <v>74</v>
      </c>
      <c r="B755" s="835" t="str">
        <f>IF(C755="","",COUNTA($C$10:C756))</f>
        <v/>
      </c>
      <c r="C755" s="362"/>
      <c r="D755" s="851"/>
      <c r="E755" s="852" t="s">
        <v>616</v>
      </c>
      <c r="F755" s="848" t="str">
        <f>VLOOKUP(E755,DICH!B:C,2,FALSE)</f>
        <v>Lubricant grease</v>
      </c>
      <c r="G755" s="362" t="s">
        <v>558</v>
      </c>
      <c r="H755" s="847">
        <v>0.05</v>
      </c>
      <c r="I755" s="848">
        <f>VLOOKUP(E755,'11.gia '!$B:$I,8,FALSE)</f>
        <v>14560</v>
      </c>
      <c r="J755" s="853">
        <f>I755*H755</f>
        <v>728</v>
      </c>
      <c r="N755" s="843" t="e">
        <f>SUMIF(#REF!,'8.Dgia'!A755,#REF!)+SUMIF(#REF!,'8.Dgia'!A755,#REF!)+SUMIF(#REF!,'8.Dgia'!A755,#REF!)+SUMIF(#REF!,'8.Dgia'!A755,#REF!)</f>
        <v>#REF!</v>
      </c>
      <c r="O755" s="844">
        <f>+$H$757</f>
        <v>2</v>
      </c>
      <c r="P755" s="843" t="e">
        <f t="shared" si="33"/>
        <v>#REF!</v>
      </c>
    </row>
    <row r="756" spans="1:18" ht="15" customHeight="1">
      <c r="A756" s="657">
        <f>IF(B756="",MAX($A$8:A755)+0,MAX($A$8:A755)+1)</f>
        <v>74</v>
      </c>
      <c r="B756" s="835" t="str">
        <f>IF(C756="","",COUNTA($C$10:C757))</f>
        <v/>
      </c>
      <c r="C756" s="851"/>
      <c r="D756" s="851" t="str">
        <f>'10.PLV'!$C$112</f>
        <v>VD</v>
      </c>
      <c r="E756" s="852" t="s">
        <v>2151</v>
      </c>
      <c r="F756" s="848" t="str">
        <f>VLOOKUP(E756,DICH!B:C,2,FALSE)</f>
        <v>Non-shringkage mortar (kg)</v>
      </c>
      <c r="G756" s="362" t="s">
        <v>558</v>
      </c>
      <c r="H756" s="847">
        <v>0.22</v>
      </c>
      <c r="I756" s="848">
        <f>VLOOKUP(E756,'11.gia '!$B:$I,8,FALSE)</f>
        <v>9039.6340425531907</v>
      </c>
      <c r="J756" s="853">
        <f>I756*H756</f>
        <v>1988.719489361702</v>
      </c>
      <c r="N756" s="843" t="e">
        <f>SUMIF(#REF!,'8.Dgia'!A756,#REF!)+SUMIF(#REF!,'8.Dgia'!A756,#REF!)+SUMIF(#REF!,'8.Dgia'!A756,#REF!)+SUMIF(#REF!,'8.Dgia'!A756,#REF!)</f>
        <v>#REF!</v>
      </c>
      <c r="O756" s="844">
        <f>+$H$757</f>
        <v>2</v>
      </c>
      <c r="P756" s="843" t="e">
        <f t="shared" si="33"/>
        <v>#REF!</v>
      </c>
    </row>
    <row r="757" spans="1:18" ht="15" customHeight="1">
      <c r="A757" s="657">
        <f>IF(B757="",MAX($A$8:A756)+0,MAX($A$8:A756)+1)</f>
        <v>74</v>
      </c>
      <c r="B757" s="835" t="str">
        <f>IF(C757="","",COUNTA($C$10:C758))</f>
        <v/>
      </c>
      <c r="C757" s="362"/>
      <c r="D757" s="851"/>
      <c r="E757" s="852" t="s">
        <v>555</v>
      </c>
      <c r="F757" s="848" t="str">
        <f>VLOOKUP(E757,DICH!B:C,2,FALSE)</f>
        <v>Other material</v>
      </c>
      <c r="G757" s="362" t="s">
        <v>554</v>
      </c>
      <c r="H757" s="847">
        <v>2</v>
      </c>
      <c r="I757" s="848">
        <f>SUM(J752:J756)</f>
        <v>1794216.7194893616</v>
      </c>
      <c r="J757" s="853">
        <f>I757*H757%</f>
        <v>35884.334389787233</v>
      </c>
      <c r="N757" s="843" t="e">
        <f>SUMIF(#REF!,'8.Dgia'!A757,#REF!)+SUMIF(#REF!,'8.Dgia'!A757,#REF!)+SUMIF(#REF!,'8.Dgia'!A757,#REF!)+SUMIF(#REF!,'8.Dgia'!A757,#REF!)</f>
        <v>#REF!</v>
      </c>
      <c r="O757" s="844"/>
      <c r="P757" s="843" t="e">
        <f t="shared" si="33"/>
        <v>#REF!</v>
      </c>
    </row>
    <row r="758" spans="1:18" s="658" customFormat="1" ht="15" customHeight="1">
      <c r="A758" s="657">
        <f>IF(B758="",MAX($A$8:A757)+0,MAX($A$8:A757)+1)</f>
        <v>74</v>
      </c>
      <c r="B758" s="835" t="str">
        <f>IF(C758="","",COUNTA($C$10:C759))</f>
        <v/>
      </c>
      <c r="C758" s="362"/>
      <c r="D758" s="845"/>
      <c r="E758" s="852" t="s">
        <v>2040</v>
      </c>
      <c r="F758" s="848" t="str">
        <f>VLOOKUP(E758,DICH!B:C,2,FALSE)</f>
        <v xml:space="preserve">  B - Labour 4.5/7</v>
      </c>
      <c r="G758" s="362" t="s">
        <v>4899</v>
      </c>
      <c r="H758" s="847">
        <v>0.25</v>
      </c>
      <c r="I758" s="848">
        <f>VLOOKUP(E758,'16.NC'!$C$11:$F$22,4,FALSE)</f>
        <v>237875</v>
      </c>
      <c r="J758" s="849">
        <f>I758*H758</f>
        <v>59468.75</v>
      </c>
      <c r="K758" s="850"/>
      <c r="L758" s="850"/>
      <c r="M758" s="850"/>
      <c r="N758" s="843" t="e">
        <f>SUMIF(#REF!,'8.Dgia'!A758,#REF!)+SUMIF(#REF!,'8.Dgia'!A758,#REF!)+SUMIF(#REF!,'8.Dgia'!A758,#REF!)+SUMIF(#REF!,'8.Dgia'!A758,#REF!)</f>
        <v>#REF!</v>
      </c>
      <c r="O758" s="844"/>
      <c r="P758" s="843" t="e">
        <f t="shared" si="33"/>
        <v>#REF!</v>
      </c>
      <c r="R758" s="658">
        <v>1</v>
      </c>
    </row>
    <row r="759" spans="1:18" ht="15" customHeight="1">
      <c r="A759" s="657">
        <f>IF(B759="",MAX($A$8:A758)+0,MAX($A$8:A758)+1)</f>
        <v>75</v>
      </c>
      <c r="B759" s="835">
        <f>IF(C759="","",COUNTA($C$10:C760))</f>
        <v>75</v>
      </c>
      <c r="C759" s="835">
        <f>IF(D759="","",1776)</f>
        <v>1776</v>
      </c>
      <c r="D759" s="851" t="s">
        <v>395</v>
      </c>
      <c r="E759" s="855" t="s">
        <v>3524</v>
      </c>
      <c r="F759" s="1049" t="str">
        <f>VLOOKUP(E759,DICH!B:C,2,FALSE)</f>
        <v>Installing active cable anchorage 5s 15.2mm</v>
      </c>
      <c r="G759" s="856" t="s">
        <v>4651</v>
      </c>
      <c r="H759" s="847"/>
      <c r="I759" s="848"/>
      <c r="J759" s="857"/>
      <c r="K759" s="842">
        <f>+J760</f>
        <v>588482.87206096714</v>
      </c>
      <c r="L759" s="842">
        <f>+J767</f>
        <v>59468.75</v>
      </c>
      <c r="N759" s="843" t="e">
        <f>SUMIF(#REF!,'8.Dgia'!A759,#REF!)+SUMIF(#REF!,'8.Dgia'!A759,#REF!)+SUMIF(#REF!,'8.Dgia'!A759,#REF!)+SUMIF(#REF!,'8.Dgia'!A759,#REF!)</f>
        <v>#REF!</v>
      </c>
      <c r="O759" s="844"/>
      <c r="P759" s="843" t="e">
        <f t="shared" si="33"/>
        <v>#REF!</v>
      </c>
    </row>
    <row r="760" spans="1:18" s="658" customFormat="1" ht="15" customHeight="1">
      <c r="A760" s="657">
        <f>IF(B760="",MAX($A$8:A759)+0,MAX($A$8:A759)+1)</f>
        <v>75</v>
      </c>
      <c r="B760" s="835" t="str">
        <f>IF(C760="","",COUNTA($C$10:C761))</f>
        <v/>
      </c>
      <c r="C760" s="362"/>
      <c r="D760" s="845"/>
      <c r="E760" s="852" t="s">
        <v>2032</v>
      </c>
      <c r="F760" s="848" t="str">
        <f>VLOOKUP(E760,DICH!B:C,2,FALSE)</f>
        <v xml:space="preserve">  A - Material</v>
      </c>
      <c r="G760" s="846"/>
      <c r="H760" s="847"/>
      <c r="I760" s="848"/>
      <c r="J760" s="849">
        <f>SUM(J761:J766)</f>
        <v>588482.87206096714</v>
      </c>
      <c r="K760" s="850"/>
      <c r="L760" s="850"/>
      <c r="M760" s="850"/>
      <c r="N760" s="843" t="e">
        <f>SUMIF(#REF!,'8.Dgia'!A760,#REF!)+SUMIF(#REF!,'8.Dgia'!A760,#REF!)+SUMIF(#REF!,'8.Dgia'!A760,#REF!)+SUMIF(#REF!,'8.Dgia'!A760,#REF!)</f>
        <v>#REF!</v>
      </c>
      <c r="O760" s="844"/>
      <c r="P760" s="843" t="e">
        <f t="shared" ref="P760:P837" si="38">$H760*N760*(1+O760%)</f>
        <v>#REF!</v>
      </c>
    </row>
    <row r="761" spans="1:18" ht="15" customHeight="1">
      <c r="A761" s="657">
        <f>IF(B761="",MAX($A$8:A760)+0,MAX($A$8:A760)+1)</f>
        <v>75</v>
      </c>
      <c r="B761" s="835" t="str">
        <f>IF(C761="","",COUNTA($C$10:C762))</f>
        <v/>
      </c>
      <c r="C761" s="362"/>
      <c r="D761" s="851"/>
      <c r="E761" s="852" t="s">
        <v>3457</v>
      </c>
      <c r="F761" s="848" t="str">
        <f>VLOOKUP(E761,DICH!B:C,2,FALSE)</f>
        <v xml:space="preserve"> Active cable anchorage 5s D15.2</v>
      </c>
      <c r="G761" s="362" t="s">
        <v>4649</v>
      </c>
      <c r="H761" s="847">
        <v>1</v>
      </c>
      <c r="I761" s="848">
        <f>VLOOKUP(E761,'11.gia '!$B:$I,8,FALSE)</f>
        <v>572727.27272727271</v>
      </c>
      <c r="J761" s="853">
        <f>I761*H761</f>
        <v>572727.27272727271</v>
      </c>
      <c r="N761" s="843" t="e">
        <f>SUMIF(#REF!,'8.Dgia'!A761,#REF!)+SUMIF(#REF!,'8.Dgia'!A761,#REF!)+SUMIF(#REF!,'8.Dgia'!A761,#REF!)+SUMIF(#REF!,'8.Dgia'!A761,#REF!)</f>
        <v>#REF!</v>
      </c>
      <c r="O761" s="844">
        <f>+$H$766</f>
        <v>2</v>
      </c>
      <c r="P761" s="843" t="e">
        <f t="shared" si="38"/>
        <v>#REF!</v>
      </c>
    </row>
    <row r="762" spans="1:18" ht="15" customHeight="1">
      <c r="A762" s="657">
        <f>IF(B762="",MAX($A$8:A761)+0,MAX($A$8:A761)+1)</f>
        <v>75</v>
      </c>
      <c r="B762" s="835" t="str">
        <f>IF(C762="","",COUNTA($C$10:C763))</f>
        <v/>
      </c>
      <c r="C762" s="362"/>
      <c r="D762" s="851"/>
      <c r="E762" s="852" t="s">
        <v>145</v>
      </c>
      <c r="F762" s="848" t="str">
        <f>VLOOKUP(E762,DICH!B:C,2,FALSE)</f>
        <v xml:space="preserve"> plastic cudgel </v>
      </c>
      <c r="G762" s="362" t="s">
        <v>4649</v>
      </c>
      <c r="H762" s="847">
        <v>1</v>
      </c>
      <c r="I762" s="848">
        <f>VLOOKUP(E762,'11.gia '!$B:$I,8,FALSE)</f>
        <v>500</v>
      </c>
      <c r="J762" s="853">
        <f>I762*H762</f>
        <v>500</v>
      </c>
      <c r="N762" s="843" t="e">
        <f>SUMIF(#REF!,'8.Dgia'!A762,#REF!)+SUMIF(#REF!,'8.Dgia'!A762,#REF!)+SUMIF(#REF!,'8.Dgia'!A762,#REF!)+SUMIF(#REF!,'8.Dgia'!A762,#REF!)</f>
        <v>#REF!</v>
      </c>
      <c r="O762" s="844">
        <f>+$H$766</f>
        <v>2</v>
      </c>
      <c r="P762" s="843" t="e">
        <f t="shared" si="38"/>
        <v>#REF!</v>
      </c>
    </row>
    <row r="763" spans="1:18" ht="15" customHeight="1">
      <c r="A763" s="657">
        <f>IF(B763="",MAX($A$8:A762)+0,MAX($A$8:A762)+1)</f>
        <v>75</v>
      </c>
      <c r="B763" s="835" t="str">
        <f>IF(C763="","",COUNTA($C$10:C764))</f>
        <v/>
      </c>
      <c r="C763" s="362"/>
      <c r="D763" s="851"/>
      <c r="E763" s="852" t="s">
        <v>146</v>
      </c>
      <c r="F763" s="848" t="str">
        <f>VLOOKUP(E763,DICH!B:C,2,FALSE)</f>
        <v>Plastic cup</v>
      </c>
      <c r="G763" s="362" t="s">
        <v>4649</v>
      </c>
      <c r="H763" s="847">
        <v>1</v>
      </c>
      <c r="I763" s="848">
        <f>VLOOKUP(E763,'11.gia '!$B:$I,8,FALSE)</f>
        <v>1000</v>
      </c>
      <c r="J763" s="853">
        <f>I763*H763</f>
        <v>1000</v>
      </c>
      <c r="N763" s="843" t="e">
        <f>SUMIF(#REF!,'8.Dgia'!A763,#REF!)+SUMIF(#REF!,'8.Dgia'!A763,#REF!)+SUMIF(#REF!,'8.Dgia'!A763,#REF!)+SUMIF(#REF!,'8.Dgia'!A763,#REF!)</f>
        <v>#REF!</v>
      </c>
      <c r="O763" s="844">
        <f>+$H$766</f>
        <v>2</v>
      </c>
      <c r="P763" s="843" t="e">
        <f t="shared" si="38"/>
        <v>#REF!</v>
      </c>
    </row>
    <row r="764" spans="1:18" ht="15" customHeight="1">
      <c r="A764" s="657">
        <f>IF(B764="",MAX($A$8:A763)+0,MAX($A$8:A763)+1)</f>
        <v>75</v>
      </c>
      <c r="B764" s="835" t="str">
        <f>IF(C764="","",COUNTA($C$10:C765))</f>
        <v/>
      </c>
      <c r="C764" s="362"/>
      <c r="D764" s="851"/>
      <c r="E764" s="852" t="s">
        <v>616</v>
      </c>
      <c r="F764" s="848" t="str">
        <f>VLOOKUP(E764,DICH!B:C,2,FALSE)</f>
        <v>Lubricant grease</v>
      </c>
      <c r="G764" s="362" t="s">
        <v>558</v>
      </c>
      <c r="H764" s="847">
        <v>0.05</v>
      </c>
      <c r="I764" s="848">
        <f>VLOOKUP(E764,'11.gia '!$B:$I,8,FALSE)</f>
        <v>14560</v>
      </c>
      <c r="J764" s="853">
        <f>I764*H764</f>
        <v>728</v>
      </c>
      <c r="N764" s="843" t="e">
        <f>SUMIF(#REF!,'8.Dgia'!A764,#REF!)+SUMIF(#REF!,'8.Dgia'!A764,#REF!)+SUMIF(#REF!,'8.Dgia'!A764,#REF!)+SUMIF(#REF!,'8.Dgia'!A764,#REF!)</f>
        <v>#REF!</v>
      </c>
      <c r="O764" s="844">
        <f>+$H$766</f>
        <v>2</v>
      </c>
      <c r="P764" s="843" t="e">
        <f t="shared" si="38"/>
        <v>#REF!</v>
      </c>
    </row>
    <row r="765" spans="1:18" ht="15" customHeight="1">
      <c r="A765" s="657">
        <f>IF(B765="",MAX($A$8:A764)+0,MAX($A$8:A764)+1)</f>
        <v>75</v>
      </c>
      <c r="B765" s="835" t="str">
        <f>IF(C765="","",COUNTA($C$10:C766))</f>
        <v/>
      </c>
      <c r="C765" s="851"/>
      <c r="D765" s="851" t="str">
        <f>'10.PLV'!$C$112</f>
        <v>VD</v>
      </c>
      <c r="E765" s="852" t="s">
        <v>2151</v>
      </c>
      <c r="F765" s="848" t="str">
        <f>VLOOKUP(E765,DICH!B:C,2,FALSE)</f>
        <v>Non-shringkage mortar (kg)</v>
      </c>
      <c r="G765" s="362" t="s">
        <v>558</v>
      </c>
      <c r="H765" s="847">
        <v>0.22</v>
      </c>
      <c r="I765" s="848">
        <f>VLOOKUP(E765,'11.gia '!$B:$I,8,FALSE)</f>
        <v>9039.6340425531907</v>
      </c>
      <c r="J765" s="853">
        <f>I765*H765</f>
        <v>1988.719489361702</v>
      </c>
      <c r="N765" s="843" t="e">
        <f>SUMIF(#REF!,'8.Dgia'!A765,#REF!)+SUMIF(#REF!,'8.Dgia'!A765,#REF!)+SUMIF(#REF!,'8.Dgia'!A765,#REF!)+SUMIF(#REF!,'8.Dgia'!A765,#REF!)</f>
        <v>#REF!</v>
      </c>
      <c r="O765" s="844">
        <f>+$H$766</f>
        <v>2</v>
      </c>
      <c r="P765" s="843" t="e">
        <f t="shared" si="38"/>
        <v>#REF!</v>
      </c>
    </row>
    <row r="766" spans="1:18" ht="15" customHeight="1">
      <c r="A766" s="657">
        <f>IF(B766="",MAX($A$8:A765)+0,MAX($A$8:A765)+1)</f>
        <v>75</v>
      </c>
      <c r="B766" s="835" t="str">
        <f>IF(C766="","",COUNTA($C$10:C767))</f>
        <v/>
      </c>
      <c r="C766" s="362"/>
      <c r="D766" s="851"/>
      <c r="E766" s="852" t="s">
        <v>555</v>
      </c>
      <c r="F766" s="848" t="str">
        <f>VLOOKUP(E766,DICH!B:C,2,FALSE)</f>
        <v>Other material</v>
      </c>
      <c r="G766" s="362" t="s">
        <v>554</v>
      </c>
      <c r="H766" s="847">
        <v>2</v>
      </c>
      <c r="I766" s="848">
        <f>SUM(J761:J765)</f>
        <v>576943.99221663445</v>
      </c>
      <c r="J766" s="853">
        <f>I766*H766%</f>
        <v>11538.879844332689</v>
      </c>
      <c r="N766" s="843" t="e">
        <f>SUMIF(#REF!,'8.Dgia'!A766,#REF!)+SUMIF(#REF!,'8.Dgia'!A766,#REF!)+SUMIF(#REF!,'8.Dgia'!A766,#REF!)+SUMIF(#REF!,'8.Dgia'!A766,#REF!)</f>
        <v>#REF!</v>
      </c>
      <c r="O766" s="844"/>
      <c r="P766" s="843" t="e">
        <f t="shared" si="38"/>
        <v>#REF!</v>
      </c>
    </row>
    <row r="767" spans="1:18" s="658" customFormat="1" ht="15" customHeight="1">
      <c r="A767" s="657">
        <f>IF(B767="",MAX($A$8:A766)+0,MAX($A$8:A766)+1)</f>
        <v>75</v>
      </c>
      <c r="B767" s="835" t="str">
        <f>IF(C767="","",COUNTA($C$10:C768))</f>
        <v/>
      </c>
      <c r="C767" s="362"/>
      <c r="D767" s="845"/>
      <c r="E767" s="852" t="s">
        <v>2040</v>
      </c>
      <c r="F767" s="848" t="str">
        <f>VLOOKUP(E767,DICH!B:C,2,FALSE)</f>
        <v xml:space="preserve">  B - Labour 4.5/7</v>
      </c>
      <c r="G767" s="362" t="s">
        <v>4899</v>
      </c>
      <c r="H767" s="847">
        <v>0.25</v>
      </c>
      <c r="I767" s="848">
        <f>VLOOKUP(E767,'16.NC'!$C$11:$F$22,4,FALSE)</f>
        <v>237875</v>
      </c>
      <c r="J767" s="849">
        <f>I767*H767</f>
        <v>59468.75</v>
      </c>
      <c r="K767" s="850"/>
      <c r="L767" s="850"/>
      <c r="M767" s="850"/>
      <c r="N767" s="843" t="e">
        <f>SUMIF(#REF!,'8.Dgia'!A767,#REF!)+SUMIF(#REF!,'8.Dgia'!A767,#REF!)+SUMIF(#REF!,'8.Dgia'!A767,#REF!)+SUMIF(#REF!,'8.Dgia'!A767,#REF!)</f>
        <v>#REF!</v>
      </c>
      <c r="O767" s="844"/>
      <c r="P767" s="843" t="e">
        <f t="shared" si="38"/>
        <v>#REF!</v>
      </c>
      <c r="R767" s="658">
        <v>1</v>
      </c>
    </row>
    <row r="768" spans="1:18" ht="15" customHeight="1">
      <c r="A768" s="657">
        <f>IF(B768="",MAX($A$8:A767)+0,MAX($A$8:A767)+1)</f>
        <v>76</v>
      </c>
      <c r="B768" s="835">
        <f>IF(C768="","",COUNTA($C$10:C769))</f>
        <v>76</v>
      </c>
      <c r="C768" s="835">
        <f>IF(D768="","",1776)</f>
        <v>1776</v>
      </c>
      <c r="D768" s="851" t="s">
        <v>395</v>
      </c>
      <c r="E768" s="855" t="s">
        <v>3464</v>
      </c>
      <c r="F768" s="1049" t="str">
        <f>VLOOKUP(E768,DICH!B:C,2,FALSE)</f>
        <v>Installing temporary cable anchorage</v>
      </c>
      <c r="G768" s="856" t="s">
        <v>4651</v>
      </c>
      <c r="H768" s="847"/>
      <c r="I768" s="848"/>
      <c r="J768" s="857"/>
      <c r="K768" s="842">
        <f>+J769</f>
        <v>412301.05387914891</v>
      </c>
      <c r="L768" s="842">
        <f>+J776</f>
        <v>59468.75</v>
      </c>
      <c r="N768" s="843" t="s">
        <v>457</v>
      </c>
      <c r="O768" s="844"/>
      <c r="P768" s="843"/>
      <c r="Q768" s="657" t="s">
        <v>457</v>
      </c>
    </row>
    <row r="769" spans="1:18" s="658" customFormat="1" ht="15" customHeight="1">
      <c r="A769" s="657">
        <f>IF(B769="",MAX($A$8:A768)+0,MAX($A$8:A768)+1)</f>
        <v>76</v>
      </c>
      <c r="B769" s="835" t="str">
        <f>IF(C769="","",COUNTA($C$10:C770))</f>
        <v/>
      </c>
      <c r="C769" s="362"/>
      <c r="D769" s="845"/>
      <c r="E769" s="852" t="s">
        <v>2032</v>
      </c>
      <c r="F769" s="848" t="str">
        <f>VLOOKUP(E769,DICH!B:C,2,FALSE)</f>
        <v xml:space="preserve">  A - Material</v>
      </c>
      <c r="G769" s="846"/>
      <c r="H769" s="847"/>
      <c r="I769" s="848"/>
      <c r="J769" s="849">
        <f>SUM(J770:J775)</f>
        <v>412301.05387914891</v>
      </c>
      <c r="K769" s="850"/>
      <c r="L769" s="850"/>
      <c r="M769" s="850"/>
      <c r="N769" s="843" t="s">
        <v>457</v>
      </c>
      <c r="O769" s="844"/>
      <c r="P769" s="843"/>
      <c r="Q769" s="657" t="s">
        <v>457</v>
      </c>
    </row>
    <row r="770" spans="1:18" ht="15" customHeight="1">
      <c r="A770" s="657">
        <f>IF(B770="",MAX($A$8:A769)+0,MAX($A$8:A769)+1)</f>
        <v>76</v>
      </c>
      <c r="B770" s="835" t="str">
        <f>IF(C770="","",COUNTA($C$10:C771))</f>
        <v/>
      </c>
      <c r="C770" s="362"/>
      <c r="D770" s="851"/>
      <c r="E770" s="852" t="s">
        <v>3458</v>
      </c>
      <c r="F770" s="848" t="str">
        <f>VLOOKUP(E770,DICH!B:C,2,FALSE)</f>
        <v xml:space="preserve"> Temporary cable anchorage</v>
      </c>
      <c r="G770" s="362" t="s">
        <v>4649</v>
      </c>
      <c r="H770" s="847">
        <v>1</v>
      </c>
      <c r="I770" s="848">
        <f>VLOOKUP(E770,'11.gia '!$B:$I,8,FALSE)</f>
        <v>400000</v>
      </c>
      <c r="J770" s="853">
        <f>I770*H770</f>
        <v>400000</v>
      </c>
      <c r="N770" s="843" t="s">
        <v>457</v>
      </c>
      <c r="O770" s="844">
        <f>+$H$766</f>
        <v>2</v>
      </c>
      <c r="P770" s="843"/>
      <c r="Q770" s="657" t="s">
        <v>457</v>
      </c>
    </row>
    <row r="771" spans="1:18" ht="15" customHeight="1">
      <c r="A771" s="657">
        <f>IF(B771="",MAX($A$8:A770)+0,MAX($A$8:A770)+1)</f>
        <v>76</v>
      </c>
      <c r="B771" s="835" t="str">
        <f>IF(C771="","",COUNTA($C$10:C772))</f>
        <v/>
      </c>
      <c r="C771" s="362"/>
      <c r="D771" s="851"/>
      <c r="E771" s="852" t="s">
        <v>145</v>
      </c>
      <c r="F771" s="848" t="str">
        <f>VLOOKUP(E771,DICH!B:C,2,FALSE)</f>
        <v xml:space="preserve"> plastic cudgel </v>
      </c>
      <c r="G771" s="362" t="s">
        <v>4649</v>
      </c>
      <c r="H771" s="847">
        <v>1</v>
      </c>
      <c r="I771" s="848">
        <f>VLOOKUP(E771,'11.gia '!$B:$I,8,FALSE)</f>
        <v>500</v>
      </c>
      <c r="J771" s="853">
        <f>I771*H771</f>
        <v>500</v>
      </c>
      <c r="N771" s="843" t="s">
        <v>457</v>
      </c>
      <c r="O771" s="844">
        <f>+$H$766</f>
        <v>2</v>
      </c>
      <c r="P771" s="843"/>
      <c r="Q771" s="657" t="s">
        <v>457</v>
      </c>
    </row>
    <row r="772" spans="1:18" ht="15" customHeight="1">
      <c r="A772" s="657">
        <f>IF(B772="",MAX($A$8:A771)+0,MAX($A$8:A771)+1)</f>
        <v>76</v>
      </c>
      <c r="B772" s="835" t="str">
        <f>IF(C772="","",COUNTA($C$10:C773))</f>
        <v/>
      </c>
      <c r="C772" s="362"/>
      <c r="D772" s="851"/>
      <c r="E772" s="852" t="s">
        <v>146</v>
      </c>
      <c r="F772" s="848" t="str">
        <f>VLOOKUP(E772,DICH!B:C,2,FALSE)</f>
        <v>Plastic cup</v>
      </c>
      <c r="G772" s="362" t="s">
        <v>4649</v>
      </c>
      <c r="H772" s="847">
        <v>1</v>
      </c>
      <c r="I772" s="848">
        <f>VLOOKUP(E772,'11.gia '!$B:$I,8,FALSE)</f>
        <v>1000</v>
      </c>
      <c r="J772" s="853">
        <f>I772*H772</f>
        <v>1000</v>
      </c>
      <c r="N772" s="843" t="s">
        <v>457</v>
      </c>
      <c r="O772" s="844">
        <f>+$H$766</f>
        <v>2</v>
      </c>
      <c r="P772" s="843"/>
      <c r="Q772" s="657" t="s">
        <v>457</v>
      </c>
    </row>
    <row r="773" spans="1:18" ht="15" customHeight="1">
      <c r="A773" s="657">
        <f>IF(B773="",MAX($A$8:A772)+0,MAX($A$8:A772)+1)</f>
        <v>76</v>
      </c>
      <c r="B773" s="835" t="str">
        <f>IF(C773="","",COUNTA($C$10:C774))</f>
        <v/>
      </c>
      <c r="C773" s="362"/>
      <c r="D773" s="851"/>
      <c r="E773" s="852" t="s">
        <v>616</v>
      </c>
      <c r="F773" s="848" t="str">
        <f>VLOOKUP(E773,DICH!B:C,2,FALSE)</f>
        <v>Lubricant grease</v>
      </c>
      <c r="G773" s="362" t="s">
        <v>558</v>
      </c>
      <c r="H773" s="847">
        <v>0.05</v>
      </c>
      <c r="I773" s="848">
        <f>VLOOKUP(E773,'11.gia '!$B:$I,8,FALSE)</f>
        <v>14560</v>
      </c>
      <c r="J773" s="853">
        <f>I773*H773</f>
        <v>728</v>
      </c>
      <c r="N773" s="843" t="s">
        <v>457</v>
      </c>
      <c r="O773" s="844">
        <f>+$H$766</f>
        <v>2</v>
      </c>
      <c r="P773" s="843"/>
      <c r="Q773" s="657" t="s">
        <v>457</v>
      </c>
    </row>
    <row r="774" spans="1:18" ht="15" customHeight="1">
      <c r="A774" s="657">
        <f>IF(B774="",MAX($A$8:A773)+0,MAX($A$8:A773)+1)</f>
        <v>76</v>
      </c>
      <c r="B774" s="835" t="str">
        <f>IF(C774="","",COUNTA($C$10:C775))</f>
        <v/>
      </c>
      <c r="C774" s="851"/>
      <c r="D774" s="851" t="str">
        <f>'10.PLV'!$C$112</f>
        <v>VD</v>
      </c>
      <c r="E774" s="852" t="s">
        <v>2151</v>
      </c>
      <c r="F774" s="848" t="str">
        <f>VLOOKUP(E774,DICH!B:C,2,FALSE)</f>
        <v>Non-shringkage mortar (kg)</v>
      </c>
      <c r="G774" s="362" t="s">
        <v>558</v>
      </c>
      <c r="H774" s="847">
        <v>0.22</v>
      </c>
      <c r="I774" s="848">
        <f>VLOOKUP(E774,'11.gia '!$B:$I,8,FALSE)</f>
        <v>9039.6340425531907</v>
      </c>
      <c r="J774" s="853">
        <f>I774*H774</f>
        <v>1988.719489361702</v>
      </c>
      <c r="N774" s="843" t="s">
        <v>457</v>
      </c>
      <c r="O774" s="844">
        <f>+$H$766</f>
        <v>2</v>
      </c>
      <c r="P774" s="843"/>
      <c r="Q774" s="657" t="s">
        <v>457</v>
      </c>
    </row>
    <row r="775" spans="1:18" ht="15" customHeight="1">
      <c r="A775" s="657">
        <f>IF(B775="",MAX($A$8:A774)+0,MAX($A$8:A774)+1)</f>
        <v>76</v>
      </c>
      <c r="B775" s="835" t="str">
        <f>IF(C775="","",COUNTA($C$10:C776))</f>
        <v/>
      </c>
      <c r="C775" s="362"/>
      <c r="D775" s="851"/>
      <c r="E775" s="852" t="s">
        <v>555</v>
      </c>
      <c r="F775" s="848" t="str">
        <f>VLOOKUP(E775,DICH!B:C,2,FALSE)</f>
        <v>Other material</v>
      </c>
      <c r="G775" s="362" t="s">
        <v>554</v>
      </c>
      <c r="H775" s="847">
        <v>2</v>
      </c>
      <c r="I775" s="848">
        <f>SUM(J770:J774)</f>
        <v>404216.71948936168</v>
      </c>
      <c r="J775" s="853">
        <f>I775*H775%</f>
        <v>8084.3343897872337</v>
      </c>
      <c r="N775" s="843" t="s">
        <v>457</v>
      </c>
      <c r="O775" s="844"/>
      <c r="P775" s="843"/>
      <c r="Q775" s="657" t="s">
        <v>457</v>
      </c>
    </row>
    <row r="776" spans="1:18" s="658" customFormat="1" ht="15" customHeight="1">
      <c r="A776" s="657">
        <f>IF(B776="",MAX($A$8:A775)+0,MAX($A$8:A775)+1)</f>
        <v>76</v>
      </c>
      <c r="B776" s="835" t="str">
        <f>IF(C776="","",COUNTA($C$10:C777))</f>
        <v/>
      </c>
      <c r="C776" s="362"/>
      <c r="D776" s="845"/>
      <c r="E776" s="852" t="s">
        <v>2040</v>
      </c>
      <c r="F776" s="848" t="str">
        <f>VLOOKUP(E776,DICH!B:C,2,FALSE)</f>
        <v xml:space="preserve">  B - Labour 4.5/7</v>
      </c>
      <c r="G776" s="362" t="s">
        <v>4899</v>
      </c>
      <c r="H776" s="847">
        <v>0.25</v>
      </c>
      <c r="I776" s="848">
        <f>VLOOKUP(E776,'16.NC'!$C$11:$F$22,4,FALSE)</f>
        <v>237875</v>
      </c>
      <c r="J776" s="849">
        <f>I776*H776</f>
        <v>59468.75</v>
      </c>
      <c r="K776" s="850"/>
      <c r="L776" s="850"/>
      <c r="M776" s="850"/>
      <c r="N776" s="843" t="s">
        <v>457</v>
      </c>
      <c r="O776" s="844"/>
      <c r="P776" s="843"/>
      <c r="Q776" s="657" t="s">
        <v>457</v>
      </c>
      <c r="R776" s="658">
        <v>1</v>
      </c>
    </row>
    <row r="777" spans="1:18" ht="15" customHeight="1">
      <c r="A777" s="657">
        <f>IF(B777="",MAX($A$8:A776)+0,MAX($A$8:A776)+1)</f>
        <v>77</v>
      </c>
      <c r="B777" s="835">
        <f>IF(C777="","",COUNTA($C$10:C778))</f>
        <v>77</v>
      </c>
      <c r="C777" s="835">
        <f>IF(D777="","",1776)</f>
        <v>1776</v>
      </c>
      <c r="D777" s="851" t="s">
        <v>396</v>
      </c>
      <c r="E777" s="855" t="s">
        <v>2065</v>
      </c>
      <c r="F777" s="1049" t="str">
        <f>VLOOKUP(E777,DICH!B:C,2,FALSE)</f>
        <v>Install duct D110/117</v>
      </c>
      <c r="G777" s="856" t="s">
        <v>543</v>
      </c>
      <c r="H777" s="847"/>
      <c r="I777" s="848"/>
      <c r="J777" s="857"/>
      <c r="K777" s="842">
        <f>+J778</f>
        <v>50195.357640873073</v>
      </c>
      <c r="L777" s="842">
        <f>+J785</f>
        <v>49953.75</v>
      </c>
      <c r="M777" s="842">
        <f>+J786</f>
        <v>2226.8748757500002</v>
      </c>
      <c r="N777" s="843" t="e">
        <f>SUMIF(#REF!,'8.Dgia'!A777,#REF!)+SUMIF(#REF!,'8.Dgia'!A777,#REF!)+SUMIF(#REF!,'8.Dgia'!A777,#REF!)+SUMIF(#REF!,'8.Dgia'!A777,#REF!)</f>
        <v>#REF!</v>
      </c>
      <c r="O777" s="844"/>
      <c r="P777" s="843" t="e">
        <f t="shared" si="38"/>
        <v>#REF!</v>
      </c>
    </row>
    <row r="778" spans="1:18" s="658" customFormat="1" ht="15" customHeight="1">
      <c r="A778" s="657">
        <f>IF(B778="",MAX($A$8:A777)+0,MAX($A$8:A777)+1)</f>
        <v>77</v>
      </c>
      <c r="B778" s="835" t="str">
        <f>IF(C778="","",COUNTA($C$10:C779))</f>
        <v/>
      </c>
      <c r="C778" s="362"/>
      <c r="D778" s="845"/>
      <c r="E778" s="852" t="s">
        <v>2032</v>
      </c>
      <c r="F778" s="848" t="str">
        <f>VLOOKUP(E778,DICH!B:C,2,FALSE)</f>
        <v xml:space="preserve">  A - Material</v>
      </c>
      <c r="G778" s="846"/>
      <c r="H778" s="847"/>
      <c r="I778" s="848"/>
      <c r="J778" s="849">
        <f>SUM(J779:J784)</f>
        <v>50195.357640873073</v>
      </c>
      <c r="K778" s="850"/>
      <c r="L778" s="850"/>
      <c r="M778" s="850"/>
      <c r="N778" s="843" t="e">
        <f>SUMIF(#REF!,'8.Dgia'!A778,#REF!)+SUMIF(#REF!,'8.Dgia'!A778,#REF!)+SUMIF(#REF!,'8.Dgia'!A778,#REF!)+SUMIF(#REF!,'8.Dgia'!A778,#REF!)</f>
        <v>#REF!</v>
      </c>
      <c r="O778" s="844"/>
      <c r="P778" s="843" t="e">
        <f t="shared" si="38"/>
        <v>#REF!</v>
      </c>
    </row>
    <row r="779" spans="1:18" ht="15" customHeight="1">
      <c r="A779" s="657">
        <f>IF(B779="",MAX($A$8:A778)+0,MAX($A$8:A778)+1)</f>
        <v>77</v>
      </c>
      <c r="B779" s="835" t="str">
        <f>IF(C779="","",COUNTA($C$10:C780))</f>
        <v/>
      </c>
      <c r="C779" s="362"/>
      <c r="D779" s="851"/>
      <c r="E779" s="852" t="s">
        <v>2066</v>
      </c>
      <c r="F779" s="848" t="str">
        <f>VLOOKUP(E779,DICH!B:C,2,FALSE)</f>
        <v>Cable steel pipe D110/117</v>
      </c>
      <c r="G779" s="362" t="s">
        <v>543</v>
      </c>
      <c r="H779" s="847">
        <v>1.02</v>
      </c>
      <c r="I779" s="848">
        <f>VLOOKUP(E779,'11.gia '!$B:$I,8,FALSE)</f>
        <v>42727.272727272721</v>
      </c>
      <c r="J779" s="853">
        <f>I779*H779</f>
        <v>43581.818181818177</v>
      </c>
      <c r="N779" s="843" t="e">
        <f>SUMIF(#REF!,'8.Dgia'!A779,#REF!)+SUMIF(#REF!,'8.Dgia'!A779,#REF!)+SUMIF(#REF!,'8.Dgia'!A779,#REF!)+SUMIF(#REF!,'8.Dgia'!A779,#REF!)</f>
        <v>#REF!</v>
      </c>
      <c r="O779" s="844">
        <f>+$H$784</f>
        <v>1</v>
      </c>
      <c r="P779" s="843" t="e">
        <f t="shared" si="38"/>
        <v>#REF!</v>
      </c>
    </row>
    <row r="780" spans="1:18" ht="15" customHeight="1">
      <c r="A780" s="657">
        <f>IF(B780="",MAX($A$8:A779)+0,MAX($A$8:A779)+1)</f>
        <v>77</v>
      </c>
      <c r="B780" s="835" t="str">
        <f>IF(C780="","",COUNTA($C$10:C781))</f>
        <v/>
      </c>
      <c r="C780" s="362"/>
      <c r="D780" s="851"/>
      <c r="E780" s="852" t="s">
        <v>2152</v>
      </c>
      <c r="F780" s="848" t="str">
        <f>VLOOKUP(E780,DICH!B:C,2,FALSE)</f>
        <v>joint pipe PVC D110/117</v>
      </c>
      <c r="G780" s="362" t="s">
        <v>543</v>
      </c>
      <c r="H780" s="847">
        <v>0.06</v>
      </c>
      <c r="I780" s="848">
        <f>VLOOKUP(E780,'11.gia '!$B:$I,8,FALSE)</f>
        <v>42727.272727272721</v>
      </c>
      <c r="J780" s="853">
        <f>I780*H780</f>
        <v>2563.6363636363631</v>
      </c>
      <c r="N780" s="843" t="e">
        <f>SUMIF(#REF!,'8.Dgia'!A780,#REF!)+SUMIF(#REF!,'8.Dgia'!A780,#REF!)+SUMIF(#REF!,'8.Dgia'!A780,#REF!)+SUMIF(#REF!,'8.Dgia'!A780,#REF!)</f>
        <v>#REF!</v>
      </c>
      <c r="O780" s="844">
        <f>+$H$784</f>
        <v>1</v>
      </c>
      <c r="P780" s="843" t="e">
        <f t="shared" si="38"/>
        <v>#REF!</v>
      </c>
    </row>
    <row r="781" spans="1:18" ht="15" customHeight="1">
      <c r="A781" s="657">
        <f>IF(B781="",MAX($A$8:A780)+0,MAX($A$8:A780)+1)</f>
        <v>77</v>
      </c>
      <c r="B781" s="835" t="str">
        <f>IF(C781="","",COUNTA($C$10:C782))</f>
        <v/>
      </c>
      <c r="C781" s="362"/>
      <c r="D781" s="851"/>
      <c r="E781" s="852" t="s">
        <v>371</v>
      </c>
      <c r="F781" s="848" t="str">
        <f>VLOOKUP(E781,DICH!B:C,2,FALSE)</f>
        <v>steel bar D&lt;=10</v>
      </c>
      <c r="G781" s="362" t="s">
        <v>558</v>
      </c>
      <c r="H781" s="847">
        <v>0.19</v>
      </c>
      <c r="I781" s="848">
        <f>VLOOKUP(E781,'11.gia '!$B:$I,8,FALSE)</f>
        <v>16754.075560000001</v>
      </c>
      <c r="J781" s="853">
        <f>I781*H781</f>
        <v>3183.2743564000002</v>
      </c>
      <c r="N781" s="843" t="e">
        <f>SUMIF(#REF!,'8.Dgia'!A781,#REF!)+SUMIF(#REF!,'8.Dgia'!A781,#REF!)+SUMIF(#REF!,'8.Dgia'!A781,#REF!)+SUMIF(#REF!,'8.Dgia'!A781,#REF!)</f>
        <v>#REF!</v>
      </c>
      <c r="O781" s="844">
        <f>+$H$784</f>
        <v>1</v>
      </c>
      <c r="P781" s="843" t="e">
        <f t="shared" si="38"/>
        <v>#REF!</v>
      </c>
    </row>
    <row r="782" spans="1:18" ht="15" customHeight="1">
      <c r="A782" s="657">
        <f>IF(B782="",MAX($A$8:A781)+0,MAX($A$8:A781)+1)</f>
        <v>77</v>
      </c>
      <c r="B782" s="835" t="str">
        <f>IF(C782="","",COUNTA($C$10:C783))</f>
        <v/>
      </c>
      <c r="C782" s="362"/>
      <c r="D782" s="851"/>
      <c r="E782" s="852" t="s">
        <v>459</v>
      </c>
      <c r="F782" s="848" t="str">
        <f>VLOOKUP(E782,DICH!B:C,2,FALSE)</f>
        <v>Steel ware</v>
      </c>
      <c r="G782" s="362" t="s">
        <v>558</v>
      </c>
      <c r="H782" s="847">
        <v>1.4999999999999999E-2</v>
      </c>
      <c r="I782" s="848">
        <f>VLOOKUP(E782,'11.gia '!$B:$I,8,FALSE)</f>
        <v>17143</v>
      </c>
      <c r="J782" s="853">
        <f>I782*H782</f>
        <v>257.14499999999998</v>
      </c>
      <c r="N782" s="843" t="e">
        <f>SUMIF(#REF!,'8.Dgia'!A782,#REF!)+SUMIF(#REF!,'8.Dgia'!A782,#REF!)+SUMIF(#REF!,'8.Dgia'!A782,#REF!)+SUMIF(#REF!,'8.Dgia'!A782,#REF!)</f>
        <v>#REF!</v>
      </c>
      <c r="O782" s="844">
        <f>+$H$784</f>
        <v>1</v>
      </c>
      <c r="P782" s="843" t="e">
        <f t="shared" si="38"/>
        <v>#REF!</v>
      </c>
    </row>
    <row r="783" spans="1:18" ht="15" customHeight="1">
      <c r="A783" s="657">
        <f>IF(B783="",MAX($A$8:A782)+0,MAX($A$8:A782)+1)</f>
        <v>77</v>
      </c>
      <c r="B783" s="835" t="str">
        <f>IF(C783="","",COUNTA($C$10:C784))</f>
        <v/>
      </c>
      <c r="C783" s="362"/>
      <c r="D783" s="851"/>
      <c r="E783" s="852" t="s">
        <v>575</v>
      </c>
      <c r="F783" s="848" t="str">
        <f>VLOOKUP(E783,DICH!B:C,2,FALSE)</f>
        <v>Saw</v>
      </c>
      <c r="G783" s="362" t="s">
        <v>4649</v>
      </c>
      <c r="H783" s="847">
        <v>2.5000000000000001E-2</v>
      </c>
      <c r="I783" s="848">
        <f>VLOOKUP(E783,'11.gia '!$B:$I,8,FALSE)</f>
        <v>4500</v>
      </c>
      <c r="J783" s="853">
        <f>I783*H783</f>
        <v>112.5</v>
      </c>
      <c r="N783" s="843" t="e">
        <f>SUMIF(#REF!,'8.Dgia'!A783,#REF!)+SUMIF(#REF!,'8.Dgia'!A783,#REF!)+SUMIF(#REF!,'8.Dgia'!A783,#REF!)+SUMIF(#REF!,'8.Dgia'!A783,#REF!)</f>
        <v>#REF!</v>
      </c>
      <c r="O783" s="844">
        <f>+$H$784</f>
        <v>1</v>
      </c>
      <c r="P783" s="843" t="e">
        <f t="shared" si="38"/>
        <v>#REF!</v>
      </c>
    </row>
    <row r="784" spans="1:18" ht="15" customHeight="1">
      <c r="A784" s="657">
        <f>IF(B784="",MAX($A$8:A783)+0,MAX($A$8:A783)+1)</f>
        <v>77</v>
      </c>
      <c r="B784" s="835" t="str">
        <f>IF(C784="","",COUNTA($C$10:C785))</f>
        <v/>
      </c>
      <c r="C784" s="362"/>
      <c r="D784" s="851"/>
      <c r="E784" s="852" t="s">
        <v>555</v>
      </c>
      <c r="F784" s="848" t="str">
        <f>VLOOKUP(E784,DICH!B:C,2,FALSE)</f>
        <v>Other material</v>
      </c>
      <c r="G784" s="362" t="s">
        <v>554</v>
      </c>
      <c r="H784" s="847">
        <v>1</v>
      </c>
      <c r="I784" s="848">
        <f>SUM(J779:J783)</f>
        <v>49698.373901854531</v>
      </c>
      <c r="J784" s="853">
        <f>I784*H784%</f>
        <v>496.98373901854535</v>
      </c>
      <c r="N784" s="843" t="e">
        <f>SUMIF(#REF!,'8.Dgia'!A784,#REF!)+SUMIF(#REF!,'8.Dgia'!A784,#REF!)+SUMIF(#REF!,'8.Dgia'!A784,#REF!)+SUMIF(#REF!,'8.Dgia'!A784,#REF!)</f>
        <v>#REF!</v>
      </c>
      <c r="O784" s="844"/>
      <c r="P784" s="843" t="e">
        <f t="shared" si="38"/>
        <v>#REF!</v>
      </c>
    </row>
    <row r="785" spans="1:18" s="658" customFormat="1" ht="15" customHeight="1">
      <c r="A785" s="657">
        <f>IF(B785="",MAX($A$8:A784)+0,MAX($A$8:A784)+1)</f>
        <v>77</v>
      </c>
      <c r="B785" s="835" t="str">
        <f>IF(C785="","",COUNTA($C$10:C786))</f>
        <v/>
      </c>
      <c r="C785" s="362"/>
      <c r="D785" s="845"/>
      <c r="E785" s="852" t="s">
        <v>2040</v>
      </c>
      <c r="F785" s="848" t="str">
        <f>VLOOKUP(E785,DICH!B:C,2,FALSE)</f>
        <v xml:space="preserve">  B - Labour 4.5/7</v>
      </c>
      <c r="G785" s="362" t="s">
        <v>4899</v>
      </c>
      <c r="H785" s="847">
        <v>0.21</v>
      </c>
      <c r="I785" s="848">
        <f>VLOOKUP(E785,'16.NC'!$C$11:$F$22,4,FALSE)</f>
        <v>237875</v>
      </c>
      <c r="J785" s="849">
        <f>I785*H785</f>
        <v>49953.75</v>
      </c>
      <c r="K785" s="850"/>
      <c r="L785" s="850"/>
      <c r="M785" s="850"/>
      <c r="N785" s="843" t="e">
        <f>SUMIF(#REF!,'8.Dgia'!A785,#REF!)+SUMIF(#REF!,'8.Dgia'!A785,#REF!)+SUMIF(#REF!,'8.Dgia'!A785,#REF!)+SUMIF(#REF!,'8.Dgia'!A785,#REF!)</f>
        <v>#REF!</v>
      </c>
      <c r="O785" s="844"/>
      <c r="P785" s="843" t="e">
        <f t="shared" si="38"/>
        <v>#REF!</v>
      </c>
      <c r="R785" s="658">
        <v>1</v>
      </c>
    </row>
    <row r="786" spans="1:18" s="658" customFormat="1" ht="15" customHeight="1">
      <c r="A786" s="657">
        <f>IF(B786="",MAX($A$8:A785)+0,MAX($A$8:A785)+1)</f>
        <v>77</v>
      </c>
      <c r="B786" s="835" t="str">
        <f>IF(C786="","",COUNTA($C$10:C787))</f>
        <v/>
      </c>
      <c r="C786" s="362"/>
      <c r="D786" s="845"/>
      <c r="E786" s="852" t="s">
        <v>2033</v>
      </c>
      <c r="F786" s="848" t="str">
        <f>VLOOKUP(E786,DICH!B:C,2,FALSE)</f>
        <v xml:space="preserve">  C - Machine</v>
      </c>
      <c r="G786" s="846"/>
      <c r="H786" s="847"/>
      <c r="I786" s="848"/>
      <c r="J786" s="849">
        <f>SUM(J787:J788)</f>
        <v>2226.8748757500002</v>
      </c>
      <c r="K786" s="850"/>
      <c r="L786" s="850"/>
      <c r="M786" s="850"/>
      <c r="N786" s="843" t="e">
        <f>SUMIF(#REF!,'8.Dgia'!A786,#REF!)+SUMIF(#REF!,'8.Dgia'!A786,#REF!)+SUMIF(#REF!,'8.Dgia'!A786,#REF!)+SUMIF(#REF!,'8.Dgia'!A786,#REF!)</f>
        <v>#REF!</v>
      </c>
      <c r="O786" s="844"/>
      <c r="P786" s="843" t="e">
        <f t="shared" si="38"/>
        <v>#REF!</v>
      </c>
    </row>
    <row r="787" spans="1:18" ht="15" customHeight="1">
      <c r="A787" s="657">
        <f>IF(B787="",MAX($A$8:A786)+0,MAX($A$8:A786)+1)</f>
        <v>77</v>
      </c>
      <c r="B787" s="835" t="str">
        <f>IF(C787="","",COUNTA($C$10:C788))</f>
        <v/>
      </c>
      <c r="C787" s="362"/>
      <c r="D787" s="851"/>
      <c r="E787" s="852" t="s">
        <v>1428</v>
      </c>
      <c r="F787" s="848" t="str">
        <f>VLOOKUP(E787,'9.may'!E:F,2,FALSE)</f>
        <v>metal sawer 1.7kW</v>
      </c>
      <c r="G787" s="362" t="s">
        <v>4902</v>
      </c>
      <c r="H787" s="847">
        <v>0.03</v>
      </c>
      <c r="I787" s="848">
        <f>VLOOKUP(E787,'9.may'!E:W,12,FALSE)</f>
        <v>70694.440500000012</v>
      </c>
      <c r="J787" s="853">
        <f>I787*H787</f>
        <v>2120.8332150000001</v>
      </c>
      <c r="N787" s="843" t="e">
        <f>SUMIF(#REF!,'8.Dgia'!A787,#REF!)+SUMIF(#REF!,'8.Dgia'!A787,#REF!)+SUMIF(#REF!,'8.Dgia'!A787,#REF!)+SUMIF(#REF!,'8.Dgia'!A787,#REF!)</f>
        <v>#REF!</v>
      </c>
      <c r="O787" s="844">
        <f>+$H$788</f>
        <v>5</v>
      </c>
      <c r="P787" s="843" t="e">
        <f t="shared" si="38"/>
        <v>#REF!</v>
      </c>
    </row>
    <row r="788" spans="1:18" ht="15" customHeight="1">
      <c r="A788" s="657">
        <f>IF(B788="",MAX($A$8:A787)+0,MAX($A$8:A787)+1)</f>
        <v>77</v>
      </c>
      <c r="B788" s="835" t="str">
        <f>IF(C788="","",COUNTA($C$10:C789))</f>
        <v/>
      </c>
      <c r="C788" s="362"/>
      <c r="D788" s="851"/>
      <c r="E788" s="852" t="s">
        <v>553</v>
      </c>
      <c r="F788" s="848" t="str">
        <f>VLOOKUP(E788,DICH!B:C,2,FALSE)</f>
        <v>Other machine</v>
      </c>
      <c r="G788" s="362" t="s">
        <v>554</v>
      </c>
      <c r="H788" s="847">
        <v>5</v>
      </c>
      <c r="I788" s="848">
        <f>J787</f>
        <v>2120.8332150000001</v>
      </c>
      <c r="J788" s="853">
        <f>I788*H788%</f>
        <v>106.04166075000001</v>
      </c>
      <c r="N788" s="843" t="e">
        <f>SUMIF(#REF!,'8.Dgia'!A788,#REF!)+SUMIF(#REF!,'8.Dgia'!A788,#REF!)+SUMIF(#REF!,'8.Dgia'!A788,#REF!)+SUMIF(#REF!,'8.Dgia'!A788,#REF!)</f>
        <v>#REF!</v>
      </c>
      <c r="O788" s="844"/>
      <c r="P788" s="843" t="e">
        <f t="shared" si="38"/>
        <v>#REF!</v>
      </c>
    </row>
    <row r="789" spans="1:18" ht="15" customHeight="1">
      <c r="A789" s="657">
        <f>IF(B789="",MAX($A$8:A788)+0,MAX($A$8:A788)+1)</f>
        <v>78</v>
      </c>
      <c r="B789" s="835">
        <f>IF(C789="","",COUNTA($C$10:C790))</f>
        <v>78</v>
      </c>
      <c r="C789" s="835">
        <f>IF(D789="","",1776)</f>
        <v>1776</v>
      </c>
      <c r="D789" s="851" t="s">
        <v>609</v>
      </c>
      <c r="E789" s="855" t="s">
        <v>333</v>
      </c>
      <c r="F789" s="1049" t="str">
        <f>VLOOKUP(E789,DICH!B:C,2,FALSE)</f>
        <v>Install duct D80/87</v>
      </c>
      <c r="G789" s="856" t="s">
        <v>543</v>
      </c>
      <c r="H789" s="847"/>
      <c r="I789" s="848"/>
      <c r="J789" s="857"/>
      <c r="K789" s="842">
        <f>+J790</f>
        <v>45162.507532691263</v>
      </c>
      <c r="L789" s="842">
        <f>+J797</f>
        <v>45196.25</v>
      </c>
      <c r="M789" s="842">
        <f>+J798</f>
        <v>1855.7290631250005</v>
      </c>
      <c r="N789" s="843" t="e">
        <f>SUMIF(#REF!,'8.Dgia'!A789,#REF!)+SUMIF(#REF!,'8.Dgia'!A789,#REF!)+SUMIF(#REF!,'8.Dgia'!A789,#REF!)+SUMIF(#REF!,'8.Dgia'!A789,#REF!)</f>
        <v>#REF!</v>
      </c>
      <c r="O789" s="844"/>
      <c r="P789" s="843" t="e">
        <f t="shared" si="38"/>
        <v>#REF!</v>
      </c>
    </row>
    <row r="790" spans="1:18" s="658" customFormat="1" ht="15" customHeight="1">
      <c r="A790" s="657">
        <f>IF(B790="",MAX($A$8:A789)+0,MAX($A$8:A789)+1)</f>
        <v>78</v>
      </c>
      <c r="B790" s="835" t="str">
        <f>IF(C790="","",COUNTA($C$10:C791))</f>
        <v/>
      </c>
      <c r="C790" s="362"/>
      <c r="D790" s="845"/>
      <c r="E790" s="852" t="s">
        <v>2032</v>
      </c>
      <c r="F790" s="848" t="str">
        <f>VLOOKUP(E790,DICH!B:C,2,FALSE)</f>
        <v xml:space="preserve">  A - Material</v>
      </c>
      <c r="G790" s="846"/>
      <c r="H790" s="847"/>
      <c r="I790" s="848"/>
      <c r="J790" s="849">
        <f>SUM(J791:J796)</f>
        <v>45162.507532691263</v>
      </c>
      <c r="K790" s="850"/>
      <c r="L790" s="850"/>
      <c r="M790" s="850"/>
      <c r="N790" s="843" t="e">
        <f>SUMIF(#REF!,'8.Dgia'!A790,#REF!)+SUMIF(#REF!,'8.Dgia'!A790,#REF!)+SUMIF(#REF!,'8.Dgia'!A790,#REF!)+SUMIF(#REF!,'8.Dgia'!A790,#REF!)</f>
        <v>#REF!</v>
      </c>
      <c r="O790" s="844"/>
      <c r="P790" s="843" t="e">
        <f t="shared" si="38"/>
        <v>#REF!</v>
      </c>
    </row>
    <row r="791" spans="1:18" ht="15" customHeight="1">
      <c r="A791" s="657">
        <f>IF(B791="",MAX($A$8:A790)+0,MAX($A$8:A790)+1)</f>
        <v>78</v>
      </c>
      <c r="B791" s="835" t="str">
        <f>IF(C791="","",COUNTA($C$10:C792))</f>
        <v/>
      </c>
      <c r="C791" s="362"/>
      <c r="D791" s="851"/>
      <c r="E791" s="852" t="s">
        <v>509</v>
      </c>
      <c r="F791" s="848" t="str">
        <f>VLOOKUP(E791,DICH!B:C,2,FALSE)</f>
        <v>Cable steel pipe D80/87</v>
      </c>
      <c r="G791" s="362" t="s">
        <v>543</v>
      </c>
      <c r="H791" s="847">
        <v>1.02</v>
      </c>
      <c r="I791" s="848">
        <f>VLOOKUP(E791,'11.gia '!$B:$I,8,FALSE)</f>
        <v>38181.818181818177</v>
      </c>
      <c r="J791" s="853">
        <f>I791*H791</f>
        <v>38945.454545454544</v>
      </c>
      <c r="N791" s="843" t="e">
        <f>SUMIF(#REF!,'8.Dgia'!A791,#REF!)+SUMIF(#REF!,'8.Dgia'!A791,#REF!)+SUMIF(#REF!,'8.Dgia'!A791,#REF!)+SUMIF(#REF!,'8.Dgia'!A791,#REF!)</f>
        <v>#REF!</v>
      </c>
      <c r="O791" s="844">
        <f>+$H$796</f>
        <v>1</v>
      </c>
      <c r="P791" s="843" t="e">
        <f t="shared" si="38"/>
        <v>#REF!</v>
      </c>
    </row>
    <row r="792" spans="1:18" ht="15" customHeight="1">
      <c r="A792" s="657">
        <f>IF(B792="",MAX($A$8:A791)+0,MAX($A$8:A791)+1)</f>
        <v>78</v>
      </c>
      <c r="B792" s="835" t="str">
        <f>IF(C792="","",COUNTA($C$10:C793))</f>
        <v/>
      </c>
      <c r="C792" s="362"/>
      <c r="D792" s="851"/>
      <c r="E792" s="852" t="s">
        <v>2153</v>
      </c>
      <c r="F792" s="848" t="str">
        <f>VLOOKUP(E792,DICH!B:C,2,FALSE)</f>
        <v>joint pipe PVC D80/87</v>
      </c>
      <c r="G792" s="362" t="s">
        <v>543</v>
      </c>
      <c r="H792" s="847">
        <v>0.06</v>
      </c>
      <c r="I792" s="848">
        <f>VLOOKUP(E792,'11.gia '!$B:$I,8,FALSE)</f>
        <v>38181.818181818177</v>
      </c>
      <c r="J792" s="853">
        <f>I792*H792</f>
        <v>2290.9090909090905</v>
      </c>
      <c r="N792" s="843" t="e">
        <f>SUMIF(#REF!,'8.Dgia'!A792,#REF!)+SUMIF(#REF!,'8.Dgia'!A792,#REF!)+SUMIF(#REF!,'8.Dgia'!A792,#REF!)+SUMIF(#REF!,'8.Dgia'!A792,#REF!)</f>
        <v>#REF!</v>
      </c>
      <c r="O792" s="844">
        <f>+$H$796</f>
        <v>1</v>
      </c>
      <c r="P792" s="843" t="e">
        <f t="shared" si="38"/>
        <v>#REF!</v>
      </c>
    </row>
    <row r="793" spans="1:18" ht="15" customHeight="1">
      <c r="A793" s="657">
        <f>IF(B793="",MAX($A$8:A792)+0,MAX($A$8:A792)+1)</f>
        <v>78</v>
      </c>
      <c r="B793" s="835" t="str">
        <f>IF(C793="","",COUNTA($C$10:C794))</f>
        <v/>
      </c>
      <c r="C793" s="362"/>
      <c r="D793" s="851"/>
      <c r="E793" s="852" t="s">
        <v>371</v>
      </c>
      <c r="F793" s="848" t="str">
        <f>VLOOKUP(E793,DICH!B:C,2,FALSE)</f>
        <v>steel bar D&lt;=10</v>
      </c>
      <c r="G793" s="362" t="s">
        <v>558</v>
      </c>
      <c r="H793" s="847">
        <v>0.19</v>
      </c>
      <c r="I793" s="848">
        <f>VLOOKUP(E793,'11.gia '!$B:$I,8,FALSE)</f>
        <v>16754.075560000001</v>
      </c>
      <c r="J793" s="853">
        <f>I793*H793</f>
        <v>3183.2743564000002</v>
      </c>
      <c r="N793" s="843" t="e">
        <f>SUMIF(#REF!,'8.Dgia'!A793,#REF!)+SUMIF(#REF!,'8.Dgia'!A793,#REF!)+SUMIF(#REF!,'8.Dgia'!A793,#REF!)+SUMIF(#REF!,'8.Dgia'!A793,#REF!)</f>
        <v>#REF!</v>
      </c>
      <c r="O793" s="844">
        <f>+$H$796</f>
        <v>1</v>
      </c>
      <c r="P793" s="843" t="e">
        <f t="shared" si="38"/>
        <v>#REF!</v>
      </c>
    </row>
    <row r="794" spans="1:18" ht="15" customHeight="1">
      <c r="A794" s="657">
        <f>IF(B794="",MAX($A$8:A793)+0,MAX($A$8:A793)+1)</f>
        <v>78</v>
      </c>
      <c r="B794" s="835" t="str">
        <f>IF(C794="","",COUNTA($C$10:C795))</f>
        <v/>
      </c>
      <c r="C794" s="362"/>
      <c r="D794" s="851"/>
      <c r="E794" s="852" t="s">
        <v>459</v>
      </c>
      <c r="F794" s="848" t="str">
        <f>VLOOKUP(E794,DICH!B:C,2,FALSE)</f>
        <v>Steel ware</v>
      </c>
      <c r="G794" s="362" t="s">
        <v>558</v>
      </c>
      <c r="H794" s="847">
        <v>1.2E-2</v>
      </c>
      <c r="I794" s="848">
        <f>VLOOKUP(E794,'11.gia '!$B:$I,8,FALSE)</f>
        <v>17143</v>
      </c>
      <c r="J794" s="853">
        <f>I794*H794</f>
        <v>205.71600000000001</v>
      </c>
      <c r="N794" s="843" t="e">
        <f>SUMIF(#REF!,'8.Dgia'!A794,#REF!)+SUMIF(#REF!,'8.Dgia'!A794,#REF!)+SUMIF(#REF!,'8.Dgia'!A794,#REF!)+SUMIF(#REF!,'8.Dgia'!A794,#REF!)</f>
        <v>#REF!</v>
      </c>
      <c r="O794" s="844">
        <f>+$H$796</f>
        <v>1</v>
      </c>
      <c r="P794" s="843" t="e">
        <f t="shared" si="38"/>
        <v>#REF!</v>
      </c>
    </row>
    <row r="795" spans="1:18" ht="15" customHeight="1">
      <c r="A795" s="657">
        <f>IF(B795="",MAX($A$8:A794)+0,MAX($A$8:A794)+1)</f>
        <v>78</v>
      </c>
      <c r="B795" s="835" t="str">
        <f>IF(C795="","",COUNTA($C$10:C796))</f>
        <v/>
      </c>
      <c r="C795" s="362"/>
      <c r="D795" s="851"/>
      <c r="E795" s="852" t="s">
        <v>575</v>
      </c>
      <c r="F795" s="848" t="str">
        <f>VLOOKUP(E795,DICH!B:C,2,FALSE)</f>
        <v>Saw</v>
      </c>
      <c r="G795" s="362" t="s">
        <v>4649</v>
      </c>
      <c r="H795" s="847">
        <v>0.02</v>
      </c>
      <c r="I795" s="848">
        <f>VLOOKUP(E795,'11.gia '!$B:$I,8,FALSE)</f>
        <v>4500</v>
      </c>
      <c r="J795" s="853">
        <f>I795*H795</f>
        <v>90</v>
      </c>
      <c r="N795" s="843" t="e">
        <f>SUMIF(#REF!,'8.Dgia'!A795,#REF!)+SUMIF(#REF!,'8.Dgia'!A795,#REF!)+SUMIF(#REF!,'8.Dgia'!A795,#REF!)+SUMIF(#REF!,'8.Dgia'!A795,#REF!)</f>
        <v>#REF!</v>
      </c>
      <c r="O795" s="844">
        <f>+$H$796</f>
        <v>1</v>
      </c>
      <c r="P795" s="843" t="e">
        <f t="shared" si="38"/>
        <v>#REF!</v>
      </c>
    </row>
    <row r="796" spans="1:18" ht="15" customHeight="1">
      <c r="A796" s="657">
        <f>IF(B796="",MAX($A$8:A795)+0,MAX($A$8:A795)+1)</f>
        <v>78</v>
      </c>
      <c r="B796" s="835" t="str">
        <f>IF(C796="","",COUNTA($C$10:C797))</f>
        <v/>
      </c>
      <c r="C796" s="362"/>
      <c r="D796" s="851"/>
      <c r="E796" s="852" t="s">
        <v>555</v>
      </c>
      <c r="F796" s="848" t="str">
        <f>VLOOKUP(E796,DICH!B:C,2,FALSE)</f>
        <v>Other material</v>
      </c>
      <c r="G796" s="362" t="s">
        <v>554</v>
      </c>
      <c r="H796" s="847">
        <v>1</v>
      </c>
      <c r="I796" s="848">
        <f>SUM(J791:J795)</f>
        <v>44715.35399276363</v>
      </c>
      <c r="J796" s="853">
        <f>I796*H796%</f>
        <v>447.1535399276363</v>
      </c>
      <c r="N796" s="843" t="e">
        <f>SUMIF(#REF!,'8.Dgia'!A796,#REF!)+SUMIF(#REF!,'8.Dgia'!A796,#REF!)+SUMIF(#REF!,'8.Dgia'!A796,#REF!)+SUMIF(#REF!,'8.Dgia'!A796,#REF!)</f>
        <v>#REF!</v>
      </c>
      <c r="O796" s="844"/>
      <c r="P796" s="843" t="e">
        <f t="shared" si="38"/>
        <v>#REF!</v>
      </c>
    </row>
    <row r="797" spans="1:18" s="658" customFormat="1" ht="15" customHeight="1">
      <c r="A797" s="657">
        <f>IF(B797="",MAX($A$8:A796)+0,MAX($A$8:A796)+1)</f>
        <v>78</v>
      </c>
      <c r="B797" s="835" t="str">
        <f>IF(C797="","",COUNTA($C$10:C798))</f>
        <v/>
      </c>
      <c r="C797" s="362"/>
      <c r="D797" s="845"/>
      <c r="E797" s="852" t="s">
        <v>2040</v>
      </c>
      <c r="F797" s="848" t="str">
        <f>VLOOKUP(E797,DICH!B:C,2,FALSE)</f>
        <v xml:space="preserve">  B - Labour 4.5/7</v>
      </c>
      <c r="G797" s="362" t="s">
        <v>4899</v>
      </c>
      <c r="H797" s="847">
        <v>0.19</v>
      </c>
      <c r="I797" s="848">
        <f>VLOOKUP(E797,'16.NC'!$C$11:$F$22,4,FALSE)</f>
        <v>237875</v>
      </c>
      <c r="J797" s="849">
        <f>I797*H797</f>
        <v>45196.25</v>
      </c>
      <c r="K797" s="850"/>
      <c r="L797" s="850"/>
      <c r="M797" s="850"/>
      <c r="N797" s="843" t="e">
        <f>SUMIF(#REF!,'8.Dgia'!A797,#REF!)+SUMIF(#REF!,'8.Dgia'!A797,#REF!)+SUMIF(#REF!,'8.Dgia'!A797,#REF!)+SUMIF(#REF!,'8.Dgia'!A797,#REF!)</f>
        <v>#REF!</v>
      </c>
      <c r="O797" s="844"/>
      <c r="P797" s="843" t="e">
        <f t="shared" si="38"/>
        <v>#REF!</v>
      </c>
      <c r="R797" s="658">
        <v>1</v>
      </c>
    </row>
    <row r="798" spans="1:18" s="658" customFormat="1" ht="15" customHeight="1">
      <c r="A798" s="657">
        <f>IF(B798="",MAX($A$8:A797)+0,MAX($A$8:A797)+1)</f>
        <v>78</v>
      </c>
      <c r="B798" s="835" t="str">
        <f>IF(C798="","",COUNTA($C$10:C799))</f>
        <v/>
      </c>
      <c r="C798" s="362"/>
      <c r="D798" s="845"/>
      <c r="E798" s="852" t="s">
        <v>2033</v>
      </c>
      <c r="F798" s="848" t="str">
        <f>VLOOKUP(E798,DICH!B:C,2,FALSE)</f>
        <v xml:space="preserve">  C - Machine</v>
      </c>
      <c r="G798" s="846"/>
      <c r="H798" s="847"/>
      <c r="I798" s="848"/>
      <c r="J798" s="849">
        <f>SUM(J799:J800)</f>
        <v>1855.7290631250005</v>
      </c>
      <c r="K798" s="850"/>
      <c r="L798" s="850"/>
      <c r="M798" s="850"/>
      <c r="N798" s="843" t="e">
        <f>SUMIF(#REF!,'8.Dgia'!A798,#REF!)+SUMIF(#REF!,'8.Dgia'!A798,#REF!)+SUMIF(#REF!,'8.Dgia'!A798,#REF!)+SUMIF(#REF!,'8.Dgia'!A798,#REF!)</f>
        <v>#REF!</v>
      </c>
      <c r="O798" s="844"/>
      <c r="P798" s="843" t="e">
        <f t="shared" si="38"/>
        <v>#REF!</v>
      </c>
    </row>
    <row r="799" spans="1:18" ht="15" customHeight="1">
      <c r="A799" s="657">
        <f>IF(B799="",MAX($A$8:A798)+0,MAX($A$8:A798)+1)</f>
        <v>78</v>
      </c>
      <c r="B799" s="835" t="str">
        <f>IF(C799="","",COUNTA($C$10:C800))</f>
        <v/>
      </c>
      <c r="C799" s="362"/>
      <c r="D799" s="851"/>
      <c r="E799" s="852" t="s">
        <v>1428</v>
      </c>
      <c r="F799" s="848" t="str">
        <f>VLOOKUP(E799,'9.may'!E:F,2,FALSE)</f>
        <v>metal sawer 1.7kW</v>
      </c>
      <c r="G799" s="362" t="s">
        <v>4902</v>
      </c>
      <c r="H799" s="847">
        <v>2.5000000000000001E-2</v>
      </c>
      <c r="I799" s="848">
        <f>VLOOKUP(E799,'9.may'!E:W,12,FALSE)</f>
        <v>70694.440500000012</v>
      </c>
      <c r="J799" s="853">
        <f>I799*H799</f>
        <v>1767.3610125000005</v>
      </c>
      <c r="N799" s="843" t="e">
        <f>SUMIF(#REF!,'8.Dgia'!A799,#REF!)+SUMIF(#REF!,'8.Dgia'!A799,#REF!)+SUMIF(#REF!,'8.Dgia'!A799,#REF!)+SUMIF(#REF!,'8.Dgia'!A799,#REF!)</f>
        <v>#REF!</v>
      </c>
      <c r="O799" s="844">
        <f>+$H$800</f>
        <v>5</v>
      </c>
      <c r="P799" s="843" t="e">
        <f t="shared" si="38"/>
        <v>#REF!</v>
      </c>
    </row>
    <row r="800" spans="1:18" ht="15" customHeight="1">
      <c r="A800" s="657">
        <f>IF(B800="",MAX($A$8:A799)+0,MAX($A$8:A799)+1)</f>
        <v>78</v>
      </c>
      <c r="B800" s="835" t="str">
        <f>IF(C800="","",COUNTA($C$10:C801))</f>
        <v/>
      </c>
      <c r="C800" s="362"/>
      <c r="D800" s="851"/>
      <c r="E800" s="852" t="s">
        <v>553</v>
      </c>
      <c r="F800" s="848" t="str">
        <f>VLOOKUP(E800,DICH!B:C,2,FALSE)</f>
        <v>Other machine</v>
      </c>
      <c r="G800" s="362" t="s">
        <v>554</v>
      </c>
      <c r="H800" s="847">
        <v>5</v>
      </c>
      <c r="I800" s="848">
        <f>J799</f>
        <v>1767.3610125000005</v>
      </c>
      <c r="J800" s="853">
        <f>I800*H800%</f>
        <v>88.368050625000024</v>
      </c>
      <c r="N800" s="843" t="e">
        <f>SUMIF(#REF!,'8.Dgia'!A800,#REF!)+SUMIF(#REF!,'8.Dgia'!A800,#REF!)+SUMIF(#REF!,'8.Dgia'!A800,#REF!)+SUMIF(#REF!,'8.Dgia'!A800,#REF!)</f>
        <v>#REF!</v>
      </c>
      <c r="O800" s="844"/>
      <c r="P800" s="843" t="e">
        <f t="shared" si="38"/>
        <v>#REF!</v>
      </c>
    </row>
    <row r="801" spans="1:18" ht="15" customHeight="1">
      <c r="A801" s="657">
        <f>IF(B801="",MAX($A$8:A800)+0,MAX($A$8:A800)+1)</f>
        <v>79</v>
      </c>
      <c r="B801" s="835">
        <f>IF(C801="","",COUNTA($C$10:C802))</f>
        <v>79</v>
      </c>
      <c r="C801" s="835">
        <f>IF(D801="","",1776)</f>
        <v>1776</v>
      </c>
      <c r="D801" s="851" t="s">
        <v>397</v>
      </c>
      <c r="E801" s="855" t="s">
        <v>2196</v>
      </c>
      <c r="F801" s="1049" t="str">
        <f>VLOOKUP(E801,DICH!B:C,2,FALSE)</f>
        <v>Pumping mortar cement in cable pipe</v>
      </c>
      <c r="G801" s="856" t="s">
        <v>545</v>
      </c>
      <c r="H801" s="847"/>
      <c r="I801" s="848"/>
      <c r="J801" s="857"/>
      <c r="K801" s="842">
        <f>+J802</f>
        <v>6093889.3437835639</v>
      </c>
      <c r="L801" s="842">
        <f>+J806</f>
        <v>7815693.9000000004</v>
      </c>
      <c r="M801" s="842">
        <f>+J807</f>
        <v>3158212.6998435273</v>
      </c>
      <c r="N801" s="843" t="e">
        <f>SUMIF(#REF!,'8.Dgia'!A801,#REF!)+SUMIF(#REF!,'8.Dgia'!A801,#REF!)+SUMIF(#REF!,'8.Dgia'!A801,#REF!)+SUMIF(#REF!,'8.Dgia'!A801,#REF!)</f>
        <v>#REF!</v>
      </c>
      <c r="O801" s="844"/>
      <c r="P801" s="843" t="e">
        <f t="shared" si="38"/>
        <v>#REF!</v>
      </c>
    </row>
    <row r="802" spans="1:18" s="658" customFormat="1" ht="15" customHeight="1">
      <c r="A802" s="657">
        <f>IF(B802="",MAX($A$8:A801)+0,MAX($A$8:A801)+1)</f>
        <v>79</v>
      </c>
      <c r="B802" s="835" t="str">
        <f>IF(C802="","",COUNTA($C$10:C803))</f>
        <v/>
      </c>
      <c r="C802" s="362"/>
      <c r="D802" s="845"/>
      <c r="E802" s="852" t="s">
        <v>2032</v>
      </c>
      <c r="F802" s="848" t="str">
        <f>VLOOKUP(E802,DICH!B:C,2,FALSE)</f>
        <v xml:space="preserve">  A - Material</v>
      </c>
      <c r="G802" s="846"/>
      <c r="H802" s="847"/>
      <c r="I802" s="848"/>
      <c r="J802" s="849">
        <f>SUM(J803:J805)</f>
        <v>6093889.3437835639</v>
      </c>
      <c r="K802" s="850"/>
      <c r="L802" s="850"/>
      <c r="M802" s="850"/>
      <c r="N802" s="843" t="e">
        <f>SUMIF(#REF!,'8.Dgia'!A802,#REF!)+SUMIF(#REF!,'8.Dgia'!A802,#REF!)+SUMIF(#REF!,'8.Dgia'!A802,#REF!)+SUMIF(#REF!,'8.Dgia'!A802,#REF!)</f>
        <v>#REF!</v>
      </c>
      <c r="O802" s="844"/>
      <c r="P802" s="843" t="e">
        <f t="shared" si="38"/>
        <v>#REF!</v>
      </c>
    </row>
    <row r="803" spans="1:18" ht="15" customHeight="1">
      <c r="A803" s="657">
        <f>IF(B803="",MAX($A$8:A802)+0,MAX($A$8:A802)+1)</f>
        <v>79</v>
      </c>
      <c r="B803" s="835" t="str">
        <f>IF(C803="","",COUNTA($C$10:C804))</f>
        <v/>
      </c>
      <c r="C803" s="362"/>
      <c r="D803" s="851"/>
      <c r="E803" s="852" t="s">
        <v>458</v>
      </c>
      <c r="F803" s="848" t="str">
        <f>VLOOKUP(E803,DICH!B:C,2,FALSE)</f>
        <v>cement PC40</v>
      </c>
      <c r="G803" s="362" t="s">
        <v>558</v>
      </c>
      <c r="H803" s="847">
        <v>1824</v>
      </c>
      <c r="I803" s="848">
        <f>VLOOKUP(E803,'11.gia '!$B:$I,8,FALSE)</f>
        <v>1507.3863054545452</v>
      </c>
      <c r="J803" s="853">
        <f>I803*H803</f>
        <v>2749472.6211490906</v>
      </c>
      <c r="N803" s="843" t="e">
        <f>SUMIF(#REF!,'8.Dgia'!A803,#REF!)+SUMIF(#REF!,'8.Dgia'!A803,#REF!)+SUMIF(#REF!,'8.Dgia'!A803,#REF!)+SUMIF(#REF!,'8.Dgia'!A803,#REF!)</f>
        <v>#REF!</v>
      </c>
      <c r="O803" s="844">
        <f>+$H$805</f>
        <v>3</v>
      </c>
      <c r="P803" s="843" t="e">
        <f t="shared" si="38"/>
        <v>#REF!</v>
      </c>
    </row>
    <row r="804" spans="1:18" ht="15" customHeight="1">
      <c r="A804" s="657">
        <f>IF(B804="",MAX($A$8:A803)+0,MAX($A$8:A803)+1)</f>
        <v>79</v>
      </c>
      <c r="B804" s="835" t="str">
        <f>IF(C804="","",COUNTA($C$10:C805))</f>
        <v/>
      </c>
      <c r="C804" s="362"/>
      <c r="D804" s="851"/>
      <c r="E804" s="852" t="s">
        <v>91</v>
      </c>
      <c r="F804" s="848" t="str">
        <f>VLOOKUP(E804,DICH!B:C,2,FALSE)</f>
        <v>Sika IntraplastZ</v>
      </c>
      <c r="G804" s="362" t="s">
        <v>558</v>
      </c>
      <c r="H804" s="847">
        <v>40.56</v>
      </c>
      <c r="I804" s="848">
        <f>VLOOKUP(E804,'11.gia '!$B:$I,8,FALSE)</f>
        <v>78080</v>
      </c>
      <c r="J804" s="853">
        <f>I804*H804</f>
        <v>3166924.8000000003</v>
      </c>
      <c r="N804" s="843" t="e">
        <f>SUMIF(#REF!,'8.Dgia'!A804,#REF!)+SUMIF(#REF!,'8.Dgia'!A804,#REF!)+SUMIF(#REF!,'8.Dgia'!A804,#REF!)+SUMIF(#REF!,'8.Dgia'!A804,#REF!)</f>
        <v>#REF!</v>
      </c>
      <c r="O804" s="844">
        <f>+$H$805</f>
        <v>3</v>
      </c>
      <c r="P804" s="843" t="e">
        <f t="shared" si="38"/>
        <v>#REF!</v>
      </c>
    </row>
    <row r="805" spans="1:18" ht="15" customHeight="1">
      <c r="A805" s="657">
        <f>IF(B805="",MAX($A$8:A804)+0,MAX($A$8:A804)+1)</f>
        <v>79</v>
      </c>
      <c r="B805" s="835" t="str">
        <f>IF(C805="","",COUNTA($C$10:C806))</f>
        <v/>
      </c>
      <c r="C805" s="362"/>
      <c r="D805" s="851"/>
      <c r="E805" s="852" t="s">
        <v>555</v>
      </c>
      <c r="F805" s="848" t="str">
        <f>VLOOKUP(E805,DICH!B:C,2,FALSE)</f>
        <v>Other material</v>
      </c>
      <c r="G805" s="362" t="s">
        <v>554</v>
      </c>
      <c r="H805" s="847">
        <v>3</v>
      </c>
      <c r="I805" s="848">
        <f>SUM(J803:J804)</f>
        <v>5916397.4211490909</v>
      </c>
      <c r="J805" s="853">
        <f>I805*H805%</f>
        <v>177491.92263447272</v>
      </c>
      <c r="N805" s="843" t="e">
        <f>SUMIF(#REF!,'8.Dgia'!A805,#REF!)+SUMIF(#REF!,'8.Dgia'!A805,#REF!)+SUMIF(#REF!,'8.Dgia'!A805,#REF!)+SUMIF(#REF!,'8.Dgia'!A805,#REF!)</f>
        <v>#REF!</v>
      </c>
      <c r="O805" s="844"/>
      <c r="P805" s="843" t="e">
        <f t="shared" si="38"/>
        <v>#REF!</v>
      </c>
    </row>
    <row r="806" spans="1:18" s="658" customFormat="1" ht="15" customHeight="1">
      <c r="A806" s="657">
        <f>IF(B806="",MAX($A$8:A805)+0,MAX($A$8:A805)+1)</f>
        <v>79</v>
      </c>
      <c r="B806" s="835" t="str">
        <f>IF(C806="","",COUNTA($C$10:C807))</f>
        <v/>
      </c>
      <c r="C806" s="362"/>
      <c r="D806" s="845"/>
      <c r="E806" s="852" t="s">
        <v>2039</v>
      </c>
      <c r="F806" s="848" t="str">
        <f>VLOOKUP(E806,DICH!B:C,2,FALSE)</f>
        <v xml:space="preserve">  B - Labour 4.0/7</v>
      </c>
      <c r="G806" s="362" t="s">
        <v>4899</v>
      </c>
      <c r="H806" s="847">
        <v>35.700000000000003</v>
      </c>
      <c r="I806" s="848">
        <f>VLOOKUP(E806,'16.NC'!$C$11:$F$22,4,FALSE)</f>
        <v>218927</v>
      </c>
      <c r="J806" s="849">
        <f>I806*H806</f>
        <v>7815693.9000000004</v>
      </c>
      <c r="K806" s="850"/>
      <c r="L806" s="850"/>
      <c r="M806" s="850"/>
      <c r="N806" s="843" t="e">
        <f>SUMIF(#REF!,'8.Dgia'!A806,#REF!)+SUMIF(#REF!,'8.Dgia'!A806,#REF!)+SUMIF(#REF!,'8.Dgia'!A806,#REF!)+SUMIF(#REF!,'8.Dgia'!A806,#REF!)</f>
        <v>#REF!</v>
      </c>
      <c r="O806" s="844"/>
      <c r="P806" s="843" t="e">
        <f t="shared" si="38"/>
        <v>#REF!</v>
      </c>
      <c r="R806" s="658">
        <v>1</v>
      </c>
    </row>
    <row r="807" spans="1:18" s="658" customFormat="1" ht="15" customHeight="1">
      <c r="A807" s="657">
        <f>IF(B807="",MAX($A$8:A806)+0,MAX($A$8:A806)+1)</f>
        <v>79</v>
      </c>
      <c r="B807" s="835" t="str">
        <f>IF(C807="","",COUNTA($C$10:C808))</f>
        <v/>
      </c>
      <c r="C807" s="362"/>
      <c r="D807" s="845"/>
      <c r="E807" s="852" t="s">
        <v>2033</v>
      </c>
      <c r="F807" s="848" t="str">
        <f>VLOOKUP(E807,DICH!B:C,2,FALSE)</f>
        <v xml:space="preserve">  C - Machine</v>
      </c>
      <c r="G807" s="846"/>
      <c r="H807" s="847"/>
      <c r="I807" s="848"/>
      <c r="J807" s="849">
        <f>SUM(J808:J812)</f>
        <v>3158212.6998435273</v>
      </c>
      <c r="K807" s="850"/>
      <c r="L807" s="850"/>
      <c r="M807" s="850"/>
      <c r="N807" s="843" t="e">
        <f>SUMIF(#REF!,'8.Dgia'!A807,#REF!)+SUMIF(#REF!,'8.Dgia'!A807,#REF!)+SUMIF(#REF!,'8.Dgia'!A807,#REF!)+SUMIF(#REF!,'8.Dgia'!A807,#REF!)</f>
        <v>#REF!</v>
      </c>
      <c r="O807" s="844"/>
      <c r="P807" s="843" t="e">
        <f t="shared" si="38"/>
        <v>#REF!</v>
      </c>
    </row>
    <row r="808" spans="1:18" ht="15" customHeight="1">
      <c r="A808" s="657">
        <f>IF(B808="",MAX($A$8:A807)+0,MAX($A$8:A807)+1)</f>
        <v>79</v>
      </c>
      <c r="B808" s="835" t="str">
        <f>IF(C808="","",COUNTA($C$10:C809))</f>
        <v/>
      </c>
      <c r="C808" s="362"/>
      <c r="D808" s="851"/>
      <c r="E808" s="852" t="s">
        <v>576</v>
      </c>
      <c r="F808" s="848" t="str">
        <f>VLOOKUP(E808,'9.may'!E:F,2,FALSE)</f>
        <v>mortar mixer 80L</v>
      </c>
      <c r="G808" s="362" t="s">
        <v>4902</v>
      </c>
      <c r="H808" s="847">
        <v>1.83</v>
      </c>
      <c r="I808" s="848">
        <f>VLOOKUP(E808,'9.may'!E:W,12,FALSE)</f>
        <v>85162.991999999998</v>
      </c>
      <c r="J808" s="853">
        <f>I808*H808</f>
        <v>155848.27536</v>
      </c>
      <c r="N808" s="843" t="e">
        <f>SUMIF(#REF!,'8.Dgia'!A808,#REF!)+SUMIF(#REF!,'8.Dgia'!A808,#REF!)+SUMIF(#REF!,'8.Dgia'!A808,#REF!)+SUMIF(#REF!,'8.Dgia'!A808,#REF!)</f>
        <v>#REF!</v>
      </c>
      <c r="O808" s="844">
        <f>+$H$812</f>
        <v>3</v>
      </c>
      <c r="P808" s="843" t="e">
        <f t="shared" si="38"/>
        <v>#REF!</v>
      </c>
    </row>
    <row r="809" spans="1:18" ht="15" customHeight="1">
      <c r="A809" s="657">
        <f>IF(B809="",MAX($A$8:A808)+0,MAX($A$8:A808)+1)</f>
        <v>79</v>
      </c>
      <c r="B809" s="835" t="str">
        <f>IF(C809="","",COUNTA($C$10:C810))</f>
        <v/>
      </c>
      <c r="C809" s="362"/>
      <c r="D809" s="851"/>
      <c r="E809" s="852" t="s">
        <v>610</v>
      </c>
      <c r="F809" s="848" t="str">
        <f>VLOOKUP(E809,'9.may'!E:F,2,FALSE)</f>
        <v>diesel air compressor 600m3/h</v>
      </c>
      <c r="G809" s="362" t="s">
        <v>4902</v>
      </c>
      <c r="H809" s="847">
        <v>1.83</v>
      </c>
      <c r="I809" s="848">
        <f>VLOOKUP(E809,'9.may'!E:W,12,FALSE)</f>
        <v>1323272.1545454543</v>
      </c>
      <c r="J809" s="853">
        <f>I809*H809</f>
        <v>2421588.0428181817</v>
      </c>
      <c r="N809" s="843" t="e">
        <f>SUMIF(#REF!,'8.Dgia'!A809,#REF!)+SUMIF(#REF!,'8.Dgia'!A809,#REF!)+SUMIF(#REF!,'8.Dgia'!A809,#REF!)+SUMIF(#REF!,'8.Dgia'!A809,#REF!)</f>
        <v>#REF!</v>
      </c>
      <c r="O809" s="844">
        <f>+$H$812</f>
        <v>3</v>
      </c>
      <c r="P809" s="843" t="e">
        <f t="shared" si="38"/>
        <v>#REF!</v>
      </c>
    </row>
    <row r="810" spans="1:18" ht="15" customHeight="1">
      <c r="A810" s="657">
        <f>IF(B810="",MAX($A$8:A809)+0,MAX($A$8:A809)+1)</f>
        <v>79</v>
      </c>
      <c r="B810" s="835" t="str">
        <f>IF(C810="","",COUNTA($C$10:C811))</f>
        <v/>
      </c>
      <c r="C810" s="362"/>
      <c r="D810" s="851"/>
      <c r="E810" s="852" t="s">
        <v>1172</v>
      </c>
      <c r="F810" s="848" t="str">
        <f>VLOOKUP(E810,'9.may'!E:F,2,FALSE)</f>
        <v>mortar pump 2m3/h</v>
      </c>
      <c r="G810" s="362" t="s">
        <v>4902</v>
      </c>
      <c r="H810" s="847">
        <v>1.83</v>
      </c>
      <c r="I810" s="848">
        <f>VLOOKUP(E810,'9.may'!E:W,12,FALSE)</f>
        <v>211608.30000000002</v>
      </c>
      <c r="J810" s="853">
        <f>I810*H810</f>
        <v>387243.18900000007</v>
      </c>
      <c r="N810" s="843" t="e">
        <f>SUMIF(#REF!,'8.Dgia'!A810,#REF!)+SUMIF(#REF!,'8.Dgia'!A810,#REF!)+SUMIF(#REF!,'8.Dgia'!A810,#REF!)+SUMIF(#REF!,'8.Dgia'!A810,#REF!)</f>
        <v>#REF!</v>
      </c>
      <c r="O810" s="844">
        <f>+$H$812</f>
        <v>3</v>
      </c>
      <c r="P810" s="843" t="e">
        <f t="shared" si="38"/>
        <v>#REF!</v>
      </c>
    </row>
    <row r="811" spans="1:18" ht="15" customHeight="1">
      <c r="A811" s="657">
        <f>IF(B811="",MAX($A$8:A810)+0,MAX($A$8:A810)+1)</f>
        <v>79</v>
      </c>
      <c r="B811" s="835" t="str">
        <f>IF(C811="","",COUNTA($C$10:C812))</f>
        <v/>
      </c>
      <c r="C811" s="362"/>
      <c r="D811" s="851"/>
      <c r="E811" s="852" t="s">
        <v>580</v>
      </c>
      <c r="F811" s="848" t="str">
        <f>VLOOKUP(E811,'9.may'!E:F,2,FALSE)</f>
        <v>water pump 20kW</v>
      </c>
      <c r="G811" s="362" t="s">
        <v>4902</v>
      </c>
      <c r="H811" s="847">
        <v>0.5</v>
      </c>
      <c r="I811" s="848">
        <f>VLOOKUP(E811,'9.may'!E:W,12,FALSE)</f>
        <v>203092.83000000002</v>
      </c>
      <c r="J811" s="853">
        <f>I811*H811</f>
        <v>101546.41500000001</v>
      </c>
      <c r="N811" s="843" t="e">
        <f>SUMIF(#REF!,'8.Dgia'!A811,#REF!)+SUMIF(#REF!,'8.Dgia'!A811,#REF!)+SUMIF(#REF!,'8.Dgia'!A811,#REF!)+SUMIF(#REF!,'8.Dgia'!A811,#REF!)</f>
        <v>#REF!</v>
      </c>
      <c r="O811" s="844">
        <f>+$H$812</f>
        <v>3</v>
      </c>
      <c r="P811" s="843" t="e">
        <f t="shared" si="38"/>
        <v>#REF!</v>
      </c>
    </row>
    <row r="812" spans="1:18" ht="15" customHeight="1">
      <c r="A812" s="657">
        <f>IF(B812="",MAX($A$8:A811)+0,MAX($A$8:A811)+1)</f>
        <v>79</v>
      </c>
      <c r="B812" s="835" t="str">
        <f>IF(C812="","",COUNTA($C$10:C813))</f>
        <v/>
      </c>
      <c r="C812" s="362"/>
      <c r="D812" s="851"/>
      <c r="E812" s="852" t="s">
        <v>553</v>
      </c>
      <c r="F812" s="848" t="str">
        <f>VLOOKUP(E812,DICH!B:C,2,FALSE)</f>
        <v>Other machine</v>
      </c>
      <c r="G812" s="362" t="s">
        <v>554</v>
      </c>
      <c r="H812" s="847">
        <v>3</v>
      </c>
      <c r="I812" s="848">
        <f>SUM(J808:J811)</f>
        <v>3066225.9221781818</v>
      </c>
      <c r="J812" s="853">
        <f>I812*H812%</f>
        <v>91986.777665345449</v>
      </c>
      <c r="N812" s="843" t="e">
        <f>SUMIF(#REF!,'8.Dgia'!A812,#REF!)+SUMIF(#REF!,'8.Dgia'!A812,#REF!)+SUMIF(#REF!,'8.Dgia'!A812,#REF!)+SUMIF(#REF!,'8.Dgia'!A812,#REF!)</f>
        <v>#REF!</v>
      </c>
      <c r="O812" s="844"/>
      <c r="P812" s="843" t="e">
        <f t="shared" si="38"/>
        <v>#REF!</v>
      </c>
    </row>
    <row r="813" spans="1:18" ht="15" customHeight="1">
      <c r="A813" s="657">
        <f>IF(B813="",MAX($A$8:A812)+0,MAX($A$8:A812)+1)</f>
        <v>80</v>
      </c>
      <c r="B813" s="835">
        <f>IF(C813="","",COUNTA($C$10:C814))</f>
        <v>80</v>
      </c>
      <c r="C813" s="835">
        <f>IF(D813="","",1776)</f>
        <v>1776</v>
      </c>
      <c r="D813" s="851" t="s">
        <v>398</v>
      </c>
      <c r="E813" s="855" t="s">
        <v>2068</v>
      </c>
      <c r="F813" s="1049" t="str">
        <f>VLOOKUP(E813,DICH!B:C,2,FALSE)</f>
        <v>Installing fixed bearing 4000 ton</v>
      </c>
      <c r="G813" s="856" t="s">
        <v>4651</v>
      </c>
      <c r="H813" s="847"/>
      <c r="I813" s="848"/>
      <c r="J813" s="857"/>
      <c r="K813" s="842">
        <f>+J814</f>
        <v>592227272.72727275</v>
      </c>
      <c r="L813" s="842">
        <f>+J817</f>
        <v>1204098.5</v>
      </c>
      <c r="N813" s="843" t="e">
        <f>SUMIF(#REF!,'8.Dgia'!A813,#REF!)+SUMIF(#REF!,'8.Dgia'!A813,#REF!)+SUMIF(#REF!,'8.Dgia'!A813,#REF!)+SUMIF(#REF!,'8.Dgia'!A813,#REF!)</f>
        <v>#REF!</v>
      </c>
      <c r="O813" s="844"/>
      <c r="P813" s="843" t="e">
        <f t="shared" si="38"/>
        <v>#REF!</v>
      </c>
    </row>
    <row r="814" spans="1:18" s="658" customFormat="1" ht="15" customHeight="1">
      <c r="A814" s="657">
        <f>IF(B814="",MAX($A$8:A813)+0,MAX($A$8:A813)+1)</f>
        <v>80</v>
      </c>
      <c r="B814" s="835" t="str">
        <f>IF(C814="","",COUNTA($C$10:C815))</f>
        <v/>
      </c>
      <c r="C814" s="362"/>
      <c r="D814" s="845"/>
      <c r="E814" s="852" t="s">
        <v>2032</v>
      </c>
      <c r="F814" s="848" t="str">
        <f>VLOOKUP(E814,DICH!B:C,2,FALSE)</f>
        <v xml:space="preserve">  A - Material</v>
      </c>
      <c r="G814" s="846"/>
      <c r="H814" s="847"/>
      <c r="I814" s="848"/>
      <c r="J814" s="849">
        <f>SUM(J815:J816)</f>
        <v>592227272.72727275</v>
      </c>
      <c r="K814" s="850"/>
      <c r="L814" s="850"/>
      <c r="M814" s="850"/>
      <c r="N814" s="843" t="e">
        <f>SUMIF(#REF!,'8.Dgia'!A814,#REF!)+SUMIF(#REF!,'8.Dgia'!A814,#REF!)+SUMIF(#REF!,'8.Dgia'!A814,#REF!)+SUMIF(#REF!,'8.Dgia'!A814,#REF!)</f>
        <v>#REF!</v>
      </c>
      <c r="O814" s="844"/>
      <c r="P814" s="843" t="e">
        <f t="shared" si="38"/>
        <v>#REF!</v>
      </c>
    </row>
    <row r="815" spans="1:18" ht="15" customHeight="1">
      <c r="A815" s="657">
        <f>IF(B815="",MAX($A$8:A814)+0,MAX($A$8:A814)+1)</f>
        <v>80</v>
      </c>
      <c r="B815" s="835" t="str">
        <f>IF(C815="","",COUNTA($C$10:C816))</f>
        <v/>
      </c>
      <c r="C815" s="362"/>
      <c r="D815" s="851"/>
      <c r="E815" s="852" t="s">
        <v>3510</v>
      </c>
      <c r="F815" s="848" t="str">
        <f>VLOOKUP(E815,DICH!B:C,2,FALSE)</f>
        <v>Fixed bearing 4000 ton</v>
      </c>
      <c r="G815" s="362" t="s">
        <v>4651</v>
      </c>
      <c r="H815" s="847">
        <v>1</v>
      </c>
      <c r="I815" s="848">
        <f>VLOOKUP(E815,'11.gia '!$B:$I,8,FALSE)</f>
        <v>586363636.36363637</v>
      </c>
      <c r="J815" s="853">
        <f>I815*H815</f>
        <v>586363636.36363637</v>
      </c>
      <c r="N815" s="843" t="e">
        <f>SUMIF(#REF!,'8.Dgia'!A815,#REF!)+SUMIF(#REF!,'8.Dgia'!A815,#REF!)+SUMIF(#REF!,'8.Dgia'!A815,#REF!)+SUMIF(#REF!,'8.Dgia'!A815,#REF!)</f>
        <v>#REF!</v>
      </c>
      <c r="O815" s="844">
        <f>+$H$816</f>
        <v>1</v>
      </c>
      <c r="P815" s="843" t="e">
        <f t="shared" si="38"/>
        <v>#REF!</v>
      </c>
    </row>
    <row r="816" spans="1:18" ht="15" customHeight="1">
      <c r="A816" s="657">
        <f>IF(B816="",MAX($A$8:A815)+0,MAX($A$8:A815)+1)</f>
        <v>80</v>
      </c>
      <c r="B816" s="835" t="str">
        <f>IF(C816="","",COUNTA($C$10:C817))</f>
        <v/>
      </c>
      <c r="C816" s="362"/>
      <c r="D816" s="851"/>
      <c r="E816" s="852" t="s">
        <v>555</v>
      </c>
      <c r="F816" s="848" t="str">
        <f>VLOOKUP(E816,DICH!B:C,2,FALSE)</f>
        <v>Other material</v>
      </c>
      <c r="G816" s="362" t="s">
        <v>554</v>
      </c>
      <c r="H816" s="847">
        <v>1</v>
      </c>
      <c r="I816" s="848">
        <f>SUM(J815:J815)</f>
        <v>586363636.36363637</v>
      </c>
      <c r="J816" s="853">
        <f>I816*H816%</f>
        <v>5863636.3636363642</v>
      </c>
      <c r="N816" s="843" t="e">
        <f>SUMIF(#REF!,'8.Dgia'!A816,#REF!)+SUMIF(#REF!,'8.Dgia'!A816,#REF!)+SUMIF(#REF!,'8.Dgia'!A816,#REF!)+SUMIF(#REF!,'8.Dgia'!A816,#REF!)</f>
        <v>#REF!</v>
      </c>
      <c r="O816" s="844"/>
      <c r="P816" s="843" t="e">
        <f t="shared" si="38"/>
        <v>#REF!</v>
      </c>
    </row>
    <row r="817" spans="1:18" s="658" customFormat="1" ht="15" customHeight="1">
      <c r="A817" s="657">
        <f>IF(B817="",MAX($A$8:A816)+0,MAX($A$8:A816)+1)</f>
        <v>80</v>
      </c>
      <c r="B817" s="835" t="str">
        <f>IF(C817="","",COUNTA($C$10:C818))</f>
        <v/>
      </c>
      <c r="C817" s="362"/>
      <c r="D817" s="845"/>
      <c r="E817" s="852" t="s">
        <v>2039</v>
      </c>
      <c r="F817" s="848" t="str">
        <f>VLOOKUP(E817,DICH!B:C,2,FALSE)</f>
        <v xml:space="preserve">  B - Labour 4.0/7</v>
      </c>
      <c r="G817" s="362" t="s">
        <v>4899</v>
      </c>
      <c r="H817" s="847">
        <v>5.5</v>
      </c>
      <c r="I817" s="848">
        <f>VLOOKUP(E817,'16.NC'!$C$11:$F$22,4,FALSE)</f>
        <v>218927</v>
      </c>
      <c r="J817" s="849">
        <f>I817*H817</f>
        <v>1204098.5</v>
      </c>
      <c r="K817" s="850"/>
      <c r="L817" s="850"/>
      <c r="M817" s="850"/>
      <c r="N817" s="843" t="e">
        <f>SUMIF(#REF!,'8.Dgia'!A817,#REF!)+SUMIF(#REF!,'8.Dgia'!A817,#REF!)+SUMIF(#REF!,'8.Dgia'!A817,#REF!)+SUMIF(#REF!,'8.Dgia'!A817,#REF!)</f>
        <v>#REF!</v>
      </c>
      <c r="O817" s="844"/>
      <c r="P817" s="843" t="e">
        <f t="shared" si="38"/>
        <v>#REF!</v>
      </c>
      <c r="R817" s="658">
        <v>1</v>
      </c>
    </row>
    <row r="818" spans="1:18" ht="26.25" customHeight="1">
      <c r="A818" s="657">
        <f>IF(B818="",MAX($A$8:A817)+0,MAX($A$8:A817)+1)</f>
        <v>81</v>
      </c>
      <c r="B818" s="835">
        <f>IF(C818="","",COUNTA($C$10:C819))</f>
        <v>81</v>
      </c>
      <c r="C818" s="835">
        <f>IF(D818="","",1776)</f>
        <v>1776</v>
      </c>
      <c r="D818" s="851" t="s">
        <v>398</v>
      </c>
      <c r="E818" s="855" t="s">
        <v>5235</v>
      </c>
      <c r="F818" s="1049" t="str">
        <f>VLOOKUP(E818,DICH!B:C,2,FALSE)</f>
        <v>Installing movable bearing one direction 4000 ton (P3)</v>
      </c>
      <c r="G818" s="856" t="s">
        <v>4651</v>
      </c>
      <c r="H818" s="847"/>
      <c r="I818" s="848"/>
      <c r="J818" s="857"/>
      <c r="K818" s="842">
        <f>+J819</f>
        <v>760353800.90909088</v>
      </c>
      <c r="L818" s="842">
        <f>+J822</f>
        <v>1204098.5</v>
      </c>
      <c r="N818" s="843" t="e">
        <f>SUMIF(#REF!,'8.Dgia'!A818,#REF!)+SUMIF(#REF!,'8.Dgia'!A818,#REF!)+SUMIF(#REF!,'8.Dgia'!A818,#REF!)+SUMIF(#REF!,'8.Dgia'!A818,#REF!)</f>
        <v>#REF!</v>
      </c>
      <c r="O818" s="844"/>
      <c r="P818" s="843" t="e">
        <f t="shared" si="38"/>
        <v>#REF!</v>
      </c>
    </row>
    <row r="819" spans="1:18" s="658" customFormat="1" ht="15" customHeight="1">
      <c r="A819" s="657">
        <f>IF(B819="",MAX($A$8:A818)+0,MAX($A$8:A818)+1)</f>
        <v>81</v>
      </c>
      <c r="B819" s="835" t="str">
        <f>IF(C819="","",COUNTA($C$10:C820))</f>
        <v/>
      </c>
      <c r="C819" s="362"/>
      <c r="D819" s="845"/>
      <c r="E819" s="852" t="s">
        <v>2032</v>
      </c>
      <c r="F819" s="848" t="str">
        <f>VLOOKUP(E819,DICH!B:C,2,FALSE)</f>
        <v xml:space="preserve">  A - Material</v>
      </c>
      <c r="G819" s="846"/>
      <c r="H819" s="847"/>
      <c r="I819" s="848"/>
      <c r="J819" s="849">
        <f>SUM(J820:J821)</f>
        <v>760353800.90909088</v>
      </c>
      <c r="K819" s="850"/>
      <c r="L819" s="850"/>
      <c r="M819" s="850"/>
      <c r="N819" s="843" t="e">
        <f>SUMIF(#REF!,'8.Dgia'!A819,#REF!)+SUMIF(#REF!,'8.Dgia'!A819,#REF!)+SUMIF(#REF!,'8.Dgia'!A819,#REF!)+SUMIF(#REF!,'8.Dgia'!A819,#REF!)</f>
        <v>#REF!</v>
      </c>
      <c r="O819" s="844"/>
      <c r="P819" s="843" t="e">
        <f t="shared" si="38"/>
        <v>#REF!</v>
      </c>
    </row>
    <row r="820" spans="1:18" ht="15" customHeight="1">
      <c r="A820" s="657">
        <f>IF(B820="",MAX($A$8:A819)+0,MAX($A$8:A819)+1)</f>
        <v>81</v>
      </c>
      <c r="B820" s="835" t="str">
        <f>IF(C820="","",COUNTA($C$10:C821))</f>
        <v/>
      </c>
      <c r="C820" s="362"/>
      <c r="D820" s="851"/>
      <c r="E820" s="852" t="s">
        <v>5216</v>
      </c>
      <c r="F820" s="848" t="str">
        <f>VLOOKUP(E820,DICH!B:C,2,FALSE)</f>
        <v>Movable bearing one direction 4000 ton (P3)</v>
      </c>
      <c r="G820" s="362" t="s">
        <v>4651</v>
      </c>
      <c r="H820" s="847">
        <v>1</v>
      </c>
      <c r="I820" s="848">
        <f>VLOOKUP(E820,'11.gia '!$B:$I,8,FALSE)</f>
        <v>752825545.45454538</v>
      </c>
      <c r="J820" s="853">
        <f>I820*H820</f>
        <v>752825545.45454538</v>
      </c>
      <c r="N820" s="843" t="e">
        <f>SUMIF(#REF!,'8.Dgia'!A820,#REF!)+SUMIF(#REF!,'8.Dgia'!A820,#REF!)+SUMIF(#REF!,'8.Dgia'!A820,#REF!)+SUMIF(#REF!,'8.Dgia'!A820,#REF!)</f>
        <v>#REF!</v>
      </c>
      <c r="O820" s="844">
        <f>+$H$821</f>
        <v>1</v>
      </c>
      <c r="P820" s="843" t="e">
        <f t="shared" si="38"/>
        <v>#REF!</v>
      </c>
    </row>
    <row r="821" spans="1:18" ht="15" customHeight="1">
      <c r="A821" s="657">
        <f>IF(B821="",MAX($A$8:A820)+0,MAX($A$8:A820)+1)</f>
        <v>81</v>
      </c>
      <c r="B821" s="835" t="str">
        <f>IF(C821="","",COUNTA($C$10:C822))</f>
        <v/>
      </c>
      <c r="C821" s="362"/>
      <c r="D821" s="851"/>
      <c r="E821" s="852" t="s">
        <v>555</v>
      </c>
      <c r="F821" s="848" t="str">
        <f>VLOOKUP(E821,DICH!B:C,2,FALSE)</f>
        <v>Other material</v>
      </c>
      <c r="G821" s="362" t="s">
        <v>554</v>
      </c>
      <c r="H821" s="847">
        <v>1</v>
      </c>
      <c r="I821" s="848">
        <f>SUM(J820:J820)</f>
        <v>752825545.45454538</v>
      </c>
      <c r="J821" s="853">
        <f>I821*H821%</f>
        <v>7528255.4545454541</v>
      </c>
      <c r="N821" s="843" t="e">
        <f>SUMIF(#REF!,'8.Dgia'!A821,#REF!)+SUMIF(#REF!,'8.Dgia'!A821,#REF!)+SUMIF(#REF!,'8.Dgia'!A821,#REF!)+SUMIF(#REF!,'8.Dgia'!A821,#REF!)</f>
        <v>#REF!</v>
      </c>
      <c r="O821" s="844"/>
      <c r="P821" s="843" t="e">
        <f t="shared" si="38"/>
        <v>#REF!</v>
      </c>
    </row>
    <row r="822" spans="1:18" s="658" customFormat="1" ht="15" customHeight="1">
      <c r="A822" s="657">
        <f>IF(B822="",MAX($A$8:A821)+0,MAX($A$8:A821)+1)</f>
        <v>81</v>
      </c>
      <c r="B822" s="835" t="str">
        <f>IF(C822="","",COUNTA($C$10:C823))</f>
        <v/>
      </c>
      <c r="C822" s="362"/>
      <c r="D822" s="845"/>
      <c r="E822" s="852" t="s">
        <v>2039</v>
      </c>
      <c r="F822" s="848" t="str">
        <f>VLOOKUP(E822,DICH!B:C,2,FALSE)</f>
        <v xml:space="preserve">  B - Labour 4.0/7</v>
      </c>
      <c r="G822" s="362" t="s">
        <v>4899</v>
      </c>
      <c r="H822" s="847">
        <v>5.5</v>
      </c>
      <c r="I822" s="848">
        <f>VLOOKUP(E822,'16.NC'!$C$11:$F$22,4,FALSE)</f>
        <v>218927</v>
      </c>
      <c r="J822" s="849">
        <f>I822*H822</f>
        <v>1204098.5</v>
      </c>
      <c r="K822" s="850"/>
      <c r="L822" s="850"/>
      <c r="M822" s="850"/>
      <c r="N822" s="843" t="e">
        <f>SUMIF(#REF!,'8.Dgia'!A822,#REF!)+SUMIF(#REF!,'8.Dgia'!A822,#REF!)+SUMIF(#REF!,'8.Dgia'!A822,#REF!)+SUMIF(#REF!,'8.Dgia'!A822,#REF!)</f>
        <v>#REF!</v>
      </c>
      <c r="O822" s="844"/>
      <c r="P822" s="843" t="e">
        <f t="shared" si="38"/>
        <v>#REF!</v>
      </c>
      <c r="R822" s="658">
        <v>1</v>
      </c>
    </row>
    <row r="823" spans="1:18" ht="26.25" customHeight="1">
      <c r="A823" s="657">
        <f>IF(B823="",MAX($A$8:A822)+0,MAX($A$8:A822)+1)</f>
        <v>82</v>
      </c>
      <c r="B823" s="835">
        <f>IF(C823="","",COUNTA($C$10:C824))</f>
        <v>82</v>
      </c>
      <c r="C823" s="835">
        <f>IF(D823="","",1776)</f>
        <v>1776</v>
      </c>
      <c r="D823" s="851" t="s">
        <v>398</v>
      </c>
      <c r="E823" s="855" t="s">
        <v>5237</v>
      </c>
      <c r="F823" s="1049" t="str">
        <f>VLOOKUP(E823,DICH!B:C,2,FALSE)</f>
        <v>Installing movable bearing one direction 4000 ton (P4)</v>
      </c>
      <c r="G823" s="856" t="s">
        <v>4651</v>
      </c>
      <c r="H823" s="847"/>
      <c r="I823" s="848"/>
      <c r="J823" s="857"/>
      <c r="K823" s="842">
        <f>+J824</f>
        <v>844727272.72727263</v>
      </c>
      <c r="L823" s="842">
        <f>+J827</f>
        <v>1204098.5</v>
      </c>
      <c r="N823" s="843" t="e">
        <f>SUMIF(#REF!,'8.Dgia'!A823,#REF!)+SUMIF(#REF!,'8.Dgia'!A823,#REF!)+SUMIF(#REF!,'8.Dgia'!A823,#REF!)+SUMIF(#REF!,'8.Dgia'!A823,#REF!)</f>
        <v>#REF!</v>
      </c>
      <c r="O823" s="844"/>
      <c r="P823" s="843" t="e">
        <f>$H823*N823*(1+O823%)</f>
        <v>#REF!</v>
      </c>
    </row>
    <row r="824" spans="1:18" s="658" customFormat="1" ht="15" customHeight="1">
      <c r="A824" s="657">
        <f>IF(B824="",MAX($A$8:A823)+0,MAX($A$8:A823)+1)</f>
        <v>82</v>
      </c>
      <c r="B824" s="835" t="str">
        <f>IF(C824="","",COUNTA($C$10:C825))</f>
        <v/>
      </c>
      <c r="C824" s="362"/>
      <c r="D824" s="845"/>
      <c r="E824" s="852" t="s">
        <v>2032</v>
      </c>
      <c r="F824" s="848" t="str">
        <f>VLOOKUP(E824,DICH!B:C,2,FALSE)</f>
        <v xml:space="preserve">  A - Material</v>
      </c>
      <c r="G824" s="846"/>
      <c r="H824" s="847"/>
      <c r="I824" s="848"/>
      <c r="J824" s="849">
        <f>SUM(J825:J826)</f>
        <v>844727272.72727263</v>
      </c>
      <c r="K824" s="850"/>
      <c r="L824" s="850"/>
      <c r="M824" s="850"/>
      <c r="N824" s="843" t="e">
        <f>SUMIF(#REF!,'8.Dgia'!A824,#REF!)+SUMIF(#REF!,'8.Dgia'!A824,#REF!)+SUMIF(#REF!,'8.Dgia'!A824,#REF!)+SUMIF(#REF!,'8.Dgia'!A824,#REF!)</f>
        <v>#REF!</v>
      </c>
      <c r="O824" s="844"/>
      <c r="P824" s="843" t="e">
        <f>$H824*N824*(1+O824%)</f>
        <v>#REF!</v>
      </c>
    </row>
    <row r="825" spans="1:18" ht="15" customHeight="1">
      <c r="A825" s="657">
        <f>IF(B825="",MAX($A$8:A824)+0,MAX($A$8:A824)+1)</f>
        <v>82</v>
      </c>
      <c r="B825" s="835" t="str">
        <f>IF(C825="","",COUNTA($C$10:C826))</f>
        <v/>
      </c>
      <c r="C825" s="362"/>
      <c r="D825" s="851"/>
      <c r="E825" s="852" t="s">
        <v>5218</v>
      </c>
      <c r="F825" s="848" t="str">
        <f>VLOOKUP(E825,DICH!B:C,2,FALSE)</f>
        <v>Movable bearing one direction 4000 ton (P4)</v>
      </c>
      <c r="G825" s="362" t="s">
        <v>4651</v>
      </c>
      <c r="H825" s="847">
        <v>1</v>
      </c>
      <c r="I825" s="848">
        <f>VLOOKUP(E825,'11.gia '!$B:$I,8,FALSE)</f>
        <v>836363636.36363626</v>
      </c>
      <c r="J825" s="853">
        <f>I825*H825</f>
        <v>836363636.36363626</v>
      </c>
      <c r="N825" s="843" t="e">
        <f>SUMIF(#REF!,'8.Dgia'!A825,#REF!)+SUMIF(#REF!,'8.Dgia'!A825,#REF!)+SUMIF(#REF!,'8.Dgia'!A825,#REF!)+SUMIF(#REF!,'8.Dgia'!A825,#REF!)</f>
        <v>#REF!</v>
      </c>
      <c r="O825" s="844">
        <f>+$H$821</f>
        <v>1</v>
      </c>
      <c r="P825" s="843" t="e">
        <f>$H825*N825*(1+O825%)</f>
        <v>#REF!</v>
      </c>
    </row>
    <row r="826" spans="1:18" ht="15" customHeight="1">
      <c r="A826" s="657">
        <f>IF(B826="",MAX($A$8:A825)+0,MAX($A$8:A825)+1)</f>
        <v>82</v>
      </c>
      <c r="B826" s="835" t="str">
        <f>IF(C826="","",COUNTA($C$10:C827))</f>
        <v/>
      </c>
      <c r="C826" s="362"/>
      <c r="D826" s="851"/>
      <c r="E826" s="852" t="s">
        <v>555</v>
      </c>
      <c r="F826" s="848" t="str">
        <f>VLOOKUP(E826,DICH!B:C,2,FALSE)</f>
        <v>Other material</v>
      </c>
      <c r="G826" s="362" t="s">
        <v>554</v>
      </c>
      <c r="H826" s="847">
        <v>1</v>
      </c>
      <c r="I826" s="848">
        <f>SUM(J825:J825)</f>
        <v>836363636.36363626</v>
      </c>
      <c r="J826" s="853">
        <f>I826*H826%</f>
        <v>8363636.3636363624</v>
      </c>
      <c r="N826" s="843" t="e">
        <f>SUMIF(#REF!,'8.Dgia'!A826,#REF!)+SUMIF(#REF!,'8.Dgia'!A826,#REF!)+SUMIF(#REF!,'8.Dgia'!A826,#REF!)+SUMIF(#REF!,'8.Dgia'!A826,#REF!)</f>
        <v>#REF!</v>
      </c>
      <c r="O826" s="844"/>
      <c r="P826" s="843" t="e">
        <f>$H826*N826*(1+O826%)</f>
        <v>#REF!</v>
      </c>
    </row>
    <row r="827" spans="1:18" s="658" customFormat="1" ht="15" customHeight="1">
      <c r="A827" s="657">
        <f>IF(B827="",MAX($A$8:A826)+0,MAX($A$8:A826)+1)</f>
        <v>82</v>
      </c>
      <c r="B827" s="835" t="str">
        <f>IF(C827="","",COUNTA($C$10:C828))</f>
        <v/>
      </c>
      <c r="C827" s="362"/>
      <c r="D827" s="845"/>
      <c r="E827" s="852" t="s">
        <v>2039</v>
      </c>
      <c r="F827" s="848" t="str">
        <f>VLOOKUP(E827,DICH!B:C,2,FALSE)</f>
        <v xml:space="preserve">  B - Labour 4.0/7</v>
      </c>
      <c r="G827" s="362" t="s">
        <v>4899</v>
      </c>
      <c r="H827" s="847">
        <v>5.5</v>
      </c>
      <c r="I827" s="848">
        <f>VLOOKUP(E827,'16.NC'!$C$11:$F$22,4,FALSE)</f>
        <v>218927</v>
      </c>
      <c r="J827" s="849">
        <f>I827*H827</f>
        <v>1204098.5</v>
      </c>
      <c r="K827" s="850"/>
      <c r="L827" s="850"/>
      <c r="M827" s="850"/>
      <c r="N827" s="843" t="e">
        <f>SUMIF(#REF!,'8.Dgia'!A827,#REF!)+SUMIF(#REF!,'8.Dgia'!A827,#REF!)+SUMIF(#REF!,'8.Dgia'!A827,#REF!)+SUMIF(#REF!,'8.Dgia'!A827,#REF!)</f>
        <v>#REF!</v>
      </c>
      <c r="O827" s="844"/>
      <c r="P827" s="843" t="e">
        <f>$H827*N827*(1+O827%)</f>
        <v>#REF!</v>
      </c>
      <c r="R827" s="658">
        <v>1</v>
      </c>
    </row>
    <row r="828" spans="1:18" ht="28.5" customHeight="1">
      <c r="A828" s="657">
        <f>IF(B828="",MAX($A$8:A827)+0,MAX($A$8:A827)+1)</f>
        <v>83</v>
      </c>
      <c r="B828" s="835">
        <f>IF(C828="","",COUNTA($C$10:C829))</f>
        <v>83</v>
      </c>
      <c r="C828" s="835">
        <f>IF(D828="","",1776)</f>
        <v>1776</v>
      </c>
      <c r="D828" s="851" t="s">
        <v>398</v>
      </c>
      <c r="E828" s="855" t="s">
        <v>5243</v>
      </c>
      <c r="F828" s="1049" t="str">
        <f>VLOOKUP(E828,DICH!B:C,2,FALSE)</f>
        <v>Installing movable bearing multi direction 4000 ton (P4)</v>
      </c>
      <c r="G828" s="856" t="s">
        <v>4651</v>
      </c>
      <c r="H828" s="847"/>
      <c r="I828" s="848"/>
      <c r="J828" s="857"/>
      <c r="K828" s="842">
        <f>+J829</f>
        <v>774008909.090909</v>
      </c>
      <c r="L828" s="842">
        <f>+J832</f>
        <v>1204098.5</v>
      </c>
      <c r="N828" s="843" t="e">
        <f>SUMIF(#REF!,'8.Dgia'!A828,#REF!)+SUMIF(#REF!,'8.Dgia'!A828,#REF!)+SUMIF(#REF!,'8.Dgia'!A828,#REF!)+SUMIF(#REF!,'8.Dgia'!A828,#REF!)</f>
        <v>#REF!</v>
      </c>
      <c r="O828" s="844"/>
      <c r="P828" s="843" t="e">
        <f t="shared" si="38"/>
        <v>#REF!</v>
      </c>
    </row>
    <row r="829" spans="1:18" s="658" customFormat="1" ht="15" customHeight="1">
      <c r="A829" s="657">
        <f>IF(B829="",MAX($A$8:A828)+0,MAX($A$8:A828)+1)</f>
        <v>83</v>
      </c>
      <c r="B829" s="835" t="str">
        <f>IF(C829="","",COUNTA($C$10:C830))</f>
        <v/>
      </c>
      <c r="C829" s="362"/>
      <c r="D829" s="845"/>
      <c r="E829" s="852" t="s">
        <v>2032</v>
      </c>
      <c r="F829" s="848" t="str">
        <f>VLOOKUP(E829,DICH!B:C,2,FALSE)</f>
        <v xml:space="preserve">  A - Material</v>
      </c>
      <c r="G829" s="846"/>
      <c r="H829" s="847"/>
      <c r="I829" s="848"/>
      <c r="J829" s="849">
        <f>SUM(J830:J831)</f>
        <v>774008909.090909</v>
      </c>
      <c r="K829" s="850"/>
      <c r="L829" s="850"/>
      <c r="M829" s="850"/>
      <c r="N829" s="843" t="e">
        <f>SUMIF(#REF!,'8.Dgia'!A829,#REF!)+SUMIF(#REF!,'8.Dgia'!A829,#REF!)+SUMIF(#REF!,'8.Dgia'!A829,#REF!)+SUMIF(#REF!,'8.Dgia'!A829,#REF!)</f>
        <v>#REF!</v>
      </c>
      <c r="O829" s="844"/>
      <c r="P829" s="843" t="e">
        <f t="shared" si="38"/>
        <v>#REF!</v>
      </c>
    </row>
    <row r="830" spans="1:18" ht="15" customHeight="1">
      <c r="A830" s="657">
        <f>IF(B830="",MAX($A$8:A829)+0,MAX($A$8:A829)+1)</f>
        <v>83</v>
      </c>
      <c r="B830" s="835" t="str">
        <f>IF(C830="","",COUNTA($C$10:C831))</f>
        <v/>
      </c>
      <c r="C830" s="362"/>
      <c r="D830" s="851"/>
      <c r="E830" s="852" t="s">
        <v>5220</v>
      </c>
      <c r="F830" s="848" t="str">
        <f>VLOOKUP(E830,DICH!B:C,2,FALSE)</f>
        <v>Movable bearing multi direction 4000 ton (P4)</v>
      </c>
      <c r="G830" s="362" t="s">
        <v>4651</v>
      </c>
      <c r="H830" s="847">
        <v>1</v>
      </c>
      <c r="I830" s="848">
        <f>VLOOKUP(E830,'11.gia '!$B:$I,8,FALSE)</f>
        <v>766345454.5454545</v>
      </c>
      <c r="J830" s="853">
        <f>I830*H830</f>
        <v>766345454.5454545</v>
      </c>
      <c r="N830" s="843" t="e">
        <f>SUMIF(#REF!,'8.Dgia'!A830,#REF!)+SUMIF(#REF!,'8.Dgia'!A830,#REF!)+SUMIF(#REF!,'8.Dgia'!A830,#REF!)+SUMIF(#REF!,'8.Dgia'!A830,#REF!)</f>
        <v>#REF!</v>
      </c>
      <c r="O830" s="844">
        <f>+$H$831</f>
        <v>1</v>
      </c>
      <c r="P830" s="843" t="e">
        <f t="shared" si="38"/>
        <v>#REF!</v>
      </c>
    </row>
    <row r="831" spans="1:18" ht="15" customHeight="1">
      <c r="A831" s="657">
        <f>IF(B831="",MAX($A$8:A830)+0,MAX($A$8:A830)+1)</f>
        <v>83</v>
      </c>
      <c r="B831" s="835" t="str">
        <f>IF(C831="","",COUNTA($C$10:C832))</f>
        <v/>
      </c>
      <c r="C831" s="362"/>
      <c r="D831" s="851"/>
      <c r="E831" s="852" t="s">
        <v>555</v>
      </c>
      <c r="F831" s="848" t="str">
        <f>VLOOKUP(E831,DICH!B:C,2,FALSE)</f>
        <v>Other material</v>
      </c>
      <c r="G831" s="362" t="s">
        <v>554</v>
      </c>
      <c r="H831" s="847">
        <v>1</v>
      </c>
      <c r="I831" s="848">
        <f>SUM(J830:J830)</f>
        <v>766345454.5454545</v>
      </c>
      <c r="J831" s="853">
        <f>I831*H831%</f>
        <v>7663454.5454545449</v>
      </c>
      <c r="N831" s="843" t="e">
        <f>SUMIF(#REF!,'8.Dgia'!A831,#REF!)+SUMIF(#REF!,'8.Dgia'!A831,#REF!)+SUMIF(#REF!,'8.Dgia'!A831,#REF!)+SUMIF(#REF!,'8.Dgia'!A831,#REF!)</f>
        <v>#REF!</v>
      </c>
      <c r="O831" s="844"/>
      <c r="P831" s="843" t="e">
        <f t="shared" si="38"/>
        <v>#REF!</v>
      </c>
    </row>
    <row r="832" spans="1:18" s="658" customFormat="1" ht="15" customHeight="1">
      <c r="A832" s="657">
        <f>IF(B832="",MAX($A$8:A831)+0,MAX($A$8:A831)+1)</f>
        <v>83</v>
      </c>
      <c r="B832" s="835" t="str">
        <f>IF(C832="","",COUNTA($C$10:C833))</f>
        <v/>
      </c>
      <c r="C832" s="362"/>
      <c r="D832" s="845"/>
      <c r="E832" s="852" t="s">
        <v>2039</v>
      </c>
      <c r="F832" s="848" t="str">
        <f>VLOOKUP(E832,DICH!B:C,2,FALSE)</f>
        <v xml:space="preserve">  B - Labour 4.0/7</v>
      </c>
      <c r="G832" s="362" t="s">
        <v>4899</v>
      </c>
      <c r="H832" s="847">
        <v>5.5</v>
      </c>
      <c r="I832" s="848">
        <f>VLOOKUP(E832,'16.NC'!$C$11:$F$22,4,FALSE)</f>
        <v>218927</v>
      </c>
      <c r="J832" s="849">
        <f>I832*H832</f>
        <v>1204098.5</v>
      </c>
      <c r="K832" s="850"/>
      <c r="L832" s="850"/>
      <c r="M832" s="850"/>
      <c r="N832" s="843" t="e">
        <f>SUMIF(#REF!,'8.Dgia'!A832,#REF!)+SUMIF(#REF!,'8.Dgia'!A832,#REF!)+SUMIF(#REF!,'8.Dgia'!A832,#REF!)+SUMIF(#REF!,'8.Dgia'!A832,#REF!)</f>
        <v>#REF!</v>
      </c>
      <c r="O832" s="844"/>
      <c r="P832" s="843" t="e">
        <f t="shared" si="38"/>
        <v>#REF!</v>
      </c>
      <c r="R832" s="658">
        <v>1</v>
      </c>
    </row>
    <row r="833" spans="1:18" ht="27.75" customHeight="1">
      <c r="A833" s="657">
        <f>IF(B833="",MAX($A$8:A832)+0,MAX($A$8:A832)+1)</f>
        <v>84</v>
      </c>
      <c r="B833" s="835">
        <f>IF(C833="","",COUNTA($C$10:C834))</f>
        <v>84</v>
      </c>
      <c r="C833" s="835">
        <f>IF(D833="","",1776)</f>
        <v>1776</v>
      </c>
      <c r="D833" s="851" t="s">
        <v>398</v>
      </c>
      <c r="E833" s="855" t="s">
        <v>5239</v>
      </c>
      <c r="F833" s="1049" t="str">
        <f>VLOOKUP(E833,DICH!B:C,2,FALSE)</f>
        <v>Installing movable bearing one direction 900 ton (P2)</v>
      </c>
      <c r="G833" s="856" t="s">
        <v>4651</v>
      </c>
      <c r="H833" s="847"/>
      <c r="I833" s="848"/>
      <c r="J833" s="857"/>
      <c r="K833" s="842">
        <f>+J834</f>
        <v>220363636.36363634</v>
      </c>
      <c r="L833" s="842">
        <f>+J837</f>
        <v>1204098.5</v>
      </c>
      <c r="N833" s="843" t="e">
        <f>SUMIF(#REF!,'8.Dgia'!A833,#REF!)+SUMIF(#REF!,'8.Dgia'!A833,#REF!)+SUMIF(#REF!,'8.Dgia'!A833,#REF!)+SUMIF(#REF!,'8.Dgia'!A833,#REF!)</f>
        <v>#REF!</v>
      </c>
      <c r="O833" s="844"/>
      <c r="P833" s="843" t="e">
        <f t="shared" si="38"/>
        <v>#REF!</v>
      </c>
    </row>
    <row r="834" spans="1:18" s="658" customFormat="1" ht="15" customHeight="1">
      <c r="A834" s="657">
        <f>IF(B834="",MAX($A$8:A833)+0,MAX($A$8:A833)+1)</f>
        <v>84</v>
      </c>
      <c r="B834" s="835" t="str">
        <f>IF(C834="","",COUNTA($C$10:C835))</f>
        <v/>
      </c>
      <c r="C834" s="362"/>
      <c r="D834" s="845"/>
      <c r="E834" s="852" t="s">
        <v>2032</v>
      </c>
      <c r="F834" s="848" t="str">
        <f>VLOOKUP(E834,DICH!B:C,2,FALSE)</f>
        <v xml:space="preserve">  A - Material</v>
      </c>
      <c r="G834" s="846"/>
      <c r="H834" s="847"/>
      <c r="I834" s="848"/>
      <c r="J834" s="849">
        <f>SUM(J835:J836)</f>
        <v>220363636.36363634</v>
      </c>
      <c r="K834" s="850"/>
      <c r="L834" s="850"/>
      <c r="M834" s="850"/>
      <c r="N834" s="843" t="e">
        <f>SUMIF(#REF!,'8.Dgia'!A834,#REF!)+SUMIF(#REF!,'8.Dgia'!A834,#REF!)+SUMIF(#REF!,'8.Dgia'!A834,#REF!)+SUMIF(#REF!,'8.Dgia'!A834,#REF!)</f>
        <v>#REF!</v>
      </c>
      <c r="O834" s="844"/>
      <c r="P834" s="843" t="e">
        <f t="shared" si="38"/>
        <v>#REF!</v>
      </c>
    </row>
    <row r="835" spans="1:18" ht="15" customHeight="1">
      <c r="A835" s="657">
        <f>IF(B835="",MAX($A$8:A834)+0,MAX($A$8:A834)+1)</f>
        <v>84</v>
      </c>
      <c r="B835" s="835" t="str">
        <f>IF(C835="","",COUNTA($C$10:C836))</f>
        <v/>
      </c>
      <c r="C835" s="362"/>
      <c r="D835" s="851"/>
      <c r="E835" s="852" t="s">
        <v>5222</v>
      </c>
      <c r="F835" s="848" t="str">
        <f>VLOOKUP(E835,DICH!B:C,2,FALSE)</f>
        <v>Movable bearing one direction 900 ton (P2)</v>
      </c>
      <c r="G835" s="362" t="s">
        <v>4651</v>
      </c>
      <c r="H835" s="847">
        <v>1</v>
      </c>
      <c r="I835" s="848">
        <f>VLOOKUP(E835,'11.gia '!$B:$I,8,FALSE)</f>
        <v>218181818.18181816</v>
      </c>
      <c r="J835" s="853">
        <f>I835*H835</f>
        <v>218181818.18181816</v>
      </c>
      <c r="N835" s="843" t="e">
        <f>SUMIF(#REF!,'8.Dgia'!A835,#REF!)+SUMIF(#REF!,'8.Dgia'!A835,#REF!)+SUMIF(#REF!,'8.Dgia'!A835,#REF!)+SUMIF(#REF!,'8.Dgia'!A835,#REF!)</f>
        <v>#REF!</v>
      </c>
      <c r="O835" s="844">
        <f>+$H$836</f>
        <v>1</v>
      </c>
      <c r="P835" s="843" t="e">
        <f t="shared" si="38"/>
        <v>#REF!</v>
      </c>
    </row>
    <row r="836" spans="1:18" ht="15" customHeight="1">
      <c r="A836" s="657">
        <f>IF(B836="",MAX($A$8:A835)+0,MAX($A$8:A835)+1)</f>
        <v>84</v>
      </c>
      <c r="B836" s="835" t="str">
        <f>IF(C836="","",COUNTA($C$10:C837))</f>
        <v/>
      </c>
      <c r="C836" s="362"/>
      <c r="D836" s="851"/>
      <c r="E836" s="852" t="s">
        <v>555</v>
      </c>
      <c r="F836" s="848" t="str">
        <f>VLOOKUP(E836,DICH!B:C,2,FALSE)</f>
        <v>Other material</v>
      </c>
      <c r="G836" s="362" t="s">
        <v>554</v>
      </c>
      <c r="H836" s="847">
        <v>1</v>
      </c>
      <c r="I836" s="848">
        <f>SUM(J835:J835)</f>
        <v>218181818.18181816</v>
      </c>
      <c r="J836" s="853">
        <f>I836*H836%</f>
        <v>2181818.1818181816</v>
      </c>
      <c r="N836" s="843" t="e">
        <f>SUMIF(#REF!,'8.Dgia'!A836,#REF!)+SUMIF(#REF!,'8.Dgia'!A836,#REF!)+SUMIF(#REF!,'8.Dgia'!A836,#REF!)+SUMIF(#REF!,'8.Dgia'!A836,#REF!)</f>
        <v>#REF!</v>
      </c>
      <c r="O836" s="844"/>
      <c r="P836" s="843" t="e">
        <f t="shared" si="38"/>
        <v>#REF!</v>
      </c>
    </row>
    <row r="837" spans="1:18" s="872" customFormat="1" ht="15" customHeight="1">
      <c r="A837" s="657">
        <f>IF(B837="",MAX($A$8:A836)+0,MAX($A$8:A836)+1)</f>
        <v>84</v>
      </c>
      <c r="B837" s="835" t="str">
        <f>IF(C837="","",COUNTA($C$10:C843))</f>
        <v/>
      </c>
      <c r="C837" s="362"/>
      <c r="D837" s="871"/>
      <c r="E837" s="852" t="s">
        <v>2039</v>
      </c>
      <c r="F837" s="848" t="str">
        <f>VLOOKUP(E837,DICH!B:C,2,FALSE)</f>
        <v xml:space="preserve">  B - Labour 4.0/7</v>
      </c>
      <c r="G837" s="362" t="s">
        <v>4899</v>
      </c>
      <c r="H837" s="847">
        <v>5.5</v>
      </c>
      <c r="I837" s="848">
        <f>VLOOKUP(E837,'16.NC'!$C$11:$F$22,4,FALSE)</f>
        <v>218927</v>
      </c>
      <c r="J837" s="849">
        <f>I837*H837</f>
        <v>1204098.5</v>
      </c>
      <c r="K837" s="842"/>
      <c r="L837" s="842"/>
      <c r="M837" s="842"/>
      <c r="N837" s="843" t="e">
        <f>SUMIF(#REF!,'8.Dgia'!A837,#REF!)+SUMIF(#REF!,'8.Dgia'!A837,#REF!)+SUMIF(#REF!,'8.Dgia'!A837,#REF!)+SUMIF(#REF!,'8.Dgia'!A837,#REF!)</f>
        <v>#REF!</v>
      </c>
      <c r="O837" s="844"/>
      <c r="P837" s="843" t="e">
        <f t="shared" si="38"/>
        <v>#REF!</v>
      </c>
      <c r="R837" s="658">
        <v>1</v>
      </c>
    </row>
    <row r="838" spans="1:18" ht="25.5" customHeight="1">
      <c r="A838" s="657">
        <f>IF(B838="",MAX($A$8:A837)+0,MAX($A$8:A837)+1)</f>
        <v>85</v>
      </c>
      <c r="B838" s="835">
        <f>IF(C838="","",COUNTA($C$10:C839))</f>
        <v>85</v>
      </c>
      <c r="C838" s="835">
        <f>IF(D838="","",1776)</f>
        <v>1776</v>
      </c>
      <c r="D838" s="851" t="s">
        <v>398</v>
      </c>
      <c r="E838" s="855" t="s">
        <v>5241</v>
      </c>
      <c r="F838" s="1049" t="str">
        <f>VLOOKUP(E838,DICH!B:C,2,FALSE)</f>
        <v>Installing movable bearing one direction 900 ton (P5)</v>
      </c>
      <c r="G838" s="856" t="s">
        <v>4651</v>
      </c>
      <c r="H838" s="847"/>
      <c r="I838" s="848"/>
      <c r="J838" s="857"/>
      <c r="K838" s="842">
        <f>+J839</f>
        <v>207900419.99999997</v>
      </c>
      <c r="L838" s="842">
        <f>+J842</f>
        <v>1204098.5</v>
      </c>
      <c r="N838" s="843" t="e">
        <f>SUMIF(#REF!,'8.Dgia'!A838,#REF!)+SUMIF(#REF!,'8.Dgia'!A838,#REF!)+SUMIF(#REF!,'8.Dgia'!A838,#REF!)+SUMIF(#REF!,'8.Dgia'!A838,#REF!)</f>
        <v>#REF!</v>
      </c>
      <c r="O838" s="844"/>
      <c r="P838" s="843" t="e">
        <f>$H838*N838*(1+O838%)</f>
        <v>#REF!</v>
      </c>
    </row>
    <row r="839" spans="1:18" s="658" customFormat="1" ht="15" customHeight="1">
      <c r="A839" s="657">
        <f>IF(B839="",MAX($A$8:A838)+0,MAX($A$8:A838)+1)</f>
        <v>85</v>
      </c>
      <c r="B839" s="835" t="str">
        <f>IF(C839="","",COUNTA($C$10:C840))</f>
        <v/>
      </c>
      <c r="C839" s="362"/>
      <c r="D839" s="845"/>
      <c r="E839" s="852" t="s">
        <v>2032</v>
      </c>
      <c r="F839" s="848" t="str">
        <f>VLOOKUP(E839,DICH!B:C,2,FALSE)</f>
        <v xml:space="preserve">  A - Material</v>
      </c>
      <c r="G839" s="846"/>
      <c r="H839" s="847"/>
      <c r="I839" s="848"/>
      <c r="J839" s="849">
        <f>SUM(J840:J841)</f>
        <v>207900419.99999997</v>
      </c>
      <c r="K839" s="850"/>
      <c r="L839" s="850"/>
      <c r="M839" s="850"/>
      <c r="N839" s="843" t="e">
        <f>SUMIF(#REF!,'8.Dgia'!A839,#REF!)+SUMIF(#REF!,'8.Dgia'!A839,#REF!)+SUMIF(#REF!,'8.Dgia'!A839,#REF!)+SUMIF(#REF!,'8.Dgia'!A839,#REF!)</f>
        <v>#REF!</v>
      </c>
      <c r="O839" s="844"/>
      <c r="P839" s="843" t="e">
        <f>$H839*N839*(1+O839%)</f>
        <v>#REF!</v>
      </c>
    </row>
    <row r="840" spans="1:18" ht="15" customHeight="1">
      <c r="A840" s="657">
        <f>IF(B840="",MAX($A$8:A839)+0,MAX($A$8:A839)+1)</f>
        <v>85</v>
      </c>
      <c r="B840" s="835" t="str">
        <f>IF(C840="","",COUNTA($C$10:C841))</f>
        <v/>
      </c>
      <c r="C840" s="362"/>
      <c r="D840" s="851"/>
      <c r="E840" s="852" t="s">
        <v>5224</v>
      </c>
      <c r="F840" s="848" t="str">
        <f>VLOOKUP(E840,DICH!B:C,2,FALSE)</f>
        <v>Movable bearing one direction 900 ton (P5)</v>
      </c>
      <c r="G840" s="362" t="s">
        <v>4651</v>
      </c>
      <c r="H840" s="847">
        <v>1</v>
      </c>
      <c r="I840" s="848">
        <f>VLOOKUP(E840,'11.gia '!$B:$I,8,FALSE)</f>
        <v>205841999.99999997</v>
      </c>
      <c r="J840" s="853">
        <f>I840*H840</f>
        <v>205841999.99999997</v>
      </c>
      <c r="N840" s="843" t="e">
        <f>SUMIF(#REF!,'8.Dgia'!A840,#REF!)+SUMIF(#REF!,'8.Dgia'!A840,#REF!)+SUMIF(#REF!,'8.Dgia'!A840,#REF!)+SUMIF(#REF!,'8.Dgia'!A840,#REF!)</f>
        <v>#REF!</v>
      </c>
      <c r="O840" s="844">
        <f>+$H$836</f>
        <v>1</v>
      </c>
      <c r="P840" s="843" t="e">
        <f>$H840*N840*(1+O840%)</f>
        <v>#REF!</v>
      </c>
    </row>
    <row r="841" spans="1:18" ht="15" customHeight="1">
      <c r="A841" s="657">
        <f>IF(B841="",MAX($A$8:A840)+0,MAX($A$8:A840)+1)</f>
        <v>85</v>
      </c>
      <c r="B841" s="835" t="str">
        <f>IF(C841="","",COUNTA($C$10:C842))</f>
        <v/>
      </c>
      <c r="C841" s="362"/>
      <c r="D841" s="851"/>
      <c r="E841" s="852" t="s">
        <v>555</v>
      </c>
      <c r="F841" s="848" t="str">
        <f>VLOOKUP(E841,DICH!B:C,2,FALSE)</f>
        <v>Other material</v>
      </c>
      <c r="G841" s="362" t="s">
        <v>554</v>
      </c>
      <c r="H841" s="847">
        <v>1</v>
      </c>
      <c r="I841" s="848">
        <f>SUM(J840:J840)</f>
        <v>205841999.99999997</v>
      </c>
      <c r="J841" s="853">
        <f>I841*H841%</f>
        <v>2058419.9999999998</v>
      </c>
      <c r="N841" s="843" t="e">
        <f>SUMIF(#REF!,'8.Dgia'!A841,#REF!)+SUMIF(#REF!,'8.Dgia'!A841,#REF!)+SUMIF(#REF!,'8.Dgia'!A841,#REF!)+SUMIF(#REF!,'8.Dgia'!A841,#REF!)</f>
        <v>#REF!</v>
      </c>
      <c r="O841" s="844"/>
      <c r="P841" s="843" t="e">
        <f>$H841*N841*(1+O841%)</f>
        <v>#REF!</v>
      </c>
    </row>
    <row r="842" spans="1:18" s="872" customFormat="1" ht="15" customHeight="1">
      <c r="A842" s="657">
        <f>IF(B842="",MAX($A$8:A841)+0,MAX($A$8:A841)+1)</f>
        <v>85</v>
      </c>
      <c r="B842" s="835" t="str">
        <f>IF(C842="","",COUNTA($C$10:C843))</f>
        <v/>
      </c>
      <c r="C842" s="362"/>
      <c r="D842" s="871"/>
      <c r="E842" s="852" t="s">
        <v>2039</v>
      </c>
      <c r="F842" s="848" t="str">
        <f>VLOOKUP(E842,DICH!B:C,2,FALSE)</f>
        <v xml:space="preserve">  B - Labour 4.0/7</v>
      </c>
      <c r="G842" s="362" t="s">
        <v>4899</v>
      </c>
      <c r="H842" s="847">
        <v>5.5</v>
      </c>
      <c r="I842" s="848">
        <f>VLOOKUP(E842,'16.NC'!$C$11:$F$22,4,FALSE)</f>
        <v>218927</v>
      </c>
      <c r="J842" s="849">
        <f>I842*H842</f>
        <v>1204098.5</v>
      </c>
      <c r="K842" s="842"/>
      <c r="L842" s="842"/>
      <c r="M842" s="842"/>
      <c r="N842" s="843" t="e">
        <f>SUMIF(#REF!,'8.Dgia'!A842,#REF!)+SUMIF(#REF!,'8.Dgia'!A842,#REF!)+SUMIF(#REF!,'8.Dgia'!A842,#REF!)+SUMIF(#REF!,'8.Dgia'!A842,#REF!)</f>
        <v>#REF!</v>
      </c>
      <c r="O842" s="844"/>
      <c r="P842" s="843" t="e">
        <f>$H842*N842*(1+O842%)</f>
        <v>#REF!</v>
      </c>
      <c r="R842" s="658">
        <v>1</v>
      </c>
    </row>
    <row r="843" spans="1:18" ht="25.5" customHeight="1">
      <c r="A843" s="657">
        <f>IF(B843="",MAX($A$8:A842)+0,MAX($A$8:A842)+1)</f>
        <v>86</v>
      </c>
      <c r="B843" s="835">
        <f>IF(C843="","",COUNTA($C$10:C844))</f>
        <v>86</v>
      </c>
      <c r="C843" s="835">
        <f>IF(D843="","",1776)</f>
        <v>1776</v>
      </c>
      <c r="D843" s="851" t="s">
        <v>398</v>
      </c>
      <c r="E843" s="855" t="s">
        <v>5245</v>
      </c>
      <c r="F843" s="1049" t="str">
        <f>VLOOKUP(E843,DICH!B:C,2,FALSE)</f>
        <v>Installing movable bearing multi direction 900 ton (P2)</v>
      </c>
      <c r="G843" s="856" t="s">
        <v>4651</v>
      </c>
      <c r="H843" s="847"/>
      <c r="I843" s="848"/>
      <c r="J843" s="857"/>
      <c r="K843" s="842">
        <f>+J844</f>
        <v>135890909.09090906</v>
      </c>
      <c r="L843" s="842">
        <f>+J847</f>
        <v>1204098.5</v>
      </c>
      <c r="N843" s="843" t="e">
        <f>SUMIF(#REF!,'8.Dgia'!A843,#REF!)+SUMIF(#REF!,'8.Dgia'!A843,#REF!)+SUMIF(#REF!,'8.Dgia'!A843,#REF!)+SUMIF(#REF!,'8.Dgia'!A843,#REF!)</f>
        <v>#REF!</v>
      </c>
      <c r="O843" s="844"/>
      <c r="P843" s="843" t="e">
        <f t="shared" ref="P843:P911" si="39">$H843*N843*(1+O843%)</f>
        <v>#REF!</v>
      </c>
    </row>
    <row r="844" spans="1:18" s="658" customFormat="1" ht="15" customHeight="1">
      <c r="A844" s="657">
        <f>IF(B844="",MAX($A$8:A843)+0,MAX($A$8:A843)+1)</f>
        <v>86</v>
      </c>
      <c r="B844" s="835" t="str">
        <f>IF(C844="","",COUNTA($C$10:C845))</f>
        <v/>
      </c>
      <c r="C844" s="362"/>
      <c r="D844" s="845"/>
      <c r="E844" s="852" t="s">
        <v>2032</v>
      </c>
      <c r="F844" s="848" t="str">
        <f>VLOOKUP(E844,DICH!B:C,2,FALSE)</f>
        <v xml:space="preserve">  A - Material</v>
      </c>
      <c r="G844" s="846"/>
      <c r="H844" s="847"/>
      <c r="I844" s="848"/>
      <c r="J844" s="849">
        <f>SUM(J845:J846)</f>
        <v>135890909.09090906</v>
      </c>
      <c r="K844" s="850"/>
      <c r="L844" s="850"/>
      <c r="M844" s="850"/>
      <c r="N844" s="843" t="e">
        <f>SUMIF(#REF!,'8.Dgia'!A844,#REF!)+SUMIF(#REF!,'8.Dgia'!A844,#REF!)+SUMIF(#REF!,'8.Dgia'!A844,#REF!)+SUMIF(#REF!,'8.Dgia'!A844,#REF!)</f>
        <v>#REF!</v>
      </c>
      <c r="O844" s="844"/>
      <c r="P844" s="843" t="e">
        <f t="shared" si="39"/>
        <v>#REF!</v>
      </c>
    </row>
    <row r="845" spans="1:18" ht="15" customHeight="1">
      <c r="A845" s="657">
        <f>IF(B845="",MAX($A$8:A844)+0,MAX($A$8:A844)+1)</f>
        <v>86</v>
      </c>
      <c r="B845" s="835" t="str">
        <f>IF(C845="","",COUNTA($C$10:C846))</f>
        <v/>
      </c>
      <c r="C845" s="362"/>
      <c r="D845" s="851"/>
      <c r="E845" s="852" t="s">
        <v>5226</v>
      </c>
      <c r="F845" s="848" t="str">
        <f>VLOOKUP(E845,DICH!B:C,2,FALSE)</f>
        <v>Movable bearing multi direction 900 ton (P2)</v>
      </c>
      <c r="G845" s="362" t="s">
        <v>4651</v>
      </c>
      <c r="H845" s="847">
        <v>1</v>
      </c>
      <c r="I845" s="848">
        <f>VLOOKUP(E845,'11.gia '!$B:$I,8,FALSE)</f>
        <v>134545454.54545453</v>
      </c>
      <c r="J845" s="853">
        <f>I845*H845</f>
        <v>134545454.54545453</v>
      </c>
      <c r="N845" s="843" t="e">
        <f>SUMIF(#REF!,'8.Dgia'!A845,#REF!)+SUMIF(#REF!,'8.Dgia'!A845,#REF!)+SUMIF(#REF!,'8.Dgia'!A845,#REF!)+SUMIF(#REF!,'8.Dgia'!A845,#REF!)</f>
        <v>#REF!</v>
      </c>
      <c r="O845" s="844">
        <f>+$H$846</f>
        <v>1</v>
      </c>
      <c r="P845" s="843" t="e">
        <f t="shared" si="39"/>
        <v>#REF!</v>
      </c>
    </row>
    <row r="846" spans="1:18" ht="15" customHeight="1">
      <c r="A846" s="657">
        <f>IF(B846="",MAX($A$8:A845)+0,MAX($A$8:A845)+1)</f>
        <v>86</v>
      </c>
      <c r="B846" s="835" t="str">
        <f>IF(C846="","",COUNTA($C$10:C847))</f>
        <v/>
      </c>
      <c r="C846" s="362"/>
      <c r="D846" s="851"/>
      <c r="E846" s="852" t="s">
        <v>555</v>
      </c>
      <c r="F846" s="848" t="str">
        <f>VLOOKUP(E846,DICH!B:C,2,FALSE)</f>
        <v>Other material</v>
      </c>
      <c r="G846" s="362" t="s">
        <v>554</v>
      </c>
      <c r="H846" s="847">
        <v>1</v>
      </c>
      <c r="I846" s="848">
        <f>SUM(J845:J845)</f>
        <v>134545454.54545453</v>
      </c>
      <c r="J846" s="853">
        <f>I846*H846%</f>
        <v>1345454.5454545454</v>
      </c>
      <c r="N846" s="843" t="e">
        <f>SUMIF(#REF!,'8.Dgia'!A846,#REF!)+SUMIF(#REF!,'8.Dgia'!A846,#REF!)+SUMIF(#REF!,'8.Dgia'!A846,#REF!)+SUMIF(#REF!,'8.Dgia'!A846,#REF!)</f>
        <v>#REF!</v>
      </c>
      <c r="O846" s="844"/>
      <c r="P846" s="843" t="e">
        <f t="shared" si="39"/>
        <v>#REF!</v>
      </c>
    </row>
    <row r="847" spans="1:18" s="658" customFormat="1" ht="15" customHeight="1">
      <c r="A847" s="657">
        <f>IF(B847="",MAX($A$8:A846)+0,MAX($A$8:A846)+1)</f>
        <v>86</v>
      </c>
      <c r="B847" s="835" t="str">
        <f>IF(C847="","",COUNTA($C$10:C848))</f>
        <v/>
      </c>
      <c r="C847" s="362"/>
      <c r="D847" s="845"/>
      <c r="E847" s="852" t="s">
        <v>2039</v>
      </c>
      <c r="F847" s="848" t="str">
        <f>VLOOKUP(E847,DICH!B:C,2,FALSE)</f>
        <v xml:space="preserve">  B - Labour 4.0/7</v>
      </c>
      <c r="G847" s="362" t="s">
        <v>4899</v>
      </c>
      <c r="H847" s="847">
        <v>5.5</v>
      </c>
      <c r="I847" s="848">
        <f>VLOOKUP(E847,'16.NC'!$C$11:$F$22,4,FALSE)</f>
        <v>218927</v>
      </c>
      <c r="J847" s="849">
        <f>I847*H847</f>
        <v>1204098.5</v>
      </c>
      <c r="K847" s="850"/>
      <c r="L847" s="850"/>
      <c r="M847" s="850"/>
      <c r="N847" s="843" t="e">
        <f>SUMIF(#REF!,'8.Dgia'!A847,#REF!)+SUMIF(#REF!,'8.Dgia'!A847,#REF!)+SUMIF(#REF!,'8.Dgia'!A847,#REF!)+SUMIF(#REF!,'8.Dgia'!A847,#REF!)</f>
        <v>#REF!</v>
      </c>
      <c r="O847" s="844"/>
      <c r="P847" s="843" t="e">
        <f t="shared" si="39"/>
        <v>#REF!</v>
      </c>
      <c r="R847" s="658">
        <v>1</v>
      </c>
    </row>
    <row r="848" spans="1:18" ht="28.5" customHeight="1">
      <c r="A848" s="657">
        <f>IF(B848="",MAX($A$8:A847)+0,MAX($A$8:A847)+1)</f>
        <v>87</v>
      </c>
      <c r="B848" s="835">
        <f>IF(C848="","",COUNTA($C$10:C849))</f>
        <v>87</v>
      </c>
      <c r="C848" s="835">
        <f>IF(D848="","",1776)</f>
        <v>1776</v>
      </c>
      <c r="D848" s="851" t="s">
        <v>398</v>
      </c>
      <c r="E848" s="855" t="s">
        <v>5248</v>
      </c>
      <c r="F848" s="1049" t="str">
        <f>VLOOKUP(E848,DICH!B:C,2,FALSE)</f>
        <v>Installing movable bearing multi direction 900 ton (P5)</v>
      </c>
      <c r="G848" s="856" t="s">
        <v>4651</v>
      </c>
      <c r="H848" s="847"/>
      <c r="I848" s="848"/>
      <c r="J848" s="857"/>
      <c r="K848" s="842">
        <f>+J849</f>
        <v>163550657.99090907</v>
      </c>
      <c r="L848" s="842">
        <f>+J852</f>
        <v>1204098.5</v>
      </c>
      <c r="N848" s="843" t="e">
        <f>SUMIF(#REF!,'8.Dgia'!A848,#REF!)+SUMIF(#REF!,'8.Dgia'!A848,#REF!)+SUMIF(#REF!,'8.Dgia'!A848,#REF!)+SUMIF(#REF!,'8.Dgia'!A848,#REF!)</f>
        <v>#REF!</v>
      </c>
      <c r="O848" s="844"/>
      <c r="P848" s="843" t="e">
        <f>$H848*N848*(1+O848%)</f>
        <v>#REF!</v>
      </c>
    </row>
    <row r="849" spans="1:18" s="658" customFormat="1" ht="15" customHeight="1">
      <c r="A849" s="657">
        <f>IF(B849="",MAX($A$8:A848)+0,MAX($A$8:A848)+1)</f>
        <v>87</v>
      </c>
      <c r="B849" s="835" t="str">
        <f>IF(C849="","",COUNTA($C$10:C850))</f>
        <v/>
      </c>
      <c r="C849" s="362"/>
      <c r="D849" s="845"/>
      <c r="E849" s="852" t="s">
        <v>2032</v>
      </c>
      <c r="F849" s="848" t="str">
        <f>VLOOKUP(E849,DICH!B:C,2,FALSE)</f>
        <v xml:space="preserve">  A - Material</v>
      </c>
      <c r="G849" s="846"/>
      <c r="H849" s="847"/>
      <c r="I849" s="848"/>
      <c r="J849" s="849">
        <f>SUM(J850:J851)</f>
        <v>163550657.99090907</v>
      </c>
      <c r="K849" s="850"/>
      <c r="L849" s="850"/>
      <c r="M849" s="850"/>
      <c r="N849" s="843" t="e">
        <f>SUMIF(#REF!,'8.Dgia'!A849,#REF!)+SUMIF(#REF!,'8.Dgia'!A849,#REF!)+SUMIF(#REF!,'8.Dgia'!A849,#REF!)+SUMIF(#REF!,'8.Dgia'!A849,#REF!)</f>
        <v>#REF!</v>
      </c>
      <c r="O849" s="844"/>
      <c r="P849" s="843" t="e">
        <f>$H849*N849*(1+O849%)</f>
        <v>#REF!</v>
      </c>
    </row>
    <row r="850" spans="1:18" ht="15" customHeight="1">
      <c r="A850" s="657">
        <f>IF(B850="",MAX($A$8:A849)+0,MAX($A$8:A849)+1)</f>
        <v>87</v>
      </c>
      <c r="B850" s="835" t="str">
        <f>IF(C850="","",COUNTA($C$10:C851))</f>
        <v/>
      </c>
      <c r="C850" s="362"/>
      <c r="D850" s="851"/>
      <c r="E850" s="852" t="s">
        <v>5229</v>
      </c>
      <c r="F850" s="848" t="str">
        <f>VLOOKUP(E850,DICH!B:C,2,FALSE)</f>
        <v>Movable bearing multi direction 900 ton (P5)</v>
      </c>
      <c r="G850" s="362" t="s">
        <v>4651</v>
      </c>
      <c r="H850" s="847">
        <v>1</v>
      </c>
      <c r="I850" s="848">
        <f>VLOOKUP(E850,'11.gia '!$B:$I,8,FALSE)</f>
        <v>161931344.54545453</v>
      </c>
      <c r="J850" s="853">
        <f>I850*H850</f>
        <v>161931344.54545453</v>
      </c>
      <c r="N850" s="843" t="e">
        <f>SUMIF(#REF!,'8.Dgia'!A850,#REF!)+SUMIF(#REF!,'8.Dgia'!A850,#REF!)+SUMIF(#REF!,'8.Dgia'!A850,#REF!)+SUMIF(#REF!,'8.Dgia'!A850,#REF!)</f>
        <v>#REF!</v>
      </c>
      <c r="O850" s="844">
        <f>+$H$846</f>
        <v>1</v>
      </c>
      <c r="P850" s="843" t="e">
        <f>$H850*N850*(1+O850%)</f>
        <v>#REF!</v>
      </c>
    </row>
    <row r="851" spans="1:18" ht="15" customHeight="1">
      <c r="A851" s="657">
        <f>IF(B851="",MAX($A$8:A850)+0,MAX($A$8:A850)+1)</f>
        <v>87</v>
      </c>
      <c r="B851" s="835" t="str">
        <f>IF(C851="","",COUNTA($C$10:C852))</f>
        <v/>
      </c>
      <c r="C851" s="362"/>
      <c r="D851" s="851"/>
      <c r="E851" s="852" t="s">
        <v>555</v>
      </c>
      <c r="F851" s="848" t="str">
        <f>VLOOKUP(E851,DICH!B:C,2,FALSE)</f>
        <v>Other material</v>
      </c>
      <c r="G851" s="362" t="s">
        <v>554</v>
      </c>
      <c r="H851" s="847">
        <v>1</v>
      </c>
      <c r="I851" s="848">
        <f>SUM(J850:J850)</f>
        <v>161931344.54545453</v>
      </c>
      <c r="J851" s="853">
        <f>I851*H851%</f>
        <v>1619313.4454545453</v>
      </c>
      <c r="N851" s="843" t="e">
        <f>SUMIF(#REF!,'8.Dgia'!A851,#REF!)+SUMIF(#REF!,'8.Dgia'!A851,#REF!)+SUMIF(#REF!,'8.Dgia'!A851,#REF!)+SUMIF(#REF!,'8.Dgia'!A851,#REF!)</f>
        <v>#REF!</v>
      </c>
      <c r="O851" s="844"/>
      <c r="P851" s="843" t="e">
        <f>$H851*N851*(1+O851%)</f>
        <v>#REF!</v>
      </c>
    </row>
    <row r="852" spans="1:18" s="658" customFormat="1" ht="15" customHeight="1">
      <c r="A852" s="657">
        <f>IF(B852="",MAX($A$8:A851)+0,MAX($A$8:A851)+1)</f>
        <v>87</v>
      </c>
      <c r="B852" s="835" t="str">
        <f>IF(C852="","",COUNTA($C$10:C853))</f>
        <v/>
      </c>
      <c r="C852" s="362"/>
      <c r="D852" s="845"/>
      <c r="E852" s="852" t="s">
        <v>2039</v>
      </c>
      <c r="F852" s="848" t="str">
        <f>VLOOKUP(E852,DICH!B:C,2,FALSE)</f>
        <v xml:space="preserve">  B - Labour 4.0/7</v>
      </c>
      <c r="G852" s="362" t="s">
        <v>4899</v>
      </c>
      <c r="H852" s="847">
        <v>5.5</v>
      </c>
      <c r="I852" s="848">
        <f>VLOOKUP(E852,'16.NC'!$C$11:$F$22,4,FALSE)</f>
        <v>218927</v>
      </c>
      <c r="J852" s="849">
        <f>I852*H852</f>
        <v>1204098.5</v>
      </c>
      <c r="K852" s="850"/>
      <c r="L852" s="850"/>
      <c r="M852" s="850"/>
      <c r="N852" s="843" t="e">
        <f>SUMIF(#REF!,'8.Dgia'!A852,#REF!)+SUMIF(#REF!,'8.Dgia'!A852,#REF!)+SUMIF(#REF!,'8.Dgia'!A852,#REF!)+SUMIF(#REF!,'8.Dgia'!A852,#REF!)</f>
        <v>#REF!</v>
      </c>
      <c r="O852" s="844"/>
      <c r="P852" s="843" t="e">
        <f>$H852*N852*(1+O852%)</f>
        <v>#REF!</v>
      </c>
      <c r="R852" s="658">
        <v>1</v>
      </c>
    </row>
    <row r="853" spans="1:18" ht="15" customHeight="1">
      <c r="A853" s="657">
        <f>IF(B853="",MAX($A$8:A852)+0,MAX($A$8:A852)+1)</f>
        <v>88</v>
      </c>
      <c r="B853" s="835">
        <f>IF(C853="","",COUNTA($C$10:C854))</f>
        <v>88</v>
      </c>
      <c r="C853" s="835">
        <f>IF(D853="","",1776)</f>
        <v>1776</v>
      </c>
      <c r="D853" s="851" t="s">
        <v>148</v>
      </c>
      <c r="E853" s="855" t="s">
        <v>63</v>
      </c>
      <c r="F853" s="1049" t="str">
        <f>VLOOKUP(E853,DICH!B:C,2,FALSE)</f>
        <v>Installing high strengthen coupler D36</v>
      </c>
      <c r="G853" s="856" t="s">
        <v>4651</v>
      </c>
      <c r="H853" s="847"/>
      <c r="I853" s="848"/>
      <c r="J853" s="857"/>
      <c r="K853" s="842">
        <f>+J854</f>
        <v>879000</v>
      </c>
      <c r="L853" s="842">
        <f>+J856</f>
        <v>59468.75</v>
      </c>
      <c r="N853" s="843" t="e">
        <f>SUMIF(#REF!,'8.Dgia'!A853,#REF!)+SUMIF(#REF!,'8.Dgia'!A853,#REF!)+SUMIF(#REF!,'8.Dgia'!A853,#REF!)+SUMIF(#REF!,'8.Dgia'!A853,#REF!)</f>
        <v>#REF!</v>
      </c>
      <c r="O853" s="844"/>
      <c r="P853" s="843" t="e">
        <f t="shared" si="39"/>
        <v>#REF!</v>
      </c>
    </row>
    <row r="854" spans="1:18" s="658" customFormat="1" ht="15" customHeight="1">
      <c r="A854" s="657">
        <f>IF(B854="",MAX($A$8:A853)+0,MAX($A$8:A853)+1)</f>
        <v>88</v>
      </c>
      <c r="B854" s="835" t="str">
        <f>IF(C854="","",COUNTA($C$10:C855))</f>
        <v/>
      </c>
      <c r="C854" s="362"/>
      <c r="D854" s="845"/>
      <c r="E854" s="852" t="s">
        <v>2032</v>
      </c>
      <c r="F854" s="848" t="str">
        <f>VLOOKUP(E854,DICH!B:C,2,FALSE)</f>
        <v xml:space="preserve">  A - Material</v>
      </c>
      <c r="G854" s="846"/>
      <c r="H854" s="847"/>
      <c r="I854" s="848"/>
      <c r="J854" s="849">
        <f>SUM(J855:J855)</f>
        <v>879000</v>
      </c>
      <c r="K854" s="850"/>
      <c r="L854" s="850"/>
      <c r="M854" s="850"/>
      <c r="N854" s="843" t="e">
        <f>SUMIF(#REF!,'8.Dgia'!A854,#REF!)+SUMIF(#REF!,'8.Dgia'!A854,#REF!)+SUMIF(#REF!,'8.Dgia'!A854,#REF!)+SUMIF(#REF!,'8.Dgia'!A854,#REF!)</f>
        <v>#REF!</v>
      </c>
      <c r="O854" s="844"/>
      <c r="P854" s="843" t="e">
        <f t="shared" si="39"/>
        <v>#REF!</v>
      </c>
    </row>
    <row r="855" spans="1:18" ht="15" customHeight="1">
      <c r="A855" s="657">
        <f>IF(B855="",MAX($A$8:A854)+0,MAX($A$8:A854)+1)</f>
        <v>88</v>
      </c>
      <c r="B855" s="835" t="str">
        <f>IF(C855="","",COUNTA($C$10:C856))</f>
        <v/>
      </c>
      <c r="C855" s="362"/>
      <c r="D855" s="851"/>
      <c r="E855" s="852" t="s">
        <v>64</v>
      </c>
      <c r="F855" s="848" t="str">
        <f>VLOOKUP(E855,DICH!B:C,2,FALSE)</f>
        <v>Coupler D36</v>
      </c>
      <c r="G855" s="362" t="s">
        <v>4651</v>
      </c>
      <c r="H855" s="847">
        <v>1</v>
      </c>
      <c r="I855" s="848">
        <f>VLOOKUP(E855,'11.gia '!$B:$I,8,FALSE)</f>
        <v>879000</v>
      </c>
      <c r="J855" s="853">
        <f>I855*H855</f>
        <v>879000</v>
      </c>
      <c r="N855" s="843" t="e">
        <f>SUMIF(#REF!,'8.Dgia'!A855,#REF!)+SUMIF(#REF!,'8.Dgia'!A855,#REF!)+SUMIF(#REF!,'8.Dgia'!A855,#REF!)+SUMIF(#REF!,'8.Dgia'!A855,#REF!)</f>
        <v>#REF!</v>
      </c>
      <c r="O855" s="844"/>
      <c r="P855" s="843" t="e">
        <f t="shared" si="39"/>
        <v>#REF!</v>
      </c>
    </row>
    <row r="856" spans="1:18" s="658" customFormat="1" ht="15" customHeight="1">
      <c r="A856" s="657">
        <f>IF(B856="",MAX($A$8:A855)+0,MAX($A$8:A855)+1)</f>
        <v>88</v>
      </c>
      <c r="B856" s="835" t="str">
        <f>IF(C856="","",COUNTA($C$10:C857))</f>
        <v/>
      </c>
      <c r="C856" s="362"/>
      <c r="D856" s="845"/>
      <c r="E856" s="852" t="s">
        <v>2040</v>
      </c>
      <c r="F856" s="848" t="str">
        <f>VLOOKUP(E856,DICH!B:C,2,FALSE)</f>
        <v xml:space="preserve">  B - Labour 4.5/7</v>
      </c>
      <c r="G856" s="362" t="s">
        <v>4899</v>
      </c>
      <c r="H856" s="847">
        <v>0.25</v>
      </c>
      <c r="I856" s="848">
        <f>VLOOKUP(E856,'16.NC'!$C$11:$F$22,4,FALSE)</f>
        <v>237875</v>
      </c>
      <c r="J856" s="849">
        <f>I856*H856</f>
        <v>59468.75</v>
      </c>
      <c r="K856" s="850"/>
      <c r="L856" s="850"/>
      <c r="M856" s="850"/>
      <c r="N856" s="843" t="e">
        <f>SUMIF(#REF!,'8.Dgia'!A856,#REF!)+SUMIF(#REF!,'8.Dgia'!A856,#REF!)+SUMIF(#REF!,'8.Dgia'!A856,#REF!)+SUMIF(#REF!,'8.Dgia'!A856,#REF!)</f>
        <v>#REF!</v>
      </c>
      <c r="O856" s="844"/>
      <c r="P856" s="843" t="e">
        <f t="shared" si="39"/>
        <v>#REF!</v>
      </c>
      <c r="R856" s="658">
        <v>1</v>
      </c>
    </row>
    <row r="857" spans="1:18" ht="15" customHeight="1">
      <c r="A857" s="657">
        <f>IF(B857="",MAX($A$8:A856)+0,MAX($A$8:A856)+1)</f>
        <v>89</v>
      </c>
      <c r="B857" s="835">
        <f>IF(C857="","",COUNTA($C$10:C858))</f>
        <v>89</v>
      </c>
      <c r="C857" s="835">
        <f>IF(D857="","",1776)</f>
        <v>1776</v>
      </c>
      <c r="D857" s="851" t="s">
        <v>416</v>
      </c>
      <c r="E857" s="855" t="s">
        <v>684</v>
      </c>
      <c r="F857" s="1049" t="str">
        <f>VLOOKUP(E857,DICH!B:C,2,FALSE)</f>
        <v>Reinforcement of abutment/pier in water</v>
      </c>
      <c r="G857" s="856" t="s">
        <v>4644</v>
      </c>
      <c r="H857" s="847"/>
      <c r="I857" s="848"/>
      <c r="J857" s="853"/>
      <c r="K857" s="842">
        <f>+J858</f>
        <v>17305050.020290911</v>
      </c>
      <c r="L857" s="842">
        <f>+J862</f>
        <v>3078113.62</v>
      </c>
      <c r="M857" s="842">
        <f>+J863</f>
        <v>611427.61287272722</v>
      </c>
      <c r="N857" s="843" t="e">
        <f>SUMIF(#REF!,'8.Dgia'!A857,#REF!)+SUMIF(#REF!,'8.Dgia'!A857,#REF!)+SUMIF(#REF!,'8.Dgia'!A857,#REF!)+SUMIF(#REF!,'8.Dgia'!A857,#REF!)</f>
        <v>#REF!</v>
      </c>
      <c r="O857" s="844"/>
      <c r="P857" s="843" t="e">
        <f t="shared" si="39"/>
        <v>#REF!</v>
      </c>
    </row>
    <row r="858" spans="1:18" s="658" customFormat="1" ht="15" customHeight="1">
      <c r="A858" s="657">
        <f>IF(B858="",MAX($A$8:A857)+0,MAX($A$8:A857)+1)</f>
        <v>89</v>
      </c>
      <c r="B858" s="835" t="str">
        <f>IF(C858="","",COUNTA($C$10:C859))</f>
        <v/>
      </c>
      <c r="C858" s="362"/>
      <c r="D858" s="845"/>
      <c r="E858" s="852" t="s">
        <v>2032</v>
      </c>
      <c r="F858" s="848" t="str">
        <f>VLOOKUP(E858,DICH!B:C,2,FALSE)</f>
        <v xml:space="preserve">  A - Material</v>
      </c>
      <c r="G858" s="846"/>
      <c r="H858" s="847"/>
      <c r="I858" s="848"/>
      <c r="J858" s="849">
        <f>SUM(J859:J861)</f>
        <v>17305050.020290911</v>
      </c>
      <c r="K858" s="850"/>
      <c r="L858" s="850"/>
      <c r="M858" s="850"/>
      <c r="N858" s="843" t="e">
        <f>SUMIF(#REF!,'8.Dgia'!A858,#REF!)+SUMIF(#REF!,'8.Dgia'!A858,#REF!)+SUMIF(#REF!,'8.Dgia'!A858,#REF!)+SUMIF(#REF!,'8.Dgia'!A858,#REF!)</f>
        <v>#REF!</v>
      </c>
      <c r="O858" s="844"/>
      <c r="P858" s="843" t="e">
        <f t="shared" si="39"/>
        <v>#REF!</v>
      </c>
    </row>
    <row r="859" spans="1:18" ht="15" customHeight="1">
      <c r="A859" s="657">
        <f>IF(B859="",MAX($A$8:A858)+0,MAX($A$8:A858)+1)</f>
        <v>89</v>
      </c>
      <c r="B859" s="835" t="str">
        <f>IF(C859="","",COUNTA($C$10:C860))</f>
        <v/>
      </c>
      <c r="C859" s="362"/>
      <c r="D859" s="851"/>
      <c r="E859" s="852" t="s">
        <v>671</v>
      </c>
      <c r="F859" s="848" t="str">
        <f>VLOOKUP(E859,DICH!B:C,2,FALSE)</f>
        <v>steel bar D&lt;=18</v>
      </c>
      <c r="G859" s="362" t="s">
        <v>558</v>
      </c>
      <c r="H859" s="847">
        <v>1020</v>
      </c>
      <c r="I859" s="848">
        <f>VLOOKUP(E859,'11.gia '!$B:$I,8,FALSE)</f>
        <v>16604.075560000001</v>
      </c>
      <c r="J859" s="853">
        <f>I859*H859</f>
        <v>16936157.071200002</v>
      </c>
      <c r="N859" s="843" t="e">
        <f>SUMIF(#REF!,'8.Dgia'!A859,#REF!)+SUMIF(#REF!,'8.Dgia'!A859,#REF!)+SUMIF(#REF!,'8.Dgia'!A859,#REF!)+SUMIF(#REF!,'8.Dgia'!A859,#REF!)</f>
        <v>#REF!</v>
      </c>
      <c r="O859" s="844"/>
      <c r="P859" s="843" t="e">
        <f t="shared" si="39"/>
        <v>#REF!</v>
      </c>
    </row>
    <row r="860" spans="1:18" ht="15" customHeight="1">
      <c r="A860" s="657">
        <f>IF(B860="",MAX($A$8:A859)+0,MAX($A$8:A859)+1)</f>
        <v>89</v>
      </c>
      <c r="B860" s="835" t="str">
        <f>IF(C860="","",COUNTA($C$10:C861))</f>
        <v/>
      </c>
      <c r="C860" s="362"/>
      <c r="D860" s="851"/>
      <c r="E860" s="852" t="s">
        <v>459</v>
      </c>
      <c r="F860" s="848" t="str">
        <f>VLOOKUP(E860,DICH!B:C,2,FALSE)</f>
        <v>Steel ware</v>
      </c>
      <c r="G860" s="362" t="s">
        <v>558</v>
      </c>
      <c r="H860" s="847">
        <v>14.28</v>
      </c>
      <c r="I860" s="848">
        <f>VLOOKUP(E860,'11.gia '!$B:$I,8,FALSE)</f>
        <v>17143</v>
      </c>
      <c r="J860" s="853">
        <f>I860*H860</f>
        <v>244802.03999999998</v>
      </c>
      <c r="N860" s="843" t="e">
        <f>SUMIF(#REF!,'8.Dgia'!A860,#REF!)+SUMIF(#REF!,'8.Dgia'!A860,#REF!)+SUMIF(#REF!,'8.Dgia'!A860,#REF!)+SUMIF(#REF!,'8.Dgia'!A860,#REF!)</f>
        <v>#REF!</v>
      </c>
      <c r="O860" s="844"/>
      <c r="P860" s="843" t="e">
        <f t="shared" si="39"/>
        <v>#REF!</v>
      </c>
    </row>
    <row r="861" spans="1:18" ht="15" customHeight="1">
      <c r="A861" s="657">
        <f>IF(B861="",MAX($A$8:A860)+0,MAX($A$8:A860)+1)</f>
        <v>89</v>
      </c>
      <c r="B861" s="835" t="str">
        <f>IF(C861="","",COUNTA($C$10:C862))</f>
        <v/>
      </c>
      <c r="C861" s="362"/>
      <c r="D861" s="851"/>
      <c r="E861" s="852" t="s">
        <v>559</v>
      </c>
      <c r="F861" s="848" t="str">
        <f>VLOOKUP(E861,DICH!B:C,2,FALSE)</f>
        <v>welding electrode</v>
      </c>
      <c r="G861" s="362" t="s">
        <v>558</v>
      </c>
      <c r="H861" s="847">
        <v>6.5</v>
      </c>
      <c r="I861" s="848">
        <f>VLOOKUP(E861,'11.gia '!$B:$I,8,FALSE)</f>
        <v>19090.909090909088</v>
      </c>
      <c r="J861" s="853">
        <f>I861*H861</f>
        <v>124090.90909090907</v>
      </c>
      <c r="N861" s="843" t="e">
        <f>SUMIF(#REF!,'8.Dgia'!A861,#REF!)+SUMIF(#REF!,'8.Dgia'!A861,#REF!)+SUMIF(#REF!,'8.Dgia'!A861,#REF!)+SUMIF(#REF!,'8.Dgia'!A861,#REF!)</f>
        <v>#REF!</v>
      </c>
      <c r="O861" s="844"/>
      <c r="P861" s="843" t="e">
        <f t="shared" si="39"/>
        <v>#REF!</v>
      </c>
    </row>
    <row r="862" spans="1:18" s="658" customFormat="1" ht="15" customHeight="1">
      <c r="A862" s="657">
        <f>IF(B862="",MAX($A$8:A861)+0,MAX($A$8:A861)+1)</f>
        <v>89</v>
      </c>
      <c r="B862" s="835" t="str">
        <f>IF(C862="","",COUNTA($C$10:C863))</f>
        <v/>
      </c>
      <c r="C862" s="362"/>
      <c r="D862" s="845"/>
      <c r="E862" s="852" t="s">
        <v>2039</v>
      </c>
      <c r="F862" s="848" t="str">
        <f>VLOOKUP(E862,DICH!B:C,2,FALSE)</f>
        <v xml:space="preserve">  B - Labour 4.0/7</v>
      </c>
      <c r="G862" s="362" t="s">
        <v>4899</v>
      </c>
      <c r="H862" s="847">
        <v>14.06</v>
      </c>
      <c r="I862" s="848">
        <f>VLOOKUP(E862,'16.NC'!$C$11:$F$22,4,FALSE)</f>
        <v>218927</v>
      </c>
      <c r="J862" s="849">
        <f>I862*H862</f>
        <v>3078113.62</v>
      </c>
      <c r="K862" s="850"/>
      <c r="L862" s="850"/>
      <c r="M862" s="850"/>
      <c r="N862" s="843" t="e">
        <f>SUMIF(#REF!,'8.Dgia'!A862,#REF!)+SUMIF(#REF!,'8.Dgia'!A862,#REF!)+SUMIF(#REF!,'8.Dgia'!A862,#REF!)+SUMIF(#REF!,'8.Dgia'!A862,#REF!)</f>
        <v>#REF!</v>
      </c>
      <c r="O862" s="844"/>
      <c r="P862" s="843" t="e">
        <f t="shared" si="39"/>
        <v>#REF!</v>
      </c>
      <c r="R862" s="658">
        <v>1</v>
      </c>
    </row>
    <row r="863" spans="1:18" s="658" customFormat="1" ht="15" customHeight="1">
      <c r="A863" s="657">
        <f>IF(B863="",MAX($A$8:A862)+0,MAX($A$8:A862)+1)</f>
        <v>89</v>
      </c>
      <c r="B863" s="835" t="str">
        <f>IF(C863="","",COUNTA($C$10:C864))</f>
        <v/>
      </c>
      <c r="C863" s="362"/>
      <c r="D863" s="845"/>
      <c r="E863" s="852" t="s">
        <v>2033</v>
      </c>
      <c r="F863" s="848" t="str">
        <f>VLOOKUP(E863,DICH!B:C,2,FALSE)</f>
        <v xml:space="preserve">  C - Machine</v>
      </c>
      <c r="G863" s="846"/>
      <c r="H863" s="847"/>
      <c r="I863" s="848"/>
      <c r="J863" s="849">
        <f>SUM(J864:J869)</f>
        <v>611427.61287272722</v>
      </c>
      <c r="K863" s="850"/>
      <c r="L863" s="850"/>
      <c r="M863" s="850"/>
      <c r="N863" s="843" t="e">
        <f>SUMIF(#REF!,'8.Dgia'!A863,#REF!)+SUMIF(#REF!,'8.Dgia'!A863,#REF!)+SUMIF(#REF!,'8.Dgia'!A863,#REF!)+SUMIF(#REF!,'8.Dgia'!A863,#REF!)</f>
        <v>#REF!</v>
      </c>
      <c r="O863" s="844"/>
      <c r="P863" s="843" t="e">
        <f t="shared" si="39"/>
        <v>#REF!</v>
      </c>
    </row>
    <row r="864" spans="1:18" ht="15" customHeight="1">
      <c r="A864" s="657">
        <f>IF(B864="",MAX($A$8:A863)+0,MAX($A$8:A863)+1)</f>
        <v>89</v>
      </c>
      <c r="B864" s="835" t="str">
        <f>IF(C864="","",COUNTA($C$10:C865))</f>
        <v/>
      </c>
      <c r="C864" s="362"/>
      <c r="D864" s="851"/>
      <c r="E864" s="852" t="s">
        <v>560</v>
      </c>
      <c r="F864" s="848" t="str">
        <f>VLOOKUP(E864,'9.may'!E:F,2,FALSE)</f>
        <v>welding machine 23kW</v>
      </c>
      <c r="G864" s="362" t="s">
        <v>4902</v>
      </c>
      <c r="H864" s="847">
        <v>1.6</v>
      </c>
      <c r="I864" s="848">
        <f>VLOOKUP(E864,'9.may'!E:W,12,FALSE)</f>
        <v>171649.155</v>
      </c>
      <c r="J864" s="853">
        <f t="shared" ref="J864:J869" si="40">I864*H864</f>
        <v>274638.64799999999</v>
      </c>
      <c r="N864" s="843" t="e">
        <f>SUMIF(#REF!,'8.Dgia'!A864,#REF!)+SUMIF(#REF!,'8.Dgia'!A864,#REF!)+SUMIF(#REF!,'8.Dgia'!A864,#REF!)+SUMIF(#REF!,'8.Dgia'!A864,#REF!)</f>
        <v>#REF!</v>
      </c>
      <c r="O864" s="844"/>
      <c r="P864" s="843" t="e">
        <f t="shared" si="39"/>
        <v>#REF!</v>
      </c>
    </row>
    <row r="865" spans="1:18" ht="15" customHeight="1">
      <c r="A865" s="657">
        <f>IF(B865="",MAX($A$8:A864)+0,MAX($A$8:A864)+1)</f>
        <v>89</v>
      </c>
      <c r="B865" s="835" t="str">
        <f>IF(C865="","",COUNTA($C$10:C866))</f>
        <v/>
      </c>
      <c r="C865" s="362"/>
      <c r="D865" s="851"/>
      <c r="E865" s="852" t="s">
        <v>1424</v>
      </c>
      <c r="F865" s="848" t="str">
        <f>VLOOKUP(E865,'9.may'!E:F,2,FALSE)</f>
        <v>bender cutter 5Kw</v>
      </c>
      <c r="G865" s="362" t="s">
        <v>4902</v>
      </c>
      <c r="H865" s="847">
        <v>0.32</v>
      </c>
      <c r="I865" s="848">
        <f>VLOOKUP(E865,'9.may'!E:W,12,FALSE)</f>
        <v>80291.850000000006</v>
      </c>
      <c r="J865" s="853">
        <f t="shared" si="40"/>
        <v>25693.392000000003</v>
      </c>
      <c r="N865" s="843" t="e">
        <f>SUMIF(#REF!,'8.Dgia'!A865,#REF!)+SUMIF(#REF!,'8.Dgia'!A865,#REF!)+SUMIF(#REF!,'8.Dgia'!A865,#REF!)+SUMIF(#REF!,'8.Dgia'!A865,#REF!)</f>
        <v>#REF!</v>
      </c>
      <c r="O865" s="844"/>
      <c r="P865" s="843" t="e">
        <f t="shared" si="39"/>
        <v>#REF!</v>
      </c>
    </row>
    <row r="866" spans="1:18" ht="15" customHeight="1">
      <c r="A866" s="657">
        <f>IF(B866="",MAX($A$8:A865)+0,MAX($A$8:A865)+1)</f>
        <v>89</v>
      </c>
      <c r="B866" s="835" t="str">
        <f>IF(C866="","",COUNTA($C$10:C867))</f>
        <v/>
      </c>
      <c r="C866" s="362"/>
      <c r="D866" s="851"/>
      <c r="E866" s="852" t="s">
        <v>288</v>
      </c>
      <c r="F866" s="848" t="str">
        <f>VLOOKUP(E866,'9.may'!E:F,2,FALSE)</f>
        <v>caterpillar crane 25T</v>
      </c>
      <c r="G866" s="362" t="s">
        <v>4902</v>
      </c>
      <c r="H866" s="847">
        <v>0.06</v>
      </c>
      <c r="I866" s="848">
        <f>VLOOKUP(E866,'9.may'!E:W,12,FALSE)</f>
        <v>2787996.6736363638</v>
      </c>
      <c r="J866" s="853">
        <f t="shared" si="40"/>
        <v>167279.80041818181</v>
      </c>
      <c r="N866" s="843" t="e">
        <f>SUMIF(#REF!,'8.Dgia'!A866,#REF!)+SUMIF(#REF!,'8.Dgia'!A866,#REF!)+SUMIF(#REF!,'8.Dgia'!A866,#REF!)+SUMIF(#REF!,'8.Dgia'!A866,#REF!)</f>
        <v>#REF!</v>
      </c>
      <c r="O866" s="844"/>
      <c r="P866" s="843" t="e">
        <f t="shared" si="39"/>
        <v>#REF!</v>
      </c>
    </row>
    <row r="867" spans="1:18" ht="15" customHeight="1">
      <c r="A867" s="657">
        <f>IF(B867="",MAX($A$8:A866)+0,MAX($A$8:A866)+1)</f>
        <v>89</v>
      </c>
      <c r="B867" s="835" t="str">
        <f>IF(C867="","",COUNTA($C$10:C868))</f>
        <v/>
      </c>
      <c r="C867" s="362"/>
      <c r="D867" s="851"/>
      <c r="E867" s="852" t="s">
        <v>561</v>
      </c>
      <c r="F867" s="848" t="str">
        <f>VLOOKUP(E867,'9.may'!E:F,2,FALSE)</f>
        <v>barge 200Ton</v>
      </c>
      <c r="G867" s="362" t="s">
        <v>4902</v>
      </c>
      <c r="H867" s="847">
        <v>0.06</v>
      </c>
      <c r="I867" s="848">
        <f>VLOOKUP(E867,'9.may'!E:W,12,FALSE)</f>
        <v>586485.6</v>
      </c>
      <c r="J867" s="853">
        <f t="shared" si="40"/>
        <v>35189.135999999999</v>
      </c>
      <c r="N867" s="843" t="e">
        <f>SUMIF(#REF!,'8.Dgia'!A867,#REF!)+SUMIF(#REF!,'8.Dgia'!A867,#REF!)+SUMIF(#REF!,'8.Dgia'!A867,#REF!)+SUMIF(#REF!,'8.Dgia'!A867,#REF!)</f>
        <v>#REF!</v>
      </c>
      <c r="O867" s="844"/>
      <c r="P867" s="843" t="e">
        <f t="shared" si="39"/>
        <v>#REF!</v>
      </c>
    </row>
    <row r="868" spans="1:18" ht="15" customHeight="1">
      <c r="A868" s="657">
        <f>IF(B868="",MAX($A$8:A867)+0,MAX($A$8:A867)+1)</f>
        <v>89</v>
      </c>
      <c r="B868" s="835" t="str">
        <f>IF(C868="","",COUNTA($C$10:C869))</f>
        <v/>
      </c>
      <c r="C868" s="362"/>
      <c r="D868" s="851"/>
      <c r="E868" s="852" t="s">
        <v>556</v>
      </c>
      <c r="F868" s="848" t="str">
        <f>VLOOKUP(E868,'9.may'!E:F,2,FALSE)</f>
        <v>barge 400Ton</v>
      </c>
      <c r="G868" s="362" t="s">
        <v>4902</v>
      </c>
      <c r="H868" s="847">
        <v>0.06</v>
      </c>
      <c r="I868" s="848">
        <f>VLOOKUP(E868,'9.may'!E:W,12,FALSE)</f>
        <v>1144511.22</v>
      </c>
      <c r="J868" s="853">
        <f t="shared" si="40"/>
        <v>68670.67319999999</v>
      </c>
      <c r="N868" s="843" t="e">
        <f>SUMIF(#REF!,'8.Dgia'!A868,#REF!)+SUMIF(#REF!,'8.Dgia'!A868,#REF!)+SUMIF(#REF!,'8.Dgia'!A868,#REF!)+SUMIF(#REF!,'8.Dgia'!A868,#REF!)</f>
        <v>#REF!</v>
      </c>
      <c r="O868" s="844"/>
      <c r="P868" s="843" t="e">
        <f t="shared" si="39"/>
        <v>#REF!</v>
      </c>
    </row>
    <row r="869" spans="1:18" ht="15" customHeight="1">
      <c r="A869" s="657">
        <f>IF(B869="",MAX($A$8:A868)+0,MAX($A$8:A868)+1)</f>
        <v>89</v>
      </c>
      <c r="B869" s="835" t="str">
        <f>IF(C869="","",COUNTA($C$10:C870))</f>
        <v/>
      </c>
      <c r="C869" s="362"/>
      <c r="D869" s="851"/>
      <c r="E869" s="852" t="s">
        <v>611</v>
      </c>
      <c r="F869" s="848" t="str">
        <f>VLOOKUP(E869,'9.may'!E:F,2,FALSE)</f>
        <v>tug boat 150CV</v>
      </c>
      <c r="G869" s="362" t="s">
        <v>4902</v>
      </c>
      <c r="H869" s="847">
        <v>1.2E-2</v>
      </c>
      <c r="I869" s="848">
        <f>VLOOKUP(E869,'9.may'!E:W,12,FALSE)</f>
        <v>3329663.6045454545</v>
      </c>
      <c r="J869" s="853">
        <f t="shared" si="40"/>
        <v>39955.963254545451</v>
      </c>
      <c r="N869" s="843" t="e">
        <f>SUMIF(#REF!,'8.Dgia'!A869,#REF!)+SUMIF(#REF!,'8.Dgia'!A869,#REF!)+SUMIF(#REF!,'8.Dgia'!A869,#REF!)+SUMIF(#REF!,'8.Dgia'!A869,#REF!)</f>
        <v>#REF!</v>
      </c>
      <c r="O869" s="844"/>
      <c r="P869" s="843" t="e">
        <f t="shared" si="39"/>
        <v>#REF!</v>
      </c>
    </row>
    <row r="870" spans="1:18" ht="15" customHeight="1">
      <c r="A870" s="657">
        <f>IF(B870="",MAX($A$8:A869)+0,MAX($A$8:A869)+1)</f>
        <v>90</v>
      </c>
      <c r="B870" s="835">
        <f>IF(C870="","",COUNTA($C$10:C871))</f>
        <v>90</v>
      </c>
      <c r="C870" s="835">
        <f>IF(D870="","",1776)</f>
        <v>1776</v>
      </c>
      <c r="D870" s="851" t="s">
        <v>609</v>
      </c>
      <c r="E870" s="855" t="s">
        <v>666</v>
      </c>
      <c r="F870" s="1049" t="str">
        <f>VLOOKUP(E870,DICH!B:C,2,FALSE)</f>
        <v>Install duct D69/72</v>
      </c>
      <c r="G870" s="856" t="s">
        <v>543</v>
      </c>
      <c r="H870" s="847"/>
      <c r="I870" s="848"/>
      <c r="J870" s="857"/>
      <c r="K870" s="842">
        <f>+J871</f>
        <v>74270.340259963996</v>
      </c>
      <c r="L870" s="842">
        <f>+J878</f>
        <v>45196.25</v>
      </c>
      <c r="M870" s="842">
        <f>+J879</f>
        <v>1855.7290631250005</v>
      </c>
      <c r="N870" s="843" t="e">
        <f>SUMIF(#REF!,'8.Dgia'!A870,#REF!)+SUMIF(#REF!,'8.Dgia'!A870,#REF!)+SUMIF(#REF!,'8.Dgia'!A870,#REF!)+SUMIF(#REF!,'8.Dgia'!A870,#REF!)</f>
        <v>#REF!</v>
      </c>
      <c r="O870" s="844"/>
      <c r="P870" s="843" t="e">
        <f t="shared" si="39"/>
        <v>#REF!</v>
      </c>
    </row>
    <row r="871" spans="1:18" s="658" customFormat="1" ht="15" customHeight="1">
      <c r="A871" s="657">
        <f>IF(B871="",MAX($A$8:A870)+0,MAX($A$8:A870)+1)</f>
        <v>90</v>
      </c>
      <c r="B871" s="835" t="str">
        <f>IF(C871="","",COUNTA($C$10:C872))</f>
        <v/>
      </c>
      <c r="C871" s="362"/>
      <c r="D871" s="845"/>
      <c r="E871" s="852" t="s">
        <v>2032</v>
      </c>
      <c r="F871" s="848" t="str">
        <f>VLOOKUP(E871,DICH!B:C,2,FALSE)</f>
        <v xml:space="preserve">  A - Material</v>
      </c>
      <c r="G871" s="846"/>
      <c r="H871" s="847"/>
      <c r="I871" s="848"/>
      <c r="J871" s="849">
        <f>SUM(J872:J877)</f>
        <v>74270.340259963996</v>
      </c>
      <c r="K871" s="850"/>
      <c r="L871" s="850"/>
      <c r="M871" s="850"/>
      <c r="N871" s="843" t="e">
        <f>SUMIF(#REF!,'8.Dgia'!A871,#REF!)+SUMIF(#REF!,'8.Dgia'!A871,#REF!)+SUMIF(#REF!,'8.Dgia'!A871,#REF!)+SUMIF(#REF!,'8.Dgia'!A871,#REF!)</f>
        <v>#REF!</v>
      </c>
      <c r="O871" s="844"/>
      <c r="P871" s="843" t="e">
        <f t="shared" si="39"/>
        <v>#REF!</v>
      </c>
    </row>
    <row r="872" spans="1:18" ht="15" customHeight="1">
      <c r="A872" s="657">
        <f>IF(B872="",MAX($A$8:A871)+0,MAX($A$8:A871)+1)</f>
        <v>90</v>
      </c>
      <c r="B872" s="835" t="str">
        <f>IF(C872="","",COUNTA($C$10:C873))</f>
        <v/>
      </c>
      <c r="C872" s="362"/>
      <c r="D872" s="851"/>
      <c r="E872" s="852" t="s">
        <v>511</v>
      </c>
      <c r="F872" s="848" t="str">
        <f>VLOOKUP(E872,DICH!B:C,2,FALSE)</f>
        <v>Steel pipe D69/72</v>
      </c>
      <c r="G872" s="362" t="s">
        <v>543</v>
      </c>
      <c r="H872" s="847">
        <v>1.02</v>
      </c>
      <c r="I872" s="848">
        <f>VLOOKUP(E872,'11.gia '!$B:$I,8,FALSE)</f>
        <v>64866.666666666664</v>
      </c>
      <c r="J872" s="853">
        <f>I872*H872</f>
        <v>66164</v>
      </c>
      <c r="N872" s="843" t="e">
        <f>SUMIF(#REF!,'8.Dgia'!A872,#REF!)+SUMIF(#REF!,'8.Dgia'!A872,#REF!)+SUMIF(#REF!,'8.Dgia'!A872,#REF!)+SUMIF(#REF!,'8.Dgia'!A872,#REF!)</f>
        <v>#REF!</v>
      </c>
      <c r="O872" s="844">
        <f>+$H$877</f>
        <v>1</v>
      </c>
      <c r="P872" s="843" t="e">
        <f t="shared" si="39"/>
        <v>#REF!</v>
      </c>
    </row>
    <row r="873" spans="1:18" ht="15" customHeight="1">
      <c r="A873" s="657">
        <f>IF(B873="",MAX($A$8:A872)+0,MAX($A$8:A872)+1)</f>
        <v>90</v>
      </c>
      <c r="B873" s="835" t="str">
        <f>IF(C873="","",COUNTA($C$10:C874))</f>
        <v/>
      </c>
      <c r="C873" s="362"/>
      <c r="D873" s="851"/>
      <c r="E873" s="852" t="s">
        <v>2155</v>
      </c>
      <c r="F873" s="848" t="str">
        <f>VLOOKUP(E873,DICH!B:C,2,FALSE)</f>
        <v>joint pipe PVC D69/72</v>
      </c>
      <c r="G873" s="362" t="s">
        <v>543</v>
      </c>
      <c r="H873" s="847">
        <v>0.06</v>
      </c>
      <c r="I873" s="848">
        <f>VLOOKUP(E873,'11.gia '!$B:$I,8,FALSE)</f>
        <v>64866.666666666664</v>
      </c>
      <c r="J873" s="853">
        <f>I873*H873</f>
        <v>3891.9999999999995</v>
      </c>
      <c r="N873" s="843" t="e">
        <f>SUMIF(#REF!,'8.Dgia'!A873,#REF!)+SUMIF(#REF!,'8.Dgia'!A873,#REF!)+SUMIF(#REF!,'8.Dgia'!A873,#REF!)+SUMIF(#REF!,'8.Dgia'!A873,#REF!)</f>
        <v>#REF!</v>
      </c>
      <c r="O873" s="844">
        <f>+$H$877</f>
        <v>1</v>
      </c>
      <c r="P873" s="843" t="e">
        <f t="shared" si="39"/>
        <v>#REF!</v>
      </c>
    </row>
    <row r="874" spans="1:18" ht="15" customHeight="1">
      <c r="A874" s="657">
        <f>IF(B874="",MAX($A$8:A873)+0,MAX($A$8:A873)+1)</f>
        <v>90</v>
      </c>
      <c r="B874" s="835" t="str">
        <f>IF(C874="","",COUNTA($C$10:C875))</f>
        <v/>
      </c>
      <c r="C874" s="362"/>
      <c r="D874" s="851"/>
      <c r="E874" s="852" t="s">
        <v>371</v>
      </c>
      <c r="F874" s="848" t="str">
        <f>VLOOKUP(E874,DICH!B:C,2,FALSE)</f>
        <v>steel bar D&lt;=10</v>
      </c>
      <c r="G874" s="362" t="s">
        <v>558</v>
      </c>
      <c r="H874" s="847">
        <v>0.19</v>
      </c>
      <c r="I874" s="848">
        <f>VLOOKUP(E874,'11.gia '!$B:$I,8,FALSE)</f>
        <v>16754.075560000001</v>
      </c>
      <c r="J874" s="853">
        <f>I874*H874</f>
        <v>3183.2743564000002</v>
      </c>
      <c r="N874" s="843" t="e">
        <f>SUMIF(#REF!,'8.Dgia'!A874,#REF!)+SUMIF(#REF!,'8.Dgia'!A874,#REF!)+SUMIF(#REF!,'8.Dgia'!A874,#REF!)+SUMIF(#REF!,'8.Dgia'!A874,#REF!)</f>
        <v>#REF!</v>
      </c>
      <c r="O874" s="844">
        <f>+$H$877</f>
        <v>1</v>
      </c>
      <c r="P874" s="843" t="e">
        <f t="shared" si="39"/>
        <v>#REF!</v>
      </c>
    </row>
    <row r="875" spans="1:18" ht="15" customHeight="1">
      <c r="A875" s="657">
        <f>IF(B875="",MAX($A$8:A874)+0,MAX($A$8:A874)+1)</f>
        <v>90</v>
      </c>
      <c r="B875" s="835" t="str">
        <f>IF(C875="","",COUNTA($C$10:C876))</f>
        <v/>
      </c>
      <c r="C875" s="362"/>
      <c r="D875" s="851"/>
      <c r="E875" s="852" t="s">
        <v>459</v>
      </c>
      <c r="F875" s="848" t="str">
        <f>VLOOKUP(E875,DICH!B:C,2,FALSE)</f>
        <v>Steel ware</v>
      </c>
      <c r="G875" s="362" t="s">
        <v>558</v>
      </c>
      <c r="H875" s="847">
        <v>1.2E-2</v>
      </c>
      <c r="I875" s="848">
        <f>VLOOKUP(E875,'11.gia '!$B:$I,8,FALSE)</f>
        <v>17143</v>
      </c>
      <c r="J875" s="853">
        <f>I875*H875</f>
        <v>205.71600000000001</v>
      </c>
      <c r="N875" s="843" t="e">
        <f>SUMIF(#REF!,'8.Dgia'!A875,#REF!)+SUMIF(#REF!,'8.Dgia'!A875,#REF!)+SUMIF(#REF!,'8.Dgia'!A875,#REF!)+SUMIF(#REF!,'8.Dgia'!A875,#REF!)</f>
        <v>#REF!</v>
      </c>
      <c r="O875" s="844">
        <f>+$H$877</f>
        <v>1</v>
      </c>
      <c r="P875" s="843" t="e">
        <f t="shared" si="39"/>
        <v>#REF!</v>
      </c>
    </row>
    <row r="876" spans="1:18" ht="15" customHeight="1">
      <c r="A876" s="657">
        <f>IF(B876="",MAX($A$8:A875)+0,MAX($A$8:A875)+1)</f>
        <v>90</v>
      </c>
      <c r="B876" s="835" t="str">
        <f>IF(C876="","",COUNTA($C$10:C877))</f>
        <v/>
      </c>
      <c r="C876" s="362"/>
      <c r="D876" s="851"/>
      <c r="E876" s="852" t="s">
        <v>575</v>
      </c>
      <c r="F876" s="848" t="str">
        <f>VLOOKUP(E876,DICH!B:C,2,FALSE)</f>
        <v>Saw</v>
      </c>
      <c r="G876" s="362" t="s">
        <v>4649</v>
      </c>
      <c r="H876" s="847">
        <v>0.02</v>
      </c>
      <c r="I876" s="848">
        <f>VLOOKUP(E876,'11.gia '!$B:$I,8,FALSE)</f>
        <v>4500</v>
      </c>
      <c r="J876" s="853">
        <f>I876*H876</f>
        <v>90</v>
      </c>
      <c r="N876" s="843" t="e">
        <f>SUMIF(#REF!,'8.Dgia'!A876,#REF!)+SUMIF(#REF!,'8.Dgia'!A876,#REF!)+SUMIF(#REF!,'8.Dgia'!A876,#REF!)+SUMIF(#REF!,'8.Dgia'!A876,#REF!)</f>
        <v>#REF!</v>
      </c>
      <c r="O876" s="844">
        <f>+$H$877</f>
        <v>1</v>
      </c>
      <c r="P876" s="843" t="e">
        <f t="shared" si="39"/>
        <v>#REF!</v>
      </c>
    </row>
    <row r="877" spans="1:18" ht="15" customHeight="1">
      <c r="A877" s="657">
        <f>IF(B877="",MAX($A$8:A876)+0,MAX($A$8:A876)+1)</f>
        <v>90</v>
      </c>
      <c r="B877" s="835" t="str">
        <f>IF(C877="","",COUNTA($C$10:C878))</f>
        <v/>
      </c>
      <c r="C877" s="362"/>
      <c r="D877" s="851"/>
      <c r="E877" s="852" t="s">
        <v>555</v>
      </c>
      <c r="F877" s="848" t="str">
        <f>VLOOKUP(E877,DICH!B:C,2,FALSE)</f>
        <v>Other material</v>
      </c>
      <c r="G877" s="362" t="s">
        <v>554</v>
      </c>
      <c r="H877" s="847">
        <v>1</v>
      </c>
      <c r="I877" s="848">
        <f>SUM(J872:J876)</f>
        <v>73534.990356399998</v>
      </c>
      <c r="J877" s="853">
        <f>I877*H877%</f>
        <v>735.34990356399999</v>
      </c>
      <c r="N877" s="843" t="e">
        <f>SUMIF(#REF!,'8.Dgia'!A877,#REF!)+SUMIF(#REF!,'8.Dgia'!A877,#REF!)+SUMIF(#REF!,'8.Dgia'!A877,#REF!)+SUMIF(#REF!,'8.Dgia'!A877,#REF!)</f>
        <v>#REF!</v>
      </c>
      <c r="O877" s="844"/>
      <c r="P877" s="843" t="e">
        <f t="shared" si="39"/>
        <v>#REF!</v>
      </c>
    </row>
    <row r="878" spans="1:18" s="658" customFormat="1" ht="15" customHeight="1">
      <c r="A878" s="657">
        <f>IF(B878="",MAX($A$8:A877)+0,MAX($A$8:A877)+1)</f>
        <v>90</v>
      </c>
      <c r="B878" s="835" t="str">
        <f>IF(C878="","",COUNTA($C$10:C879))</f>
        <v/>
      </c>
      <c r="C878" s="362"/>
      <c r="D878" s="845"/>
      <c r="E878" s="852" t="s">
        <v>2040</v>
      </c>
      <c r="F878" s="848" t="str">
        <f>VLOOKUP(E878,DICH!B:C,2,FALSE)</f>
        <v xml:space="preserve">  B - Labour 4.5/7</v>
      </c>
      <c r="G878" s="362" t="s">
        <v>4899</v>
      </c>
      <c r="H878" s="847">
        <v>0.19</v>
      </c>
      <c r="I878" s="848">
        <f>VLOOKUP(E878,'16.NC'!$C$11:$F$22,4,FALSE)</f>
        <v>237875</v>
      </c>
      <c r="J878" s="849">
        <f>I878*H878</f>
        <v>45196.25</v>
      </c>
      <c r="K878" s="850"/>
      <c r="L878" s="850"/>
      <c r="M878" s="850"/>
      <c r="N878" s="843" t="e">
        <f>SUMIF(#REF!,'8.Dgia'!A878,#REF!)+SUMIF(#REF!,'8.Dgia'!A878,#REF!)+SUMIF(#REF!,'8.Dgia'!A878,#REF!)+SUMIF(#REF!,'8.Dgia'!A878,#REF!)</f>
        <v>#REF!</v>
      </c>
      <c r="O878" s="844"/>
      <c r="P878" s="843" t="e">
        <f t="shared" si="39"/>
        <v>#REF!</v>
      </c>
      <c r="R878" s="658">
        <v>1</v>
      </c>
    </row>
    <row r="879" spans="1:18" s="658" customFormat="1" ht="15" customHeight="1">
      <c r="A879" s="657">
        <f>IF(B879="",MAX($A$8:A878)+0,MAX($A$8:A878)+1)</f>
        <v>90</v>
      </c>
      <c r="B879" s="835" t="str">
        <f>IF(C879="","",COUNTA($C$10:C880))</f>
        <v/>
      </c>
      <c r="C879" s="362"/>
      <c r="D879" s="845"/>
      <c r="E879" s="852" t="s">
        <v>2033</v>
      </c>
      <c r="F879" s="848" t="str">
        <f>VLOOKUP(E879,DICH!B:C,2,FALSE)</f>
        <v xml:space="preserve">  C - Machine</v>
      </c>
      <c r="G879" s="846"/>
      <c r="H879" s="847"/>
      <c r="I879" s="848"/>
      <c r="J879" s="849">
        <f>SUM(J880:J881)</f>
        <v>1855.7290631250005</v>
      </c>
      <c r="K879" s="850"/>
      <c r="L879" s="850"/>
      <c r="M879" s="850"/>
      <c r="N879" s="843" t="e">
        <f>SUMIF(#REF!,'8.Dgia'!A879,#REF!)+SUMIF(#REF!,'8.Dgia'!A879,#REF!)+SUMIF(#REF!,'8.Dgia'!A879,#REF!)+SUMIF(#REF!,'8.Dgia'!A879,#REF!)</f>
        <v>#REF!</v>
      </c>
      <c r="O879" s="844"/>
      <c r="P879" s="843" t="e">
        <f t="shared" si="39"/>
        <v>#REF!</v>
      </c>
    </row>
    <row r="880" spans="1:18" ht="15" customHeight="1">
      <c r="A880" s="657">
        <f>IF(B880="",MAX($A$8:A879)+0,MAX($A$8:A879)+1)</f>
        <v>90</v>
      </c>
      <c r="B880" s="835" t="str">
        <f>IF(C880="","",COUNTA($C$10:C881))</f>
        <v/>
      </c>
      <c r="C880" s="362"/>
      <c r="D880" s="851"/>
      <c r="E880" s="852" t="s">
        <v>1428</v>
      </c>
      <c r="F880" s="848" t="str">
        <f>VLOOKUP(E880,'9.may'!E:F,2,FALSE)</f>
        <v>metal sawer 1.7kW</v>
      </c>
      <c r="G880" s="362" t="s">
        <v>4902</v>
      </c>
      <c r="H880" s="847">
        <v>2.5000000000000001E-2</v>
      </c>
      <c r="I880" s="848">
        <f>VLOOKUP(E880,'9.may'!E:W,12,FALSE)</f>
        <v>70694.440500000012</v>
      </c>
      <c r="J880" s="853">
        <f>I880*H880</f>
        <v>1767.3610125000005</v>
      </c>
      <c r="N880" s="843" t="e">
        <f>SUMIF(#REF!,'8.Dgia'!A880,#REF!)+SUMIF(#REF!,'8.Dgia'!A880,#REF!)+SUMIF(#REF!,'8.Dgia'!A880,#REF!)+SUMIF(#REF!,'8.Dgia'!A880,#REF!)</f>
        <v>#REF!</v>
      </c>
      <c r="O880" s="844">
        <f>+$H$881</f>
        <v>5</v>
      </c>
      <c r="P880" s="843" t="e">
        <f t="shared" si="39"/>
        <v>#REF!</v>
      </c>
    </row>
    <row r="881" spans="1:18" ht="15" customHeight="1">
      <c r="A881" s="657">
        <f>IF(B881="",MAX($A$8:A880)+0,MAX($A$8:A880)+1)</f>
        <v>90</v>
      </c>
      <c r="B881" s="835" t="str">
        <f>IF(C881="","",COUNTA($C$10:C882))</f>
        <v/>
      </c>
      <c r="C881" s="362"/>
      <c r="D881" s="851"/>
      <c r="E881" s="852" t="s">
        <v>553</v>
      </c>
      <c r="F881" s="848" t="str">
        <f>VLOOKUP(E881,DICH!B:C,2,FALSE)</f>
        <v>Other machine</v>
      </c>
      <c r="G881" s="362" t="s">
        <v>554</v>
      </c>
      <c r="H881" s="847">
        <v>5</v>
      </c>
      <c r="I881" s="848">
        <f>J880</f>
        <v>1767.3610125000005</v>
      </c>
      <c r="J881" s="853">
        <f>I881*H881%</f>
        <v>88.368050625000024</v>
      </c>
      <c r="N881" s="843" t="e">
        <f>SUMIF(#REF!,'8.Dgia'!A881,#REF!)+SUMIF(#REF!,'8.Dgia'!A881,#REF!)+SUMIF(#REF!,'8.Dgia'!A881,#REF!)+SUMIF(#REF!,'8.Dgia'!A881,#REF!)</f>
        <v>#REF!</v>
      </c>
      <c r="O881" s="844"/>
      <c r="P881" s="843" t="e">
        <f t="shared" si="39"/>
        <v>#REF!</v>
      </c>
    </row>
    <row r="882" spans="1:18" ht="15" customHeight="1">
      <c r="A882" s="657">
        <f>IF(B882="",MAX($A$8:A881)+0,MAX($A$8:A881)+1)</f>
        <v>91</v>
      </c>
      <c r="B882" s="835">
        <f>IF(C882="","",COUNTA($C$10:C883))</f>
        <v>91</v>
      </c>
      <c r="C882" s="835">
        <f>IF(D882="","",1776)</f>
        <v>1776</v>
      </c>
      <c r="D882" s="851" t="s">
        <v>396</v>
      </c>
      <c r="E882" s="855" t="s">
        <v>712</v>
      </c>
      <c r="F882" s="1049" t="str">
        <f>VLOOKUP(E882,DICH!B:C,2,FALSE)</f>
        <v>Install duct D84/89</v>
      </c>
      <c r="G882" s="856" t="s">
        <v>543</v>
      </c>
      <c r="H882" s="847"/>
      <c r="I882" s="848"/>
      <c r="J882" s="857"/>
      <c r="K882" s="842">
        <f>+J883</f>
        <v>107250.808549964</v>
      </c>
      <c r="L882" s="842">
        <f>+J890</f>
        <v>49953.75</v>
      </c>
      <c r="M882" s="842">
        <f>+J891</f>
        <v>2226.8748757500002</v>
      </c>
      <c r="N882" s="843" t="e">
        <f>SUMIF(#REF!,'8.Dgia'!A882,#REF!)+SUMIF(#REF!,'8.Dgia'!A882,#REF!)+SUMIF(#REF!,'8.Dgia'!A882,#REF!)+SUMIF(#REF!,'8.Dgia'!A882,#REF!)</f>
        <v>#REF!</v>
      </c>
      <c r="O882" s="844"/>
      <c r="P882" s="843" t="e">
        <f t="shared" si="39"/>
        <v>#REF!</v>
      </c>
    </row>
    <row r="883" spans="1:18" s="658" customFormat="1" ht="15" customHeight="1">
      <c r="A883" s="657">
        <f>IF(B883="",MAX($A$8:A882)+0,MAX($A$8:A882)+1)</f>
        <v>91</v>
      </c>
      <c r="B883" s="835" t="str">
        <f>IF(C883="","",COUNTA($C$10:C884))</f>
        <v/>
      </c>
      <c r="C883" s="362"/>
      <c r="D883" s="845"/>
      <c r="E883" s="852" t="s">
        <v>2032</v>
      </c>
      <c r="F883" s="848" t="str">
        <f>VLOOKUP(E883,DICH!B:C,2,FALSE)</f>
        <v xml:space="preserve">  A - Material</v>
      </c>
      <c r="G883" s="846"/>
      <c r="H883" s="847"/>
      <c r="I883" s="848"/>
      <c r="J883" s="849">
        <f>SUM(J884:J889)</f>
        <v>107250.808549964</v>
      </c>
      <c r="K883" s="850"/>
      <c r="L883" s="850"/>
      <c r="M883" s="850"/>
      <c r="N883" s="843" t="e">
        <f>SUMIF(#REF!,'8.Dgia'!A883,#REF!)+SUMIF(#REF!,'8.Dgia'!A883,#REF!)+SUMIF(#REF!,'8.Dgia'!A883,#REF!)+SUMIF(#REF!,'8.Dgia'!A883,#REF!)</f>
        <v>#REF!</v>
      </c>
      <c r="O883" s="844"/>
      <c r="P883" s="843" t="e">
        <f t="shared" si="39"/>
        <v>#REF!</v>
      </c>
    </row>
    <row r="884" spans="1:18" ht="15" customHeight="1">
      <c r="A884" s="657">
        <f>IF(B884="",MAX($A$8:A883)+0,MAX($A$8:A883)+1)</f>
        <v>91</v>
      </c>
      <c r="B884" s="835" t="str">
        <f>IF(C884="","",COUNTA($C$10:C885))</f>
        <v/>
      </c>
      <c r="C884" s="362"/>
      <c r="D884" s="851"/>
      <c r="E884" s="852" t="s">
        <v>510</v>
      </c>
      <c r="F884" s="848" t="str">
        <f>VLOOKUP(E884,DICH!B:C,2,FALSE)</f>
        <v>Steel pipe D84/89</v>
      </c>
      <c r="G884" s="362" t="s">
        <v>543</v>
      </c>
      <c r="H884" s="847">
        <v>1.02</v>
      </c>
      <c r="I884" s="848">
        <f>VLOOKUP(E884,'11.gia '!$B:$I,8,FALSE)</f>
        <v>95033.333333333328</v>
      </c>
      <c r="J884" s="853">
        <f>I884*H884</f>
        <v>96934</v>
      </c>
      <c r="N884" s="843" t="e">
        <f>SUMIF(#REF!,'8.Dgia'!A884,#REF!)+SUMIF(#REF!,'8.Dgia'!A884,#REF!)+SUMIF(#REF!,'8.Dgia'!A884,#REF!)+SUMIF(#REF!,'8.Dgia'!A884,#REF!)</f>
        <v>#REF!</v>
      </c>
      <c r="O884" s="844">
        <f>+$H$889</f>
        <v>1</v>
      </c>
      <c r="P884" s="843" t="e">
        <f t="shared" si="39"/>
        <v>#REF!</v>
      </c>
    </row>
    <row r="885" spans="1:18" ht="15" customHeight="1">
      <c r="A885" s="657">
        <f>IF(B885="",MAX($A$8:A884)+0,MAX($A$8:A884)+1)</f>
        <v>91</v>
      </c>
      <c r="B885" s="835" t="str">
        <f>IF(C885="","",COUNTA($C$10:C886))</f>
        <v/>
      </c>
      <c r="C885" s="362"/>
      <c r="D885" s="851"/>
      <c r="E885" s="852" t="s">
        <v>2156</v>
      </c>
      <c r="F885" s="848" t="str">
        <f>VLOOKUP(E885,DICH!B:C,2,FALSE)</f>
        <v>joint pipe PVC D84/89</v>
      </c>
      <c r="G885" s="362" t="s">
        <v>543</v>
      </c>
      <c r="H885" s="847">
        <v>0.06</v>
      </c>
      <c r="I885" s="848">
        <f>VLOOKUP(E885,'11.gia '!$B:$I,8,FALSE)</f>
        <v>95033.333333333328</v>
      </c>
      <c r="J885" s="853">
        <f>I885*H885</f>
        <v>5701.9999999999991</v>
      </c>
      <c r="N885" s="843" t="e">
        <f>SUMIF(#REF!,'8.Dgia'!A885,#REF!)+SUMIF(#REF!,'8.Dgia'!A885,#REF!)+SUMIF(#REF!,'8.Dgia'!A885,#REF!)+SUMIF(#REF!,'8.Dgia'!A885,#REF!)</f>
        <v>#REF!</v>
      </c>
      <c r="O885" s="844">
        <f>+$H$889</f>
        <v>1</v>
      </c>
      <c r="P885" s="843" t="e">
        <f t="shared" si="39"/>
        <v>#REF!</v>
      </c>
    </row>
    <row r="886" spans="1:18" ht="15" customHeight="1">
      <c r="A886" s="657">
        <f>IF(B886="",MAX($A$8:A885)+0,MAX($A$8:A885)+1)</f>
        <v>91</v>
      </c>
      <c r="B886" s="835" t="str">
        <f>IF(C886="","",COUNTA($C$10:C887))</f>
        <v/>
      </c>
      <c r="C886" s="362"/>
      <c r="D886" s="851"/>
      <c r="E886" s="852" t="s">
        <v>371</v>
      </c>
      <c r="F886" s="848" t="str">
        <f>VLOOKUP(E886,DICH!B:C,2,FALSE)</f>
        <v>steel bar D&lt;=10</v>
      </c>
      <c r="G886" s="362" t="s">
        <v>558</v>
      </c>
      <c r="H886" s="847">
        <v>0.19</v>
      </c>
      <c r="I886" s="848">
        <f>VLOOKUP(E886,'11.gia '!$B:$I,8,FALSE)</f>
        <v>16754.075560000001</v>
      </c>
      <c r="J886" s="853">
        <f>I886*H886</f>
        <v>3183.2743564000002</v>
      </c>
      <c r="N886" s="843" t="e">
        <f>SUMIF(#REF!,'8.Dgia'!A886,#REF!)+SUMIF(#REF!,'8.Dgia'!A886,#REF!)+SUMIF(#REF!,'8.Dgia'!A886,#REF!)+SUMIF(#REF!,'8.Dgia'!A886,#REF!)</f>
        <v>#REF!</v>
      </c>
      <c r="O886" s="844">
        <f>+$H$889</f>
        <v>1</v>
      </c>
      <c r="P886" s="843" t="e">
        <f t="shared" si="39"/>
        <v>#REF!</v>
      </c>
    </row>
    <row r="887" spans="1:18" ht="15" customHeight="1">
      <c r="A887" s="657">
        <f>IF(B887="",MAX($A$8:A886)+0,MAX($A$8:A886)+1)</f>
        <v>91</v>
      </c>
      <c r="B887" s="835" t="str">
        <f>IF(C887="","",COUNTA($C$10:C888))</f>
        <v/>
      </c>
      <c r="C887" s="362"/>
      <c r="D887" s="851"/>
      <c r="E887" s="852" t="s">
        <v>459</v>
      </c>
      <c r="F887" s="848" t="str">
        <f>VLOOKUP(E887,DICH!B:C,2,FALSE)</f>
        <v>Steel ware</v>
      </c>
      <c r="G887" s="362" t="s">
        <v>558</v>
      </c>
      <c r="H887" s="847">
        <v>1.4999999999999999E-2</v>
      </c>
      <c r="I887" s="848">
        <f>VLOOKUP(E887,'11.gia '!$B:$I,8,FALSE)</f>
        <v>17143</v>
      </c>
      <c r="J887" s="853">
        <f>I887*H887</f>
        <v>257.14499999999998</v>
      </c>
      <c r="N887" s="843" t="e">
        <f>SUMIF(#REF!,'8.Dgia'!A887,#REF!)+SUMIF(#REF!,'8.Dgia'!A887,#REF!)+SUMIF(#REF!,'8.Dgia'!A887,#REF!)+SUMIF(#REF!,'8.Dgia'!A887,#REF!)</f>
        <v>#REF!</v>
      </c>
      <c r="O887" s="844">
        <f>+$H$889</f>
        <v>1</v>
      </c>
      <c r="P887" s="843" t="e">
        <f t="shared" si="39"/>
        <v>#REF!</v>
      </c>
    </row>
    <row r="888" spans="1:18" ht="15" customHeight="1">
      <c r="A888" s="657">
        <f>IF(B888="",MAX($A$8:A887)+0,MAX($A$8:A887)+1)</f>
        <v>91</v>
      </c>
      <c r="B888" s="835" t="str">
        <f>IF(C888="","",COUNTA($C$10:C889))</f>
        <v/>
      </c>
      <c r="C888" s="362"/>
      <c r="D888" s="851"/>
      <c r="E888" s="852" t="s">
        <v>575</v>
      </c>
      <c r="F888" s="848" t="str">
        <f>VLOOKUP(E888,DICH!B:C,2,FALSE)</f>
        <v>Saw</v>
      </c>
      <c r="G888" s="362" t="s">
        <v>4649</v>
      </c>
      <c r="H888" s="847">
        <v>2.5000000000000001E-2</v>
      </c>
      <c r="I888" s="848">
        <f>VLOOKUP(E888,'11.gia '!$B:$I,8,FALSE)</f>
        <v>4500</v>
      </c>
      <c r="J888" s="853">
        <f>I888*H888</f>
        <v>112.5</v>
      </c>
      <c r="N888" s="843" t="e">
        <f>SUMIF(#REF!,'8.Dgia'!A888,#REF!)+SUMIF(#REF!,'8.Dgia'!A888,#REF!)+SUMIF(#REF!,'8.Dgia'!A888,#REF!)+SUMIF(#REF!,'8.Dgia'!A888,#REF!)</f>
        <v>#REF!</v>
      </c>
      <c r="O888" s="844">
        <f>+$H$889</f>
        <v>1</v>
      </c>
      <c r="P888" s="843" t="e">
        <f t="shared" si="39"/>
        <v>#REF!</v>
      </c>
    </row>
    <row r="889" spans="1:18" ht="15" customHeight="1">
      <c r="A889" s="657">
        <f>IF(B889="",MAX($A$8:A888)+0,MAX($A$8:A888)+1)</f>
        <v>91</v>
      </c>
      <c r="B889" s="835" t="str">
        <f>IF(C889="","",COUNTA($C$10:C890))</f>
        <v/>
      </c>
      <c r="C889" s="362"/>
      <c r="D889" s="851"/>
      <c r="E889" s="852" t="s">
        <v>555</v>
      </c>
      <c r="F889" s="848" t="str">
        <f>VLOOKUP(E889,DICH!B:C,2,FALSE)</f>
        <v>Other material</v>
      </c>
      <c r="G889" s="362" t="s">
        <v>554</v>
      </c>
      <c r="H889" s="847">
        <v>1</v>
      </c>
      <c r="I889" s="848">
        <f>SUM(J884:J888)</f>
        <v>106188.9193564</v>
      </c>
      <c r="J889" s="853">
        <f>I889*H889%</f>
        <v>1061.8891935639999</v>
      </c>
      <c r="N889" s="843" t="e">
        <f>SUMIF(#REF!,'8.Dgia'!A889,#REF!)+SUMIF(#REF!,'8.Dgia'!A889,#REF!)+SUMIF(#REF!,'8.Dgia'!A889,#REF!)+SUMIF(#REF!,'8.Dgia'!A889,#REF!)</f>
        <v>#REF!</v>
      </c>
      <c r="O889" s="844"/>
      <c r="P889" s="843" t="e">
        <f t="shared" si="39"/>
        <v>#REF!</v>
      </c>
    </row>
    <row r="890" spans="1:18" s="658" customFormat="1" ht="15" customHeight="1">
      <c r="A890" s="657">
        <f>IF(B890="",MAX($A$8:A889)+0,MAX($A$8:A889)+1)</f>
        <v>91</v>
      </c>
      <c r="B890" s="835" t="str">
        <f>IF(C890="","",COUNTA($C$10:C891))</f>
        <v/>
      </c>
      <c r="C890" s="362"/>
      <c r="D890" s="845"/>
      <c r="E890" s="852" t="s">
        <v>2040</v>
      </c>
      <c r="F890" s="848" t="str">
        <f>VLOOKUP(E890,DICH!B:C,2,FALSE)</f>
        <v xml:space="preserve">  B - Labour 4.5/7</v>
      </c>
      <c r="G890" s="362" t="s">
        <v>4899</v>
      </c>
      <c r="H890" s="847">
        <v>0.21</v>
      </c>
      <c r="I890" s="848">
        <f>VLOOKUP(E890,'16.NC'!$C$11:$F$22,4,FALSE)</f>
        <v>237875</v>
      </c>
      <c r="J890" s="849">
        <f>I890*H890</f>
        <v>49953.75</v>
      </c>
      <c r="K890" s="850"/>
      <c r="L890" s="850"/>
      <c r="M890" s="850"/>
      <c r="N890" s="843" t="e">
        <f>SUMIF(#REF!,'8.Dgia'!A890,#REF!)+SUMIF(#REF!,'8.Dgia'!A890,#REF!)+SUMIF(#REF!,'8.Dgia'!A890,#REF!)+SUMIF(#REF!,'8.Dgia'!A890,#REF!)</f>
        <v>#REF!</v>
      </c>
      <c r="O890" s="844"/>
      <c r="P890" s="843" t="e">
        <f t="shared" si="39"/>
        <v>#REF!</v>
      </c>
      <c r="R890" s="658">
        <v>1</v>
      </c>
    </row>
    <row r="891" spans="1:18" s="658" customFormat="1" ht="15" customHeight="1">
      <c r="A891" s="657">
        <f>IF(B891="",MAX($A$8:A890)+0,MAX($A$8:A890)+1)</f>
        <v>91</v>
      </c>
      <c r="B891" s="835" t="str">
        <f>IF(C891="","",COUNTA($C$10:C892))</f>
        <v/>
      </c>
      <c r="C891" s="362"/>
      <c r="D891" s="845"/>
      <c r="E891" s="852" t="s">
        <v>2033</v>
      </c>
      <c r="F891" s="848" t="str">
        <f>VLOOKUP(E891,DICH!B:C,2,FALSE)</f>
        <v xml:space="preserve">  C - Machine</v>
      </c>
      <c r="G891" s="846"/>
      <c r="H891" s="847"/>
      <c r="I891" s="848"/>
      <c r="J891" s="849">
        <f>SUM(J892:J893)</f>
        <v>2226.8748757500002</v>
      </c>
      <c r="K891" s="850"/>
      <c r="L891" s="850"/>
      <c r="M891" s="850"/>
      <c r="N891" s="843" t="e">
        <f>SUMIF(#REF!,'8.Dgia'!A891,#REF!)+SUMIF(#REF!,'8.Dgia'!A891,#REF!)+SUMIF(#REF!,'8.Dgia'!A891,#REF!)+SUMIF(#REF!,'8.Dgia'!A891,#REF!)</f>
        <v>#REF!</v>
      </c>
      <c r="O891" s="844"/>
      <c r="P891" s="843" t="e">
        <f t="shared" si="39"/>
        <v>#REF!</v>
      </c>
    </row>
    <row r="892" spans="1:18" ht="15" customHeight="1">
      <c r="A892" s="657">
        <f>IF(B892="",MAX($A$8:A891)+0,MAX($A$8:A891)+1)</f>
        <v>91</v>
      </c>
      <c r="B892" s="835" t="str">
        <f>IF(C892="","",COUNTA($C$10:C893))</f>
        <v/>
      </c>
      <c r="C892" s="362"/>
      <c r="D892" s="851"/>
      <c r="E892" s="852" t="s">
        <v>1428</v>
      </c>
      <c r="F892" s="848" t="str">
        <f>VLOOKUP(E892,'9.may'!E:F,2,FALSE)</f>
        <v>metal sawer 1.7kW</v>
      </c>
      <c r="G892" s="362" t="s">
        <v>4902</v>
      </c>
      <c r="H892" s="847">
        <v>0.03</v>
      </c>
      <c r="I892" s="848">
        <f>VLOOKUP(E892,'9.may'!E:W,12,FALSE)</f>
        <v>70694.440500000012</v>
      </c>
      <c r="J892" s="853">
        <f>I892*H892</f>
        <v>2120.8332150000001</v>
      </c>
      <c r="N892" s="843" t="e">
        <f>SUMIF(#REF!,'8.Dgia'!A892,#REF!)+SUMIF(#REF!,'8.Dgia'!A892,#REF!)+SUMIF(#REF!,'8.Dgia'!A892,#REF!)+SUMIF(#REF!,'8.Dgia'!A892,#REF!)</f>
        <v>#REF!</v>
      </c>
      <c r="O892" s="844">
        <f>+$H$893</f>
        <v>5</v>
      </c>
      <c r="P892" s="843" t="e">
        <f t="shared" si="39"/>
        <v>#REF!</v>
      </c>
    </row>
    <row r="893" spans="1:18" ht="15" customHeight="1">
      <c r="A893" s="657">
        <f>IF(B893="",MAX($A$8:A892)+0,MAX($A$8:A892)+1)</f>
        <v>91</v>
      </c>
      <c r="B893" s="835" t="str">
        <f>IF(C893="","",COUNTA($C$10:C894))</f>
        <v/>
      </c>
      <c r="C893" s="362"/>
      <c r="D893" s="851"/>
      <c r="E893" s="852" t="s">
        <v>553</v>
      </c>
      <c r="F893" s="848" t="str">
        <f>VLOOKUP(E893,DICH!B:C,2,FALSE)</f>
        <v>Other machine</v>
      </c>
      <c r="G893" s="362" t="s">
        <v>554</v>
      </c>
      <c r="H893" s="847">
        <v>5</v>
      </c>
      <c r="I893" s="848">
        <f>J892</f>
        <v>2120.8332150000001</v>
      </c>
      <c r="J893" s="853">
        <f>I893*H893%</f>
        <v>106.04166075000001</v>
      </c>
      <c r="N893" s="843" t="e">
        <f>SUMIF(#REF!,'8.Dgia'!A893,#REF!)+SUMIF(#REF!,'8.Dgia'!A893,#REF!)+SUMIF(#REF!,'8.Dgia'!A893,#REF!)+SUMIF(#REF!,'8.Dgia'!A893,#REF!)</f>
        <v>#REF!</v>
      </c>
      <c r="O893" s="844"/>
      <c r="P893" s="843" t="e">
        <f t="shared" si="39"/>
        <v>#REF!</v>
      </c>
    </row>
    <row r="894" spans="1:18" ht="15" customHeight="1">
      <c r="A894" s="657">
        <f>IF(B894="",MAX($A$8:A893)+0,MAX($A$8:A893)+1)</f>
        <v>92</v>
      </c>
      <c r="B894" s="835">
        <f>IF(C894="","",COUNTA($C$10:C895))</f>
        <v>92</v>
      </c>
      <c r="C894" s="835">
        <f>IF(D894="","",1776)</f>
        <v>1776</v>
      </c>
      <c r="D894" s="851" t="s">
        <v>609</v>
      </c>
      <c r="E894" s="855" t="s">
        <v>749</v>
      </c>
      <c r="F894" s="1049" t="str">
        <f>VLOOKUP(E894,DICH!B:C,2,FALSE)</f>
        <v>Install duct D75/80</v>
      </c>
      <c r="G894" s="856" t="s">
        <v>543</v>
      </c>
      <c r="H894" s="847"/>
      <c r="I894" s="848"/>
      <c r="J894" s="857"/>
      <c r="K894" s="842">
        <f>+J895</f>
        <v>91414.080259964001</v>
      </c>
      <c r="L894" s="842">
        <f>+J902</f>
        <v>45196.25</v>
      </c>
      <c r="M894" s="842">
        <f>+J903</f>
        <v>1855.7290631250005</v>
      </c>
      <c r="N894" s="843" t="e">
        <f>SUMIF(#REF!,'8.Dgia'!A894,#REF!)+SUMIF(#REF!,'8.Dgia'!A894,#REF!)+SUMIF(#REF!,'8.Dgia'!A894,#REF!)+SUMIF(#REF!,'8.Dgia'!A894,#REF!)</f>
        <v>#REF!</v>
      </c>
      <c r="O894" s="844"/>
      <c r="P894" s="843" t="e">
        <f t="shared" si="39"/>
        <v>#REF!</v>
      </c>
    </row>
    <row r="895" spans="1:18" s="658" customFormat="1" ht="15" customHeight="1">
      <c r="A895" s="657">
        <f>IF(B895="",MAX($A$8:A894)+0,MAX($A$8:A894)+1)</f>
        <v>92</v>
      </c>
      <c r="B895" s="835" t="str">
        <f>IF(C895="","",COUNTA($C$10:C896))</f>
        <v/>
      </c>
      <c r="C895" s="362"/>
      <c r="D895" s="845"/>
      <c r="E895" s="852" t="s">
        <v>2032</v>
      </c>
      <c r="F895" s="848" t="str">
        <f>VLOOKUP(E895,DICH!B:C,2,FALSE)</f>
        <v xml:space="preserve">  A - Material</v>
      </c>
      <c r="G895" s="846"/>
      <c r="H895" s="847"/>
      <c r="I895" s="848"/>
      <c r="J895" s="849">
        <f>SUM(J896:J901)</f>
        <v>91414.080259964001</v>
      </c>
      <c r="K895" s="850"/>
      <c r="L895" s="850"/>
      <c r="M895" s="850"/>
      <c r="N895" s="843" t="e">
        <f>SUMIF(#REF!,'8.Dgia'!A895,#REF!)+SUMIF(#REF!,'8.Dgia'!A895,#REF!)+SUMIF(#REF!,'8.Dgia'!A895,#REF!)+SUMIF(#REF!,'8.Dgia'!A895,#REF!)</f>
        <v>#REF!</v>
      </c>
      <c r="O895" s="844"/>
      <c r="P895" s="843" t="e">
        <f t="shared" si="39"/>
        <v>#REF!</v>
      </c>
    </row>
    <row r="896" spans="1:18" ht="15" customHeight="1">
      <c r="A896" s="657">
        <f>IF(B896="",MAX($A$8:A895)+0,MAX($A$8:A895)+1)</f>
        <v>92</v>
      </c>
      <c r="B896" s="835" t="str">
        <f>IF(C896="","",COUNTA($C$10:C897))</f>
        <v/>
      </c>
      <c r="C896" s="362"/>
      <c r="D896" s="851"/>
      <c r="E896" s="852" t="s">
        <v>512</v>
      </c>
      <c r="F896" s="848" t="str">
        <f>VLOOKUP(E896,DICH!B:C,2,FALSE)</f>
        <v>Steel pipe D75/80</v>
      </c>
      <c r="G896" s="362" t="s">
        <v>543</v>
      </c>
      <c r="H896" s="847">
        <v>1.02</v>
      </c>
      <c r="I896" s="848">
        <f>VLOOKUP(E896,'11.gia '!$B:$I,8,FALSE)</f>
        <v>80583.333333333328</v>
      </c>
      <c r="J896" s="853">
        <f>I896*H896</f>
        <v>82195</v>
      </c>
      <c r="N896" s="843" t="e">
        <f>SUMIF(#REF!,'8.Dgia'!A896,#REF!)+SUMIF(#REF!,'8.Dgia'!A896,#REF!)+SUMIF(#REF!,'8.Dgia'!A896,#REF!)+SUMIF(#REF!,'8.Dgia'!A896,#REF!)</f>
        <v>#REF!</v>
      </c>
      <c r="O896" s="844">
        <f>+$H$901</f>
        <v>1</v>
      </c>
      <c r="P896" s="843" t="e">
        <f t="shared" si="39"/>
        <v>#REF!</v>
      </c>
    </row>
    <row r="897" spans="1:18" ht="15" customHeight="1">
      <c r="A897" s="657">
        <f>IF(B897="",MAX($A$8:A896)+0,MAX($A$8:A896)+1)</f>
        <v>92</v>
      </c>
      <c r="B897" s="835" t="str">
        <f>IF(C897="","",COUNTA($C$10:C898))</f>
        <v/>
      </c>
      <c r="C897" s="362"/>
      <c r="D897" s="851"/>
      <c r="E897" s="852" t="s">
        <v>2157</v>
      </c>
      <c r="F897" s="848" t="str">
        <f>VLOOKUP(E897,DICH!B:C,2,FALSE)</f>
        <v>joint pipe PVC D75/80</v>
      </c>
      <c r="G897" s="362" t="s">
        <v>543</v>
      </c>
      <c r="H897" s="847">
        <v>0.06</v>
      </c>
      <c r="I897" s="848">
        <f>VLOOKUP(E897,'11.gia '!$B:$I,8,FALSE)</f>
        <v>80583.333333333328</v>
      </c>
      <c r="J897" s="853">
        <f>I897*H897</f>
        <v>4834.9999999999991</v>
      </c>
      <c r="N897" s="843" t="e">
        <f>SUMIF(#REF!,'8.Dgia'!A897,#REF!)+SUMIF(#REF!,'8.Dgia'!A897,#REF!)+SUMIF(#REF!,'8.Dgia'!A897,#REF!)+SUMIF(#REF!,'8.Dgia'!A897,#REF!)</f>
        <v>#REF!</v>
      </c>
      <c r="O897" s="844">
        <f>+$H$901</f>
        <v>1</v>
      </c>
      <c r="P897" s="843" t="e">
        <f t="shared" si="39"/>
        <v>#REF!</v>
      </c>
    </row>
    <row r="898" spans="1:18" ht="15" customHeight="1">
      <c r="A898" s="657">
        <f>IF(B898="",MAX($A$8:A897)+0,MAX($A$8:A897)+1)</f>
        <v>92</v>
      </c>
      <c r="B898" s="835" t="str">
        <f>IF(C898="","",COUNTA($C$10:C899))</f>
        <v/>
      </c>
      <c r="C898" s="362"/>
      <c r="D898" s="851"/>
      <c r="E898" s="852" t="s">
        <v>371</v>
      </c>
      <c r="F898" s="848" t="str">
        <f>VLOOKUP(E898,DICH!B:C,2,FALSE)</f>
        <v>steel bar D&lt;=10</v>
      </c>
      <c r="G898" s="362" t="s">
        <v>558</v>
      </c>
      <c r="H898" s="847">
        <v>0.19</v>
      </c>
      <c r="I898" s="848">
        <f>VLOOKUP(E898,'11.gia '!$B:$I,8,FALSE)</f>
        <v>16754.075560000001</v>
      </c>
      <c r="J898" s="853">
        <f>I898*H898</f>
        <v>3183.2743564000002</v>
      </c>
      <c r="N898" s="843" t="e">
        <f>SUMIF(#REF!,'8.Dgia'!A898,#REF!)+SUMIF(#REF!,'8.Dgia'!A898,#REF!)+SUMIF(#REF!,'8.Dgia'!A898,#REF!)+SUMIF(#REF!,'8.Dgia'!A898,#REF!)</f>
        <v>#REF!</v>
      </c>
      <c r="O898" s="844">
        <f>+$H$901</f>
        <v>1</v>
      </c>
      <c r="P898" s="843" t="e">
        <f t="shared" si="39"/>
        <v>#REF!</v>
      </c>
    </row>
    <row r="899" spans="1:18" ht="15" customHeight="1">
      <c r="A899" s="657">
        <f>IF(B899="",MAX($A$8:A898)+0,MAX($A$8:A898)+1)</f>
        <v>92</v>
      </c>
      <c r="B899" s="835" t="str">
        <f>IF(C899="","",COUNTA($C$10:C900))</f>
        <v/>
      </c>
      <c r="C899" s="362"/>
      <c r="D899" s="851"/>
      <c r="E899" s="852" t="s">
        <v>459</v>
      </c>
      <c r="F899" s="848" t="str">
        <f>VLOOKUP(E899,DICH!B:C,2,FALSE)</f>
        <v>Steel ware</v>
      </c>
      <c r="G899" s="362" t="s">
        <v>558</v>
      </c>
      <c r="H899" s="847">
        <v>1.2E-2</v>
      </c>
      <c r="I899" s="848">
        <f>VLOOKUP(E899,'11.gia '!$B:$I,8,FALSE)</f>
        <v>17143</v>
      </c>
      <c r="J899" s="853">
        <f>I899*H899</f>
        <v>205.71600000000001</v>
      </c>
      <c r="N899" s="843" t="e">
        <f>SUMIF(#REF!,'8.Dgia'!A899,#REF!)+SUMIF(#REF!,'8.Dgia'!A899,#REF!)+SUMIF(#REF!,'8.Dgia'!A899,#REF!)+SUMIF(#REF!,'8.Dgia'!A899,#REF!)</f>
        <v>#REF!</v>
      </c>
      <c r="O899" s="844">
        <f>+$H$901</f>
        <v>1</v>
      </c>
      <c r="P899" s="843" t="e">
        <f t="shared" si="39"/>
        <v>#REF!</v>
      </c>
    </row>
    <row r="900" spans="1:18" ht="15" customHeight="1">
      <c r="A900" s="657">
        <f>IF(B900="",MAX($A$8:A899)+0,MAX($A$8:A899)+1)</f>
        <v>92</v>
      </c>
      <c r="B900" s="835" t="str">
        <f>IF(C900="","",COUNTA($C$10:C901))</f>
        <v/>
      </c>
      <c r="C900" s="362"/>
      <c r="D900" s="851"/>
      <c r="E900" s="852" t="s">
        <v>575</v>
      </c>
      <c r="F900" s="848" t="str">
        <f>VLOOKUP(E900,DICH!B:C,2,FALSE)</f>
        <v>Saw</v>
      </c>
      <c r="G900" s="362" t="s">
        <v>4649</v>
      </c>
      <c r="H900" s="847">
        <v>0.02</v>
      </c>
      <c r="I900" s="848">
        <f>VLOOKUP(E900,'11.gia '!$B:$I,8,FALSE)</f>
        <v>4500</v>
      </c>
      <c r="J900" s="853">
        <f>I900*H900</f>
        <v>90</v>
      </c>
      <c r="N900" s="843" t="e">
        <f>SUMIF(#REF!,'8.Dgia'!A900,#REF!)+SUMIF(#REF!,'8.Dgia'!A900,#REF!)+SUMIF(#REF!,'8.Dgia'!A900,#REF!)+SUMIF(#REF!,'8.Dgia'!A900,#REF!)</f>
        <v>#REF!</v>
      </c>
      <c r="O900" s="844">
        <f>+$H$901</f>
        <v>1</v>
      </c>
      <c r="P900" s="843" t="e">
        <f t="shared" si="39"/>
        <v>#REF!</v>
      </c>
    </row>
    <row r="901" spans="1:18" ht="15" customHeight="1">
      <c r="A901" s="657">
        <f>IF(B901="",MAX($A$8:A900)+0,MAX($A$8:A900)+1)</f>
        <v>92</v>
      </c>
      <c r="B901" s="835" t="str">
        <f>IF(C901="","",COUNTA($C$10:C902))</f>
        <v/>
      </c>
      <c r="C901" s="362"/>
      <c r="D901" s="851"/>
      <c r="E901" s="852" t="s">
        <v>555</v>
      </c>
      <c r="F901" s="848" t="str">
        <f>VLOOKUP(E901,DICH!B:C,2,FALSE)</f>
        <v>Other material</v>
      </c>
      <c r="G901" s="362" t="s">
        <v>554</v>
      </c>
      <c r="H901" s="847">
        <v>1</v>
      </c>
      <c r="I901" s="848">
        <f>SUM(J896:J900)</f>
        <v>90508.990356399998</v>
      </c>
      <c r="J901" s="853">
        <f>I901*H901%</f>
        <v>905.089903564</v>
      </c>
      <c r="N901" s="843" t="e">
        <f>SUMIF(#REF!,'8.Dgia'!A901,#REF!)+SUMIF(#REF!,'8.Dgia'!A901,#REF!)+SUMIF(#REF!,'8.Dgia'!A901,#REF!)+SUMIF(#REF!,'8.Dgia'!A901,#REF!)</f>
        <v>#REF!</v>
      </c>
      <c r="O901" s="844"/>
      <c r="P901" s="843" t="e">
        <f t="shared" si="39"/>
        <v>#REF!</v>
      </c>
    </row>
    <row r="902" spans="1:18" s="658" customFormat="1" ht="15" customHeight="1">
      <c r="A902" s="657">
        <f>IF(B902="",MAX($A$8:A901)+0,MAX($A$8:A901)+1)</f>
        <v>92</v>
      </c>
      <c r="B902" s="835" t="str">
        <f>IF(C902="","",COUNTA($C$10:C903))</f>
        <v/>
      </c>
      <c r="C902" s="362"/>
      <c r="D902" s="845"/>
      <c r="E902" s="852" t="s">
        <v>2040</v>
      </c>
      <c r="F902" s="848" t="str">
        <f>VLOOKUP(E902,DICH!B:C,2,FALSE)</f>
        <v xml:space="preserve">  B - Labour 4.5/7</v>
      </c>
      <c r="G902" s="362" t="s">
        <v>4899</v>
      </c>
      <c r="H902" s="847">
        <v>0.19</v>
      </c>
      <c r="I902" s="848">
        <f>VLOOKUP(E902,'16.NC'!$C$11:$F$22,4,FALSE)</f>
        <v>237875</v>
      </c>
      <c r="J902" s="849">
        <f>I902*H902</f>
        <v>45196.25</v>
      </c>
      <c r="K902" s="850"/>
      <c r="L902" s="850"/>
      <c r="M902" s="850"/>
      <c r="N902" s="843" t="e">
        <f>SUMIF(#REF!,'8.Dgia'!A902,#REF!)+SUMIF(#REF!,'8.Dgia'!A902,#REF!)+SUMIF(#REF!,'8.Dgia'!A902,#REF!)+SUMIF(#REF!,'8.Dgia'!A902,#REF!)</f>
        <v>#REF!</v>
      </c>
      <c r="O902" s="844"/>
      <c r="P902" s="843" t="e">
        <f t="shared" si="39"/>
        <v>#REF!</v>
      </c>
      <c r="R902" s="658">
        <v>1</v>
      </c>
    </row>
    <row r="903" spans="1:18" s="658" customFormat="1" ht="15" customHeight="1">
      <c r="A903" s="657">
        <f>IF(B903="",MAX($A$8:A902)+0,MAX($A$8:A902)+1)</f>
        <v>92</v>
      </c>
      <c r="B903" s="835" t="str">
        <f>IF(C903="","",COUNTA($C$10:C904))</f>
        <v/>
      </c>
      <c r="C903" s="362"/>
      <c r="D903" s="845"/>
      <c r="E903" s="852" t="s">
        <v>2033</v>
      </c>
      <c r="F903" s="848" t="str">
        <f>VLOOKUP(E903,DICH!B:C,2,FALSE)</f>
        <v xml:space="preserve">  C - Machine</v>
      </c>
      <c r="G903" s="846"/>
      <c r="H903" s="847"/>
      <c r="I903" s="848"/>
      <c r="J903" s="849">
        <f>SUM(J904:J905)</f>
        <v>1855.7290631250005</v>
      </c>
      <c r="K903" s="850"/>
      <c r="L903" s="850"/>
      <c r="M903" s="850"/>
      <c r="N903" s="843" t="e">
        <f>SUMIF(#REF!,'8.Dgia'!A903,#REF!)+SUMIF(#REF!,'8.Dgia'!A903,#REF!)+SUMIF(#REF!,'8.Dgia'!A903,#REF!)+SUMIF(#REF!,'8.Dgia'!A903,#REF!)</f>
        <v>#REF!</v>
      </c>
      <c r="O903" s="844"/>
      <c r="P903" s="843" t="e">
        <f t="shared" si="39"/>
        <v>#REF!</v>
      </c>
    </row>
    <row r="904" spans="1:18" ht="15" customHeight="1">
      <c r="A904" s="657">
        <f>IF(B904="",MAX($A$8:A903)+0,MAX($A$8:A903)+1)</f>
        <v>92</v>
      </c>
      <c r="B904" s="835" t="str">
        <f>IF(C904="","",COUNTA($C$10:C905))</f>
        <v/>
      </c>
      <c r="C904" s="362"/>
      <c r="D904" s="851"/>
      <c r="E904" s="852" t="s">
        <v>1428</v>
      </c>
      <c r="F904" s="848" t="str">
        <f>VLOOKUP(E904,'9.may'!E:F,2,FALSE)</f>
        <v>metal sawer 1.7kW</v>
      </c>
      <c r="G904" s="362" t="s">
        <v>4902</v>
      </c>
      <c r="H904" s="847">
        <v>2.5000000000000001E-2</v>
      </c>
      <c r="I904" s="848">
        <f>VLOOKUP(E904,'9.may'!E:W,12,FALSE)</f>
        <v>70694.440500000012</v>
      </c>
      <c r="J904" s="853">
        <f>I904*H904</f>
        <v>1767.3610125000005</v>
      </c>
      <c r="N904" s="843" t="e">
        <f>SUMIF(#REF!,'8.Dgia'!A904,#REF!)+SUMIF(#REF!,'8.Dgia'!A904,#REF!)+SUMIF(#REF!,'8.Dgia'!A904,#REF!)+SUMIF(#REF!,'8.Dgia'!A904,#REF!)</f>
        <v>#REF!</v>
      </c>
      <c r="O904" s="844">
        <f>+$H$905</f>
        <v>5</v>
      </c>
      <c r="P904" s="843" t="e">
        <f t="shared" si="39"/>
        <v>#REF!</v>
      </c>
    </row>
    <row r="905" spans="1:18" ht="15" customHeight="1">
      <c r="A905" s="657">
        <f>IF(B905="",MAX($A$8:A904)+0,MAX($A$8:A904)+1)</f>
        <v>92</v>
      </c>
      <c r="B905" s="835" t="str">
        <f>IF(C905="","",COUNTA($C$10:C906))</f>
        <v/>
      </c>
      <c r="C905" s="362"/>
      <c r="D905" s="851"/>
      <c r="E905" s="852" t="s">
        <v>553</v>
      </c>
      <c r="F905" s="848" t="str">
        <f>VLOOKUP(E905,DICH!B:C,2,FALSE)</f>
        <v>Other machine</v>
      </c>
      <c r="G905" s="362" t="s">
        <v>554</v>
      </c>
      <c r="H905" s="847">
        <v>5</v>
      </c>
      <c r="I905" s="848">
        <f>J904</f>
        <v>1767.3610125000005</v>
      </c>
      <c r="J905" s="853">
        <f>I905*H905%</f>
        <v>88.368050625000024</v>
      </c>
      <c r="N905" s="843" t="e">
        <f>SUMIF(#REF!,'8.Dgia'!A905,#REF!)+SUMIF(#REF!,'8.Dgia'!A905,#REF!)+SUMIF(#REF!,'8.Dgia'!A905,#REF!)+SUMIF(#REF!,'8.Dgia'!A905,#REF!)</f>
        <v>#REF!</v>
      </c>
      <c r="O905" s="844"/>
      <c r="P905" s="843" t="e">
        <f t="shared" si="39"/>
        <v>#REF!</v>
      </c>
    </row>
    <row r="906" spans="1:18" ht="15" customHeight="1">
      <c r="A906" s="657">
        <f>IF(B906="",MAX($A$8:A905)+0,MAX($A$8:A905)+1)</f>
        <v>93</v>
      </c>
      <c r="B906" s="835">
        <f>IF(C906="","",COUNTA($C$10:C907))</f>
        <v>93</v>
      </c>
      <c r="C906" s="835">
        <f>IF(D906="","",1776)</f>
        <v>1776</v>
      </c>
      <c r="D906" s="851" t="s">
        <v>2202</v>
      </c>
      <c r="E906" s="855" t="s">
        <v>292</v>
      </c>
      <c r="F906" s="1049" t="str">
        <f>VLOOKUP(E906,DICH!B:C,2,FALSE)</f>
        <v>Beating temporary bearing concrete</v>
      </c>
      <c r="G906" s="856" t="s">
        <v>545</v>
      </c>
      <c r="H906" s="847"/>
      <c r="I906" s="848"/>
      <c r="J906" s="853"/>
      <c r="K906" s="842">
        <f>+J907</f>
        <v>28636.363636363632</v>
      </c>
      <c r="L906" s="842">
        <f>+J909</f>
        <v>409781.24</v>
      </c>
      <c r="M906" s="842">
        <f>+J910</f>
        <v>113871.74527499999</v>
      </c>
      <c r="N906" s="843" t="e">
        <f>SUMIF(#REF!,'8.Dgia'!A906,#REF!)+SUMIF(#REF!,'8.Dgia'!A906,#REF!)+SUMIF(#REF!,'8.Dgia'!A906,#REF!)+SUMIF(#REF!,'8.Dgia'!A906,#REF!)</f>
        <v>#REF!</v>
      </c>
      <c r="O906" s="844"/>
      <c r="P906" s="843" t="e">
        <f t="shared" si="39"/>
        <v>#REF!</v>
      </c>
    </row>
    <row r="907" spans="1:18" s="658" customFormat="1" ht="15" customHeight="1">
      <c r="A907" s="657">
        <f>IF(B907="",MAX($A$8:A906)+0,MAX($A$8:A906)+1)</f>
        <v>93</v>
      </c>
      <c r="B907" s="835" t="str">
        <f>IF(C907="","",COUNTA($C$10:C908))</f>
        <v/>
      </c>
      <c r="C907" s="362"/>
      <c r="D907" s="845"/>
      <c r="E907" s="852" t="s">
        <v>2032</v>
      </c>
      <c r="F907" s="848" t="str">
        <f>VLOOKUP(E907,DICH!B:C,2,FALSE)</f>
        <v xml:space="preserve">  A - Material</v>
      </c>
      <c r="G907" s="846"/>
      <c r="H907" s="847"/>
      <c r="I907" s="848"/>
      <c r="J907" s="849">
        <f>SUM(J908)</f>
        <v>28636.363636363632</v>
      </c>
      <c r="K907" s="850"/>
      <c r="L907" s="850"/>
      <c r="M907" s="850"/>
      <c r="N907" s="843" t="e">
        <f>SUMIF(#REF!,'8.Dgia'!A907,#REF!)+SUMIF(#REF!,'8.Dgia'!A907,#REF!)+SUMIF(#REF!,'8.Dgia'!A907,#REF!)+SUMIF(#REF!,'8.Dgia'!A907,#REF!)</f>
        <v>#REF!</v>
      </c>
      <c r="O907" s="844"/>
      <c r="P907" s="843" t="e">
        <f t="shared" si="39"/>
        <v>#REF!</v>
      </c>
    </row>
    <row r="908" spans="1:18" ht="15" customHeight="1">
      <c r="A908" s="657">
        <f>IF(B908="",MAX($A$8:A907)+0,MAX($A$8:A907)+1)</f>
        <v>93</v>
      </c>
      <c r="B908" s="835" t="str">
        <f>IF(C908="","",COUNTA($C$10:C909))</f>
        <v/>
      </c>
      <c r="C908" s="362"/>
      <c r="D908" s="851"/>
      <c r="E908" s="852" t="s">
        <v>559</v>
      </c>
      <c r="F908" s="848" t="str">
        <f>VLOOKUP(E908,DICH!B:C,2,FALSE)</f>
        <v>welding electrode</v>
      </c>
      <c r="G908" s="362" t="s">
        <v>558</v>
      </c>
      <c r="H908" s="847">
        <v>1.5</v>
      </c>
      <c r="I908" s="848">
        <f>VLOOKUP(E908,'11.gia '!$B:$I,8,FALSE)</f>
        <v>19090.909090909088</v>
      </c>
      <c r="J908" s="853">
        <f>I908*H908</f>
        <v>28636.363636363632</v>
      </c>
      <c r="N908" s="843" t="e">
        <f>SUMIF(#REF!,'8.Dgia'!A908,#REF!)+SUMIF(#REF!,'8.Dgia'!A908,#REF!)+SUMIF(#REF!,'8.Dgia'!A908,#REF!)+SUMIF(#REF!,'8.Dgia'!A908,#REF!)</f>
        <v>#REF!</v>
      </c>
      <c r="O908" s="844"/>
      <c r="P908" s="843" t="e">
        <f t="shared" si="39"/>
        <v>#REF!</v>
      </c>
    </row>
    <row r="909" spans="1:18" s="658" customFormat="1" ht="15" customHeight="1">
      <c r="A909" s="657">
        <f>IF(B909="",MAX($A$8:A908)+0,MAX($A$8:A908)+1)</f>
        <v>93</v>
      </c>
      <c r="B909" s="835" t="str">
        <f>IF(C909="","",COUNTA($C$10:C910))</f>
        <v/>
      </c>
      <c r="C909" s="362"/>
      <c r="D909" s="845"/>
      <c r="E909" s="852" t="s">
        <v>2037</v>
      </c>
      <c r="F909" s="848" t="str">
        <f>VLOOKUP(E909,DICH!B:C,2,FALSE)</f>
        <v xml:space="preserve">  B - Labour 3.5/7</v>
      </c>
      <c r="G909" s="362" t="s">
        <v>4899</v>
      </c>
      <c r="H909" s="847">
        <v>2.02</v>
      </c>
      <c r="I909" s="848">
        <f>VLOOKUP(E909,'16.NC'!$C$11:$F$22,4,FALSE)</f>
        <v>202862</v>
      </c>
      <c r="J909" s="849">
        <f>I909*H909</f>
        <v>409781.24</v>
      </c>
      <c r="K909" s="850"/>
      <c r="L909" s="850"/>
      <c r="M909" s="850"/>
      <c r="N909" s="843" t="e">
        <f>SUMIF(#REF!,'8.Dgia'!A909,#REF!)+SUMIF(#REF!,'8.Dgia'!A909,#REF!)+SUMIF(#REF!,'8.Dgia'!A909,#REF!)+SUMIF(#REF!,'8.Dgia'!A909,#REF!)</f>
        <v>#REF!</v>
      </c>
      <c r="O909" s="844"/>
      <c r="P909" s="843" t="e">
        <f t="shared" si="39"/>
        <v>#REF!</v>
      </c>
      <c r="R909" s="658">
        <v>1</v>
      </c>
    </row>
    <row r="910" spans="1:18" s="658" customFormat="1" ht="15" customHeight="1">
      <c r="A910" s="657">
        <f>IF(B910="",MAX($A$8:A909)+0,MAX($A$8:A909)+1)</f>
        <v>93</v>
      </c>
      <c r="B910" s="835" t="str">
        <f>IF(C910="","",COUNTA($C$10:C911))</f>
        <v/>
      </c>
      <c r="C910" s="362"/>
      <c r="D910" s="845"/>
      <c r="E910" s="852" t="s">
        <v>2033</v>
      </c>
      <c r="F910" s="848" t="str">
        <f>VLOOKUP(E910,DICH!B:C,2,FALSE)</f>
        <v xml:space="preserve">  C - Machine</v>
      </c>
      <c r="G910" s="846"/>
      <c r="H910" s="847"/>
      <c r="I910" s="848"/>
      <c r="J910" s="849">
        <f>SUM(J911:J912)</f>
        <v>113871.74527499999</v>
      </c>
      <c r="K910" s="850"/>
      <c r="L910" s="850"/>
      <c r="M910" s="850"/>
      <c r="N910" s="843" t="e">
        <f>SUMIF(#REF!,'8.Dgia'!A910,#REF!)+SUMIF(#REF!,'8.Dgia'!A910,#REF!)+SUMIF(#REF!,'8.Dgia'!A910,#REF!)+SUMIF(#REF!,'8.Dgia'!A910,#REF!)</f>
        <v>#REF!</v>
      </c>
      <c r="O910" s="844"/>
      <c r="P910" s="843" t="e">
        <f t="shared" si="39"/>
        <v>#REF!</v>
      </c>
    </row>
    <row r="911" spans="1:18" ht="15" customHeight="1">
      <c r="A911" s="657">
        <f>IF(B911="",MAX($A$8:A910)+0,MAX($A$8:A910)+1)</f>
        <v>93</v>
      </c>
      <c r="B911" s="835" t="str">
        <f>IF(C911="","",COUNTA($C$10:C912))</f>
        <v/>
      </c>
      <c r="C911" s="362"/>
      <c r="D911" s="851"/>
      <c r="E911" s="852" t="s">
        <v>1396</v>
      </c>
      <c r="F911" s="848" t="str">
        <f>VLOOKUP(E911,'9.may'!E:F,2,FALSE)</f>
        <v>Concrete hand drill 1.5kW</v>
      </c>
      <c r="G911" s="362" t="s">
        <v>4902</v>
      </c>
      <c r="H911" s="847">
        <v>1.05</v>
      </c>
      <c r="I911" s="848">
        <f>VLOOKUP(E911,'9.may'!E:W,12,FALSE)</f>
        <v>70849.94249999999</v>
      </c>
      <c r="J911" s="853">
        <f>I911*H911</f>
        <v>74392.439624999999</v>
      </c>
      <c r="N911" s="843" t="e">
        <f>SUMIF(#REF!,'8.Dgia'!A911,#REF!)+SUMIF(#REF!,'8.Dgia'!A911,#REF!)+SUMIF(#REF!,'8.Dgia'!A911,#REF!)+SUMIF(#REF!,'8.Dgia'!A911,#REF!)</f>
        <v>#REF!</v>
      </c>
      <c r="O911" s="844"/>
      <c r="P911" s="843" t="e">
        <f t="shared" si="39"/>
        <v>#REF!</v>
      </c>
    </row>
    <row r="912" spans="1:18" ht="15" customHeight="1">
      <c r="A912" s="657">
        <f>IF(B912="",MAX($A$8:A911)+0,MAX($A$8:A911)+1)</f>
        <v>93</v>
      </c>
      <c r="B912" s="835" t="str">
        <f>IF(C912="","",COUNTA($C$10:C913))</f>
        <v/>
      </c>
      <c r="C912" s="362"/>
      <c r="D912" s="851"/>
      <c r="E912" s="852" t="s">
        <v>560</v>
      </c>
      <c r="F912" s="848" t="str">
        <f>VLOOKUP(E912,'9.may'!E:F,2,FALSE)</f>
        <v>welding machine 23kW</v>
      </c>
      <c r="G912" s="362" t="s">
        <v>4902</v>
      </c>
      <c r="H912" s="847">
        <v>0.23</v>
      </c>
      <c r="I912" s="848">
        <f>VLOOKUP(E912,'9.may'!E:W,12,FALSE)</f>
        <v>171649.155</v>
      </c>
      <c r="J912" s="853">
        <f>I912*H912</f>
        <v>39479.305650000002</v>
      </c>
      <c r="N912" s="843" t="e">
        <f>SUMIF(#REF!,'8.Dgia'!A912,#REF!)+SUMIF(#REF!,'8.Dgia'!A912,#REF!)+SUMIF(#REF!,'8.Dgia'!A912,#REF!)+SUMIF(#REF!,'8.Dgia'!A912,#REF!)</f>
        <v>#REF!</v>
      </c>
      <c r="O912" s="844"/>
      <c r="P912" s="843" t="e">
        <f>$H912*N912*(1+O912%)</f>
        <v>#REF!</v>
      </c>
    </row>
    <row r="913" spans="1:18" ht="15" customHeight="1">
      <c r="A913" s="657">
        <f>IF(B913="",MAX($A$8:A912)+0,MAX($A$8:A912)+1)</f>
        <v>94</v>
      </c>
      <c r="B913" s="835">
        <f>IF(C913="","",COUNTA($C$10:C914))</f>
        <v>94</v>
      </c>
      <c r="C913" s="239">
        <v>1091</v>
      </c>
      <c r="D913" s="240" t="s">
        <v>2237</v>
      </c>
      <c r="E913" s="855" t="s">
        <v>55</v>
      </c>
      <c r="F913" s="1049" t="str">
        <f>VLOOKUP(E913,DICH!B:C,2,FALSE)</f>
        <v>Pouring concrete girder super T, C50</v>
      </c>
      <c r="G913" s="856" t="s">
        <v>545</v>
      </c>
      <c r="H913" s="847"/>
      <c r="I913" s="848"/>
      <c r="J913" s="853"/>
      <c r="K913" s="842">
        <f>+J914</f>
        <v>1451964.9678882705</v>
      </c>
      <c r="L913" s="842">
        <f>+J920</f>
        <v>444421.80999999994</v>
      </c>
      <c r="M913" s="842">
        <f>+J921</f>
        <v>432207.65990294452</v>
      </c>
      <c r="N913" s="843" t="s">
        <v>457</v>
      </c>
      <c r="O913" s="844"/>
      <c r="P913" s="843"/>
      <c r="Q913" s="657" t="s">
        <v>457</v>
      </c>
    </row>
    <row r="914" spans="1:18" ht="15" customHeight="1">
      <c r="A914" s="657">
        <f>IF(B914="",MAX($A$8:A913)+0,MAX($A$8:A913)+1)</f>
        <v>94</v>
      </c>
      <c r="B914" s="835" t="str">
        <f>IF(C914="","",COUNTA($C$10:C915))</f>
        <v/>
      </c>
      <c r="C914" s="873"/>
      <c r="D914" s="874"/>
      <c r="E914" s="852" t="s">
        <v>2032</v>
      </c>
      <c r="F914" s="848" t="str">
        <f>VLOOKUP(E914,DICH!B:C,2,FALSE)</f>
        <v xml:space="preserve">  A - Material</v>
      </c>
      <c r="G914" s="875"/>
      <c r="H914" s="875"/>
      <c r="I914" s="848"/>
      <c r="J914" s="849">
        <f>SUM(J915:J919)</f>
        <v>1451964.9678882705</v>
      </c>
      <c r="N914" s="843" t="s">
        <v>457</v>
      </c>
      <c r="O914" s="844"/>
      <c r="P914" s="843"/>
      <c r="Q914" s="657" t="s">
        <v>457</v>
      </c>
    </row>
    <row r="915" spans="1:18" ht="15" customHeight="1">
      <c r="A915" s="657">
        <f>IF(B915="",MAX($A$8:A914)+0,MAX($A$8:A914)+1)</f>
        <v>94</v>
      </c>
      <c r="B915" s="835" t="str">
        <f>IF(C915="","",COUNTA($C$10:C916))</f>
        <v/>
      </c>
      <c r="C915" s="851"/>
      <c r="D915" s="851" t="str">
        <f>+'10.PLV'!$C$72</f>
        <v>ĐM</v>
      </c>
      <c r="E915" s="852" t="str">
        <f>+'10.PLV'!$D$72</f>
        <v>Vữa bê tông đá 1x2 C50 (độ sụt 16-18cm)</v>
      </c>
      <c r="F915" s="848" t="str">
        <f>VLOOKUP(E915,DICH!B:C,2,FALSE)</f>
        <v>Concrete motar C50 stone 1x2 slump 16-18</v>
      </c>
      <c r="G915" s="873" t="s">
        <v>545</v>
      </c>
      <c r="H915" s="239">
        <v>1.0149999999999999</v>
      </c>
      <c r="I915" s="848">
        <f>VLOOKUP(E915,'11.gia '!B:I,8,FALSE)</f>
        <v>1271668.4809691417</v>
      </c>
      <c r="J915" s="853">
        <f>I915*H915</f>
        <v>1290743.5081836786</v>
      </c>
      <c r="N915" s="843" t="s">
        <v>457</v>
      </c>
      <c r="O915" s="844">
        <f>+$H$919</f>
        <v>2.5</v>
      </c>
      <c r="P915" s="843"/>
      <c r="Q915" s="657" t="s">
        <v>457</v>
      </c>
    </row>
    <row r="916" spans="1:18" ht="15" customHeight="1">
      <c r="A916" s="657">
        <f>IF(B916="",MAX($A$8:A915)+0,MAX($A$8:A915)+1)</f>
        <v>94</v>
      </c>
      <c r="B916" s="835" t="str">
        <f>IF(C916="","",COUNTA($C$10:C917))</f>
        <v/>
      </c>
      <c r="C916" s="873"/>
      <c r="D916" s="876"/>
      <c r="E916" s="852" t="s">
        <v>362</v>
      </c>
      <c r="F916" s="848" t="str">
        <f>VLOOKUP(E916,DICH!B:C,2,FALSE)</f>
        <v xml:space="preserve">Separol oil </v>
      </c>
      <c r="G916" s="873" t="s">
        <v>464</v>
      </c>
      <c r="H916" s="239">
        <v>1.33</v>
      </c>
      <c r="I916" s="848">
        <f>VLOOKUP(E916,'11.gia '!$B:$I,8,FALSE)</f>
        <v>40480</v>
      </c>
      <c r="J916" s="853">
        <f>I916*H916</f>
        <v>53838.400000000001</v>
      </c>
      <c r="N916" s="843" t="s">
        <v>457</v>
      </c>
      <c r="O916" s="844">
        <f>+$H$919</f>
        <v>2.5</v>
      </c>
      <c r="P916" s="843"/>
      <c r="Q916" s="657" t="s">
        <v>457</v>
      </c>
    </row>
    <row r="917" spans="1:18" ht="15" customHeight="1">
      <c r="A917" s="657">
        <f>IF(B917="",MAX($A$8:A916)+0,MAX($A$8:A916)+1)</f>
        <v>94</v>
      </c>
      <c r="B917" s="835" t="str">
        <f>IF(C917="","",COUNTA($C$10:C918))</f>
        <v/>
      </c>
      <c r="C917" s="873"/>
      <c r="D917" s="876"/>
      <c r="E917" s="852" t="s">
        <v>363</v>
      </c>
      <c r="F917" s="848" t="str">
        <f>VLOOKUP(E917,DICH!B:C,2,FALSE)</f>
        <v>Antisole (additive)</v>
      </c>
      <c r="G917" s="873" t="s">
        <v>464</v>
      </c>
      <c r="H917" s="239">
        <v>1.4430000000000001</v>
      </c>
      <c r="I917" s="848">
        <f>VLOOKUP(E917,'11.gia '!$B:$I,8,FALSE)</f>
        <v>24680</v>
      </c>
      <c r="J917" s="853">
        <f>I917*H917</f>
        <v>35613.24</v>
      </c>
      <c r="N917" s="843" t="s">
        <v>457</v>
      </c>
      <c r="O917" s="844">
        <f>+$H$919</f>
        <v>2.5</v>
      </c>
      <c r="P917" s="843"/>
      <c r="Q917" s="657" t="s">
        <v>457</v>
      </c>
    </row>
    <row r="918" spans="1:18" ht="15" customHeight="1">
      <c r="A918" s="657">
        <f>IF(B918="",MAX($A$8:A917)+0,MAX($A$8:A917)+1)</f>
        <v>94</v>
      </c>
      <c r="B918" s="835" t="str">
        <f>IF(C918="","",COUNTA($C$10:C919))</f>
        <v/>
      </c>
      <c r="C918" s="873"/>
      <c r="D918" s="876"/>
      <c r="E918" s="852" t="s">
        <v>364</v>
      </c>
      <c r="F918" s="848" t="str">
        <f>VLOOKUP(E918,DICH!B:C,2,FALSE)</f>
        <v>Rugasol C (additive)</v>
      </c>
      <c r="G918" s="873" t="s">
        <v>464</v>
      </c>
      <c r="H918" s="239">
        <v>1.603</v>
      </c>
      <c r="I918" s="848">
        <f>VLOOKUP(E918,'11.gia '!$B:$I,8,FALSE)</f>
        <v>22680</v>
      </c>
      <c r="J918" s="853">
        <f>I918*H918</f>
        <v>36356.04</v>
      </c>
      <c r="N918" s="843" t="s">
        <v>457</v>
      </c>
      <c r="O918" s="844">
        <f>+$H$919</f>
        <v>2.5</v>
      </c>
      <c r="P918" s="843"/>
      <c r="Q918" s="657" t="s">
        <v>457</v>
      </c>
    </row>
    <row r="919" spans="1:18" ht="15" customHeight="1">
      <c r="A919" s="657">
        <f>IF(B919="",MAX($A$8:A918)+0,MAX($A$8:A918)+1)</f>
        <v>94</v>
      </c>
      <c r="B919" s="835" t="str">
        <f>IF(C919="","",COUNTA($C$10:C920))</f>
        <v/>
      </c>
      <c r="C919" s="873"/>
      <c r="D919" s="876"/>
      <c r="E919" s="852" t="s">
        <v>555</v>
      </c>
      <c r="F919" s="848" t="str">
        <f>VLOOKUP(E919,DICH!B:C,2,FALSE)</f>
        <v>Other material</v>
      </c>
      <c r="G919" s="362" t="s">
        <v>554</v>
      </c>
      <c r="H919" s="239">
        <v>2.5</v>
      </c>
      <c r="I919" s="848">
        <f>SUM(J915:J918)</f>
        <v>1416551.1881836785</v>
      </c>
      <c r="J919" s="853">
        <f>I919*H919%</f>
        <v>35413.779704591965</v>
      </c>
      <c r="N919" s="843" t="s">
        <v>457</v>
      </c>
      <c r="O919" s="844"/>
      <c r="P919" s="843"/>
      <c r="Q919" s="657" t="s">
        <v>457</v>
      </c>
    </row>
    <row r="920" spans="1:18" ht="15" customHeight="1">
      <c r="A920" s="657">
        <f>IF(B920="",MAX($A$8:A919)+0,MAX($A$8:A919)+1)</f>
        <v>94</v>
      </c>
      <c r="B920" s="835" t="str">
        <f>IF(C920="","",COUNTA($C$10:C921))</f>
        <v/>
      </c>
      <c r="C920" s="873"/>
      <c r="D920" s="876"/>
      <c r="E920" s="852" t="s">
        <v>2039</v>
      </c>
      <c r="F920" s="848" t="str">
        <f>VLOOKUP(E920,DICH!B:C,2,FALSE)</f>
        <v xml:space="preserve">  B - Labour 4.0/7</v>
      </c>
      <c r="G920" s="873" t="s">
        <v>4899</v>
      </c>
      <c r="H920" s="239">
        <v>2.0299999999999998</v>
      </c>
      <c r="I920" s="848">
        <f>VLOOKUP(E920,'16.NC'!$C$11:$F$22,4,FALSE)</f>
        <v>218927</v>
      </c>
      <c r="J920" s="849">
        <f>I920*H920</f>
        <v>444421.80999999994</v>
      </c>
      <c r="N920" s="843" t="s">
        <v>457</v>
      </c>
      <c r="O920" s="844"/>
      <c r="P920" s="843"/>
      <c r="Q920" s="657" t="s">
        <v>457</v>
      </c>
      <c r="R920" s="658">
        <v>1</v>
      </c>
    </row>
    <row r="921" spans="1:18" ht="15" customHeight="1">
      <c r="A921" s="657">
        <f>IF(B921="",MAX($A$8:A920)+0,MAX($A$8:A920)+1)</f>
        <v>94</v>
      </c>
      <c r="B921" s="835" t="str">
        <f>IF(C921="","",COUNTA($C$10:C922))</f>
        <v/>
      </c>
      <c r="C921" s="873"/>
      <c r="D921" s="876"/>
      <c r="E921" s="852" t="s">
        <v>2033</v>
      </c>
      <c r="F921" s="848" t="str">
        <f>VLOOKUP(E921,DICH!B:C,2,FALSE)</f>
        <v xml:space="preserve">  C - Machine</v>
      </c>
      <c r="G921" s="875"/>
      <c r="H921" s="239"/>
      <c r="I921" s="848"/>
      <c r="J921" s="849">
        <f>SUM(J922:J928)</f>
        <v>432207.65990294452</v>
      </c>
      <c r="N921" s="843" t="s">
        <v>457</v>
      </c>
      <c r="O921" s="844"/>
      <c r="P921" s="843"/>
      <c r="Q921" s="657" t="s">
        <v>457</v>
      </c>
    </row>
    <row r="922" spans="1:18" ht="15" customHeight="1">
      <c r="A922" s="657">
        <f>IF(B922="",MAX($A$8:A921)+0,MAX($A$8:A921)+1)</f>
        <v>94</v>
      </c>
      <c r="B922" s="835" t="str">
        <f>IF(C922="","",COUNTA($C$10:C923))</f>
        <v/>
      </c>
      <c r="C922" s="873"/>
      <c r="D922" s="876"/>
      <c r="E922" s="852" t="s">
        <v>291</v>
      </c>
      <c r="F922" s="848" t="str">
        <f>VLOOKUP(E922,'9.may'!E:F,2,FALSE)</f>
        <v>sharpener 2.7kW</v>
      </c>
      <c r="G922" s="873" t="s">
        <v>4902</v>
      </c>
      <c r="H922" s="239">
        <v>2.1999999999999999E-2</v>
      </c>
      <c r="I922" s="848">
        <f>VLOOKUP(E922,'9.may'!E:W,12,FALSE)</f>
        <v>67591.852499999994</v>
      </c>
      <c r="J922" s="853">
        <f t="shared" ref="J922:J927" si="41">I922*H922</f>
        <v>1487.0207549999998</v>
      </c>
      <c r="N922" s="843" t="s">
        <v>457</v>
      </c>
      <c r="O922" s="844">
        <f t="shared" ref="O922:O927" si="42">+$H$928</f>
        <v>1.5</v>
      </c>
      <c r="P922" s="843"/>
      <c r="Q922" s="657" t="s">
        <v>457</v>
      </c>
    </row>
    <row r="923" spans="1:18" ht="15" customHeight="1">
      <c r="A923" s="657">
        <f>IF(B923="",MAX($A$8:A922)+0,MAX($A$8:A922)+1)</f>
        <v>94</v>
      </c>
      <c r="B923" s="835" t="str">
        <f>IF(C923="","",COUNTA($C$10:C924))</f>
        <v/>
      </c>
      <c r="C923" s="873"/>
      <c r="D923" s="876"/>
      <c r="E923" s="852" t="s">
        <v>1074</v>
      </c>
      <c r="F923" s="848" t="str">
        <f>VLOOKUP(E923,'9.may'!E:F,2,FALSE)</f>
        <v>beam-launch crane</v>
      </c>
      <c r="G923" s="873" t="s">
        <v>4902</v>
      </c>
      <c r="H923" s="239">
        <v>7.3999999999999996E-2</v>
      </c>
      <c r="I923" s="848">
        <f>VLOOKUP(E923,'9.may'!E:W,12,FALSE)</f>
        <v>4450040.3339999998</v>
      </c>
      <c r="J923" s="853">
        <f t="shared" si="41"/>
        <v>329302.98471599998</v>
      </c>
      <c r="N923" s="843" t="s">
        <v>457</v>
      </c>
      <c r="O923" s="844">
        <f t="shared" si="42"/>
        <v>1.5</v>
      </c>
      <c r="P923" s="843"/>
      <c r="Q923" s="657" t="s">
        <v>457</v>
      </c>
    </row>
    <row r="924" spans="1:18" ht="15" customHeight="1">
      <c r="A924" s="657">
        <f>IF(B924="",MAX($A$8:A923)+0,MAX($A$8:A923)+1)</f>
        <v>94</v>
      </c>
      <c r="B924" s="835" t="str">
        <f>IF(C924="","",COUNTA($C$10:C925))</f>
        <v/>
      </c>
      <c r="C924" s="873"/>
      <c r="D924" s="876"/>
      <c r="E924" s="852" t="s">
        <v>2193</v>
      </c>
      <c r="F924" s="848" t="str">
        <f>VLOOKUP(E924,'9.may'!E:F,2,FALSE)</f>
        <v>Compactor 3Kw</v>
      </c>
      <c r="G924" s="873" t="s">
        <v>4902</v>
      </c>
      <c r="H924" s="239">
        <v>0.71499999999999997</v>
      </c>
      <c r="I924" s="848">
        <f>VLOOKUP(E924,'9.may'!E:W,12,FALSE)</f>
        <v>68395.634999999995</v>
      </c>
      <c r="J924" s="853">
        <f t="shared" si="41"/>
        <v>48902.879024999995</v>
      </c>
      <c r="N924" s="843" t="s">
        <v>457</v>
      </c>
      <c r="O924" s="844">
        <f t="shared" si="42"/>
        <v>1.5</v>
      </c>
      <c r="P924" s="843"/>
      <c r="Q924" s="657" t="s">
        <v>457</v>
      </c>
    </row>
    <row r="925" spans="1:18" ht="15" customHeight="1">
      <c r="A925" s="657">
        <f>IF(B925="",MAX($A$8:A924)+0,MAX($A$8:A924)+1)</f>
        <v>94</v>
      </c>
      <c r="B925" s="835" t="str">
        <f>IF(C925="","",COUNTA($C$10:C926))</f>
        <v/>
      </c>
      <c r="C925" s="873"/>
      <c r="D925" s="876"/>
      <c r="E925" s="852" t="s">
        <v>1980</v>
      </c>
      <c r="F925" s="848" t="str">
        <f>VLOOKUP(E925,'9.may'!E:F,2,FALSE)</f>
        <v>concrete vibrating compactor 1.8Kw</v>
      </c>
      <c r="G925" s="873" t="s">
        <v>4902</v>
      </c>
      <c r="H925" s="239">
        <v>0.159</v>
      </c>
      <c r="I925" s="848">
        <f>VLOOKUP(E925,'9.may'!E:W,12,FALSE)</f>
        <v>88086.93</v>
      </c>
      <c r="J925" s="853">
        <f t="shared" si="41"/>
        <v>14005.82187</v>
      </c>
      <c r="N925" s="843" t="s">
        <v>457</v>
      </c>
      <c r="O925" s="844">
        <f t="shared" si="42"/>
        <v>1.5</v>
      </c>
      <c r="P925" s="843"/>
      <c r="Q925" s="657" t="s">
        <v>457</v>
      </c>
    </row>
    <row r="926" spans="1:18" ht="15" customHeight="1">
      <c r="A926" s="657">
        <f>IF(B926="",MAX($A$8:A925)+0,MAX($A$8:A925)+1)</f>
        <v>94</v>
      </c>
      <c r="B926" s="835" t="str">
        <f>IF(C926="","",COUNTA($C$10:C927))</f>
        <v/>
      </c>
      <c r="C926" s="873"/>
      <c r="D926" s="876"/>
      <c r="E926" s="852" t="s">
        <v>1979</v>
      </c>
      <c r="F926" s="848" t="str">
        <f>VLOOKUP(E926,'9.may'!E:F,2,FALSE)</f>
        <v>diesel air compressor 300m3/h</v>
      </c>
      <c r="G926" s="873" t="s">
        <v>4902</v>
      </c>
      <c r="H926" s="239">
        <v>0.03</v>
      </c>
      <c r="I926" s="848">
        <f>VLOOKUP(E926,'9.may'!E:W,12,FALSE)</f>
        <v>1037939.1572727272</v>
      </c>
      <c r="J926" s="853">
        <f t="shared" si="41"/>
        <v>31138.174718181817</v>
      </c>
      <c r="N926" s="843" t="s">
        <v>457</v>
      </c>
      <c r="O926" s="844">
        <f t="shared" si="42"/>
        <v>1.5</v>
      </c>
      <c r="P926" s="843"/>
      <c r="Q926" s="657" t="s">
        <v>457</v>
      </c>
    </row>
    <row r="927" spans="1:18" ht="15" customHeight="1">
      <c r="A927" s="657">
        <f>IF(B927="",MAX($A$8:A926)+0,MAX($A$8:A926)+1)</f>
        <v>94</v>
      </c>
      <c r="B927" s="835" t="str">
        <f>IF(C927="","",COUNTA($C$10:C928))</f>
        <v/>
      </c>
      <c r="C927" s="873"/>
      <c r="D927" s="704" t="s">
        <v>2238</v>
      </c>
      <c r="E927" s="852" t="s">
        <v>1983</v>
      </c>
      <c r="F927" s="848" t="str">
        <f>VLOOKUP(E927,'9.may'!E:F,2,FALSE)</f>
        <v>water pump 7kW</v>
      </c>
      <c r="G927" s="873" t="s">
        <v>4902</v>
      </c>
      <c r="H927" s="239">
        <v>0.01</v>
      </c>
      <c r="I927" s="848">
        <f>VLOOKUP(E927,'9.may'!E:W,12,FALSE)</f>
        <v>98347.35</v>
      </c>
      <c r="J927" s="853">
        <f t="shared" si="41"/>
        <v>983.47350000000006</v>
      </c>
      <c r="N927" s="843" t="s">
        <v>457</v>
      </c>
      <c r="O927" s="844">
        <f t="shared" si="42"/>
        <v>1.5</v>
      </c>
      <c r="P927" s="843"/>
      <c r="Q927" s="657" t="s">
        <v>457</v>
      </c>
    </row>
    <row r="928" spans="1:18" ht="15" customHeight="1">
      <c r="A928" s="657">
        <f>IF(B928="",MAX($A$8:A927)+0,MAX($A$8:A927)+1)</f>
        <v>94</v>
      </c>
      <c r="B928" s="835" t="str">
        <f>IF(C928="","",COUNTA($C$10:C929))</f>
        <v/>
      </c>
      <c r="C928" s="873"/>
      <c r="D928" s="876"/>
      <c r="E928" s="852" t="s">
        <v>553</v>
      </c>
      <c r="F928" s="848" t="str">
        <f>VLOOKUP(E928,DICH!B:C,2,FALSE)</f>
        <v>Other machine</v>
      </c>
      <c r="G928" s="362" t="s">
        <v>554</v>
      </c>
      <c r="H928" s="815">
        <v>1.5</v>
      </c>
      <c r="I928" s="848">
        <f>SUM(J922:J927)</f>
        <v>425820.3545841818</v>
      </c>
      <c r="J928" s="853">
        <f>I928*H928%</f>
        <v>6387.3053187627265</v>
      </c>
      <c r="N928" s="843" t="s">
        <v>457</v>
      </c>
      <c r="O928" s="844"/>
      <c r="P928" s="843"/>
      <c r="Q928" s="657" t="s">
        <v>457</v>
      </c>
    </row>
    <row r="929" spans="1:18" ht="15" customHeight="1">
      <c r="A929" s="657">
        <f>IF(B929="",MAX($A$8:A928)+0,MAX($A$8:A928)+1)</f>
        <v>95</v>
      </c>
      <c r="B929" s="835">
        <f>IF(C929="","",COUNTA($C$10:C930))</f>
        <v>95</v>
      </c>
      <c r="C929" s="239">
        <v>1091</v>
      </c>
      <c r="D929" s="704" t="s">
        <v>2241</v>
      </c>
      <c r="E929" s="808" t="s">
        <v>4058</v>
      </c>
      <c r="F929" s="1049" t="str">
        <f>VLOOKUP(E929,DICH!B:C,2,FALSE)</f>
        <v>Reinforcement D&lt;=18 of girder super T</v>
      </c>
      <c r="G929" s="856" t="s">
        <v>4644</v>
      </c>
      <c r="H929" s="847"/>
      <c r="I929" s="848"/>
      <c r="J929" s="853"/>
      <c r="K929" s="842">
        <f>+J930</f>
        <v>17229488.202109091</v>
      </c>
      <c r="L929" s="842">
        <f>+J934</f>
        <v>1733901.84</v>
      </c>
      <c r="M929" s="842">
        <f>+J935</f>
        <v>620303.00852579996</v>
      </c>
      <c r="N929" s="843" t="s">
        <v>457</v>
      </c>
      <c r="O929" s="844"/>
      <c r="P929" s="843"/>
      <c r="Q929" s="657" t="s">
        <v>457</v>
      </c>
    </row>
    <row r="930" spans="1:18" ht="15" customHeight="1">
      <c r="A930" s="657">
        <f>IF(B930="",MAX($A$8:A929)+0,MAX($A$8:A929)+1)</f>
        <v>95</v>
      </c>
      <c r="B930" s="835" t="str">
        <f>IF(C930="","",COUNTA($C$10:C931))</f>
        <v/>
      </c>
      <c r="C930" s="873"/>
      <c r="D930" s="876"/>
      <c r="E930" s="852" t="s">
        <v>2032</v>
      </c>
      <c r="F930" s="848" t="str">
        <f>VLOOKUP(E930,DICH!B:C,2,FALSE)</f>
        <v xml:space="preserve">  A - Material</v>
      </c>
      <c r="G930" s="873"/>
      <c r="H930" s="873"/>
      <c r="I930" s="848"/>
      <c r="J930" s="849">
        <f>SUM(J931:J933)</f>
        <v>17229488.202109091</v>
      </c>
      <c r="N930" s="843" t="s">
        <v>457</v>
      </c>
      <c r="O930" s="844"/>
      <c r="P930" s="843"/>
      <c r="Q930" s="657" t="s">
        <v>457</v>
      </c>
    </row>
    <row r="931" spans="1:18" ht="15" customHeight="1">
      <c r="A931" s="657">
        <f>IF(B931="",MAX($A$8:A930)+0,MAX($A$8:A930)+1)</f>
        <v>95</v>
      </c>
      <c r="B931" s="835" t="str">
        <f>IF(C931="","",COUNTA($C$10:C932))</f>
        <v/>
      </c>
      <c r="C931" s="873"/>
      <c r="D931" s="877"/>
      <c r="E931" s="852" t="s">
        <v>671</v>
      </c>
      <c r="F931" s="848" t="str">
        <f>VLOOKUP(E931,DICH!B:C,2,FALSE)</f>
        <v>steel bar D&lt;=18</v>
      </c>
      <c r="G931" s="873" t="s">
        <v>558</v>
      </c>
      <c r="H931" s="878">
        <v>1020</v>
      </c>
      <c r="I931" s="848">
        <f>VLOOKUP(E931,'11.gia '!$B:$I,8,FALSE)</f>
        <v>16604.075560000001</v>
      </c>
      <c r="J931" s="853">
        <f>I931*H931</f>
        <v>16936157.071200002</v>
      </c>
      <c r="N931" s="843" t="s">
        <v>457</v>
      </c>
      <c r="O931" s="844"/>
      <c r="P931" s="843"/>
      <c r="Q931" s="657" t="s">
        <v>457</v>
      </c>
    </row>
    <row r="932" spans="1:18" ht="15" customHeight="1">
      <c r="A932" s="657">
        <f>IF(B932="",MAX($A$8:A931)+0,MAX($A$8:A931)+1)</f>
        <v>95</v>
      </c>
      <c r="B932" s="835" t="str">
        <f>IF(C932="","",COUNTA($C$10:C933))</f>
        <v/>
      </c>
      <c r="C932" s="873"/>
      <c r="D932" s="877"/>
      <c r="E932" s="852" t="s">
        <v>459</v>
      </c>
      <c r="F932" s="848" t="str">
        <f>VLOOKUP(E932,DICH!B:C,2,FALSE)</f>
        <v>Steel ware</v>
      </c>
      <c r="G932" s="873" t="s">
        <v>558</v>
      </c>
      <c r="H932" s="878">
        <v>14.28</v>
      </c>
      <c r="I932" s="848">
        <f>VLOOKUP(E932,'11.gia '!$B:$I,8,FALSE)</f>
        <v>17143</v>
      </c>
      <c r="J932" s="853">
        <f>I932*H932</f>
        <v>244802.03999999998</v>
      </c>
      <c r="N932" s="843" t="s">
        <v>457</v>
      </c>
      <c r="O932" s="844"/>
      <c r="P932" s="843"/>
      <c r="Q932" s="657" t="s">
        <v>457</v>
      </c>
    </row>
    <row r="933" spans="1:18" ht="15" customHeight="1">
      <c r="A933" s="657">
        <f>IF(B933="",MAX($A$8:A932)+0,MAX($A$8:A932)+1)</f>
        <v>95</v>
      </c>
      <c r="B933" s="835" t="str">
        <f>IF(C933="","",COUNTA($C$10:C934))</f>
        <v/>
      </c>
      <c r="C933" s="873"/>
      <c r="D933" s="877"/>
      <c r="E933" s="852" t="s">
        <v>559</v>
      </c>
      <c r="F933" s="848" t="str">
        <f>VLOOKUP(E933,DICH!B:C,2,FALSE)</f>
        <v>welding electrode</v>
      </c>
      <c r="G933" s="873" t="s">
        <v>558</v>
      </c>
      <c r="H933" s="878">
        <v>2.5419999999999998</v>
      </c>
      <c r="I933" s="848">
        <f>VLOOKUP(E933,'11.gia '!$B:$I,8,FALSE)</f>
        <v>19090.909090909088</v>
      </c>
      <c r="J933" s="853">
        <f>I933*H933</f>
        <v>48529.090909090897</v>
      </c>
      <c r="N933" s="843" t="s">
        <v>457</v>
      </c>
      <c r="O933" s="844"/>
      <c r="P933" s="843"/>
      <c r="Q933" s="657" t="s">
        <v>457</v>
      </c>
    </row>
    <row r="934" spans="1:18" ht="15" customHeight="1">
      <c r="A934" s="657">
        <f>IF(B934="",MAX($A$8:A933)+0,MAX($A$8:A933)+1)</f>
        <v>95</v>
      </c>
      <c r="B934" s="835" t="str">
        <f>IF(C934="","",COUNTA($C$10:C935))</f>
        <v/>
      </c>
      <c r="C934" s="873"/>
      <c r="D934" s="877"/>
      <c r="E934" s="852" t="s">
        <v>2039</v>
      </c>
      <c r="F934" s="848" t="str">
        <f>VLOOKUP(E934,DICH!B:C,2,FALSE)</f>
        <v xml:space="preserve">  B - Labour 4.0/7</v>
      </c>
      <c r="G934" s="873" t="s">
        <v>4899</v>
      </c>
      <c r="H934" s="873">
        <v>7.92</v>
      </c>
      <c r="I934" s="848">
        <f>VLOOKUP(E934,'16.NC'!$C$11:$F$22,4,FALSE)</f>
        <v>218927</v>
      </c>
      <c r="J934" s="849">
        <f>I934*H934</f>
        <v>1733901.84</v>
      </c>
      <c r="N934" s="843" t="s">
        <v>457</v>
      </c>
      <c r="O934" s="844"/>
      <c r="P934" s="843"/>
      <c r="Q934" s="657" t="s">
        <v>457</v>
      </c>
      <c r="R934" s="658">
        <v>1</v>
      </c>
    </row>
    <row r="935" spans="1:18" ht="15" customHeight="1">
      <c r="A935" s="657">
        <f>IF(B935="",MAX($A$8:A934)+0,MAX($A$8:A934)+1)</f>
        <v>95</v>
      </c>
      <c r="B935" s="835" t="str">
        <f>IF(C935="","",COUNTA($C$10:C936))</f>
        <v/>
      </c>
      <c r="C935" s="873"/>
      <c r="D935" s="877"/>
      <c r="E935" s="852" t="s">
        <v>2033</v>
      </c>
      <c r="F935" s="848" t="str">
        <f>VLOOKUP(E935,DICH!B:C,2,FALSE)</f>
        <v xml:space="preserve">  C - Machine</v>
      </c>
      <c r="G935" s="873"/>
      <c r="H935" s="873"/>
      <c r="I935" s="848"/>
      <c r="J935" s="849">
        <f>SUM(J936:J939)</f>
        <v>620303.00852579996</v>
      </c>
      <c r="N935" s="843" t="s">
        <v>457</v>
      </c>
      <c r="O935" s="844"/>
      <c r="P935" s="843"/>
      <c r="Q935" s="657" t="s">
        <v>457</v>
      </c>
    </row>
    <row r="936" spans="1:18" ht="15" customHeight="1">
      <c r="A936" s="657">
        <f>IF(B936="",MAX($A$8:A935)+0,MAX($A$8:A935)+1)</f>
        <v>95</v>
      </c>
      <c r="B936" s="835" t="str">
        <f>IF(C936="","",COUNTA($C$10:C937))</f>
        <v/>
      </c>
      <c r="C936" s="879"/>
      <c r="D936" s="879"/>
      <c r="E936" s="852" t="s">
        <v>1424</v>
      </c>
      <c r="F936" s="848" t="str">
        <f>VLOOKUP(E936,'9.may'!E:F,2,FALSE)</f>
        <v>bender cutter 5Kw</v>
      </c>
      <c r="G936" s="873" t="s">
        <v>4902</v>
      </c>
      <c r="H936" s="873">
        <v>0.21</v>
      </c>
      <c r="I936" s="848">
        <f>VLOOKUP(E936,'9.may'!E:W,12,FALSE)</f>
        <v>80291.850000000006</v>
      </c>
      <c r="J936" s="853">
        <f>I936*H936</f>
        <v>16861.288500000002</v>
      </c>
      <c r="N936" s="843" t="s">
        <v>457</v>
      </c>
      <c r="O936" s="844">
        <f>+$H$939</f>
        <v>1</v>
      </c>
      <c r="P936" s="843"/>
      <c r="Q936" s="657" t="s">
        <v>457</v>
      </c>
    </row>
    <row r="937" spans="1:18" ht="15" customHeight="1">
      <c r="A937" s="657">
        <f>IF(B937="",MAX($A$8:A936)+0,MAX($A$8:A936)+1)</f>
        <v>95</v>
      </c>
      <c r="B937" s="835" t="str">
        <f>IF(C937="","",COUNTA($C$10:C938))</f>
        <v/>
      </c>
      <c r="C937" s="880"/>
      <c r="D937" s="880"/>
      <c r="E937" s="852" t="s">
        <v>1074</v>
      </c>
      <c r="F937" s="848" t="str">
        <f>VLOOKUP(E937,'9.may'!E:F,2,FALSE)</f>
        <v>beam-launch crane</v>
      </c>
      <c r="G937" s="873" t="s">
        <v>4902</v>
      </c>
      <c r="H937" s="873">
        <v>0.11</v>
      </c>
      <c r="I937" s="848">
        <f>VLOOKUP(E937,'9.may'!E:W,12,FALSE)</f>
        <v>4450040.3339999998</v>
      </c>
      <c r="J937" s="853">
        <f>I937*H937</f>
        <v>489504.43673999998</v>
      </c>
      <c r="N937" s="843" t="s">
        <v>457</v>
      </c>
      <c r="O937" s="844">
        <f>+$H$939</f>
        <v>1</v>
      </c>
      <c r="P937" s="843"/>
      <c r="Q937" s="657" t="s">
        <v>457</v>
      </c>
    </row>
    <row r="938" spans="1:18" ht="15" customHeight="1">
      <c r="A938" s="657">
        <f>IF(B938="",MAX($A$8:A937)+0,MAX($A$8:A937)+1)</f>
        <v>95</v>
      </c>
      <c r="B938" s="835" t="str">
        <f>IF(C938="","",COUNTA($C$10:C939))</f>
        <v/>
      </c>
      <c r="C938" s="880"/>
      <c r="D938" s="880"/>
      <c r="E938" s="852" t="s">
        <v>560</v>
      </c>
      <c r="F938" s="848" t="str">
        <f>VLOOKUP(E938,'9.may'!E:F,2,FALSE)</f>
        <v>welding machine 23kW</v>
      </c>
      <c r="G938" s="873" t="s">
        <v>4902</v>
      </c>
      <c r="H938" s="873">
        <v>0.628</v>
      </c>
      <c r="I938" s="848">
        <f>VLOOKUP(E938,'9.may'!E:W,12,FALSE)</f>
        <v>171649.155</v>
      </c>
      <c r="J938" s="853">
        <f>I938*H938</f>
        <v>107795.66933999999</v>
      </c>
      <c r="N938" s="843" t="s">
        <v>457</v>
      </c>
      <c r="O938" s="844">
        <f>+$H$939</f>
        <v>1</v>
      </c>
      <c r="P938" s="843"/>
      <c r="Q938" s="657" t="s">
        <v>457</v>
      </c>
    </row>
    <row r="939" spans="1:18" ht="15" customHeight="1">
      <c r="A939" s="657">
        <f>IF(B939="",MAX($A$8:A938)+0,MAX($A$8:A938)+1)</f>
        <v>95</v>
      </c>
      <c r="B939" s="835" t="str">
        <f>IF(C939="","",COUNTA($C$10:C940))</f>
        <v/>
      </c>
      <c r="C939" s="873"/>
      <c r="D939" s="877"/>
      <c r="E939" s="852" t="s">
        <v>553</v>
      </c>
      <c r="F939" s="848" t="str">
        <f>VLOOKUP(E939,DICH!B:C,2,FALSE)</f>
        <v>Other machine</v>
      </c>
      <c r="G939" s="362" t="s">
        <v>554</v>
      </c>
      <c r="H939" s="873">
        <v>1</v>
      </c>
      <c r="I939" s="848">
        <f>SUM(J936:J938)</f>
        <v>614161.39457999996</v>
      </c>
      <c r="J939" s="853">
        <f>I939*H939%</f>
        <v>6141.6139457999998</v>
      </c>
      <c r="N939" s="843" t="s">
        <v>457</v>
      </c>
      <c r="O939" s="844"/>
      <c r="P939" s="843"/>
      <c r="Q939" s="657" t="s">
        <v>457</v>
      </c>
    </row>
    <row r="940" spans="1:18" ht="15" customHeight="1">
      <c r="A940" s="657">
        <f>IF(B940="",MAX($A$8:A939)+0,MAX($A$8:A939)+1)</f>
        <v>96</v>
      </c>
      <c r="B940" s="835">
        <f>IF(C940="","",COUNTA($C$10:C941))</f>
        <v>96</v>
      </c>
      <c r="C940" s="239">
        <v>1091</v>
      </c>
      <c r="D940" s="704" t="s">
        <v>2242</v>
      </c>
      <c r="E940" s="808" t="s">
        <v>4059</v>
      </c>
      <c r="F940" s="1049" t="str">
        <f>VLOOKUP(E940,DICH!B:C,2,FALSE)</f>
        <v>Reinforcement D&gt;18 of girder super T</v>
      </c>
      <c r="G940" s="315" t="s">
        <v>4644</v>
      </c>
      <c r="H940" s="847"/>
      <c r="I940" s="848"/>
      <c r="J940" s="853"/>
      <c r="K940" s="842">
        <f>+J941</f>
        <v>17247128.202109091</v>
      </c>
      <c r="L940" s="842">
        <f>+J945</f>
        <v>965468.07000000007</v>
      </c>
      <c r="M940" s="842">
        <f>+J946</f>
        <v>645485.45981669996</v>
      </c>
      <c r="N940" s="843" t="s">
        <v>457</v>
      </c>
      <c r="O940" s="844"/>
      <c r="P940" s="843"/>
      <c r="Q940" s="657" t="s">
        <v>457</v>
      </c>
    </row>
    <row r="941" spans="1:18" ht="15" customHeight="1">
      <c r="A941" s="657">
        <f>IF(B941="",MAX($A$8:A940)+0,MAX($A$8:A940)+1)</f>
        <v>96</v>
      </c>
      <c r="B941" s="835" t="str">
        <f>IF(C941="","",COUNTA($C$10:C942))</f>
        <v/>
      </c>
      <c r="C941" s="873"/>
      <c r="D941" s="876"/>
      <c r="E941" s="852" t="s">
        <v>2032</v>
      </c>
      <c r="F941" s="848" t="str">
        <f>VLOOKUP(E941,DICH!B:C,2,FALSE)</f>
        <v xml:space="preserve">  A - Material</v>
      </c>
      <c r="G941" s="873"/>
      <c r="H941" s="873"/>
      <c r="I941" s="848"/>
      <c r="J941" s="849">
        <f>SUM(J942:J944)</f>
        <v>17247128.202109091</v>
      </c>
      <c r="N941" s="843" t="s">
        <v>457</v>
      </c>
      <c r="O941" s="844"/>
      <c r="P941" s="843"/>
      <c r="Q941" s="657" t="s">
        <v>457</v>
      </c>
    </row>
    <row r="942" spans="1:18" ht="15" customHeight="1">
      <c r="A942" s="657">
        <f>IF(B942="",MAX($A$8:A941)+0,MAX($A$8:A941)+1)</f>
        <v>96</v>
      </c>
      <c r="B942" s="835" t="str">
        <f>IF(C942="","",COUNTA($C$10:C943))</f>
        <v/>
      </c>
      <c r="C942" s="873"/>
      <c r="D942" s="877"/>
      <c r="E942" s="852" t="s">
        <v>664</v>
      </c>
      <c r="F942" s="848" t="str">
        <f>VLOOKUP(E942,DICH!B:C,2,FALSE)</f>
        <v>steel bar D&gt;18</v>
      </c>
      <c r="G942" s="873" t="s">
        <v>558</v>
      </c>
      <c r="H942" s="239">
        <v>1020</v>
      </c>
      <c r="I942" s="848">
        <f>VLOOKUP(E942,'11.gia '!$B:$I,8,FALSE)</f>
        <v>16604.075560000001</v>
      </c>
      <c r="J942" s="853">
        <f>I942*H942</f>
        <v>16936157.071200002</v>
      </c>
      <c r="N942" s="843" t="s">
        <v>457</v>
      </c>
      <c r="O942" s="844"/>
      <c r="P942" s="843"/>
      <c r="Q942" s="657" t="s">
        <v>457</v>
      </c>
    </row>
    <row r="943" spans="1:18" ht="15" customHeight="1">
      <c r="A943" s="657">
        <f>IF(B943="",MAX($A$8:A942)+0,MAX($A$8:A942)+1)</f>
        <v>96</v>
      </c>
      <c r="B943" s="835" t="str">
        <f>IF(C943="","",COUNTA($C$10:C944))</f>
        <v/>
      </c>
      <c r="C943" s="873"/>
      <c r="D943" s="877"/>
      <c r="E943" s="852" t="s">
        <v>459</v>
      </c>
      <c r="F943" s="848" t="str">
        <f>VLOOKUP(E943,DICH!B:C,2,FALSE)</f>
        <v>Steel ware</v>
      </c>
      <c r="G943" s="873" t="s">
        <v>558</v>
      </c>
      <c r="H943" s="239">
        <v>14.28</v>
      </c>
      <c r="I943" s="848">
        <f>VLOOKUP(E943,'11.gia '!$B:$I,8,FALSE)</f>
        <v>17143</v>
      </c>
      <c r="J943" s="853">
        <f>I943*H943</f>
        <v>244802.03999999998</v>
      </c>
      <c r="N943" s="843" t="s">
        <v>457</v>
      </c>
      <c r="O943" s="844"/>
      <c r="P943" s="843"/>
      <c r="Q943" s="657" t="s">
        <v>457</v>
      </c>
    </row>
    <row r="944" spans="1:18" ht="15" customHeight="1">
      <c r="A944" s="657">
        <f>IF(B944="",MAX($A$8:A943)+0,MAX($A$8:A943)+1)</f>
        <v>96</v>
      </c>
      <c r="B944" s="835" t="str">
        <f>IF(C944="","",COUNTA($C$10:C945))</f>
        <v/>
      </c>
      <c r="C944" s="873"/>
      <c r="D944" s="877"/>
      <c r="E944" s="852" t="s">
        <v>559</v>
      </c>
      <c r="F944" s="848" t="str">
        <f>VLOOKUP(E944,DICH!B:C,2,FALSE)</f>
        <v>welding electrode</v>
      </c>
      <c r="G944" s="873" t="s">
        <v>558</v>
      </c>
      <c r="H944" s="239">
        <v>3.4660000000000002</v>
      </c>
      <c r="I944" s="848">
        <f>VLOOKUP(E944,'11.gia '!$B:$I,8,FALSE)</f>
        <v>19090.909090909088</v>
      </c>
      <c r="J944" s="853">
        <f>I944*H944</f>
        <v>66169.090909090897</v>
      </c>
      <c r="N944" s="843" t="s">
        <v>457</v>
      </c>
      <c r="O944" s="844"/>
      <c r="P944" s="843"/>
      <c r="Q944" s="657" t="s">
        <v>457</v>
      </c>
    </row>
    <row r="945" spans="1:18" ht="15" customHeight="1">
      <c r="A945" s="657">
        <f>IF(B945="",MAX($A$8:A944)+0,MAX($A$8:A944)+1)</f>
        <v>96</v>
      </c>
      <c r="B945" s="835" t="str">
        <f>IF(C945="","",COUNTA($C$10:C946))</f>
        <v/>
      </c>
      <c r="C945" s="873"/>
      <c r="D945" s="877"/>
      <c r="E945" s="852" t="s">
        <v>2039</v>
      </c>
      <c r="F945" s="848" t="str">
        <f>VLOOKUP(E945,DICH!B:C,2,FALSE)</f>
        <v xml:space="preserve">  B - Labour 4.0/7</v>
      </c>
      <c r="G945" s="873" t="s">
        <v>4899</v>
      </c>
      <c r="H945" s="239">
        <v>4.41</v>
      </c>
      <c r="I945" s="848">
        <f>VLOOKUP(E945,'16.NC'!$C$11:$F$22,4,FALSE)</f>
        <v>218927</v>
      </c>
      <c r="J945" s="849">
        <f>I945*H945</f>
        <v>965468.07000000007</v>
      </c>
      <c r="N945" s="843" t="s">
        <v>457</v>
      </c>
      <c r="O945" s="844"/>
      <c r="P945" s="843"/>
      <c r="Q945" s="657" t="s">
        <v>457</v>
      </c>
      <c r="R945" s="658">
        <v>1</v>
      </c>
    </row>
    <row r="946" spans="1:18" ht="15" customHeight="1">
      <c r="A946" s="657">
        <f>IF(B946="",MAX($A$8:A945)+0,MAX($A$8:A945)+1)</f>
        <v>96</v>
      </c>
      <c r="B946" s="835" t="str">
        <f>IF(C946="","",COUNTA($C$10:C947))</f>
        <v/>
      </c>
      <c r="C946" s="873"/>
      <c r="D946" s="877"/>
      <c r="E946" s="852" t="s">
        <v>2033</v>
      </c>
      <c r="F946" s="848" t="str">
        <f>VLOOKUP(E946,DICH!B:C,2,FALSE)</f>
        <v xml:space="preserve">  C - Machine</v>
      </c>
      <c r="G946" s="873"/>
      <c r="H946" s="239"/>
      <c r="I946" s="848"/>
      <c r="J946" s="849">
        <f>SUM(J947:J950)</f>
        <v>645485.45981669996</v>
      </c>
      <c r="N946" s="843" t="s">
        <v>457</v>
      </c>
      <c r="O946" s="844"/>
      <c r="P946" s="843"/>
      <c r="Q946" s="657" t="s">
        <v>457</v>
      </c>
    </row>
    <row r="947" spans="1:18" ht="15" customHeight="1">
      <c r="A947" s="657">
        <f>IF(B947="",MAX($A$8:A946)+0,MAX($A$8:A946)+1)</f>
        <v>96</v>
      </c>
      <c r="B947" s="835" t="str">
        <f>IF(C947="","",COUNTA($C$10:C948))</f>
        <v/>
      </c>
      <c r="C947" s="879"/>
      <c r="D947" s="879"/>
      <c r="E947" s="852" t="s">
        <v>1424</v>
      </c>
      <c r="F947" s="848" t="str">
        <f>VLOOKUP(E947,'9.may'!E:F,2,FALSE)</f>
        <v>bender cutter 5Kw</v>
      </c>
      <c r="G947" s="873" t="s">
        <v>4902</v>
      </c>
      <c r="H947" s="239">
        <v>0.14000000000000001</v>
      </c>
      <c r="I947" s="848">
        <f>VLOOKUP(E947,'9.may'!E:W,12,FALSE)</f>
        <v>80291.850000000006</v>
      </c>
      <c r="J947" s="853">
        <f>I947*H947</f>
        <v>11240.859000000002</v>
      </c>
      <c r="N947" s="843" t="s">
        <v>457</v>
      </c>
      <c r="O947" s="844">
        <f>+$H$939</f>
        <v>1</v>
      </c>
      <c r="P947" s="843"/>
      <c r="Q947" s="657" t="s">
        <v>457</v>
      </c>
    </row>
    <row r="948" spans="1:18" ht="15" customHeight="1">
      <c r="A948" s="657">
        <f>IF(B948="",MAX($A$8:A947)+0,MAX($A$8:A947)+1)</f>
        <v>96</v>
      </c>
      <c r="B948" s="835" t="str">
        <f>IF(C948="","",COUNTA($C$10:C949))</f>
        <v/>
      </c>
      <c r="C948" s="880"/>
      <c r="D948" s="880"/>
      <c r="E948" s="852" t="s">
        <v>1074</v>
      </c>
      <c r="F948" s="848" t="str">
        <f>VLOOKUP(E948,'9.may'!E:F,2,FALSE)</f>
        <v>beam-launch crane</v>
      </c>
      <c r="G948" s="873" t="s">
        <v>4902</v>
      </c>
      <c r="H948" s="239">
        <v>0.11</v>
      </c>
      <c r="I948" s="848">
        <f>VLOOKUP(E948,'9.may'!E:W,12,FALSE)</f>
        <v>4450040.3339999998</v>
      </c>
      <c r="J948" s="853">
        <f>I948*H948</f>
        <v>489504.43673999998</v>
      </c>
      <c r="N948" s="843" t="s">
        <v>457</v>
      </c>
      <c r="O948" s="844">
        <f>+$H$939</f>
        <v>1</v>
      </c>
      <c r="P948" s="843"/>
      <c r="Q948" s="657" t="s">
        <v>457</v>
      </c>
    </row>
    <row r="949" spans="1:18" ht="15" customHeight="1">
      <c r="A949" s="657">
        <f>IF(B949="",MAX($A$8:A948)+0,MAX($A$8:A948)+1)</f>
        <v>96</v>
      </c>
      <c r="B949" s="835" t="str">
        <f>IF(C949="","",COUNTA($C$10:C950))</f>
        <v/>
      </c>
      <c r="C949" s="880"/>
      <c r="D949" s="880"/>
      <c r="E949" s="852" t="s">
        <v>560</v>
      </c>
      <c r="F949" s="848" t="str">
        <f>VLOOKUP(E949,'9.may'!E:F,2,FALSE)</f>
        <v>welding machine 23kW</v>
      </c>
      <c r="G949" s="873" t="s">
        <v>4902</v>
      </c>
      <c r="H949" s="239">
        <v>0.80600000000000005</v>
      </c>
      <c r="I949" s="848">
        <f>VLOOKUP(E949,'9.may'!E:W,12,FALSE)</f>
        <v>171649.155</v>
      </c>
      <c r="J949" s="853">
        <f>I949*H949</f>
        <v>138349.21893</v>
      </c>
      <c r="N949" s="843" t="s">
        <v>457</v>
      </c>
      <c r="O949" s="844">
        <f>+$H$939</f>
        <v>1</v>
      </c>
      <c r="P949" s="843"/>
      <c r="Q949" s="657" t="s">
        <v>457</v>
      </c>
    </row>
    <row r="950" spans="1:18" ht="15" customHeight="1">
      <c r="A950" s="657">
        <f>IF(B950="",MAX($A$8:A949)+0,MAX($A$8:A949)+1)</f>
        <v>96</v>
      </c>
      <c r="B950" s="835" t="str">
        <f>IF(C950="","",COUNTA($C$10:C951))</f>
        <v/>
      </c>
      <c r="C950" s="873"/>
      <c r="D950" s="877"/>
      <c r="E950" s="852" t="s">
        <v>553</v>
      </c>
      <c r="F950" s="848" t="str">
        <f>VLOOKUP(E950,DICH!B:C,2,FALSE)</f>
        <v>Other machine</v>
      </c>
      <c r="G950" s="362" t="s">
        <v>554</v>
      </c>
      <c r="H950" s="239">
        <v>1</v>
      </c>
      <c r="I950" s="848">
        <f>SUM(J947:J949)</f>
        <v>639094.51466999995</v>
      </c>
      <c r="J950" s="853">
        <f>I950*H950%</f>
        <v>6390.9451466999999</v>
      </c>
      <c r="N950" s="843" t="s">
        <v>457</v>
      </c>
      <c r="O950" s="844"/>
      <c r="P950" s="843"/>
      <c r="Q950" s="657" t="s">
        <v>457</v>
      </c>
    </row>
    <row r="951" spans="1:18" ht="15" customHeight="1">
      <c r="A951" s="657">
        <f>IF(B951="",MAX($A$8:A950)+0,MAX($A$8:A950)+1)</f>
        <v>97</v>
      </c>
      <c r="B951" s="835">
        <f>IF(C951="","",COUNTA($C$10:C952))</f>
        <v>97</v>
      </c>
      <c r="C951" s="239">
        <v>1091</v>
      </c>
      <c r="D951" s="704" t="s">
        <v>2239</v>
      </c>
      <c r="E951" s="808" t="s">
        <v>2240</v>
      </c>
      <c r="F951" s="1049" t="str">
        <f>VLOOKUP(E951,DICH!B:C,2,FALSE)</f>
        <v>Prestressed steel of super T girder</v>
      </c>
      <c r="G951" s="856" t="s">
        <v>4644</v>
      </c>
      <c r="H951" s="847"/>
      <c r="I951" s="848"/>
      <c r="J951" s="853"/>
      <c r="K951" s="842">
        <f>+J952</f>
        <v>30301458.518181816</v>
      </c>
      <c r="L951" s="842">
        <f>+J959</f>
        <v>5709000</v>
      </c>
      <c r="M951" s="842">
        <f>+J960</f>
        <v>639418.90841149073</v>
      </c>
      <c r="N951" s="843" t="s">
        <v>457</v>
      </c>
      <c r="O951" s="844"/>
      <c r="P951" s="843"/>
      <c r="Q951" s="657" t="s">
        <v>457</v>
      </c>
    </row>
    <row r="952" spans="1:18" ht="15" customHeight="1">
      <c r="A952" s="657">
        <f>IF(B952="",MAX($A$8:A951)+0,MAX($A$8:A951)+1)</f>
        <v>97</v>
      </c>
      <c r="B952" s="835" t="str">
        <f>IF(C952="","",COUNTA($C$10:C953))</f>
        <v/>
      </c>
      <c r="C952" s="873"/>
      <c r="D952" s="876"/>
      <c r="E952" s="852" t="s">
        <v>2032</v>
      </c>
      <c r="F952" s="848" t="str">
        <f>VLOOKUP(E952,DICH!B:C,2,FALSE)</f>
        <v xml:space="preserve">  A - Material</v>
      </c>
      <c r="G952" s="873"/>
      <c r="H952" s="873"/>
      <c r="I952" s="848"/>
      <c r="J952" s="849">
        <f>SUM(J953:J958)</f>
        <v>30301458.518181816</v>
      </c>
      <c r="N952" s="843" t="s">
        <v>457</v>
      </c>
      <c r="O952" s="844"/>
      <c r="P952" s="843"/>
      <c r="Q952" s="657" t="s">
        <v>457</v>
      </c>
    </row>
    <row r="953" spans="1:18" ht="15" customHeight="1">
      <c r="A953" s="657">
        <f>IF(B953="",MAX($A$8:A952)+0,MAX($A$8:A952)+1)</f>
        <v>97</v>
      </c>
      <c r="B953" s="835" t="str">
        <f>IF(C953="","",COUNTA($C$10:C954))</f>
        <v/>
      </c>
      <c r="C953" s="873"/>
      <c r="D953" s="876"/>
      <c r="E953" s="852" t="s">
        <v>571</v>
      </c>
      <c r="F953" s="848" t="str">
        <f>VLOOKUP(E953,DICH!B:C,2,FALSE)</f>
        <v>high strength cable</v>
      </c>
      <c r="G953" s="873" t="s">
        <v>558</v>
      </c>
      <c r="H953" s="239">
        <v>1150</v>
      </c>
      <c r="I953" s="848">
        <f>VLOOKUP(E953,'11.gia '!$B:$I,8,FALSE)</f>
        <v>25454.545454545452</v>
      </c>
      <c r="J953" s="853">
        <f>I953*H953</f>
        <v>29272727.27272727</v>
      </c>
      <c r="N953" s="843" t="s">
        <v>457</v>
      </c>
      <c r="O953" s="844">
        <f>+$H$958</f>
        <v>2</v>
      </c>
      <c r="P953" s="843"/>
      <c r="Q953" s="657" t="s">
        <v>457</v>
      </c>
    </row>
    <row r="954" spans="1:18" ht="15" customHeight="1">
      <c r="A954" s="657">
        <f>IF(B954="",MAX($A$8:A953)+0,MAX($A$8:A953)+1)</f>
        <v>97</v>
      </c>
      <c r="B954" s="835" t="str">
        <f>IF(C954="","",COUNTA($C$10:C955))</f>
        <v/>
      </c>
      <c r="C954" s="873"/>
      <c r="D954" s="876"/>
      <c r="E954" s="852" t="s">
        <v>572</v>
      </c>
      <c r="F954" s="848" t="str">
        <f>VLOOKUP(E954,DICH!B:C,2,FALSE)</f>
        <v>Split stone</v>
      </c>
      <c r="G954" s="873" t="s">
        <v>573</v>
      </c>
      <c r="H954" s="239">
        <v>10.331</v>
      </c>
      <c r="I954" s="848">
        <f>VLOOKUP(E954,'11.gia '!$B:$I,8,FALSE)</f>
        <v>35000</v>
      </c>
      <c r="J954" s="853">
        <f>I954*H954</f>
        <v>361585</v>
      </c>
      <c r="N954" s="843" t="s">
        <v>457</v>
      </c>
      <c r="O954" s="844">
        <f>+$H$958</f>
        <v>2</v>
      </c>
      <c r="P954" s="843"/>
      <c r="Q954" s="657" t="s">
        <v>457</v>
      </c>
    </row>
    <row r="955" spans="1:18" ht="15" customHeight="1">
      <c r="A955" s="657">
        <f>IF(B955="",MAX($A$8:A954)+0,MAX($A$8:A954)+1)</f>
        <v>97</v>
      </c>
      <c r="B955" s="835" t="str">
        <f>IF(C955="","",COUNTA($C$10:C956))</f>
        <v/>
      </c>
      <c r="C955" s="873"/>
      <c r="D955" s="876"/>
      <c r="E955" s="852" t="s">
        <v>564</v>
      </c>
      <c r="F955" s="848" t="str">
        <f>VLOOKUP(E955,DICH!B:C,2,FALSE)</f>
        <v>oxygen</v>
      </c>
      <c r="G955" s="873" t="s">
        <v>4647</v>
      </c>
      <c r="H955" s="239">
        <v>0.5</v>
      </c>
      <c r="I955" s="848">
        <f>VLOOKUP(E955,'11.gia '!$B:$I,8,FALSE)</f>
        <v>48000</v>
      </c>
      <c r="J955" s="853">
        <f>I955*H955</f>
        <v>24000</v>
      </c>
      <c r="N955" s="843" t="s">
        <v>457</v>
      </c>
      <c r="O955" s="844">
        <f>+$H$958</f>
        <v>2</v>
      </c>
      <c r="P955" s="843"/>
      <c r="Q955" s="657" t="s">
        <v>457</v>
      </c>
    </row>
    <row r="956" spans="1:18" ht="15" customHeight="1">
      <c r="A956" s="657">
        <f>IF(B956="",MAX($A$8:A955)+0,MAX($A$8:A955)+1)</f>
        <v>97</v>
      </c>
      <c r="B956" s="835" t="str">
        <f>IF(C956="","",COUNTA($C$10:C957))</f>
        <v/>
      </c>
      <c r="C956" s="873"/>
      <c r="D956" s="876"/>
      <c r="E956" s="852" t="s">
        <v>566</v>
      </c>
      <c r="F956" s="848" t="str">
        <f>VLOOKUP(E956,DICH!B:C,2,FALSE)</f>
        <v>Calcium carbide</v>
      </c>
      <c r="G956" s="873" t="s">
        <v>558</v>
      </c>
      <c r="H956" s="239">
        <v>3.5</v>
      </c>
      <c r="I956" s="848">
        <f>VLOOKUP(E956,'11.gia '!$B:$I,8,FALSE)</f>
        <v>14000</v>
      </c>
      <c r="J956" s="853">
        <f>I956*H956</f>
        <v>49000</v>
      </c>
      <c r="N956" s="843" t="s">
        <v>457</v>
      </c>
      <c r="O956" s="844">
        <f>+$H$958</f>
        <v>2</v>
      </c>
      <c r="P956" s="843"/>
      <c r="Q956" s="657" t="s">
        <v>457</v>
      </c>
    </row>
    <row r="957" spans="1:18" ht="15" customHeight="1">
      <c r="A957" s="657">
        <f>IF(B957="",MAX($A$8:A956)+0,MAX($A$8:A956)+1)</f>
        <v>97</v>
      </c>
      <c r="B957" s="835" t="str">
        <f>IF(C957="","",COUNTA($C$10:C958))</f>
        <v/>
      </c>
      <c r="C957" s="873"/>
      <c r="D957" s="876"/>
      <c r="E957" s="852" t="s">
        <v>649</v>
      </c>
      <c r="F957" s="848" t="str">
        <f>VLOOKUP(E957,DICH!B:C,2,FALSE)</f>
        <v>cable anchorage</v>
      </c>
      <c r="G957" s="873" t="s">
        <v>56</v>
      </c>
      <c r="H957" s="239"/>
      <c r="I957" s="848">
        <f>VLOOKUP(E957,'11.gia '!$B:$I,8,FALSE)</f>
        <v>150000</v>
      </c>
      <c r="J957" s="881" t="s">
        <v>2106</v>
      </c>
      <c r="N957" s="843" t="s">
        <v>457</v>
      </c>
      <c r="O957" s="844">
        <f>+$H$958</f>
        <v>2</v>
      </c>
      <c r="P957" s="843"/>
      <c r="Q957" s="657" t="s">
        <v>457</v>
      </c>
    </row>
    <row r="958" spans="1:18" ht="15" customHeight="1">
      <c r="A958" s="657">
        <f>IF(B958="",MAX($A$8:A957)+0,MAX($A$8:A957)+1)</f>
        <v>97</v>
      </c>
      <c r="B958" s="835" t="str">
        <f>IF(C958="","",COUNTA($C$10:C959))</f>
        <v/>
      </c>
      <c r="C958" s="873"/>
      <c r="D958" s="876"/>
      <c r="E958" s="852" t="s">
        <v>555</v>
      </c>
      <c r="F958" s="848" t="str">
        <f>VLOOKUP(E958,DICH!B:C,2,FALSE)</f>
        <v>Other material</v>
      </c>
      <c r="G958" s="362" t="s">
        <v>554</v>
      </c>
      <c r="H958" s="239">
        <v>2</v>
      </c>
      <c r="I958" s="848">
        <f>SUM(J953:J957)</f>
        <v>29707312.27272727</v>
      </c>
      <c r="J958" s="853">
        <f>I958*H958%</f>
        <v>594146.24545454537</v>
      </c>
      <c r="N958" s="843" t="s">
        <v>457</v>
      </c>
      <c r="O958" s="844"/>
      <c r="P958" s="843"/>
      <c r="Q958" s="657" t="s">
        <v>457</v>
      </c>
    </row>
    <row r="959" spans="1:18" ht="15" customHeight="1">
      <c r="A959" s="657">
        <f>IF(B959="",MAX($A$8:A958)+0,MAX($A$8:A958)+1)</f>
        <v>97</v>
      </c>
      <c r="B959" s="835" t="str">
        <f>IF(C959="","",COUNTA($C$10:C960))</f>
        <v/>
      </c>
      <c r="C959" s="873"/>
      <c r="D959" s="876"/>
      <c r="E959" s="852" t="s">
        <v>2040</v>
      </c>
      <c r="F959" s="848" t="str">
        <f>VLOOKUP(E959,DICH!B:C,2,FALSE)</f>
        <v xml:space="preserve">  B - Labour 4.5/7</v>
      </c>
      <c r="G959" s="873" t="s">
        <v>4899</v>
      </c>
      <c r="H959" s="239">
        <v>24</v>
      </c>
      <c r="I959" s="848">
        <f>VLOOKUP(E959,'16.NC'!$C$11:$F$22,4,FALSE)</f>
        <v>237875</v>
      </c>
      <c r="J959" s="849">
        <f>I959*H959</f>
        <v>5709000</v>
      </c>
      <c r="N959" s="843" t="s">
        <v>457</v>
      </c>
      <c r="O959" s="844"/>
      <c r="P959" s="843"/>
      <c r="Q959" s="657" t="s">
        <v>457</v>
      </c>
      <c r="R959" s="658">
        <v>1</v>
      </c>
    </row>
    <row r="960" spans="1:18" ht="15" customHeight="1">
      <c r="A960" s="657">
        <f>IF(B960="",MAX($A$8:A959)+0,MAX($A$8:A959)+1)</f>
        <v>97</v>
      </c>
      <c r="B960" s="835" t="str">
        <f>IF(C960="","",COUNTA($C$10:C961))</f>
        <v/>
      </c>
      <c r="C960" s="873"/>
      <c r="D960" s="876"/>
      <c r="E960" s="852" t="s">
        <v>2033</v>
      </c>
      <c r="F960" s="848" t="str">
        <f>VLOOKUP(E960,DICH!B:C,2,FALSE)</f>
        <v xml:space="preserve">  C - Machine</v>
      </c>
      <c r="G960" s="873"/>
      <c r="H960" s="239"/>
      <c r="I960" s="848"/>
      <c r="J960" s="849">
        <f>SUM(J961:J965)</f>
        <v>639418.90841149073</v>
      </c>
      <c r="N960" s="843" t="s">
        <v>457</v>
      </c>
      <c r="O960" s="844"/>
      <c r="P960" s="843"/>
      <c r="Q960" s="657" t="s">
        <v>457</v>
      </c>
    </row>
    <row r="961" spans="1:17" ht="15" customHeight="1">
      <c r="A961" s="657">
        <f>IF(B961="",MAX($A$8:A960)+0,MAX($A$8:A960)+1)</f>
        <v>97</v>
      </c>
      <c r="B961" s="835" t="str">
        <f>IF(C961="","",COUNTA($C$10:C962))</f>
        <v/>
      </c>
      <c r="C961" s="873"/>
      <c r="D961" s="876"/>
      <c r="E961" s="852" t="s">
        <v>288</v>
      </c>
      <c r="F961" s="848" t="str">
        <f>VLOOKUP(E961,'9.may'!E:F,2,FALSE)</f>
        <v>caterpillar crane 25T</v>
      </c>
      <c r="G961" s="873" t="s">
        <v>4902</v>
      </c>
      <c r="H961" s="239">
        <v>0.12</v>
      </c>
      <c r="I961" s="848">
        <f>VLOOKUP(E961,'9.may'!E:W,12,FALSE)</f>
        <v>2787996.6736363638</v>
      </c>
      <c r="J961" s="853">
        <f>I961*H961</f>
        <v>334559.60083636362</v>
      </c>
      <c r="N961" s="843" t="s">
        <v>457</v>
      </c>
      <c r="O961" s="844">
        <f>+$H$965</f>
        <v>2</v>
      </c>
      <c r="P961" s="843"/>
      <c r="Q961" s="657" t="s">
        <v>457</v>
      </c>
    </row>
    <row r="962" spans="1:17" ht="15" customHeight="1">
      <c r="A962" s="657">
        <f>IF(B962="",MAX($A$8:A961)+0,MAX($A$8:A961)+1)</f>
        <v>97</v>
      </c>
      <c r="B962" s="835" t="str">
        <f>IF(C962="","",COUNTA($C$10:C963))</f>
        <v/>
      </c>
      <c r="C962" s="873"/>
      <c r="D962" s="876"/>
      <c r="E962" s="852" t="s">
        <v>1109</v>
      </c>
      <c r="F962" s="848" t="str">
        <f>VLOOKUP(E962,'9.may'!E:F,2,FALSE)</f>
        <v>electric winch 5Ton</v>
      </c>
      <c r="G962" s="873" t="s">
        <v>4902</v>
      </c>
      <c r="H962" s="239">
        <v>0.3</v>
      </c>
      <c r="I962" s="848">
        <f>VLOOKUP(E962,'9.may'!E:W,12,FALSE)</f>
        <v>135809.41500000001</v>
      </c>
      <c r="J962" s="853">
        <f>I962*H962</f>
        <v>40742.824500000002</v>
      </c>
      <c r="N962" s="843" t="s">
        <v>457</v>
      </c>
      <c r="O962" s="844">
        <f>+$H$965</f>
        <v>2</v>
      </c>
      <c r="P962" s="843"/>
      <c r="Q962" s="657" t="s">
        <v>457</v>
      </c>
    </row>
    <row r="963" spans="1:17" ht="15" customHeight="1">
      <c r="A963" s="657">
        <f>IF(B963="",MAX($A$8:A962)+0,MAX($A$8:A962)+1)</f>
        <v>97</v>
      </c>
      <c r="B963" s="835" t="str">
        <f>IF(C963="","",COUNTA($C$10:C964))</f>
        <v/>
      </c>
      <c r="C963" s="873"/>
      <c r="D963" s="876"/>
      <c r="E963" s="852" t="s">
        <v>618</v>
      </c>
      <c r="F963" s="848" t="str">
        <f>VLOOKUP(E963,'9.may'!E:F,2,FALSE)</f>
        <v>cable-cutting machine 10kW</v>
      </c>
      <c r="G963" s="873" t="s">
        <v>4902</v>
      </c>
      <c r="H963" s="239">
        <v>2.2000000000000002</v>
      </c>
      <c r="I963" s="848">
        <f>VLOOKUP(E963,'9.may'!E:W,12,FALSE)</f>
        <v>93919.01999999999</v>
      </c>
      <c r="J963" s="853">
        <f>I963*H963</f>
        <v>206621.84399999998</v>
      </c>
      <c r="N963" s="843" t="s">
        <v>457</v>
      </c>
      <c r="O963" s="844">
        <f>+$H$965</f>
        <v>2</v>
      </c>
      <c r="P963" s="843"/>
      <c r="Q963" s="657" t="s">
        <v>457</v>
      </c>
    </row>
    <row r="964" spans="1:17" ht="15" customHeight="1">
      <c r="A964" s="657">
        <f>IF(B964="",MAX($A$8:A963)+0,MAX($A$8:A963)+1)</f>
        <v>97</v>
      </c>
      <c r="B964" s="835" t="str">
        <f>IF(C964="","",COUNTA($C$10:C965))</f>
        <v/>
      </c>
      <c r="C964" s="873"/>
      <c r="D964" s="876"/>
      <c r="E964" s="852" t="s">
        <v>325</v>
      </c>
      <c r="F964" s="848" t="str">
        <f>VLOOKUP(E964,'9.may'!E:F,2,FALSE)</f>
        <v>jack 50T</v>
      </c>
      <c r="G964" s="873" t="s">
        <v>4902</v>
      </c>
      <c r="H964" s="239">
        <v>0.67100000000000004</v>
      </c>
      <c r="I964" s="848">
        <f>VLOOKUP(E964,'9.may'!E:W,12,FALSE)</f>
        <v>67000.02</v>
      </c>
      <c r="J964" s="853">
        <f>I964*H964</f>
        <v>44957.013420000003</v>
      </c>
      <c r="N964" s="843" t="s">
        <v>457</v>
      </c>
      <c r="O964" s="844">
        <f>+$H$965</f>
        <v>2</v>
      </c>
      <c r="P964" s="843"/>
      <c r="Q964" s="657" t="s">
        <v>457</v>
      </c>
    </row>
    <row r="965" spans="1:17" ht="15" customHeight="1">
      <c r="A965" s="657">
        <f>IF(B965="",MAX($A$8:A964)+0,MAX($A$8:A964)+1)</f>
        <v>97</v>
      </c>
      <c r="B965" s="835" t="str">
        <f>IF(C965="","",COUNTA($C$10:C966))</f>
        <v/>
      </c>
      <c r="C965" s="873"/>
      <c r="D965" s="876"/>
      <c r="E965" s="852" t="s">
        <v>553</v>
      </c>
      <c r="F965" s="848" t="str">
        <f>VLOOKUP(E965,DICH!B:C,2,FALSE)</f>
        <v>Other machine</v>
      </c>
      <c r="G965" s="362" t="s">
        <v>554</v>
      </c>
      <c r="H965" s="239">
        <v>2</v>
      </c>
      <c r="I965" s="848">
        <f>SUM(J961:J964)</f>
        <v>626881.28275636351</v>
      </c>
      <c r="J965" s="853">
        <f>I965*H965%</f>
        <v>12537.625655127271</v>
      </c>
      <c r="N965" s="843" t="s">
        <v>457</v>
      </c>
      <c r="O965" s="844"/>
      <c r="P965" s="843"/>
      <c r="Q965" s="657" t="s">
        <v>457</v>
      </c>
    </row>
    <row r="966" spans="1:17" ht="15" customHeight="1">
      <c r="A966" s="657">
        <f>IF(B966="",MAX($A$8:A965)+0,MAX($A$8:A965)+1)</f>
        <v>98</v>
      </c>
      <c r="B966" s="835">
        <f>IF(C966="","",COUNTA($C$10:C967))</f>
        <v>98</v>
      </c>
      <c r="C966" s="239">
        <v>1091</v>
      </c>
      <c r="D966" s="704" t="s">
        <v>2243</v>
      </c>
      <c r="E966" s="808" t="s">
        <v>2244</v>
      </c>
      <c r="F966" s="1049" t="str">
        <f>VLOOKUP(E966,DICH!B:C,2,FALSE)</f>
        <v>Repairing inter formwork of super T girder</v>
      </c>
      <c r="G966" s="809" t="s">
        <v>4906</v>
      </c>
      <c r="H966" s="847"/>
      <c r="I966" s="848"/>
      <c r="J966" s="853"/>
      <c r="K966" s="842">
        <f>+J967</f>
        <v>1357407.3371569614</v>
      </c>
      <c r="L966" s="842">
        <f>+J977</f>
        <v>980045</v>
      </c>
      <c r="M966" s="842">
        <f>+J978</f>
        <v>679802.6293981364</v>
      </c>
      <c r="N966" s="843" t="s">
        <v>457</v>
      </c>
      <c r="O966" s="844"/>
      <c r="P966" s="843"/>
      <c r="Q966" s="657" t="s">
        <v>457</v>
      </c>
    </row>
    <row r="967" spans="1:17" ht="15" customHeight="1">
      <c r="A967" s="657">
        <f>IF(B967="",MAX($A$8:A966)+0,MAX($A$8:A966)+1)</f>
        <v>98</v>
      </c>
      <c r="B967" s="835" t="str">
        <f>IF(C967="","",COUNTA($C$10:C968))</f>
        <v/>
      </c>
      <c r="C967" s="873"/>
      <c r="D967" s="876"/>
      <c r="E967" s="852" t="s">
        <v>2032</v>
      </c>
      <c r="F967" s="848" t="str">
        <f>VLOOKUP(E967,DICH!B:C,2,FALSE)</f>
        <v xml:space="preserve">  A - Material</v>
      </c>
      <c r="G967" s="873"/>
      <c r="H967" s="873"/>
      <c r="I967" s="848"/>
      <c r="J967" s="849">
        <f>SUM(J968:J976)</f>
        <v>1357407.3371569614</v>
      </c>
      <c r="N967" s="843" t="s">
        <v>457</v>
      </c>
      <c r="O967" s="844"/>
      <c r="P967" s="843"/>
      <c r="Q967" s="657" t="s">
        <v>457</v>
      </c>
    </row>
    <row r="968" spans="1:17" ht="15" customHeight="1">
      <c r="A968" s="657">
        <f>IF(B968="",MAX($A$8:A967)+0,MAX($A$8:A967)+1)</f>
        <v>98</v>
      </c>
      <c r="B968" s="835" t="str">
        <f>IF(C968="","",COUNTA($C$10:C969))</f>
        <v/>
      </c>
      <c r="C968" s="873"/>
      <c r="D968" s="876"/>
      <c r="E968" s="819" t="s">
        <v>562</v>
      </c>
      <c r="F968" s="848" t="str">
        <f>VLOOKUP(E968,DICH!B:C,2,FALSE)</f>
        <v>Plate steel</v>
      </c>
      <c r="G968" s="704" t="s">
        <v>558</v>
      </c>
      <c r="H968" s="239">
        <v>67.819999999999993</v>
      </c>
      <c r="I968" s="848">
        <f>VLOOKUP(E968,'11.gia '!$B:$I,8,FALSE)</f>
        <v>12871.348287272725</v>
      </c>
      <c r="J968" s="853">
        <f>I968*H968</f>
        <v>872934.84084283619</v>
      </c>
      <c r="N968" s="843" t="s">
        <v>457</v>
      </c>
      <c r="O968" s="844">
        <v>5</v>
      </c>
      <c r="P968" s="843"/>
      <c r="Q968" s="657" t="s">
        <v>457</v>
      </c>
    </row>
    <row r="969" spans="1:17" ht="15" customHeight="1">
      <c r="A969" s="657">
        <f>IF(B969="",MAX($A$8:A968)+0,MAX($A$8:A968)+1)</f>
        <v>98</v>
      </c>
      <c r="B969" s="835" t="str">
        <f>IF(C969="","",COUNTA($C$10:C970))</f>
        <v/>
      </c>
      <c r="C969" s="873"/>
      <c r="D969" s="876"/>
      <c r="E969" s="819" t="s">
        <v>563</v>
      </c>
      <c r="F969" s="848" t="str">
        <f>VLOOKUP(E969,DICH!B:C,2,FALSE)</f>
        <v>Shaped steel</v>
      </c>
      <c r="G969" s="704" t="s">
        <v>558</v>
      </c>
      <c r="H969" s="239">
        <v>22.61</v>
      </c>
      <c r="I969" s="848">
        <f>VLOOKUP(E969,'11.gia '!$B:$I,8,FALSE)</f>
        <v>16703.248369172808</v>
      </c>
      <c r="J969" s="853">
        <f>I969*H969</f>
        <v>377660.44562699721</v>
      </c>
      <c r="N969" s="843" t="s">
        <v>457</v>
      </c>
      <c r="O969" s="844">
        <v>5</v>
      </c>
      <c r="P969" s="843"/>
      <c r="Q969" s="657" t="s">
        <v>457</v>
      </c>
    </row>
    <row r="970" spans="1:17" ht="15" customHeight="1">
      <c r="A970" s="657">
        <f>IF(B970="",MAX($A$8:A969)+0,MAX($A$8:A969)+1)</f>
        <v>98</v>
      </c>
      <c r="B970" s="835" t="str">
        <f>IF(C970="","",COUNTA($C$10:C971))</f>
        <v/>
      </c>
      <c r="C970" s="873"/>
      <c r="D970" s="876"/>
      <c r="E970" s="819" t="s">
        <v>406</v>
      </c>
      <c r="F970" s="848" t="str">
        <f>VLOOKUP(E970,DICH!B:C,2,FALSE)</f>
        <v xml:space="preserve">Grinding stone </v>
      </c>
      <c r="G970" s="704" t="s">
        <v>573</v>
      </c>
      <c r="H970" s="239">
        <v>9.8000000000000004E-2</v>
      </c>
      <c r="I970" s="848">
        <f>VLOOKUP(E970,'11.gia '!$B:$I,8,FALSE)</f>
        <v>25000</v>
      </c>
      <c r="J970" s="853">
        <f t="shared" ref="J970:J975" si="43">I970*H970</f>
        <v>2450</v>
      </c>
      <c r="N970" s="843" t="s">
        <v>457</v>
      </c>
      <c r="O970" s="844">
        <v>5</v>
      </c>
      <c r="P970" s="843"/>
      <c r="Q970" s="657" t="s">
        <v>457</v>
      </c>
    </row>
    <row r="971" spans="1:17" ht="15" customHeight="1">
      <c r="A971" s="657">
        <f>IF(B971="",MAX($A$8:A970)+0,MAX($A$8:A970)+1)</f>
        <v>98</v>
      </c>
      <c r="B971" s="835" t="str">
        <f>IF(C971="","",COUNTA($C$10:C972))</f>
        <v/>
      </c>
      <c r="C971" s="873"/>
      <c r="D971" s="876"/>
      <c r="E971" s="819" t="s">
        <v>564</v>
      </c>
      <c r="F971" s="848" t="str">
        <f>VLOOKUP(E971,DICH!B:C,2,FALSE)</f>
        <v>oxygen</v>
      </c>
      <c r="G971" s="704" t="s">
        <v>4647</v>
      </c>
      <c r="H971" s="239">
        <v>0.151</v>
      </c>
      <c r="I971" s="848">
        <f>VLOOKUP(E971,'11.gia '!$B:$I,8,FALSE)</f>
        <v>48000</v>
      </c>
      <c r="J971" s="853">
        <f t="shared" si="43"/>
        <v>7248</v>
      </c>
      <c r="N971" s="843" t="s">
        <v>457</v>
      </c>
      <c r="O971" s="844">
        <v>5</v>
      </c>
      <c r="P971" s="843"/>
      <c r="Q971" s="657" t="s">
        <v>457</v>
      </c>
    </row>
    <row r="972" spans="1:17" ht="15" customHeight="1">
      <c r="A972" s="657">
        <f>IF(B972="",MAX($A$8:A971)+0,MAX($A$8:A971)+1)</f>
        <v>98</v>
      </c>
      <c r="B972" s="835" t="str">
        <f>IF(C972="","",COUNTA($C$10:C973))</f>
        <v/>
      </c>
      <c r="C972" s="873"/>
      <c r="D972" s="876"/>
      <c r="E972" s="819" t="s">
        <v>419</v>
      </c>
      <c r="F972" s="848" t="str">
        <f>VLOOKUP(E972,DICH!B:C,2,FALSE)</f>
        <v>Gas</v>
      </c>
      <c r="G972" s="704" t="s">
        <v>558</v>
      </c>
      <c r="H972" s="239">
        <v>0.45200000000000001</v>
      </c>
      <c r="I972" s="848">
        <f>VLOOKUP(E972,'11.gia '!$B:$I,8,FALSE)</f>
        <v>27575.757575757572</v>
      </c>
      <c r="J972" s="853">
        <f t="shared" si="43"/>
        <v>12464.242424242422</v>
      </c>
      <c r="N972" s="843" t="s">
        <v>457</v>
      </c>
      <c r="O972" s="844">
        <v>5</v>
      </c>
      <c r="P972" s="843"/>
      <c r="Q972" s="657" t="s">
        <v>457</v>
      </c>
    </row>
    <row r="973" spans="1:17" ht="15" customHeight="1">
      <c r="A973" s="657">
        <f>IF(B973="",MAX($A$8:A972)+0,MAX($A$8:A972)+1)</f>
        <v>98</v>
      </c>
      <c r="B973" s="835" t="str">
        <f>IF(C973="","",COUNTA($C$10:C974))</f>
        <v/>
      </c>
      <c r="C973" s="873"/>
      <c r="D973" s="876"/>
      <c r="E973" s="819" t="s">
        <v>559</v>
      </c>
      <c r="F973" s="848" t="str">
        <f>VLOOKUP(E973,DICH!B:C,2,FALSE)</f>
        <v>welding electrode</v>
      </c>
      <c r="G973" s="704" t="s">
        <v>558</v>
      </c>
      <c r="H973" s="239">
        <v>0.81799999999999995</v>
      </c>
      <c r="I973" s="848">
        <f>VLOOKUP(E973,'11.gia '!$B:$I,8,FALSE)</f>
        <v>19090.909090909088</v>
      </c>
      <c r="J973" s="853">
        <f t="shared" si="43"/>
        <v>15616.363636363632</v>
      </c>
      <c r="N973" s="843" t="s">
        <v>457</v>
      </c>
      <c r="O973" s="844">
        <v>5</v>
      </c>
      <c r="P973" s="843"/>
      <c r="Q973" s="657" t="s">
        <v>457</v>
      </c>
    </row>
    <row r="974" spans="1:17" ht="15" customHeight="1">
      <c r="A974" s="657">
        <f>IF(B974="",MAX($A$8:A973)+0,MAX($A$8:A973)+1)</f>
        <v>98</v>
      </c>
      <c r="B974" s="835" t="str">
        <f>IF(C974="","",COUNTA($C$10:C975))</f>
        <v/>
      </c>
      <c r="C974" s="873"/>
      <c r="D974" s="876"/>
      <c r="E974" s="819" t="s">
        <v>224</v>
      </c>
      <c r="F974" s="848" t="str">
        <f>VLOOKUP(E974,DICH!B:C,2,FALSE)</f>
        <v>Lubricant grease</v>
      </c>
      <c r="G974" s="704" t="s">
        <v>558</v>
      </c>
      <c r="H974" s="239">
        <v>0.29299999999999998</v>
      </c>
      <c r="I974" s="848">
        <f>VLOOKUP(E974,'11.gia '!$B:$I,8,FALSE)</f>
        <v>15000</v>
      </c>
      <c r="J974" s="853">
        <f t="shared" si="43"/>
        <v>4395</v>
      </c>
      <c r="N974" s="843" t="s">
        <v>457</v>
      </c>
      <c r="O974" s="844">
        <v>5</v>
      </c>
      <c r="P974" s="843"/>
      <c r="Q974" s="657" t="s">
        <v>457</v>
      </c>
    </row>
    <row r="975" spans="1:17" ht="15" customHeight="1">
      <c r="A975" s="657">
        <f>IF(B975="",MAX($A$8:A974)+0,MAX($A$8:A974)+1)</f>
        <v>98</v>
      </c>
      <c r="B975" s="835" t="str">
        <f>IF(C975="","",COUNTA($C$10:C976))</f>
        <v/>
      </c>
      <c r="C975" s="873"/>
      <c r="D975" s="876"/>
      <c r="E975" s="819" t="s">
        <v>2245</v>
      </c>
      <c r="F975" s="848" t="str">
        <f>VLOOKUP(E975,DICH!B:C,2,FALSE)</f>
        <v>Wooden chock</v>
      </c>
      <c r="G975" s="704" t="s">
        <v>545</v>
      </c>
      <c r="H975" s="239">
        <v>1E-3</v>
      </c>
      <c r="I975" s="848">
        <f>VLOOKUP(E975,'11.gia '!$B:$I,8,FALSE)</f>
        <v>0</v>
      </c>
      <c r="J975" s="853">
        <f t="shared" si="43"/>
        <v>0</v>
      </c>
      <c r="N975" s="843" t="s">
        <v>457</v>
      </c>
      <c r="O975" s="844">
        <v>5</v>
      </c>
      <c r="P975" s="843"/>
      <c r="Q975" s="657" t="s">
        <v>457</v>
      </c>
    </row>
    <row r="976" spans="1:17" ht="15" customHeight="1">
      <c r="A976" s="657">
        <f>IF(B976="",MAX($A$8:A975)+0,MAX($A$8:A975)+1)</f>
        <v>98</v>
      </c>
      <c r="B976" s="835" t="str">
        <f>IF(C976="","",COUNTA($C$10:C977))</f>
        <v/>
      </c>
      <c r="C976" s="873"/>
      <c r="D976" s="876"/>
      <c r="E976" s="852" t="s">
        <v>555</v>
      </c>
      <c r="F976" s="848" t="str">
        <f>VLOOKUP(E976,DICH!B:C,2,FALSE)</f>
        <v>Other material</v>
      </c>
      <c r="G976" s="362" t="s">
        <v>554</v>
      </c>
      <c r="H976" s="239">
        <v>5</v>
      </c>
      <c r="I976" s="848">
        <f>SUM(J968:J975)</f>
        <v>1292768.8925304394</v>
      </c>
      <c r="J976" s="853">
        <f>I976*H976%</f>
        <v>64638.444626521974</v>
      </c>
      <c r="N976" s="843" t="s">
        <v>457</v>
      </c>
      <c r="O976" s="844"/>
      <c r="P976" s="843"/>
      <c r="Q976" s="657" t="s">
        <v>457</v>
      </c>
    </row>
    <row r="977" spans="1:18" ht="15" customHeight="1">
      <c r="A977" s="657">
        <f>IF(B977="",MAX($A$8:A976)+0,MAX($A$8:A976)+1)</f>
        <v>98</v>
      </c>
      <c r="B977" s="835" t="str">
        <f>IF(C977="","",COUNTA($C$10:C978))</f>
        <v/>
      </c>
      <c r="C977" s="873"/>
      <c r="D977" s="876"/>
      <c r="E977" s="852" t="s">
        <v>2040</v>
      </c>
      <c r="F977" s="848" t="str">
        <f>VLOOKUP(E977,DICH!B:C,2,FALSE)</f>
        <v xml:space="preserve">  B - Labour 4.5/7</v>
      </c>
      <c r="G977" s="873" t="s">
        <v>4899</v>
      </c>
      <c r="H977" s="239">
        <v>4.12</v>
      </c>
      <c r="I977" s="848">
        <f>VLOOKUP(E977,'16.NC'!$C$11:$F$22,4,FALSE)</f>
        <v>237875</v>
      </c>
      <c r="J977" s="849">
        <f>I977*H977</f>
        <v>980045</v>
      </c>
      <c r="N977" s="843" t="s">
        <v>457</v>
      </c>
      <c r="O977" s="844"/>
      <c r="P977" s="843"/>
      <c r="Q977" s="657" t="s">
        <v>457</v>
      </c>
      <c r="R977" s="658">
        <v>1</v>
      </c>
    </row>
    <row r="978" spans="1:18" ht="15" customHeight="1">
      <c r="A978" s="657">
        <f>IF(B978="",MAX($A$8:A977)+0,MAX($A$8:A977)+1)</f>
        <v>98</v>
      </c>
      <c r="B978" s="835" t="str">
        <f>IF(C978="","",COUNTA($C$10:C979))</f>
        <v/>
      </c>
      <c r="C978" s="873"/>
      <c r="D978" s="876"/>
      <c r="E978" s="852" t="s">
        <v>2033</v>
      </c>
      <c r="F978" s="848" t="str">
        <f>VLOOKUP(E978,DICH!B:C,2,FALSE)</f>
        <v xml:space="preserve">  C - Machine</v>
      </c>
      <c r="G978" s="873"/>
      <c r="H978" s="239"/>
      <c r="I978" s="848"/>
      <c r="J978" s="849">
        <f>SUM(J979:J983)</f>
        <v>679802.6293981364</v>
      </c>
      <c r="N978" s="843" t="s">
        <v>457</v>
      </c>
      <c r="O978" s="844"/>
      <c r="P978" s="843"/>
      <c r="Q978" s="657" t="s">
        <v>457</v>
      </c>
    </row>
    <row r="979" spans="1:18" ht="15" customHeight="1">
      <c r="A979" s="657">
        <f>IF(B979="",MAX($A$8:A978)+0,MAX($A$8:A978)+1)</f>
        <v>98</v>
      </c>
      <c r="B979" s="835" t="str">
        <f>IF(C979="","",COUNTA($C$10:C980))</f>
        <v/>
      </c>
      <c r="C979" s="873"/>
      <c r="D979" s="876"/>
      <c r="E979" s="852" t="s">
        <v>288</v>
      </c>
      <c r="F979" s="848" t="str">
        <f>VLOOKUP(E979,'9.may'!E:F,2,FALSE)</f>
        <v>caterpillar crane 25T</v>
      </c>
      <c r="G979" s="873" t="s">
        <v>4902</v>
      </c>
      <c r="H979" s="239">
        <v>0.21099999999999999</v>
      </c>
      <c r="I979" s="848">
        <f>VLOOKUP(E979,'9.may'!E:W,12,FALSE)</f>
        <v>2787996.6736363638</v>
      </c>
      <c r="J979" s="853">
        <f>I979*H979</f>
        <v>588267.29813727271</v>
      </c>
      <c r="N979" s="843" t="s">
        <v>457</v>
      </c>
      <c r="O979" s="844">
        <v>5</v>
      </c>
      <c r="P979" s="843"/>
      <c r="Q979" s="657" t="s">
        <v>457</v>
      </c>
    </row>
    <row r="980" spans="1:18" ht="15" customHeight="1">
      <c r="A980" s="657">
        <f>IF(B980="",MAX($A$8:A979)+0,MAX($A$8:A979)+1)</f>
        <v>98</v>
      </c>
      <c r="B980" s="835" t="str">
        <f>IF(C980="","",COUNTA($C$10:C981))</f>
        <v/>
      </c>
      <c r="C980" s="873"/>
      <c r="D980" s="876"/>
      <c r="E980" s="852" t="s">
        <v>1109</v>
      </c>
      <c r="F980" s="848" t="str">
        <f>VLOOKUP(E980,'9.may'!E:F,2,FALSE)</f>
        <v>electric winch 5Ton</v>
      </c>
      <c r="G980" s="873" t="s">
        <v>4902</v>
      </c>
      <c r="H980" s="239">
        <v>0.19600000000000001</v>
      </c>
      <c r="I980" s="848">
        <f>VLOOKUP(E980,'9.may'!E:W,12,FALSE)</f>
        <v>135809.41500000001</v>
      </c>
      <c r="J980" s="853">
        <f>I980*H980</f>
        <v>26618.645340000003</v>
      </c>
      <c r="N980" s="843" t="s">
        <v>457</v>
      </c>
      <c r="O980" s="844">
        <v>5</v>
      </c>
      <c r="P980" s="843"/>
      <c r="Q980" s="657" t="s">
        <v>457</v>
      </c>
    </row>
    <row r="981" spans="1:18" ht="15" customHeight="1">
      <c r="A981" s="657">
        <f>IF(B981="",MAX($A$8:A980)+0,MAX($A$8:A980)+1)</f>
        <v>98</v>
      </c>
      <c r="B981" s="835" t="str">
        <f>IF(C981="","",COUNTA($C$10:C982))</f>
        <v/>
      </c>
      <c r="C981" s="873"/>
      <c r="D981" s="876"/>
      <c r="E981" s="852" t="s">
        <v>618</v>
      </c>
      <c r="F981" s="848" t="str">
        <f>VLOOKUP(E981,'9.may'!E:F,2,FALSE)</f>
        <v>cable-cutting machine 10kW</v>
      </c>
      <c r="G981" s="873" t="s">
        <v>4902</v>
      </c>
      <c r="H981" s="239">
        <v>0.19600000000000001</v>
      </c>
      <c r="I981" s="848">
        <f>VLOOKUP(E981,'9.may'!E:W,12,FALSE)</f>
        <v>93919.01999999999</v>
      </c>
      <c r="J981" s="853">
        <f>I981*H981</f>
        <v>18408.127919999999</v>
      </c>
      <c r="N981" s="843" t="s">
        <v>457</v>
      </c>
      <c r="O981" s="844">
        <v>5</v>
      </c>
      <c r="P981" s="843"/>
      <c r="Q981" s="657" t="s">
        <v>457</v>
      </c>
    </row>
    <row r="982" spans="1:18" ht="15" customHeight="1">
      <c r="A982" s="657">
        <f>IF(B982="",MAX($A$8:A981)+0,MAX($A$8:A981)+1)</f>
        <v>98</v>
      </c>
      <c r="B982" s="835" t="str">
        <f>IF(C982="","",COUNTA($C$10:C983))</f>
        <v/>
      </c>
      <c r="C982" s="873"/>
      <c r="D982" s="876"/>
      <c r="E982" s="852" t="s">
        <v>325</v>
      </c>
      <c r="F982" s="848" t="str">
        <f>VLOOKUP(E982,'9.may'!E:F,2,FALSE)</f>
        <v>jack 50T</v>
      </c>
      <c r="G982" s="873" t="s">
        <v>4902</v>
      </c>
      <c r="H982" s="239">
        <v>0.21099999999999999</v>
      </c>
      <c r="I982" s="848">
        <f>VLOOKUP(E982,'9.may'!E:W,12,FALSE)</f>
        <v>67000.02</v>
      </c>
      <c r="J982" s="853">
        <f>I982*H982</f>
        <v>14137.004220000001</v>
      </c>
      <c r="N982" s="843" t="s">
        <v>457</v>
      </c>
      <c r="O982" s="844">
        <v>5</v>
      </c>
      <c r="P982" s="843"/>
      <c r="Q982" s="657" t="s">
        <v>457</v>
      </c>
    </row>
    <row r="983" spans="1:18" ht="15" customHeight="1">
      <c r="A983" s="657">
        <f>IF(B983="",MAX($A$8:A982)+0,MAX($A$8:A982)+1)</f>
        <v>98</v>
      </c>
      <c r="B983" s="835" t="str">
        <f>IF(C983="","",COUNTA($C$10:C984))</f>
        <v/>
      </c>
      <c r="C983" s="873"/>
      <c r="D983" s="876"/>
      <c r="E983" s="852" t="s">
        <v>553</v>
      </c>
      <c r="F983" s="848" t="str">
        <f>VLOOKUP(E983,DICH!B:C,2,FALSE)</f>
        <v>Other machine</v>
      </c>
      <c r="G983" s="362" t="s">
        <v>554</v>
      </c>
      <c r="H983" s="239">
        <v>5</v>
      </c>
      <c r="I983" s="848">
        <f>SUM(J979:J982)</f>
        <v>647431.07561727276</v>
      </c>
      <c r="J983" s="853">
        <f>I983*H983%</f>
        <v>32371.55378086364</v>
      </c>
      <c r="N983" s="843" t="s">
        <v>457</v>
      </c>
      <c r="O983" s="844"/>
      <c r="P983" s="843"/>
      <c r="Q983" s="657" t="s">
        <v>457</v>
      </c>
    </row>
    <row r="984" spans="1:18" ht="25.5">
      <c r="A984" s="657">
        <f>IF(B984="",MAX($A$8:A983)+0,MAX($A$8:A983)+1)</f>
        <v>99</v>
      </c>
      <c r="B984" s="835">
        <f>IF(C984="","",COUNTA($C$10:C985))</f>
        <v>99</v>
      </c>
      <c r="C984" s="239">
        <v>1091</v>
      </c>
      <c r="D984" s="704" t="s">
        <v>2056</v>
      </c>
      <c r="E984" s="808" t="s">
        <v>3836</v>
      </c>
      <c r="F984" s="1049" t="str">
        <f>VLOOKUP(E984,DICH!B:C,2,FALSE)</f>
        <v>Install &amp; remove outer formwork by steel super T beam, co=1.4</v>
      </c>
      <c r="G984" s="809" t="s">
        <v>548</v>
      </c>
      <c r="H984" s="847">
        <v>1.4</v>
      </c>
      <c r="I984" s="848"/>
      <c r="J984" s="853"/>
      <c r="K984" s="842">
        <f>+J985</f>
        <v>7334.7272727272721</v>
      </c>
      <c r="L984" s="842">
        <f>+J989</f>
        <v>146531</v>
      </c>
      <c r="M984" s="842">
        <f>+J990</f>
        <v>121216.55991933598</v>
      </c>
      <c r="N984" s="843" t="s">
        <v>457</v>
      </c>
      <c r="O984" s="844"/>
      <c r="P984" s="843"/>
      <c r="Q984" s="657" t="s">
        <v>457</v>
      </c>
    </row>
    <row r="985" spans="1:18" ht="15" customHeight="1">
      <c r="A985" s="657">
        <f>IF(B985="",MAX($A$8:A984)+0,MAX($A$8:A984)+1)</f>
        <v>99</v>
      </c>
      <c r="B985" s="835" t="str">
        <f>IF(C985="","",COUNTA($C$10:C986))</f>
        <v/>
      </c>
      <c r="C985" s="873"/>
      <c r="D985" s="876"/>
      <c r="E985" s="852" t="s">
        <v>2032</v>
      </c>
      <c r="F985" s="848" t="str">
        <f>VLOOKUP(E985,DICH!B:C,2,FALSE)</f>
        <v xml:space="preserve">  A - Material</v>
      </c>
      <c r="G985" s="873"/>
      <c r="H985" s="873"/>
      <c r="I985" s="848"/>
      <c r="J985" s="849">
        <f>SUM(J986:J988)</f>
        <v>7334.7272727272721</v>
      </c>
      <c r="N985" s="843" t="s">
        <v>457</v>
      </c>
      <c r="O985" s="844"/>
      <c r="P985" s="843"/>
      <c r="Q985" s="657" t="s">
        <v>457</v>
      </c>
    </row>
    <row r="986" spans="1:18" ht="15" customHeight="1">
      <c r="A986" s="657">
        <f>IF(B986="",MAX($A$8:A985)+0,MAX($A$8:A985)+1)</f>
        <v>99</v>
      </c>
      <c r="B986" s="835" t="str">
        <f>IF(C986="","",COUNTA($C$10:C987))</f>
        <v/>
      </c>
      <c r="C986" s="873"/>
      <c r="D986" s="876"/>
      <c r="E986" s="819" t="s">
        <v>559</v>
      </c>
      <c r="F986" s="848" t="str">
        <f>VLOOKUP(E986,DICH!B:C,2,FALSE)</f>
        <v>welding electrode</v>
      </c>
      <c r="G986" s="704" t="s">
        <v>558</v>
      </c>
      <c r="H986" s="239">
        <f>0.18*1.4</f>
        <v>0.252</v>
      </c>
      <c r="I986" s="848">
        <f>VLOOKUP(E986,'11.gia '!$B:$I,8,FALSE)</f>
        <v>19090.909090909088</v>
      </c>
      <c r="J986" s="853">
        <f>I986*H986</f>
        <v>4810.9090909090901</v>
      </c>
      <c r="N986" s="843" t="s">
        <v>457</v>
      </c>
      <c r="O986" s="844">
        <v>2</v>
      </c>
      <c r="P986" s="843"/>
      <c r="Q986" s="657" t="s">
        <v>457</v>
      </c>
    </row>
    <row r="987" spans="1:18" ht="15" customHeight="1">
      <c r="A987" s="657">
        <f>IF(B987="",MAX($A$8:A986)+0,MAX($A$8:A986)+1)</f>
        <v>99</v>
      </c>
      <c r="B987" s="835" t="str">
        <f>IF(C987="","",COUNTA($C$10:C988))</f>
        <v/>
      </c>
      <c r="C987" s="873"/>
      <c r="D987" s="876"/>
      <c r="E987" s="819" t="s">
        <v>406</v>
      </c>
      <c r="F987" s="848" t="str">
        <f>VLOOKUP(E987,DICH!B:C,2,FALSE)</f>
        <v xml:space="preserve">Grinding stone </v>
      </c>
      <c r="G987" s="704" t="s">
        <v>573</v>
      </c>
      <c r="H987" s="239">
        <f>0.068*1.4</f>
        <v>9.5200000000000007E-2</v>
      </c>
      <c r="I987" s="848">
        <f>VLOOKUP(E987,'11.gia '!$B:$I,8,FALSE)</f>
        <v>25000</v>
      </c>
      <c r="J987" s="853">
        <f>I987*H987</f>
        <v>2380</v>
      </c>
      <c r="N987" s="843" t="s">
        <v>457</v>
      </c>
      <c r="O987" s="844">
        <v>2</v>
      </c>
      <c r="P987" s="843"/>
      <c r="Q987" s="657" t="s">
        <v>457</v>
      </c>
    </row>
    <row r="988" spans="1:18" ht="15" customHeight="1">
      <c r="A988" s="657">
        <f>IF(B988="",MAX($A$8:A987)+0,MAX($A$8:A987)+1)</f>
        <v>99</v>
      </c>
      <c r="B988" s="835" t="str">
        <f>IF(C988="","",COUNTA($C$10:C989))</f>
        <v/>
      </c>
      <c r="C988" s="873"/>
      <c r="D988" s="876"/>
      <c r="E988" s="852" t="s">
        <v>555</v>
      </c>
      <c r="F988" s="848" t="str">
        <f>VLOOKUP(E988,DICH!B:C,2,FALSE)</f>
        <v>Other material</v>
      </c>
      <c r="G988" s="362" t="s">
        <v>554</v>
      </c>
      <c r="H988" s="239">
        <v>2</v>
      </c>
      <c r="I988" s="848">
        <f>SUM(J986:J987)</f>
        <v>7190.9090909090901</v>
      </c>
      <c r="J988" s="853">
        <f>I988*H988%</f>
        <v>143.81818181818181</v>
      </c>
      <c r="N988" s="843" t="s">
        <v>457</v>
      </c>
      <c r="O988" s="844">
        <v>2</v>
      </c>
      <c r="P988" s="843"/>
      <c r="Q988" s="657" t="s">
        <v>457</v>
      </c>
    </row>
    <row r="989" spans="1:18" ht="15" customHeight="1">
      <c r="A989" s="657">
        <f>IF(B989="",MAX($A$8:A988)+0,MAX($A$8:A988)+1)</f>
        <v>99</v>
      </c>
      <c r="B989" s="835" t="str">
        <f>IF(C989="","",COUNTA($C$10:C990))</f>
        <v/>
      </c>
      <c r="C989" s="873"/>
      <c r="D989" s="876"/>
      <c r="E989" s="852" t="s">
        <v>2040</v>
      </c>
      <c r="F989" s="848" t="str">
        <f>VLOOKUP(E989,DICH!B:C,2,FALSE)</f>
        <v xml:space="preserve">  B - Labour 4.5/7</v>
      </c>
      <c r="G989" s="873" t="s">
        <v>4899</v>
      </c>
      <c r="H989" s="239">
        <f>0.44*1.4</f>
        <v>0.61599999999999999</v>
      </c>
      <c r="I989" s="848">
        <f>VLOOKUP(E989,'16.NC'!$C$11:$F$22,4,FALSE)</f>
        <v>237875</v>
      </c>
      <c r="J989" s="849">
        <f>I989*H989</f>
        <v>146531</v>
      </c>
      <c r="N989" s="843" t="s">
        <v>457</v>
      </c>
      <c r="O989" s="844"/>
      <c r="P989" s="843"/>
      <c r="Q989" s="657" t="s">
        <v>457</v>
      </c>
      <c r="R989" s="658">
        <v>1</v>
      </c>
    </row>
    <row r="990" spans="1:18" ht="15" customHeight="1">
      <c r="A990" s="657">
        <f>IF(B990="",MAX($A$8:A989)+0,MAX($A$8:A989)+1)</f>
        <v>99</v>
      </c>
      <c r="B990" s="835" t="str">
        <f>IF(C990="","",COUNTA($C$10:C991))</f>
        <v/>
      </c>
      <c r="C990" s="873"/>
      <c r="D990" s="876"/>
      <c r="E990" s="852" t="s">
        <v>2033</v>
      </c>
      <c r="F990" s="848" t="str">
        <f>VLOOKUP(E990,DICH!B:C,2,FALSE)</f>
        <v xml:space="preserve">  C - Machine</v>
      </c>
      <c r="G990" s="873"/>
      <c r="H990" s="239"/>
      <c r="I990" s="848"/>
      <c r="J990" s="849">
        <f>SUM(J991:J994)</f>
        <v>121216.55991933598</v>
      </c>
      <c r="N990" s="843" t="s">
        <v>457</v>
      </c>
      <c r="O990" s="844"/>
      <c r="P990" s="843"/>
      <c r="Q990" s="657" t="s">
        <v>457</v>
      </c>
    </row>
    <row r="991" spans="1:18" ht="15" customHeight="1">
      <c r="A991" s="657">
        <f>IF(B991="",MAX($A$8:A990)+0,MAX($A$8:A990)+1)</f>
        <v>99</v>
      </c>
      <c r="B991" s="835" t="str">
        <f>IF(C991="","",COUNTA($C$10:C992))</f>
        <v/>
      </c>
      <c r="C991" s="873"/>
      <c r="D991" s="876"/>
      <c r="E991" s="819" t="s">
        <v>1978</v>
      </c>
      <c r="F991" s="848" t="str">
        <f>VLOOKUP(E991,'9.may'!E:F,2,FALSE)</f>
        <v>welding machine 23kW</v>
      </c>
      <c r="G991" s="873" t="s">
        <v>4902</v>
      </c>
      <c r="H991" s="239">
        <f>0.02*1.4</f>
        <v>2.7999999999999997E-2</v>
      </c>
      <c r="I991" s="848">
        <f>VLOOKUP(E991,'9.may'!E:W,12,FALSE)</f>
        <v>171649.155</v>
      </c>
      <c r="J991" s="853">
        <f>I991*H991</f>
        <v>4806.1763399999991</v>
      </c>
      <c r="N991" s="843" t="s">
        <v>457</v>
      </c>
      <c r="O991" s="844">
        <v>2</v>
      </c>
      <c r="P991" s="843"/>
      <c r="Q991" s="657" t="s">
        <v>457</v>
      </c>
    </row>
    <row r="992" spans="1:18" ht="15" customHeight="1">
      <c r="A992" s="657">
        <f>IF(B992="",MAX($A$8:A991)+0,MAX($A$8:A991)+1)</f>
        <v>99</v>
      </c>
      <c r="B992" s="835" t="str">
        <f>IF(C992="","",COUNTA($C$10:C993))</f>
        <v/>
      </c>
      <c r="C992" s="873"/>
      <c r="D992" s="876"/>
      <c r="E992" s="819" t="s">
        <v>422</v>
      </c>
      <c r="F992" s="848" t="str">
        <f>VLOOKUP(E992,'9.may'!E:F,2,FALSE)</f>
        <v>sharpener 2.7kW</v>
      </c>
      <c r="G992" s="873" t="s">
        <v>4902</v>
      </c>
      <c r="H992" s="239">
        <f>0.02*1.4</f>
        <v>2.7999999999999997E-2</v>
      </c>
      <c r="I992" s="848">
        <f>VLOOKUP(E992,'9.may'!E:W,12,FALSE)</f>
        <v>67591.852499999994</v>
      </c>
      <c r="J992" s="853">
        <f>I992*H992</f>
        <v>1892.5718699999995</v>
      </c>
      <c r="N992" s="843" t="s">
        <v>457</v>
      </c>
      <c r="O992" s="844">
        <v>2</v>
      </c>
      <c r="P992" s="843"/>
      <c r="Q992" s="657" t="s">
        <v>457</v>
      </c>
    </row>
    <row r="993" spans="1:18" ht="15" customHeight="1">
      <c r="A993" s="657">
        <f>IF(B993="",MAX($A$8:A992)+0,MAX($A$8:A992)+1)</f>
        <v>99</v>
      </c>
      <c r="B993" s="835" t="str">
        <f>IF(C993="","",COUNTA($C$10:C994))</f>
        <v/>
      </c>
      <c r="C993" s="873"/>
      <c r="D993" s="876"/>
      <c r="E993" s="819" t="s">
        <v>1074</v>
      </c>
      <c r="F993" s="848" t="str">
        <f>VLOOKUP(E993,'9.may'!E:F,2,FALSE)</f>
        <v>beam-launch crane</v>
      </c>
      <c r="G993" s="873" t="s">
        <v>4902</v>
      </c>
      <c r="H993" s="239">
        <f>0.018*1.4</f>
        <v>2.5199999999999997E-2</v>
      </c>
      <c r="I993" s="848">
        <f>VLOOKUP(E993,'9.may'!E:W,12,FALSE)</f>
        <v>4450040.3339999998</v>
      </c>
      <c r="J993" s="853">
        <f>I993*H993</f>
        <v>112141.01641679998</v>
      </c>
      <c r="N993" s="843" t="s">
        <v>457</v>
      </c>
      <c r="O993" s="844">
        <v>2</v>
      </c>
      <c r="P993" s="843"/>
      <c r="Q993" s="657" t="s">
        <v>457</v>
      </c>
    </row>
    <row r="994" spans="1:18" ht="15" customHeight="1">
      <c r="A994" s="657">
        <f>IF(B994="",MAX($A$8:A993)+0,MAX($A$8:A993)+1)</f>
        <v>99</v>
      </c>
      <c r="B994" s="835" t="str">
        <f>IF(C994="","",COUNTA($C$10:C995))</f>
        <v/>
      </c>
      <c r="C994" s="873"/>
      <c r="D994" s="876"/>
      <c r="E994" s="852" t="s">
        <v>553</v>
      </c>
      <c r="F994" s="848" t="str">
        <f>VLOOKUP(E994,DICH!B:C,2,FALSE)</f>
        <v>Other machine</v>
      </c>
      <c r="G994" s="362" t="s">
        <v>554</v>
      </c>
      <c r="H994" s="239">
        <v>2</v>
      </c>
      <c r="I994" s="848">
        <f>SUM(J991:J993)</f>
        <v>118839.76462679998</v>
      </c>
      <c r="J994" s="853">
        <f>I994*H994%</f>
        <v>2376.7952925359996</v>
      </c>
      <c r="N994" s="843" t="s">
        <v>457</v>
      </c>
      <c r="O994" s="844"/>
      <c r="P994" s="843"/>
      <c r="Q994" s="657" t="s">
        <v>457</v>
      </c>
    </row>
    <row r="995" spans="1:18" ht="15" customHeight="1">
      <c r="A995" s="657">
        <f>IF(B995="",MAX($A$8:A994)+0,MAX($A$8:A994)+1)</f>
        <v>100</v>
      </c>
      <c r="B995" s="835">
        <f>IF(C995="","",COUNTA($C$10:C996))</f>
        <v>100</v>
      </c>
      <c r="C995" s="362">
        <v>1777</v>
      </c>
      <c r="D995" s="851" t="s">
        <v>328</v>
      </c>
      <c r="E995" s="855" t="s">
        <v>326</v>
      </c>
      <c r="F995" s="1049" t="str">
        <f>VLOOKUP(E995,DICH!B:C,2,FALSE)</f>
        <v>Installing PVC D20/24</v>
      </c>
      <c r="G995" s="856" t="s">
        <v>546</v>
      </c>
      <c r="H995" s="847"/>
      <c r="I995" s="848"/>
      <c r="J995" s="853"/>
      <c r="K995" s="842">
        <f>+J996</f>
        <v>629050.89879999997</v>
      </c>
      <c r="L995" s="842">
        <f>+J1001</f>
        <v>888535.55999999994</v>
      </c>
      <c r="N995" s="843" t="s">
        <v>457</v>
      </c>
      <c r="O995" s="844"/>
      <c r="P995" s="843"/>
      <c r="Q995" s="657" t="s">
        <v>457</v>
      </c>
    </row>
    <row r="996" spans="1:18" ht="15" customHeight="1">
      <c r="A996" s="657">
        <f>IF(B996="",MAX($A$8:A995)+0,MAX($A$8:A995)+1)</f>
        <v>100</v>
      </c>
      <c r="B996" s="835" t="str">
        <f>IF(C996="","",COUNTA($C$10:C997))</f>
        <v/>
      </c>
      <c r="C996" s="873"/>
      <c r="D996" s="876"/>
      <c r="E996" s="852" t="s">
        <v>2032</v>
      </c>
      <c r="F996" s="848" t="str">
        <f>VLOOKUP(E996,DICH!B:C,2,FALSE)</f>
        <v xml:space="preserve">  A - Material</v>
      </c>
      <c r="G996" s="873"/>
      <c r="H996" s="873"/>
      <c r="I996" s="848"/>
      <c r="J996" s="849">
        <f>SUM(J997:J1000)</f>
        <v>629050.89879999997</v>
      </c>
      <c r="N996" s="843" t="s">
        <v>457</v>
      </c>
      <c r="O996" s="844"/>
      <c r="P996" s="843"/>
      <c r="Q996" s="657" t="s">
        <v>457</v>
      </c>
    </row>
    <row r="997" spans="1:18" ht="15" customHeight="1">
      <c r="A997" s="657">
        <f>IF(B997="",MAX($A$8:A996)+0,MAX($A$8:A996)+1)</f>
        <v>100</v>
      </c>
      <c r="B997" s="835" t="str">
        <f>IF(C997="","",COUNTA($C$10:C998))</f>
        <v/>
      </c>
      <c r="C997" s="873"/>
      <c r="D997" s="877"/>
      <c r="E997" s="852" t="s">
        <v>358</v>
      </c>
      <c r="F997" s="848" t="str">
        <f>VLOOKUP(E997,DICH!B:C,2,FALSE)</f>
        <v>Pipe PVC D20/24</v>
      </c>
      <c r="G997" s="873" t="s">
        <v>543</v>
      </c>
      <c r="H997" s="878">
        <v>101</v>
      </c>
      <c r="I997" s="848">
        <f>VLOOKUP(E997,'11.gia '!$B:$I,8,FALSE)</f>
        <v>6200</v>
      </c>
      <c r="J997" s="853">
        <f>I997*H997</f>
        <v>626200</v>
      </c>
      <c r="N997" s="843" t="s">
        <v>457</v>
      </c>
      <c r="O997" s="844">
        <f>+$H$1000</f>
        <v>0.01</v>
      </c>
      <c r="P997" s="843"/>
      <c r="Q997" s="657" t="s">
        <v>457</v>
      </c>
    </row>
    <row r="998" spans="1:18" ht="15" customHeight="1">
      <c r="A998" s="657">
        <f>IF(B998="",MAX($A$8:A997)+0,MAX($A$8:A997)+1)</f>
        <v>100</v>
      </c>
      <c r="B998" s="835" t="str">
        <f>IF(C998="","",COUNTA($C$10:C999))</f>
        <v/>
      </c>
      <c r="C998" s="873"/>
      <c r="D998" s="877"/>
      <c r="E998" s="852" t="s">
        <v>476</v>
      </c>
      <c r="F998" s="848" t="str">
        <f>VLOOKUP(E998,DICH!B:C,2,FALSE)</f>
        <v>Alcohol for washing</v>
      </c>
      <c r="G998" s="873" t="s">
        <v>558</v>
      </c>
      <c r="H998" s="878">
        <v>0.11</v>
      </c>
      <c r="I998" s="848">
        <f>VLOOKUP(E998,'11.gia '!$B:$I,8,FALSE)</f>
        <v>7000</v>
      </c>
      <c r="J998" s="853">
        <f>I998*H998</f>
        <v>770</v>
      </c>
      <c r="N998" s="843" t="s">
        <v>457</v>
      </c>
      <c r="O998" s="844">
        <f>+$H$1000</f>
        <v>0.01</v>
      </c>
      <c r="P998" s="843"/>
      <c r="Q998" s="657" t="s">
        <v>457</v>
      </c>
    </row>
    <row r="999" spans="1:18" ht="15" customHeight="1">
      <c r="A999" s="657">
        <f>IF(B999="",MAX($A$8:A998)+0,MAX($A$8:A998)+1)</f>
        <v>100</v>
      </c>
      <c r="B999" s="835" t="str">
        <f>IF(C999="","",COUNTA($C$10:C1000))</f>
        <v/>
      </c>
      <c r="C999" s="873"/>
      <c r="D999" s="877"/>
      <c r="E999" s="852" t="s">
        <v>360</v>
      </c>
      <c r="F999" s="848" t="str">
        <f>VLOOKUP(E999,DICH!B:C,2,FALSE)</f>
        <v>glue</v>
      </c>
      <c r="G999" s="873" t="s">
        <v>558</v>
      </c>
      <c r="H999" s="878">
        <v>0.02</v>
      </c>
      <c r="I999" s="848">
        <f>VLOOKUP(E999,'11.gia '!$B:$I,8,FALSE)</f>
        <v>100900</v>
      </c>
      <c r="J999" s="853">
        <f>I999*H999</f>
        <v>2018</v>
      </c>
      <c r="N999" s="843" t="s">
        <v>457</v>
      </c>
      <c r="O999" s="844">
        <f>+$H$1000</f>
        <v>0.01</v>
      </c>
      <c r="P999" s="843"/>
      <c r="Q999" s="657" t="s">
        <v>457</v>
      </c>
    </row>
    <row r="1000" spans="1:18" ht="15" customHeight="1">
      <c r="A1000" s="657">
        <f>IF(B1000="",MAX($A$8:A999)+0,MAX($A$8:A999)+1)</f>
        <v>100</v>
      </c>
      <c r="B1000" s="835" t="str">
        <f>IF(C1000="","",COUNTA($C$10:C1001))</f>
        <v/>
      </c>
      <c r="C1000" s="873"/>
      <c r="D1000" s="877"/>
      <c r="E1000" s="852" t="s">
        <v>555</v>
      </c>
      <c r="F1000" s="848" t="str">
        <f>VLOOKUP(E1000,DICH!B:C,2,FALSE)</f>
        <v>Other material</v>
      </c>
      <c r="G1000" s="362" t="s">
        <v>554</v>
      </c>
      <c r="H1000" s="873">
        <v>0.01</v>
      </c>
      <c r="I1000" s="848">
        <f>SUM(J997:J999)</f>
        <v>628988</v>
      </c>
      <c r="J1000" s="853">
        <f>I1000*H1000%</f>
        <v>62.898800000000001</v>
      </c>
      <c r="N1000" s="843" t="s">
        <v>457</v>
      </c>
      <c r="O1000" s="844"/>
      <c r="P1000" s="843"/>
      <c r="Q1000" s="657" t="s">
        <v>457</v>
      </c>
    </row>
    <row r="1001" spans="1:18" ht="15" customHeight="1">
      <c r="A1001" s="657">
        <f>IF(B1001="",MAX($A$8:A1000)+0,MAX($A$8:A1000)+1)</f>
        <v>100</v>
      </c>
      <c r="B1001" s="835" t="str">
        <f>IF(C1001="","",COUNTA($C$10:C1002))</f>
        <v/>
      </c>
      <c r="C1001" s="873"/>
      <c r="D1001" s="877"/>
      <c r="E1001" s="852" t="s">
        <v>2037</v>
      </c>
      <c r="F1001" s="848" t="str">
        <f>VLOOKUP(E1001,DICH!B:C,2,FALSE)</f>
        <v xml:space="preserve">  B - Labour 3.5/7</v>
      </c>
      <c r="G1001" s="873" t="s">
        <v>4899</v>
      </c>
      <c r="H1001" s="873">
        <v>4.38</v>
      </c>
      <c r="I1001" s="848">
        <f>VLOOKUP(E1001,'16.NC'!$C$11:$F$22,4,FALSE)</f>
        <v>202862</v>
      </c>
      <c r="J1001" s="849">
        <f>I1001*H1001</f>
        <v>888535.55999999994</v>
      </c>
      <c r="N1001" s="843" t="s">
        <v>457</v>
      </c>
      <c r="O1001" s="844"/>
      <c r="P1001" s="843"/>
      <c r="Q1001" s="657" t="s">
        <v>457</v>
      </c>
      <c r="R1001" s="658">
        <v>1</v>
      </c>
    </row>
    <row r="1002" spans="1:18" ht="15" customHeight="1">
      <c r="A1002" s="657">
        <f>IF(B1002="",MAX($A$8:A1001)+0,MAX($A$8:A1001)+1)</f>
        <v>101</v>
      </c>
      <c r="B1002" s="835">
        <f>IF(C1002="","",COUNTA($C$10:C1003))</f>
        <v>101</v>
      </c>
      <c r="C1002" s="362">
        <v>1777</v>
      </c>
      <c r="D1002" s="851" t="s">
        <v>54</v>
      </c>
      <c r="E1002" s="855" t="s">
        <v>327</v>
      </c>
      <c r="F1002" s="1049" t="str">
        <f>VLOOKUP(E1002,DICH!B:C,2,FALSE)</f>
        <v>Installing PVC D25/30</v>
      </c>
      <c r="G1002" s="856" t="s">
        <v>546</v>
      </c>
      <c r="H1002" s="847"/>
      <c r="I1002" s="848"/>
      <c r="J1002" s="853"/>
      <c r="K1002" s="842">
        <f>+J1003</f>
        <v>1246361.6237000001</v>
      </c>
      <c r="L1002" s="842">
        <f>+J1008</f>
        <v>1038653.4400000001</v>
      </c>
      <c r="N1002" s="843" t="s">
        <v>457</v>
      </c>
      <c r="O1002" s="844"/>
      <c r="P1002" s="843"/>
      <c r="Q1002" s="657" t="s">
        <v>457</v>
      </c>
    </row>
    <row r="1003" spans="1:18" ht="15" customHeight="1">
      <c r="A1003" s="657">
        <f>IF(B1003="",MAX($A$8:A1002)+0,MAX($A$8:A1002)+1)</f>
        <v>101</v>
      </c>
      <c r="B1003" s="835" t="str">
        <f>IF(C1003="","",COUNTA($C$10:C1004))</f>
        <v/>
      </c>
      <c r="C1003" s="873"/>
      <c r="D1003" s="876"/>
      <c r="E1003" s="852" t="s">
        <v>2032</v>
      </c>
      <c r="F1003" s="848" t="str">
        <f>VLOOKUP(E1003,DICH!B:C,2,FALSE)</f>
        <v xml:space="preserve">  A - Material</v>
      </c>
      <c r="G1003" s="873"/>
      <c r="H1003" s="873"/>
      <c r="I1003" s="848"/>
      <c r="J1003" s="849">
        <f>SUM(J1004:J1007)</f>
        <v>1246361.6237000001</v>
      </c>
      <c r="N1003" s="843" t="s">
        <v>457</v>
      </c>
      <c r="O1003" s="844"/>
      <c r="P1003" s="843"/>
      <c r="Q1003" s="657" t="s">
        <v>457</v>
      </c>
    </row>
    <row r="1004" spans="1:18" ht="15" customHeight="1">
      <c r="A1004" s="657">
        <f>IF(B1004="",MAX($A$8:A1003)+0,MAX($A$8:A1003)+1)</f>
        <v>101</v>
      </c>
      <c r="B1004" s="835" t="str">
        <f>IF(C1004="","",COUNTA($C$10:C1005))</f>
        <v/>
      </c>
      <c r="C1004" s="873"/>
      <c r="D1004" s="877"/>
      <c r="E1004" s="852" t="s">
        <v>361</v>
      </c>
      <c r="F1004" s="848" t="str">
        <f>VLOOKUP(E1004,DICH!B:C,2,FALSE)</f>
        <v>Pipe PVC D25/30</v>
      </c>
      <c r="G1004" s="873" t="s">
        <v>543</v>
      </c>
      <c r="H1004" s="878">
        <v>101</v>
      </c>
      <c r="I1004" s="848">
        <f>VLOOKUP(E1004,'11.gia '!$B:$I,8,FALSE)</f>
        <v>12300</v>
      </c>
      <c r="J1004" s="853">
        <f>I1004*H1004</f>
        <v>1242300</v>
      </c>
      <c r="N1004" s="843" t="s">
        <v>457</v>
      </c>
      <c r="O1004" s="844">
        <f>+$H$1007</f>
        <v>0.01</v>
      </c>
      <c r="P1004" s="843"/>
      <c r="Q1004" s="657" t="s">
        <v>457</v>
      </c>
    </row>
    <row r="1005" spans="1:18" ht="15" customHeight="1">
      <c r="A1005" s="657">
        <f>IF(B1005="",MAX($A$8:A1004)+0,MAX($A$8:A1004)+1)</f>
        <v>101</v>
      </c>
      <c r="B1005" s="835" t="str">
        <f>IF(C1005="","",COUNTA($C$10:C1006))</f>
        <v/>
      </c>
      <c r="C1005" s="873"/>
      <c r="D1005" s="877"/>
      <c r="E1005" s="852" t="s">
        <v>476</v>
      </c>
      <c r="F1005" s="848" t="str">
        <f>VLOOKUP(E1005,DICH!B:C,2,FALSE)</f>
        <v>Alcohol for washing</v>
      </c>
      <c r="G1005" s="873" t="s">
        <v>558</v>
      </c>
      <c r="H1005" s="878">
        <v>0.13</v>
      </c>
      <c r="I1005" s="848">
        <f>VLOOKUP(E1005,'11.gia '!$B:$I,8,FALSE)</f>
        <v>7000</v>
      </c>
      <c r="J1005" s="853">
        <f>I1005*H1005</f>
        <v>910</v>
      </c>
      <c r="N1005" s="843" t="s">
        <v>457</v>
      </c>
      <c r="O1005" s="844">
        <f>+$H$1007</f>
        <v>0.01</v>
      </c>
      <c r="P1005" s="843"/>
      <c r="Q1005" s="657" t="s">
        <v>457</v>
      </c>
    </row>
    <row r="1006" spans="1:18" ht="15" customHeight="1">
      <c r="A1006" s="657">
        <f>IF(B1006="",MAX($A$8:A1005)+0,MAX($A$8:A1005)+1)</f>
        <v>101</v>
      </c>
      <c r="B1006" s="835" t="str">
        <f>IF(C1006="","",COUNTA($C$10:C1007))</f>
        <v/>
      </c>
      <c r="C1006" s="873"/>
      <c r="D1006" s="877"/>
      <c r="E1006" s="852" t="s">
        <v>360</v>
      </c>
      <c r="F1006" s="848" t="str">
        <f>VLOOKUP(E1006,DICH!B:C,2,FALSE)</f>
        <v>glue</v>
      </c>
      <c r="G1006" s="873" t="s">
        <v>558</v>
      </c>
      <c r="H1006" s="878">
        <v>0.03</v>
      </c>
      <c r="I1006" s="848">
        <f>VLOOKUP(E1006,'11.gia '!$B:$I,8,FALSE)</f>
        <v>100900</v>
      </c>
      <c r="J1006" s="853">
        <f>I1006*H1006</f>
        <v>3027</v>
      </c>
      <c r="N1006" s="843" t="s">
        <v>457</v>
      </c>
      <c r="O1006" s="844">
        <f>+$H$1007</f>
        <v>0.01</v>
      </c>
      <c r="P1006" s="843"/>
      <c r="Q1006" s="657" t="s">
        <v>457</v>
      </c>
    </row>
    <row r="1007" spans="1:18" ht="15" customHeight="1">
      <c r="A1007" s="657">
        <f>IF(B1007="",MAX($A$8:A1006)+0,MAX($A$8:A1006)+1)</f>
        <v>101</v>
      </c>
      <c r="B1007" s="835" t="str">
        <f>IF(C1007="","",COUNTA($C$10:C1008))</f>
        <v/>
      </c>
      <c r="C1007" s="873"/>
      <c r="D1007" s="877"/>
      <c r="E1007" s="852" t="s">
        <v>555</v>
      </c>
      <c r="F1007" s="848" t="str">
        <f>VLOOKUP(E1007,DICH!B:C,2,FALSE)</f>
        <v>Other material</v>
      </c>
      <c r="G1007" s="362" t="s">
        <v>554</v>
      </c>
      <c r="H1007" s="873">
        <v>0.01</v>
      </c>
      <c r="I1007" s="848">
        <f>SUM(J1004:J1006)</f>
        <v>1246237</v>
      </c>
      <c r="J1007" s="853">
        <f>I1007*H1007%</f>
        <v>124.6237</v>
      </c>
      <c r="N1007" s="843" t="s">
        <v>457</v>
      </c>
      <c r="O1007" s="844"/>
      <c r="P1007" s="843"/>
      <c r="Q1007" s="657" t="s">
        <v>457</v>
      </c>
    </row>
    <row r="1008" spans="1:18" ht="15" customHeight="1">
      <c r="A1008" s="657">
        <f>IF(B1008="",MAX($A$8:A1007)+0,MAX($A$8:A1007)+1)</f>
        <v>101</v>
      </c>
      <c r="B1008" s="835" t="str">
        <f>IF(C1008="","",COUNTA($C$10:C1009))</f>
        <v/>
      </c>
      <c r="C1008" s="873"/>
      <c r="D1008" s="877"/>
      <c r="E1008" s="852" t="s">
        <v>2037</v>
      </c>
      <c r="F1008" s="848" t="str">
        <f>VLOOKUP(E1008,DICH!B:C,2,FALSE)</f>
        <v xml:space="preserve">  B - Labour 3.5/7</v>
      </c>
      <c r="G1008" s="873" t="s">
        <v>4899</v>
      </c>
      <c r="H1008" s="873">
        <v>5.12</v>
      </c>
      <c r="I1008" s="848">
        <f>VLOOKUP(E1008,'16.NC'!$C$11:$F$22,4,FALSE)</f>
        <v>202862</v>
      </c>
      <c r="J1008" s="849">
        <f>I1008*H1008</f>
        <v>1038653.4400000001</v>
      </c>
      <c r="N1008" s="843" t="s">
        <v>457</v>
      </c>
      <c r="O1008" s="844"/>
      <c r="P1008" s="843"/>
      <c r="Q1008" s="657" t="s">
        <v>457</v>
      </c>
      <c r="R1008" s="658">
        <v>1</v>
      </c>
    </row>
    <row r="1009" spans="1:18" ht="15" customHeight="1">
      <c r="A1009" s="657">
        <f>IF(B1009="",MAX($A$8:A1008)+0,MAX($A$8:A1008)+1)</f>
        <v>102</v>
      </c>
      <c r="B1009" s="835">
        <f>IF(C1009="","",COUNTA($C$10:C1010))</f>
        <v>102</v>
      </c>
      <c r="C1009" s="835">
        <f>IF(D1009="","",1776)</f>
        <v>1776</v>
      </c>
      <c r="D1009" s="851" t="s">
        <v>717</v>
      </c>
      <c r="E1009" s="855" t="s">
        <v>718</v>
      </c>
      <c r="F1009" s="1049" t="str">
        <f>VLOOKUP(E1009,DICH!B:C,2,FALSE)</f>
        <v>Producting plate steel</v>
      </c>
      <c r="G1009" s="856" t="s">
        <v>4644</v>
      </c>
      <c r="H1009" s="847"/>
      <c r="I1009" s="848"/>
      <c r="J1009" s="853"/>
      <c r="K1009" s="842">
        <f>+J1010</f>
        <v>15228947.773351362</v>
      </c>
      <c r="L1009" s="842">
        <f>+J1018</f>
        <v>6232325</v>
      </c>
      <c r="M1009" s="842">
        <f>+J1019</f>
        <v>585505.96165199997</v>
      </c>
      <c r="N1009" s="843" t="s">
        <v>457</v>
      </c>
      <c r="O1009" s="844"/>
      <c r="P1009" s="843"/>
      <c r="Q1009" s="657" t="s">
        <v>457</v>
      </c>
    </row>
    <row r="1010" spans="1:18" s="658" customFormat="1" ht="15" customHeight="1">
      <c r="A1010" s="657">
        <f>IF(B1010="",MAX($A$8:A1009)+0,MAX($A$8:A1009)+1)</f>
        <v>102</v>
      </c>
      <c r="B1010" s="835" t="str">
        <f>IF(C1010="","",COUNTA($C$10:C1011))</f>
        <v/>
      </c>
      <c r="C1010" s="362"/>
      <c r="D1010" s="845"/>
      <c r="E1010" s="852" t="s">
        <v>2032</v>
      </c>
      <c r="F1010" s="848" t="str">
        <f>VLOOKUP(E1010,DICH!B:C,2,FALSE)</f>
        <v xml:space="preserve">  A - Material</v>
      </c>
      <c r="G1010" s="846"/>
      <c r="H1010" s="847"/>
      <c r="I1010" s="848"/>
      <c r="J1010" s="849">
        <f>SUM(J1011:J1017)</f>
        <v>15228947.773351362</v>
      </c>
      <c r="K1010" s="850"/>
      <c r="L1010" s="850"/>
      <c r="M1010" s="850"/>
      <c r="N1010" s="843" t="s">
        <v>457</v>
      </c>
      <c r="O1010" s="844"/>
      <c r="P1010" s="843"/>
      <c r="Q1010" s="657" t="s">
        <v>457</v>
      </c>
    </row>
    <row r="1011" spans="1:18" ht="15" customHeight="1">
      <c r="A1011" s="657">
        <f>IF(B1011="",MAX($A$8:A1010)+0,MAX($A$8:A1010)+1)</f>
        <v>102</v>
      </c>
      <c r="B1011" s="835" t="str">
        <f>IF(C1011="","",COUNTA($C$10:C1012))</f>
        <v/>
      </c>
      <c r="C1011" s="362"/>
      <c r="D1011" s="851"/>
      <c r="E1011" s="852" t="s">
        <v>562</v>
      </c>
      <c r="F1011" s="848" t="str">
        <f>VLOOKUP(E1011,DICH!B:C,2,FALSE)</f>
        <v>Plate steel</v>
      </c>
      <c r="G1011" s="362" t="s">
        <v>558</v>
      </c>
      <c r="H1011" s="847">
        <v>776</v>
      </c>
      <c r="I1011" s="848">
        <f>VLOOKUP(E1011,'11.gia '!$B:$I,8,FALSE)</f>
        <v>12871.348287272725</v>
      </c>
      <c r="J1011" s="853">
        <f t="shared" ref="J1011:J1016" si="44">I1011*H1011</f>
        <v>9988166.270923635</v>
      </c>
      <c r="N1011" s="843" t="s">
        <v>457</v>
      </c>
      <c r="O1011" s="844">
        <f t="shared" ref="O1011:O1016" si="45">+$H$1017</f>
        <v>2.5</v>
      </c>
      <c r="P1011" s="843"/>
      <c r="Q1011" s="657" t="s">
        <v>457</v>
      </c>
    </row>
    <row r="1012" spans="1:18" ht="15" customHeight="1">
      <c r="A1012" s="657">
        <f>IF(B1012="",MAX($A$8:A1011)+0,MAX($A$8:A1011)+1)</f>
        <v>102</v>
      </c>
      <c r="B1012" s="835" t="str">
        <f>IF(C1012="","",COUNTA($C$10:C1013))</f>
        <v/>
      </c>
      <c r="C1012" s="362"/>
      <c r="D1012" s="851"/>
      <c r="E1012" s="852" t="s">
        <v>671</v>
      </c>
      <c r="F1012" s="848" t="str">
        <f>VLOOKUP(E1012,DICH!B:C,2,FALSE)</f>
        <v>steel bar D&lt;=18</v>
      </c>
      <c r="G1012" s="362" t="s">
        <v>558</v>
      </c>
      <c r="H1012" s="847">
        <v>259</v>
      </c>
      <c r="I1012" s="848">
        <f>VLOOKUP(E1012,'11.gia '!$B:$I,8,FALSE)</f>
        <v>16604.075560000001</v>
      </c>
      <c r="J1012" s="853">
        <f t="shared" si="44"/>
        <v>4300455.5700400006</v>
      </c>
      <c r="N1012" s="843" t="s">
        <v>457</v>
      </c>
      <c r="O1012" s="844">
        <f t="shared" si="45"/>
        <v>2.5</v>
      </c>
      <c r="P1012" s="843"/>
      <c r="Q1012" s="657" t="s">
        <v>457</v>
      </c>
    </row>
    <row r="1013" spans="1:18" ht="15" customHeight="1">
      <c r="A1013" s="657">
        <f>IF(B1013="",MAX($A$8:A1012)+0,MAX($A$8:A1012)+1)</f>
        <v>102</v>
      </c>
      <c r="B1013" s="835" t="str">
        <f>IF(C1013="","",COUNTA($C$10:C1014))</f>
        <v/>
      </c>
      <c r="C1013" s="362"/>
      <c r="D1013" s="851"/>
      <c r="E1013" s="852" t="s">
        <v>564</v>
      </c>
      <c r="F1013" s="848" t="str">
        <f>VLOOKUP(E1013,DICH!B:C,2,FALSE)</f>
        <v>oxygen</v>
      </c>
      <c r="G1013" s="362" t="s">
        <v>4647</v>
      </c>
      <c r="H1013" s="847">
        <v>2.4500000000000002</v>
      </c>
      <c r="I1013" s="848">
        <f>VLOOKUP(E1013,'11.gia '!$B:$I,8,FALSE)</f>
        <v>48000</v>
      </c>
      <c r="J1013" s="853">
        <f t="shared" si="44"/>
        <v>117600.00000000001</v>
      </c>
      <c r="N1013" s="843" t="s">
        <v>457</v>
      </c>
      <c r="O1013" s="844">
        <f t="shared" si="45"/>
        <v>2.5</v>
      </c>
      <c r="P1013" s="843"/>
      <c r="Q1013" s="657" t="s">
        <v>457</v>
      </c>
    </row>
    <row r="1014" spans="1:18" ht="15" customHeight="1">
      <c r="A1014" s="657">
        <f>IF(B1014="",MAX($A$8:A1013)+0,MAX($A$8:A1013)+1)</f>
        <v>102</v>
      </c>
      <c r="B1014" s="835" t="str">
        <f>IF(C1014="","",COUNTA($C$10:C1015))</f>
        <v/>
      </c>
      <c r="C1014" s="362"/>
      <c r="D1014" s="851"/>
      <c r="E1014" s="852" t="s">
        <v>566</v>
      </c>
      <c r="F1014" s="848" t="str">
        <f>VLOOKUP(E1014,DICH!B:C,2,FALSE)</f>
        <v>Calcium carbide</v>
      </c>
      <c r="G1014" s="362" t="s">
        <v>558</v>
      </c>
      <c r="H1014" s="847">
        <v>11.48</v>
      </c>
      <c r="I1014" s="848">
        <f>VLOOKUP(E1014,'11.gia '!$B:$I,8,FALSE)</f>
        <v>14000</v>
      </c>
      <c r="J1014" s="853">
        <f t="shared" si="44"/>
        <v>160720</v>
      </c>
      <c r="N1014" s="843" t="s">
        <v>457</v>
      </c>
      <c r="O1014" s="844">
        <f t="shared" si="45"/>
        <v>2.5</v>
      </c>
      <c r="P1014" s="843"/>
      <c r="Q1014" s="657" t="s">
        <v>457</v>
      </c>
    </row>
    <row r="1015" spans="1:18" ht="15" customHeight="1">
      <c r="A1015" s="657">
        <f>IF(B1015="",MAX($A$8:A1014)+0,MAX($A$8:A1014)+1)</f>
        <v>102</v>
      </c>
      <c r="B1015" s="835" t="str">
        <f>IF(C1015="","",COUNTA($C$10:C1016))</f>
        <v/>
      </c>
      <c r="C1015" s="362"/>
      <c r="D1015" s="851"/>
      <c r="E1015" s="852" t="s">
        <v>406</v>
      </c>
      <c r="F1015" s="848" t="str">
        <f>VLOOKUP(E1015,DICH!B:C,2,FALSE)</f>
        <v xml:space="preserve">Grinding stone </v>
      </c>
      <c r="G1015" s="362" t="s">
        <v>573</v>
      </c>
      <c r="H1015" s="847">
        <v>0.55000000000000004</v>
      </c>
      <c r="I1015" s="848">
        <f>VLOOKUP(E1015,'11.gia '!$B:$I,8,FALSE)</f>
        <v>25000</v>
      </c>
      <c r="J1015" s="853">
        <f t="shared" si="44"/>
        <v>13750.000000000002</v>
      </c>
      <c r="N1015" s="843" t="s">
        <v>457</v>
      </c>
      <c r="O1015" s="844">
        <f t="shared" si="45"/>
        <v>2.5</v>
      </c>
      <c r="P1015" s="843"/>
      <c r="Q1015" s="657" t="s">
        <v>457</v>
      </c>
    </row>
    <row r="1016" spans="1:18" ht="15" customHeight="1">
      <c r="A1016" s="657">
        <f>IF(B1016="",MAX($A$8:A1015)+0,MAX($A$8:A1015)+1)</f>
        <v>102</v>
      </c>
      <c r="B1016" s="835" t="str">
        <f>IF(C1016="","",COUNTA($C$10:C1017))</f>
        <v/>
      </c>
      <c r="C1016" s="362"/>
      <c r="D1016" s="851"/>
      <c r="E1016" s="852" t="s">
        <v>559</v>
      </c>
      <c r="F1016" s="848" t="str">
        <f>VLOOKUP(E1016,DICH!B:C,2,FALSE)</f>
        <v>welding electrode</v>
      </c>
      <c r="G1016" s="362" t="s">
        <v>558</v>
      </c>
      <c r="H1016" s="847">
        <v>14.5</v>
      </c>
      <c r="I1016" s="848">
        <f>VLOOKUP(E1016,'11.gia '!$B:$I,8,FALSE)</f>
        <v>19090.909090909088</v>
      </c>
      <c r="J1016" s="853">
        <f t="shared" si="44"/>
        <v>276818.18181818177</v>
      </c>
      <c r="N1016" s="843" t="s">
        <v>457</v>
      </c>
      <c r="O1016" s="844">
        <f t="shared" si="45"/>
        <v>2.5</v>
      </c>
      <c r="P1016" s="843"/>
      <c r="Q1016" s="657" t="s">
        <v>457</v>
      </c>
    </row>
    <row r="1017" spans="1:18" ht="15" customHeight="1">
      <c r="A1017" s="657">
        <f>IF(B1017="",MAX($A$8:A1016)+0,MAX($A$8:A1016)+1)</f>
        <v>102</v>
      </c>
      <c r="B1017" s="835" t="str">
        <f>IF(C1017="","",COUNTA($C$10:C1018))</f>
        <v/>
      </c>
      <c r="C1017" s="362"/>
      <c r="D1017" s="851"/>
      <c r="E1017" s="852" t="s">
        <v>555</v>
      </c>
      <c r="F1017" s="848" t="str">
        <f>VLOOKUP(E1017,DICH!B:C,2,FALSE)</f>
        <v>Other material</v>
      </c>
      <c r="G1017" s="362" t="s">
        <v>554</v>
      </c>
      <c r="H1017" s="847">
        <v>2.5</v>
      </c>
      <c r="I1017" s="848">
        <f>SUM(J1011:J1016)</f>
        <v>14857510.022781817</v>
      </c>
      <c r="J1017" s="853">
        <f>I1017*H1017%</f>
        <v>371437.75056954543</v>
      </c>
      <c r="N1017" s="843" t="s">
        <v>457</v>
      </c>
      <c r="O1017" s="844"/>
      <c r="P1017" s="843"/>
      <c r="Q1017" s="657" t="s">
        <v>457</v>
      </c>
    </row>
    <row r="1018" spans="1:18" s="658" customFormat="1" ht="15" customHeight="1">
      <c r="A1018" s="657">
        <f>IF(B1018="",MAX($A$8:A1017)+0,MAX($A$8:A1017)+1)</f>
        <v>102</v>
      </c>
      <c r="B1018" s="835" t="str">
        <f>IF(C1018="","",COUNTA($C$10:C1019))</f>
        <v/>
      </c>
      <c r="C1018" s="362"/>
      <c r="D1018" s="845"/>
      <c r="E1018" s="852" t="s">
        <v>2040</v>
      </c>
      <c r="F1018" s="848" t="str">
        <f>VLOOKUP(E1018,DICH!B:C,2,FALSE)</f>
        <v xml:space="preserve">  B - Labour 4.5/7</v>
      </c>
      <c r="G1018" s="362" t="s">
        <v>4899</v>
      </c>
      <c r="H1018" s="847">
        <v>26.2</v>
      </c>
      <c r="I1018" s="848">
        <f>VLOOKUP(E1018,'16.NC'!$C$11:$F$22,4,FALSE)</f>
        <v>237875</v>
      </c>
      <c r="J1018" s="849">
        <f>I1018*H1018</f>
        <v>6232325</v>
      </c>
      <c r="K1018" s="850"/>
      <c r="L1018" s="850"/>
      <c r="M1018" s="850"/>
      <c r="N1018" s="843" t="s">
        <v>457</v>
      </c>
      <c r="O1018" s="844"/>
      <c r="P1018" s="843"/>
      <c r="Q1018" s="657" t="s">
        <v>457</v>
      </c>
      <c r="R1018" s="658">
        <v>1</v>
      </c>
    </row>
    <row r="1019" spans="1:18" s="658" customFormat="1" ht="15" customHeight="1">
      <c r="A1019" s="657">
        <f>IF(B1019="",MAX($A$8:A1018)+0,MAX($A$8:A1018)+1)</f>
        <v>102</v>
      </c>
      <c r="B1019" s="835" t="str">
        <f>IF(C1019="","",COUNTA($C$10:C1020))</f>
        <v/>
      </c>
      <c r="C1019" s="362"/>
      <c r="D1019" s="845"/>
      <c r="E1019" s="852" t="s">
        <v>2033</v>
      </c>
      <c r="F1019" s="848" t="str">
        <f>VLOOKUP(E1019,DICH!B:C,2,FALSE)</f>
        <v xml:space="preserve">  C - Machine</v>
      </c>
      <c r="G1019" s="846"/>
      <c r="H1019" s="847"/>
      <c r="I1019" s="848"/>
      <c r="J1019" s="849">
        <f>SUM(J1020:J1023)</f>
        <v>585505.96165199997</v>
      </c>
      <c r="K1019" s="850"/>
      <c r="L1019" s="850"/>
      <c r="M1019" s="850"/>
      <c r="N1019" s="843" t="s">
        <v>457</v>
      </c>
      <c r="O1019" s="844"/>
      <c r="P1019" s="843"/>
      <c r="Q1019" s="657" t="s">
        <v>457</v>
      </c>
    </row>
    <row r="1020" spans="1:18" ht="15" customHeight="1">
      <c r="A1020" s="657">
        <f>IF(B1020="",MAX($A$8:A1019)+0,MAX($A$8:A1019)+1)</f>
        <v>102</v>
      </c>
      <c r="B1020" s="835" t="str">
        <f>IF(C1020="","",COUNTA($C$10:C1021))</f>
        <v/>
      </c>
      <c r="C1020" s="362"/>
      <c r="D1020" s="851"/>
      <c r="E1020" s="852" t="s">
        <v>560</v>
      </c>
      <c r="F1020" s="848" t="str">
        <f>VLOOKUP(E1020,'9.may'!E:F,2,FALSE)</f>
        <v>welding machine 23kW</v>
      </c>
      <c r="G1020" s="362" t="s">
        <v>4902</v>
      </c>
      <c r="H1020" s="847">
        <v>2.42</v>
      </c>
      <c r="I1020" s="848">
        <f>VLOOKUP(E1020,'9.may'!E:W,12,FALSE)</f>
        <v>171649.155</v>
      </c>
      <c r="J1020" s="853">
        <f>I1020*H1020</f>
        <v>415390.95509999996</v>
      </c>
      <c r="N1020" s="843" t="s">
        <v>457</v>
      </c>
      <c r="O1020" s="844">
        <f>+$H$1023</f>
        <v>2</v>
      </c>
      <c r="P1020" s="843"/>
      <c r="Q1020" s="657" t="s">
        <v>457</v>
      </c>
    </row>
    <row r="1021" spans="1:18" ht="15" customHeight="1">
      <c r="A1021" s="657">
        <f>IF(B1021="",MAX($A$8:A1020)+0,MAX($A$8:A1020)+1)</f>
        <v>102</v>
      </c>
      <c r="B1021" s="835" t="str">
        <f>IF(C1021="","",COUNTA($C$10:C1022))</f>
        <v/>
      </c>
      <c r="C1021" s="362"/>
      <c r="D1021" s="851"/>
      <c r="E1021" s="852" t="s">
        <v>422</v>
      </c>
      <c r="F1021" s="848" t="str">
        <f>VLOOKUP(E1021,'9.may'!E:F,2,FALSE)</f>
        <v>sharpener 2.7kW</v>
      </c>
      <c r="G1021" s="362" t="s">
        <v>4902</v>
      </c>
      <c r="H1021" s="847">
        <v>1</v>
      </c>
      <c r="I1021" s="848">
        <f>VLOOKUP(E1021,'9.may'!E:W,12,FALSE)</f>
        <v>67591.852499999994</v>
      </c>
      <c r="J1021" s="853">
        <f>I1021*H1021</f>
        <v>67591.852499999994</v>
      </c>
      <c r="N1021" s="843" t="s">
        <v>457</v>
      </c>
      <c r="O1021" s="844">
        <f>+$H$1023</f>
        <v>2</v>
      </c>
      <c r="P1021" s="843"/>
      <c r="Q1021" s="657" t="s">
        <v>457</v>
      </c>
    </row>
    <row r="1022" spans="1:18" ht="15" customHeight="1">
      <c r="A1022" s="657">
        <f>IF(B1022="",MAX($A$8:A1021)+0,MAX($A$8:A1021)+1)</f>
        <v>102</v>
      </c>
      <c r="B1022" s="835" t="str">
        <f>IF(C1022="","",COUNTA($C$10:C1023))</f>
        <v/>
      </c>
      <c r="C1022" s="362"/>
      <c r="D1022" s="851"/>
      <c r="E1022" s="852" t="s">
        <v>301</v>
      </c>
      <c r="F1022" s="848" t="str">
        <f>VLOOKUP(E1022,'9.may'!E:F,2,FALSE)</f>
        <v>driller 2.5kW</v>
      </c>
      <c r="G1022" s="362" t="s">
        <v>4902</v>
      </c>
      <c r="H1022" s="847">
        <v>1</v>
      </c>
      <c r="I1022" s="848">
        <f>VLOOKUP(E1022,'9.may'!E:W,12,FALSE)</f>
        <v>91042.645000000004</v>
      </c>
      <c r="J1022" s="853">
        <f>I1022*H1022</f>
        <v>91042.645000000004</v>
      </c>
      <c r="N1022" s="843" t="s">
        <v>457</v>
      </c>
      <c r="O1022" s="844">
        <f>+$H$1023</f>
        <v>2</v>
      </c>
      <c r="P1022" s="843"/>
      <c r="Q1022" s="657" t="s">
        <v>457</v>
      </c>
    </row>
    <row r="1023" spans="1:18" ht="15" customHeight="1">
      <c r="A1023" s="657">
        <f>IF(B1023="",MAX($A$8:A1022)+0,MAX($A$8:A1022)+1)</f>
        <v>102</v>
      </c>
      <c r="B1023" s="835" t="str">
        <f>IF(C1023="","",COUNTA($C$10:C1024))</f>
        <v/>
      </c>
      <c r="C1023" s="362"/>
      <c r="D1023" s="851"/>
      <c r="E1023" s="852" t="s">
        <v>553</v>
      </c>
      <c r="F1023" s="848" t="str">
        <f>VLOOKUP(E1023,DICH!B:C,2,FALSE)</f>
        <v>Other machine</v>
      </c>
      <c r="G1023" s="362" t="s">
        <v>554</v>
      </c>
      <c r="H1023" s="847">
        <v>2</v>
      </c>
      <c r="I1023" s="848">
        <f>SUM(J1020:J1022)</f>
        <v>574025.45259999996</v>
      </c>
      <c r="J1023" s="853">
        <f>I1023*H1023%</f>
        <v>11480.509051999999</v>
      </c>
      <c r="N1023" s="843" t="s">
        <v>457</v>
      </c>
      <c r="O1023" s="844"/>
      <c r="P1023" s="843"/>
      <c r="Q1023" s="657" t="s">
        <v>457</v>
      </c>
    </row>
    <row r="1024" spans="1:18" ht="15" customHeight="1">
      <c r="A1024" s="657">
        <f>IF(B1024="",MAX($A$8:A1023)+0,MAX($A$8:A1023)+1)</f>
        <v>103</v>
      </c>
      <c r="B1024" s="835">
        <f>IF(C1024="","",COUNTA($C$10:C1025))</f>
        <v>103</v>
      </c>
      <c r="C1024" s="835">
        <f>IF(D1024="","",1776)</f>
        <v>1776</v>
      </c>
      <c r="D1024" s="851" t="s">
        <v>329</v>
      </c>
      <c r="E1024" s="855" t="s">
        <v>719</v>
      </c>
      <c r="F1024" s="1049">
        <f>VLOOKUP(E1024,DICH!B:C,2,FALSE)</f>
        <v>0</v>
      </c>
      <c r="G1024" s="856" t="s">
        <v>4644</v>
      </c>
      <c r="H1024" s="847"/>
      <c r="I1024" s="848"/>
      <c r="J1024" s="853"/>
      <c r="K1024" s="842">
        <f>+J1025</f>
        <v>438765.88381960004</v>
      </c>
      <c r="L1024" s="842">
        <f>+J1030</f>
        <v>2014128.4</v>
      </c>
      <c r="M1024" s="842">
        <f>+J1031</f>
        <v>207695.47755000001</v>
      </c>
      <c r="N1024" s="843" t="s">
        <v>457</v>
      </c>
      <c r="O1024" s="844"/>
      <c r="P1024" s="843"/>
      <c r="Q1024" s="657" t="s">
        <v>457</v>
      </c>
    </row>
    <row r="1025" spans="1:18" s="658" customFormat="1" ht="15" customHeight="1">
      <c r="A1025" s="657">
        <f>IF(B1025="",MAX($A$8:A1024)+0,MAX($A$8:A1024)+1)</f>
        <v>103</v>
      </c>
      <c r="B1025" s="835" t="str">
        <f>IF(C1025="","",COUNTA($C$10:C1026))</f>
        <v/>
      </c>
      <c r="C1025" s="362"/>
      <c r="D1025" s="845"/>
      <c r="E1025" s="852" t="s">
        <v>2032</v>
      </c>
      <c r="F1025" s="848" t="str">
        <f>VLOOKUP(E1025,DICH!B:C,2,FALSE)</f>
        <v xml:space="preserve">  A - Material</v>
      </c>
      <c r="G1025" s="362"/>
      <c r="H1025" s="847"/>
      <c r="I1025" s="848"/>
      <c r="J1025" s="849">
        <f>SUM(J1026:J1029)</f>
        <v>438765.88381960004</v>
      </c>
      <c r="K1025" s="850"/>
      <c r="L1025" s="850"/>
      <c r="M1025" s="850"/>
      <c r="N1025" s="843" t="s">
        <v>457</v>
      </c>
      <c r="O1025" s="844"/>
      <c r="P1025" s="843"/>
      <c r="Q1025" s="657" t="s">
        <v>457</v>
      </c>
    </row>
    <row r="1026" spans="1:18" ht="15" customHeight="1">
      <c r="A1026" s="657">
        <f>IF(B1026="",MAX($A$8:A1025)+0,MAX($A$8:A1025)+1)</f>
        <v>103</v>
      </c>
      <c r="B1026" s="835" t="str">
        <f>IF(C1026="","",COUNTA($C$10:C1027))</f>
        <v/>
      </c>
      <c r="C1026" s="362"/>
      <c r="D1026" s="851"/>
      <c r="E1026" s="852" t="s">
        <v>559</v>
      </c>
      <c r="F1026" s="848" t="str">
        <f>VLOOKUP(E1026,DICH!B:C,2,FALSE)</f>
        <v>welding electrode</v>
      </c>
      <c r="G1026" s="362" t="s">
        <v>558</v>
      </c>
      <c r="H1026" s="847">
        <v>2.9</v>
      </c>
      <c r="I1026" s="848">
        <f>VLOOKUP(E1026,'11.gia '!$B:$I,8,FALSE)</f>
        <v>19090.909090909088</v>
      </c>
      <c r="J1026" s="853">
        <f>I1026*H1026</f>
        <v>55363.636363636353</v>
      </c>
      <c r="N1026" s="843" t="s">
        <v>457</v>
      </c>
      <c r="O1026" s="844">
        <f>+$H$1029</f>
        <v>10</v>
      </c>
      <c r="P1026" s="843"/>
      <c r="Q1026" s="657" t="s">
        <v>457</v>
      </c>
    </row>
    <row r="1027" spans="1:18" ht="15" customHeight="1">
      <c r="A1027" s="657">
        <f>IF(B1027="",MAX($A$8:A1026)+0,MAX($A$8:A1026)+1)</f>
        <v>103</v>
      </c>
      <c r="B1027" s="835" t="str">
        <f>IF(C1027="","",COUNTA($C$10:C1028))</f>
        <v/>
      </c>
      <c r="C1027" s="362"/>
      <c r="D1027" s="851"/>
      <c r="E1027" s="852" t="s">
        <v>671</v>
      </c>
      <c r="F1027" s="848" t="str">
        <f>VLOOKUP(E1027,DICH!B:C,2,FALSE)</f>
        <v>steel bar D&lt;=18</v>
      </c>
      <c r="G1027" s="362" t="s">
        <v>558</v>
      </c>
      <c r="H1027" s="847">
        <v>13.1</v>
      </c>
      <c r="I1027" s="848">
        <f>VLOOKUP(E1027,'11.gia '!$B:$I,8,FALSE)</f>
        <v>16604.075560000001</v>
      </c>
      <c r="J1027" s="853">
        <f>I1027*H1027</f>
        <v>217513.38983600002</v>
      </c>
      <c r="N1027" s="843" t="s">
        <v>457</v>
      </c>
      <c r="O1027" s="844">
        <f>+$H$1029</f>
        <v>10</v>
      </c>
      <c r="P1027" s="843"/>
      <c r="Q1027" s="657" t="s">
        <v>457</v>
      </c>
    </row>
    <row r="1028" spans="1:18" ht="15" customHeight="1">
      <c r="A1028" s="657">
        <f>IF(B1028="",MAX($A$8:A1027)+0,MAX($A$8:A1027)+1)</f>
        <v>103</v>
      </c>
      <c r="B1028" s="835" t="str">
        <f>IF(C1028="","",COUNTA($C$10:C1029))</f>
        <v/>
      </c>
      <c r="C1028" s="362"/>
      <c r="D1028" s="851"/>
      <c r="E1028" s="852" t="s">
        <v>459</v>
      </c>
      <c r="F1028" s="848" t="str">
        <f>VLOOKUP(E1028,DICH!B:C,2,FALSE)</f>
        <v>Steel ware</v>
      </c>
      <c r="G1028" s="362" t="s">
        <v>558</v>
      </c>
      <c r="H1028" s="847">
        <v>7.35</v>
      </c>
      <c r="I1028" s="848">
        <f>VLOOKUP(E1028,'11.gia '!$B:$I,8,FALSE)</f>
        <v>17143</v>
      </c>
      <c r="J1028" s="853">
        <f>I1028*H1028</f>
        <v>126001.04999999999</v>
      </c>
      <c r="N1028" s="843" t="s">
        <v>457</v>
      </c>
      <c r="O1028" s="844">
        <f>+$H$1029</f>
        <v>10</v>
      </c>
      <c r="P1028" s="843"/>
      <c r="Q1028" s="657" t="s">
        <v>457</v>
      </c>
    </row>
    <row r="1029" spans="1:18" ht="15" customHeight="1">
      <c r="A1029" s="657">
        <f>IF(B1029="",MAX($A$8:A1028)+0,MAX($A$8:A1028)+1)</f>
        <v>103</v>
      </c>
      <c r="B1029" s="835" t="str">
        <f>IF(C1029="","",COUNTA($C$10:C1030))</f>
        <v/>
      </c>
      <c r="C1029" s="362"/>
      <c r="D1029" s="851"/>
      <c r="E1029" s="852" t="s">
        <v>555</v>
      </c>
      <c r="F1029" s="848" t="str">
        <f>VLOOKUP(E1029,DICH!B:C,2,FALSE)</f>
        <v>Other material</v>
      </c>
      <c r="G1029" s="362" t="s">
        <v>554</v>
      </c>
      <c r="H1029" s="847">
        <v>10</v>
      </c>
      <c r="I1029" s="848">
        <f>SUM(J1026:J1028)</f>
        <v>398878.07619963639</v>
      </c>
      <c r="J1029" s="853">
        <f>I1029*H1029%</f>
        <v>39887.807619963642</v>
      </c>
      <c r="N1029" s="843" t="s">
        <v>457</v>
      </c>
      <c r="O1029" s="844"/>
      <c r="P1029" s="843"/>
      <c r="Q1029" s="657" t="s">
        <v>457</v>
      </c>
    </row>
    <row r="1030" spans="1:18" s="658" customFormat="1" ht="15" customHeight="1">
      <c r="A1030" s="657">
        <f>IF(B1030="",MAX($A$8:A1029)+0,MAX($A$8:A1029)+1)</f>
        <v>103</v>
      </c>
      <c r="B1030" s="835" t="str">
        <f>IF(C1030="","",COUNTA($C$10:C1031))</f>
        <v/>
      </c>
      <c r="C1030" s="362"/>
      <c r="D1030" s="845"/>
      <c r="E1030" s="852" t="s">
        <v>2039</v>
      </c>
      <c r="F1030" s="848" t="str">
        <f>VLOOKUP(E1030,DICH!B:C,2,FALSE)</f>
        <v xml:space="preserve">  B - Labour 4.0/7</v>
      </c>
      <c r="G1030" s="362" t="s">
        <v>4899</v>
      </c>
      <c r="H1030" s="847">
        <v>9.1999999999999993</v>
      </c>
      <c r="I1030" s="848">
        <f>VLOOKUP(E1030,'16.NC'!$C$11:$F$22,4,FALSE)</f>
        <v>218927</v>
      </c>
      <c r="J1030" s="849">
        <f>I1030*H1030</f>
        <v>2014128.4</v>
      </c>
      <c r="K1030" s="850"/>
      <c r="L1030" s="850"/>
      <c r="M1030" s="850"/>
      <c r="N1030" s="843" t="s">
        <v>457</v>
      </c>
      <c r="O1030" s="844"/>
      <c r="P1030" s="843"/>
      <c r="Q1030" s="657" t="s">
        <v>457</v>
      </c>
      <c r="R1030" s="658">
        <v>1</v>
      </c>
    </row>
    <row r="1031" spans="1:18" s="658" customFormat="1" ht="15" customHeight="1">
      <c r="A1031" s="657">
        <f>IF(B1031="",MAX($A$8:A1030)+0,MAX($A$8:A1030)+1)</f>
        <v>103</v>
      </c>
      <c r="B1031" s="835" t="str">
        <f>IF(C1031="","",COUNTA($C$10:C1032))</f>
        <v/>
      </c>
      <c r="C1031" s="362"/>
      <c r="D1031" s="845"/>
      <c r="E1031" s="852" t="s">
        <v>2033</v>
      </c>
      <c r="F1031" s="848" t="str">
        <f>VLOOKUP(E1031,DICH!B:C,2,FALSE)</f>
        <v xml:space="preserve">  C - Machine</v>
      </c>
      <c r="G1031" s="846"/>
      <c r="H1031" s="847"/>
      <c r="I1031" s="848"/>
      <c r="J1031" s="849">
        <f>SUM(J1032:J1033)</f>
        <v>207695.47755000001</v>
      </c>
      <c r="K1031" s="850"/>
      <c r="L1031" s="850"/>
      <c r="M1031" s="850"/>
      <c r="N1031" s="843" t="s">
        <v>457</v>
      </c>
      <c r="O1031" s="844"/>
      <c r="P1031" s="843"/>
      <c r="Q1031" s="657" t="s">
        <v>457</v>
      </c>
    </row>
    <row r="1032" spans="1:18" ht="15" customHeight="1">
      <c r="A1032" s="657">
        <f>IF(B1032="",MAX($A$8:A1031)+0,MAX($A$8:A1031)+1)</f>
        <v>103</v>
      </c>
      <c r="B1032" s="835" t="str">
        <f>IF(C1032="","",COUNTA($C$10:C1033))</f>
        <v/>
      </c>
      <c r="C1032" s="362"/>
      <c r="D1032" s="851"/>
      <c r="E1032" s="852" t="s">
        <v>290</v>
      </c>
      <c r="F1032" s="848" t="str">
        <f>VLOOKUP(E1032,'9.may'!E:F,2,FALSE)</f>
        <v>welding machine 23kW</v>
      </c>
      <c r="G1032" s="362" t="s">
        <v>4902</v>
      </c>
      <c r="H1032" s="847">
        <v>1.1000000000000001</v>
      </c>
      <c r="I1032" s="848">
        <f>VLOOKUP(E1032,'9.may'!E:W,12,FALSE)</f>
        <v>171649.155</v>
      </c>
      <c r="J1032" s="853">
        <f>I1032*H1032</f>
        <v>188814.0705</v>
      </c>
      <c r="N1032" s="843" t="s">
        <v>457</v>
      </c>
      <c r="O1032" s="844">
        <f>+$H$1033</f>
        <v>10</v>
      </c>
      <c r="P1032" s="843"/>
      <c r="Q1032" s="657" t="s">
        <v>457</v>
      </c>
    </row>
    <row r="1033" spans="1:18" ht="15" customHeight="1">
      <c r="A1033" s="657">
        <f>IF(B1033="",MAX($A$8:A1032)+0,MAX($A$8:A1032)+1)</f>
        <v>103</v>
      </c>
      <c r="B1033" s="835" t="str">
        <f>IF(C1033="","",COUNTA($C$10:C1034))</f>
        <v/>
      </c>
      <c r="C1033" s="362"/>
      <c r="D1033" s="851"/>
      <c r="E1033" s="852" t="s">
        <v>553</v>
      </c>
      <c r="F1033" s="848" t="str">
        <f>VLOOKUP(E1033,DICH!B:C,2,FALSE)</f>
        <v>Other machine</v>
      </c>
      <c r="G1033" s="362" t="s">
        <v>554</v>
      </c>
      <c r="H1033" s="847">
        <v>10</v>
      </c>
      <c r="I1033" s="848">
        <f>J1032</f>
        <v>188814.0705</v>
      </c>
      <c r="J1033" s="853">
        <f>I1033*H1033%</f>
        <v>18881.407050000002</v>
      </c>
      <c r="N1033" s="843" t="s">
        <v>457</v>
      </c>
      <c r="O1033" s="844"/>
      <c r="P1033" s="843"/>
      <c r="Q1033" s="657" t="s">
        <v>457</v>
      </c>
    </row>
    <row r="1034" spans="1:18" ht="15" customHeight="1">
      <c r="A1034" s="657">
        <f>IF(B1034="",MAX($A$8:A1033)+0,MAX($A$8:A1033)+1)</f>
        <v>104</v>
      </c>
      <c r="B1034" s="835">
        <f>IF(C1034="","",COUNTA($C$10:C1035))</f>
        <v>104</v>
      </c>
      <c r="C1034" s="835">
        <f>IF(D1034="","",1776)</f>
        <v>1776</v>
      </c>
      <c r="D1034" s="362" t="s">
        <v>714</v>
      </c>
      <c r="E1034" s="855" t="s">
        <v>107</v>
      </c>
      <c r="F1034" s="1049" t="str">
        <f>VLOOKUP(E1034,DICH!B:C,2,FALSE)</f>
        <v>Glue epoxy cover</v>
      </c>
      <c r="G1034" s="882" t="s">
        <v>548</v>
      </c>
      <c r="H1034" s="882"/>
      <c r="I1034" s="848"/>
      <c r="J1034" s="853"/>
      <c r="K1034" s="842">
        <f>+J1035</f>
        <v>127540</v>
      </c>
      <c r="L1034" s="842">
        <f>+J1037</f>
        <v>5603.91</v>
      </c>
      <c r="N1034" s="843" t="s">
        <v>457</v>
      </c>
      <c r="O1034" s="844"/>
      <c r="P1034" s="843"/>
      <c r="Q1034" s="657" t="s">
        <v>457</v>
      </c>
    </row>
    <row r="1035" spans="1:18" ht="15" customHeight="1">
      <c r="A1035" s="657">
        <f>IF(B1035="",MAX($A$8:A1034)+0,MAX($A$8:A1034)+1)</f>
        <v>104</v>
      </c>
      <c r="B1035" s="835" t="str">
        <f>IF(C1035="","",COUNTA($C$10:C1036))</f>
        <v/>
      </c>
      <c r="C1035" s="362"/>
      <c r="D1035" s="883"/>
      <c r="E1035" s="852" t="s">
        <v>2032</v>
      </c>
      <c r="F1035" s="848" t="str">
        <f>VLOOKUP(E1035,DICH!B:C,2,FALSE)</f>
        <v xml:space="preserve">  A - Material</v>
      </c>
      <c r="G1035" s="884"/>
      <c r="H1035" s="847"/>
      <c r="I1035" s="853"/>
      <c r="J1035" s="885">
        <f>J1036</f>
        <v>127540</v>
      </c>
      <c r="N1035" s="843" t="s">
        <v>457</v>
      </c>
      <c r="O1035" s="844"/>
      <c r="P1035" s="843"/>
      <c r="Q1035" s="657" t="s">
        <v>457</v>
      </c>
      <c r="R1035" s="700"/>
    </row>
    <row r="1036" spans="1:18" ht="15" customHeight="1">
      <c r="A1036" s="657">
        <f>IF(B1036="",MAX($A$8:A1035)+0,MAX($A$8:A1035)+1)</f>
        <v>104</v>
      </c>
      <c r="B1036" s="835" t="str">
        <f>IF(C1036="","",COUNTA($C$10:C1037))</f>
        <v/>
      </c>
      <c r="C1036" s="361"/>
      <c r="D1036" s="883"/>
      <c r="E1036" s="852" t="s">
        <v>107</v>
      </c>
      <c r="F1036" s="848" t="str">
        <f>VLOOKUP(E1036,DICH!B:C,2,FALSE)</f>
        <v>Glue epoxy cover</v>
      </c>
      <c r="G1036" s="362" t="s">
        <v>558</v>
      </c>
      <c r="H1036" s="847">
        <v>0.5</v>
      </c>
      <c r="I1036" s="848">
        <f>VLOOKUP(E1036,'11.gia '!$B:$I,8,FALSE)</f>
        <v>255080</v>
      </c>
      <c r="J1036" s="853">
        <f>I1036*H1036</f>
        <v>127540</v>
      </c>
      <c r="N1036" s="843" t="s">
        <v>457</v>
      </c>
      <c r="O1036" s="844"/>
      <c r="P1036" s="843"/>
      <c r="Q1036" s="657" t="s">
        <v>457</v>
      </c>
      <c r="R1036" s="700"/>
    </row>
    <row r="1037" spans="1:18" ht="15" customHeight="1">
      <c r="A1037" s="657">
        <f>IF(B1037="",MAX($A$8:A1036)+0,MAX($A$8:A1036)+1)</f>
        <v>104</v>
      </c>
      <c r="B1037" s="835" t="str">
        <f>IF(C1037="","",COUNTA($C$10:C1038))</f>
        <v/>
      </c>
      <c r="C1037" s="883"/>
      <c r="D1037" s="883"/>
      <c r="E1037" s="852" t="s">
        <v>2038</v>
      </c>
      <c r="F1037" s="848" t="str">
        <f>VLOOKUP(E1037,DICH!B:C,2,FALSE)</f>
        <v xml:space="preserve">  B - Labour 3.0/7</v>
      </c>
      <c r="G1037" s="362" t="s">
        <v>4899</v>
      </c>
      <c r="H1037" s="847">
        <v>0.03</v>
      </c>
      <c r="I1037" s="848">
        <f>VLOOKUP(E1037,'16.NC'!$C$11:$F$22,4,FALSE)</f>
        <v>186797</v>
      </c>
      <c r="J1037" s="849">
        <f>I1037*H1037</f>
        <v>5603.91</v>
      </c>
      <c r="N1037" s="843" t="s">
        <v>457</v>
      </c>
      <c r="O1037" s="844"/>
      <c r="P1037" s="843"/>
      <c r="Q1037" s="657" t="s">
        <v>457</v>
      </c>
      <c r="R1037" s="658">
        <v>1</v>
      </c>
    </row>
    <row r="1038" spans="1:18" ht="15" customHeight="1">
      <c r="A1038" s="657">
        <f>IF(B1038="",MAX($A$8:A1037)+0,MAX($A$8:A1037)+1)</f>
        <v>105</v>
      </c>
      <c r="B1038" s="835">
        <f>IF(C1038="","",COUNTA($C$10:C1039))</f>
        <v>105</v>
      </c>
      <c r="C1038" s="847">
        <v>179</v>
      </c>
      <c r="D1038" s="859" t="s">
        <v>738</v>
      </c>
      <c r="E1038" s="855" t="s">
        <v>336</v>
      </c>
      <c r="F1038" s="1049">
        <f>VLOOKUP(E1038,DICH!B:C,2,FALSE)</f>
        <v>0</v>
      </c>
      <c r="G1038" s="882" t="s">
        <v>4906</v>
      </c>
      <c r="H1038" s="882"/>
      <c r="I1038" s="848"/>
      <c r="J1038" s="853"/>
      <c r="L1038" s="842">
        <f>+J1039</f>
        <v>578225.18879999989</v>
      </c>
      <c r="M1038" s="842">
        <f>+J1040</f>
        <v>2977618.1661054548</v>
      </c>
      <c r="N1038" s="843" t="e">
        <f>SUMIF(#REF!,'8.Dgia'!A1038,#REF!)+SUMIF(#REF!,'8.Dgia'!A1038,#REF!)+SUMIF(#REF!,'8.Dgia'!A1038,#REF!)+SUMIF(#REF!,'8.Dgia'!A1038,#REF!)</f>
        <v>#REF!</v>
      </c>
      <c r="O1038" s="844"/>
      <c r="P1038" s="843" t="e">
        <f>$H1038*N1038*(1+O1038%)</f>
        <v>#REF!</v>
      </c>
    </row>
    <row r="1039" spans="1:18" ht="15" customHeight="1">
      <c r="A1039" s="657">
        <f>IF(B1039="",MAX($A$8:A1038)+0,MAX($A$8:A1038)+1)</f>
        <v>105</v>
      </c>
      <c r="B1039" s="835" t="str">
        <f>IF(C1039="","",COUNTA($C$10:C1040))</f>
        <v/>
      </c>
      <c r="C1039" s="852"/>
      <c r="D1039" s="852" t="s">
        <v>149</v>
      </c>
      <c r="E1039" s="852" t="s">
        <v>2042</v>
      </c>
      <c r="F1039" s="848" t="str">
        <f>VLOOKUP(E1039,DICH!B:C,2,FALSE)</f>
        <v xml:space="preserve">  B - Labour 2.7/7</v>
      </c>
      <c r="G1039" s="362" t="s">
        <v>4899</v>
      </c>
      <c r="H1039" s="847">
        <f>0.476*68/10</f>
        <v>3.2367999999999997</v>
      </c>
      <c r="I1039" s="848">
        <f>VLOOKUP(E1039,'16.NC'!$C$11:$F$22,4,FALSE)</f>
        <v>178641</v>
      </c>
      <c r="J1039" s="849">
        <f>I1039*H1039</f>
        <v>578225.18879999989</v>
      </c>
      <c r="N1039" s="843" t="e">
        <f>SUMIF(#REF!,'8.Dgia'!A1039,#REF!)+SUMIF(#REF!,'8.Dgia'!A1039,#REF!)+SUMIF(#REF!,'8.Dgia'!A1039,#REF!)+SUMIF(#REF!,'8.Dgia'!A1039,#REF!)</f>
        <v>#REF!</v>
      </c>
      <c r="O1039" s="844"/>
      <c r="P1039" s="843" t="e">
        <f>$H1039*N1039*(1+O1039%)</f>
        <v>#REF!</v>
      </c>
      <c r="R1039" s="658">
        <v>1</v>
      </c>
    </row>
    <row r="1040" spans="1:18" ht="15" customHeight="1">
      <c r="A1040" s="657">
        <f>IF(B1040="",MAX($A$8:A1039)+0,MAX($A$8:A1039)+1)</f>
        <v>105</v>
      </c>
      <c r="B1040" s="835" t="str">
        <f>IF(C1040="","",COUNTA($C$10:C1041))</f>
        <v/>
      </c>
      <c r="C1040" s="852"/>
      <c r="D1040" s="852" t="s">
        <v>123</v>
      </c>
      <c r="E1040" s="852" t="s">
        <v>2033</v>
      </c>
      <c r="F1040" s="848" t="str">
        <f>VLOOKUP(E1040,DICH!B:C,2,FALSE)</f>
        <v xml:space="preserve">  C - Machine</v>
      </c>
      <c r="G1040" s="847"/>
      <c r="H1040" s="847"/>
      <c r="I1040" s="848"/>
      <c r="J1040" s="849">
        <f>+J1041</f>
        <v>2977618.1661054548</v>
      </c>
      <c r="N1040" s="843" t="e">
        <f>SUMIF(#REF!,'8.Dgia'!A1040,#REF!)+SUMIF(#REF!,'8.Dgia'!A1040,#REF!)+SUMIF(#REF!,'8.Dgia'!A1040,#REF!)+SUMIF(#REF!,'8.Dgia'!A1040,#REF!)</f>
        <v>#REF!</v>
      </c>
      <c r="O1040" s="844"/>
      <c r="P1040" s="843" t="e">
        <f t="shared" ref="P1040:P1121" si="46">$H1040*N1040*(1+O1040%)</f>
        <v>#REF!</v>
      </c>
    </row>
    <row r="1041" spans="1:18" ht="15" customHeight="1">
      <c r="A1041" s="657">
        <f>IF(B1041="",MAX($A$8:A1040)+0,MAX($A$8:A1040)+1)</f>
        <v>105</v>
      </c>
      <c r="B1041" s="835" t="str">
        <f>IF(C1041="","",COUNTA($C$10:C1042))</f>
        <v/>
      </c>
      <c r="C1041" s="847"/>
      <c r="D1041" s="362"/>
      <c r="E1041" s="852" t="s">
        <v>357</v>
      </c>
      <c r="F1041" s="848" t="str">
        <f>VLOOKUP(E1041,'9.may'!E:F,2,FALSE)</f>
        <v>caterpillar crane 80T</v>
      </c>
      <c r="G1041" s="847" t="s">
        <v>4902</v>
      </c>
      <c r="H1041" s="859">
        <f>0.227*2</f>
        <v>0.45400000000000001</v>
      </c>
      <c r="I1041" s="848">
        <f>VLOOKUP(E1041,'9.may'!E:W,12,FALSE)</f>
        <v>6558630.3218181822</v>
      </c>
      <c r="J1041" s="853">
        <f>I1041*H1041</f>
        <v>2977618.1661054548</v>
      </c>
      <c r="N1041" s="843" t="e">
        <f>SUMIF(#REF!,'8.Dgia'!A1041,#REF!)+SUMIF(#REF!,'8.Dgia'!A1041,#REF!)+SUMIF(#REF!,'8.Dgia'!A1041,#REF!)+SUMIF(#REF!,'8.Dgia'!A1041,#REF!)</f>
        <v>#REF!</v>
      </c>
      <c r="O1041" s="844"/>
      <c r="P1041" s="843" t="e">
        <f t="shared" si="46"/>
        <v>#REF!</v>
      </c>
    </row>
    <row r="1042" spans="1:18" ht="15" customHeight="1">
      <c r="A1042" s="657">
        <f>IF(B1042="",MAX($A$8:A1041)+0,MAX($A$8:A1041)+1)</f>
        <v>106</v>
      </c>
      <c r="B1042" s="835">
        <f>IF(C1042="","",COUNTA($C$10:C1043))</f>
        <v>106</v>
      </c>
      <c r="C1042" s="835">
        <f>IF(D1042="","",1776)</f>
        <v>1776</v>
      </c>
      <c r="D1042" s="859" t="s">
        <v>337</v>
      </c>
      <c r="E1042" s="855" t="s">
        <v>339</v>
      </c>
      <c r="F1042" s="1049" t="str">
        <f>VLOOKUP(E1042,DICH!B:C,2,FALSE)</f>
        <v>Lifting and lowering beam, L&gt;35m</v>
      </c>
      <c r="G1042" s="882" t="s">
        <v>4906</v>
      </c>
      <c r="H1042" s="882"/>
      <c r="I1042" s="848"/>
      <c r="J1042" s="853"/>
      <c r="K1042" s="842">
        <f>+J1043</f>
        <v>657300</v>
      </c>
      <c r="L1042" s="842">
        <f>+J1046</f>
        <v>5090525</v>
      </c>
      <c r="N1042" s="843" t="e">
        <f>SUMIF(#REF!,'8.Dgia'!A1042,#REF!)+SUMIF(#REF!,'8.Dgia'!A1042,#REF!)+SUMIF(#REF!,'8.Dgia'!A1042,#REF!)+SUMIF(#REF!,'8.Dgia'!A1042,#REF!)</f>
        <v>#REF!</v>
      </c>
      <c r="O1042" s="844"/>
      <c r="P1042" s="843" t="e">
        <f t="shared" si="46"/>
        <v>#REF!</v>
      </c>
    </row>
    <row r="1043" spans="1:18" ht="15" customHeight="1">
      <c r="A1043" s="657">
        <f>IF(B1043="",MAX($A$8:A1042)+0,MAX($A$8:A1042)+1)</f>
        <v>106</v>
      </c>
      <c r="B1043" s="835" t="str">
        <f>IF(C1043="","",COUNTA($C$10:C1044))</f>
        <v/>
      </c>
      <c r="C1043" s="847"/>
      <c r="D1043" s="362"/>
      <c r="E1043" s="852" t="s">
        <v>2032</v>
      </c>
      <c r="F1043" s="848" t="str">
        <f>VLOOKUP(E1043,DICH!B:C,2,FALSE)</f>
        <v xml:space="preserve">  A - Material</v>
      </c>
      <c r="G1043" s="883"/>
      <c r="H1043" s="847"/>
      <c r="I1043" s="848"/>
      <c r="J1043" s="849">
        <f>SUM(J1044:J1045)</f>
        <v>657300</v>
      </c>
      <c r="N1043" s="843" t="e">
        <f>SUMIF(#REF!,'8.Dgia'!A1043,#REF!)+SUMIF(#REF!,'8.Dgia'!A1043,#REF!)+SUMIF(#REF!,'8.Dgia'!A1043,#REF!)+SUMIF(#REF!,'8.Dgia'!A1043,#REF!)</f>
        <v>#REF!</v>
      </c>
      <c r="O1043" s="844"/>
      <c r="P1043" s="843" t="e">
        <f t="shared" si="46"/>
        <v>#REF!</v>
      </c>
    </row>
    <row r="1044" spans="1:18" ht="15" customHeight="1">
      <c r="A1044" s="657">
        <f>IF(B1044="",MAX($A$8:A1043)+0,MAX($A$8:A1043)+1)</f>
        <v>106</v>
      </c>
      <c r="B1044" s="835" t="str">
        <f>IF(C1044="","",COUNTA($C$10:C1045))</f>
        <v/>
      </c>
      <c r="C1044" s="847"/>
      <c r="D1044" s="362"/>
      <c r="E1044" s="852" t="s">
        <v>134</v>
      </c>
      <c r="F1044" s="848" t="str">
        <f>VLOOKUP(E1044,DICH!B:C,2,FALSE)</f>
        <v>Wooden</v>
      </c>
      <c r="G1044" s="847" t="s">
        <v>545</v>
      </c>
      <c r="H1044" s="847">
        <v>0.13</v>
      </c>
      <c r="I1044" s="848">
        <f>VLOOKUP(E1044,'11.gia '!$B:$I,8,FALSE)</f>
        <v>5000000</v>
      </c>
      <c r="J1044" s="853">
        <f>I1044*H1044</f>
        <v>650000</v>
      </c>
      <c r="N1044" s="843" t="e">
        <f>SUMIF(#REF!,'8.Dgia'!A1044,#REF!)+SUMIF(#REF!,'8.Dgia'!A1044,#REF!)+SUMIF(#REF!,'8.Dgia'!A1044,#REF!)+SUMIF(#REF!,'8.Dgia'!A1044,#REF!)</f>
        <v>#REF!</v>
      </c>
      <c r="O1044" s="844"/>
      <c r="P1044" s="843" t="e">
        <f t="shared" si="46"/>
        <v>#REF!</v>
      </c>
    </row>
    <row r="1045" spans="1:18" ht="15" customHeight="1">
      <c r="A1045" s="657">
        <f>IF(B1045="",MAX($A$8:A1044)+0,MAX($A$8:A1044)+1)</f>
        <v>106</v>
      </c>
      <c r="B1045" s="835" t="str">
        <f>IF(C1045="","",COUNTA($C$10:C1046))</f>
        <v/>
      </c>
      <c r="C1045" s="847"/>
      <c r="D1045" s="362"/>
      <c r="E1045" s="852" t="s">
        <v>465</v>
      </c>
      <c r="F1045" s="848" t="str">
        <f>VLOOKUP(E1045,DICH!B:C,2,FALSE)</f>
        <v>Casing nail</v>
      </c>
      <c r="G1045" s="362" t="s">
        <v>4649</v>
      </c>
      <c r="H1045" s="847">
        <v>7.3</v>
      </c>
      <c r="I1045" s="848">
        <f>VLOOKUP(E1045,'11.gia '!$B:$I,8,FALSE)</f>
        <v>1000</v>
      </c>
      <c r="J1045" s="853">
        <f>I1045*H1045</f>
        <v>7300</v>
      </c>
      <c r="N1045" s="843" t="e">
        <f>SUMIF(#REF!,'8.Dgia'!A1045,#REF!)+SUMIF(#REF!,'8.Dgia'!A1045,#REF!)+SUMIF(#REF!,'8.Dgia'!A1045,#REF!)+SUMIF(#REF!,'8.Dgia'!A1045,#REF!)</f>
        <v>#REF!</v>
      </c>
      <c r="O1045" s="844"/>
      <c r="P1045" s="843" t="e">
        <f t="shared" si="46"/>
        <v>#REF!</v>
      </c>
    </row>
    <row r="1046" spans="1:18" ht="15" customHeight="1">
      <c r="A1046" s="657">
        <f>IF(B1046="",MAX($A$8:A1045)+0,MAX($A$8:A1045)+1)</f>
        <v>106</v>
      </c>
      <c r="B1046" s="835" t="str">
        <f>IF(C1046="","",COUNTA($C$10:C1047))</f>
        <v/>
      </c>
      <c r="C1046" s="847"/>
      <c r="D1046" s="362"/>
      <c r="E1046" s="852" t="s">
        <v>2040</v>
      </c>
      <c r="F1046" s="848" t="str">
        <f>VLOOKUP(E1046,DICH!B:C,2,FALSE)</f>
        <v xml:space="preserve">  B - Labour 4.5/7</v>
      </c>
      <c r="G1046" s="847" t="s">
        <v>4899</v>
      </c>
      <c r="H1046" s="886">
        <v>21.4</v>
      </c>
      <c r="I1046" s="848">
        <f>VLOOKUP(E1046,'16.NC'!$C$11:$F$22,4,FALSE)</f>
        <v>237875</v>
      </c>
      <c r="J1046" s="849">
        <f>I1046*H1046</f>
        <v>5090525</v>
      </c>
      <c r="N1046" s="843" t="e">
        <f>SUMIF(#REF!,'8.Dgia'!A1046,#REF!)+SUMIF(#REF!,'8.Dgia'!A1046,#REF!)+SUMIF(#REF!,'8.Dgia'!A1046,#REF!)+SUMIF(#REF!,'8.Dgia'!A1046,#REF!)</f>
        <v>#REF!</v>
      </c>
      <c r="O1046" s="844"/>
      <c r="P1046" s="843" t="e">
        <f t="shared" si="46"/>
        <v>#REF!</v>
      </c>
      <c r="R1046" s="658">
        <v>1</v>
      </c>
    </row>
    <row r="1047" spans="1:18" ht="15" customHeight="1">
      <c r="A1047" s="657">
        <f>IF(B1047="",MAX($A$8:A1046)+0,MAX($A$8:A1046)+1)</f>
        <v>107</v>
      </c>
      <c r="B1047" s="835">
        <f>IF(C1047="","",COUNTA($C$10:C1048))</f>
        <v>107</v>
      </c>
      <c r="C1047" s="835">
        <f>IF(D1047="","",1776)</f>
        <v>1776</v>
      </c>
      <c r="D1047" s="859" t="s">
        <v>338</v>
      </c>
      <c r="E1047" s="855" t="s">
        <v>340</v>
      </c>
      <c r="F1047" s="1049" t="str">
        <f>VLOOKUP(E1047,DICH!B:C,2,FALSE)</f>
        <v>Moving girder, L&gt;35m</v>
      </c>
      <c r="G1047" s="882" t="s">
        <v>4906</v>
      </c>
      <c r="H1047" s="882"/>
      <c r="I1047" s="848"/>
      <c r="J1047" s="853"/>
      <c r="K1047" s="842">
        <f>+J1048</f>
        <v>240007.21635661589</v>
      </c>
      <c r="L1047" s="842">
        <f>+J1053</f>
        <v>3713228.75</v>
      </c>
      <c r="N1047" s="843" t="e">
        <f>SUMIF(#REF!,'8.Dgia'!A1047,#REF!)+SUMIF(#REF!,'8.Dgia'!A1047,#REF!)+SUMIF(#REF!,'8.Dgia'!A1047,#REF!)+SUMIF(#REF!,'8.Dgia'!A1047,#REF!)</f>
        <v>#REF!</v>
      </c>
      <c r="O1047" s="844"/>
      <c r="P1047" s="843" t="e">
        <f t="shared" si="46"/>
        <v>#REF!</v>
      </c>
    </row>
    <row r="1048" spans="1:18" ht="15" customHeight="1">
      <c r="A1048" s="657">
        <f>IF(B1048="",MAX($A$8:A1047)+0,MAX($A$8:A1047)+1)</f>
        <v>107</v>
      </c>
      <c r="B1048" s="835" t="str">
        <f>IF(C1048="","",COUNTA($C$10:C1049))</f>
        <v/>
      </c>
      <c r="C1048" s="847"/>
      <c r="D1048" s="362"/>
      <c r="E1048" s="852" t="s">
        <v>2032</v>
      </c>
      <c r="F1048" s="848" t="str">
        <f>VLOOKUP(E1048,DICH!B:C,2,FALSE)</f>
        <v xml:space="preserve">  A - Material</v>
      </c>
      <c r="G1048" s="883"/>
      <c r="H1048" s="847"/>
      <c r="I1048" s="848"/>
      <c r="J1048" s="849">
        <f>SUM(J1049:J1052)</f>
        <v>240007.21635661589</v>
      </c>
      <c r="N1048" s="843" t="e">
        <f>SUMIF(#REF!,'8.Dgia'!A1048,#REF!)+SUMIF(#REF!,'8.Dgia'!A1048,#REF!)+SUMIF(#REF!,'8.Dgia'!A1048,#REF!)+SUMIF(#REF!,'8.Dgia'!A1048,#REF!)</f>
        <v>#REF!</v>
      </c>
      <c r="O1048" s="844"/>
      <c r="P1048" s="843" t="e">
        <f t="shared" si="46"/>
        <v>#REF!</v>
      </c>
    </row>
    <row r="1049" spans="1:18" ht="15" customHeight="1">
      <c r="A1049" s="657">
        <f>IF(B1049="",MAX($A$8:A1048)+0,MAX($A$8:A1048)+1)</f>
        <v>107</v>
      </c>
      <c r="B1049" s="835" t="str">
        <f>IF(C1049="","",COUNTA($C$10:C1050))</f>
        <v/>
      </c>
      <c r="C1049" s="847"/>
      <c r="D1049" s="362"/>
      <c r="E1049" s="852" t="s">
        <v>739</v>
      </c>
      <c r="F1049" s="848" t="str">
        <f>VLOOKUP(E1049,DICH!B:C,2,FALSE)</f>
        <v xml:space="preserve">rail </v>
      </c>
      <c r="G1049" s="883" t="s">
        <v>558</v>
      </c>
      <c r="H1049" s="847">
        <v>5.3</v>
      </c>
      <c r="I1049" s="848">
        <f>VLOOKUP(E1049,'11.gia '!$B:$I,8,FALSE)</f>
        <v>16703.248369172808</v>
      </c>
      <c r="J1049" s="853">
        <f>I1049*H1049</f>
        <v>88527.216356615885</v>
      </c>
      <c r="N1049" s="843" t="e">
        <f>SUMIF(#REF!,'8.Dgia'!A1049,#REF!)+SUMIF(#REF!,'8.Dgia'!A1049,#REF!)+SUMIF(#REF!,'8.Dgia'!A1049,#REF!)+SUMIF(#REF!,'8.Dgia'!A1049,#REF!)</f>
        <v>#REF!</v>
      </c>
      <c r="O1049" s="844"/>
      <c r="P1049" s="843" t="e">
        <f t="shared" si="46"/>
        <v>#REF!</v>
      </c>
    </row>
    <row r="1050" spans="1:18" ht="15" customHeight="1">
      <c r="A1050" s="657">
        <f>IF(B1050="",MAX($A$8:A1049)+0,MAX($A$8:A1049)+1)</f>
        <v>107</v>
      </c>
      <c r="B1050" s="835" t="str">
        <f>IF(C1050="","",COUNTA($C$10:C1051))</f>
        <v/>
      </c>
      <c r="C1050" s="847"/>
      <c r="D1050" s="362"/>
      <c r="E1050" s="852" t="s">
        <v>741</v>
      </c>
      <c r="F1050" s="848" t="str">
        <f>VLOOKUP(E1050,DICH!B:C,2,FALSE)</f>
        <v>lap lunch</v>
      </c>
      <c r="G1050" s="362" t="s">
        <v>4651</v>
      </c>
      <c r="H1050" s="847">
        <v>0.1</v>
      </c>
      <c r="I1050" s="848">
        <f>VLOOKUP(E1050,'11.gia '!$B:$I,8,FALSE)</f>
        <v>86500</v>
      </c>
      <c r="J1050" s="853">
        <f>I1050*H1050</f>
        <v>8650</v>
      </c>
      <c r="N1050" s="843" t="e">
        <f>SUMIF(#REF!,'8.Dgia'!A1050,#REF!)+SUMIF(#REF!,'8.Dgia'!A1050,#REF!)+SUMIF(#REF!,'8.Dgia'!A1050,#REF!)+SUMIF(#REF!,'8.Dgia'!A1050,#REF!)</f>
        <v>#REF!</v>
      </c>
      <c r="O1050" s="844"/>
      <c r="P1050" s="843" t="e">
        <f t="shared" si="46"/>
        <v>#REF!</v>
      </c>
    </row>
    <row r="1051" spans="1:18" ht="15" customHeight="1">
      <c r="A1051" s="657">
        <f>IF(B1051="",MAX($A$8:A1050)+0,MAX($A$8:A1050)+1)</f>
        <v>107</v>
      </c>
      <c r="B1051" s="835" t="str">
        <f>IF(C1051="","",COUNTA($C$10:C1052))</f>
        <v/>
      </c>
      <c r="C1051" s="847"/>
      <c r="D1051" s="362"/>
      <c r="E1051" s="852" t="s">
        <v>134</v>
      </c>
      <c r="F1051" s="848" t="str">
        <f>VLOOKUP(E1051,DICH!B:C,2,FALSE)</f>
        <v>Wooden</v>
      </c>
      <c r="G1051" s="847" t="s">
        <v>545</v>
      </c>
      <c r="H1051" s="847">
        <v>2.7E-2</v>
      </c>
      <c r="I1051" s="848">
        <f>VLOOKUP(E1051,'11.gia '!$B:$I,8,FALSE)</f>
        <v>5000000</v>
      </c>
      <c r="J1051" s="853">
        <f>I1051*H1051</f>
        <v>135000</v>
      </c>
      <c r="N1051" s="843" t="e">
        <f>SUMIF(#REF!,'8.Dgia'!A1051,#REF!)+SUMIF(#REF!,'8.Dgia'!A1051,#REF!)+SUMIF(#REF!,'8.Dgia'!A1051,#REF!)+SUMIF(#REF!,'8.Dgia'!A1051,#REF!)</f>
        <v>#REF!</v>
      </c>
      <c r="O1051" s="844"/>
      <c r="P1051" s="843" t="e">
        <f t="shared" si="46"/>
        <v>#REF!</v>
      </c>
    </row>
    <row r="1052" spans="1:18" ht="15" customHeight="1">
      <c r="A1052" s="657">
        <f>IF(B1052="",MAX($A$8:A1051)+0,MAX($A$8:A1051)+1)</f>
        <v>107</v>
      </c>
      <c r="B1052" s="835" t="str">
        <f>IF(C1052="","",COUNTA($C$10:C1053))</f>
        <v/>
      </c>
      <c r="C1052" s="847"/>
      <c r="D1052" s="362"/>
      <c r="E1052" s="852" t="s">
        <v>742</v>
      </c>
      <c r="F1052" s="848" t="str">
        <f>VLOOKUP(E1052,DICH!B:C,2,FALSE)</f>
        <v>Crampong nail</v>
      </c>
      <c r="G1052" s="362" t="s">
        <v>4649</v>
      </c>
      <c r="H1052" s="847">
        <v>7.83</v>
      </c>
      <c r="I1052" s="848">
        <f>VLOOKUP(E1052,'11.gia '!$B:$I,8,FALSE)</f>
        <v>1000</v>
      </c>
      <c r="J1052" s="853">
        <f>I1052*H1052</f>
        <v>7830</v>
      </c>
      <c r="N1052" s="843" t="e">
        <f>SUMIF(#REF!,'8.Dgia'!A1052,#REF!)+SUMIF(#REF!,'8.Dgia'!A1052,#REF!)+SUMIF(#REF!,'8.Dgia'!A1052,#REF!)+SUMIF(#REF!,'8.Dgia'!A1052,#REF!)</f>
        <v>#REF!</v>
      </c>
      <c r="O1052" s="844"/>
      <c r="P1052" s="843" t="e">
        <f t="shared" si="46"/>
        <v>#REF!</v>
      </c>
    </row>
    <row r="1053" spans="1:18" ht="15" customHeight="1">
      <c r="A1053" s="657">
        <f>IF(B1053="",MAX($A$8:A1052)+0,MAX($A$8:A1052)+1)</f>
        <v>107</v>
      </c>
      <c r="B1053" s="835" t="str">
        <f>IF(C1053="","",COUNTA($C$10:C1054))</f>
        <v/>
      </c>
      <c r="C1053" s="847"/>
      <c r="D1053" s="362"/>
      <c r="E1053" s="852" t="s">
        <v>2040</v>
      </c>
      <c r="F1053" s="848" t="str">
        <f>VLOOKUP(E1053,DICH!B:C,2,FALSE)</f>
        <v xml:space="preserve">  B - Labour 4.5/7</v>
      </c>
      <c r="G1053" s="847" t="s">
        <v>4899</v>
      </c>
      <c r="H1053" s="886">
        <v>15.61</v>
      </c>
      <c r="I1053" s="848">
        <f>VLOOKUP(E1053,'16.NC'!$C$11:$F$22,4,FALSE)</f>
        <v>237875</v>
      </c>
      <c r="J1053" s="849">
        <f>I1053*H1053</f>
        <v>3713228.75</v>
      </c>
      <c r="N1053" s="843" t="e">
        <f>SUMIF(#REF!,'8.Dgia'!A1053,#REF!)+SUMIF(#REF!,'8.Dgia'!A1053,#REF!)+SUMIF(#REF!,'8.Dgia'!A1053,#REF!)+SUMIF(#REF!,'8.Dgia'!A1053,#REF!)</f>
        <v>#REF!</v>
      </c>
      <c r="O1053" s="844"/>
      <c r="P1053" s="843" t="e">
        <f t="shared" si="46"/>
        <v>#REF!</v>
      </c>
      <c r="R1053" s="658">
        <v>1</v>
      </c>
    </row>
    <row r="1054" spans="1:18" ht="15" customHeight="1">
      <c r="A1054" s="657">
        <f>IF(B1054="",MAX($A$8:A1053)+0,MAX($A$8:A1053)+1)</f>
        <v>108</v>
      </c>
      <c r="B1054" s="835">
        <f>IF(C1054="","",COUNTA($C$10:C1055))</f>
        <v>108</v>
      </c>
      <c r="C1054" s="835">
        <v>1091</v>
      </c>
      <c r="D1054" s="859" t="s">
        <v>2251</v>
      </c>
      <c r="E1054" s="855" t="s">
        <v>2052</v>
      </c>
      <c r="F1054" s="1049" t="str">
        <f>VLOOKUP(E1054,DICH!B:C,2,FALSE)</f>
        <v>Launching super T girder by two cranes</v>
      </c>
      <c r="G1054" s="882" t="s">
        <v>4906</v>
      </c>
      <c r="H1054" s="882"/>
      <c r="I1054" s="848"/>
      <c r="J1054" s="853"/>
      <c r="K1054" s="842">
        <f>+J1055</f>
        <v>590634</v>
      </c>
      <c r="L1054" s="842">
        <f>+J1058</f>
        <v>2174177.5</v>
      </c>
      <c r="M1054" s="842">
        <f>+J1059</f>
        <v>9563713.768298585</v>
      </c>
      <c r="N1054" s="843" t="e">
        <f>SUMIF(#REF!,'8.Dgia'!A1054,#REF!)+SUMIF(#REF!,'8.Dgia'!A1054,#REF!)+SUMIF(#REF!,'8.Dgia'!A1054,#REF!)+SUMIF(#REF!,'8.Dgia'!A1054,#REF!)</f>
        <v>#REF!</v>
      </c>
      <c r="O1054" s="844"/>
      <c r="P1054" s="843" t="e">
        <f t="shared" si="46"/>
        <v>#REF!</v>
      </c>
    </row>
    <row r="1055" spans="1:18" ht="15" customHeight="1">
      <c r="A1055" s="657">
        <f>IF(B1055="",MAX($A$8:A1054)+0,MAX($A$8:A1054)+1)</f>
        <v>108</v>
      </c>
      <c r="B1055" s="835" t="str">
        <f>IF(C1055="","",COUNTA($C$10:C1056))</f>
        <v/>
      </c>
      <c r="C1055" s="847"/>
      <c r="D1055" s="362"/>
      <c r="E1055" s="852" t="s">
        <v>2032</v>
      </c>
      <c r="F1055" s="848" t="str">
        <f>VLOOKUP(E1055,DICH!B:C,2,FALSE)</f>
        <v xml:space="preserve">  A - Material</v>
      </c>
      <c r="G1055" s="883"/>
      <c r="H1055" s="847"/>
      <c r="I1055" s="848"/>
      <c r="J1055" s="849">
        <f>SUM(J1056:J1057)</f>
        <v>590634</v>
      </c>
      <c r="N1055" s="843" t="e">
        <f>SUMIF(#REF!,'8.Dgia'!A1055,#REF!)+SUMIF(#REF!,'8.Dgia'!A1055,#REF!)+SUMIF(#REF!,'8.Dgia'!A1055,#REF!)+SUMIF(#REF!,'8.Dgia'!A1055,#REF!)</f>
        <v>#REF!</v>
      </c>
      <c r="O1055" s="844"/>
      <c r="P1055" s="843" t="e">
        <f t="shared" si="46"/>
        <v>#REF!</v>
      </c>
    </row>
    <row r="1056" spans="1:18" ht="15" customHeight="1">
      <c r="A1056" s="657">
        <f>IF(B1056="",MAX($A$8:A1055)+0,MAX($A$8:A1055)+1)</f>
        <v>108</v>
      </c>
      <c r="B1056" s="835" t="str">
        <f>IF(C1056="","",COUNTA($C$10:C1057))</f>
        <v/>
      </c>
      <c r="C1056" s="847"/>
      <c r="D1056" s="362"/>
      <c r="E1056" s="852" t="s">
        <v>83</v>
      </c>
      <c r="F1056" s="848" t="str">
        <f>VLOOKUP(E1056,DICH!B:C,2,FALSE)</f>
        <v>Tole thicknees 2mm</v>
      </c>
      <c r="G1056" s="883" t="s">
        <v>558</v>
      </c>
      <c r="H1056" s="847">
        <v>26.847000000000001</v>
      </c>
      <c r="I1056" s="848">
        <f>VLOOKUP(E1056,'11.gia '!$B:$I,8,FALSE)</f>
        <v>20000</v>
      </c>
      <c r="J1056" s="853">
        <f>I1056*H1056</f>
        <v>536940</v>
      </c>
      <c r="N1056" s="843" t="e">
        <f>SUMIF(#REF!,'8.Dgia'!A1056,#REF!)+SUMIF(#REF!,'8.Dgia'!A1056,#REF!)+SUMIF(#REF!,'8.Dgia'!A1056,#REF!)+SUMIF(#REF!,'8.Dgia'!A1056,#REF!)</f>
        <v>#REF!</v>
      </c>
      <c r="O1056" s="844">
        <f>+$H$1057</f>
        <v>10</v>
      </c>
      <c r="P1056" s="843" t="e">
        <f t="shared" si="46"/>
        <v>#REF!</v>
      </c>
    </row>
    <row r="1057" spans="1:18" ht="15" customHeight="1">
      <c r="A1057" s="657">
        <f>IF(B1057="",MAX($A$8:A1056)+0,MAX($A$8:A1056)+1)</f>
        <v>108</v>
      </c>
      <c r="B1057" s="835" t="str">
        <f>IF(C1057="","",COUNTA($C$10:C1058))</f>
        <v/>
      </c>
      <c r="C1057" s="847"/>
      <c r="D1057" s="362"/>
      <c r="E1057" s="852" t="s">
        <v>555</v>
      </c>
      <c r="F1057" s="848" t="str">
        <f>VLOOKUP(E1057,DICH!B:C,2,FALSE)</f>
        <v>Other material</v>
      </c>
      <c r="G1057" s="362" t="s">
        <v>554</v>
      </c>
      <c r="H1057" s="847">
        <v>10</v>
      </c>
      <c r="I1057" s="848">
        <f>+J1056</f>
        <v>536940</v>
      </c>
      <c r="J1057" s="853">
        <f>I1057*H1057%</f>
        <v>53694</v>
      </c>
      <c r="N1057" s="843" t="e">
        <f>SUMIF(#REF!,'8.Dgia'!A1057,#REF!)+SUMIF(#REF!,'8.Dgia'!A1057,#REF!)+SUMIF(#REF!,'8.Dgia'!A1057,#REF!)+SUMIF(#REF!,'8.Dgia'!A1057,#REF!)</f>
        <v>#REF!</v>
      </c>
      <c r="O1057" s="844"/>
      <c r="P1057" s="843" t="e">
        <f t="shared" si="46"/>
        <v>#REF!</v>
      </c>
    </row>
    <row r="1058" spans="1:18" ht="15" customHeight="1">
      <c r="A1058" s="657">
        <f>IF(B1058="",MAX($A$8:A1057)+0,MAX($A$8:A1057)+1)</f>
        <v>108</v>
      </c>
      <c r="B1058" s="835" t="str">
        <f>IF(C1058="","",COUNTA($C$10:C1059))</f>
        <v/>
      </c>
      <c r="C1058" s="847"/>
      <c r="D1058" s="847"/>
      <c r="E1058" s="852" t="s">
        <v>2040</v>
      </c>
      <c r="F1058" s="848" t="str">
        <f>VLOOKUP(E1058,DICH!B:C,2,FALSE)</f>
        <v xml:space="preserve">  B - Labour 4.5/7</v>
      </c>
      <c r="G1058" s="847" t="s">
        <v>4899</v>
      </c>
      <c r="H1058" s="886">
        <v>9.14</v>
      </c>
      <c r="I1058" s="848">
        <f>VLOOKUP(E1058,'16.NC'!$C$11:$F$22,4,FALSE)</f>
        <v>237875</v>
      </c>
      <c r="J1058" s="849">
        <f>I1058*H1058</f>
        <v>2174177.5</v>
      </c>
      <c r="N1058" s="843" t="e">
        <f>SUMIF(#REF!,'8.Dgia'!A1058,#REF!)+SUMIF(#REF!,'8.Dgia'!A1058,#REF!)+SUMIF(#REF!,'8.Dgia'!A1058,#REF!)+SUMIF(#REF!,'8.Dgia'!A1058,#REF!)</f>
        <v>#REF!</v>
      </c>
      <c r="O1058" s="844"/>
      <c r="P1058" s="843" t="e">
        <f t="shared" si="46"/>
        <v>#REF!</v>
      </c>
      <c r="R1058" s="658">
        <v>1</v>
      </c>
    </row>
    <row r="1059" spans="1:18" ht="15" customHeight="1">
      <c r="A1059" s="657">
        <f>IF(B1059="",MAX($A$8:A1058)+0,MAX($A$8:A1058)+1)</f>
        <v>108</v>
      </c>
      <c r="B1059" s="835" t="str">
        <f>IF(C1059="","",COUNTA($C$10:C1060))</f>
        <v/>
      </c>
      <c r="C1059" s="847"/>
      <c r="D1059" s="362"/>
      <c r="E1059" s="852" t="s">
        <v>2033</v>
      </c>
      <c r="F1059" s="848" t="str">
        <f>VLOOKUP(E1059,DICH!B:C,2,FALSE)</f>
        <v xml:space="preserve">  C - Machine</v>
      </c>
      <c r="G1059" s="847"/>
      <c r="H1059" s="847"/>
      <c r="I1059" s="848"/>
      <c r="J1059" s="849">
        <f>SUM(J1060:J1062)</f>
        <v>9563713.768298585</v>
      </c>
      <c r="N1059" s="843" t="e">
        <f>SUMIF(#REF!,'8.Dgia'!A1059,#REF!)+SUMIF(#REF!,'8.Dgia'!A1059,#REF!)+SUMIF(#REF!,'8.Dgia'!A1059,#REF!)+SUMIF(#REF!,'8.Dgia'!A1059,#REF!)</f>
        <v>#REF!</v>
      </c>
      <c r="O1059" s="844"/>
      <c r="P1059" s="843" t="e">
        <f t="shared" si="46"/>
        <v>#REF!</v>
      </c>
    </row>
    <row r="1060" spans="1:18" ht="15" customHeight="1">
      <c r="A1060" s="657">
        <f>IF(B1060="",MAX($A$8:A1059)+0,MAX($A$8:A1059)+1)</f>
        <v>108</v>
      </c>
      <c r="B1060" s="835" t="str">
        <f>IF(C1060="","",COUNTA($C$10:C1061))</f>
        <v/>
      </c>
      <c r="C1060" s="887"/>
      <c r="D1060" s="887"/>
      <c r="E1060" s="852" t="s">
        <v>1074</v>
      </c>
      <c r="F1060" s="848" t="str">
        <f>VLOOKUP(E1060,'9.may'!E:F,2,FALSE)</f>
        <v>beam-launch crane</v>
      </c>
      <c r="G1060" s="847" t="s">
        <v>4902</v>
      </c>
      <c r="H1060" s="847">
        <v>0.16300000000000001</v>
      </c>
      <c r="I1060" s="848">
        <f>VLOOKUP(E1060,'9.may'!E:W,12,FALSE)</f>
        <v>4450040.3339999998</v>
      </c>
      <c r="J1060" s="853">
        <f>I1060*H1060</f>
        <v>725356.57444200001</v>
      </c>
      <c r="N1060" s="843" t="e">
        <f>SUMIF(#REF!,'8.Dgia'!A1060,#REF!)+SUMIF(#REF!,'8.Dgia'!A1060,#REF!)+SUMIF(#REF!,'8.Dgia'!A1060,#REF!)+SUMIF(#REF!,'8.Dgia'!A1060,#REF!)</f>
        <v>#REF!</v>
      </c>
      <c r="O1060" s="844">
        <f>+$H$1062</f>
        <v>2</v>
      </c>
      <c r="P1060" s="843" t="e">
        <f t="shared" si="46"/>
        <v>#REF!</v>
      </c>
    </row>
    <row r="1061" spans="1:18" ht="15" customHeight="1">
      <c r="A1061" s="657">
        <f>IF(B1061="",MAX($A$8:A1060)+0,MAX($A$8:A1060)+1)</f>
        <v>108</v>
      </c>
      <c r="B1061" s="835" t="str">
        <f>IF(C1061="","",COUNTA($C$10:C1062))</f>
        <v/>
      </c>
      <c r="C1061" s="887"/>
      <c r="D1061" s="887"/>
      <c r="E1061" s="852" t="s">
        <v>357</v>
      </c>
      <c r="F1061" s="848" t="str">
        <f>VLOOKUP(E1061,'9.may'!E:F,2,FALSE)</f>
        <v>caterpillar crane 80T</v>
      </c>
      <c r="G1061" s="847" t="s">
        <v>4902</v>
      </c>
      <c r="H1061" s="847">
        <v>1.319</v>
      </c>
      <c r="I1061" s="848">
        <f>VLOOKUP(E1061,'9.may'!E:W,12,FALSE)</f>
        <v>6558630.3218181822</v>
      </c>
      <c r="J1061" s="853">
        <f>I1061*H1061</f>
        <v>8650833.3944781814</v>
      </c>
      <c r="N1061" s="843" t="e">
        <f>SUMIF(#REF!,'8.Dgia'!A1061,#REF!)+SUMIF(#REF!,'8.Dgia'!A1061,#REF!)+SUMIF(#REF!,'8.Dgia'!A1061,#REF!)+SUMIF(#REF!,'8.Dgia'!A1061,#REF!)</f>
        <v>#REF!</v>
      </c>
      <c r="O1061" s="844">
        <f>+$H$1062</f>
        <v>2</v>
      </c>
      <c r="P1061" s="843" t="e">
        <f t="shared" si="46"/>
        <v>#REF!</v>
      </c>
    </row>
    <row r="1062" spans="1:18" ht="15" customHeight="1">
      <c r="A1062" s="657">
        <f>IF(B1062="",MAX($A$8:A1061)+0,MAX($A$8:A1061)+1)</f>
        <v>108</v>
      </c>
      <c r="B1062" s="835" t="str">
        <f>IF(C1062="","",COUNTA($C$10:C1063))</f>
        <v/>
      </c>
      <c r="C1062" s="887"/>
      <c r="D1062" s="887"/>
      <c r="E1062" s="852" t="s">
        <v>553</v>
      </c>
      <c r="F1062" s="848" t="str">
        <f>VLOOKUP(E1062,DICH!B:C,2,FALSE)</f>
        <v>Other machine</v>
      </c>
      <c r="G1062" s="362" t="s">
        <v>554</v>
      </c>
      <c r="H1062" s="847">
        <v>2</v>
      </c>
      <c r="I1062" s="848">
        <f>SUM(J1060:J1061)</f>
        <v>9376189.9689201806</v>
      </c>
      <c r="J1062" s="853">
        <f>I1062*H1062%</f>
        <v>187523.79937840361</v>
      </c>
      <c r="N1062" s="843" t="e">
        <f>SUMIF(#REF!,'8.Dgia'!A1062,#REF!)+SUMIF(#REF!,'8.Dgia'!A1062,#REF!)+SUMIF(#REF!,'8.Dgia'!A1062,#REF!)+SUMIF(#REF!,'8.Dgia'!A1062,#REF!)</f>
        <v>#REF!</v>
      </c>
      <c r="O1062" s="844"/>
      <c r="P1062" s="843" t="e">
        <f t="shared" si="46"/>
        <v>#REF!</v>
      </c>
    </row>
    <row r="1063" spans="1:18" ht="25.5" customHeight="1">
      <c r="A1063" s="657">
        <f>IF(B1063="",MAX($A$8:A1062)+0,MAX($A$8:A1062)+1)</f>
        <v>109</v>
      </c>
      <c r="B1063" s="835">
        <f>IF(C1063="","",COUNTA($C$10:C1064))</f>
        <v>109</v>
      </c>
      <c r="C1063" s="835">
        <v>1091</v>
      </c>
      <c r="D1063" s="859" t="s">
        <v>3565</v>
      </c>
      <c r="E1063" s="855" t="s">
        <v>3625</v>
      </c>
      <c r="F1063" s="1049" t="str">
        <f>VLOOKUP(E1063,DICH!B:C,2,FALSE)</f>
        <v>Crane girder super-T onto transported vehicle, HS=30%</v>
      </c>
      <c r="G1063" s="882" t="s">
        <v>4906</v>
      </c>
      <c r="H1063" s="882">
        <f>30%</f>
        <v>0.3</v>
      </c>
      <c r="I1063" s="848"/>
      <c r="J1063" s="853"/>
      <c r="L1063" s="842">
        <f>+J1064</f>
        <v>652253.25</v>
      </c>
      <c r="M1063" s="842">
        <f>+J1065</f>
        <v>2595250.0183434547</v>
      </c>
      <c r="N1063" s="843" t="s">
        <v>457</v>
      </c>
      <c r="O1063" s="844"/>
      <c r="P1063" s="843" t="s">
        <v>457</v>
      </c>
    </row>
    <row r="1064" spans="1:18" ht="15" customHeight="1">
      <c r="A1064" s="657">
        <f>IF(B1064="",MAX($A$8:A1063)+0,MAX($A$8:A1063)+1)</f>
        <v>109</v>
      </c>
      <c r="B1064" s="835" t="str">
        <f>IF(C1064="","",COUNTA($C$10:C1065))</f>
        <v/>
      </c>
      <c r="C1064" s="847"/>
      <c r="D1064" s="847"/>
      <c r="E1064" s="852" t="s">
        <v>2040</v>
      </c>
      <c r="F1064" s="848" t="str">
        <f>VLOOKUP(E1064,DICH!B:C,2,FALSE)</f>
        <v xml:space="preserve">  B - Labour 4.5/7</v>
      </c>
      <c r="G1064" s="847" t="s">
        <v>4899</v>
      </c>
      <c r="H1064" s="886">
        <f>9.14*H1063</f>
        <v>2.742</v>
      </c>
      <c r="I1064" s="848">
        <f>VLOOKUP(E1064,'16.NC'!$C$11:$F$22,4,FALSE)</f>
        <v>237875</v>
      </c>
      <c r="J1064" s="849">
        <f>I1064*H1064</f>
        <v>652253.25</v>
      </c>
      <c r="N1064" s="843" t="s">
        <v>457</v>
      </c>
      <c r="O1064" s="844"/>
      <c r="P1064" s="843" t="s">
        <v>457</v>
      </c>
      <c r="R1064" s="658">
        <v>1</v>
      </c>
    </row>
    <row r="1065" spans="1:18" ht="15" customHeight="1">
      <c r="A1065" s="657">
        <f>IF(B1065="",MAX($A$8:A1064)+0,MAX($A$8:A1064)+1)</f>
        <v>109</v>
      </c>
      <c r="B1065" s="835" t="str">
        <f>IF(C1065="","",COUNTA($C$10:C1066))</f>
        <v/>
      </c>
      <c r="C1065" s="847"/>
      <c r="D1065" s="362"/>
      <c r="E1065" s="852" t="s">
        <v>2033</v>
      </c>
      <c r="F1065" s="848" t="str">
        <f>VLOOKUP(E1065,DICH!B:C,2,FALSE)</f>
        <v xml:space="preserve">  C - Machine</v>
      </c>
      <c r="G1065" s="847"/>
      <c r="H1065" s="847"/>
      <c r="I1065" s="848"/>
      <c r="J1065" s="849">
        <f>SUM(J1066:J1066)</f>
        <v>2595250.0183434547</v>
      </c>
      <c r="N1065" s="843" t="s">
        <v>457</v>
      </c>
      <c r="O1065" s="844"/>
      <c r="P1065" s="843" t="s">
        <v>457</v>
      </c>
    </row>
    <row r="1066" spans="1:18" ht="15" customHeight="1">
      <c r="A1066" s="657">
        <f>IF(B1066="",MAX($A$8:A1065)+0,MAX($A$8:A1065)+1)</f>
        <v>109</v>
      </c>
      <c r="B1066" s="835" t="str">
        <f>IF(C1066="","",COUNTA($C$10:C1067))</f>
        <v/>
      </c>
      <c r="C1066" s="887"/>
      <c r="D1066" s="887"/>
      <c r="E1066" s="852" t="s">
        <v>357</v>
      </c>
      <c r="F1066" s="848" t="str">
        <f>VLOOKUP(E1066,'9.may'!E:F,2,FALSE)</f>
        <v>caterpillar crane 80T</v>
      </c>
      <c r="G1066" s="847" t="s">
        <v>4902</v>
      </c>
      <c r="H1066" s="847">
        <f>1.319*H1063</f>
        <v>0.3957</v>
      </c>
      <c r="I1066" s="848">
        <f>VLOOKUP(E1066,'9.may'!E:W,12,FALSE)</f>
        <v>6558630.3218181822</v>
      </c>
      <c r="J1066" s="853">
        <f>I1066*H1066</f>
        <v>2595250.0183434547</v>
      </c>
      <c r="N1066" s="843" t="s">
        <v>457</v>
      </c>
      <c r="O1066" s="844"/>
      <c r="P1066" s="843" t="s">
        <v>457</v>
      </c>
    </row>
    <row r="1067" spans="1:18" ht="15" customHeight="1">
      <c r="A1067" s="657">
        <f>IF(B1067="",MAX($A$8:A1066)+0,MAX($A$8:A1066)+1)</f>
        <v>110</v>
      </c>
      <c r="B1067" s="835">
        <f>IF(C1067="","",COUNTA($C$10:C1068))</f>
        <v>110</v>
      </c>
      <c r="C1067" s="835">
        <v>1091</v>
      </c>
      <c r="D1067" s="239" t="s">
        <v>2246</v>
      </c>
      <c r="E1067" s="808" t="s">
        <v>2247</v>
      </c>
      <c r="F1067" s="1049" t="str">
        <f>VLOOKUP(E1067,DICH!B:C,2,FALSE)</f>
        <v>Install super T girder by launching eqipment</v>
      </c>
      <c r="G1067" s="882" t="s">
        <v>4906</v>
      </c>
      <c r="H1067" s="882"/>
      <c r="I1067" s="848"/>
      <c r="J1067" s="853"/>
      <c r="K1067" s="842">
        <f>+J1068</f>
        <v>1178768.1972000001</v>
      </c>
      <c r="L1067" s="842">
        <f>+J1071</f>
        <v>2038588.75</v>
      </c>
      <c r="M1067" s="842" t="e">
        <f>+J1072</f>
        <v>#N/A</v>
      </c>
      <c r="N1067" s="843" t="e">
        <f>SUMIF(#REF!,'8.Dgia'!A1067,#REF!)+SUMIF(#REF!,'8.Dgia'!A1067,#REF!)+SUMIF(#REF!,'8.Dgia'!A1067,#REF!)+SUMIF(#REF!,'8.Dgia'!A1067,#REF!)</f>
        <v>#REF!</v>
      </c>
      <c r="O1067" s="844"/>
      <c r="P1067" s="843" t="e">
        <f t="shared" si="46"/>
        <v>#REF!</v>
      </c>
    </row>
    <row r="1068" spans="1:18" ht="15" customHeight="1">
      <c r="A1068" s="657">
        <f>IF(B1068="",MAX($A$8:A1067)+0,MAX($A$8:A1067)+1)</f>
        <v>110</v>
      </c>
      <c r="B1068" s="835" t="str">
        <f>IF(C1068="","",COUNTA($C$10:C1069))</f>
        <v/>
      </c>
      <c r="C1068" s="847"/>
      <c r="D1068" s="362"/>
      <c r="E1068" s="852" t="s">
        <v>2032</v>
      </c>
      <c r="F1068" s="848" t="str">
        <f>VLOOKUP(E1068,DICH!B:C,2,FALSE)</f>
        <v xml:space="preserve">  A - Material</v>
      </c>
      <c r="G1068" s="883"/>
      <c r="H1068" s="847"/>
      <c r="I1068" s="848"/>
      <c r="J1068" s="849">
        <f>SUM(J1069:J1070)</f>
        <v>1178768.1972000001</v>
      </c>
      <c r="N1068" s="843" t="e">
        <f>SUMIF(#REF!,'8.Dgia'!A1068,#REF!)+SUMIF(#REF!,'8.Dgia'!A1068,#REF!)+SUMIF(#REF!,'8.Dgia'!A1068,#REF!)+SUMIF(#REF!,'8.Dgia'!A1068,#REF!)</f>
        <v>#REF!</v>
      </c>
      <c r="O1068" s="844"/>
      <c r="P1068" s="843" t="e">
        <f t="shared" si="46"/>
        <v>#REF!</v>
      </c>
    </row>
    <row r="1069" spans="1:18" ht="15" customHeight="1">
      <c r="A1069" s="657">
        <f>IF(B1069="",MAX($A$8:A1068)+0,MAX($A$8:A1068)+1)</f>
        <v>110</v>
      </c>
      <c r="B1069" s="835" t="str">
        <f>IF(C1069="","",COUNTA($C$10:C1070))</f>
        <v/>
      </c>
      <c r="C1069" s="847"/>
      <c r="D1069" s="362"/>
      <c r="E1069" s="819" t="s">
        <v>2248</v>
      </c>
      <c r="F1069" s="848" t="str">
        <f>VLOOKUP(E1069,DICH!B:C,2,FALSE)</f>
        <v>wooden tie 14x22x180</v>
      </c>
      <c r="G1069" s="888" t="s">
        <v>2249</v>
      </c>
      <c r="H1069" s="239">
        <v>2.5979999999999999</v>
      </c>
      <c r="I1069" s="848">
        <f>VLOOKUP(E1069,'11.gia '!$B:$I,8,FALSE)</f>
        <v>412474</v>
      </c>
      <c r="J1069" s="853">
        <f>I1069*H1069</f>
        <v>1071607.452</v>
      </c>
      <c r="N1069" s="843" t="e">
        <f>SUMIF(#REF!,'8.Dgia'!A1069,#REF!)+SUMIF(#REF!,'8.Dgia'!A1069,#REF!)+SUMIF(#REF!,'8.Dgia'!A1069,#REF!)+SUMIF(#REF!,'8.Dgia'!A1069,#REF!)</f>
        <v>#REF!</v>
      </c>
      <c r="O1069" s="844">
        <f>+$H$1057</f>
        <v>10</v>
      </c>
      <c r="P1069" s="843" t="e">
        <f t="shared" si="46"/>
        <v>#REF!</v>
      </c>
    </row>
    <row r="1070" spans="1:18" ht="15" customHeight="1">
      <c r="A1070" s="657">
        <f>IF(B1070="",MAX($A$8:A1069)+0,MAX($A$8:A1069)+1)</f>
        <v>110</v>
      </c>
      <c r="B1070" s="835" t="str">
        <f>IF(C1070="","",COUNTA($C$10:C1071))</f>
        <v/>
      </c>
      <c r="C1070" s="847"/>
      <c r="D1070" s="362"/>
      <c r="E1070" s="852" t="s">
        <v>555</v>
      </c>
      <c r="F1070" s="848" t="str">
        <f>VLOOKUP(E1070,DICH!B:C,2,FALSE)</f>
        <v>Other material</v>
      </c>
      <c r="G1070" s="362" t="s">
        <v>554</v>
      </c>
      <c r="H1070" s="847">
        <v>10</v>
      </c>
      <c r="I1070" s="848">
        <f>+J1069</f>
        <v>1071607.452</v>
      </c>
      <c r="J1070" s="853">
        <f>I1070*H1070%</f>
        <v>107160.7452</v>
      </c>
      <c r="N1070" s="843" t="e">
        <f>SUMIF(#REF!,'8.Dgia'!A1070,#REF!)+SUMIF(#REF!,'8.Dgia'!A1070,#REF!)+SUMIF(#REF!,'8.Dgia'!A1070,#REF!)+SUMIF(#REF!,'8.Dgia'!A1070,#REF!)</f>
        <v>#REF!</v>
      </c>
      <c r="O1070" s="844"/>
      <c r="P1070" s="843" t="e">
        <f t="shared" si="46"/>
        <v>#REF!</v>
      </c>
    </row>
    <row r="1071" spans="1:18" ht="15" customHeight="1">
      <c r="A1071" s="657">
        <f>IF(B1071="",MAX($A$8:A1070)+0,MAX($A$8:A1070)+1)</f>
        <v>110</v>
      </c>
      <c r="B1071" s="835" t="str">
        <f>IF(C1071="","",COUNTA($C$10:C1072))</f>
        <v/>
      </c>
      <c r="C1071" s="847"/>
      <c r="D1071" s="847"/>
      <c r="E1071" s="852" t="s">
        <v>2040</v>
      </c>
      <c r="F1071" s="848" t="str">
        <f>VLOOKUP(E1071,DICH!B:C,2,FALSE)</f>
        <v xml:space="preserve">  B - Labour 4.5/7</v>
      </c>
      <c r="G1071" s="847" t="s">
        <v>4899</v>
      </c>
      <c r="H1071" s="239">
        <v>8.57</v>
      </c>
      <c r="I1071" s="848">
        <f>VLOOKUP(E1071,'16.NC'!$C$11:$F$22,4,FALSE)</f>
        <v>237875</v>
      </c>
      <c r="J1071" s="849">
        <f>I1071*H1071</f>
        <v>2038588.75</v>
      </c>
      <c r="N1071" s="843" t="e">
        <f>SUMIF(#REF!,'8.Dgia'!A1071,#REF!)+SUMIF(#REF!,'8.Dgia'!A1071,#REF!)+SUMIF(#REF!,'8.Dgia'!A1071,#REF!)+SUMIF(#REF!,'8.Dgia'!A1071,#REF!)</f>
        <v>#REF!</v>
      </c>
      <c r="O1071" s="844"/>
      <c r="P1071" s="843" t="e">
        <f t="shared" si="46"/>
        <v>#REF!</v>
      </c>
      <c r="R1071" s="658">
        <v>1</v>
      </c>
    </row>
    <row r="1072" spans="1:18" ht="15" customHeight="1">
      <c r="A1072" s="657">
        <f>IF(B1072="",MAX($A$8:A1071)+0,MAX($A$8:A1071)+1)</f>
        <v>110</v>
      </c>
      <c r="B1072" s="835" t="str">
        <f>IF(C1072="","",COUNTA($C$10:C1073))</f>
        <v/>
      </c>
      <c r="C1072" s="847"/>
      <c r="D1072" s="362"/>
      <c r="E1072" s="852" t="s">
        <v>2033</v>
      </c>
      <c r="F1072" s="848" t="str">
        <f>VLOOKUP(E1072,DICH!B:C,2,FALSE)</f>
        <v xml:space="preserve">  C - Machine</v>
      </c>
      <c r="G1072" s="847"/>
      <c r="H1072" s="239"/>
      <c r="I1072" s="848"/>
      <c r="J1072" s="849" t="e">
        <f>SUM(J1073:J1075)</f>
        <v>#N/A</v>
      </c>
      <c r="N1072" s="843" t="e">
        <f>SUMIF(#REF!,'8.Dgia'!A1072,#REF!)+SUMIF(#REF!,'8.Dgia'!A1072,#REF!)+SUMIF(#REF!,'8.Dgia'!A1072,#REF!)+SUMIF(#REF!,'8.Dgia'!A1072,#REF!)</f>
        <v>#REF!</v>
      </c>
      <c r="O1072" s="844"/>
      <c r="P1072" s="843" t="e">
        <f t="shared" si="46"/>
        <v>#REF!</v>
      </c>
    </row>
    <row r="1073" spans="1:18" ht="15" customHeight="1">
      <c r="A1073" s="657">
        <f>IF(B1073="",MAX($A$8:A1072)+0,MAX($A$8:A1072)+1)</f>
        <v>110</v>
      </c>
      <c r="B1073" s="835" t="str">
        <f>IF(C1073="","",COUNTA($C$10:C1074))</f>
        <v/>
      </c>
      <c r="C1073" s="887"/>
      <c r="D1073" s="887"/>
      <c r="E1073" s="819" t="s">
        <v>1074</v>
      </c>
      <c r="F1073" s="848" t="str">
        <f>VLOOKUP(E1073,'9.may'!E:F,2,FALSE)</f>
        <v>beam-launch crane</v>
      </c>
      <c r="G1073" s="847" t="s">
        <v>4902</v>
      </c>
      <c r="H1073" s="239">
        <v>0.16300000000000001</v>
      </c>
      <c r="I1073" s="848">
        <f>VLOOKUP(E1073,'9.may'!E:W,12,FALSE)</f>
        <v>4450040.3339999998</v>
      </c>
      <c r="J1073" s="853">
        <f>I1073*H1073</f>
        <v>725356.57444200001</v>
      </c>
      <c r="N1073" s="843" t="e">
        <f>SUMIF(#REF!,'8.Dgia'!A1073,#REF!)+SUMIF(#REF!,'8.Dgia'!A1073,#REF!)+SUMIF(#REF!,'8.Dgia'!A1073,#REF!)+SUMIF(#REF!,'8.Dgia'!A1073,#REF!)</f>
        <v>#REF!</v>
      </c>
      <c r="O1073" s="844">
        <f>+$H$1062</f>
        <v>2</v>
      </c>
      <c r="P1073" s="843" t="e">
        <f t="shared" si="46"/>
        <v>#REF!</v>
      </c>
    </row>
    <row r="1074" spans="1:18" ht="15" customHeight="1">
      <c r="A1074" s="657">
        <f>IF(B1074="",MAX($A$8:A1073)+0,MAX($A$8:A1073)+1)</f>
        <v>110</v>
      </c>
      <c r="B1074" s="835" t="str">
        <f>IF(C1074="","",COUNTA($C$10:C1075))</f>
        <v/>
      </c>
      <c r="C1074" s="887"/>
      <c r="D1074" s="887"/>
      <c r="E1074" s="819" t="s">
        <v>2250</v>
      </c>
      <c r="F1074" s="848" t="e">
        <f>VLOOKUP(E1074,'9.may'!E:F,2,FALSE)</f>
        <v>#N/A</v>
      </c>
      <c r="G1074" s="847" t="s">
        <v>4902</v>
      </c>
      <c r="H1074" s="239">
        <v>0.61499999999999999</v>
      </c>
      <c r="I1074" s="848" t="e">
        <f>VLOOKUP(E1074,'9.may'!E:W,12,FALSE)</f>
        <v>#N/A</v>
      </c>
      <c r="J1074" s="853" t="e">
        <f>I1074*H1074</f>
        <v>#N/A</v>
      </c>
      <c r="N1074" s="843" t="e">
        <f>SUMIF(#REF!,'8.Dgia'!A1074,#REF!)+SUMIF(#REF!,'8.Dgia'!A1074,#REF!)+SUMIF(#REF!,'8.Dgia'!A1074,#REF!)+SUMIF(#REF!,'8.Dgia'!A1074,#REF!)</f>
        <v>#REF!</v>
      </c>
      <c r="O1074" s="844">
        <f>+$H$1062</f>
        <v>2</v>
      </c>
      <c r="P1074" s="843" t="e">
        <f t="shared" si="46"/>
        <v>#REF!</v>
      </c>
    </row>
    <row r="1075" spans="1:18" ht="15" customHeight="1">
      <c r="A1075" s="657">
        <f>IF(B1075="",MAX($A$8:A1074)+0,MAX($A$8:A1074)+1)</f>
        <v>110</v>
      </c>
      <c r="B1075" s="835" t="str">
        <f>IF(C1075="","",COUNTA($C$10:C1076))</f>
        <v/>
      </c>
      <c r="C1075" s="887"/>
      <c r="D1075" s="887"/>
      <c r="E1075" s="852" t="s">
        <v>553</v>
      </c>
      <c r="F1075" s="848" t="str">
        <f>VLOOKUP(E1075,DICH!B:C,2,FALSE)</f>
        <v>Other machine</v>
      </c>
      <c r="G1075" s="362" t="s">
        <v>554</v>
      </c>
      <c r="H1075" s="847">
        <v>2</v>
      </c>
      <c r="I1075" s="848" t="e">
        <f>SUM(J1073:J1074)</f>
        <v>#N/A</v>
      </c>
      <c r="J1075" s="853" t="e">
        <f>I1075*H1075%</f>
        <v>#N/A</v>
      </c>
      <c r="N1075" s="843" t="e">
        <f>SUMIF(#REF!,'8.Dgia'!A1075,#REF!)+SUMIF(#REF!,'8.Dgia'!A1075,#REF!)+SUMIF(#REF!,'8.Dgia'!A1075,#REF!)+SUMIF(#REF!,'8.Dgia'!A1075,#REF!)</f>
        <v>#REF!</v>
      </c>
      <c r="O1075" s="844"/>
      <c r="P1075" s="843" t="e">
        <f t="shared" si="46"/>
        <v>#REF!</v>
      </c>
    </row>
    <row r="1076" spans="1:18" ht="15" customHeight="1">
      <c r="A1076" s="657">
        <f>IF(B1076="",MAX($A$8:A1075)+0,MAX($A$8:A1075)+1)</f>
        <v>111</v>
      </c>
      <c r="B1076" s="835">
        <f>IF(C1076="","",COUNTA($C$10:C1077))</f>
        <v>111</v>
      </c>
      <c r="C1076" s="835">
        <f>IF(D1076="","",1776)</f>
        <v>1776</v>
      </c>
      <c r="D1076" s="851" t="s">
        <v>716</v>
      </c>
      <c r="E1076" s="855" t="s">
        <v>2203</v>
      </c>
      <c r="F1076" s="1049" t="str">
        <f>VLOOKUP(E1076,DICH!B:C,2,FALSE)</f>
        <v>Installing elastomeric bearing of super T beam</v>
      </c>
      <c r="G1076" s="856" t="s">
        <v>4651</v>
      </c>
      <c r="H1076" s="847"/>
      <c r="I1076" s="848"/>
      <c r="J1076" s="857"/>
      <c r="K1076" s="842">
        <f>+J1077</f>
        <v>5968181.8181818174</v>
      </c>
      <c r="L1076" s="842">
        <f>+J1080</f>
        <v>766244.5</v>
      </c>
      <c r="N1076" s="843" t="e">
        <f>SUMIF(#REF!,'8.Dgia'!A1076,#REF!)+SUMIF(#REF!,'8.Dgia'!A1076,#REF!)+SUMIF(#REF!,'8.Dgia'!A1076,#REF!)+SUMIF(#REF!,'8.Dgia'!A1076,#REF!)</f>
        <v>#REF!</v>
      </c>
      <c r="O1076" s="844"/>
      <c r="P1076" s="843" t="e">
        <f t="shared" si="46"/>
        <v>#REF!</v>
      </c>
      <c r="Q1076" s="657" t="s">
        <v>457</v>
      </c>
    </row>
    <row r="1077" spans="1:18" s="658" customFormat="1" ht="15" customHeight="1">
      <c r="A1077" s="657">
        <f>IF(B1077="",MAX($A$8:A1076)+0,MAX($A$8:A1076)+1)</f>
        <v>111</v>
      </c>
      <c r="B1077" s="835" t="str">
        <f>IF(C1077="","",COUNTA($C$10:C1078))</f>
        <v/>
      </c>
      <c r="C1077" s="362"/>
      <c r="D1077" s="845"/>
      <c r="E1077" s="852" t="s">
        <v>2032</v>
      </c>
      <c r="F1077" s="848" t="str">
        <f>VLOOKUP(E1077,DICH!B:C,2,FALSE)</f>
        <v xml:space="preserve">  A - Material</v>
      </c>
      <c r="G1077" s="846"/>
      <c r="H1077" s="847"/>
      <c r="I1077" s="848"/>
      <c r="J1077" s="849">
        <f>SUM(J1078:J1079)</f>
        <v>5968181.8181818174</v>
      </c>
      <c r="K1077" s="850"/>
      <c r="L1077" s="850"/>
      <c r="M1077" s="850"/>
      <c r="N1077" s="843" t="e">
        <f>SUMIF(#REF!,'8.Dgia'!A1077,#REF!)+SUMIF(#REF!,'8.Dgia'!A1077,#REF!)+SUMIF(#REF!,'8.Dgia'!A1077,#REF!)+SUMIF(#REF!,'8.Dgia'!A1077,#REF!)</f>
        <v>#REF!</v>
      </c>
      <c r="O1077" s="844"/>
      <c r="P1077" s="843" t="e">
        <f t="shared" si="46"/>
        <v>#REF!</v>
      </c>
      <c r="Q1077" s="657" t="s">
        <v>457</v>
      </c>
    </row>
    <row r="1078" spans="1:18" ht="15" customHeight="1">
      <c r="A1078" s="657">
        <f>IF(B1078="",MAX($A$8:A1077)+0,MAX($A$8:A1077)+1)</f>
        <v>111</v>
      </c>
      <c r="B1078" s="835" t="str">
        <f>IF(C1078="","",COUNTA($C$10:C1079))</f>
        <v/>
      </c>
      <c r="C1078" s="362"/>
      <c r="D1078" s="851"/>
      <c r="E1078" s="852" t="s">
        <v>3471</v>
      </c>
      <c r="F1078" s="848" t="str">
        <f>VLOOKUP(E1078,DICH!B:C,2,FALSE)</f>
        <v>Elastomeric bearing for girder 350x450x84mm</v>
      </c>
      <c r="G1078" s="362" t="s">
        <v>4651</v>
      </c>
      <c r="H1078" s="847">
        <v>1</v>
      </c>
      <c r="I1078" s="848">
        <f>VLOOKUP(E1078,'11.gia '!$B:$I,8,FALSE)</f>
        <v>5909090.9090909082</v>
      </c>
      <c r="J1078" s="853">
        <f>I1078*H1078</f>
        <v>5909090.9090909082</v>
      </c>
      <c r="N1078" s="843" t="e">
        <f>SUMIF(#REF!,'8.Dgia'!A1078,#REF!)+SUMIF(#REF!,'8.Dgia'!A1078,#REF!)+SUMIF(#REF!,'8.Dgia'!A1078,#REF!)+SUMIF(#REF!,'8.Dgia'!A1078,#REF!)</f>
        <v>#REF!</v>
      </c>
      <c r="O1078" s="844">
        <f>+$H$1079</f>
        <v>1</v>
      </c>
      <c r="P1078" s="843" t="e">
        <f t="shared" si="46"/>
        <v>#REF!</v>
      </c>
      <c r="Q1078" s="657" t="s">
        <v>457</v>
      </c>
    </row>
    <row r="1079" spans="1:18" ht="15" customHeight="1">
      <c r="A1079" s="657">
        <f>IF(B1079="",MAX($A$8:A1078)+0,MAX($A$8:A1078)+1)</f>
        <v>111</v>
      </c>
      <c r="B1079" s="835" t="str">
        <f>IF(C1079="","",COUNTA($C$10:C1080))</f>
        <v/>
      </c>
      <c r="C1079" s="362"/>
      <c r="D1079" s="851"/>
      <c r="E1079" s="852" t="s">
        <v>555</v>
      </c>
      <c r="F1079" s="848" t="str">
        <f>VLOOKUP(E1079,DICH!B:C,2,FALSE)</f>
        <v>Other material</v>
      </c>
      <c r="G1079" s="362" t="s">
        <v>554</v>
      </c>
      <c r="H1079" s="847">
        <v>1</v>
      </c>
      <c r="I1079" s="848">
        <f>SUM(J1078:J1078)</f>
        <v>5909090.9090909082</v>
      </c>
      <c r="J1079" s="853">
        <f>I1079*H1079%</f>
        <v>59090.909090909081</v>
      </c>
      <c r="N1079" s="843" t="e">
        <f>SUMIF(#REF!,'8.Dgia'!A1079,#REF!)+SUMIF(#REF!,'8.Dgia'!A1079,#REF!)+SUMIF(#REF!,'8.Dgia'!A1079,#REF!)+SUMIF(#REF!,'8.Dgia'!A1079,#REF!)</f>
        <v>#REF!</v>
      </c>
      <c r="O1079" s="844"/>
      <c r="P1079" s="843" t="e">
        <f t="shared" si="46"/>
        <v>#REF!</v>
      </c>
      <c r="Q1079" s="657" t="s">
        <v>457</v>
      </c>
    </row>
    <row r="1080" spans="1:18" s="658" customFormat="1" ht="15" customHeight="1">
      <c r="A1080" s="657">
        <f>IF(B1080="",MAX($A$8:A1079)+0,MAX($A$8:A1079)+1)</f>
        <v>111</v>
      </c>
      <c r="B1080" s="835" t="str">
        <f>IF(C1080="","",COUNTA($C$10:C1081))</f>
        <v/>
      </c>
      <c r="C1080" s="362"/>
      <c r="D1080" s="845"/>
      <c r="E1080" s="852" t="s">
        <v>2039</v>
      </c>
      <c r="F1080" s="848" t="str">
        <f>VLOOKUP(E1080,DICH!B:C,2,FALSE)</f>
        <v xml:space="preserve">  B - Labour 4.0/7</v>
      </c>
      <c r="G1080" s="362" t="s">
        <v>4899</v>
      </c>
      <c r="H1080" s="847">
        <v>3.5</v>
      </c>
      <c r="I1080" s="848">
        <f>VLOOKUP(E1080,'16.NC'!$C$11:$F$22,4,FALSE)</f>
        <v>218927</v>
      </c>
      <c r="J1080" s="849">
        <f>I1080*H1080</f>
        <v>766244.5</v>
      </c>
      <c r="K1080" s="850"/>
      <c r="L1080" s="850"/>
      <c r="M1080" s="850"/>
      <c r="N1080" s="843" t="e">
        <f>SUMIF(#REF!,'8.Dgia'!A1080,#REF!)+SUMIF(#REF!,'8.Dgia'!A1080,#REF!)+SUMIF(#REF!,'8.Dgia'!A1080,#REF!)+SUMIF(#REF!,'8.Dgia'!A1080,#REF!)</f>
        <v>#REF!</v>
      </c>
      <c r="O1080" s="844"/>
      <c r="P1080" s="843" t="e">
        <f t="shared" si="46"/>
        <v>#REF!</v>
      </c>
      <c r="Q1080" s="657" t="s">
        <v>457</v>
      </c>
      <c r="R1080" s="658">
        <v>1</v>
      </c>
    </row>
    <row r="1081" spans="1:18" ht="15" customHeight="1">
      <c r="A1081" s="657">
        <f>IF(B1081="",MAX($A$8:A1080)+0,MAX($A$8:A1080)+1)</f>
        <v>112</v>
      </c>
      <c r="B1081" s="835">
        <f>IF(C1081="","",COUNTA($C$10:C1082))</f>
        <v>112</v>
      </c>
      <c r="C1081" s="835">
        <f>IF(D1081="","",1776)</f>
        <v>1776</v>
      </c>
      <c r="D1081" s="851" t="s">
        <v>399</v>
      </c>
      <c r="E1081" s="855" t="s">
        <v>175</v>
      </c>
      <c r="F1081" s="1049" t="str">
        <f>VLOOKUP(E1081,DICH!B:C,2,FALSE)</f>
        <v>Concrete C35 (girder, deck slab…)</v>
      </c>
      <c r="G1081" s="856" t="s">
        <v>545</v>
      </c>
      <c r="H1081" s="847"/>
      <c r="I1081" s="848"/>
      <c r="J1081" s="857"/>
      <c r="K1081" s="842">
        <f>+J1082</f>
        <v>1196576.2226612167</v>
      </c>
      <c r="L1081" s="842">
        <f>+J1085</f>
        <v>519326.72000000003</v>
      </c>
      <c r="M1081" s="842">
        <f>+J1086</f>
        <v>128461.15041840001</v>
      </c>
      <c r="N1081" s="843" t="e">
        <f>SUMIF(#REF!,'8.Dgia'!A1081,#REF!)+SUMIF(#REF!,'8.Dgia'!A1081,#REF!)+SUMIF(#REF!,'8.Dgia'!A1081,#REF!)+SUMIF(#REF!,'8.Dgia'!A1081,#REF!)</f>
        <v>#REF!</v>
      </c>
      <c r="O1081" s="844"/>
      <c r="P1081" s="843" t="e">
        <f t="shared" si="46"/>
        <v>#REF!</v>
      </c>
    </row>
    <row r="1082" spans="1:18" s="658" customFormat="1" ht="15" customHeight="1">
      <c r="A1082" s="657">
        <f>IF(B1082="",MAX($A$8:A1081)+0,MAX($A$8:A1081)+1)</f>
        <v>112</v>
      </c>
      <c r="B1082" s="835" t="str">
        <f>IF(C1082="","",COUNTA($C$10:C1083))</f>
        <v/>
      </c>
      <c r="C1082" s="362"/>
      <c r="D1082" s="845"/>
      <c r="E1082" s="852" t="s">
        <v>2032</v>
      </c>
      <c r="F1082" s="848" t="str">
        <f>VLOOKUP(E1082,DICH!B:C,2,FALSE)</f>
        <v xml:space="preserve">  A - Material</v>
      </c>
      <c r="G1082" s="846"/>
      <c r="H1082" s="847"/>
      <c r="I1082" s="848"/>
      <c r="J1082" s="849">
        <f>SUM(J1083:J1084)</f>
        <v>1196576.2226612167</v>
      </c>
      <c r="K1082" s="850"/>
      <c r="L1082" s="850"/>
      <c r="M1082" s="850"/>
      <c r="N1082" s="843" t="e">
        <f>SUMIF(#REF!,'8.Dgia'!A1082,#REF!)+SUMIF(#REF!,'8.Dgia'!A1082,#REF!)+SUMIF(#REF!,'8.Dgia'!A1082,#REF!)+SUMIF(#REF!,'8.Dgia'!A1082,#REF!)</f>
        <v>#REF!</v>
      </c>
      <c r="O1082" s="844"/>
      <c r="P1082" s="843" t="e">
        <f t="shared" si="46"/>
        <v>#REF!</v>
      </c>
    </row>
    <row r="1083" spans="1:18" ht="15" customHeight="1">
      <c r="A1083" s="657">
        <f>IF(B1083="",MAX($A$8:A1082)+0,MAX($A$8:A1082)+1)</f>
        <v>112</v>
      </c>
      <c r="B1083" s="835" t="str">
        <f>IF(C1083="","",COUNTA($C$10:C1084))</f>
        <v/>
      </c>
      <c r="C1083" s="851"/>
      <c r="D1083" s="851" t="str">
        <f>+'10.PLV'!$C$100</f>
        <v>C3327</v>
      </c>
      <c r="E1083" s="852" t="str">
        <f>+'10.PLV'!$D$100</f>
        <v>Vữa bê tông đá 1x2 C35 (độ sụt 14-17cm)</v>
      </c>
      <c r="F1083" s="848" t="str">
        <f>VLOOKUP(E1083,DICH!B:C,2,FALSE)</f>
        <v>Concrete motar C35 stone 1x2 slump 14-17</v>
      </c>
      <c r="G1083" s="362" t="s">
        <v>545</v>
      </c>
      <c r="H1083" s="847">
        <v>1.0149999999999999</v>
      </c>
      <c r="I1083" s="848">
        <f>VLOOKUP(E1083,'11.gia '!B:I,8,FALSE)</f>
        <v>1167220.6239684112</v>
      </c>
      <c r="J1083" s="853">
        <f>I1083*H1083</f>
        <v>1184728.9333279373</v>
      </c>
      <c r="N1083" s="843" t="e">
        <f>SUMIF(#REF!,'8.Dgia'!A1083,#REF!)+SUMIF(#REF!,'8.Dgia'!A1083,#REF!)+SUMIF(#REF!,'8.Dgia'!A1083,#REF!)+SUMIF(#REF!,'8.Dgia'!A1083,#REF!)</f>
        <v>#REF!</v>
      </c>
      <c r="O1083" s="844">
        <f>+$H$1084</f>
        <v>1</v>
      </c>
      <c r="P1083" s="843" t="e">
        <f t="shared" si="46"/>
        <v>#REF!</v>
      </c>
    </row>
    <row r="1084" spans="1:18" ht="15" customHeight="1">
      <c r="A1084" s="657">
        <f>IF(B1084="",MAX($A$8:A1083)+0,MAX($A$8:A1083)+1)</f>
        <v>112</v>
      </c>
      <c r="B1084" s="835" t="str">
        <f>IF(C1084="","",COUNTA($C$10:C1085))</f>
        <v/>
      </c>
      <c r="C1084" s="362"/>
      <c r="D1084" s="851"/>
      <c r="E1084" s="852" t="s">
        <v>555</v>
      </c>
      <c r="F1084" s="848" t="str">
        <f>VLOOKUP(E1084,DICH!B:C,2,FALSE)</f>
        <v>Other material</v>
      </c>
      <c r="G1084" s="362" t="s">
        <v>554</v>
      </c>
      <c r="H1084" s="847">
        <v>1</v>
      </c>
      <c r="I1084" s="848">
        <f>SUM(J1083:J1083)</f>
        <v>1184728.9333279373</v>
      </c>
      <c r="J1084" s="853">
        <f>I1084*H1084%</f>
        <v>11847.289333279374</v>
      </c>
      <c r="N1084" s="843" t="e">
        <f>SUMIF(#REF!,'8.Dgia'!A1084,#REF!)+SUMIF(#REF!,'8.Dgia'!A1084,#REF!)+SUMIF(#REF!,'8.Dgia'!A1084,#REF!)+SUMIF(#REF!,'8.Dgia'!A1084,#REF!)</f>
        <v>#REF!</v>
      </c>
      <c r="O1084" s="844"/>
      <c r="P1084" s="843" t="e">
        <f t="shared" si="46"/>
        <v>#REF!</v>
      </c>
    </row>
    <row r="1085" spans="1:18" s="658" customFormat="1" ht="15" customHeight="1">
      <c r="A1085" s="657">
        <f>IF(B1085="",MAX($A$8:A1084)+0,MAX($A$8:A1084)+1)</f>
        <v>112</v>
      </c>
      <c r="B1085" s="835" t="str">
        <f>IF(C1085="","",COUNTA($C$10:C1086))</f>
        <v/>
      </c>
      <c r="C1085" s="362"/>
      <c r="D1085" s="845"/>
      <c r="E1085" s="852" t="s">
        <v>2037</v>
      </c>
      <c r="F1085" s="848" t="str">
        <f>VLOOKUP(E1085,DICH!B:C,2,FALSE)</f>
        <v xml:space="preserve">  B - Labour 3.5/7</v>
      </c>
      <c r="G1085" s="362" t="s">
        <v>4899</v>
      </c>
      <c r="H1085" s="847">
        <v>2.56</v>
      </c>
      <c r="I1085" s="848">
        <f>VLOOKUP(E1085,'16.NC'!$C$11:$F$22,4,FALSE)</f>
        <v>202862</v>
      </c>
      <c r="J1085" s="849">
        <f>I1085*H1085</f>
        <v>519326.72000000003</v>
      </c>
      <c r="K1085" s="850"/>
      <c r="L1085" s="850"/>
      <c r="M1085" s="850"/>
      <c r="N1085" s="843" t="e">
        <f>SUMIF(#REF!,'8.Dgia'!A1085,#REF!)+SUMIF(#REF!,'8.Dgia'!A1085,#REF!)+SUMIF(#REF!,'8.Dgia'!A1085,#REF!)+SUMIF(#REF!,'8.Dgia'!A1085,#REF!)</f>
        <v>#REF!</v>
      </c>
      <c r="O1085" s="844"/>
      <c r="P1085" s="843" t="e">
        <f t="shared" si="46"/>
        <v>#REF!</v>
      </c>
      <c r="R1085" s="658">
        <v>1</v>
      </c>
    </row>
    <row r="1086" spans="1:18" s="658" customFormat="1" ht="15" customHeight="1">
      <c r="A1086" s="657">
        <f>IF(B1086="",MAX($A$8:A1085)+0,MAX($A$8:A1085)+1)</f>
        <v>112</v>
      </c>
      <c r="B1086" s="835" t="str">
        <f>IF(C1086="","",COUNTA($C$10:C1087))</f>
        <v/>
      </c>
      <c r="C1086" s="362"/>
      <c r="D1086" s="845"/>
      <c r="E1086" s="852" t="s">
        <v>2033</v>
      </c>
      <c r="F1086" s="848" t="str">
        <f>VLOOKUP(E1086,DICH!B:C,2,FALSE)</f>
        <v xml:space="preserve">  C - Machine</v>
      </c>
      <c r="G1086" s="846"/>
      <c r="H1086" s="847"/>
      <c r="I1086" s="848"/>
      <c r="J1086" s="849">
        <f>SUM(J1087:J1089)</f>
        <v>128461.15041840001</v>
      </c>
      <c r="K1086" s="850"/>
      <c r="L1086" s="850"/>
      <c r="M1086" s="850"/>
      <c r="N1086" s="843" t="e">
        <f>SUMIF(#REF!,'8.Dgia'!A1086,#REF!)+SUMIF(#REF!,'8.Dgia'!A1086,#REF!)+SUMIF(#REF!,'8.Dgia'!A1086,#REF!)+SUMIF(#REF!,'8.Dgia'!A1086,#REF!)</f>
        <v>#REF!</v>
      </c>
      <c r="O1086" s="844"/>
      <c r="P1086" s="843" t="e">
        <f t="shared" si="46"/>
        <v>#REF!</v>
      </c>
    </row>
    <row r="1087" spans="1:18" ht="15" customHeight="1">
      <c r="A1087" s="657">
        <f>IF(B1087="",MAX($A$8:A1086)+0,MAX($A$8:A1086)+1)</f>
        <v>112</v>
      </c>
      <c r="B1087" s="835" t="str">
        <f>IF(C1087="","",COUNTA($C$10:C1088))</f>
        <v/>
      </c>
      <c r="C1087" s="362"/>
      <c r="D1087" s="851"/>
      <c r="E1087" s="852" t="s">
        <v>1182</v>
      </c>
      <c r="F1087" s="848" t="str">
        <f>VLOOKUP(E1087,'9.may'!E:F,2,FALSE)</f>
        <v>concrete pump truck 50m3/h</v>
      </c>
      <c r="G1087" s="362" t="s">
        <v>4902</v>
      </c>
      <c r="H1087" s="847">
        <v>3.3000000000000002E-2</v>
      </c>
      <c r="I1087" s="848">
        <f>VLOOKUP(E1087,'9.may'!E:W,12,FALSE)</f>
        <v>3446390.13</v>
      </c>
      <c r="J1087" s="853">
        <f>I1087*H1087</f>
        <v>113730.87429000001</v>
      </c>
      <c r="N1087" s="843" t="e">
        <f>SUMIF(#REF!,'8.Dgia'!A1087,#REF!)+SUMIF(#REF!,'8.Dgia'!A1087,#REF!)+SUMIF(#REF!,'8.Dgia'!A1087,#REF!)+SUMIF(#REF!,'8.Dgia'!A1087,#REF!)</f>
        <v>#REF!</v>
      </c>
      <c r="O1087" s="844">
        <f>+$H$1089</f>
        <v>1</v>
      </c>
      <c r="P1087" s="843" t="e">
        <f t="shared" si="46"/>
        <v>#REF!</v>
      </c>
    </row>
    <row r="1088" spans="1:18" ht="15" customHeight="1">
      <c r="A1088" s="657">
        <f>IF(B1088="",MAX($A$8:A1087)+0,MAX($A$8:A1087)+1)</f>
        <v>112</v>
      </c>
      <c r="B1088" s="835" t="str">
        <f>IF(C1088="","",COUNTA($C$10:C1089))</f>
        <v/>
      </c>
      <c r="C1088" s="362"/>
      <c r="D1088" s="851"/>
      <c r="E1088" s="852" t="s">
        <v>620</v>
      </c>
      <c r="F1088" s="848" t="str">
        <f>VLOOKUP(E1088,'9.may'!E:F,2,FALSE)</f>
        <v>concrete vibrating compactor 1.5Kw</v>
      </c>
      <c r="G1088" s="362" t="s">
        <v>4902</v>
      </c>
      <c r="H1088" s="847">
        <v>0.18</v>
      </c>
      <c r="I1088" s="848">
        <f>VLOOKUP(E1088,'9.may'!E:W,12,FALSE)</f>
        <v>74768.797500000001</v>
      </c>
      <c r="J1088" s="853">
        <f>I1088*H1088</f>
        <v>13458.38355</v>
      </c>
      <c r="N1088" s="843" t="e">
        <f>SUMIF(#REF!,'8.Dgia'!A1088,#REF!)+SUMIF(#REF!,'8.Dgia'!A1088,#REF!)+SUMIF(#REF!,'8.Dgia'!A1088,#REF!)+SUMIF(#REF!,'8.Dgia'!A1088,#REF!)</f>
        <v>#REF!</v>
      </c>
      <c r="O1088" s="844">
        <f>+$H$1089</f>
        <v>1</v>
      </c>
      <c r="P1088" s="843" t="e">
        <f t="shared" si="46"/>
        <v>#REF!</v>
      </c>
    </row>
    <row r="1089" spans="1:18" ht="15" customHeight="1">
      <c r="A1089" s="657">
        <f>IF(B1089="",MAX($A$8:A1088)+0,MAX($A$8:A1088)+1)</f>
        <v>112</v>
      </c>
      <c r="B1089" s="835" t="str">
        <f>IF(C1089="","",COUNTA($C$10:C1090))</f>
        <v/>
      </c>
      <c r="C1089" s="362"/>
      <c r="D1089" s="851"/>
      <c r="E1089" s="852" t="s">
        <v>553</v>
      </c>
      <c r="F1089" s="848" t="str">
        <f>VLOOKUP(E1089,DICH!B:C,2,FALSE)</f>
        <v>Other machine</v>
      </c>
      <c r="G1089" s="362" t="s">
        <v>554</v>
      </c>
      <c r="H1089" s="847">
        <v>1</v>
      </c>
      <c r="I1089" s="848">
        <f>SUM(J1087:J1088)</f>
        <v>127189.25784000001</v>
      </c>
      <c r="J1089" s="853">
        <f>I1089*H1089%</f>
        <v>1271.8925784</v>
      </c>
      <c r="N1089" s="843" t="e">
        <f>SUMIF(#REF!,'8.Dgia'!A1089,#REF!)+SUMIF(#REF!,'8.Dgia'!A1089,#REF!)+SUMIF(#REF!,'8.Dgia'!A1089,#REF!)+SUMIF(#REF!,'8.Dgia'!A1089,#REF!)</f>
        <v>#REF!</v>
      </c>
      <c r="O1089" s="844"/>
      <c r="P1089" s="843" t="e">
        <f t="shared" si="46"/>
        <v>#REF!</v>
      </c>
    </row>
    <row r="1090" spans="1:18" ht="15" customHeight="1">
      <c r="A1090" s="657">
        <f>IF(B1090="",MAX($A$8:A1089)+0,MAX($A$8:A1089)+1)</f>
        <v>113</v>
      </c>
      <c r="B1090" s="835">
        <f>IF(C1090="","",COUNTA($C$10:C1091))</f>
        <v>113</v>
      </c>
      <c r="C1090" s="835">
        <f>IF(D1090="","",1776)</f>
        <v>1776</v>
      </c>
      <c r="D1090" s="851" t="s">
        <v>3554</v>
      </c>
      <c r="E1090" s="855" t="s">
        <v>4061</v>
      </c>
      <c r="F1090" s="1049" t="str">
        <f>VLOOKUP(E1090,DICH!B:C,2,FALSE)</f>
        <v>Reinforcement D&lt;=18 of cross beam</v>
      </c>
      <c r="G1090" s="856" t="s">
        <v>4644</v>
      </c>
      <c r="H1090" s="847"/>
      <c r="I1090" s="848"/>
      <c r="J1090" s="857"/>
      <c r="K1090" s="842">
        <f>+J1091</f>
        <v>17270686.383927274</v>
      </c>
      <c r="L1090" s="842">
        <f>+J1095</f>
        <v>2036734.4799999997</v>
      </c>
      <c r="M1090" s="842">
        <f>+J1096</f>
        <v>220171.88461499999</v>
      </c>
      <c r="N1090" s="843" t="e">
        <f>SUMIF(#REF!,'8.Dgia'!A1090,#REF!)+SUMIF(#REF!,'8.Dgia'!A1090,#REF!)+SUMIF(#REF!,'8.Dgia'!A1090,#REF!)+SUMIF(#REF!,'8.Dgia'!A1090,#REF!)</f>
        <v>#REF!</v>
      </c>
      <c r="O1090" s="844"/>
      <c r="P1090" s="843" t="e">
        <f t="shared" ref="P1090:P1098" si="47">$H1090*N1090*(1+O1090%)</f>
        <v>#REF!</v>
      </c>
    </row>
    <row r="1091" spans="1:18" s="658" customFormat="1" ht="15" customHeight="1">
      <c r="A1091" s="657">
        <f>IF(B1091="",MAX($A$8:A1090)+0,MAX($A$8:A1090)+1)</f>
        <v>113</v>
      </c>
      <c r="B1091" s="835" t="str">
        <f>IF(C1091="","",COUNTA($C$10:C1092))</f>
        <v/>
      </c>
      <c r="C1091" s="362"/>
      <c r="D1091" s="845"/>
      <c r="E1091" s="852" t="s">
        <v>2032</v>
      </c>
      <c r="F1091" s="848" t="str">
        <f>VLOOKUP(E1091,DICH!B:C,2,FALSE)</f>
        <v xml:space="preserve">  A - Material</v>
      </c>
      <c r="G1091" s="846"/>
      <c r="H1091" s="847"/>
      <c r="I1091" s="848"/>
      <c r="J1091" s="849">
        <f>SUM(J1092:J1094)</f>
        <v>17270686.383927274</v>
      </c>
      <c r="K1091" s="850"/>
      <c r="L1091" s="850"/>
      <c r="M1091" s="850"/>
      <c r="N1091" s="843" t="e">
        <f>SUMIF(#REF!,'8.Dgia'!A1091,#REF!)+SUMIF(#REF!,'8.Dgia'!A1091,#REF!)+SUMIF(#REF!,'8.Dgia'!A1091,#REF!)+SUMIF(#REF!,'8.Dgia'!A1091,#REF!)</f>
        <v>#REF!</v>
      </c>
      <c r="O1091" s="844"/>
      <c r="P1091" s="843" t="e">
        <f t="shared" si="47"/>
        <v>#REF!</v>
      </c>
    </row>
    <row r="1092" spans="1:18" ht="15" customHeight="1">
      <c r="A1092" s="657">
        <f>IF(B1092="",MAX($A$8:A1091)+0,MAX($A$8:A1091)+1)</f>
        <v>113</v>
      </c>
      <c r="B1092" s="835" t="str">
        <f>IF(C1092="","",COUNTA($C$10:C1093))</f>
        <v/>
      </c>
      <c r="C1092" s="362"/>
      <c r="D1092" s="851"/>
      <c r="E1092" s="245" t="s">
        <v>671</v>
      </c>
      <c r="F1092" s="848" t="str">
        <f>VLOOKUP(E1092,DICH!B:C,2,FALSE)</f>
        <v>steel bar D&lt;=18</v>
      </c>
      <c r="G1092" s="362" t="s">
        <v>558</v>
      </c>
      <c r="H1092" s="847">
        <v>1020</v>
      </c>
      <c r="I1092" s="848">
        <f>VLOOKUP(E1092,'11.gia '!$B:$I,8,FALSE)</f>
        <v>16604.075560000001</v>
      </c>
      <c r="J1092" s="853">
        <f>I1092*H1092</f>
        <v>16936157.071200002</v>
      </c>
      <c r="N1092" s="843" t="e">
        <f>SUMIF(#REF!,'8.Dgia'!A1092,#REF!)+SUMIF(#REF!,'8.Dgia'!A1092,#REF!)+SUMIF(#REF!,'8.Dgia'!A1092,#REF!)+SUMIF(#REF!,'8.Dgia'!A1092,#REF!)</f>
        <v>#REF!</v>
      </c>
      <c r="O1092" s="844"/>
      <c r="P1092" s="843" t="e">
        <f t="shared" si="47"/>
        <v>#REF!</v>
      </c>
    </row>
    <row r="1093" spans="1:18" ht="15" customHeight="1">
      <c r="A1093" s="657">
        <f>IF(B1093="",MAX($A$8:A1092)+0,MAX($A$8:A1092)+1)</f>
        <v>113</v>
      </c>
      <c r="B1093" s="835" t="str">
        <f>IF(C1093="","",COUNTA($C$10:C1094))</f>
        <v/>
      </c>
      <c r="C1093" s="362"/>
      <c r="D1093" s="851"/>
      <c r="E1093" s="852" t="s">
        <v>459</v>
      </c>
      <c r="F1093" s="848" t="str">
        <f>VLOOKUP(E1093,DICH!B:C,2,FALSE)</f>
        <v>Steel ware</v>
      </c>
      <c r="G1093" s="362" t="s">
        <v>558</v>
      </c>
      <c r="H1093" s="847">
        <v>14.28</v>
      </c>
      <c r="I1093" s="848">
        <f>VLOOKUP(E1093,'11.gia '!$B:$I,8,FALSE)</f>
        <v>17143</v>
      </c>
      <c r="J1093" s="853">
        <f>I1093*H1093</f>
        <v>244802.03999999998</v>
      </c>
      <c r="N1093" s="843" t="e">
        <f>SUMIF(#REF!,'8.Dgia'!A1093,#REF!)+SUMIF(#REF!,'8.Dgia'!A1093,#REF!)+SUMIF(#REF!,'8.Dgia'!A1093,#REF!)+SUMIF(#REF!,'8.Dgia'!A1093,#REF!)</f>
        <v>#REF!</v>
      </c>
      <c r="O1093" s="844"/>
      <c r="P1093" s="843" t="e">
        <f t="shared" si="47"/>
        <v>#REF!</v>
      </c>
    </row>
    <row r="1094" spans="1:18" ht="15" customHeight="1">
      <c r="A1094" s="657">
        <f>IF(B1094="",MAX($A$8:A1093)+0,MAX($A$8:A1093)+1)</f>
        <v>113</v>
      </c>
      <c r="B1094" s="835" t="str">
        <f>IF(C1094="","",COUNTA($C$10:C1095))</f>
        <v/>
      </c>
      <c r="C1094" s="362"/>
      <c r="D1094" s="851"/>
      <c r="E1094" s="852" t="s">
        <v>559</v>
      </c>
      <c r="F1094" s="848" t="str">
        <f>VLOOKUP(E1094,DICH!B:C,2,FALSE)</f>
        <v>welding electrode</v>
      </c>
      <c r="G1094" s="362" t="s">
        <v>558</v>
      </c>
      <c r="H1094" s="847">
        <v>4.7</v>
      </c>
      <c r="I1094" s="848">
        <f>VLOOKUP(E1094,'11.gia '!$B:$I,8,FALSE)</f>
        <v>19090.909090909088</v>
      </c>
      <c r="J1094" s="853">
        <f>I1094*H1094</f>
        <v>89727.272727272721</v>
      </c>
      <c r="N1094" s="843" t="e">
        <f>SUMIF(#REF!,'8.Dgia'!A1094,#REF!)+SUMIF(#REF!,'8.Dgia'!A1094,#REF!)+SUMIF(#REF!,'8.Dgia'!A1094,#REF!)+SUMIF(#REF!,'8.Dgia'!A1094,#REF!)</f>
        <v>#REF!</v>
      </c>
      <c r="O1094" s="844"/>
      <c r="P1094" s="843" t="e">
        <f t="shared" si="47"/>
        <v>#REF!</v>
      </c>
    </row>
    <row r="1095" spans="1:18" s="658" customFormat="1" ht="15" customHeight="1">
      <c r="A1095" s="657">
        <f>IF(B1095="",MAX($A$8:A1094)+0,MAX($A$8:A1094)+1)</f>
        <v>113</v>
      </c>
      <c r="B1095" s="835" t="str">
        <f>IF(C1095="","",COUNTA($C$10:C1096))</f>
        <v/>
      </c>
      <c r="C1095" s="362"/>
      <c r="D1095" s="845"/>
      <c r="E1095" s="852" t="s">
        <v>2037</v>
      </c>
      <c r="F1095" s="848" t="str">
        <f>VLOOKUP(E1095,DICH!B:C,2,FALSE)</f>
        <v xml:space="preserve">  B - Labour 3.5/7</v>
      </c>
      <c r="G1095" s="362" t="s">
        <v>4899</v>
      </c>
      <c r="H1095" s="847">
        <v>10.039999999999999</v>
      </c>
      <c r="I1095" s="848">
        <f>VLOOKUP(E1095,'16.NC'!$C$11:$F$22,4,FALSE)</f>
        <v>202862</v>
      </c>
      <c r="J1095" s="849">
        <f>I1095*H1095</f>
        <v>2036734.4799999997</v>
      </c>
      <c r="K1095" s="850"/>
      <c r="L1095" s="850"/>
      <c r="M1095" s="850"/>
      <c r="N1095" s="843" t="e">
        <f>SUMIF(#REF!,'8.Dgia'!A1095,#REF!)+SUMIF(#REF!,'8.Dgia'!A1095,#REF!)+SUMIF(#REF!,'8.Dgia'!A1095,#REF!)+SUMIF(#REF!,'8.Dgia'!A1095,#REF!)</f>
        <v>#REF!</v>
      </c>
      <c r="O1095" s="844"/>
      <c r="P1095" s="843" t="e">
        <f t="shared" si="47"/>
        <v>#REF!</v>
      </c>
      <c r="R1095" s="658">
        <v>1</v>
      </c>
    </row>
    <row r="1096" spans="1:18" s="658" customFormat="1" ht="15" customHeight="1">
      <c r="A1096" s="657">
        <f>IF(B1096="",MAX($A$8:A1095)+0,MAX($A$8:A1095)+1)</f>
        <v>113</v>
      </c>
      <c r="B1096" s="835" t="str">
        <f>IF(C1096="","",COUNTA($C$10:C1097))</f>
        <v/>
      </c>
      <c r="C1096" s="362"/>
      <c r="D1096" s="845"/>
      <c r="E1096" s="852" t="s">
        <v>2033</v>
      </c>
      <c r="F1096" s="848" t="str">
        <f>VLOOKUP(E1096,DICH!B:C,2,FALSE)</f>
        <v xml:space="preserve">  C - Machine</v>
      </c>
      <c r="G1096" s="846"/>
      <c r="H1096" s="847"/>
      <c r="I1096" s="848"/>
      <c r="J1096" s="849">
        <f>SUM(J1097:J1098)</f>
        <v>220171.88461499999</v>
      </c>
      <c r="K1096" s="850"/>
      <c r="L1096" s="850"/>
      <c r="M1096" s="850"/>
      <c r="N1096" s="843" t="e">
        <f>SUMIF(#REF!,'8.Dgia'!A1096,#REF!)+SUMIF(#REF!,'8.Dgia'!A1096,#REF!)+SUMIF(#REF!,'8.Dgia'!A1096,#REF!)+SUMIF(#REF!,'8.Dgia'!A1096,#REF!)</f>
        <v>#REF!</v>
      </c>
      <c r="O1096" s="844"/>
      <c r="P1096" s="843" t="e">
        <f t="shared" si="47"/>
        <v>#REF!</v>
      </c>
    </row>
    <row r="1097" spans="1:18" ht="15" customHeight="1">
      <c r="A1097" s="657">
        <f>IF(B1097="",MAX($A$8:A1096)+0,MAX($A$8:A1096)+1)</f>
        <v>113</v>
      </c>
      <c r="B1097" s="835" t="str">
        <f>IF(C1097="","",COUNTA($C$10:C1098))</f>
        <v/>
      </c>
      <c r="C1097" s="362"/>
      <c r="D1097" s="851"/>
      <c r="E1097" s="852" t="s">
        <v>560</v>
      </c>
      <c r="F1097" s="848" t="str">
        <f>VLOOKUP(E1097,'9.may'!E:F,2,FALSE)</f>
        <v>welding machine 23kW</v>
      </c>
      <c r="G1097" s="362" t="s">
        <v>4902</v>
      </c>
      <c r="H1097" s="847">
        <v>1.133</v>
      </c>
      <c r="I1097" s="848">
        <f>VLOOKUP(E1097,'9.may'!E:W,12,FALSE)</f>
        <v>171649.155</v>
      </c>
      <c r="J1097" s="853">
        <f>I1097*H1097</f>
        <v>194478.492615</v>
      </c>
      <c r="N1097" s="843" t="e">
        <f>SUMIF(#REF!,'8.Dgia'!A1097,#REF!)+SUMIF(#REF!,'8.Dgia'!A1097,#REF!)+SUMIF(#REF!,'8.Dgia'!A1097,#REF!)+SUMIF(#REF!,'8.Dgia'!A1097,#REF!)</f>
        <v>#REF!</v>
      </c>
      <c r="O1097" s="844"/>
      <c r="P1097" s="843" t="e">
        <f t="shared" si="47"/>
        <v>#REF!</v>
      </c>
    </row>
    <row r="1098" spans="1:18" ht="15" customHeight="1">
      <c r="A1098" s="657">
        <f>IF(B1098="",MAX($A$8:A1097)+0,MAX($A$8:A1097)+1)</f>
        <v>113</v>
      </c>
      <c r="B1098" s="835" t="str">
        <f>IF(C1098="","",COUNTA($C$10:C1099))</f>
        <v/>
      </c>
      <c r="C1098" s="362"/>
      <c r="D1098" s="851"/>
      <c r="E1098" s="852" t="s">
        <v>1424</v>
      </c>
      <c r="F1098" s="848" t="str">
        <f>VLOOKUP(E1098,'9.may'!E:F,2,FALSE)</f>
        <v>bender cutter 5Kw</v>
      </c>
      <c r="G1098" s="362" t="s">
        <v>4902</v>
      </c>
      <c r="H1098" s="847">
        <v>0.32</v>
      </c>
      <c r="I1098" s="848">
        <f>VLOOKUP(E1098,'9.may'!E:W,12,FALSE)</f>
        <v>80291.850000000006</v>
      </c>
      <c r="J1098" s="853">
        <f>I1098*H1098</f>
        <v>25693.392000000003</v>
      </c>
      <c r="N1098" s="843" t="e">
        <f>SUMIF(#REF!,'8.Dgia'!A1098,#REF!)+SUMIF(#REF!,'8.Dgia'!A1098,#REF!)+SUMIF(#REF!,'8.Dgia'!A1098,#REF!)+SUMIF(#REF!,'8.Dgia'!A1098,#REF!)</f>
        <v>#REF!</v>
      </c>
      <c r="O1098" s="844"/>
      <c r="P1098" s="843" t="e">
        <f t="shared" si="47"/>
        <v>#REF!</v>
      </c>
    </row>
    <row r="1099" spans="1:18" ht="15" customHeight="1">
      <c r="A1099" s="657">
        <f>IF(B1099="",MAX($A$8:A1098)+0,MAX($A$8:A1098)+1)</f>
        <v>114</v>
      </c>
      <c r="B1099" s="835">
        <f>IF(C1099="","",COUNTA($C$10:C1100))</f>
        <v>114</v>
      </c>
      <c r="C1099" s="835">
        <f>IF(D1099="","",1776)</f>
        <v>1776</v>
      </c>
      <c r="D1099" s="851" t="s">
        <v>3557</v>
      </c>
      <c r="E1099" s="855" t="s">
        <v>4060</v>
      </c>
      <c r="F1099" s="1049" t="str">
        <f>VLOOKUP(E1099,DICH!B:C,2,FALSE)</f>
        <v>Reinforcement D&lt;=10 of cross beam</v>
      </c>
      <c r="G1099" s="856" t="s">
        <v>4644</v>
      </c>
      <c r="H1099" s="847"/>
      <c r="I1099" s="848"/>
      <c r="J1099" s="857"/>
      <c r="K1099" s="842">
        <f>+J1100</f>
        <v>17205048.9978</v>
      </c>
      <c r="L1099" s="842">
        <f>+J1103</f>
        <v>3286364.4</v>
      </c>
      <c r="M1099" s="842">
        <f>+J1104</f>
        <v>32116.740000000005</v>
      </c>
      <c r="N1099" s="843" t="e">
        <f>SUMIF(#REF!,'8.Dgia'!A1099,#REF!)+SUMIF(#REF!,'8.Dgia'!A1099,#REF!)+SUMIF(#REF!,'8.Dgia'!A1099,#REF!)+SUMIF(#REF!,'8.Dgia'!A1099,#REF!)</f>
        <v>#REF!</v>
      </c>
      <c r="O1099" s="844"/>
      <c r="P1099" s="843" t="e">
        <f t="shared" si="46"/>
        <v>#REF!</v>
      </c>
    </row>
    <row r="1100" spans="1:18" s="658" customFormat="1" ht="15" customHeight="1">
      <c r="A1100" s="657">
        <f>IF(B1100="",MAX($A$8:A1099)+0,MAX($A$8:A1099)+1)</f>
        <v>114</v>
      </c>
      <c r="B1100" s="835" t="str">
        <f>IF(C1100="","",COUNTA($C$10:C1101))</f>
        <v/>
      </c>
      <c r="C1100" s="362"/>
      <c r="D1100" s="845"/>
      <c r="E1100" s="852" t="s">
        <v>2032</v>
      </c>
      <c r="F1100" s="848" t="str">
        <f>VLOOKUP(E1100,DICH!B:C,2,FALSE)</f>
        <v xml:space="preserve">  A - Material</v>
      </c>
      <c r="G1100" s="846"/>
      <c r="H1100" s="847"/>
      <c r="I1100" s="848"/>
      <c r="J1100" s="849">
        <f>SUM(J1101:J1102)</f>
        <v>17205048.9978</v>
      </c>
      <c r="K1100" s="850"/>
      <c r="L1100" s="850"/>
      <c r="M1100" s="850"/>
      <c r="N1100" s="843" t="e">
        <f>SUMIF(#REF!,'8.Dgia'!A1100,#REF!)+SUMIF(#REF!,'8.Dgia'!A1100,#REF!)+SUMIF(#REF!,'8.Dgia'!A1100,#REF!)+SUMIF(#REF!,'8.Dgia'!A1100,#REF!)</f>
        <v>#REF!</v>
      </c>
      <c r="O1100" s="844"/>
      <c r="P1100" s="843" t="e">
        <f t="shared" si="46"/>
        <v>#REF!</v>
      </c>
    </row>
    <row r="1101" spans="1:18" ht="15" customHeight="1">
      <c r="A1101" s="657">
        <f>IF(B1101="",MAX($A$8:A1100)+0,MAX($A$8:A1100)+1)</f>
        <v>114</v>
      </c>
      <c r="B1101" s="835" t="str">
        <f>IF(C1101="","",COUNTA($C$10:C1102))</f>
        <v/>
      </c>
      <c r="C1101" s="362"/>
      <c r="D1101" s="851"/>
      <c r="E1101" s="245" t="s">
        <v>371</v>
      </c>
      <c r="F1101" s="848" t="str">
        <f>VLOOKUP(E1101,DICH!B:C,2,FALSE)</f>
        <v>steel bar D&lt;=10</v>
      </c>
      <c r="G1101" s="362" t="s">
        <v>558</v>
      </c>
      <c r="H1101" s="847">
        <v>1005</v>
      </c>
      <c r="I1101" s="848">
        <f>VLOOKUP(E1101,'11.gia '!$B:$I,8,FALSE)</f>
        <v>16754.075560000001</v>
      </c>
      <c r="J1101" s="853">
        <f>I1101*H1101</f>
        <v>16837845.937800001</v>
      </c>
      <c r="N1101" s="843" t="e">
        <f>SUMIF(#REF!,'8.Dgia'!A1101,#REF!)+SUMIF(#REF!,'8.Dgia'!A1101,#REF!)+SUMIF(#REF!,'8.Dgia'!A1101,#REF!)+SUMIF(#REF!,'8.Dgia'!A1101,#REF!)</f>
        <v>#REF!</v>
      </c>
      <c r="O1101" s="844"/>
      <c r="P1101" s="843" t="e">
        <f t="shared" si="46"/>
        <v>#REF!</v>
      </c>
    </row>
    <row r="1102" spans="1:18" ht="15" customHeight="1">
      <c r="A1102" s="657">
        <f>IF(B1102="",MAX($A$8:A1101)+0,MAX($A$8:A1101)+1)</f>
        <v>114</v>
      </c>
      <c r="B1102" s="835" t="str">
        <f>IF(C1102="","",COUNTA($C$10:C1103))</f>
        <v/>
      </c>
      <c r="C1102" s="362"/>
      <c r="D1102" s="851"/>
      <c r="E1102" s="852" t="s">
        <v>459</v>
      </c>
      <c r="F1102" s="848" t="str">
        <f>VLOOKUP(E1102,DICH!B:C,2,FALSE)</f>
        <v>Steel ware</v>
      </c>
      <c r="G1102" s="362" t="s">
        <v>558</v>
      </c>
      <c r="H1102" s="847">
        <v>21.42</v>
      </c>
      <c r="I1102" s="848">
        <f>VLOOKUP(E1102,'11.gia '!$B:$I,8,FALSE)</f>
        <v>17143</v>
      </c>
      <c r="J1102" s="853">
        <f>I1102*H1102</f>
        <v>367203.06000000006</v>
      </c>
      <c r="N1102" s="843" t="e">
        <f>SUMIF(#REF!,'8.Dgia'!A1102,#REF!)+SUMIF(#REF!,'8.Dgia'!A1102,#REF!)+SUMIF(#REF!,'8.Dgia'!A1102,#REF!)+SUMIF(#REF!,'8.Dgia'!A1102,#REF!)</f>
        <v>#REF!</v>
      </c>
      <c r="O1102" s="844"/>
      <c r="P1102" s="843" t="e">
        <f t="shared" si="46"/>
        <v>#REF!</v>
      </c>
    </row>
    <row r="1103" spans="1:18" s="658" customFormat="1" ht="15" customHeight="1">
      <c r="A1103" s="657">
        <f>IF(B1103="",MAX($A$8:A1102)+0,MAX($A$8:A1102)+1)</f>
        <v>114</v>
      </c>
      <c r="B1103" s="835" t="str">
        <f>IF(C1103="","",COUNTA($C$10:C1104))</f>
        <v/>
      </c>
      <c r="C1103" s="362"/>
      <c r="D1103" s="845"/>
      <c r="E1103" s="852" t="s">
        <v>2037</v>
      </c>
      <c r="F1103" s="848" t="str">
        <f>VLOOKUP(E1103,DICH!B:C,2,FALSE)</f>
        <v xml:space="preserve">  B - Labour 3.5/7</v>
      </c>
      <c r="G1103" s="362" t="s">
        <v>4899</v>
      </c>
      <c r="H1103" s="847">
        <v>16.2</v>
      </c>
      <c r="I1103" s="848">
        <f>VLOOKUP(E1103,'16.NC'!$C$11:$F$22,4,FALSE)</f>
        <v>202862</v>
      </c>
      <c r="J1103" s="849">
        <f>I1103*H1103</f>
        <v>3286364.4</v>
      </c>
      <c r="K1103" s="850"/>
      <c r="L1103" s="850"/>
      <c r="M1103" s="850"/>
      <c r="N1103" s="843" t="e">
        <f>SUMIF(#REF!,'8.Dgia'!A1103,#REF!)+SUMIF(#REF!,'8.Dgia'!A1103,#REF!)+SUMIF(#REF!,'8.Dgia'!A1103,#REF!)+SUMIF(#REF!,'8.Dgia'!A1103,#REF!)</f>
        <v>#REF!</v>
      </c>
      <c r="O1103" s="844"/>
      <c r="P1103" s="843" t="e">
        <f t="shared" si="46"/>
        <v>#REF!</v>
      </c>
      <c r="R1103" s="658">
        <v>1</v>
      </c>
    </row>
    <row r="1104" spans="1:18" s="658" customFormat="1" ht="15" customHeight="1">
      <c r="A1104" s="657">
        <f>IF(B1104="",MAX($A$8:A1103)+0,MAX($A$8:A1103)+1)</f>
        <v>114</v>
      </c>
      <c r="B1104" s="835" t="str">
        <f>IF(C1104="","",COUNTA($C$10:C1105))</f>
        <v/>
      </c>
      <c r="C1104" s="362"/>
      <c r="D1104" s="845"/>
      <c r="E1104" s="852" t="s">
        <v>2033</v>
      </c>
      <c r="F1104" s="848" t="str">
        <f>VLOOKUP(E1104,DICH!B:C,2,FALSE)</f>
        <v xml:space="preserve">  C - Machine</v>
      </c>
      <c r="G1104" s="846"/>
      <c r="H1104" s="847"/>
      <c r="I1104" s="848"/>
      <c r="J1104" s="849">
        <f>SUM(J1105:J1105)</f>
        <v>32116.740000000005</v>
      </c>
      <c r="K1104" s="850"/>
      <c r="L1104" s="850"/>
      <c r="M1104" s="850"/>
      <c r="N1104" s="843" t="e">
        <f>SUMIF(#REF!,'8.Dgia'!A1104,#REF!)+SUMIF(#REF!,'8.Dgia'!A1104,#REF!)+SUMIF(#REF!,'8.Dgia'!A1104,#REF!)+SUMIF(#REF!,'8.Dgia'!A1104,#REF!)</f>
        <v>#REF!</v>
      </c>
      <c r="O1104" s="844"/>
      <c r="P1104" s="843" t="e">
        <f t="shared" si="46"/>
        <v>#REF!</v>
      </c>
    </row>
    <row r="1105" spans="1:18" ht="15" customHeight="1">
      <c r="A1105" s="657">
        <f>IF(B1105="",MAX($A$8:A1104)+0,MAX($A$8:A1104)+1)</f>
        <v>114</v>
      </c>
      <c r="B1105" s="835" t="str">
        <f>IF(C1105="","",COUNTA($C$10:C1106))</f>
        <v/>
      </c>
      <c r="C1105" s="362"/>
      <c r="D1105" s="851"/>
      <c r="E1105" s="852" t="s">
        <v>1424</v>
      </c>
      <c r="F1105" s="848" t="str">
        <f>VLOOKUP(E1105,'9.may'!E:F,2,FALSE)</f>
        <v>bender cutter 5Kw</v>
      </c>
      <c r="G1105" s="362" t="s">
        <v>4902</v>
      </c>
      <c r="H1105" s="847">
        <v>0.4</v>
      </c>
      <c r="I1105" s="848">
        <f>VLOOKUP(E1105,'9.may'!E:W,12,FALSE)</f>
        <v>80291.850000000006</v>
      </c>
      <c r="J1105" s="853">
        <f>I1105*H1105</f>
        <v>32116.740000000005</v>
      </c>
      <c r="N1105" s="843" t="e">
        <f>SUMIF(#REF!,'8.Dgia'!A1105,#REF!)+SUMIF(#REF!,'8.Dgia'!A1105,#REF!)+SUMIF(#REF!,'8.Dgia'!A1105,#REF!)+SUMIF(#REF!,'8.Dgia'!A1105,#REF!)</f>
        <v>#REF!</v>
      </c>
      <c r="O1105" s="844"/>
      <c r="P1105" s="843" t="e">
        <f t="shared" si="46"/>
        <v>#REF!</v>
      </c>
    </row>
    <row r="1106" spans="1:18" ht="15" customHeight="1">
      <c r="A1106" s="657">
        <f>IF(B1106="",MAX($A$8:A1105)+0,MAX($A$8:A1105)+1)</f>
        <v>115</v>
      </c>
      <c r="B1106" s="835">
        <f>IF(C1106="","",COUNTA($C$10:C1107))</f>
        <v>115</v>
      </c>
      <c r="C1106" s="835">
        <f>IF(D1106="","",1776)</f>
        <v>1776</v>
      </c>
      <c r="D1106" s="851" t="s">
        <v>3555</v>
      </c>
      <c r="E1106" s="855" t="s">
        <v>4062</v>
      </c>
      <c r="F1106" s="1049" t="str">
        <f>VLOOKUP(E1106,DICH!B:C,2,FALSE)</f>
        <v>Reinforcement D&gt;18 of cross beam</v>
      </c>
      <c r="G1106" s="856" t="s">
        <v>4644</v>
      </c>
      <c r="H1106" s="847"/>
      <c r="I1106" s="848"/>
      <c r="J1106" s="857"/>
      <c r="K1106" s="842">
        <f>+J1107</f>
        <v>17296268.202109091</v>
      </c>
      <c r="L1106" s="842">
        <f>+J1111</f>
        <v>1846044.2</v>
      </c>
      <c r="M1106" s="842">
        <f>+J1112</f>
        <v>262767.86567999999</v>
      </c>
      <c r="N1106" s="843" t="e">
        <f>SUMIF(#REF!,'8.Dgia'!A1106,#REF!)+SUMIF(#REF!,'8.Dgia'!A1106,#REF!)+SUMIF(#REF!,'8.Dgia'!A1106,#REF!)+SUMIF(#REF!,'8.Dgia'!A1106,#REF!)</f>
        <v>#REF!</v>
      </c>
      <c r="O1106" s="844"/>
      <c r="P1106" s="843" t="e">
        <f t="shared" ref="P1106:P1114" si="48">$H1106*N1106*(1+O1106%)</f>
        <v>#REF!</v>
      </c>
    </row>
    <row r="1107" spans="1:18" s="658" customFormat="1" ht="15" customHeight="1">
      <c r="A1107" s="657">
        <f>IF(B1107="",MAX($A$8:A1106)+0,MAX($A$8:A1106)+1)</f>
        <v>115</v>
      </c>
      <c r="B1107" s="835" t="str">
        <f>IF(C1107="","",COUNTA($C$10:C1108))</f>
        <v/>
      </c>
      <c r="C1107" s="362"/>
      <c r="D1107" s="845"/>
      <c r="E1107" s="852" t="s">
        <v>2032</v>
      </c>
      <c r="F1107" s="848" t="str">
        <f>VLOOKUP(E1107,DICH!B:C,2,FALSE)</f>
        <v xml:space="preserve">  A - Material</v>
      </c>
      <c r="G1107" s="846"/>
      <c r="H1107" s="847"/>
      <c r="I1107" s="848"/>
      <c r="J1107" s="849">
        <f>SUM(J1108:J1110)</f>
        <v>17296268.202109091</v>
      </c>
      <c r="K1107" s="850"/>
      <c r="L1107" s="850"/>
      <c r="M1107" s="850"/>
      <c r="N1107" s="843" t="e">
        <f>SUMIF(#REF!,'8.Dgia'!A1107,#REF!)+SUMIF(#REF!,'8.Dgia'!A1107,#REF!)+SUMIF(#REF!,'8.Dgia'!A1107,#REF!)+SUMIF(#REF!,'8.Dgia'!A1107,#REF!)</f>
        <v>#REF!</v>
      </c>
      <c r="O1107" s="844"/>
      <c r="P1107" s="843" t="e">
        <f t="shared" si="48"/>
        <v>#REF!</v>
      </c>
    </row>
    <row r="1108" spans="1:18" ht="15" customHeight="1">
      <c r="A1108" s="657">
        <f>IF(B1108="",MAX($A$8:A1107)+0,MAX($A$8:A1107)+1)</f>
        <v>115</v>
      </c>
      <c r="B1108" s="835" t="str">
        <f>IF(C1108="","",COUNTA($C$10:C1109))</f>
        <v/>
      </c>
      <c r="C1108" s="362"/>
      <c r="D1108" s="851"/>
      <c r="E1108" s="245" t="s">
        <v>664</v>
      </c>
      <c r="F1108" s="848" t="str">
        <f>VLOOKUP(E1108,DICH!B:C,2,FALSE)</f>
        <v>steel bar D&gt;18</v>
      </c>
      <c r="G1108" s="362" t="s">
        <v>558</v>
      </c>
      <c r="H1108" s="847">
        <v>1020</v>
      </c>
      <c r="I1108" s="848">
        <f>VLOOKUP(E1108,'11.gia '!$B:$I,8,FALSE)</f>
        <v>16604.075560000001</v>
      </c>
      <c r="J1108" s="853">
        <f>I1108*H1108</f>
        <v>16936157.071200002</v>
      </c>
      <c r="N1108" s="843" t="e">
        <f>SUMIF(#REF!,'8.Dgia'!A1108,#REF!)+SUMIF(#REF!,'8.Dgia'!A1108,#REF!)+SUMIF(#REF!,'8.Dgia'!A1108,#REF!)+SUMIF(#REF!,'8.Dgia'!A1108,#REF!)</f>
        <v>#REF!</v>
      </c>
      <c r="O1108" s="844"/>
      <c r="P1108" s="843" t="e">
        <f t="shared" si="48"/>
        <v>#REF!</v>
      </c>
    </row>
    <row r="1109" spans="1:18" ht="15" customHeight="1">
      <c r="A1109" s="657">
        <f>IF(B1109="",MAX($A$8:A1108)+0,MAX($A$8:A1108)+1)</f>
        <v>115</v>
      </c>
      <c r="B1109" s="835" t="str">
        <f>IF(C1109="","",COUNTA($C$10:C1110))</f>
        <v/>
      </c>
      <c r="C1109" s="362"/>
      <c r="D1109" s="851"/>
      <c r="E1109" s="852" t="s">
        <v>459</v>
      </c>
      <c r="F1109" s="848" t="str">
        <f>VLOOKUP(E1109,DICH!B:C,2,FALSE)</f>
        <v>Steel ware</v>
      </c>
      <c r="G1109" s="362" t="s">
        <v>558</v>
      </c>
      <c r="H1109" s="847">
        <v>14.28</v>
      </c>
      <c r="I1109" s="848">
        <f>VLOOKUP(E1109,'11.gia '!$B:$I,8,FALSE)</f>
        <v>17143</v>
      </c>
      <c r="J1109" s="853">
        <f>I1109*H1109</f>
        <v>244802.03999999998</v>
      </c>
      <c r="N1109" s="843" t="e">
        <f>SUMIF(#REF!,'8.Dgia'!A1109,#REF!)+SUMIF(#REF!,'8.Dgia'!A1109,#REF!)+SUMIF(#REF!,'8.Dgia'!A1109,#REF!)+SUMIF(#REF!,'8.Dgia'!A1109,#REF!)</f>
        <v>#REF!</v>
      </c>
      <c r="O1109" s="844"/>
      <c r="P1109" s="843" t="e">
        <f t="shared" si="48"/>
        <v>#REF!</v>
      </c>
    </row>
    <row r="1110" spans="1:18" ht="15" customHeight="1">
      <c r="A1110" s="657">
        <f>IF(B1110="",MAX($A$8:A1109)+0,MAX($A$8:A1109)+1)</f>
        <v>115</v>
      </c>
      <c r="B1110" s="835" t="str">
        <f>IF(C1110="","",COUNTA($C$10:C1111))</f>
        <v/>
      </c>
      <c r="C1110" s="362"/>
      <c r="D1110" s="851"/>
      <c r="E1110" s="852" t="s">
        <v>559</v>
      </c>
      <c r="F1110" s="848" t="str">
        <f>VLOOKUP(E1110,DICH!B:C,2,FALSE)</f>
        <v>welding electrode</v>
      </c>
      <c r="G1110" s="362" t="s">
        <v>558</v>
      </c>
      <c r="H1110" s="847">
        <v>6.04</v>
      </c>
      <c r="I1110" s="848">
        <f>VLOOKUP(E1110,'11.gia '!$B:$I,8,FALSE)</f>
        <v>19090.909090909088</v>
      </c>
      <c r="J1110" s="853">
        <f>I1110*H1110</f>
        <v>115309.0909090909</v>
      </c>
      <c r="N1110" s="843" t="e">
        <f>SUMIF(#REF!,'8.Dgia'!A1110,#REF!)+SUMIF(#REF!,'8.Dgia'!A1110,#REF!)+SUMIF(#REF!,'8.Dgia'!A1110,#REF!)+SUMIF(#REF!,'8.Dgia'!A1110,#REF!)</f>
        <v>#REF!</v>
      </c>
      <c r="O1110" s="844"/>
      <c r="P1110" s="843" t="e">
        <f t="shared" si="48"/>
        <v>#REF!</v>
      </c>
    </row>
    <row r="1111" spans="1:18" s="658" customFormat="1" ht="15" customHeight="1">
      <c r="A1111" s="657">
        <f>IF(B1111="",MAX($A$8:A1110)+0,MAX($A$8:A1110)+1)</f>
        <v>115</v>
      </c>
      <c r="B1111" s="835" t="str">
        <f>IF(C1111="","",COUNTA($C$10:C1112))</f>
        <v/>
      </c>
      <c r="C1111" s="362"/>
      <c r="D1111" s="845"/>
      <c r="E1111" s="852" t="s">
        <v>2037</v>
      </c>
      <c r="F1111" s="848" t="str">
        <f>VLOOKUP(E1111,DICH!B:C,2,FALSE)</f>
        <v xml:space="preserve">  B - Labour 3.5/7</v>
      </c>
      <c r="G1111" s="362" t="s">
        <v>4899</v>
      </c>
      <c r="H1111" s="847">
        <v>9.1</v>
      </c>
      <c r="I1111" s="848">
        <f>VLOOKUP(E1111,'16.NC'!$C$11:$F$22,4,FALSE)</f>
        <v>202862</v>
      </c>
      <c r="J1111" s="849">
        <f>I1111*H1111</f>
        <v>1846044.2</v>
      </c>
      <c r="K1111" s="850"/>
      <c r="L1111" s="850"/>
      <c r="M1111" s="850"/>
      <c r="N1111" s="843" t="e">
        <f>SUMIF(#REF!,'8.Dgia'!A1111,#REF!)+SUMIF(#REF!,'8.Dgia'!A1111,#REF!)+SUMIF(#REF!,'8.Dgia'!A1111,#REF!)+SUMIF(#REF!,'8.Dgia'!A1111,#REF!)</f>
        <v>#REF!</v>
      </c>
      <c r="O1111" s="844"/>
      <c r="P1111" s="843" t="e">
        <f t="shared" si="48"/>
        <v>#REF!</v>
      </c>
      <c r="R1111" s="658">
        <v>1</v>
      </c>
    </row>
    <row r="1112" spans="1:18" s="658" customFormat="1" ht="15" customHeight="1">
      <c r="A1112" s="657">
        <f>IF(B1112="",MAX($A$8:A1111)+0,MAX($A$8:A1111)+1)</f>
        <v>115</v>
      </c>
      <c r="B1112" s="835" t="str">
        <f>IF(C1112="","",COUNTA($C$10:C1113))</f>
        <v/>
      </c>
      <c r="C1112" s="362"/>
      <c r="D1112" s="845"/>
      <c r="E1112" s="852" t="s">
        <v>2033</v>
      </c>
      <c r="F1112" s="848" t="str">
        <f>VLOOKUP(E1112,DICH!B:C,2,FALSE)</f>
        <v xml:space="preserve">  C - Machine</v>
      </c>
      <c r="G1112" s="846"/>
      <c r="H1112" s="847"/>
      <c r="I1112" s="848"/>
      <c r="J1112" s="849">
        <f>SUM(J1113:J1114)</f>
        <v>262767.86567999999</v>
      </c>
      <c r="K1112" s="850"/>
      <c r="L1112" s="850"/>
      <c r="M1112" s="850"/>
      <c r="N1112" s="843" t="e">
        <f>SUMIF(#REF!,'8.Dgia'!A1112,#REF!)+SUMIF(#REF!,'8.Dgia'!A1112,#REF!)+SUMIF(#REF!,'8.Dgia'!A1112,#REF!)+SUMIF(#REF!,'8.Dgia'!A1112,#REF!)</f>
        <v>#REF!</v>
      </c>
      <c r="O1112" s="844"/>
      <c r="P1112" s="843" t="e">
        <f t="shared" si="48"/>
        <v>#REF!</v>
      </c>
    </row>
    <row r="1113" spans="1:18" ht="15" customHeight="1">
      <c r="A1113" s="657">
        <f>IF(B1113="",MAX($A$8:A1112)+0,MAX($A$8:A1112)+1)</f>
        <v>115</v>
      </c>
      <c r="B1113" s="835" t="str">
        <f>IF(C1113="","",COUNTA($C$10:C1114))</f>
        <v/>
      </c>
      <c r="C1113" s="362"/>
      <c r="D1113" s="851"/>
      <c r="E1113" s="852" t="s">
        <v>560</v>
      </c>
      <c r="F1113" s="848" t="str">
        <f>VLOOKUP(E1113,'9.may'!E:F,2,FALSE)</f>
        <v>welding machine 23kW</v>
      </c>
      <c r="G1113" s="362" t="s">
        <v>4902</v>
      </c>
      <c r="H1113" s="847">
        <v>1.456</v>
      </c>
      <c r="I1113" s="848">
        <f>VLOOKUP(E1113,'9.may'!E:W,12,FALSE)</f>
        <v>171649.155</v>
      </c>
      <c r="J1113" s="853">
        <f>I1113*H1113</f>
        <v>249921.16967999999</v>
      </c>
      <c r="N1113" s="843" t="e">
        <f>SUMIF(#REF!,'8.Dgia'!A1113,#REF!)+SUMIF(#REF!,'8.Dgia'!A1113,#REF!)+SUMIF(#REF!,'8.Dgia'!A1113,#REF!)+SUMIF(#REF!,'8.Dgia'!A1113,#REF!)</f>
        <v>#REF!</v>
      </c>
      <c r="O1113" s="844"/>
      <c r="P1113" s="843" t="e">
        <f t="shared" si="48"/>
        <v>#REF!</v>
      </c>
    </row>
    <row r="1114" spans="1:18" ht="15" customHeight="1">
      <c r="A1114" s="657">
        <f>IF(B1114="",MAX($A$8:A1113)+0,MAX($A$8:A1113)+1)</f>
        <v>115</v>
      </c>
      <c r="B1114" s="835" t="str">
        <f>IF(C1114="","",COUNTA($C$10:C1115))</f>
        <v/>
      </c>
      <c r="C1114" s="362"/>
      <c r="D1114" s="851"/>
      <c r="E1114" s="852" t="s">
        <v>1424</v>
      </c>
      <c r="F1114" s="848" t="str">
        <f>VLOOKUP(E1114,'9.may'!E:F,2,FALSE)</f>
        <v>bender cutter 5Kw</v>
      </c>
      <c r="G1114" s="362" t="s">
        <v>4902</v>
      </c>
      <c r="H1114" s="847">
        <v>0.16</v>
      </c>
      <c r="I1114" s="848">
        <f>VLOOKUP(E1114,'9.may'!E:W,12,FALSE)</f>
        <v>80291.850000000006</v>
      </c>
      <c r="J1114" s="853">
        <f>I1114*H1114</f>
        <v>12846.696000000002</v>
      </c>
      <c r="N1114" s="843" t="e">
        <f>SUMIF(#REF!,'8.Dgia'!A1114,#REF!)+SUMIF(#REF!,'8.Dgia'!A1114,#REF!)+SUMIF(#REF!,'8.Dgia'!A1114,#REF!)+SUMIF(#REF!,'8.Dgia'!A1114,#REF!)</f>
        <v>#REF!</v>
      </c>
      <c r="O1114" s="844"/>
      <c r="P1114" s="843" t="e">
        <f t="shared" si="48"/>
        <v>#REF!</v>
      </c>
    </row>
    <row r="1115" spans="1:18" ht="15" customHeight="1">
      <c r="A1115" s="657">
        <f>IF(B1115="",MAX($A$8:A1114)+0,MAX($A$8:A1114)+1)</f>
        <v>116</v>
      </c>
      <c r="B1115" s="835">
        <f>IF(C1115="","",COUNTA($C$10:C1116))</f>
        <v>116</v>
      </c>
      <c r="C1115" s="835">
        <f>IF(D1115="","",1776)</f>
        <v>1776</v>
      </c>
      <c r="D1115" s="851" t="s">
        <v>47</v>
      </c>
      <c r="E1115" s="855" t="s">
        <v>180</v>
      </c>
      <c r="F1115" s="1049" t="str">
        <f>VLOOKUP(E1115,DICH!B:C,2,FALSE)</f>
        <v>Formwork (wall,pole, girder…)</v>
      </c>
      <c r="G1115" s="856" t="s">
        <v>547</v>
      </c>
      <c r="H1115" s="847"/>
      <c r="I1115" s="848"/>
      <c r="J1115" s="853"/>
      <c r="K1115" s="842">
        <f>+J1116</f>
        <v>4273038.3108242452</v>
      </c>
      <c r="L1115" s="842">
        <f>+J1122</f>
        <v>8380525.5600000005</v>
      </c>
      <c r="M1115" s="842">
        <f>+J1123</f>
        <v>294440.26094999997</v>
      </c>
      <c r="N1115" s="843" t="e">
        <f>SUMIF(#REF!,'8.Dgia'!A1115,#REF!)+SUMIF(#REF!,'8.Dgia'!A1115,#REF!)+SUMIF(#REF!,'8.Dgia'!A1115,#REF!)+SUMIF(#REF!,'8.Dgia'!A1115,#REF!)</f>
        <v>#REF!</v>
      </c>
      <c r="O1115" s="844"/>
      <c r="P1115" s="843" t="e">
        <f t="shared" si="46"/>
        <v>#REF!</v>
      </c>
    </row>
    <row r="1116" spans="1:18" s="658" customFormat="1" ht="15" customHeight="1">
      <c r="A1116" s="657">
        <f>IF(B1116="",MAX($A$8:A1115)+0,MAX($A$8:A1115)+1)</f>
        <v>116</v>
      </c>
      <c r="B1116" s="835" t="str">
        <f>IF(C1116="","",COUNTA($C$10:C1117))</f>
        <v/>
      </c>
      <c r="C1116" s="362"/>
      <c r="D1116" s="845"/>
      <c r="E1116" s="852" t="s">
        <v>2032</v>
      </c>
      <c r="F1116" s="848" t="str">
        <f>VLOOKUP(E1116,DICH!B:C,2,FALSE)</f>
        <v xml:space="preserve">  A - Material</v>
      </c>
      <c r="G1116" s="846"/>
      <c r="H1116" s="847"/>
      <c r="I1116" s="848"/>
      <c r="J1116" s="849">
        <f>SUM(J1117:J1121)</f>
        <v>4273038.3108242452</v>
      </c>
      <c r="K1116" s="850"/>
      <c r="L1116" s="850"/>
      <c r="M1116" s="850"/>
      <c r="N1116" s="843" t="e">
        <f>SUMIF(#REF!,'8.Dgia'!A1116,#REF!)+SUMIF(#REF!,'8.Dgia'!A1116,#REF!)+SUMIF(#REF!,'8.Dgia'!A1116,#REF!)+SUMIF(#REF!,'8.Dgia'!A1116,#REF!)</f>
        <v>#REF!</v>
      </c>
      <c r="O1116" s="844"/>
      <c r="P1116" s="843" t="e">
        <f t="shared" si="46"/>
        <v>#REF!</v>
      </c>
    </row>
    <row r="1117" spans="1:18" ht="15" customHeight="1">
      <c r="A1117" s="657">
        <f>IF(B1117="",MAX($A$8:A1116)+0,MAX($A$8:A1116)+1)</f>
        <v>116</v>
      </c>
      <c r="B1117" s="835" t="str">
        <f>IF(C1117="","",COUNTA($C$10:C1118))</f>
        <v/>
      </c>
      <c r="C1117" s="362"/>
      <c r="D1117" s="851"/>
      <c r="E1117" s="852" t="s">
        <v>562</v>
      </c>
      <c r="F1117" s="848" t="str">
        <f>VLOOKUP(E1117,DICH!B:C,2,FALSE)</f>
        <v>Plate steel</v>
      </c>
      <c r="G1117" s="362" t="s">
        <v>558</v>
      </c>
      <c r="H1117" s="847">
        <v>51.81</v>
      </c>
      <c r="I1117" s="848">
        <f>VLOOKUP(E1117,'11.gia '!$B:$I,8,FALSE)</f>
        <v>12871.348287272725</v>
      </c>
      <c r="J1117" s="853">
        <f>I1117*H1117</f>
        <v>666864.55476359988</v>
      </c>
      <c r="N1117" s="843" t="e">
        <f>SUMIF(#REF!,'8.Dgia'!A1117,#REF!)+SUMIF(#REF!,'8.Dgia'!A1117,#REF!)+SUMIF(#REF!,'8.Dgia'!A1117,#REF!)+SUMIF(#REF!,'8.Dgia'!A1117,#REF!)</f>
        <v>#REF!</v>
      </c>
      <c r="O1117" s="844">
        <f>+$H$1121</f>
        <v>5</v>
      </c>
      <c r="P1117" s="843" t="e">
        <f t="shared" si="46"/>
        <v>#REF!</v>
      </c>
    </row>
    <row r="1118" spans="1:18" ht="15" customHeight="1">
      <c r="A1118" s="657">
        <f>IF(B1118="",MAX($A$8:A1117)+0,MAX($A$8:A1117)+1)</f>
        <v>116</v>
      </c>
      <c r="B1118" s="835" t="str">
        <f>IF(C1118="","",COUNTA($C$10:C1119))</f>
        <v/>
      </c>
      <c r="C1118" s="362"/>
      <c r="D1118" s="851"/>
      <c r="E1118" s="852" t="s">
        <v>563</v>
      </c>
      <c r="F1118" s="848" t="str">
        <f>VLOOKUP(E1118,DICH!B:C,2,FALSE)</f>
        <v>Shaped steel</v>
      </c>
      <c r="G1118" s="362" t="s">
        <v>558</v>
      </c>
      <c r="H1118" s="847">
        <v>48.84</v>
      </c>
      <c r="I1118" s="848">
        <f>VLOOKUP(E1118,'11.gia '!$B:$I,8,FALSE)</f>
        <v>16703.248369172808</v>
      </c>
      <c r="J1118" s="853">
        <f>I1118*H1118</f>
        <v>815786.65035040001</v>
      </c>
      <c r="N1118" s="843" t="e">
        <f>SUMIF(#REF!,'8.Dgia'!A1118,#REF!)+SUMIF(#REF!,'8.Dgia'!A1118,#REF!)+SUMIF(#REF!,'8.Dgia'!A1118,#REF!)+SUMIF(#REF!,'8.Dgia'!A1118,#REF!)</f>
        <v>#REF!</v>
      </c>
      <c r="O1118" s="844">
        <f>+$H$1121</f>
        <v>5</v>
      </c>
      <c r="P1118" s="843" t="e">
        <f t="shared" si="46"/>
        <v>#REF!</v>
      </c>
    </row>
    <row r="1119" spans="1:18" ht="15" customHeight="1">
      <c r="A1119" s="657">
        <f>IF(B1119="",MAX($A$8:A1118)+0,MAX($A$8:A1118)+1)</f>
        <v>116</v>
      </c>
      <c r="B1119" s="835" t="str">
        <f>IF(C1119="","",COUNTA($C$10:C1120))</f>
        <v/>
      </c>
      <c r="C1119" s="362"/>
      <c r="D1119" s="851"/>
      <c r="E1119" s="852" t="s">
        <v>134</v>
      </c>
      <c r="F1119" s="848" t="str">
        <f>VLOOKUP(E1119,DICH!B:C,2,FALSE)</f>
        <v>Wooden</v>
      </c>
      <c r="G1119" s="362" t="s">
        <v>545</v>
      </c>
      <c r="H1119" s="847">
        <v>0.496</v>
      </c>
      <c r="I1119" s="848">
        <f>VLOOKUP(E1119,'11.gia '!$B:$I,8,FALSE)</f>
        <v>5000000</v>
      </c>
      <c r="J1119" s="853">
        <f>I1119*H1119</f>
        <v>2480000</v>
      </c>
      <c r="N1119" s="843" t="e">
        <f>SUMIF(#REF!,'8.Dgia'!A1119,#REF!)+SUMIF(#REF!,'8.Dgia'!A1119,#REF!)+SUMIF(#REF!,'8.Dgia'!A1119,#REF!)+SUMIF(#REF!,'8.Dgia'!A1119,#REF!)</f>
        <v>#REF!</v>
      </c>
      <c r="O1119" s="844">
        <f>+$H$1121</f>
        <v>5</v>
      </c>
      <c r="P1119" s="843" t="e">
        <f t="shared" si="46"/>
        <v>#REF!</v>
      </c>
    </row>
    <row r="1120" spans="1:18" ht="15" customHeight="1">
      <c r="A1120" s="657">
        <f>IF(B1120="",MAX($A$8:A1119)+0,MAX($A$8:A1119)+1)</f>
        <v>116</v>
      </c>
      <c r="B1120" s="835" t="str">
        <f>IF(C1120="","",COUNTA($C$10:C1121))</f>
        <v/>
      </c>
      <c r="C1120" s="362"/>
      <c r="D1120" s="851"/>
      <c r="E1120" s="852" t="s">
        <v>559</v>
      </c>
      <c r="F1120" s="848" t="str">
        <f>VLOOKUP(E1120,DICH!B:C,2,FALSE)</f>
        <v>welding electrode</v>
      </c>
      <c r="G1120" s="362" t="s">
        <v>558</v>
      </c>
      <c r="H1120" s="847">
        <v>5.6</v>
      </c>
      <c r="I1120" s="848">
        <f>VLOOKUP(E1120,'11.gia '!$B:$I,8,FALSE)</f>
        <v>19090.909090909088</v>
      </c>
      <c r="J1120" s="853">
        <f>I1120*H1120</f>
        <v>106909.09090909088</v>
      </c>
      <c r="N1120" s="843" t="e">
        <f>SUMIF(#REF!,'8.Dgia'!A1120,#REF!)+SUMIF(#REF!,'8.Dgia'!A1120,#REF!)+SUMIF(#REF!,'8.Dgia'!A1120,#REF!)+SUMIF(#REF!,'8.Dgia'!A1120,#REF!)</f>
        <v>#REF!</v>
      </c>
      <c r="O1120" s="844">
        <f>+$H$1121</f>
        <v>5</v>
      </c>
      <c r="P1120" s="843" t="e">
        <f t="shared" si="46"/>
        <v>#REF!</v>
      </c>
    </row>
    <row r="1121" spans="1:18" ht="15" customHeight="1">
      <c r="A1121" s="657">
        <f>IF(B1121="",MAX($A$8:A1120)+0,MAX($A$8:A1120)+1)</f>
        <v>116</v>
      </c>
      <c r="B1121" s="835" t="str">
        <f>IF(C1121="","",COUNTA($C$10:C1122))</f>
        <v/>
      </c>
      <c r="C1121" s="362"/>
      <c r="D1121" s="851"/>
      <c r="E1121" s="852" t="s">
        <v>555</v>
      </c>
      <c r="F1121" s="848" t="str">
        <f>VLOOKUP(E1121,DICH!B:C,2,FALSE)</f>
        <v>Other material</v>
      </c>
      <c r="G1121" s="362" t="s">
        <v>554</v>
      </c>
      <c r="H1121" s="847">
        <v>5</v>
      </c>
      <c r="I1121" s="848">
        <f>SUM(J1117:J1120)</f>
        <v>4069560.2960230908</v>
      </c>
      <c r="J1121" s="853">
        <f>I1121*H1121%</f>
        <v>203478.01480115455</v>
      </c>
      <c r="N1121" s="843" t="e">
        <f>SUMIF(#REF!,'8.Dgia'!A1121,#REF!)+SUMIF(#REF!,'8.Dgia'!A1121,#REF!)+SUMIF(#REF!,'8.Dgia'!A1121,#REF!)+SUMIF(#REF!,'8.Dgia'!A1121,#REF!)</f>
        <v>#REF!</v>
      </c>
      <c r="O1121" s="844"/>
      <c r="P1121" s="843" t="e">
        <f t="shared" si="46"/>
        <v>#REF!</v>
      </c>
    </row>
    <row r="1122" spans="1:18" s="658" customFormat="1" ht="15" customHeight="1">
      <c r="A1122" s="657">
        <f>IF(B1122="",MAX($A$8:A1121)+0,MAX($A$8:A1121)+1)</f>
        <v>116</v>
      </c>
      <c r="B1122" s="835" t="str">
        <f>IF(C1122="","",COUNTA($C$10:C1123))</f>
        <v/>
      </c>
      <c r="C1122" s="362"/>
      <c r="D1122" s="845"/>
      <c r="E1122" s="852" t="s">
        <v>2039</v>
      </c>
      <c r="F1122" s="848" t="str">
        <f>VLOOKUP(E1122,DICH!B:C,2,FALSE)</f>
        <v xml:space="preserve">  B - Labour 4.0/7</v>
      </c>
      <c r="G1122" s="362" t="s">
        <v>4899</v>
      </c>
      <c r="H1122" s="847">
        <v>38.28</v>
      </c>
      <c r="I1122" s="848">
        <f>VLOOKUP(E1122,'16.NC'!$C$11:$F$22,4,FALSE)</f>
        <v>218927</v>
      </c>
      <c r="J1122" s="849">
        <f>I1122*H1122</f>
        <v>8380525.5600000005</v>
      </c>
      <c r="K1122" s="850"/>
      <c r="L1122" s="850"/>
      <c r="M1122" s="850"/>
      <c r="N1122" s="843" t="e">
        <f>SUMIF(#REF!,'8.Dgia'!A1122,#REF!)+SUMIF(#REF!,'8.Dgia'!A1122,#REF!)+SUMIF(#REF!,'8.Dgia'!A1122,#REF!)+SUMIF(#REF!,'8.Dgia'!A1122,#REF!)</f>
        <v>#REF!</v>
      </c>
      <c r="O1122" s="844"/>
      <c r="P1122" s="843" t="e">
        <f t="shared" ref="P1122:P1210" si="49">$H1122*N1122*(1+O1122%)</f>
        <v>#REF!</v>
      </c>
      <c r="R1122" s="658">
        <v>1</v>
      </c>
    </row>
    <row r="1123" spans="1:18" s="658" customFormat="1" ht="15" customHeight="1">
      <c r="A1123" s="657">
        <f>IF(B1123="",MAX($A$8:A1122)+0,MAX($A$8:A1122)+1)</f>
        <v>116</v>
      </c>
      <c r="B1123" s="835" t="str">
        <f>IF(C1123="","",COUNTA($C$10:C1124))</f>
        <v/>
      </c>
      <c r="C1123" s="362"/>
      <c r="D1123" s="845"/>
      <c r="E1123" s="852" t="s">
        <v>2033</v>
      </c>
      <c r="F1123" s="848" t="str">
        <f>VLOOKUP(E1123,DICH!B:C,2,FALSE)</f>
        <v xml:space="preserve">  C - Machine</v>
      </c>
      <c r="G1123" s="362"/>
      <c r="H1123" s="847"/>
      <c r="I1123" s="848"/>
      <c r="J1123" s="849">
        <f>SUM(J1124:J1126)</f>
        <v>294440.26094999997</v>
      </c>
      <c r="K1123" s="850"/>
      <c r="L1123" s="850"/>
      <c r="M1123" s="850"/>
      <c r="N1123" s="843" t="e">
        <f>SUMIF(#REF!,'8.Dgia'!A1123,#REF!)+SUMIF(#REF!,'8.Dgia'!A1123,#REF!)+SUMIF(#REF!,'8.Dgia'!A1123,#REF!)+SUMIF(#REF!,'8.Dgia'!A1123,#REF!)</f>
        <v>#REF!</v>
      </c>
      <c r="O1123" s="844"/>
      <c r="P1123" s="843" t="e">
        <f t="shared" si="49"/>
        <v>#REF!</v>
      </c>
    </row>
    <row r="1124" spans="1:18" ht="15" customHeight="1">
      <c r="A1124" s="657">
        <f>IF(B1124="",MAX($A$8:A1123)+0,MAX($A$8:A1123)+1)</f>
        <v>116</v>
      </c>
      <c r="B1124" s="835" t="str">
        <f>IF(C1124="","",COUNTA($C$10:C1125))</f>
        <v/>
      </c>
      <c r="C1124" s="362"/>
      <c r="D1124" s="851"/>
      <c r="E1124" s="852" t="s">
        <v>560</v>
      </c>
      <c r="F1124" s="848" t="str">
        <f>VLOOKUP(E1124,'9.may'!E:F,2,FALSE)</f>
        <v>welding machine 23kW</v>
      </c>
      <c r="G1124" s="362" t="s">
        <v>4902</v>
      </c>
      <c r="H1124" s="847">
        <v>1.5</v>
      </c>
      <c r="I1124" s="848">
        <f>VLOOKUP(E1124,'9.may'!E:W,12,FALSE)</f>
        <v>171649.155</v>
      </c>
      <c r="J1124" s="853">
        <f>I1124*H1124</f>
        <v>257473.73249999998</v>
      </c>
      <c r="N1124" s="843" t="e">
        <f>SUMIF(#REF!,'8.Dgia'!A1124,#REF!)+SUMIF(#REF!,'8.Dgia'!A1124,#REF!)+SUMIF(#REF!,'8.Dgia'!A1124,#REF!)+SUMIF(#REF!,'8.Dgia'!A1124,#REF!)</f>
        <v>#REF!</v>
      </c>
      <c r="O1124" s="844">
        <f>+$H$1126</f>
        <v>2</v>
      </c>
      <c r="P1124" s="843" t="e">
        <f t="shared" si="49"/>
        <v>#REF!</v>
      </c>
    </row>
    <row r="1125" spans="1:18" ht="15" customHeight="1">
      <c r="A1125" s="657">
        <f>IF(B1125="",MAX($A$8:A1124)+0,MAX($A$8:A1124)+1)</f>
        <v>116</v>
      </c>
      <c r="B1125" s="835" t="str">
        <f>IF(C1125="","",COUNTA($C$10:C1126))</f>
        <v/>
      </c>
      <c r="C1125" s="362"/>
      <c r="D1125" s="851"/>
      <c r="E1125" s="852" t="s">
        <v>1098</v>
      </c>
      <c r="F1125" s="848" t="str">
        <f>VLOOKUP(E1125,'9.may'!E:F,2,FALSE)</f>
        <v>lifting machine 0.8T</v>
      </c>
      <c r="G1125" s="362" t="s">
        <v>4902</v>
      </c>
      <c r="H1125" s="847">
        <v>0.25</v>
      </c>
      <c r="I1125" s="848">
        <f>VLOOKUP(E1125,'9.may'!E:W,12,FALSE)</f>
        <v>124772.76000000001</v>
      </c>
      <c r="J1125" s="853">
        <f>I1125*H1125</f>
        <v>31193.190000000002</v>
      </c>
      <c r="N1125" s="843" t="e">
        <f>SUMIF(#REF!,'8.Dgia'!A1125,#REF!)+SUMIF(#REF!,'8.Dgia'!A1125,#REF!)+SUMIF(#REF!,'8.Dgia'!A1125,#REF!)+SUMIF(#REF!,'8.Dgia'!A1125,#REF!)</f>
        <v>#REF!</v>
      </c>
      <c r="O1125" s="844">
        <f>+$H$1126</f>
        <v>2</v>
      </c>
      <c r="P1125" s="843" t="e">
        <f t="shared" si="49"/>
        <v>#REF!</v>
      </c>
    </row>
    <row r="1126" spans="1:18" ht="15" customHeight="1">
      <c r="A1126" s="657">
        <f>IF(B1126="",MAX($A$8:A1125)+0,MAX($A$8:A1125)+1)</f>
        <v>116</v>
      </c>
      <c r="B1126" s="835" t="str">
        <f>IF(C1126="","",COUNTA($C$10:C1127))</f>
        <v/>
      </c>
      <c r="C1126" s="362"/>
      <c r="D1126" s="851"/>
      <c r="E1126" s="852" t="s">
        <v>553</v>
      </c>
      <c r="F1126" s="848" t="str">
        <f>VLOOKUP(E1126,DICH!B:C,2,FALSE)</f>
        <v>Other machine</v>
      </c>
      <c r="G1126" s="362" t="s">
        <v>554</v>
      </c>
      <c r="H1126" s="847">
        <v>2</v>
      </c>
      <c r="I1126" s="848">
        <f>SUM(J1124:J1125)</f>
        <v>288666.92249999999</v>
      </c>
      <c r="J1126" s="853">
        <f>I1126*H1126%</f>
        <v>5773.3384500000002</v>
      </c>
      <c r="N1126" s="843" t="e">
        <f>SUMIF(#REF!,'8.Dgia'!A1126,#REF!)+SUMIF(#REF!,'8.Dgia'!A1126,#REF!)+SUMIF(#REF!,'8.Dgia'!A1126,#REF!)+SUMIF(#REF!,'8.Dgia'!A1126,#REF!)</f>
        <v>#REF!</v>
      </c>
      <c r="O1126" s="844"/>
      <c r="P1126" s="843" t="e">
        <f t="shared" si="49"/>
        <v>#REF!</v>
      </c>
    </row>
    <row r="1127" spans="1:18" ht="15" customHeight="1">
      <c r="A1127" s="657">
        <f>IF(B1127="",MAX($A$8:A1126)+0,MAX($A$8:A1126)+1)</f>
        <v>117</v>
      </c>
      <c r="B1127" s="835">
        <f>IF(C1127="","",COUNTA($C$10:C1128))</f>
        <v>117</v>
      </c>
      <c r="C1127" s="835">
        <f>IF(D1127="","",1776)</f>
        <v>1776</v>
      </c>
      <c r="D1127" s="851" t="s">
        <v>2078</v>
      </c>
      <c r="E1127" s="855" t="s">
        <v>4047</v>
      </c>
      <c r="F1127" s="1049" t="str">
        <f>VLOOKUP(E1127,DICH!B:C,2,FALSE)</f>
        <v>Reinforcement D&lt;=10 of deck slab</v>
      </c>
      <c r="G1127" s="856" t="s">
        <v>4644</v>
      </c>
      <c r="H1127" s="847"/>
      <c r="I1127" s="848"/>
      <c r="J1127" s="853"/>
      <c r="K1127" s="842">
        <f>+J1128</f>
        <v>17205048.9978</v>
      </c>
      <c r="L1127" s="842">
        <f>+J1131</f>
        <v>2967871.06</v>
      </c>
      <c r="M1127" s="842">
        <f>+J1132</f>
        <v>32759.074800000006</v>
      </c>
      <c r="N1127" s="843" t="e">
        <f>SUMIF(#REF!,'8.Dgia'!A1127,#REF!)+SUMIF(#REF!,'8.Dgia'!A1127,#REF!)+SUMIF(#REF!,'8.Dgia'!A1127,#REF!)+SUMIF(#REF!,'8.Dgia'!A1127,#REF!)</f>
        <v>#REF!</v>
      </c>
      <c r="O1127" s="844"/>
      <c r="P1127" s="843" t="e">
        <f t="shared" ref="P1127:P1134" si="50">$H1127*N1127*(1+O1127%)</f>
        <v>#REF!</v>
      </c>
    </row>
    <row r="1128" spans="1:18" s="658" customFormat="1" ht="15" customHeight="1">
      <c r="A1128" s="657">
        <f>IF(B1128="",MAX($A$8:A1127)+0,MAX($A$8:A1127)+1)</f>
        <v>117</v>
      </c>
      <c r="B1128" s="835" t="str">
        <f>IF(C1128="","",COUNTA($C$10:C1129))</f>
        <v/>
      </c>
      <c r="C1128" s="362"/>
      <c r="D1128" s="845"/>
      <c r="E1128" s="852" t="s">
        <v>2032</v>
      </c>
      <c r="F1128" s="848" t="str">
        <f>VLOOKUP(E1128,DICH!B:C,2,FALSE)</f>
        <v xml:space="preserve">  A - Material</v>
      </c>
      <c r="G1128" s="846"/>
      <c r="H1128" s="847"/>
      <c r="I1128" s="848"/>
      <c r="J1128" s="849">
        <f>SUM(J1129:J1130)</f>
        <v>17205048.9978</v>
      </c>
      <c r="K1128" s="850"/>
      <c r="L1128" s="850"/>
      <c r="M1128" s="850"/>
      <c r="N1128" s="843" t="e">
        <f>SUMIF(#REF!,'8.Dgia'!A1128,#REF!)+SUMIF(#REF!,'8.Dgia'!A1128,#REF!)+SUMIF(#REF!,'8.Dgia'!A1128,#REF!)+SUMIF(#REF!,'8.Dgia'!A1128,#REF!)</f>
        <v>#REF!</v>
      </c>
      <c r="O1128" s="844"/>
      <c r="P1128" s="843" t="e">
        <f t="shared" si="50"/>
        <v>#REF!</v>
      </c>
    </row>
    <row r="1129" spans="1:18" ht="15" customHeight="1">
      <c r="A1129" s="657">
        <f>IF(B1129="",MAX($A$8:A1128)+0,MAX($A$8:A1128)+1)</f>
        <v>117</v>
      </c>
      <c r="B1129" s="835" t="str">
        <f>IF(C1129="","",COUNTA($C$10:C1130))</f>
        <v/>
      </c>
      <c r="C1129" s="362"/>
      <c r="D1129" s="851"/>
      <c r="E1129" s="245" t="s">
        <v>371</v>
      </c>
      <c r="F1129" s="848" t="str">
        <f>VLOOKUP(E1129,DICH!B:C,2,FALSE)</f>
        <v>steel bar D&lt;=10</v>
      </c>
      <c r="G1129" s="362" t="s">
        <v>558</v>
      </c>
      <c r="H1129" s="847">
        <v>1005</v>
      </c>
      <c r="I1129" s="848">
        <f>VLOOKUP(E1129,'11.gia '!$B:$I,8,FALSE)</f>
        <v>16754.075560000001</v>
      </c>
      <c r="J1129" s="853">
        <f>I1129*H1129</f>
        <v>16837845.937800001</v>
      </c>
      <c r="N1129" s="843" t="e">
        <f>SUMIF(#REF!,'8.Dgia'!A1129,#REF!)+SUMIF(#REF!,'8.Dgia'!A1129,#REF!)+SUMIF(#REF!,'8.Dgia'!A1129,#REF!)+SUMIF(#REF!,'8.Dgia'!A1129,#REF!)</f>
        <v>#REF!</v>
      </c>
      <c r="O1129" s="844"/>
      <c r="P1129" s="843" t="e">
        <f t="shared" si="50"/>
        <v>#REF!</v>
      </c>
    </row>
    <row r="1130" spans="1:18" ht="15" customHeight="1">
      <c r="A1130" s="657">
        <f>IF(B1130="",MAX($A$8:A1129)+0,MAX($A$8:A1129)+1)</f>
        <v>117</v>
      </c>
      <c r="B1130" s="835" t="str">
        <f>IF(C1130="","",COUNTA($C$10:C1131))</f>
        <v/>
      </c>
      <c r="C1130" s="362"/>
      <c r="D1130" s="851"/>
      <c r="E1130" s="852" t="s">
        <v>459</v>
      </c>
      <c r="F1130" s="848" t="str">
        <f>VLOOKUP(E1130,DICH!B:C,2,FALSE)</f>
        <v>Steel ware</v>
      </c>
      <c r="G1130" s="362" t="s">
        <v>558</v>
      </c>
      <c r="H1130" s="847">
        <v>21.42</v>
      </c>
      <c r="I1130" s="848">
        <f>VLOOKUP(E1130,'11.gia '!$B:$I,8,FALSE)</f>
        <v>17143</v>
      </c>
      <c r="J1130" s="853">
        <f>I1130*H1130</f>
        <v>367203.06000000006</v>
      </c>
      <c r="N1130" s="843" t="e">
        <f>SUMIF(#REF!,'8.Dgia'!A1130,#REF!)+SUMIF(#REF!,'8.Dgia'!A1130,#REF!)+SUMIF(#REF!,'8.Dgia'!A1130,#REF!)+SUMIF(#REF!,'8.Dgia'!A1130,#REF!)</f>
        <v>#REF!</v>
      </c>
      <c r="O1130" s="844"/>
      <c r="P1130" s="843" t="e">
        <f t="shared" si="50"/>
        <v>#REF!</v>
      </c>
    </row>
    <row r="1131" spans="1:18" s="658" customFormat="1" ht="15" customHeight="1">
      <c r="A1131" s="657">
        <f>IF(B1131="",MAX($A$8:A1130)+0,MAX($A$8:A1130)+1)</f>
        <v>117</v>
      </c>
      <c r="B1131" s="835" t="str">
        <f>IF(C1131="","",COUNTA($C$10:C1132))</f>
        <v/>
      </c>
      <c r="C1131" s="362"/>
      <c r="D1131" s="845"/>
      <c r="E1131" s="852" t="s">
        <v>2037</v>
      </c>
      <c r="F1131" s="848" t="str">
        <f>VLOOKUP(E1131,DICH!B:C,2,FALSE)</f>
        <v xml:space="preserve">  B - Labour 3.5/7</v>
      </c>
      <c r="G1131" s="362" t="s">
        <v>4899</v>
      </c>
      <c r="H1131" s="847">
        <v>14.63</v>
      </c>
      <c r="I1131" s="848">
        <f>VLOOKUP(E1131,'16.NC'!$C$11:$F$22,4,FALSE)</f>
        <v>202862</v>
      </c>
      <c r="J1131" s="849">
        <f>I1131*H1131</f>
        <v>2967871.06</v>
      </c>
      <c r="K1131" s="850"/>
      <c r="L1131" s="850"/>
      <c r="M1131" s="850"/>
      <c r="N1131" s="843" t="e">
        <f>SUMIF(#REF!,'8.Dgia'!A1131,#REF!)+SUMIF(#REF!,'8.Dgia'!A1131,#REF!)+SUMIF(#REF!,'8.Dgia'!A1131,#REF!)+SUMIF(#REF!,'8.Dgia'!A1131,#REF!)</f>
        <v>#REF!</v>
      </c>
      <c r="O1131" s="844"/>
      <c r="P1131" s="843" t="e">
        <f t="shared" si="50"/>
        <v>#REF!</v>
      </c>
      <c r="R1131" s="658">
        <v>1</v>
      </c>
    </row>
    <row r="1132" spans="1:18" s="658" customFormat="1" ht="15" customHeight="1">
      <c r="A1132" s="657">
        <f>IF(B1132="",MAX($A$8:A1131)+0,MAX($A$8:A1131)+1)</f>
        <v>117</v>
      </c>
      <c r="B1132" s="835" t="str">
        <f>IF(C1132="","",COUNTA($C$10:C1133))</f>
        <v/>
      </c>
      <c r="C1132" s="362"/>
      <c r="D1132" s="845"/>
      <c r="E1132" s="852" t="s">
        <v>2033</v>
      </c>
      <c r="F1132" s="848" t="str">
        <f>VLOOKUP(E1132,DICH!B:C,2,FALSE)</f>
        <v xml:space="preserve">  C - Machine</v>
      </c>
      <c r="G1132" s="846"/>
      <c r="H1132" s="847"/>
      <c r="I1132" s="848"/>
      <c r="J1132" s="849">
        <f>SUM(J1133:J1134)</f>
        <v>32759.074800000006</v>
      </c>
      <c r="K1132" s="850"/>
      <c r="L1132" s="850"/>
      <c r="M1132" s="850"/>
      <c r="N1132" s="843" t="e">
        <f>SUMIF(#REF!,'8.Dgia'!A1132,#REF!)+SUMIF(#REF!,'8.Dgia'!A1132,#REF!)+SUMIF(#REF!,'8.Dgia'!A1132,#REF!)+SUMIF(#REF!,'8.Dgia'!A1132,#REF!)</f>
        <v>#REF!</v>
      </c>
      <c r="O1132" s="844"/>
      <c r="P1132" s="843" t="e">
        <f t="shared" si="50"/>
        <v>#REF!</v>
      </c>
    </row>
    <row r="1133" spans="1:18" ht="15" customHeight="1">
      <c r="A1133" s="657">
        <f>IF(B1133="",MAX($A$8:A1132)+0,MAX($A$8:A1132)+1)</f>
        <v>117</v>
      </c>
      <c r="B1133" s="835" t="str">
        <f>IF(C1133="","",COUNTA($C$10:C1134))</f>
        <v/>
      </c>
      <c r="C1133" s="362"/>
      <c r="D1133" s="851"/>
      <c r="E1133" s="852" t="s">
        <v>1424</v>
      </c>
      <c r="F1133" s="848" t="str">
        <f>VLOOKUP(E1133,'9.may'!E:F,2,FALSE)</f>
        <v>bender cutter 5Kw</v>
      </c>
      <c r="G1133" s="362" t="s">
        <v>4902</v>
      </c>
      <c r="H1133" s="847">
        <v>0.4</v>
      </c>
      <c r="I1133" s="848">
        <f>VLOOKUP(E1133,'9.may'!E:W,12,FALSE)</f>
        <v>80291.850000000006</v>
      </c>
      <c r="J1133" s="853">
        <f>I1133*H1133</f>
        <v>32116.740000000005</v>
      </c>
      <c r="N1133" s="843" t="e">
        <f>SUMIF(#REF!,'8.Dgia'!A1133,#REF!)+SUMIF(#REF!,'8.Dgia'!A1133,#REF!)+SUMIF(#REF!,'8.Dgia'!A1133,#REF!)+SUMIF(#REF!,'8.Dgia'!A1133,#REF!)</f>
        <v>#REF!</v>
      </c>
      <c r="O1133" s="844">
        <f>+$H$1145</f>
        <v>2</v>
      </c>
      <c r="P1133" s="843" t="e">
        <f t="shared" si="50"/>
        <v>#REF!</v>
      </c>
    </row>
    <row r="1134" spans="1:18" ht="15" customHeight="1">
      <c r="A1134" s="657">
        <f>IF(B1134="",MAX($A$8:A1133)+0,MAX($A$8:A1133)+1)</f>
        <v>117</v>
      </c>
      <c r="B1134" s="835" t="str">
        <f>IF(C1134="","",COUNTA($C$10:C1135))</f>
        <v/>
      </c>
      <c r="C1134" s="362"/>
      <c r="D1134" s="851"/>
      <c r="E1134" s="852" t="s">
        <v>553</v>
      </c>
      <c r="F1134" s="848" t="str">
        <f>VLOOKUP(E1134,DICH!B:C,2,FALSE)</f>
        <v>Other machine</v>
      </c>
      <c r="G1134" s="362" t="s">
        <v>554</v>
      </c>
      <c r="H1134" s="847">
        <v>2</v>
      </c>
      <c r="I1134" s="848">
        <f>SUM(J1133:J1133)</f>
        <v>32116.740000000005</v>
      </c>
      <c r="J1134" s="853">
        <f>I1134*H1134%</f>
        <v>642.33480000000009</v>
      </c>
      <c r="N1134" s="843" t="e">
        <f>SUMIF(#REF!,'8.Dgia'!A1134,#REF!)+SUMIF(#REF!,'8.Dgia'!A1134,#REF!)+SUMIF(#REF!,'8.Dgia'!A1134,#REF!)+SUMIF(#REF!,'8.Dgia'!A1134,#REF!)</f>
        <v>#REF!</v>
      </c>
      <c r="O1134" s="844"/>
      <c r="P1134" s="843" t="e">
        <f t="shared" si="50"/>
        <v>#REF!</v>
      </c>
    </row>
    <row r="1135" spans="1:18" ht="15" customHeight="1">
      <c r="A1135" s="657">
        <f>IF(B1135="",MAX($A$8:A1134)+0,MAX($A$8:A1134)+1)</f>
        <v>118</v>
      </c>
      <c r="B1135" s="835">
        <f>IF(C1135="","",COUNTA($C$10:C1136))</f>
        <v>118</v>
      </c>
      <c r="C1135" s="835">
        <f>IF(D1135="","",1776)</f>
        <v>1776</v>
      </c>
      <c r="D1135" s="851" t="s">
        <v>400</v>
      </c>
      <c r="E1135" s="855" t="s">
        <v>4048</v>
      </c>
      <c r="F1135" s="1049" t="str">
        <f>VLOOKUP(E1135,DICH!B:C,2,FALSE)</f>
        <v>Reinforcement D&lt;=18 of deck slab</v>
      </c>
      <c r="G1135" s="856" t="s">
        <v>4644</v>
      </c>
      <c r="H1135" s="847"/>
      <c r="I1135" s="848"/>
      <c r="J1135" s="853"/>
      <c r="K1135" s="842">
        <f>+J1136</f>
        <v>17269101.838472728</v>
      </c>
      <c r="L1135" s="842">
        <f>+J1140</f>
        <v>2213224.42</v>
      </c>
      <c r="M1135" s="842">
        <f>+J1141</f>
        <v>227915.22953429999</v>
      </c>
      <c r="N1135" s="843" t="e">
        <f>SUMIF(#REF!,'8.Dgia'!A1135,#REF!)+SUMIF(#REF!,'8.Dgia'!A1135,#REF!)+SUMIF(#REF!,'8.Dgia'!A1135,#REF!)+SUMIF(#REF!,'8.Dgia'!A1135,#REF!)</f>
        <v>#REF!</v>
      </c>
      <c r="O1135" s="844"/>
      <c r="P1135" s="843" t="e">
        <f t="shared" si="49"/>
        <v>#REF!</v>
      </c>
    </row>
    <row r="1136" spans="1:18" s="658" customFormat="1" ht="15" customHeight="1">
      <c r="A1136" s="657">
        <f>IF(B1136="",MAX($A$8:A1135)+0,MAX($A$8:A1135)+1)</f>
        <v>118</v>
      </c>
      <c r="B1136" s="835" t="str">
        <f>IF(C1136="","",COUNTA($C$10:C1137))</f>
        <v/>
      </c>
      <c r="C1136" s="362"/>
      <c r="D1136" s="845"/>
      <c r="E1136" s="852" t="s">
        <v>2032</v>
      </c>
      <c r="F1136" s="848" t="str">
        <f>VLOOKUP(E1136,DICH!B:C,2,FALSE)</f>
        <v xml:space="preserve">  A - Material</v>
      </c>
      <c r="G1136" s="846"/>
      <c r="H1136" s="847"/>
      <c r="I1136" s="848"/>
      <c r="J1136" s="849">
        <f>SUM(J1137:J1139)</f>
        <v>17269101.838472728</v>
      </c>
      <c r="K1136" s="850"/>
      <c r="L1136" s="850"/>
      <c r="M1136" s="850"/>
      <c r="N1136" s="843" t="e">
        <f>SUMIF(#REF!,'8.Dgia'!A1136,#REF!)+SUMIF(#REF!,'8.Dgia'!A1136,#REF!)+SUMIF(#REF!,'8.Dgia'!A1136,#REF!)+SUMIF(#REF!,'8.Dgia'!A1136,#REF!)</f>
        <v>#REF!</v>
      </c>
      <c r="O1136" s="844"/>
      <c r="P1136" s="843" t="e">
        <f t="shared" si="49"/>
        <v>#REF!</v>
      </c>
    </row>
    <row r="1137" spans="1:18" ht="15" customHeight="1">
      <c r="A1137" s="657">
        <f>IF(B1137="",MAX($A$8:A1136)+0,MAX($A$8:A1136)+1)</f>
        <v>118</v>
      </c>
      <c r="B1137" s="835" t="str">
        <f>IF(C1137="","",COUNTA($C$10:C1138))</f>
        <v/>
      </c>
      <c r="C1137" s="362"/>
      <c r="D1137" s="851"/>
      <c r="E1137" s="852" t="s">
        <v>671</v>
      </c>
      <c r="F1137" s="848" t="str">
        <f>VLOOKUP(E1137,DICH!B:C,2,FALSE)</f>
        <v>steel bar D&lt;=18</v>
      </c>
      <c r="G1137" s="362" t="s">
        <v>558</v>
      </c>
      <c r="H1137" s="847">
        <v>1020</v>
      </c>
      <c r="I1137" s="848">
        <f>VLOOKUP(E1137,'11.gia '!$B:$I,8,FALSE)</f>
        <v>16604.075560000001</v>
      </c>
      <c r="J1137" s="853">
        <f>I1137*H1137</f>
        <v>16936157.071200002</v>
      </c>
      <c r="N1137" s="843" t="e">
        <f>SUMIF(#REF!,'8.Dgia'!A1137,#REF!)+SUMIF(#REF!,'8.Dgia'!A1137,#REF!)+SUMIF(#REF!,'8.Dgia'!A1137,#REF!)+SUMIF(#REF!,'8.Dgia'!A1137,#REF!)</f>
        <v>#REF!</v>
      </c>
      <c r="O1137" s="844"/>
      <c r="P1137" s="843" t="e">
        <f t="shared" si="49"/>
        <v>#REF!</v>
      </c>
    </row>
    <row r="1138" spans="1:18" ht="15" customHeight="1">
      <c r="A1138" s="657">
        <f>IF(B1138="",MAX($A$8:A1137)+0,MAX($A$8:A1137)+1)</f>
        <v>118</v>
      </c>
      <c r="B1138" s="835" t="str">
        <f>IF(C1138="","",COUNTA($C$10:C1139))</f>
        <v/>
      </c>
      <c r="C1138" s="362"/>
      <c r="D1138" s="851"/>
      <c r="E1138" s="852" t="s">
        <v>459</v>
      </c>
      <c r="F1138" s="848" t="str">
        <f>VLOOKUP(E1138,DICH!B:C,2,FALSE)</f>
        <v>Steel ware</v>
      </c>
      <c r="G1138" s="362" t="s">
        <v>558</v>
      </c>
      <c r="H1138" s="847">
        <v>14.28</v>
      </c>
      <c r="I1138" s="848">
        <f>VLOOKUP(E1138,'11.gia '!$B:$I,8,FALSE)</f>
        <v>17143</v>
      </c>
      <c r="J1138" s="853">
        <f>I1138*H1138</f>
        <v>244802.03999999998</v>
      </c>
      <c r="N1138" s="843" t="e">
        <f>SUMIF(#REF!,'8.Dgia'!A1138,#REF!)+SUMIF(#REF!,'8.Dgia'!A1138,#REF!)+SUMIF(#REF!,'8.Dgia'!A1138,#REF!)+SUMIF(#REF!,'8.Dgia'!A1138,#REF!)</f>
        <v>#REF!</v>
      </c>
      <c r="O1138" s="844"/>
      <c r="P1138" s="843" t="e">
        <f t="shared" si="49"/>
        <v>#REF!</v>
      </c>
    </row>
    <row r="1139" spans="1:18" ht="15" customHeight="1">
      <c r="A1139" s="657">
        <f>IF(B1139="",MAX($A$8:A1138)+0,MAX($A$8:A1138)+1)</f>
        <v>118</v>
      </c>
      <c r="B1139" s="835" t="str">
        <f>IF(C1139="","",COUNTA($C$10:C1140))</f>
        <v/>
      </c>
      <c r="C1139" s="362"/>
      <c r="D1139" s="851"/>
      <c r="E1139" s="852" t="s">
        <v>559</v>
      </c>
      <c r="F1139" s="848" t="str">
        <f>VLOOKUP(E1139,DICH!B:C,2,FALSE)</f>
        <v>welding electrode</v>
      </c>
      <c r="G1139" s="362" t="s">
        <v>558</v>
      </c>
      <c r="H1139" s="847">
        <v>4.617</v>
      </c>
      <c r="I1139" s="848">
        <f>VLOOKUP(E1139,'11.gia '!$B:$I,8,FALSE)</f>
        <v>19090.909090909088</v>
      </c>
      <c r="J1139" s="853">
        <f>I1139*H1139</f>
        <v>88142.727272727265</v>
      </c>
      <c r="N1139" s="843" t="e">
        <f>SUMIF(#REF!,'8.Dgia'!A1139,#REF!)+SUMIF(#REF!,'8.Dgia'!A1139,#REF!)+SUMIF(#REF!,'8.Dgia'!A1139,#REF!)+SUMIF(#REF!,'8.Dgia'!A1139,#REF!)</f>
        <v>#REF!</v>
      </c>
      <c r="O1139" s="844"/>
      <c r="P1139" s="843" t="e">
        <f t="shared" si="49"/>
        <v>#REF!</v>
      </c>
    </row>
    <row r="1140" spans="1:18" s="658" customFormat="1" ht="15" customHeight="1">
      <c r="A1140" s="657">
        <f>IF(B1140="",MAX($A$8:A1139)+0,MAX($A$8:A1139)+1)</f>
        <v>118</v>
      </c>
      <c r="B1140" s="835" t="str">
        <f>IF(C1140="","",COUNTA($C$10:C1141))</f>
        <v/>
      </c>
      <c r="C1140" s="362"/>
      <c r="D1140" s="845"/>
      <c r="E1140" s="852" t="s">
        <v>2037</v>
      </c>
      <c r="F1140" s="848" t="str">
        <f>VLOOKUP(E1140,DICH!B:C,2,FALSE)</f>
        <v xml:space="preserve">  B - Labour 3.5/7</v>
      </c>
      <c r="G1140" s="362" t="s">
        <v>4899</v>
      </c>
      <c r="H1140" s="847">
        <v>10.91</v>
      </c>
      <c r="I1140" s="848">
        <f>VLOOKUP(E1140,'16.NC'!$C$11:$F$22,4,FALSE)</f>
        <v>202862</v>
      </c>
      <c r="J1140" s="849">
        <f>I1140*H1140</f>
        <v>2213224.42</v>
      </c>
      <c r="K1140" s="850"/>
      <c r="L1140" s="850"/>
      <c r="M1140" s="850"/>
      <c r="N1140" s="843" t="e">
        <f>SUMIF(#REF!,'8.Dgia'!A1140,#REF!)+SUMIF(#REF!,'8.Dgia'!A1140,#REF!)+SUMIF(#REF!,'8.Dgia'!A1140,#REF!)+SUMIF(#REF!,'8.Dgia'!A1140,#REF!)</f>
        <v>#REF!</v>
      </c>
      <c r="O1140" s="844"/>
      <c r="P1140" s="843" t="e">
        <f t="shared" si="49"/>
        <v>#REF!</v>
      </c>
      <c r="R1140" s="658">
        <v>1</v>
      </c>
    </row>
    <row r="1141" spans="1:18" s="658" customFormat="1" ht="15" customHeight="1">
      <c r="A1141" s="657">
        <f>IF(B1141="",MAX($A$8:A1140)+0,MAX($A$8:A1140)+1)</f>
        <v>118</v>
      </c>
      <c r="B1141" s="835" t="str">
        <f>IF(C1141="","",COUNTA($C$10:C1142))</f>
        <v/>
      </c>
      <c r="C1141" s="362"/>
      <c r="D1141" s="845"/>
      <c r="E1141" s="852" t="s">
        <v>2033</v>
      </c>
      <c r="F1141" s="848" t="str">
        <f>VLOOKUP(E1141,DICH!B:C,2,FALSE)</f>
        <v xml:space="preserve">  C - Machine</v>
      </c>
      <c r="G1141" s="846"/>
      <c r="H1141" s="847"/>
      <c r="I1141" s="848"/>
      <c r="J1141" s="849">
        <f>SUM(J1142:J1145)</f>
        <v>227915.22953429999</v>
      </c>
      <c r="K1141" s="850"/>
      <c r="L1141" s="850"/>
      <c r="M1141" s="850"/>
      <c r="N1141" s="843" t="e">
        <f>SUMIF(#REF!,'8.Dgia'!A1141,#REF!)+SUMIF(#REF!,'8.Dgia'!A1141,#REF!)+SUMIF(#REF!,'8.Dgia'!A1141,#REF!)+SUMIF(#REF!,'8.Dgia'!A1141,#REF!)</f>
        <v>#REF!</v>
      </c>
      <c r="O1141" s="844"/>
      <c r="P1141" s="843" t="e">
        <f t="shared" si="49"/>
        <v>#REF!</v>
      </c>
    </row>
    <row r="1142" spans="1:18" ht="15" customHeight="1">
      <c r="A1142" s="657">
        <f>IF(B1142="",MAX($A$8:A1141)+0,MAX($A$8:A1141)+1)</f>
        <v>118</v>
      </c>
      <c r="B1142" s="835" t="str">
        <f>IF(C1142="","",COUNTA($C$10:C1143))</f>
        <v/>
      </c>
      <c r="C1142" s="362"/>
      <c r="D1142" s="851"/>
      <c r="E1142" s="852" t="s">
        <v>560</v>
      </c>
      <c r="F1142" s="848" t="str">
        <f>VLOOKUP(E1142,'9.may'!E:F,2,FALSE)</f>
        <v>welding machine 23kW</v>
      </c>
      <c r="G1142" s="362" t="s">
        <v>4902</v>
      </c>
      <c r="H1142" s="847">
        <v>1.123</v>
      </c>
      <c r="I1142" s="848">
        <f>VLOOKUP(E1142,'9.may'!E:W,12,FALSE)</f>
        <v>171649.155</v>
      </c>
      <c r="J1142" s="853">
        <f>I1142*H1142</f>
        <v>192762.00106499999</v>
      </c>
      <c r="N1142" s="843" t="e">
        <f>SUMIF(#REF!,'8.Dgia'!A1142,#REF!)+SUMIF(#REF!,'8.Dgia'!A1142,#REF!)+SUMIF(#REF!,'8.Dgia'!A1142,#REF!)+SUMIF(#REF!,'8.Dgia'!A1142,#REF!)</f>
        <v>#REF!</v>
      </c>
      <c r="O1142" s="844">
        <f>+$H$1145</f>
        <v>2</v>
      </c>
      <c r="P1142" s="843" t="e">
        <f t="shared" si="49"/>
        <v>#REF!</v>
      </c>
    </row>
    <row r="1143" spans="1:18" ht="15" customHeight="1">
      <c r="A1143" s="657">
        <f>IF(B1143="",MAX($A$8:A1142)+0,MAX($A$8:A1142)+1)</f>
        <v>118</v>
      </c>
      <c r="B1143" s="835" t="str">
        <f>IF(C1143="","",COUNTA($C$10:C1144))</f>
        <v/>
      </c>
      <c r="C1143" s="362"/>
      <c r="D1143" s="851"/>
      <c r="E1143" s="852" t="s">
        <v>1424</v>
      </c>
      <c r="F1143" s="848" t="str">
        <f>VLOOKUP(E1143,'9.may'!E:F,2,FALSE)</f>
        <v>bender cutter 5Kw</v>
      </c>
      <c r="G1143" s="362" t="s">
        <v>4902</v>
      </c>
      <c r="H1143" s="847">
        <v>0.32</v>
      </c>
      <c r="I1143" s="848">
        <f>VLOOKUP(E1143,'9.may'!E:W,12,FALSE)</f>
        <v>80291.850000000006</v>
      </c>
      <c r="J1143" s="853">
        <f>I1143*H1143</f>
        <v>25693.392000000003</v>
      </c>
      <c r="N1143" s="843" t="e">
        <f>SUMIF(#REF!,'8.Dgia'!A1143,#REF!)+SUMIF(#REF!,'8.Dgia'!A1143,#REF!)+SUMIF(#REF!,'8.Dgia'!A1143,#REF!)+SUMIF(#REF!,'8.Dgia'!A1143,#REF!)</f>
        <v>#REF!</v>
      </c>
      <c r="O1143" s="844">
        <f>+$H$1145</f>
        <v>2</v>
      </c>
      <c r="P1143" s="843" t="e">
        <f t="shared" si="49"/>
        <v>#REF!</v>
      </c>
    </row>
    <row r="1144" spans="1:18" ht="15" customHeight="1">
      <c r="A1144" s="657">
        <f>IF(B1144="",MAX($A$8:A1143)+0,MAX($A$8:A1143)+1)</f>
        <v>118</v>
      </c>
      <c r="B1144" s="835" t="str">
        <f>IF(C1144="","",COUNTA($C$10:C1145))</f>
        <v/>
      </c>
      <c r="C1144" s="362"/>
      <c r="D1144" s="851"/>
      <c r="E1144" s="852" t="s">
        <v>1098</v>
      </c>
      <c r="F1144" s="848" t="str">
        <f>VLOOKUP(E1144,'9.may'!E:F,2,FALSE)</f>
        <v>lifting machine 0.8T</v>
      </c>
      <c r="G1144" s="362" t="s">
        <v>4902</v>
      </c>
      <c r="H1144" s="847">
        <v>0.04</v>
      </c>
      <c r="I1144" s="848">
        <f>VLOOKUP(E1144,'9.may'!E:W,12,FALSE)</f>
        <v>124772.76000000001</v>
      </c>
      <c r="J1144" s="853">
        <f>I1144*H1144</f>
        <v>4990.9104000000007</v>
      </c>
      <c r="N1144" s="843" t="e">
        <f>SUMIF(#REF!,'8.Dgia'!A1144,#REF!)+SUMIF(#REF!,'8.Dgia'!A1144,#REF!)+SUMIF(#REF!,'8.Dgia'!A1144,#REF!)+SUMIF(#REF!,'8.Dgia'!A1144,#REF!)</f>
        <v>#REF!</v>
      </c>
      <c r="O1144" s="844">
        <f>+$H$1145</f>
        <v>2</v>
      </c>
      <c r="P1144" s="843" t="e">
        <f t="shared" si="49"/>
        <v>#REF!</v>
      </c>
    </row>
    <row r="1145" spans="1:18" ht="15" customHeight="1">
      <c r="A1145" s="657">
        <f>IF(B1145="",MAX($A$8:A1144)+0,MAX($A$8:A1144)+1)</f>
        <v>118</v>
      </c>
      <c r="B1145" s="835" t="str">
        <f>IF(C1145="","",COUNTA($C$10:C1146))</f>
        <v/>
      </c>
      <c r="C1145" s="362"/>
      <c r="D1145" s="851"/>
      <c r="E1145" s="852" t="s">
        <v>553</v>
      </c>
      <c r="F1145" s="848" t="str">
        <f>VLOOKUP(E1145,DICH!B:C,2,FALSE)</f>
        <v>Other machine</v>
      </c>
      <c r="G1145" s="362" t="s">
        <v>554</v>
      </c>
      <c r="H1145" s="847">
        <v>2</v>
      </c>
      <c r="I1145" s="848">
        <f>SUM(J1142:J1144)</f>
        <v>223446.30346499998</v>
      </c>
      <c r="J1145" s="853">
        <f>I1145*H1145%</f>
        <v>4468.9260692999997</v>
      </c>
      <c r="N1145" s="843" t="e">
        <f>SUMIF(#REF!,'8.Dgia'!A1145,#REF!)+SUMIF(#REF!,'8.Dgia'!A1145,#REF!)+SUMIF(#REF!,'8.Dgia'!A1145,#REF!)+SUMIF(#REF!,'8.Dgia'!A1145,#REF!)</f>
        <v>#REF!</v>
      </c>
      <c r="O1145" s="844"/>
      <c r="P1145" s="843" t="e">
        <f t="shared" si="49"/>
        <v>#REF!</v>
      </c>
    </row>
    <row r="1146" spans="1:18" ht="15" customHeight="1">
      <c r="A1146" s="657">
        <f>IF(B1146="",MAX($A$8:A1145)+0,MAX($A$8:A1145)+1)</f>
        <v>119</v>
      </c>
      <c r="B1146" s="835">
        <f>IF(C1146="","",COUNTA($C$10:C1147))</f>
        <v>119</v>
      </c>
      <c r="C1146" s="835">
        <f>IF(D1146="","",1776)</f>
        <v>1776</v>
      </c>
      <c r="D1146" s="851" t="s">
        <v>400</v>
      </c>
      <c r="E1146" s="855" t="s">
        <v>4049</v>
      </c>
      <c r="F1146" s="1049" t="str">
        <f>VLOOKUP(E1146,DICH!B:C,2,FALSE)</f>
        <v>Reinforcement D&gt;18 of deck slab</v>
      </c>
      <c r="G1146" s="856" t="s">
        <v>4644</v>
      </c>
      <c r="H1146" s="847"/>
      <c r="I1146" s="848"/>
      <c r="J1146" s="853"/>
      <c r="K1146" s="842">
        <f>+J1147</f>
        <v>17269101.838472728</v>
      </c>
      <c r="L1146" s="842">
        <f>+J1151</f>
        <v>2213224.42</v>
      </c>
      <c r="M1146" s="842">
        <f>+J1152</f>
        <v>227915.22953429999</v>
      </c>
      <c r="N1146" s="843" t="e">
        <f>SUMIF(#REF!,'8.Dgia'!A1146,#REF!)+SUMIF(#REF!,'8.Dgia'!A1146,#REF!)+SUMIF(#REF!,'8.Dgia'!A1146,#REF!)+SUMIF(#REF!,'8.Dgia'!A1146,#REF!)</f>
        <v>#REF!</v>
      </c>
      <c r="O1146" s="844"/>
      <c r="P1146" s="843" t="e">
        <f t="shared" ref="P1146:P1156" si="51">$H1146*N1146*(1+O1146%)</f>
        <v>#REF!</v>
      </c>
    </row>
    <row r="1147" spans="1:18" s="658" customFormat="1" ht="15" customHeight="1">
      <c r="A1147" s="657">
        <f>IF(B1147="",MAX($A$8:A1146)+0,MAX($A$8:A1146)+1)</f>
        <v>119</v>
      </c>
      <c r="B1147" s="835" t="str">
        <f>IF(C1147="","",COUNTA($C$10:C1148))</f>
        <v/>
      </c>
      <c r="C1147" s="362"/>
      <c r="D1147" s="845"/>
      <c r="E1147" s="852" t="s">
        <v>2032</v>
      </c>
      <c r="F1147" s="848" t="str">
        <f>VLOOKUP(E1147,DICH!B:C,2,FALSE)</f>
        <v xml:space="preserve">  A - Material</v>
      </c>
      <c r="G1147" s="846"/>
      <c r="H1147" s="847"/>
      <c r="I1147" s="848"/>
      <c r="J1147" s="849">
        <f>SUM(J1148:J1150)</f>
        <v>17269101.838472728</v>
      </c>
      <c r="K1147" s="850"/>
      <c r="L1147" s="850"/>
      <c r="M1147" s="850"/>
      <c r="N1147" s="843" t="e">
        <f>SUMIF(#REF!,'8.Dgia'!A1147,#REF!)+SUMIF(#REF!,'8.Dgia'!A1147,#REF!)+SUMIF(#REF!,'8.Dgia'!A1147,#REF!)+SUMIF(#REF!,'8.Dgia'!A1147,#REF!)</f>
        <v>#REF!</v>
      </c>
      <c r="O1147" s="844"/>
      <c r="P1147" s="843" t="e">
        <f t="shared" si="51"/>
        <v>#REF!</v>
      </c>
    </row>
    <row r="1148" spans="1:18" ht="15" customHeight="1">
      <c r="A1148" s="657">
        <f>IF(B1148="",MAX($A$8:A1147)+0,MAX($A$8:A1147)+1)</f>
        <v>119</v>
      </c>
      <c r="B1148" s="835" t="str">
        <f>IF(C1148="","",COUNTA($C$10:C1149))</f>
        <v/>
      </c>
      <c r="C1148" s="362"/>
      <c r="D1148" s="851"/>
      <c r="E1148" s="245" t="s">
        <v>664</v>
      </c>
      <c r="F1148" s="848" t="str">
        <f>VLOOKUP(E1148,DICH!B:C,2,FALSE)</f>
        <v>steel bar D&gt;18</v>
      </c>
      <c r="G1148" s="362" t="s">
        <v>558</v>
      </c>
      <c r="H1148" s="847">
        <v>1020</v>
      </c>
      <c r="I1148" s="848">
        <f>VLOOKUP(E1148,'11.gia '!$B:$I,8,FALSE)</f>
        <v>16604.075560000001</v>
      </c>
      <c r="J1148" s="853">
        <f>I1148*H1148</f>
        <v>16936157.071200002</v>
      </c>
      <c r="N1148" s="843" t="e">
        <f>SUMIF(#REF!,'8.Dgia'!A1148,#REF!)+SUMIF(#REF!,'8.Dgia'!A1148,#REF!)+SUMIF(#REF!,'8.Dgia'!A1148,#REF!)+SUMIF(#REF!,'8.Dgia'!A1148,#REF!)</f>
        <v>#REF!</v>
      </c>
      <c r="O1148" s="844"/>
      <c r="P1148" s="843" t="e">
        <f t="shared" si="51"/>
        <v>#REF!</v>
      </c>
    </row>
    <row r="1149" spans="1:18" ht="15" customHeight="1">
      <c r="A1149" s="657">
        <f>IF(B1149="",MAX($A$8:A1148)+0,MAX($A$8:A1148)+1)</f>
        <v>119</v>
      </c>
      <c r="B1149" s="835" t="str">
        <f>IF(C1149="","",COUNTA($C$10:C1150))</f>
        <v/>
      </c>
      <c r="C1149" s="362"/>
      <c r="D1149" s="851"/>
      <c r="E1149" s="852" t="s">
        <v>459</v>
      </c>
      <c r="F1149" s="848" t="str">
        <f>VLOOKUP(E1149,DICH!B:C,2,FALSE)</f>
        <v>Steel ware</v>
      </c>
      <c r="G1149" s="362" t="s">
        <v>558</v>
      </c>
      <c r="H1149" s="847">
        <v>14.28</v>
      </c>
      <c r="I1149" s="848">
        <f>VLOOKUP(E1149,'11.gia '!$B:$I,8,FALSE)</f>
        <v>17143</v>
      </c>
      <c r="J1149" s="853">
        <f>I1149*H1149</f>
        <v>244802.03999999998</v>
      </c>
      <c r="N1149" s="843" t="e">
        <f>SUMIF(#REF!,'8.Dgia'!A1149,#REF!)+SUMIF(#REF!,'8.Dgia'!A1149,#REF!)+SUMIF(#REF!,'8.Dgia'!A1149,#REF!)+SUMIF(#REF!,'8.Dgia'!A1149,#REF!)</f>
        <v>#REF!</v>
      </c>
      <c r="O1149" s="844"/>
      <c r="P1149" s="843" t="e">
        <f t="shared" si="51"/>
        <v>#REF!</v>
      </c>
    </row>
    <row r="1150" spans="1:18" ht="15" customHeight="1">
      <c r="A1150" s="657">
        <f>IF(B1150="",MAX($A$8:A1149)+0,MAX($A$8:A1149)+1)</f>
        <v>119</v>
      </c>
      <c r="B1150" s="835" t="str">
        <f>IF(C1150="","",COUNTA($C$10:C1151))</f>
        <v/>
      </c>
      <c r="C1150" s="362"/>
      <c r="D1150" s="851"/>
      <c r="E1150" s="852" t="s">
        <v>559</v>
      </c>
      <c r="F1150" s="848" t="str">
        <f>VLOOKUP(E1150,DICH!B:C,2,FALSE)</f>
        <v>welding electrode</v>
      </c>
      <c r="G1150" s="362" t="s">
        <v>558</v>
      </c>
      <c r="H1150" s="847">
        <v>4.617</v>
      </c>
      <c r="I1150" s="848">
        <f>VLOOKUP(E1150,'11.gia '!$B:$I,8,FALSE)</f>
        <v>19090.909090909088</v>
      </c>
      <c r="J1150" s="853">
        <f>I1150*H1150</f>
        <v>88142.727272727265</v>
      </c>
      <c r="N1150" s="843" t="e">
        <f>SUMIF(#REF!,'8.Dgia'!A1150,#REF!)+SUMIF(#REF!,'8.Dgia'!A1150,#REF!)+SUMIF(#REF!,'8.Dgia'!A1150,#REF!)+SUMIF(#REF!,'8.Dgia'!A1150,#REF!)</f>
        <v>#REF!</v>
      </c>
      <c r="O1150" s="844"/>
      <c r="P1150" s="843" t="e">
        <f t="shared" si="51"/>
        <v>#REF!</v>
      </c>
    </row>
    <row r="1151" spans="1:18" s="658" customFormat="1" ht="15" customHeight="1">
      <c r="A1151" s="657">
        <f>IF(B1151="",MAX($A$8:A1150)+0,MAX($A$8:A1150)+1)</f>
        <v>119</v>
      </c>
      <c r="B1151" s="835" t="str">
        <f>IF(C1151="","",COUNTA($C$10:C1152))</f>
        <v/>
      </c>
      <c r="C1151" s="362"/>
      <c r="D1151" s="845"/>
      <c r="E1151" s="852" t="s">
        <v>2037</v>
      </c>
      <c r="F1151" s="848" t="str">
        <f>VLOOKUP(E1151,DICH!B:C,2,FALSE)</f>
        <v xml:space="preserve">  B - Labour 3.5/7</v>
      </c>
      <c r="G1151" s="362" t="s">
        <v>4899</v>
      </c>
      <c r="H1151" s="847">
        <v>10.91</v>
      </c>
      <c r="I1151" s="848">
        <f>VLOOKUP(E1151,'16.NC'!$C$11:$F$22,4,FALSE)</f>
        <v>202862</v>
      </c>
      <c r="J1151" s="849">
        <f>I1151*H1151</f>
        <v>2213224.42</v>
      </c>
      <c r="K1151" s="850"/>
      <c r="L1151" s="850"/>
      <c r="M1151" s="850"/>
      <c r="N1151" s="843" t="e">
        <f>SUMIF(#REF!,'8.Dgia'!A1151,#REF!)+SUMIF(#REF!,'8.Dgia'!A1151,#REF!)+SUMIF(#REF!,'8.Dgia'!A1151,#REF!)+SUMIF(#REF!,'8.Dgia'!A1151,#REF!)</f>
        <v>#REF!</v>
      </c>
      <c r="O1151" s="844"/>
      <c r="P1151" s="843" t="e">
        <f t="shared" si="51"/>
        <v>#REF!</v>
      </c>
      <c r="R1151" s="658">
        <v>1</v>
      </c>
    </row>
    <row r="1152" spans="1:18" s="658" customFormat="1" ht="15" customHeight="1">
      <c r="A1152" s="657">
        <f>IF(B1152="",MAX($A$8:A1151)+0,MAX($A$8:A1151)+1)</f>
        <v>119</v>
      </c>
      <c r="B1152" s="835" t="str">
        <f>IF(C1152="","",COUNTA($C$10:C1153))</f>
        <v/>
      </c>
      <c r="C1152" s="362"/>
      <c r="D1152" s="845"/>
      <c r="E1152" s="852" t="s">
        <v>2033</v>
      </c>
      <c r="F1152" s="848" t="str">
        <f>VLOOKUP(E1152,DICH!B:C,2,FALSE)</f>
        <v xml:space="preserve">  C - Machine</v>
      </c>
      <c r="G1152" s="846"/>
      <c r="H1152" s="847"/>
      <c r="I1152" s="848"/>
      <c r="J1152" s="849">
        <f>SUM(J1153:J1156)</f>
        <v>227915.22953429999</v>
      </c>
      <c r="K1152" s="850"/>
      <c r="L1152" s="850"/>
      <c r="M1152" s="850"/>
      <c r="N1152" s="843" t="e">
        <f>SUMIF(#REF!,'8.Dgia'!A1152,#REF!)+SUMIF(#REF!,'8.Dgia'!A1152,#REF!)+SUMIF(#REF!,'8.Dgia'!A1152,#REF!)+SUMIF(#REF!,'8.Dgia'!A1152,#REF!)</f>
        <v>#REF!</v>
      </c>
      <c r="O1152" s="844"/>
      <c r="P1152" s="843" t="e">
        <f t="shared" si="51"/>
        <v>#REF!</v>
      </c>
    </row>
    <row r="1153" spans="1:18" ht="15" customHeight="1">
      <c r="A1153" s="657">
        <f>IF(B1153="",MAX($A$8:A1152)+0,MAX($A$8:A1152)+1)</f>
        <v>119</v>
      </c>
      <c r="B1153" s="835" t="str">
        <f>IF(C1153="","",COUNTA($C$10:C1154))</f>
        <v/>
      </c>
      <c r="C1153" s="362"/>
      <c r="D1153" s="851"/>
      <c r="E1153" s="852" t="s">
        <v>560</v>
      </c>
      <c r="F1153" s="848" t="str">
        <f>VLOOKUP(E1153,'9.may'!E:F,2,FALSE)</f>
        <v>welding machine 23kW</v>
      </c>
      <c r="G1153" s="362" t="s">
        <v>4902</v>
      </c>
      <c r="H1153" s="847">
        <v>1.123</v>
      </c>
      <c r="I1153" s="848">
        <f>VLOOKUP(E1153,'9.may'!E:W,12,FALSE)</f>
        <v>171649.155</v>
      </c>
      <c r="J1153" s="853">
        <f>I1153*H1153</f>
        <v>192762.00106499999</v>
      </c>
      <c r="N1153" s="843" t="e">
        <f>SUMIF(#REF!,'8.Dgia'!A1153,#REF!)+SUMIF(#REF!,'8.Dgia'!A1153,#REF!)+SUMIF(#REF!,'8.Dgia'!A1153,#REF!)+SUMIF(#REF!,'8.Dgia'!A1153,#REF!)</f>
        <v>#REF!</v>
      </c>
      <c r="O1153" s="844">
        <f>+$H$1145</f>
        <v>2</v>
      </c>
      <c r="P1153" s="843" t="e">
        <f t="shared" si="51"/>
        <v>#REF!</v>
      </c>
    </row>
    <row r="1154" spans="1:18" ht="15" customHeight="1">
      <c r="A1154" s="657">
        <f>IF(B1154="",MAX($A$8:A1153)+0,MAX($A$8:A1153)+1)</f>
        <v>119</v>
      </c>
      <c r="B1154" s="835" t="str">
        <f>IF(C1154="","",COUNTA($C$10:C1155))</f>
        <v/>
      </c>
      <c r="C1154" s="362"/>
      <c r="D1154" s="851"/>
      <c r="E1154" s="852" t="s">
        <v>1424</v>
      </c>
      <c r="F1154" s="848" t="str">
        <f>VLOOKUP(E1154,'9.may'!E:F,2,FALSE)</f>
        <v>bender cutter 5Kw</v>
      </c>
      <c r="G1154" s="362" t="s">
        <v>4902</v>
      </c>
      <c r="H1154" s="847">
        <v>0.32</v>
      </c>
      <c r="I1154" s="848">
        <f>VLOOKUP(E1154,'9.may'!E:W,12,FALSE)</f>
        <v>80291.850000000006</v>
      </c>
      <c r="J1154" s="853">
        <f>I1154*H1154</f>
        <v>25693.392000000003</v>
      </c>
      <c r="N1154" s="843" t="e">
        <f>SUMIF(#REF!,'8.Dgia'!A1154,#REF!)+SUMIF(#REF!,'8.Dgia'!A1154,#REF!)+SUMIF(#REF!,'8.Dgia'!A1154,#REF!)+SUMIF(#REF!,'8.Dgia'!A1154,#REF!)</f>
        <v>#REF!</v>
      </c>
      <c r="O1154" s="844">
        <f>+$H$1145</f>
        <v>2</v>
      </c>
      <c r="P1154" s="843" t="e">
        <f t="shared" si="51"/>
        <v>#REF!</v>
      </c>
    </row>
    <row r="1155" spans="1:18" ht="15" customHeight="1">
      <c r="A1155" s="657">
        <f>IF(B1155="",MAX($A$8:A1154)+0,MAX($A$8:A1154)+1)</f>
        <v>119</v>
      </c>
      <c r="B1155" s="835" t="str">
        <f>IF(C1155="","",COUNTA($C$10:C1156))</f>
        <v/>
      </c>
      <c r="C1155" s="362"/>
      <c r="D1155" s="851"/>
      <c r="E1155" s="852" t="s">
        <v>1098</v>
      </c>
      <c r="F1155" s="848" t="str">
        <f>VLOOKUP(E1155,'9.may'!E:F,2,FALSE)</f>
        <v>lifting machine 0.8T</v>
      </c>
      <c r="G1155" s="362" t="s">
        <v>4902</v>
      </c>
      <c r="H1155" s="847">
        <v>0.04</v>
      </c>
      <c r="I1155" s="848">
        <f>VLOOKUP(E1155,'9.may'!E:W,12,FALSE)</f>
        <v>124772.76000000001</v>
      </c>
      <c r="J1155" s="853">
        <f>I1155*H1155</f>
        <v>4990.9104000000007</v>
      </c>
      <c r="N1155" s="843" t="e">
        <f>SUMIF(#REF!,'8.Dgia'!A1155,#REF!)+SUMIF(#REF!,'8.Dgia'!A1155,#REF!)+SUMIF(#REF!,'8.Dgia'!A1155,#REF!)+SUMIF(#REF!,'8.Dgia'!A1155,#REF!)</f>
        <v>#REF!</v>
      </c>
      <c r="O1155" s="844">
        <f>+$H$1145</f>
        <v>2</v>
      </c>
      <c r="P1155" s="843" t="e">
        <f t="shared" si="51"/>
        <v>#REF!</v>
      </c>
    </row>
    <row r="1156" spans="1:18" ht="15" customHeight="1">
      <c r="A1156" s="657">
        <f>IF(B1156="",MAX($A$8:A1155)+0,MAX($A$8:A1155)+1)</f>
        <v>119</v>
      </c>
      <c r="B1156" s="835" t="str">
        <f>IF(C1156="","",COUNTA($C$10:C1157))</f>
        <v/>
      </c>
      <c r="C1156" s="362"/>
      <c r="D1156" s="851"/>
      <c r="E1156" s="852" t="s">
        <v>553</v>
      </c>
      <c r="F1156" s="848" t="str">
        <f>VLOOKUP(E1156,DICH!B:C,2,FALSE)</f>
        <v>Other machine</v>
      </c>
      <c r="G1156" s="362" t="s">
        <v>554</v>
      </c>
      <c r="H1156" s="847">
        <v>2</v>
      </c>
      <c r="I1156" s="848">
        <f>SUM(J1153:J1155)</f>
        <v>223446.30346499998</v>
      </c>
      <c r="J1156" s="853">
        <f>I1156*H1156%</f>
        <v>4468.9260692999997</v>
      </c>
      <c r="N1156" s="843" t="e">
        <f>SUMIF(#REF!,'8.Dgia'!A1156,#REF!)+SUMIF(#REF!,'8.Dgia'!A1156,#REF!)+SUMIF(#REF!,'8.Dgia'!A1156,#REF!)+SUMIF(#REF!,'8.Dgia'!A1156,#REF!)</f>
        <v>#REF!</v>
      </c>
      <c r="O1156" s="844"/>
      <c r="P1156" s="843" t="e">
        <f t="shared" si="51"/>
        <v>#REF!</v>
      </c>
    </row>
    <row r="1157" spans="1:18" ht="15" customHeight="1">
      <c r="A1157" s="657">
        <f>IF(B1157="",MAX($A$8:A1156)+0,MAX($A$8:A1156)+1)</f>
        <v>120</v>
      </c>
      <c r="B1157" s="835">
        <f>IF(C1157="","",COUNTA($C$10:C1158))</f>
        <v>120</v>
      </c>
      <c r="C1157" s="835">
        <f>IF(D1157="","",1776)</f>
        <v>1776</v>
      </c>
      <c r="D1157" s="851" t="s">
        <v>401</v>
      </c>
      <c r="E1157" s="855" t="s">
        <v>119</v>
      </c>
      <c r="F1157" s="1049" t="str">
        <f>VLOOKUP(E1157,DICH!B:C,2,FALSE)</f>
        <v>Formwork of slab</v>
      </c>
      <c r="G1157" s="856" t="s">
        <v>547</v>
      </c>
      <c r="H1157" s="847"/>
      <c r="I1157" s="848"/>
      <c r="J1157" s="853"/>
      <c r="K1157" s="842">
        <f>+J1158</f>
        <v>5031271.1015583798</v>
      </c>
      <c r="L1157" s="842">
        <f>+J1164</f>
        <v>7115127.5</v>
      </c>
      <c r="M1157" s="842">
        <f>+J1165</f>
        <v>294440.26094999997</v>
      </c>
      <c r="N1157" s="843" t="e">
        <f>SUMIF(#REF!,'8.Dgia'!A1157,#REF!)+SUMIF(#REF!,'8.Dgia'!A1157,#REF!)+SUMIF(#REF!,'8.Dgia'!A1157,#REF!)+SUMIF(#REF!,'8.Dgia'!A1157,#REF!)</f>
        <v>#REF!</v>
      </c>
      <c r="O1157" s="844"/>
      <c r="P1157" s="843" t="e">
        <f t="shared" si="49"/>
        <v>#REF!</v>
      </c>
    </row>
    <row r="1158" spans="1:18" s="658" customFormat="1" ht="15" customHeight="1">
      <c r="A1158" s="657">
        <f>IF(B1158="",MAX($A$8:A1157)+0,MAX($A$8:A1157)+1)</f>
        <v>120</v>
      </c>
      <c r="B1158" s="835" t="str">
        <f>IF(C1158="","",COUNTA($C$10:C1159))</f>
        <v/>
      </c>
      <c r="C1158" s="362"/>
      <c r="D1158" s="845"/>
      <c r="E1158" s="852" t="s">
        <v>2032</v>
      </c>
      <c r="F1158" s="848" t="str">
        <f>VLOOKUP(E1158,DICH!B:C,2,FALSE)</f>
        <v xml:space="preserve">  A - Material</v>
      </c>
      <c r="G1158" s="846"/>
      <c r="H1158" s="847"/>
      <c r="I1158" s="848"/>
      <c r="J1158" s="849">
        <f>SUM(J1159:J1163)</f>
        <v>5031271.1015583798</v>
      </c>
      <c r="K1158" s="850"/>
      <c r="L1158" s="850"/>
      <c r="M1158" s="850"/>
      <c r="N1158" s="843" t="e">
        <f>SUMIF(#REF!,'8.Dgia'!A1158,#REF!)+SUMIF(#REF!,'8.Dgia'!A1158,#REF!)+SUMIF(#REF!,'8.Dgia'!A1158,#REF!)+SUMIF(#REF!,'8.Dgia'!A1158,#REF!)</f>
        <v>#REF!</v>
      </c>
      <c r="O1158" s="844"/>
      <c r="P1158" s="843" t="e">
        <f t="shared" si="49"/>
        <v>#REF!</v>
      </c>
    </row>
    <row r="1159" spans="1:18" ht="15" customHeight="1">
      <c r="A1159" s="657">
        <f>IF(B1159="",MAX($A$8:A1158)+0,MAX($A$8:A1158)+1)</f>
        <v>120</v>
      </c>
      <c r="B1159" s="835" t="str">
        <f>IF(C1159="","",COUNTA($C$10:C1160))</f>
        <v/>
      </c>
      <c r="C1159" s="362"/>
      <c r="D1159" s="851"/>
      <c r="E1159" s="852" t="s">
        <v>562</v>
      </c>
      <c r="F1159" s="848" t="str">
        <f>VLOOKUP(E1159,DICH!B:C,2,FALSE)</f>
        <v>Plate steel</v>
      </c>
      <c r="G1159" s="362" t="s">
        <v>558</v>
      </c>
      <c r="H1159" s="847">
        <v>51.81</v>
      </c>
      <c r="I1159" s="848">
        <f>VLOOKUP(E1159,'11.gia '!$B:$I,8,FALSE)</f>
        <v>12871.348287272725</v>
      </c>
      <c r="J1159" s="853">
        <f>I1159*H1159</f>
        <v>666864.55476359988</v>
      </c>
      <c r="N1159" s="843" t="e">
        <f>SUMIF(#REF!,'8.Dgia'!A1159,#REF!)+SUMIF(#REF!,'8.Dgia'!A1159,#REF!)+SUMIF(#REF!,'8.Dgia'!A1159,#REF!)+SUMIF(#REF!,'8.Dgia'!A1159,#REF!)</f>
        <v>#REF!</v>
      </c>
      <c r="O1159" s="844">
        <f>+$H$1163</f>
        <v>5</v>
      </c>
      <c r="P1159" s="843" t="e">
        <f t="shared" si="49"/>
        <v>#REF!</v>
      </c>
    </row>
    <row r="1160" spans="1:18" ht="15" customHeight="1">
      <c r="A1160" s="657">
        <f>IF(B1160="",MAX($A$8:A1159)+0,MAX($A$8:A1159)+1)</f>
        <v>120</v>
      </c>
      <c r="B1160" s="835" t="str">
        <f>IF(C1160="","",COUNTA($C$10:C1161))</f>
        <v/>
      </c>
      <c r="C1160" s="362"/>
      <c r="D1160" s="851"/>
      <c r="E1160" s="852" t="s">
        <v>563</v>
      </c>
      <c r="F1160" s="848" t="str">
        <f>VLOOKUP(E1160,DICH!B:C,2,FALSE)</f>
        <v>Shaped steel</v>
      </c>
      <c r="G1160" s="362" t="s">
        <v>558</v>
      </c>
      <c r="H1160" s="847">
        <v>40.700000000000003</v>
      </c>
      <c r="I1160" s="848">
        <f>VLOOKUP(E1160,'11.gia '!$B:$I,8,FALSE)</f>
        <v>16703.248369172808</v>
      </c>
      <c r="J1160" s="853">
        <f>I1160*H1160</f>
        <v>679822.20862533338</v>
      </c>
      <c r="N1160" s="843" t="e">
        <f>SUMIF(#REF!,'8.Dgia'!A1160,#REF!)+SUMIF(#REF!,'8.Dgia'!A1160,#REF!)+SUMIF(#REF!,'8.Dgia'!A1160,#REF!)+SUMIF(#REF!,'8.Dgia'!A1160,#REF!)</f>
        <v>#REF!</v>
      </c>
      <c r="O1160" s="844">
        <f>+$H$1163</f>
        <v>5</v>
      </c>
      <c r="P1160" s="843" t="e">
        <f t="shared" si="49"/>
        <v>#REF!</v>
      </c>
    </row>
    <row r="1161" spans="1:18" ht="15" customHeight="1">
      <c r="A1161" s="657">
        <f>IF(B1161="",MAX($A$8:A1160)+0,MAX($A$8:A1160)+1)</f>
        <v>120</v>
      </c>
      <c r="B1161" s="835" t="str">
        <f>IF(C1161="","",COUNTA($C$10:C1162))</f>
        <v/>
      </c>
      <c r="C1161" s="362"/>
      <c r="D1161" s="851"/>
      <c r="E1161" s="852" t="s">
        <v>134</v>
      </c>
      <c r="F1161" s="848" t="str">
        <f>VLOOKUP(E1161,DICH!B:C,2,FALSE)</f>
        <v>Wooden</v>
      </c>
      <c r="G1161" s="362" t="s">
        <v>545</v>
      </c>
      <c r="H1161" s="847">
        <v>0.66800000000000004</v>
      </c>
      <c r="I1161" s="848">
        <f>VLOOKUP(E1161,'11.gia '!$B:$I,8,FALSE)</f>
        <v>5000000</v>
      </c>
      <c r="J1161" s="853">
        <f>I1161*H1161</f>
        <v>3340000</v>
      </c>
      <c r="N1161" s="843" t="e">
        <f>SUMIF(#REF!,'8.Dgia'!A1161,#REF!)+SUMIF(#REF!,'8.Dgia'!A1161,#REF!)+SUMIF(#REF!,'8.Dgia'!A1161,#REF!)+SUMIF(#REF!,'8.Dgia'!A1161,#REF!)</f>
        <v>#REF!</v>
      </c>
      <c r="O1161" s="844">
        <f>+$H$1163</f>
        <v>5</v>
      </c>
      <c r="P1161" s="843" t="e">
        <f t="shared" si="49"/>
        <v>#REF!</v>
      </c>
    </row>
    <row r="1162" spans="1:18" ht="15" customHeight="1">
      <c r="A1162" s="657">
        <f>IF(B1162="",MAX($A$8:A1161)+0,MAX($A$8:A1161)+1)</f>
        <v>120</v>
      </c>
      <c r="B1162" s="835" t="str">
        <f>IF(C1162="","",COUNTA($C$10:C1163))</f>
        <v/>
      </c>
      <c r="C1162" s="362"/>
      <c r="D1162" s="851"/>
      <c r="E1162" s="852" t="s">
        <v>559</v>
      </c>
      <c r="F1162" s="848" t="str">
        <f>VLOOKUP(E1162,DICH!B:C,2,FALSE)</f>
        <v>welding electrode</v>
      </c>
      <c r="G1162" s="362" t="s">
        <v>558</v>
      </c>
      <c r="H1162" s="847">
        <v>5.5</v>
      </c>
      <c r="I1162" s="848">
        <f>VLOOKUP(E1162,'11.gia '!$B:$I,8,FALSE)</f>
        <v>19090.909090909088</v>
      </c>
      <c r="J1162" s="853">
        <f>I1162*H1162</f>
        <v>104999.99999999999</v>
      </c>
      <c r="N1162" s="843" t="e">
        <f>SUMIF(#REF!,'8.Dgia'!A1162,#REF!)+SUMIF(#REF!,'8.Dgia'!A1162,#REF!)+SUMIF(#REF!,'8.Dgia'!A1162,#REF!)+SUMIF(#REF!,'8.Dgia'!A1162,#REF!)</f>
        <v>#REF!</v>
      </c>
      <c r="O1162" s="844">
        <f>+$H$1163</f>
        <v>5</v>
      </c>
      <c r="P1162" s="843" t="e">
        <f t="shared" si="49"/>
        <v>#REF!</v>
      </c>
    </row>
    <row r="1163" spans="1:18" ht="15" customHeight="1">
      <c r="A1163" s="657">
        <f>IF(B1163="",MAX($A$8:A1162)+0,MAX($A$8:A1162)+1)</f>
        <v>120</v>
      </c>
      <c r="B1163" s="835" t="str">
        <f>IF(C1163="","",COUNTA($C$10:C1164))</f>
        <v/>
      </c>
      <c r="C1163" s="362"/>
      <c r="D1163" s="851"/>
      <c r="E1163" s="852" t="s">
        <v>555</v>
      </c>
      <c r="F1163" s="848" t="str">
        <f>VLOOKUP(E1163,DICH!B:C,2,FALSE)</f>
        <v>Other material</v>
      </c>
      <c r="G1163" s="362" t="s">
        <v>554</v>
      </c>
      <c r="H1163" s="847">
        <v>5</v>
      </c>
      <c r="I1163" s="848">
        <f>SUM(J1159:J1162)</f>
        <v>4791686.7633889336</v>
      </c>
      <c r="J1163" s="853">
        <f>I1163*H1163%</f>
        <v>239584.33816944668</v>
      </c>
      <c r="N1163" s="843" t="e">
        <f>SUMIF(#REF!,'8.Dgia'!A1163,#REF!)+SUMIF(#REF!,'8.Dgia'!A1163,#REF!)+SUMIF(#REF!,'8.Dgia'!A1163,#REF!)+SUMIF(#REF!,'8.Dgia'!A1163,#REF!)</f>
        <v>#REF!</v>
      </c>
      <c r="O1163" s="844"/>
      <c r="P1163" s="843" t="e">
        <f t="shared" si="49"/>
        <v>#REF!</v>
      </c>
    </row>
    <row r="1164" spans="1:18" s="658" customFormat="1" ht="15" customHeight="1">
      <c r="A1164" s="657">
        <f>IF(B1164="",MAX($A$8:A1163)+0,MAX($A$8:A1163)+1)</f>
        <v>120</v>
      </c>
      <c r="B1164" s="835" t="str">
        <f>IF(C1164="","",COUNTA($C$10:C1165))</f>
        <v/>
      </c>
      <c r="C1164" s="362"/>
      <c r="D1164" s="845"/>
      <c r="E1164" s="852" t="s">
        <v>2039</v>
      </c>
      <c r="F1164" s="848" t="str">
        <f>VLOOKUP(E1164,DICH!B:C,2,FALSE)</f>
        <v xml:space="preserve">  B - Labour 4.0/7</v>
      </c>
      <c r="G1164" s="362" t="s">
        <v>4899</v>
      </c>
      <c r="H1164" s="847">
        <v>32.5</v>
      </c>
      <c r="I1164" s="848">
        <f>VLOOKUP(E1164,'16.NC'!$C$11:$F$22,4,FALSE)</f>
        <v>218927</v>
      </c>
      <c r="J1164" s="849">
        <f>I1164*H1164</f>
        <v>7115127.5</v>
      </c>
      <c r="K1164" s="850"/>
      <c r="L1164" s="850"/>
      <c r="M1164" s="850"/>
      <c r="N1164" s="843" t="e">
        <f>SUMIF(#REF!,'8.Dgia'!A1164,#REF!)+SUMIF(#REF!,'8.Dgia'!A1164,#REF!)+SUMIF(#REF!,'8.Dgia'!A1164,#REF!)+SUMIF(#REF!,'8.Dgia'!A1164,#REF!)</f>
        <v>#REF!</v>
      </c>
      <c r="O1164" s="844"/>
      <c r="P1164" s="843" t="e">
        <f t="shared" si="49"/>
        <v>#REF!</v>
      </c>
      <c r="R1164" s="658">
        <v>1</v>
      </c>
    </row>
    <row r="1165" spans="1:18" s="658" customFormat="1" ht="15" customHeight="1">
      <c r="A1165" s="657">
        <f>IF(B1165="",MAX($A$8:A1164)+0,MAX($A$8:A1164)+1)</f>
        <v>120</v>
      </c>
      <c r="B1165" s="835" t="str">
        <f>IF(C1165="","",COUNTA($C$10:C1166))</f>
        <v/>
      </c>
      <c r="C1165" s="362"/>
      <c r="D1165" s="845"/>
      <c r="E1165" s="852" t="s">
        <v>2033</v>
      </c>
      <c r="F1165" s="848" t="str">
        <f>VLOOKUP(E1165,DICH!B:C,2,FALSE)</f>
        <v xml:space="preserve">  C - Machine</v>
      </c>
      <c r="G1165" s="846"/>
      <c r="H1165" s="847"/>
      <c r="I1165" s="848"/>
      <c r="J1165" s="849">
        <f>SUM(J1166:J1168)</f>
        <v>294440.26094999997</v>
      </c>
      <c r="K1165" s="850"/>
      <c r="L1165" s="850"/>
      <c r="M1165" s="850"/>
      <c r="N1165" s="843" t="e">
        <f>SUMIF(#REF!,'8.Dgia'!A1165,#REF!)+SUMIF(#REF!,'8.Dgia'!A1165,#REF!)+SUMIF(#REF!,'8.Dgia'!A1165,#REF!)+SUMIF(#REF!,'8.Dgia'!A1165,#REF!)</f>
        <v>#REF!</v>
      </c>
      <c r="O1165" s="844"/>
      <c r="P1165" s="843" t="e">
        <f t="shared" si="49"/>
        <v>#REF!</v>
      </c>
    </row>
    <row r="1166" spans="1:18" ht="15" customHeight="1">
      <c r="A1166" s="657">
        <f>IF(B1166="",MAX($A$8:A1165)+0,MAX($A$8:A1165)+1)</f>
        <v>120</v>
      </c>
      <c r="B1166" s="835" t="str">
        <f>IF(C1166="","",COUNTA($C$10:C1167))</f>
        <v/>
      </c>
      <c r="C1166" s="362"/>
      <c r="D1166" s="851"/>
      <c r="E1166" s="852" t="s">
        <v>560</v>
      </c>
      <c r="F1166" s="848" t="str">
        <f>VLOOKUP(E1166,'9.may'!E:F,2,FALSE)</f>
        <v>welding machine 23kW</v>
      </c>
      <c r="G1166" s="362" t="s">
        <v>4902</v>
      </c>
      <c r="H1166" s="847">
        <v>1.5</v>
      </c>
      <c r="I1166" s="848">
        <f>VLOOKUP(E1166,'9.may'!E:W,12,FALSE)</f>
        <v>171649.155</v>
      </c>
      <c r="J1166" s="853">
        <f>I1166*H1166</f>
        <v>257473.73249999998</v>
      </c>
      <c r="N1166" s="843" t="e">
        <f>SUMIF(#REF!,'8.Dgia'!A1166,#REF!)+SUMIF(#REF!,'8.Dgia'!A1166,#REF!)+SUMIF(#REF!,'8.Dgia'!A1166,#REF!)+SUMIF(#REF!,'8.Dgia'!A1166,#REF!)</f>
        <v>#REF!</v>
      </c>
      <c r="O1166" s="844">
        <f>+$H$1168</f>
        <v>2</v>
      </c>
      <c r="P1166" s="843" t="e">
        <f t="shared" si="49"/>
        <v>#REF!</v>
      </c>
    </row>
    <row r="1167" spans="1:18" ht="15" customHeight="1">
      <c r="A1167" s="657">
        <f>IF(B1167="",MAX($A$8:A1166)+0,MAX($A$8:A1166)+1)</f>
        <v>120</v>
      </c>
      <c r="B1167" s="835" t="str">
        <f>IF(C1167="","",COUNTA($C$10:C1168))</f>
        <v/>
      </c>
      <c r="C1167" s="362"/>
      <c r="D1167" s="851"/>
      <c r="E1167" s="852" t="s">
        <v>1098</v>
      </c>
      <c r="F1167" s="848" t="str">
        <f>VLOOKUP(E1167,'9.may'!E:F,2,FALSE)</f>
        <v>lifting machine 0.8T</v>
      </c>
      <c r="G1167" s="362" t="s">
        <v>4902</v>
      </c>
      <c r="H1167" s="847">
        <v>0.25</v>
      </c>
      <c r="I1167" s="848">
        <f>VLOOKUP(E1167,'9.may'!E:W,12,FALSE)</f>
        <v>124772.76000000001</v>
      </c>
      <c r="J1167" s="853">
        <f>I1167*H1167</f>
        <v>31193.190000000002</v>
      </c>
      <c r="N1167" s="843" t="e">
        <f>SUMIF(#REF!,'8.Dgia'!A1167,#REF!)+SUMIF(#REF!,'8.Dgia'!A1167,#REF!)+SUMIF(#REF!,'8.Dgia'!A1167,#REF!)+SUMIF(#REF!,'8.Dgia'!A1167,#REF!)</f>
        <v>#REF!</v>
      </c>
      <c r="O1167" s="844">
        <f>+$H$1168</f>
        <v>2</v>
      </c>
      <c r="P1167" s="843" t="e">
        <f t="shared" si="49"/>
        <v>#REF!</v>
      </c>
    </row>
    <row r="1168" spans="1:18" ht="15" customHeight="1">
      <c r="A1168" s="657">
        <f>IF(B1168="",MAX($A$8:A1167)+0,MAX($A$8:A1167)+1)</f>
        <v>120</v>
      </c>
      <c r="B1168" s="835" t="str">
        <f>IF(C1168="","",COUNTA($C$10:C1169))</f>
        <v/>
      </c>
      <c r="C1168" s="362"/>
      <c r="D1168" s="851"/>
      <c r="E1168" s="852" t="s">
        <v>553</v>
      </c>
      <c r="F1168" s="848" t="str">
        <f>VLOOKUP(E1168,DICH!B:C,2,FALSE)</f>
        <v>Other machine</v>
      </c>
      <c r="G1168" s="362" t="s">
        <v>554</v>
      </c>
      <c r="H1168" s="847">
        <v>2</v>
      </c>
      <c r="I1168" s="848">
        <f>SUM(J1166:J1167)</f>
        <v>288666.92249999999</v>
      </c>
      <c r="J1168" s="853">
        <f>I1168*H1168%</f>
        <v>5773.3384500000002</v>
      </c>
      <c r="N1168" s="843" t="e">
        <f>SUMIF(#REF!,'8.Dgia'!A1168,#REF!)+SUMIF(#REF!,'8.Dgia'!A1168,#REF!)+SUMIF(#REF!,'8.Dgia'!A1168,#REF!)+SUMIF(#REF!,'8.Dgia'!A1168,#REF!)</f>
        <v>#REF!</v>
      </c>
      <c r="O1168" s="844"/>
      <c r="P1168" s="843" t="e">
        <f t="shared" si="49"/>
        <v>#REF!</v>
      </c>
    </row>
    <row r="1169" spans="1:18" ht="15" customHeight="1">
      <c r="A1169" s="657">
        <f>IF(B1169="",MAX($A$8:A1168)+0,MAX($A$8:A1168)+1)</f>
        <v>121</v>
      </c>
      <c r="B1169" s="835">
        <f>IF(C1169="","",COUNTA($C$10:C1170))</f>
        <v>121</v>
      </c>
      <c r="C1169" s="835">
        <f>IF(D1169="","",1776)</f>
        <v>1776</v>
      </c>
      <c r="D1169" s="851" t="s">
        <v>691</v>
      </c>
      <c r="E1169" s="855" t="s">
        <v>4040</v>
      </c>
      <c r="F1169" s="1049" t="str">
        <f>VLOOKUP(E1169,DICH!B:C,2,FALSE)</f>
        <v>Concrete C15 of cover plate (in situ)</v>
      </c>
      <c r="G1169" s="856" t="s">
        <v>545</v>
      </c>
      <c r="H1169" s="847"/>
      <c r="I1169" s="848"/>
      <c r="J1169" s="853"/>
      <c r="K1169" s="842">
        <f>+J1170</f>
        <v>970030.03665324603</v>
      </c>
      <c r="L1169" s="842">
        <f>+J1173</f>
        <v>480068.29</v>
      </c>
      <c r="M1169" s="842">
        <f>+J1174</f>
        <v>17142.550500000001</v>
      </c>
      <c r="N1169" s="843" t="e">
        <f>SUMIF(#REF!,'8.Dgia'!A1169,#REF!)+SUMIF(#REF!,'8.Dgia'!A1169,#REF!)+SUMIF(#REF!,'8.Dgia'!A1169,#REF!)+SUMIF(#REF!,'8.Dgia'!A1169,#REF!)</f>
        <v>#REF!</v>
      </c>
      <c r="O1169" s="844"/>
      <c r="P1169" s="843" t="e">
        <f t="shared" si="49"/>
        <v>#REF!</v>
      </c>
    </row>
    <row r="1170" spans="1:18" ht="15" customHeight="1">
      <c r="A1170" s="657">
        <f>IF(B1170="",MAX($A$8:A1169)+0,MAX($A$8:A1169)+1)</f>
        <v>121</v>
      </c>
      <c r="B1170" s="835" t="str">
        <f>IF(C1170="","",COUNTA($C$10:C1171))</f>
        <v/>
      </c>
      <c r="C1170" s="362"/>
      <c r="D1170" s="362"/>
      <c r="E1170" s="852" t="s">
        <v>2032</v>
      </c>
      <c r="F1170" s="848" t="str">
        <f>VLOOKUP(E1170,DICH!B:C,2,FALSE)</f>
        <v xml:space="preserve">  A - Material</v>
      </c>
      <c r="G1170" s="362"/>
      <c r="H1170" s="847"/>
      <c r="I1170" s="848"/>
      <c r="J1170" s="849">
        <f>SUM(J1171:J1172)</f>
        <v>970030.03665324603</v>
      </c>
      <c r="N1170" s="843" t="e">
        <f>SUMIF(#REF!,'8.Dgia'!A1170,#REF!)+SUMIF(#REF!,'8.Dgia'!A1170,#REF!)+SUMIF(#REF!,'8.Dgia'!A1170,#REF!)+SUMIF(#REF!,'8.Dgia'!A1170,#REF!)</f>
        <v>#REF!</v>
      </c>
      <c r="O1170" s="844"/>
      <c r="P1170" s="843" t="e">
        <f t="shared" si="49"/>
        <v>#REF!</v>
      </c>
    </row>
    <row r="1171" spans="1:18" ht="15" customHeight="1">
      <c r="A1171" s="657">
        <f>IF(B1171="",MAX($A$8:A1170)+0,MAX($A$8:A1170)+1)</f>
        <v>121</v>
      </c>
      <c r="B1171" s="835" t="str">
        <f>IF(C1171="","",COUNTA($C$10:C1172))</f>
        <v/>
      </c>
      <c r="C1171" s="851"/>
      <c r="D1171" s="851" t="str">
        <f>+'10.PLV'!$C$22</f>
        <v>C3125</v>
      </c>
      <c r="E1171" s="852" t="str">
        <f>+'10.PLV'!$D$22</f>
        <v>Vữa bê tông đá 1x2 C25 SN 2-4</v>
      </c>
      <c r="F1171" s="848" t="str">
        <f>VLOOKUP(E1171,DICH!B:C,2,FALSE)</f>
        <v>Concrete motar C25 stone 1x2 slump 2-4</v>
      </c>
      <c r="G1171" s="847" t="s">
        <v>545</v>
      </c>
      <c r="H1171" s="847">
        <v>1.0149999999999999</v>
      </c>
      <c r="I1171" s="848">
        <f>VLOOKUP(E1171,'11.gia '!B:I,8,FALSE)</f>
        <v>950939.91780334397</v>
      </c>
      <c r="J1171" s="853">
        <f>I1171*H1171</f>
        <v>965204.01657039404</v>
      </c>
      <c r="N1171" s="843" t="e">
        <f>SUMIF(#REF!,'8.Dgia'!A1171,#REF!)+SUMIF(#REF!,'8.Dgia'!A1171,#REF!)+SUMIF(#REF!,'8.Dgia'!A1171,#REF!)+SUMIF(#REF!,'8.Dgia'!A1171,#REF!)</f>
        <v>#REF!</v>
      </c>
      <c r="O1171" s="844">
        <f>+$H$1172</f>
        <v>0.5</v>
      </c>
      <c r="P1171" s="843" t="e">
        <f t="shared" si="49"/>
        <v>#REF!</v>
      </c>
    </row>
    <row r="1172" spans="1:18" ht="15" customHeight="1">
      <c r="A1172" s="657">
        <f>IF(B1172="",MAX($A$8:A1171)+0,MAX($A$8:A1171)+1)</f>
        <v>121</v>
      </c>
      <c r="B1172" s="835" t="str">
        <f>IF(C1172="","",COUNTA($C$10:C1173))</f>
        <v/>
      </c>
      <c r="C1172" s="362"/>
      <c r="D1172" s="362"/>
      <c r="E1172" s="852" t="s">
        <v>555</v>
      </c>
      <c r="F1172" s="848" t="str">
        <f>VLOOKUP(E1172,DICH!B:C,2,FALSE)</f>
        <v>Other material</v>
      </c>
      <c r="G1172" s="362" t="s">
        <v>554</v>
      </c>
      <c r="H1172" s="847">
        <v>0.5</v>
      </c>
      <c r="I1172" s="848">
        <f>+J1171</f>
        <v>965204.01657039404</v>
      </c>
      <c r="J1172" s="853">
        <f>I1172*H1172%</f>
        <v>4826.0200828519701</v>
      </c>
      <c r="N1172" s="843" t="e">
        <f>SUMIF(#REF!,'8.Dgia'!A1172,#REF!)+SUMIF(#REF!,'8.Dgia'!A1172,#REF!)+SUMIF(#REF!,'8.Dgia'!A1172,#REF!)+SUMIF(#REF!,'8.Dgia'!A1172,#REF!)</f>
        <v>#REF!</v>
      </c>
      <c r="O1172" s="844"/>
      <c r="P1172" s="843" t="e">
        <f t="shared" si="49"/>
        <v>#REF!</v>
      </c>
    </row>
    <row r="1173" spans="1:18" ht="15" customHeight="1">
      <c r="A1173" s="657">
        <f>IF(B1173="",MAX($A$8:A1172)+0,MAX($A$8:A1172)+1)</f>
        <v>121</v>
      </c>
      <c r="B1173" s="835" t="str">
        <f>IF(C1173="","",COUNTA($C$10:C1174))</f>
        <v/>
      </c>
      <c r="C1173" s="362"/>
      <c r="D1173" s="362"/>
      <c r="E1173" s="852" t="s">
        <v>2038</v>
      </c>
      <c r="F1173" s="848" t="str">
        <f>VLOOKUP(E1173,DICH!B:C,2,FALSE)</f>
        <v xml:space="preserve">  B - Labour 3.0/7</v>
      </c>
      <c r="G1173" s="883" t="s">
        <v>4899</v>
      </c>
      <c r="H1173" s="847">
        <v>2.57</v>
      </c>
      <c r="I1173" s="848">
        <f>VLOOKUP(E1173,'16.NC'!$C$11:$F$22,4,FALSE)</f>
        <v>186797</v>
      </c>
      <c r="J1173" s="849">
        <f>I1173*H1173</f>
        <v>480068.29</v>
      </c>
      <c r="N1173" s="843" t="e">
        <f>SUMIF(#REF!,'8.Dgia'!A1173,#REF!)+SUMIF(#REF!,'8.Dgia'!A1173,#REF!)+SUMIF(#REF!,'8.Dgia'!A1173,#REF!)+SUMIF(#REF!,'8.Dgia'!A1173,#REF!)</f>
        <v>#REF!</v>
      </c>
      <c r="O1173" s="844"/>
      <c r="P1173" s="843" t="e">
        <f t="shared" si="49"/>
        <v>#REF!</v>
      </c>
      <c r="R1173" s="658">
        <v>1</v>
      </c>
    </row>
    <row r="1174" spans="1:18" ht="15" customHeight="1">
      <c r="A1174" s="657">
        <f>IF(B1174="",MAX($A$8:A1173)+0,MAX($A$8:A1173)+1)</f>
        <v>121</v>
      </c>
      <c r="B1174" s="835" t="str">
        <f>IF(C1174="","",COUNTA($C$10:C1175))</f>
        <v/>
      </c>
      <c r="C1174" s="362"/>
      <c r="D1174" s="362"/>
      <c r="E1174" s="852" t="s">
        <v>2033</v>
      </c>
      <c r="F1174" s="848" t="str">
        <f>VLOOKUP(E1174,DICH!B:C,2,FALSE)</f>
        <v xml:space="preserve">  C - Machine</v>
      </c>
      <c r="G1174" s="883"/>
      <c r="H1174" s="847"/>
      <c r="I1174" s="848"/>
      <c r="J1174" s="849">
        <f>+J1175</f>
        <v>17142.550500000001</v>
      </c>
      <c r="N1174" s="843" t="e">
        <f>SUMIF(#REF!,'8.Dgia'!A1174,#REF!)+SUMIF(#REF!,'8.Dgia'!A1174,#REF!)+SUMIF(#REF!,'8.Dgia'!A1174,#REF!)+SUMIF(#REF!,'8.Dgia'!A1174,#REF!)</f>
        <v>#REF!</v>
      </c>
      <c r="O1174" s="844"/>
      <c r="P1174" s="843" t="e">
        <f t="shared" si="49"/>
        <v>#REF!</v>
      </c>
    </row>
    <row r="1175" spans="1:18" ht="15" customHeight="1">
      <c r="A1175" s="657">
        <f>IF(B1175="",MAX($A$8:A1174)+0,MAX($A$8:A1174)+1)</f>
        <v>121</v>
      </c>
      <c r="B1175" s="835" t="str">
        <f>IF(C1175="","",COUNTA($C$10:C1176))</f>
        <v/>
      </c>
      <c r="C1175" s="362"/>
      <c r="D1175" s="851"/>
      <c r="E1175" s="852" t="s">
        <v>73</v>
      </c>
      <c r="F1175" s="848" t="str">
        <f>VLOOKUP(E1175,'9.may'!E:F,2,FALSE)</f>
        <v>concrete mixer 250L</v>
      </c>
      <c r="G1175" s="362" t="s">
        <v>4902</v>
      </c>
      <c r="H1175" s="847">
        <v>9.5000000000000001E-2</v>
      </c>
      <c r="I1175" s="848">
        <f>VLOOKUP(E1175,'9.may'!E:W,12,FALSE)</f>
        <v>180447.90000000002</v>
      </c>
      <c r="J1175" s="853">
        <f>I1175*H1175</f>
        <v>17142.550500000001</v>
      </c>
      <c r="N1175" s="843" t="e">
        <f>SUMIF(#REF!,'8.Dgia'!A1175,#REF!)+SUMIF(#REF!,'8.Dgia'!A1175,#REF!)+SUMIF(#REF!,'8.Dgia'!A1175,#REF!)+SUMIF(#REF!,'8.Dgia'!A1175,#REF!)</f>
        <v>#REF!</v>
      </c>
      <c r="O1175" s="844"/>
      <c r="P1175" s="843" t="e">
        <f t="shared" si="49"/>
        <v>#REF!</v>
      </c>
    </row>
    <row r="1176" spans="1:18" ht="15" customHeight="1">
      <c r="A1176" s="657">
        <f>IF(B1176="",MAX($A$8:A1175)+0,MAX($A$8:A1175)+1)</f>
        <v>122</v>
      </c>
      <c r="B1176" s="835">
        <f>IF(C1176="","",COUNTA($C$10:C1177))</f>
        <v>122</v>
      </c>
      <c r="C1176" s="835">
        <f>IF(D1176="","",1776)</f>
        <v>1776</v>
      </c>
      <c r="D1176" s="851" t="s">
        <v>692</v>
      </c>
      <c r="E1176" s="855" t="s">
        <v>4063</v>
      </c>
      <c r="F1176" s="1049" t="str">
        <f>VLOOKUP(E1176,DICH!B:C,2,FALSE)</f>
        <v>Reinforcement D&lt;=10 (precast)</v>
      </c>
      <c r="G1176" s="856" t="s">
        <v>4644</v>
      </c>
      <c r="H1176" s="847"/>
      <c r="I1176" s="848"/>
      <c r="J1176" s="853"/>
      <c r="K1176" s="842">
        <f>+J1177</f>
        <v>17205048.9978</v>
      </c>
      <c r="L1176" s="842">
        <f>+J1180</f>
        <v>3468940.2</v>
      </c>
      <c r="M1176" s="842">
        <f>+J1181</f>
        <v>32116.740000000005</v>
      </c>
      <c r="N1176" s="843" t="e">
        <f>SUMIF(#REF!,'8.Dgia'!A1176,#REF!)+SUMIF(#REF!,'8.Dgia'!A1176,#REF!)+SUMIF(#REF!,'8.Dgia'!A1176,#REF!)+SUMIF(#REF!,'8.Dgia'!A1176,#REF!)</f>
        <v>#REF!</v>
      </c>
      <c r="O1176" s="844"/>
      <c r="P1176" s="843" t="e">
        <f t="shared" si="49"/>
        <v>#REF!</v>
      </c>
    </row>
    <row r="1177" spans="1:18" ht="15" customHeight="1">
      <c r="A1177" s="657">
        <f>IF(B1177="",MAX($A$8:A1176)+0,MAX($A$8:A1176)+1)</f>
        <v>122</v>
      </c>
      <c r="B1177" s="835" t="str">
        <f>IF(C1177="","",COUNTA($C$10:C1178))</f>
        <v/>
      </c>
      <c r="C1177" s="362"/>
      <c r="D1177" s="362"/>
      <c r="E1177" s="852" t="s">
        <v>2032</v>
      </c>
      <c r="F1177" s="848" t="str">
        <f>VLOOKUP(E1177,DICH!B:C,2,FALSE)</f>
        <v xml:space="preserve">  A - Material</v>
      </c>
      <c r="G1177" s="883"/>
      <c r="H1177" s="847"/>
      <c r="I1177" s="848"/>
      <c r="J1177" s="849">
        <f>SUM(J1178:J1179)</f>
        <v>17205048.9978</v>
      </c>
      <c r="N1177" s="843" t="e">
        <f>SUMIF(#REF!,'8.Dgia'!A1177,#REF!)+SUMIF(#REF!,'8.Dgia'!A1177,#REF!)+SUMIF(#REF!,'8.Dgia'!A1177,#REF!)+SUMIF(#REF!,'8.Dgia'!A1177,#REF!)</f>
        <v>#REF!</v>
      </c>
      <c r="O1177" s="844"/>
      <c r="P1177" s="843" t="e">
        <f t="shared" si="49"/>
        <v>#REF!</v>
      </c>
    </row>
    <row r="1178" spans="1:18" ht="15" customHeight="1">
      <c r="A1178" s="657">
        <f>IF(B1178="",MAX($A$8:A1177)+0,MAX($A$8:A1177)+1)</f>
        <v>122</v>
      </c>
      <c r="B1178" s="835" t="str">
        <f>IF(C1178="","",COUNTA($C$10:C1179))</f>
        <v/>
      </c>
      <c r="C1178" s="362"/>
      <c r="D1178" s="362"/>
      <c r="E1178" s="852" t="s">
        <v>371</v>
      </c>
      <c r="F1178" s="848" t="str">
        <f>VLOOKUP(E1178,DICH!B:C,2,FALSE)</f>
        <v>steel bar D&lt;=10</v>
      </c>
      <c r="G1178" s="883" t="s">
        <v>558</v>
      </c>
      <c r="H1178" s="847">
        <v>1005</v>
      </c>
      <c r="I1178" s="848">
        <f>VLOOKUP(E1178,'11.gia '!$B:$I,8,FALSE)</f>
        <v>16754.075560000001</v>
      </c>
      <c r="J1178" s="853">
        <f>I1178*H1178</f>
        <v>16837845.937800001</v>
      </c>
      <c r="N1178" s="843" t="e">
        <f>SUMIF(#REF!,'8.Dgia'!A1178,#REF!)+SUMIF(#REF!,'8.Dgia'!A1178,#REF!)+SUMIF(#REF!,'8.Dgia'!A1178,#REF!)+SUMIF(#REF!,'8.Dgia'!A1178,#REF!)</f>
        <v>#REF!</v>
      </c>
      <c r="O1178" s="844"/>
      <c r="P1178" s="843" t="e">
        <f t="shared" si="49"/>
        <v>#REF!</v>
      </c>
    </row>
    <row r="1179" spans="1:18" ht="15" customHeight="1">
      <c r="A1179" s="657">
        <f>IF(B1179="",MAX($A$8:A1178)+0,MAX($A$8:A1178)+1)</f>
        <v>122</v>
      </c>
      <c r="B1179" s="835" t="str">
        <f>IF(C1179="","",COUNTA($C$10:C1180))</f>
        <v/>
      </c>
      <c r="C1179" s="362"/>
      <c r="D1179" s="362"/>
      <c r="E1179" s="852" t="s">
        <v>459</v>
      </c>
      <c r="F1179" s="848" t="str">
        <f>VLOOKUP(E1179,DICH!B:C,2,FALSE)</f>
        <v>Steel ware</v>
      </c>
      <c r="G1179" s="883" t="s">
        <v>558</v>
      </c>
      <c r="H1179" s="847">
        <v>21.42</v>
      </c>
      <c r="I1179" s="848">
        <f>VLOOKUP(E1179,'11.gia '!$B:$I,8,FALSE)</f>
        <v>17143</v>
      </c>
      <c r="J1179" s="853">
        <f>I1179*H1179</f>
        <v>367203.06000000006</v>
      </c>
      <c r="N1179" s="843" t="e">
        <f>SUMIF(#REF!,'8.Dgia'!A1179,#REF!)+SUMIF(#REF!,'8.Dgia'!A1179,#REF!)+SUMIF(#REF!,'8.Dgia'!A1179,#REF!)+SUMIF(#REF!,'8.Dgia'!A1179,#REF!)</f>
        <v>#REF!</v>
      </c>
      <c r="O1179" s="844"/>
      <c r="P1179" s="843" t="e">
        <f t="shared" si="49"/>
        <v>#REF!</v>
      </c>
    </row>
    <row r="1180" spans="1:18" ht="15" customHeight="1">
      <c r="A1180" s="657">
        <f>IF(B1180="",MAX($A$8:A1179)+0,MAX($A$8:A1179)+1)</f>
        <v>122</v>
      </c>
      <c r="B1180" s="835" t="str">
        <f>IF(C1180="","",COUNTA($C$10:C1181))</f>
        <v/>
      </c>
      <c r="C1180" s="362"/>
      <c r="D1180" s="362"/>
      <c r="E1180" s="852" t="s">
        <v>2037</v>
      </c>
      <c r="F1180" s="848" t="str">
        <f>VLOOKUP(E1180,DICH!B:C,2,FALSE)</f>
        <v xml:space="preserve">  B - Labour 3.5/7</v>
      </c>
      <c r="G1180" s="883" t="s">
        <v>4899</v>
      </c>
      <c r="H1180" s="847">
        <v>17.100000000000001</v>
      </c>
      <c r="I1180" s="848">
        <f>VLOOKUP(E1180,'16.NC'!$C$11:$F$22,4,FALSE)</f>
        <v>202862</v>
      </c>
      <c r="J1180" s="849">
        <f>I1180*H1180</f>
        <v>3468940.2</v>
      </c>
      <c r="N1180" s="843" t="e">
        <f>SUMIF(#REF!,'8.Dgia'!A1180,#REF!)+SUMIF(#REF!,'8.Dgia'!A1180,#REF!)+SUMIF(#REF!,'8.Dgia'!A1180,#REF!)+SUMIF(#REF!,'8.Dgia'!A1180,#REF!)</f>
        <v>#REF!</v>
      </c>
      <c r="O1180" s="844"/>
      <c r="P1180" s="843" t="e">
        <f t="shared" si="49"/>
        <v>#REF!</v>
      </c>
      <c r="R1180" s="658">
        <v>1</v>
      </c>
    </row>
    <row r="1181" spans="1:18" ht="15" customHeight="1">
      <c r="A1181" s="657">
        <f>IF(B1181="",MAX($A$8:A1180)+0,MAX($A$8:A1180)+1)</f>
        <v>122</v>
      </c>
      <c r="B1181" s="835" t="str">
        <f>IF(C1181="","",COUNTA($C$10:C1182))</f>
        <v/>
      </c>
      <c r="C1181" s="362"/>
      <c r="D1181" s="362"/>
      <c r="E1181" s="852" t="s">
        <v>2033</v>
      </c>
      <c r="F1181" s="848" t="str">
        <f>VLOOKUP(E1181,DICH!B:C,2,FALSE)</f>
        <v xml:space="preserve">  C - Machine</v>
      </c>
      <c r="G1181" s="883"/>
      <c r="H1181" s="847"/>
      <c r="I1181" s="848"/>
      <c r="J1181" s="849">
        <f>+J1182</f>
        <v>32116.740000000005</v>
      </c>
      <c r="N1181" s="843" t="e">
        <f>SUMIF(#REF!,'8.Dgia'!A1181,#REF!)+SUMIF(#REF!,'8.Dgia'!A1181,#REF!)+SUMIF(#REF!,'8.Dgia'!A1181,#REF!)+SUMIF(#REF!,'8.Dgia'!A1181,#REF!)</f>
        <v>#REF!</v>
      </c>
      <c r="O1181" s="844"/>
      <c r="P1181" s="843" t="e">
        <f t="shared" si="49"/>
        <v>#REF!</v>
      </c>
    </row>
    <row r="1182" spans="1:18" ht="15" customHeight="1">
      <c r="A1182" s="657">
        <f>IF(B1182="",MAX($A$8:A1181)+0,MAX($A$8:A1181)+1)</f>
        <v>122</v>
      </c>
      <c r="B1182" s="835" t="str">
        <f>IF(C1182="","",COUNTA($C$10:C1183))</f>
        <v/>
      </c>
      <c r="C1182" s="362"/>
      <c r="D1182" s="362"/>
      <c r="E1182" s="852" t="s">
        <v>1424</v>
      </c>
      <c r="F1182" s="848" t="str">
        <f>VLOOKUP(E1182,'9.may'!E:F,2,FALSE)</f>
        <v>bender cutter 5Kw</v>
      </c>
      <c r="G1182" s="883" t="s">
        <v>4902</v>
      </c>
      <c r="H1182" s="847">
        <v>0.4</v>
      </c>
      <c r="I1182" s="848">
        <f>VLOOKUP(E1182,'9.may'!E:W,12,FALSE)</f>
        <v>80291.850000000006</v>
      </c>
      <c r="J1182" s="853">
        <f>I1182*H1182</f>
        <v>32116.740000000005</v>
      </c>
      <c r="N1182" s="843" t="e">
        <f>SUMIF(#REF!,'8.Dgia'!A1182,#REF!)+SUMIF(#REF!,'8.Dgia'!A1182,#REF!)+SUMIF(#REF!,'8.Dgia'!A1182,#REF!)+SUMIF(#REF!,'8.Dgia'!A1182,#REF!)</f>
        <v>#REF!</v>
      </c>
      <c r="O1182" s="844"/>
      <c r="P1182" s="843" t="e">
        <f t="shared" si="49"/>
        <v>#REF!</v>
      </c>
    </row>
    <row r="1183" spans="1:18" ht="15" customHeight="1">
      <c r="A1183" s="657">
        <f>IF(B1183="",MAX($A$8:A1182)+0,MAX($A$8:A1182)+1)</f>
        <v>123</v>
      </c>
      <c r="B1183" s="835">
        <f>IF(C1183="","",COUNTA($C$10:C1184))</f>
        <v>123</v>
      </c>
      <c r="C1183" s="835">
        <f>IF(D1183="","",1776)</f>
        <v>1776</v>
      </c>
      <c r="D1183" s="851" t="s">
        <v>402</v>
      </c>
      <c r="E1183" s="855" t="s">
        <v>187</v>
      </c>
      <c r="F1183" s="1049" t="str">
        <f>VLOOKUP(E1183,DICH!B:C,2,FALSE)</f>
        <v>Formwork of precast structure</v>
      </c>
      <c r="G1183" s="856" t="s">
        <v>547</v>
      </c>
      <c r="H1183" s="847"/>
      <c r="I1183" s="848"/>
      <c r="J1183" s="853"/>
      <c r="K1183" s="842">
        <f>+J1184</f>
        <v>557014.28542626358</v>
      </c>
      <c r="L1183" s="842">
        <f>+J1189</f>
        <v>6953121.5200000005</v>
      </c>
      <c r="M1183" s="842">
        <f>+J1190</f>
        <v>136203.60449249999</v>
      </c>
      <c r="N1183" s="843" t="e">
        <f>SUMIF(#REF!,'8.Dgia'!A1183,#REF!)+SUMIF(#REF!,'8.Dgia'!A1183,#REF!)+SUMIF(#REF!,'8.Dgia'!A1183,#REF!)+SUMIF(#REF!,'8.Dgia'!A1183,#REF!)</f>
        <v>#REF!</v>
      </c>
      <c r="O1183" s="844"/>
      <c r="P1183" s="843" t="e">
        <f t="shared" si="49"/>
        <v>#REF!</v>
      </c>
    </row>
    <row r="1184" spans="1:18" ht="15" customHeight="1">
      <c r="A1184" s="657">
        <f>IF(B1184="",MAX($A$8:A1183)+0,MAX($A$8:A1183)+1)</f>
        <v>123</v>
      </c>
      <c r="B1184" s="835" t="str">
        <f>IF(C1184="","",COUNTA($C$10:C1185))</f>
        <v/>
      </c>
      <c r="C1184" s="362"/>
      <c r="D1184" s="362"/>
      <c r="E1184" s="852" t="s">
        <v>2032</v>
      </c>
      <c r="F1184" s="848" t="str">
        <f>VLOOKUP(E1184,DICH!B:C,2,FALSE)</f>
        <v xml:space="preserve">  A - Material</v>
      </c>
      <c r="G1184" s="846"/>
      <c r="H1184" s="847"/>
      <c r="I1184" s="848"/>
      <c r="J1184" s="849">
        <f>SUM(J1185:J1188)</f>
        <v>557014.28542626358</v>
      </c>
      <c r="N1184" s="843" t="e">
        <f>SUMIF(#REF!,'8.Dgia'!A1184,#REF!)+SUMIF(#REF!,'8.Dgia'!A1184,#REF!)+SUMIF(#REF!,'8.Dgia'!A1184,#REF!)+SUMIF(#REF!,'8.Dgia'!A1184,#REF!)</f>
        <v>#REF!</v>
      </c>
      <c r="O1184" s="844"/>
      <c r="P1184" s="843" t="e">
        <f t="shared" si="49"/>
        <v>#REF!</v>
      </c>
    </row>
    <row r="1185" spans="1:18" ht="15" customHeight="1">
      <c r="A1185" s="657">
        <f>IF(B1185="",MAX($A$8:A1184)+0,MAX($A$8:A1184)+1)</f>
        <v>123</v>
      </c>
      <c r="B1185" s="835" t="str">
        <f>IF(C1185="","",COUNTA($C$10:C1186))</f>
        <v/>
      </c>
      <c r="C1185" s="362"/>
      <c r="D1185" s="362"/>
      <c r="E1185" s="852" t="s">
        <v>562</v>
      </c>
      <c r="F1185" s="848" t="str">
        <f>VLOOKUP(E1185,DICH!B:C,2,FALSE)</f>
        <v>Plate steel</v>
      </c>
      <c r="G1185" s="362" t="s">
        <v>558</v>
      </c>
      <c r="H1185" s="847">
        <v>17.27</v>
      </c>
      <c r="I1185" s="848">
        <f>VLOOKUP(E1185,'11.gia '!$B:$I,8,FALSE)</f>
        <v>12871.348287272725</v>
      </c>
      <c r="J1185" s="853">
        <f>I1185*H1185</f>
        <v>222288.18492119995</v>
      </c>
      <c r="N1185" s="843" t="e">
        <f>SUMIF(#REF!,'8.Dgia'!A1185,#REF!)+SUMIF(#REF!,'8.Dgia'!A1185,#REF!)+SUMIF(#REF!,'8.Dgia'!A1185,#REF!)+SUMIF(#REF!,'8.Dgia'!A1185,#REF!)</f>
        <v>#REF!</v>
      </c>
      <c r="O1185" s="844">
        <f>+$H$1188</f>
        <v>5</v>
      </c>
      <c r="P1185" s="843" t="e">
        <f t="shared" si="49"/>
        <v>#REF!</v>
      </c>
    </row>
    <row r="1186" spans="1:18" ht="15" customHeight="1">
      <c r="A1186" s="657">
        <f>IF(B1186="",MAX($A$8:A1185)+0,MAX($A$8:A1185)+1)</f>
        <v>123</v>
      </c>
      <c r="B1186" s="835" t="str">
        <f>IF(C1186="","",COUNTA($C$10:C1187))</f>
        <v/>
      </c>
      <c r="C1186" s="362"/>
      <c r="D1186" s="362"/>
      <c r="E1186" s="852" t="s">
        <v>563</v>
      </c>
      <c r="F1186" s="848" t="str">
        <f>VLOOKUP(E1186,DICH!B:C,2,FALSE)</f>
        <v>Shaped steel</v>
      </c>
      <c r="G1186" s="362" t="s">
        <v>558</v>
      </c>
      <c r="H1186" s="847">
        <v>16.28</v>
      </c>
      <c r="I1186" s="848">
        <f>VLOOKUP(E1186,'11.gia '!$B:$I,8,FALSE)</f>
        <v>16703.248369172808</v>
      </c>
      <c r="J1186" s="853">
        <f>I1186*H1186</f>
        <v>271928.88345013332</v>
      </c>
      <c r="N1186" s="843" t="e">
        <f>SUMIF(#REF!,'8.Dgia'!A1186,#REF!)+SUMIF(#REF!,'8.Dgia'!A1186,#REF!)+SUMIF(#REF!,'8.Dgia'!A1186,#REF!)+SUMIF(#REF!,'8.Dgia'!A1186,#REF!)</f>
        <v>#REF!</v>
      </c>
      <c r="O1186" s="844">
        <f>+$H$1188</f>
        <v>5</v>
      </c>
      <c r="P1186" s="843" t="e">
        <f t="shared" si="49"/>
        <v>#REF!</v>
      </c>
    </row>
    <row r="1187" spans="1:18" ht="15" customHeight="1">
      <c r="A1187" s="657">
        <f>IF(B1187="",MAX($A$8:A1186)+0,MAX($A$8:A1186)+1)</f>
        <v>123</v>
      </c>
      <c r="B1187" s="835" t="str">
        <f>IF(C1187="","",COUNTA($C$10:C1188))</f>
        <v/>
      </c>
      <c r="C1187" s="362"/>
      <c r="D1187" s="362"/>
      <c r="E1187" s="852" t="s">
        <v>559</v>
      </c>
      <c r="F1187" s="848" t="str">
        <f>VLOOKUP(E1187,DICH!B:C,2,FALSE)</f>
        <v>welding electrode</v>
      </c>
      <c r="G1187" s="362" t="s">
        <v>558</v>
      </c>
      <c r="H1187" s="847">
        <v>1.9</v>
      </c>
      <c r="I1187" s="848">
        <f>VLOOKUP(E1187,'11.gia '!$B:$I,8,FALSE)</f>
        <v>19090.909090909088</v>
      </c>
      <c r="J1187" s="853">
        <f>I1187*H1187</f>
        <v>36272.727272727265</v>
      </c>
      <c r="N1187" s="843" t="e">
        <f>SUMIF(#REF!,'8.Dgia'!A1187,#REF!)+SUMIF(#REF!,'8.Dgia'!A1187,#REF!)+SUMIF(#REF!,'8.Dgia'!A1187,#REF!)+SUMIF(#REF!,'8.Dgia'!A1187,#REF!)</f>
        <v>#REF!</v>
      </c>
      <c r="O1187" s="844">
        <f>+$H$1188</f>
        <v>5</v>
      </c>
      <c r="P1187" s="843" t="e">
        <f t="shared" si="49"/>
        <v>#REF!</v>
      </c>
    </row>
    <row r="1188" spans="1:18" ht="15" customHeight="1">
      <c r="A1188" s="657">
        <f>IF(B1188="",MAX($A$8:A1187)+0,MAX($A$8:A1187)+1)</f>
        <v>123</v>
      </c>
      <c r="B1188" s="835" t="str">
        <f>IF(C1188="","",COUNTA($C$10:C1189))</f>
        <v/>
      </c>
      <c r="C1188" s="362"/>
      <c r="D1188" s="362"/>
      <c r="E1188" s="852" t="s">
        <v>555</v>
      </c>
      <c r="F1188" s="848" t="str">
        <f>VLOOKUP(E1188,DICH!B:C,2,FALSE)</f>
        <v>Other material</v>
      </c>
      <c r="G1188" s="362" t="s">
        <v>554</v>
      </c>
      <c r="H1188" s="847">
        <v>5</v>
      </c>
      <c r="I1188" s="848">
        <f>SUM(J1185:J1187)</f>
        <v>530489.79564406059</v>
      </c>
      <c r="J1188" s="853">
        <f>I1188*H1188%</f>
        <v>26524.489782203033</v>
      </c>
      <c r="N1188" s="843" t="e">
        <f>SUMIF(#REF!,'8.Dgia'!A1188,#REF!)+SUMIF(#REF!,'8.Dgia'!A1188,#REF!)+SUMIF(#REF!,'8.Dgia'!A1188,#REF!)+SUMIF(#REF!,'8.Dgia'!A1188,#REF!)</f>
        <v>#REF!</v>
      </c>
      <c r="O1188" s="844"/>
      <c r="P1188" s="843" t="e">
        <f t="shared" si="49"/>
        <v>#REF!</v>
      </c>
    </row>
    <row r="1189" spans="1:18" ht="15" customHeight="1">
      <c r="A1189" s="657">
        <f>IF(B1189="",MAX($A$8:A1188)+0,MAX($A$8:A1188)+1)</f>
        <v>123</v>
      </c>
      <c r="B1189" s="835" t="str">
        <f>IF(C1189="","",COUNTA($C$10:C1190))</f>
        <v/>
      </c>
      <c r="C1189" s="362"/>
      <c r="D1189" s="362"/>
      <c r="E1189" s="852" t="s">
        <v>2039</v>
      </c>
      <c r="F1189" s="848" t="str">
        <f>VLOOKUP(E1189,DICH!B:C,2,FALSE)</f>
        <v xml:space="preserve">  B - Labour 4.0/7</v>
      </c>
      <c r="G1189" s="362" t="s">
        <v>4899</v>
      </c>
      <c r="H1189" s="847">
        <v>31.76</v>
      </c>
      <c r="I1189" s="848">
        <f>VLOOKUP(E1189,'16.NC'!$C$11:$F$22,4,FALSE)</f>
        <v>218927</v>
      </c>
      <c r="J1189" s="849">
        <f>I1189*H1189</f>
        <v>6953121.5200000005</v>
      </c>
      <c r="N1189" s="843" t="e">
        <f>SUMIF(#REF!,'8.Dgia'!A1189,#REF!)+SUMIF(#REF!,'8.Dgia'!A1189,#REF!)+SUMIF(#REF!,'8.Dgia'!A1189,#REF!)+SUMIF(#REF!,'8.Dgia'!A1189,#REF!)</f>
        <v>#REF!</v>
      </c>
      <c r="O1189" s="844"/>
      <c r="P1189" s="843" t="e">
        <f t="shared" si="49"/>
        <v>#REF!</v>
      </c>
      <c r="R1189" s="658">
        <v>1</v>
      </c>
    </row>
    <row r="1190" spans="1:18" ht="15" customHeight="1">
      <c r="A1190" s="657">
        <f>IF(B1190="",MAX($A$8:A1189)+0,MAX($A$8:A1189)+1)</f>
        <v>123</v>
      </c>
      <c r="B1190" s="835" t="str">
        <f>IF(C1190="","",COUNTA($C$10:C1191))</f>
        <v/>
      </c>
      <c r="C1190" s="362"/>
      <c r="D1190" s="362"/>
      <c r="E1190" s="852" t="s">
        <v>2033</v>
      </c>
      <c r="F1190" s="848" t="str">
        <f>VLOOKUP(E1190,DICH!B:C,2,FALSE)</f>
        <v xml:space="preserve">  C - Machine</v>
      </c>
      <c r="G1190" s="846"/>
      <c r="H1190" s="847"/>
      <c r="I1190" s="848"/>
      <c r="J1190" s="849">
        <f>SUM(J1191:J1192)</f>
        <v>136203.60449249999</v>
      </c>
      <c r="N1190" s="843" t="e">
        <f>SUMIF(#REF!,'8.Dgia'!A1190,#REF!)+SUMIF(#REF!,'8.Dgia'!A1190,#REF!)+SUMIF(#REF!,'8.Dgia'!A1190,#REF!)+SUMIF(#REF!,'8.Dgia'!A1190,#REF!)</f>
        <v>#REF!</v>
      </c>
      <c r="O1190" s="844"/>
      <c r="P1190" s="843" t="e">
        <f t="shared" si="49"/>
        <v>#REF!</v>
      </c>
    </row>
    <row r="1191" spans="1:18" ht="15" customHeight="1">
      <c r="A1191" s="657">
        <f>IF(B1191="",MAX($A$8:A1190)+0,MAX($A$8:A1190)+1)</f>
        <v>123</v>
      </c>
      <c r="B1191" s="835" t="str">
        <f>IF(C1191="","",COUNTA($C$10:C1192))</f>
        <v/>
      </c>
      <c r="C1191" s="362"/>
      <c r="D1191" s="362"/>
      <c r="E1191" s="852" t="s">
        <v>560</v>
      </c>
      <c r="F1191" s="848" t="str">
        <f>VLOOKUP(E1191,'9.may'!E:F,2,FALSE)</f>
        <v>welding machine 23kW</v>
      </c>
      <c r="G1191" s="362" t="s">
        <v>4902</v>
      </c>
      <c r="H1191" s="847">
        <v>0.69</v>
      </c>
      <c r="I1191" s="848">
        <f>VLOOKUP(E1191,'9.may'!E:W,12,FALSE)</f>
        <v>171649.155</v>
      </c>
      <c r="J1191" s="853">
        <f>I1191*H1191</f>
        <v>118437.91694999998</v>
      </c>
      <c r="N1191" s="843" t="e">
        <f>SUMIF(#REF!,'8.Dgia'!A1191,#REF!)+SUMIF(#REF!,'8.Dgia'!A1191,#REF!)+SUMIF(#REF!,'8.Dgia'!A1191,#REF!)+SUMIF(#REF!,'8.Dgia'!A1191,#REF!)</f>
        <v>#REF!</v>
      </c>
      <c r="O1191" s="844">
        <f>+$H$1192</f>
        <v>15</v>
      </c>
      <c r="P1191" s="843" t="e">
        <f t="shared" si="49"/>
        <v>#REF!</v>
      </c>
    </row>
    <row r="1192" spans="1:18" ht="15" customHeight="1">
      <c r="A1192" s="657">
        <f>IF(B1192="",MAX($A$8:A1191)+0,MAX($A$8:A1191)+1)</f>
        <v>123</v>
      </c>
      <c r="B1192" s="835" t="str">
        <f>IF(C1192="","",COUNTA($C$10:C1193))</f>
        <v/>
      </c>
      <c r="C1192" s="362"/>
      <c r="D1192" s="362"/>
      <c r="E1192" s="852" t="s">
        <v>553</v>
      </c>
      <c r="F1192" s="848" t="str">
        <f>VLOOKUP(E1192,DICH!B:C,2,FALSE)</f>
        <v>Other machine</v>
      </c>
      <c r="G1192" s="362" t="s">
        <v>554</v>
      </c>
      <c r="H1192" s="847">
        <v>15</v>
      </c>
      <c r="I1192" s="848">
        <f>J1191</f>
        <v>118437.91694999998</v>
      </c>
      <c r="J1192" s="853">
        <f>I1192*H1192%</f>
        <v>17765.687542499996</v>
      </c>
      <c r="N1192" s="843" t="e">
        <f>SUMIF(#REF!,'8.Dgia'!A1192,#REF!)+SUMIF(#REF!,'8.Dgia'!A1192,#REF!)+SUMIF(#REF!,'8.Dgia'!A1192,#REF!)+SUMIF(#REF!,'8.Dgia'!A1192,#REF!)</f>
        <v>#REF!</v>
      </c>
      <c r="O1192" s="844"/>
      <c r="P1192" s="843" t="e">
        <f t="shared" si="49"/>
        <v>#REF!</v>
      </c>
    </row>
    <row r="1193" spans="1:18" ht="15" customHeight="1">
      <c r="A1193" s="657">
        <f>IF(B1193="",MAX($A$8:A1192)+0,MAX($A$8:A1192)+1)</f>
        <v>124</v>
      </c>
      <c r="B1193" s="835">
        <f>IF(C1193="","",COUNTA($C$10:C1194))</f>
        <v>124</v>
      </c>
      <c r="C1193" s="835">
        <f>IF(D1193="","",1776)</f>
        <v>1776</v>
      </c>
      <c r="D1193" s="851" t="s">
        <v>2158</v>
      </c>
      <c r="E1193" s="855" t="s">
        <v>2159</v>
      </c>
      <c r="F1193" s="1049" t="str">
        <f>VLOOKUP(E1193,DICH!B:C,2,FALSE)</f>
        <v>Installing cover (&lt;=100kg)</v>
      </c>
      <c r="G1193" s="856" t="s">
        <v>4907</v>
      </c>
      <c r="H1193" s="847"/>
      <c r="I1193" s="848"/>
      <c r="J1193" s="853"/>
      <c r="L1193" s="842">
        <f>+J1194</f>
        <v>54731.75</v>
      </c>
      <c r="N1193" s="843" t="e">
        <f>SUMIF(#REF!,'8.Dgia'!A1193,#REF!)+SUMIF(#REF!,'8.Dgia'!A1193,#REF!)+SUMIF(#REF!,'8.Dgia'!A1193,#REF!)+SUMIF(#REF!,'8.Dgia'!A1193,#REF!)</f>
        <v>#REF!</v>
      </c>
      <c r="O1193" s="844"/>
      <c r="P1193" s="843" t="e">
        <f t="shared" si="49"/>
        <v>#REF!</v>
      </c>
    </row>
    <row r="1194" spans="1:18" s="658" customFormat="1" ht="15" customHeight="1">
      <c r="A1194" s="657">
        <f>IF(B1194="",MAX($A$8:A1193)+0,MAX($A$8:A1193)+1)</f>
        <v>124</v>
      </c>
      <c r="B1194" s="835" t="str">
        <f>IF(C1194="","",COUNTA($C$10:C1195))</f>
        <v/>
      </c>
      <c r="C1194" s="362"/>
      <c r="D1194" s="851"/>
      <c r="E1194" s="852" t="s">
        <v>2039</v>
      </c>
      <c r="F1194" s="848" t="str">
        <f>VLOOKUP(E1194,DICH!B:C,2,FALSE)</f>
        <v xml:space="preserve">  B - Labour 4.0/7</v>
      </c>
      <c r="G1194" s="362" t="s">
        <v>4899</v>
      </c>
      <c r="H1194" s="847">
        <v>0.25</v>
      </c>
      <c r="I1194" s="848">
        <f>VLOOKUP(E1194,'16.NC'!$C$11:$F$22,4,FALSE)</f>
        <v>218927</v>
      </c>
      <c r="J1194" s="849">
        <f>I1194*H1194</f>
        <v>54731.75</v>
      </c>
      <c r="K1194" s="850"/>
      <c r="L1194" s="850"/>
      <c r="M1194" s="850"/>
      <c r="N1194" s="843" t="e">
        <f>SUMIF(#REF!,'8.Dgia'!A1194,#REF!)+SUMIF(#REF!,'8.Dgia'!A1194,#REF!)+SUMIF(#REF!,'8.Dgia'!A1194,#REF!)+SUMIF(#REF!,'8.Dgia'!A1194,#REF!)</f>
        <v>#REF!</v>
      </c>
      <c r="O1194" s="844"/>
      <c r="P1194" s="843" t="e">
        <f t="shared" si="49"/>
        <v>#REF!</v>
      </c>
      <c r="R1194" s="658">
        <v>1</v>
      </c>
    </row>
    <row r="1195" spans="1:18" ht="15" customHeight="1">
      <c r="A1195" s="657">
        <f>IF(B1195="",MAX($A$8:A1194)+0,MAX($A$8:A1194)+1)</f>
        <v>125</v>
      </c>
      <c r="B1195" s="835">
        <f>IF(C1195="","",COUNTA($C$10:C1196))</f>
        <v>125</v>
      </c>
      <c r="C1195" s="835">
        <f>IF(D1195="","",1776)</f>
        <v>1776</v>
      </c>
      <c r="D1195" s="851" t="s">
        <v>2158</v>
      </c>
      <c r="E1195" s="855" t="s">
        <v>2201</v>
      </c>
      <c r="F1195" s="1049" t="str">
        <f>VLOOKUP(E1195,DICH!B:C,2,FALSE)</f>
        <v>Embanking dikes by sand bag</v>
      </c>
      <c r="G1195" s="856" t="s">
        <v>4652</v>
      </c>
      <c r="H1195" s="847"/>
      <c r="I1195" s="848"/>
      <c r="J1195" s="853"/>
      <c r="L1195" s="842">
        <f>+J1196</f>
        <v>54731.75</v>
      </c>
      <c r="N1195" s="843" t="e">
        <f>SUMIF(#REF!,'8.Dgia'!A1195,#REF!)+SUMIF(#REF!,'8.Dgia'!A1195,#REF!)+SUMIF(#REF!,'8.Dgia'!A1195,#REF!)+SUMIF(#REF!,'8.Dgia'!A1195,#REF!)</f>
        <v>#REF!</v>
      </c>
      <c r="O1195" s="844"/>
      <c r="P1195" s="843" t="e">
        <f>$H1195*N1195*(1+O1195%)</f>
        <v>#REF!</v>
      </c>
    </row>
    <row r="1196" spans="1:18" s="658" customFormat="1" ht="15" customHeight="1">
      <c r="A1196" s="657">
        <f>IF(B1196="",MAX($A$8:A1195)+0,MAX($A$8:A1195)+1)</f>
        <v>125</v>
      </c>
      <c r="B1196" s="835" t="str">
        <f>IF(C1196="","",COUNTA($C$10:C1197))</f>
        <v/>
      </c>
      <c r="C1196" s="362"/>
      <c r="D1196" s="851"/>
      <c r="E1196" s="852" t="s">
        <v>2039</v>
      </c>
      <c r="F1196" s="848" t="str">
        <f>VLOOKUP(E1196,DICH!B:C,2,FALSE)</f>
        <v xml:space="preserve">  B - Labour 4.0/7</v>
      </c>
      <c r="G1196" s="362" t="s">
        <v>4899</v>
      </c>
      <c r="H1196" s="847">
        <v>0.25</v>
      </c>
      <c r="I1196" s="848">
        <f>VLOOKUP(E1196,'16.NC'!$C$11:$F$22,4,FALSE)</f>
        <v>218927</v>
      </c>
      <c r="J1196" s="849">
        <f>I1196*H1196</f>
        <v>54731.75</v>
      </c>
      <c r="K1196" s="850"/>
      <c r="L1196" s="850"/>
      <c r="M1196" s="850"/>
      <c r="N1196" s="843" t="e">
        <f>SUMIF(#REF!,'8.Dgia'!A1196,#REF!)+SUMIF(#REF!,'8.Dgia'!A1196,#REF!)+SUMIF(#REF!,'8.Dgia'!A1196,#REF!)+SUMIF(#REF!,'8.Dgia'!A1196,#REF!)</f>
        <v>#REF!</v>
      </c>
      <c r="O1196" s="844"/>
      <c r="P1196" s="843" t="e">
        <f>$H1196*N1196*(1+O1196%)</f>
        <v>#REF!</v>
      </c>
      <c r="R1196" s="658">
        <v>1</v>
      </c>
    </row>
    <row r="1197" spans="1:18" ht="28.5" customHeight="1">
      <c r="A1197" s="657">
        <f>IF(B1197="",MAX($A$8:A1196)+0,MAX($A$8:A1196)+1)</f>
        <v>126</v>
      </c>
      <c r="B1197" s="835">
        <f>IF(C1197="","",COUNTA($C$10:C1198))</f>
        <v>126</v>
      </c>
      <c r="C1197" s="835">
        <f>IF(D1197="","",1776)</f>
        <v>1776</v>
      </c>
      <c r="D1197" s="851" t="s">
        <v>430</v>
      </c>
      <c r="E1197" s="808" t="s">
        <v>3626</v>
      </c>
      <c r="F1197" s="1049" t="str">
        <f>VLOOKUP(E1197,DICH!B:C,2,FALSE)</f>
        <v>Installing RC block, weight &lt;3tons/ea</v>
      </c>
      <c r="G1197" s="856" t="s">
        <v>2174</v>
      </c>
      <c r="H1197" s="847"/>
      <c r="I1197" s="848"/>
      <c r="J1197" s="853"/>
      <c r="L1197" s="842">
        <f>+J1198</f>
        <v>19703.43</v>
      </c>
      <c r="M1197" s="842">
        <f>+J1199</f>
        <v>47994.14312727272</v>
      </c>
      <c r="N1197" s="843" t="e">
        <f>SUMIF(#REF!,'8.Dgia'!A1197,#REF!)+SUMIF(#REF!,'8.Dgia'!A1197,#REF!)+SUMIF(#REF!,'8.Dgia'!A1197,#REF!)+SUMIF(#REF!,'8.Dgia'!A1197,#REF!)</f>
        <v>#REF!</v>
      </c>
      <c r="O1197" s="844"/>
      <c r="P1197" s="843" t="e">
        <f t="shared" si="49"/>
        <v>#REF!</v>
      </c>
    </row>
    <row r="1198" spans="1:18" s="658" customFormat="1" ht="15" customHeight="1">
      <c r="A1198" s="657">
        <f>IF(B1198="",MAX($A$8:A1197)+0,MAX($A$8:A1197)+1)</f>
        <v>126</v>
      </c>
      <c r="B1198" s="835" t="str">
        <f>IF(C1198="","",COUNTA($C$10:C1199))</f>
        <v/>
      </c>
      <c r="C1198" s="362"/>
      <c r="D1198" s="851"/>
      <c r="E1198" s="852" t="s">
        <v>2039</v>
      </c>
      <c r="F1198" s="848" t="str">
        <f>VLOOKUP(E1198,DICH!B:C,2,FALSE)</f>
        <v xml:space="preserve">  B - Labour 4.0/7</v>
      </c>
      <c r="G1198" s="362" t="s">
        <v>4899</v>
      </c>
      <c r="H1198" s="847">
        <v>0.09</v>
      </c>
      <c r="I1198" s="848">
        <f>VLOOKUP(E1198,'16.NC'!$C$11:$F$22,4,FALSE)</f>
        <v>218927</v>
      </c>
      <c r="J1198" s="849">
        <f>I1198*H1198</f>
        <v>19703.43</v>
      </c>
      <c r="K1198" s="850"/>
      <c r="L1198" s="850"/>
      <c r="M1198" s="850"/>
      <c r="N1198" s="843" t="e">
        <f>SUMIF(#REF!,'8.Dgia'!A1198,#REF!)+SUMIF(#REF!,'8.Dgia'!A1198,#REF!)+SUMIF(#REF!,'8.Dgia'!A1198,#REF!)+SUMIF(#REF!,'8.Dgia'!A1198,#REF!)</f>
        <v>#REF!</v>
      </c>
      <c r="O1198" s="844"/>
      <c r="P1198" s="843" t="e">
        <f t="shared" si="49"/>
        <v>#REF!</v>
      </c>
      <c r="R1198" s="658">
        <v>1</v>
      </c>
    </row>
    <row r="1199" spans="1:18" s="658" customFormat="1" ht="15" customHeight="1">
      <c r="A1199" s="657">
        <f>IF(B1199="",MAX($A$8:A1198)+0,MAX($A$8:A1198)+1)</f>
        <v>126</v>
      </c>
      <c r="B1199" s="835" t="str">
        <f>IF(C1199="","",COUNTA($C$10:C1200))</f>
        <v/>
      </c>
      <c r="C1199" s="362"/>
      <c r="D1199" s="845"/>
      <c r="E1199" s="852" t="s">
        <v>2033</v>
      </c>
      <c r="F1199" s="848" t="str">
        <f>VLOOKUP(E1199,DICH!B:C,2,FALSE)</f>
        <v xml:space="preserve">  C - Machine</v>
      </c>
      <c r="G1199" s="846"/>
      <c r="H1199" s="847"/>
      <c r="I1199" s="848"/>
      <c r="J1199" s="849">
        <f>SUM(J1200:J1201)</f>
        <v>47994.14312727272</v>
      </c>
      <c r="K1199" s="850"/>
      <c r="L1199" s="850"/>
      <c r="M1199" s="850"/>
      <c r="N1199" s="843" t="e">
        <f>SUMIF(#REF!,'8.Dgia'!A1199,#REF!)+SUMIF(#REF!,'8.Dgia'!A1199,#REF!)+SUMIF(#REF!,'8.Dgia'!A1199,#REF!)+SUMIF(#REF!,'8.Dgia'!A1199,#REF!)</f>
        <v>#REF!</v>
      </c>
      <c r="O1199" s="844"/>
      <c r="P1199" s="843" t="e">
        <f t="shared" si="49"/>
        <v>#REF!</v>
      </c>
    </row>
    <row r="1200" spans="1:18" ht="15" customHeight="1">
      <c r="A1200" s="657">
        <f>IF(B1200="",MAX($A$8:A1199)+0,MAX($A$8:A1199)+1)</f>
        <v>126</v>
      </c>
      <c r="B1200" s="835" t="str">
        <f>IF(C1200="","",COUNTA($C$10:C1201))</f>
        <v/>
      </c>
      <c r="C1200" s="362"/>
      <c r="D1200" s="851"/>
      <c r="E1200" s="852" t="s">
        <v>1011</v>
      </c>
      <c r="F1200" s="848" t="str">
        <f>VLOOKUP(E1200,'9.may'!E:F,2,FALSE)</f>
        <v>truck-mounted crane 10T</v>
      </c>
      <c r="G1200" s="362" t="s">
        <v>4902</v>
      </c>
      <c r="H1200" s="847">
        <v>1.7999999999999999E-2</v>
      </c>
      <c r="I1200" s="848">
        <f>VLOOKUP(E1200,'9.may'!E:W,12,FALSE)</f>
        <v>1712734.8681818182</v>
      </c>
      <c r="J1200" s="853">
        <f>I1200*H1200</f>
        <v>30829.227627272725</v>
      </c>
      <c r="N1200" s="843" t="e">
        <f>SUMIF(#REF!,'8.Dgia'!A1200,#REF!)+SUMIF(#REF!,'8.Dgia'!A1200,#REF!)+SUMIF(#REF!,'8.Dgia'!A1200,#REF!)+SUMIF(#REF!,'8.Dgia'!A1200,#REF!)</f>
        <v>#REF!</v>
      </c>
      <c r="O1200" s="844"/>
      <c r="P1200" s="843" t="e">
        <f t="shared" si="49"/>
        <v>#REF!</v>
      </c>
    </row>
    <row r="1201" spans="1:18" ht="15" customHeight="1">
      <c r="A1201" s="657">
        <f>IF(B1201="",MAX($A$8:A1200)+0,MAX($A$8:A1200)+1)</f>
        <v>126</v>
      </c>
      <c r="B1201" s="835" t="str">
        <f>IF(C1201="","",COUNTA($C$10:C1202))</f>
        <v/>
      </c>
      <c r="C1201" s="362"/>
      <c r="D1201" s="851"/>
      <c r="E1201" s="852" t="s">
        <v>560</v>
      </c>
      <c r="F1201" s="848" t="str">
        <f>VLOOKUP(E1201,'9.may'!E:F,2,FALSE)</f>
        <v>welding machine 23kW</v>
      </c>
      <c r="G1201" s="362" t="s">
        <v>4902</v>
      </c>
      <c r="H1201" s="847">
        <v>0.1</v>
      </c>
      <c r="I1201" s="848">
        <f>VLOOKUP(E1201,'9.may'!E:W,12,FALSE)</f>
        <v>171649.155</v>
      </c>
      <c r="J1201" s="853">
        <f>I1201*H1201</f>
        <v>17164.915499999999</v>
      </c>
      <c r="N1201" s="843" t="e">
        <f>SUMIF(#REF!,'8.Dgia'!A1201,#REF!)+SUMIF(#REF!,'8.Dgia'!A1201,#REF!)+SUMIF(#REF!,'8.Dgia'!A1201,#REF!)+SUMIF(#REF!,'8.Dgia'!A1201,#REF!)</f>
        <v>#REF!</v>
      </c>
      <c r="O1201" s="844"/>
      <c r="P1201" s="843" t="e">
        <f t="shared" si="49"/>
        <v>#REF!</v>
      </c>
    </row>
    <row r="1202" spans="1:18" ht="19.5" customHeight="1">
      <c r="A1202" s="657">
        <f>IF(B1202="",MAX($A$8:A1201)+0,MAX($A$8:A1201)+1)</f>
        <v>127</v>
      </c>
      <c r="B1202" s="835">
        <f>IF(C1202="","",COUNTA($C$10:C1203))</f>
        <v>127</v>
      </c>
      <c r="C1202" s="835">
        <f>IF(D1202="","",1776)</f>
        <v>1776</v>
      </c>
      <c r="D1202" s="851" t="s">
        <v>3539</v>
      </c>
      <c r="E1202" s="808" t="s">
        <v>3907</v>
      </c>
      <c r="F1202" s="1049" t="str">
        <f>VLOOKUP(E1202,DICH!B:C,2,FALSE)</f>
        <v>Craning bearing</v>
      </c>
      <c r="G1202" s="856" t="s">
        <v>2174</v>
      </c>
      <c r="H1202" s="847"/>
      <c r="I1202" s="848"/>
      <c r="J1202" s="853"/>
      <c r="M1202" s="842">
        <f>+J1203</f>
        <v>30829.227627272725</v>
      </c>
      <c r="N1202" s="843" t="e">
        <f>SUMIF(#REF!,'8.Dgia'!A1202,#REF!)+SUMIF(#REF!,'8.Dgia'!A1202,#REF!)+SUMIF(#REF!,'8.Dgia'!A1202,#REF!)+SUMIF(#REF!,'8.Dgia'!A1202,#REF!)</f>
        <v>#REF!</v>
      </c>
      <c r="O1202" s="844"/>
      <c r="P1202" s="843" t="e">
        <f>$H1202*N1202*(1+O1202%)</f>
        <v>#REF!</v>
      </c>
    </row>
    <row r="1203" spans="1:18" s="658" customFormat="1" ht="15" customHeight="1">
      <c r="A1203" s="657">
        <f>IF(B1203="",MAX($A$8:A1202)+0,MAX($A$8:A1202)+1)</f>
        <v>127</v>
      </c>
      <c r="B1203" s="835" t="str">
        <f>IF(C1203="","",COUNTA($C$10:C1204))</f>
        <v/>
      </c>
      <c r="C1203" s="362"/>
      <c r="D1203" s="845"/>
      <c r="E1203" s="852" t="s">
        <v>2033</v>
      </c>
      <c r="F1203" s="848" t="str">
        <f>VLOOKUP(E1203,DICH!B:C,2,FALSE)</f>
        <v xml:space="preserve">  C - Machine</v>
      </c>
      <c r="G1203" s="846"/>
      <c r="H1203" s="847"/>
      <c r="I1203" s="848"/>
      <c r="J1203" s="849">
        <f>SUM(J1204:J1204)</f>
        <v>30829.227627272725</v>
      </c>
      <c r="K1203" s="850"/>
      <c r="L1203" s="850"/>
      <c r="M1203" s="850"/>
      <c r="N1203" s="843" t="e">
        <f>SUMIF(#REF!,'8.Dgia'!A1203,#REF!)+SUMIF(#REF!,'8.Dgia'!A1203,#REF!)+SUMIF(#REF!,'8.Dgia'!A1203,#REF!)+SUMIF(#REF!,'8.Dgia'!A1203,#REF!)</f>
        <v>#REF!</v>
      </c>
      <c r="O1203" s="844"/>
      <c r="P1203" s="843" t="e">
        <f>$H1203*N1203*(1+O1203%)</f>
        <v>#REF!</v>
      </c>
    </row>
    <row r="1204" spans="1:18" ht="15" customHeight="1">
      <c r="A1204" s="657">
        <f>IF(B1204="",MAX($A$8:A1203)+0,MAX($A$8:A1203)+1)</f>
        <v>127</v>
      </c>
      <c r="B1204" s="835" t="str">
        <f>IF(C1204="","",COUNTA($C$10:C1205))</f>
        <v/>
      </c>
      <c r="C1204" s="362"/>
      <c r="D1204" s="851"/>
      <c r="E1204" s="852" t="s">
        <v>1011</v>
      </c>
      <c r="F1204" s="848" t="str">
        <f>VLOOKUP(E1204,'9.may'!E:F,2,FALSE)</f>
        <v>truck-mounted crane 10T</v>
      </c>
      <c r="G1204" s="362" t="s">
        <v>4902</v>
      </c>
      <c r="H1204" s="847">
        <v>1.7999999999999999E-2</v>
      </c>
      <c r="I1204" s="848">
        <f>VLOOKUP(E1204,'9.may'!E:W,12,FALSE)</f>
        <v>1712734.8681818182</v>
      </c>
      <c r="J1204" s="853">
        <f>I1204*H1204</f>
        <v>30829.227627272725</v>
      </c>
      <c r="N1204" s="843" t="e">
        <f>SUMIF(#REF!,'8.Dgia'!A1204,#REF!)+SUMIF(#REF!,'8.Dgia'!A1204,#REF!)+SUMIF(#REF!,'8.Dgia'!A1204,#REF!)+SUMIF(#REF!,'8.Dgia'!A1204,#REF!)</f>
        <v>#REF!</v>
      </c>
      <c r="O1204" s="844"/>
      <c r="P1204" s="843" t="e">
        <f>$H1204*N1204*(1+O1204%)</f>
        <v>#REF!</v>
      </c>
    </row>
    <row r="1205" spans="1:18" ht="15" customHeight="1">
      <c r="A1205" s="657">
        <f>IF(B1205="",MAX($A$8:A1204)+0,MAX($A$8:A1204)+1)</f>
        <v>128</v>
      </c>
      <c r="B1205" s="835">
        <f>IF(C1205="","",COUNTA($C$10:C1206))</f>
        <v>128</v>
      </c>
      <c r="C1205" s="835">
        <f>IF(D1205="","",1776)</f>
        <v>1776</v>
      </c>
      <c r="D1205" s="851" t="s">
        <v>341</v>
      </c>
      <c r="E1205" s="855" t="s">
        <v>342</v>
      </c>
      <c r="F1205" s="1049" t="str">
        <f>VLOOKUP(E1205,DICH!B:C,2,FALSE)</f>
        <v>Installing expansion joint 10cm</v>
      </c>
      <c r="G1205" s="856" t="s">
        <v>543</v>
      </c>
      <c r="H1205" s="847"/>
      <c r="I1205" s="848"/>
      <c r="J1205" s="857"/>
      <c r="K1205" s="842">
        <f>+J1206</f>
        <v>27456345</v>
      </c>
      <c r="L1205" s="842">
        <f>+J1209</f>
        <v>153248.9</v>
      </c>
      <c r="N1205" s="843" t="e">
        <f>SUMIF(#REF!,'8.Dgia'!A1205,#REF!)+SUMIF(#REF!,'8.Dgia'!A1205,#REF!)+SUMIF(#REF!,'8.Dgia'!A1205,#REF!)+SUMIF(#REF!,'8.Dgia'!A1205,#REF!)</f>
        <v>#REF!</v>
      </c>
      <c r="O1205" s="844"/>
      <c r="P1205" s="843" t="e">
        <f t="shared" si="49"/>
        <v>#REF!</v>
      </c>
    </row>
    <row r="1206" spans="1:18" s="658" customFormat="1" ht="15" customHeight="1">
      <c r="A1206" s="657">
        <f>IF(B1206="",MAX($A$8:A1205)+0,MAX($A$8:A1205)+1)</f>
        <v>128</v>
      </c>
      <c r="B1206" s="835" t="str">
        <f>IF(C1206="","",COUNTA($C$10:C1207))</f>
        <v/>
      </c>
      <c r="C1206" s="362"/>
      <c r="D1206" s="845"/>
      <c r="E1206" s="852" t="s">
        <v>2032</v>
      </c>
      <c r="F1206" s="848" t="str">
        <f>VLOOKUP(E1206,DICH!B:C,2,FALSE)</f>
        <v xml:space="preserve">  A - Material</v>
      </c>
      <c r="G1206" s="846"/>
      <c r="H1206" s="847"/>
      <c r="I1206" s="848"/>
      <c r="J1206" s="849">
        <f>SUM(J1207:J1208)</f>
        <v>27456345</v>
      </c>
      <c r="K1206" s="850"/>
      <c r="L1206" s="850"/>
      <c r="M1206" s="850"/>
      <c r="N1206" s="843" t="e">
        <f>SUMIF(#REF!,'8.Dgia'!A1206,#REF!)+SUMIF(#REF!,'8.Dgia'!A1206,#REF!)+SUMIF(#REF!,'8.Dgia'!A1206,#REF!)+SUMIF(#REF!,'8.Dgia'!A1206,#REF!)</f>
        <v>#REF!</v>
      </c>
      <c r="O1206" s="844"/>
      <c r="P1206" s="843" t="e">
        <f t="shared" si="49"/>
        <v>#REF!</v>
      </c>
    </row>
    <row r="1207" spans="1:18" ht="15" customHeight="1">
      <c r="A1207" s="657">
        <f>IF(B1207="",MAX($A$8:A1206)+0,MAX($A$8:A1206)+1)</f>
        <v>128</v>
      </c>
      <c r="B1207" s="835" t="str">
        <f>IF(C1207="","",COUNTA($C$10:C1208))</f>
        <v/>
      </c>
      <c r="C1207" s="362"/>
      <c r="D1207" s="851"/>
      <c r="E1207" s="852" t="s">
        <v>594</v>
      </c>
      <c r="F1207" s="848" t="str">
        <f>VLOOKUP(E1207,DICH!B:C,2,FALSE)</f>
        <v>Expansion joint 10cm</v>
      </c>
      <c r="G1207" s="362" t="s">
        <v>543</v>
      </c>
      <c r="H1207" s="847">
        <v>1.05</v>
      </c>
      <c r="I1207" s="848">
        <f>VLOOKUP(E1207,'11.gia '!$B:$I,8,FALSE)</f>
        <v>25890000</v>
      </c>
      <c r="J1207" s="853">
        <f>I1207*H1207</f>
        <v>27184500</v>
      </c>
      <c r="N1207" s="843" t="e">
        <f>SUMIF(#REF!,'8.Dgia'!A1207,#REF!)+SUMIF(#REF!,'8.Dgia'!A1207,#REF!)+SUMIF(#REF!,'8.Dgia'!A1207,#REF!)+SUMIF(#REF!,'8.Dgia'!A1207,#REF!)</f>
        <v>#REF!</v>
      </c>
      <c r="O1207" s="844">
        <f>+$H$1208</f>
        <v>1</v>
      </c>
      <c r="P1207" s="843" t="e">
        <f t="shared" si="49"/>
        <v>#REF!</v>
      </c>
    </row>
    <row r="1208" spans="1:18" ht="15" customHeight="1">
      <c r="A1208" s="657">
        <f>IF(B1208="",MAX($A$8:A1207)+0,MAX($A$8:A1207)+1)</f>
        <v>128</v>
      </c>
      <c r="B1208" s="835" t="str">
        <f>IF(C1208="","",COUNTA($C$10:C1209))</f>
        <v/>
      </c>
      <c r="C1208" s="362"/>
      <c r="D1208" s="851"/>
      <c r="E1208" s="852" t="s">
        <v>555</v>
      </c>
      <c r="F1208" s="848" t="str">
        <f>VLOOKUP(E1208,DICH!B:C,2,FALSE)</f>
        <v>Other material</v>
      </c>
      <c r="G1208" s="362" t="s">
        <v>554</v>
      </c>
      <c r="H1208" s="847">
        <v>1</v>
      </c>
      <c r="I1208" s="848">
        <f>J1207</f>
        <v>27184500</v>
      </c>
      <c r="J1208" s="853">
        <f>I1208*H1208%</f>
        <v>271845</v>
      </c>
      <c r="N1208" s="843" t="e">
        <f>SUMIF(#REF!,'8.Dgia'!A1208,#REF!)+SUMIF(#REF!,'8.Dgia'!A1208,#REF!)+SUMIF(#REF!,'8.Dgia'!A1208,#REF!)+SUMIF(#REF!,'8.Dgia'!A1208,#REF!)</f>
        <v>#REF!</v>
      </c>
      <c r="O1208" s="844"/>
      <c r="P1208" s="843" t="e">
        <f t="shared" si="49"/>
        <v>#REF!</v>
      </c>
    </row>
    <row r="1209" spans="1:18" s="658" customFormat="1" ht="15" customHeight="1">
      <c r="A1209" s="657">
        <f>IF(B1209="",MAX($A$8:A1208)+0,MAX($A$8:A1208)+1)</f>
        <v>128</v>
      </c>
      <c r="B1209" s="835" t="str">
        <f>IF(C1209="","",COUNTA($C$10:C1210))</f>
        <v/>
      </c>
      <c r="C1209" s="362"/>
      <c r="D1209" s="845"/>
      <c r="E1209" s="852" t="s">
        <v>2039</v>
      </c>
      <c r="F1209" s="848" t="str">
        <f>VLOOKUP(E1209,DICH!B:C,2,FALSE)</f>
        <v xml:space="preserve">  B - Labour 4.0/7</v>
      </c>
      <c r="G1209" s="362" t="s">
        <v>4899</v>
      </c>
      <c r="H1209" s="847">
        <v>0.7</v>
      </c>
      <c r="I1209" s="848">
        <f>VLOOKUP(E1209,'16.NC'!$C$11:$F$22,4,FALSE)</f>
        <v>218927</v>
      </c>
      <c r="J1209" s="849">
        <f>I1209*H1209</f>
        <v>153248.9</v>
      </c>
      <c r="K1209" s="850"/>
      <c r="L1209" s="850"/>
      <c r="M1209" s="850"/>
      <c r="N1209" s="843" t="e">
        <f>SUMIF(#REF!,'8.Dgia'!A1209,#REF!)+SUMIF(#REF!,'8.Dgia'!A1209,#REF!)+SUMIF(#REF!,'8.Dgia'!A1209,#REF!)+SUMIF(#REF!,'8.Dgia'!A1209,#REF!)</f>
        <v>#REF!</v>
      </c>
      <c r="O1209" s="844"/>
      <c r="P1209" s="843" t="e">
        <f t="shared" si="49"/>
        <v>#REF!</v>
      </c>
      <c r="R1209" s="658">
        <v>1</v>
      </c>
    </row>
    <row r="1210" spans="1:18" ht="15" customHeight="1">
      <c r="A1210" s="657">
        <f>IF(B1210="",MAX($A$8:A1209)+0,MAX($A$8:A1209)+1)</f>
        <v>129</v>
      </c>
      <c r="B1210" s="835">
        <f>IF(C1210="","",COUNTA($C$10:C1211))</f>
        <v>129</v>
      </c>
      <c r="C1210" s="835">
        <v>1091</v>
      </c>
      <c r="D1210" s="851" t="s">
        <v>3832</v>
      </c>
      <c r="E1210" s="855" t="s">
        <v>3833</v>
      </c>
      <c r="F1210" s="1049" t="str">
        <f>VLOOKUP(E1210,DICH!B:C,2,FALSE)</f>
        <v>Installing expansion joint 24cm</v>
      </c>
      <c r="G1210" s="856" t="s">
        <v>543</v>
      </c>
      <c r="H1210" s="847"/>
      <c r="I1210" s="848"/>
      <c r="J1210" s="857"/>
      <c r="K1210" s="842">
        <f>+J1211</f>
        <v>75709318.83993116</v>
      </c>
      <c r="L1210" s="842">
        <f>+J1226</f>
        <v>3025571.14</v>
      </c>
      <c r="M1210" s="842">
        <f>J1227</f>
        <v>861108.48996920185</v>
      </c>
      <c r="N1210" s="843" t="e">
        <f>SUMIF(#REF!,'8.Dgia'!A1210,#REF!)+SUMIF(#REF!,'8.Dgia'!A1210,#REF!)+SUMIF(#REF!,'8.Dgia'!A1210,#REF!)+SUMIF(#REF!,'8.Dgia'!A1210,#REF!)</f>
        <v>#REF!</v>
      </c>
      <c r="O1210" s="844"/>
      <c r="P1210" s="843" t="e">
        <f t="shared" si="49"/>
        <v>#REF!</v>
      </c>
    </row>
    <row r="1211" spans="1:18" s="658" customFormat="1" ht="15" customHeight="1">
      <c r="A1211" s="657">
        <f>IF(B1211="",MAX($A$8:A1210)+0,MAX($A$8:A1210)+1)</f>
        <v>129</v>
      </c>
      <c r="B1211" s="835" t="str">
        <f>IF(C1211="","",COUNTA($C$10:C1212))</f>
        <v/>
      </c>
      <c r="C1211" s="362"/>
      <c r="D1211" s="845"/>
      <c r="E1211" s="852" t="s">
        <v>2032</v>
      </c>
      <c r="F1211" s="848" t="str">
        <f>VLOOKUP(E1211,DICH!B:C,2,FALSE)</f>
        <v xml:space="preserve">  A - Material</v>
      </c>
      <c r="G1211" s="846"/>
      <c r="H1211" s="847"/>
      <c r="I1211" s="848"/>
      <c r="J1211" s="849">
        <f>SUM(J1212:J1225)</f>
        <v>75709318.83993116</v>
      </c>
      <c r="K1211" s="850"/>
      <c r="L1211" s="850"/>
      <c r="M1211" s="850"/>
      <c r="N1211" s="843" t="e">
        <f>SUMIF(#REF!,'8.Dgia'!A1211,#REF!)+SUMIF(#REF!,'8.Dgia'!A1211,#REF!)+SUMIF(#REF!,'8.Dgia'!A1211,#REF!)+SUMIF(#REF!,'8.Dgia'!A1211,#REF!)</f>
        <v>#REF!</v>
      </c>
      <c r="O1211" s="844"/>
      <c r="P1211" s="843" t="e">
        <f t="shared" ref="P1211:P1242" si="52">$H1211*N1211*(1+O1211%)</f>
        <v>#REF!</v>
      </c>
    </row>
    <row r="1212" spans="1:18" ht="15" customHeight="1">
      <c r="A1212" s="657">
        <f>IF(B1212="",MAX($A$8:A1211)+0,MAX($A$8:A1211)+1)</f>
        <v>129</v>
      </c>
      <c r="B1212" s="835" t="str">
        <f>IF(C1212="","",COUNTA($C$10:C1213))</f>
        <v/>
      </c>
      <c r="C1212" s="362"/>
      <c r="D1212" s="851"/>
      <c r="E1212" s="852" t="s">
        <v>2025</v>
      </c>
      <c r="F1212" s="848" t="str">
        <f>VLOOKUP(E1212,DICH!B:C,2,FALSE)</f>
        <v>Expansion joint 24cm</v>
      </c>
      <c r="G1212" s="362" t="s">
        <v>543</v>
      </c>
      <c r="H1212" s="847">
        <v>1.05</v>
      </c>
      <c r="I1212" s="848">
        <f>VLOOKUP(E1212,'11.gia '!$B:$I,8,FALSE)</f>
        <v>70727272.727272719</v>
      </c>
      <c r="J1212" s="853">
        <f>I1212*H1212</f>
        <v>74263636.36363636</v>
      </c>
      <c r="N1212" s="843" t="e">
        <f>SUMIF(#REF!,'8.Dgia'!A1212,#REF!)+SUMIF(#REF!,'8.Dgia'!A1212,#REF!)+SUMIF(#REF!,'8.Dgia'!A1212,#REF!)+SUMIF(#REF!,'8.Dgia'!A1212,#REF!)</f>
        <v>#REF!</v>
      </c>
      <c r="O1212" s="844">
        <f>+$H$1225</f>
        <v>1.5</v>
      </c>
      <c r="P1212" s="843" t="e">
        <f t="shared" si="52"/>
        <v>#REF!</v>
      </c>
    </row>
    <row r="1213" spans="1:18" ht="15" customHeight="1">
      <c r="A1213" s="657">
        <f>IF(B1213="",MAX($A$8:A1212)+0,MAX($A$8:A1212)+1)</f>
        <v>129</v>
      </c>
      <c r="B1213" s="835" t="str">
        <f>IF(C1213="","",COUNTA($C$10:C1214))</f>
        <v/>
      </c>
      <c r="C1213" s="362"/>
      <c r="D1213" s="851"/>
      <c r="E1213" s="852" t="s">
        <v>568</v>
      </c>
      <c r="F1213" s="848" t="str">
        <f>VLOOKUP(E1213,DICH!B:C,2,FALSE)</f>
        <v>Non-shringkage mortar</v>
      </c>
      <c r="G1213" s="362" t="s">
        <v>545</v>
      </c>
      <c r="H1213" s="847"/>
      <c r="I1213" s="848">
        <f>VLOOKUP(E1213,'11.gia '!$B:$I,8,FALSE)</f>
        <v>21243140</v>
      </c>
      <c r="J1213" s="853">
        <f t="shared" ref="J1213:J1224" si="53">I1213*H1213</f>
        <v>0</v>
      </c>
      <c r="N1213" s="843" t="e">
        <f>SUMIF(#REF!,'8.Dgia'!A1213,#REF!)+SUMIF(#REF!,'8.Dgia'!A1213,#REF!)+SUMIF(#REF!,'8.Dgia'!A1213,#REF!)+SUMIF(#REF!,'8.Dgia'!A1213,#REF!)</f>
        <v>#REF!</v>
      </c>
      <c r="O1213" s="844">
        <f t="shared" ref="O1213:O1225" si="54">+$H$1225</f>
        <v>1.5</v>
      </c>
      <c r="P1213" s="843" t="e">
        <f t="shared" si="52"/>
        <v>#REF!</v>
      </c>
    </row>
    <row r="1214" spans="1:18" ht="15" customHeight="1">
      <c r="A1214" s="657">
        <f>IF(B1214="",MAX($A$8:A1213)+0,MAX($A$8:A1213)+1)</f>
        <v>129</v>
      </c>
      <c r="B1214" s="835" t="str">
        <f>IF(C1214="","",COUNTA($C$10:C1215))</f>
        <v/>
      </c>
      <c r="C1214" s="362"/>
      <c r="D1214" s="851"/>
      <c r="E1214" s="852" t="s">
        <v>564</v>
      </c>
      <c r="F1214" s="848" t="str">
        <f>VLOOKUP(E1214,DICH!B:C,2,FALSE)</f>
        <v>oxygen</v>
      </c>
      <c r="G1214" s="362" t="s">
        <v>4647</v>
      </c>
      <c r="H1214" s="847">
        <v>3.5999999999999997E-2</v>
      </c>
      <c r="I1214" s="848">
        <f>VLOOKUP(E1214,'11.gia '!$B:$I,8,FALSE)</f>
        <v>48000</v>
      </c>
      <c r="J1214" s="853">
        <f t="shared" si="53"/>
        <v>1727.9999999999998</v>
      </c>
      <c r="N1214" s="843" t="e">
        <f>SUMIF(#REF!,'8.Dgia'!A1214,#REF!)+SUMIF(#REF!,'8.Dgia'!A1214,#REF!)+SUMIF(#REF!,'8.Dgia'!A1214,#REF!)+SUMIF(#REF!,'8.Dgia'!A1214,#REF!)</f>
        <v>#REF!</v>
      </c>
      <c r="O1214" s="844">
        <f t="shared" si="54"/>
        <v>1.5</v>
      </c>
      <c r="P1214" s="843" t="e">
        <f t="shared" si="52"/>
        <v>#REF!</v>
      </c>
    </row>
    <row r="1215" spans="1:18" ht="15" customHeight="1">
      <c r="A1215" s="657">
        <f>IF(B1215="",MAX($A$8:A1214)+0,MAX($A$8:A1214)+1)</f>
        <v>129</v>
      </c>
      <c r="B1215" s="835" t="str">
        <f>IF(C1215="","",COUNTA($C$10:C1216))</f>
        <v/>
      </c>
      <c r="C1215" s="362"/>
      <c r="D1215" s="851"/>
      <c r="E1215" s="852" t="s">
        <v>406</v>
      </c>
      <c r="F1215" s="848" t="str">
        <f>VLOOKUP(E1215,DICH!B:C,2,FALSE)</f>
        <v xml:space="preserve">Grinding stone </v>
      </c>
      <c r="G1215" s="362" t="s">
        <v>573</v>
      </c>
      <c r="H1215" s="847">
        <v>0.27400000000000002</v>
      </c>
      <c r="I1215" s="848">
        <f>VLOOKUP(E1215,'11.gia '!$B:$I,8,FALSE)</f>
        <v>25000</v>
      </c>
      <c r="J1215" s="853">
        <f t="shared" si="53"/>
        <v>6850.0000000000009</v>
      </c>
      <c r="N1215" s="843" t="e">
        <f>SUMIF(#REF!,'8.Dgia'!A1215,#REF!)+SUMIF(#REF!,'8.Dgia'!A1215,#REF!)+SUMIF(#REF!,'8.Dgia'!A1215,#REF!)+SUMIF(#REF!,'8.Dgia'!A1215,#REF!)</f>
        <v>#REF!</v>
      </c>
      <c r="O1215" s="844">
        <f t="shared" si="54"/>
        <v>1.5</v>
      </c>
      <c r="P1215" s="843" t="e">
        <f t="shared" si="52"/>
        <v>#REF!</v>
      </c>
    </row>
    <row r="1216" spans="1:18" ht="15" customHeight="1">
      <c r="A1216" s="657">
        <f>IF(B1216="",MAX($A$8:A1215)+0,MAX($A$8:A1215)+1)</f>
        <v>129</v>
      </c>
      <c r="B1216" s="835" t="str">
        <f>IF(C1216="","",COUNTA($C$10:C1217))</f>
        <v/>
      </c>
      <c r="C1216" s="362"/>
      <c r="D1216" s="851"/>
      <c r="E1216" s="852" t="s">
        <v>566</v>
      </c>
      <c r="F1216" s="848" t="str">
        <f>VLOOKUP(E1216,DICH!B:C,2,FALSE)</f>
        <v>Calcium carbide</v>
      </c>
      <c r="G1216" s="362" t="s">
        <v>558</v>
      </c>
      <c r="H1216" s="847">
        <v>0.28599999999999998</v>
      </c>
      <c r="I1216" s="848">
        <f>VLOOKUP(E1216,'11.gia '!$B:$I,8,FALSE)</f>
        <v>14000</v>
      </c>
      <c r="J1216" s="853">
        <f t="shared" si="53"/>
        <v>4003.9999999999995</v>
      </c>
      <c r="N1216" s="843" t="e">
        <f>SUMIF(#REF!,'8.Dgia'!A1216,#REF!)+SUMIF(#REF!,'8.Dgia'!A1216,#REF!)+SUMIF(#REF!,'8.Dgia'!A1216,#REF!)+SUMIF(#REF!,'8.Dgia'!A1216,#REF!)</f>
        <v>#REF!</v>
      </c>
      <c r="O1216" s="844">
        <f t="shared" si="54"/>
        <v>1.5</v>
      </c>
      <c r="P1216" s="843" t="e">
        <f t="shared" si="52"/>
        <v>#REF!</v>
      </c>
    </row>
    <row r="1217" spans="1:18" ht="15" customHeight="1">
      <c r="A1217" s="657">
        <f>IF(B1217="",MAX($A$8:A1216)+0,MAX($A$8:A1216)+1)</f>
        <v>129</v>
      </c>
      <c r="B1217" s="835" t="str">
        <f>IF(C1217="","",COUNTA($C$10:C1218))</f>
        <v/>
      </c>
      <c r="C1217" s="362"/>
      <c r="D1217" s="851"/>
      <c r="E1217" s="852" t="s">
        <v>224</v>
      </c>
      <c r="F1217" s="848" t="str">
        <f>VLOOKUP(E1217,DICH!B:C,2,FALSE)</f>
        <v>Lubricant grease</v>
      </c>
      <c r="G1217" s="362" t="s">
        <v>558</v>
      </c>
      <c r="H1217" s="847">
        <v>0.624</v>
      </c>
      <c r="I1217" s="848">
        <f>VLOOKUP(E1217,'11.gia '!$B:$I,8,FALSE)</f>
        <v>15000</v>
      </c>
      <c r="J1217" s="853">
        <f t="shared" si="53"/>
        <v>9360</v>
      </c>
      <c r="N1217" s="843" t="e">
        <f>SUMIF(#REF!,'8.Dgia'!A1217,#REF!)+SUMIF(#REF!,'8.Dgia'!A1217,#REF!)+SUMIF(#REF!,'8.Dgia'!A1217,#REF!)+SUMIF(#REF!,'8.Dgia'!A1217,#REF!)</f>
        <v>#REF!</v>
      </c>
      <c r="O1217" s="844">
        <f t="shared" si="54"/>
        <v>1.5</v>
      </c>
      <c r="P1217" s="843" t="e">
        <f t="shared" si="52"/>
        <v>#REF!</v>
      </c>
    </row>
    <row r="1218" spans="1:18" ht="15" customHeight="1">
      <c r="A1218" s="657">
        <f>IF(B1218="",MAX($A$8:A1217)+0,MAX($A$8:A1217)+1)</f>
        <v>129</v>
      </c>
      <c r="B1218" s="835" t="str">
        <f>IF(C1218="","",COUNTA($C$10:C1219))</f>
        <v/>
      </c>
      <c r="C1218" s="362"/>
      <c r="D1218" s="851"/>
      <c r="E1218" s="852" t="s">
        <v>3834</v>
      </c>
      <c r="F1218" s="848" t="str">
        <f>VLOOKUP(E1218,DICH!B:C,2,FALSE)</f>
        <v>broom</v>
      </c>
      <c r="G1218" s="362" t="s">
        <v>4649</v>
      </c>
      <c r="H1218" s="847">
        <v>0.05</v>
      </c>
      <c r="I1218" s="848">
        <f>VLOOKUP(E1218,'11.gia '!$B:$I,8,FALSE)</f>
        <v>15000</v>
      </c>
      <c r="J1218" s="853">
        <f t="shared" si="53"/>
        <v>750</v>
      </c>
      <c r="N1218" s="843" t="e">
        <f>SUMIF(#REF!,'8.Dgia'!A1218,#REF!)+SUMIF(#REF!,'8.Dgia'!A1218,#REF!)+SUMIF(#REF!,'8.Dgia'!A1218,#REF!)+SUMIF(#REF!,'8.Dgia'!A1218,#REF!)</f>
        <v>#REF!</v>
      </c>
      <c r="O1218" s="844">
        <f t="shared" si="54"/>
        <v>1.5</v>
      </c>
      <c r="P1218" s="843" t="e">
        <f t="shared" si="52"/>
        <v>#REF!</v>
      </c>
    </row>
    <row r="1219" spans="1:18" ht="15" customHeight="1">
      <c r="A1219" s="657">
        <f>IF(B1219="",MAX($A$8:A1218)+0,MAX($A$8:A1218)+1)</f>
        <v>129</v>
      </c>
      <c r="B1219" s="835" t="str">
        <f>IF(C1219="","",COUNTA($C$10:C1220))</f>
        <v/>
      </c>
      <c r="C1219" s="362"/>
      <c r="D1219" s="851"/>
      <c r="E1219" s="852" t="s">
        <v>134</v>
      </c>
      <c r="F1219" s="848" t="str">
        <f>VLOOKUP(E1219,DICH!B:C,2,FALSE)</f>
        <v>Wooden</v>
      </c>
      <c r="G1219" s="362" t="s">
        <v>545</v>
      </c>
      <c r="H1219" s="847">
        <v>6.0000000000000001E-3</v>
      </c>
      <c r="I1219" s="848">
        <f>VLOOKUP(E1219,'11.gia '!$B:$I,8,FALSE)</f>
        <v>5000000</v>
      </c>
      <c r="J1219" s="853">
        <f t="shared" si="53"/>
        <v>30000</v>
      </c>
      <c r="N1219" s="843" t="e">
        <f>SUMIF(#REF!,'8.Dgia'!A1219,#REF!)+SUMIF(#REF!,'8.Dgia'!A1219,#REF!)+SUMIF(#REF!,'8.Dgia'!A1219,#REF!)+SUMIF(#REF!,'8.Dgia'!A1219,#REF!)</f>
        <v>#REF!</v>
      </c>
      <c r="O1219" s="844">
        <f t="shared" si="54"/>
        <v>1.5</v>
      </c>
      <c r="P1219" s="843" t="e">
        <f t="shared" si="52"/>
        <v>#REF!</v>
      </c>
    </row>
    <row r="1220" spans="1:18" ht="15" customHeight="1">
      <c r="A1220" s="657">
        <f>IF(B1220="",MAX($A$8:A1219)+0,MAX($A$8:A1219)+1)</f>
        <v>129</v>
      </c>
      <c r="B1220" s="835" t="str">
        <f>IF(C1220="","",COUNTA($C$10:C1221))</f>
        <v/>
      </c>
      <c r="C1220" s="362"/>
      <c r="D1220" s="851"/>
      <c r="E1220" s="852" t="s">
        <v>3835</v>
      </c>
      <c r="F1220" s="848" t="str">
        <f>VLOOKUP(E1220,DICH!B:C,2,FALSE)</f>
        <v>Concrete cutting blades</v>
      </c>
      <c r="G1220" s="362" t="s">
        <v>4649</v>
      </c>
      <c r="H1220" s="847">
        <v>2.1999999999999999E-2</v>
      </c>
      <c r="I1220" s="848">
        <f>VLOOKUP(E1220,'11.gia '!$B:$I,8,FALSE)</f>
        <v>30000</v>
      </c>
      <c r="J1220" s="853">
        <f t="shared" si="53"/>
        <v>660</v>
      </c>
      <c r="N1220" s="843" t="e">
        <f>SUMIF(#REF!,'8.Dgia'!A1220,#REF!)+SUMIF(#REF!,'8.Dgia'!A1220,#REF!)+SUMIF(#REF!,'8.Dgia'!A1220,#REF!)+SUMIF(#REF!,'8.Dgia'!A1220,#REF!)</f>
        <v>#REF!</v>
      </c>
      <c r="O1220" s="844">
        <f t="shared" si="54"/>
        <v>1.5</v>
      </c>
      <c r="P1220" s="843" t="e">
        <f t="shared" si="52"/>
        <v>#REF!</v>
      </c>
    </row>
    <row r="1221" spans="1:18" ht="15" customHeight="1">
      <c r="A1221" s="657">
        <f>IF(B1221="",MAX($A$8:A1220)+0,MAX($A$8:A1220)+1)</f>
        <v>129</v>
      </c>
      <c r="B1221" s="835" t="str">
        <f>IF(C1221="","",COUNTA($C$10:C1222))</f>
        <v/>
      </c>
      <c r="C1221" s="362"/>
      <c r="D1221" s="851"/>
      <c r="E1221" s="852" t="s">
        <v>616</v>
      </c>
      <c r="F1221" s="848" t="str">
        <f>VLOOKUP(E1221,DICH!B:C,2,FALSE)</f>
        <v>Lubricant grease</v>
      </c>
      <c r="G1221" s="362" t="s">
        <v>558</v>
      </c>
      <c r="H1221" s="847">
        <v>0.48599999999999999</v>
      </c>
      <c r="I1221" s="848">
        <f>VLOOKUP(E1221,'11.gia '!$B:$I,8,FALSE)</f>
        <v>14560</v>
      </c>
      <c r="J1221" s="853">
        <f t="shared" si="53"/>
        <v>7076.16</v>
      </c>
      <c r="N1221" s="843" t="e">
        <f>SUMIF(#REF!,'8.Dgia'!A1221,#REF!)+SUMIF(#REF!,'8.Dgia'!A1221,#REF!)+SUMIF(#REF!,'8.Dgia'!A1221,#REF!)+SUMIF(#REF!,'8.Dgia'!A1221,#REF!)</f>
        <v>#REF!</v>
      </c>
      <c r="O1221" s="844">
        <f t="shared" si="54"/>
        <v>1.5</v>
      </c>
      <c r="P1221" s="843" t="e">
        <f t="shared" si="52"/>
        <v>#REF!</v>
      </c>
    </row>
    <row r="1222" spans="1:18" ht="15" customHeight="1">
      <c r="A1222" s="657">
        <f>IF(B1222="",MAX($A$8:A1221)+0,MAX($A$8:A1221)+1)</f>
        <v>129</v>
      </c>
      <c r="B1222" s="835" t="str">
        <f>IF(C1222="","",COUNTA($C$10:C1223))</f>
        <v/>
      </c>
      <c r="C1222" s="362"/>
      <c r="D1222" s="851"/>
      <c r="E1222" s="852" t="s">
        <v>559</v>
      </c>
      <c r="F1222" s="848" t="str">
        <f>VLOOKUP(E1222,DICH!B:C,2,FALSE)</f>
        <v>welding electrode</v>
      </c>
      <c r="G1222" s="362" t="s">
        <v>558</v>
      </c>
      <c r="H1222" s="847">
        <v>1.7350000000000001</v>
      </c>
      <c r="I1222" s="848">
        <f>VLOOKUP(E1222,'11.gia '!$B:$I,8,FALSE)</f>
        <v>19090.909090909088</v>
      </c>
      <c r="J1222" s="853">
        <f t="shared" si="53"/>
        <v>33122.727272727272</v>
      </c>
      <c r="N1222" s="843" t="e">
        <f>SUMIF(#REF!,'8.Dgia'!A1222,#REF!)+SUMIF(#REF!,'8.Dgia'!A1222,#REF!)+SUMIF(#REF!,'8.Dgia'!A1222,#REF!)+SUMIF(#REF!,'8.Dgia'!A1222,#REF!)</f>
        <v>#REF!</v>
      </c>
      <c r="O1222" s="844">
        <f t="shared" si="54"/>
        <v>1.5</v>
      </c>
      <c r="P1222" s="843" t="e">
        <f t="shared" si="52"/>
        <v>#REF!</v>
      </c>
    </row>
    <row r="1223" spans="1:18" ht="15" customHeight="1">
      <c r="A1223" s="657">
        <f>IF(B1223="",MAX($A$8:A1222)+0,MAX($A$8:A1222)+1)</f>
        <v>129</v>
      </c>
      <c r="B1223" s="835" t="str">
        <f>IF(C1223="","",COUNTA($C$10:C1224))</f>
        <v/>
      </c>
      <c r="C1223" s="362"/>
      <c r="D1223" s="851"/>
      <c r="E1223" s="852" t="s">
        <v>563</v>
      </c>
      <c r="F1223" s="848" t="str">
        <f>VLOOKUP(E1223,DICH!B:C,2,FALSE)</f>
        <v>Shaped steel</v>
      </c>
      <c r="G1223" s="362" t="s">
        <v>558</v>
      </c>
      <c r="H1223" s="847">
        <v>12.494</v>
      </c>
      <c r="I1223" s="848">
        <f>VLOOKUP(E1223,'11.gia '!$B:$I,8,FALSE)</f>
        <v>16703.248369172808</v>
      </c>
      <c r="J1223" s="853">
        <f t="shared" si="53"/>
        <v>208690.38512444508</v>
      </c>
      <c r="N1223" s="843" t="e">
        <f>SUMIF(#REF!,'8.Dgia'!A1223,#REF!)+SUMIF(#REF!,'8.Dgia'!A1223,#REF!)+SUMIF(#REF!,'8.Dgia'!A1223,#REF!)+SUMIF(#REF!,'8.Dgia'!A1223,#REF!)</f>
        <v>#REF!</v>
      </c>
      <c r="O1223" s="844">
        <f t="shared" si="54"/>
        <v>1.5</v>
      </c>
      <c r="P1223" s="843" t="e">
        <f t="shared" si="52"/>
        <v>#REF!</v>
      </c>
    </row>
    <row r="1224" spans="1:18" ht="15" customHeight="1">
      <c r="A1224" s="657">
        <f>IF(B1224="",MAX($A$8:A1223)+0,MAX($A$8:A1223)+1)</f>
        <v>129</v>
      </c>
      <c r="B1224" s="835" t="str">
        <f>IF(C1224="","",COUNTA($C$10:C1225))</f>
        <v/>
      </c>
      <c r="C1224" s="362"/>
      <c r="D1224" s="851"/>
      <c r="E1224" s="852" t="s">
        <v>562</v>
      </c>
      <c r="F1224" s="848" t="str">
        <f>VLOOKUP(E1224,DICH!B:C,2,FALSE)</f>
        <v>Plate steel</v>
      </c>
      <c r="G1224" s="362" t="s">
        <v>558</v>
      </c>
      <c r="H1224" s="847">
        <v>1.91</v>
      </c>
      <c r="I1224" s="848">
        <f>VLOOKUP(E1224,'11.gia '!$B:$I,8,FALSE)</f>
        <v>12871.348287272725</v>
      </c>
      <c r="J1224" s="853">
        <f t="shared" si="53"/>
        <v>24584.275228690905</v>
      </c>
      <c r="N1224" s="843" t="e">
        <f>SUMIF(#REF!,'8.Dgia'!A1224,#REF!)+SUMIF(#REF!,'8.Dgia'!A1224,#REF!)+SUMIF(#REF!,'8.Dgia'!A1224,#REF!)+SUMIF(#REF!,'8.Dgia'!A1224,#REF!)</f>
        <v>#REF!</v>
      </c>
      <c r="O1224" s="844">
        <f t="shared" si="54"/>
        <v>1.5</v>
      </c>
      <c r="P1224" s="843" t="e">
        <f t="shared" si="52"/>
        <v>#REF!</v>
      </c>
    </row>
    <row r="1225" spans="1:18" ht="15" customHeight="1">
      <c r="A1225" s="657">
        <f>IF(B1225="",MAX($A$8:A1224)+0,MAX($A$8:A1224)+1)</f>
        <v>129</v>
      </c>
      <c r="B1225" s="835" t="str">
        <f>IF(C1225="","",COUNTA($C$10:C1226))</f>
        <v/>
      </c>
      <c r="C1225" s="362"/>
      <c r="D1225" s="851"/>
      <c r="E1225" s="852" t="s">
        <v>555</v>
      </c>
      <c r="F1225" s="848" t="str">
        <f>VLOOKUP(E1225,DICH!B:C,2,FALSE)</f>
        <v>Other material</v>
      </c>
      <c r="G1225" s="362" t="s">
        <v>554</v>
      </c>
      <c r="H1225" s="847">
        <v>1.5</v>
      </c>
      <c r="I1225" s="848">
        <f>SUM(J1212:J1224)</f>
        <v>74590461.911262229</v>
      </c>
      <c r="J1225" s="853">
        <f>I1225*H1225%</f>
        <v>1118856.9286689335</v>
      </c>
      <c r="N1225" s="843" t="e">
        <f>SUMIF(#REF!,'8.Dgia'!A1225,#REF!)+SUMIF(#REF!,'8.Dgia'!A1225,#REF!)+SUMIF(#REF!,'8.Dgia'!A1225,#REF!)+SUMIF(#REF!,'8.Dgia'!A1225,#REF!)</f>
        <v>#REF!</v>
      </c>
      <c r="O1225" s="844">
        <f t="shared" si="54"/>
        <v>1.5</v>
      </c>
      <c r="P1225" s="843" t="e">
        <f t="shared" si="52"/>
        <v>#REF!</v>
      </c>
    </row>
    <row r="1226" spans="1:18" s="658" customFormat="1" ht="15" customHeight="1">
      <c r="A1226" s="657">
        <f>IF(B1226="",MAX($A$8:A1225)+0,MAX($A$8:A1225)+1)</f>
        <v>129</v>
      </c>
      <c r="B1226" s="835" t="str">
        <f>IF(C1226="","",COUNTA($C$10:C1227))</f>
        <v/>
      </c>
      <c r="C1226" s="362"/>
      <c r="D1226" s="845"/>
      <c r="E1226" s="852" t="s">
        <v>2039</v>
      </c>
      <c r="F1226" s="848" t="str">
        <f>VLOOKUP(E1226,DICH!B:C,2,FALSE)</f>
        <v xml:space="preserve">  B - Labour 4.0/7</v>
      </c>
      <c r="G1226" s="362" t="s">
        <v>4899</v>
      </c>
      <c r="H1226" s="847">
        <v>13.82</v>
      </c>
      <c r="I1226" s="848">
        <f>VLOOKUP(E1226,'16.NC'!$C$11:$F$22,4,FALSE)</f>
        <v>218927</v>
      </c>
      <c r="J1226" s="849">
        <f>I1226*H1226</f>
        <v>3025571.14</v>
      </c>
      <c r="K1226" s="850"/>
      <c r="L1226" s="850"/>
      <c r="M1226" s="850"/>
      <c r="N1226" s="843" t="e">
        <f>SUMIF(#REF!,'8.Dgia'!A1226,#REF!)+SUMIF(#REF!,'8.Dgia'!A1226,#REF!)+SUMIF(#REF!,'8.Dgia'!A1226,#REF!)+SUMIF(#REF!,'8.Dgia'!A1226,#REF!)</f>
        <v>#REF!</v>
      </c>
      <c r="O1226" s="844"/>
      <c r="P1226" s="843" t="e">
        <f t="shared" si="52"/>
        <v>#REF!</v>
      </c>
      <c r="R1226" s="658">
        <v>1</v>
      </c>
    </row>
    <row r="1227" spans="1:18" s="658" customFormat="1" ht="15" customHeight="1">
      <c r="A1227" s="657">
        <f>IF(B1227="",MAX($A$8:A1226)+0,MAX($A$8:A1226)+1)</f>
        <v>129</v>
      </c>
      <c r="B1227" s="835" t="str">
        <f>IF(C1227="","",COUNTA($C$10:C1228))</f>
        <v/>
      </c>
      <c r="C1227" s="362"/>
      <c r="D1227" s="845"/>
      <c r="E1227" s="852" t="s">
        <v>2033</v>
      </c>
      <c r="F1227" s="848" t="str">
        <f>VLOOKUP(E1227,DICH!B:C,2,FALSE)</f>
        <v xml:space="preserve">  C - Machine</v>
      </c>
      <c r="G1227" s="846"/>
      <c r="H1227" s="847"/>
      <c r="I1227" s="848"/>
      <c r="J1227" s="849">
        <f>SUM(J1228:J1239)</f>
        <v>861108.48996920185</v>
      </c>
      <c r="K1227" s="850"/>
      <c r="L1227" s="850"/>
      <c r="M1227" s="850"/>
      <c r="N1227" s="843" t="e">
        <f>SUMIF(#REF!,'8.Dgia'!A1227,#REF!)+SUMIF(#REF!,'8.Dgia'!A1227,#REF!)+SUMIF(#REF!,'8.Dgia'!A1227,#REF!)+SUMIF(#REF!,'8.Dgia'!A1227,#REF!)</f>
        <v>#REF!</v>
      </c>
      <c r="O1227" s="844"/>
      <c r="P1227" s="843" t="e">
        <f t="shared" si="52"/>
        <v>#REF!</v>
      </c>
    </row>
    <row r="1228" spans="1:18" ht="15" customHeight="1">
      <c r="A1228" s="657">
        <f>IF(B1228="",MAX($A$8:A1227)+0,MAX($A$8:A1227)+1)</f>
        <v>129</v>
      </c>
      <c r="B1228" s="835" t="str">
        <f>IF(C1228="","",COUNTA($C$10:C1229))</f>
        <v/>
      </c>
      <c r="C1228" s="362"/>
      <c r="D1228" s="851"/>
      <c r="E1228" s="852" t="s">
        <v>1011</v>
      </c>
      <c r="F1228" s="848" t="str">
        <f>VLOOKUP(E1228,'9.may'!E:F,2,FALSE)</f>
        <v>truck-mounted crane 10T</v>
      </c>
      <c r="G1228" s="362" t="s">
        <v>4902</v>
      </c>
      <c r="H1228" s="847">
        <v>8.2000000000000003E-2</v>
      </c>
      <c r="I1228" s="848">
        <f>VLOOKUP(E1228,'9.may'!E:W,12,FALSE)</f>
        <v>1712734.8681818182</v>
      </c>
      <c r="J1228" s="853">
        <f>I1228*H1228</f>
        <v>140444.2591909091</v>
      </c>
      <c r="N1228" s="843" t="e">
        <f>SUMIF(#REF!,'8.Dgia'!A1228,#REF!)+SUMIF(#REF!,'8.Dgia'!A1228,#REF!)+SUMIF(#REF!,'8.Dgia'!A1228,#REF!)+SUMIF(#REF!,'8.Dgia'!A1228,#REF!)</f>
        <v>#REF!</v>
      </c>
      <c r="O1228" s="844">
        <v>2</v>
      </c>
      <c r="P1228" s="843" t="e">
        <f t="shared" si="52"/>
        <v>#REF!</v>
      </c>
    </row>
    <row r="1229" spans="1:18" ht="15" customHeight="1">
      <c r="A1229" s="657">
        <f>IF(B1229="",MAX($A$8:A1228)+0,MAX($A$8:A1228)+1)</f>
        <v>129</v>
      </c>
      <c r="B1229" s="835" t="str">
        <f>IF(C1229="","",COUNTA($C$10:C1230))</f>
        <v/>
      </c>
      <c r="C1229" s="362"/>
      <c r="D1229" s="851"/>
      <c r="E1229" s="852" t="s">
        <v>1404</v>
      </c>
      <c r="F1229" s="848" t="str">
        <f>VLOOKUP(E1229,'9.may'!E:F,2,FALSE)</f>
        <v>concrete cutter 12CV</v>
      </c>
      <c r="G1229" s="362" t="s">
        <v>4902</v>
      </c>
      <c r="H1229" s="847">
        <v>1.7999999999999999E-2</v>
      </c>
      <c r="I1229" s="848">
        <f>VLOOKUP(E1229,'9.may'!E:W,12,FALSE)</f>
        <v>326286.25199999998</v>
      </c>
      <c r="J1229" s="853">
        <f t="shared" ref="J1229:J1238" si="55">I1229*H1229</f>
        <v>5873.1525359999996</v>
      </c>
      <c r="N1229" s="843" t="e">
        <f>SUMIF(#REF!,'8.Dgia'!A1229,#REF!)+SUMIF(#REF!,'8.Dgia'!A1229,#REF!)+SUMIF(#REF!,'8.Dgia'!A1229,#REF!)+SUMIF(#REF!,'8.Dgia'!A1229,#REF!)</f>
        <v>#REF!</v>
      </c>
      <c r="O1229" s="844">
        <v>2</v>
      </c>
      <c r="P1229" s="843" t="e">
        <f t="shared" si="52"/>
        <v>#REF!</v>
      </c>
    </row>
    <row r="1230" spans="1:18" ht="15" customHeight="1">
      <c r="A1230" s="657">
        <f>IF(B1230="",MAX($A$8:A1229)+0,MAX($A$8:A1229)+1)</f>
        <v>129</v>
      </c>
      <c r="B1230" s="835" t="str">
        <f>IF(C1230="","",COUNTA($C$10:C1231))</f>
        <v/>
      </c>
      <c r="C1230" s="362"/>
      <c r="D1230" s="851"/>
      <c r="E1230" s="852" t="s">
        <v>1727</v>
      </c>
      <c r="F1230" s="848" t="str">
        <f>VLOOKUP(E1230,'9.may'!E:F,2,FALSE)</f>
        <v>Sawing metal machine 2.7kW</v>
      </c>
      <c r="G1230" s="362" t="s">
        <v>4902</v>
      </c>
      <c r="H1230" s="847">
        <v>5.3999999999999999E-2</v>
      </c>
      <c r="I1230" s="848">
        <f>VLOOKUP(E1230,'9.may'!E:W,12,FALSE)</f>
        <v>80720.595000000001</v>
      </c>
      <c r="J1230" s="853">
        <f t="shared" si="55"/>
        <v>4358.9121299999997</v>
      </c>
      <c r="N1230" s="843" t="e">
        <f>SUMIF(#REF!,'8.Dgia'!A1230,#REF!)+SUMIF(#REF!,'8.Dgia'!A1230,#REF!)+SUMIF(#REF!,'8.Dgia'!A1230,#REF!)+SUMIF(#REF!,'8.Dgia'!A1230,#REF!)</f>
        <v>#REF!</v>
      </c>
      <c r="O1230" s="844">
        <v>2</v>
      </c>
      <c r="P1230" s="843" t="e">
        <f t="shared" si="52"/>
        <v>#REF!</v>
      </c>
    </row>
    <row r="1231" spans="1:18" ht="15" customHeight="1">
      <c r="A1231" s="657">
        <f>IF(B1231="",MAX($A$8:A1230)+0,MAX($A$8:A1230)+1)</f>
        <v>129</v>
      </c>
      <c r="B1231" s="835" t="str">
        <f>IF(C1231="","",COUNTA($C$10:C1232))</f>
        <v/>
      </c>
      <c r="C1231" s="362"/>
      <c r="D1231" s="851"/>
      <c r="E1231" s="852" t="s">
        <v>1978</v>
      </c>
      <c r="F1231" s="848" t="str">
        <f>VLOOKUP(E1231,'9.may'!E:F,2,FALSE)</f>
        <v>welding machine 23kW</v>
      </c>
      <c r="G1231" s="362" t="s">
        <v>4902</v>
      </c>
      <c r="H1231" s="847">
        <v>0.69799999999999995</v>
      </c>
      <c r="I1231" s="848">
        <f>VLOOKUP(E1231,'9.may'!E:W,12,FALSE)</f>
        <v>171649.155</v>
      </c>
      <c r="J1231" s="853">
        <f t="shared" si="55"/>
        <v>119811.11018999999</v>
      </c>
      <c r="N1231" s="843" t="e">
        <f>SUMIF(#REF!,'8.Dgia'!A1231,#REF!)+SUMIF(#REF!,'8.Dgia'!A1231,#REF!)+SUMIF(#REF!,'8.Dgia'!A1231,#REF!)+SUMIF(#REF!,'8.Dgia'!A1231,#REF!)</f>
        <v>#REF!</v>
      </c>
      <c r="O1231" s="844">
        <v>2</v>
      </c>
      <c r="P1231" s="843" t="e">
        <f t="shared" si="52"/>
        <v>#REF!</v>
      </c>
    </row>
    <row r="1232" spans="1:18" ht="15" customHeight="1">
      <c r="A1232" s="657">
        <f>IF(B1232="",MAX($A$8:A1231)+0,MAX($A$8:A1231)+1)</f>
        <v>129</v>
      </c>
      <c r="B1232" s="835" t="str">
        <f>IF(C1232="","",COUNTA($C$10:C1233))</f>
        <v/>
      </c>
      <c r="C1232" s="362"/>
      <c r="D1232" s="851"/>
      <c r="E1232" s="852" t="s">
        <v>1384</v>
      </c>
      <c r="F1232" s="848" t="str">
        <f>VLOOKUP(E1232,'9.may'!E:F,2,FALSE)</f>
        <v>driller 4.5kW</v>
      </c>
      <c r="G1232" s="362" t="s">
        <v>4902</v>
      </c>
      <c r="H1232" s="847">
        <v>4.8000000000000001E-2</v>
      </c>
      <c r="I1232" s="848">
        <f>VLOOKUP(E1232,'9.may'!E:W,12,FALSE)</f>
        <v>108158.5425</v>
      </c>
      <c r="J1232" s="853">
        <f t="shared" si="55"/>
        <v>5191.6100399999996</v>
      </c>
      <c r="N1232" s="843" t="e">
        <f>SUMIF(#REF!,'8.Dgia'!A1232,#REF!)+SUMIF(#REF!,'8.Dgia'!A1232,#REF!)+SUMIF(#REF!,'8.Dgia'!A1232,#REF!)+SUMIF(#REF!,'8.Dgia'!A1232,#REF!)</f>
        <v>#REF!</v>
      </c>
      <c r="O1232" s="844">
        <v>2</v>
      </c>
      <c r="P1232" s="843" t="e">
        <f t="shared" si="52"/>
        <v>#REF!</v>
      </c>
    </row>
    <row r="1233" spans="1:18" ht="15" customHeight="1">
      <c r="A1233" s="657">
        <f>IF(B1233="",MAX($A$8:A1232)+0,MAX($A$8:A1232)+1)</f>
        <v>129</v>
      </c>
      <c r="B1233" s="835" t="str">
        <f>IF(C1233="","",COUNTA($C$10:C1234))</f>
        <v/>
      </c>
      <c r="C1233" s="362"/>
      <c r="D1233" s="851"/>
      <c r="E1233" s="852" t="s">
        <v>1437</v>
      </c>
      <c r="F1233" s="848" t="str">
        <f>VLOOKUP(E1233,'9.may'!E:F,2,FALSE)</f>
        <v>sharpener 2.7kW</v>
      </c>
      <c r="G1233" s="362" t="s">
        <v>4902</v>
      </c>
      <c r="H1233" s="847">
        <v>0.434</v>
      </c>
      <c r="I1233" s="848">
        <f>VLOOKUP(E1233,'9.may'!E:W,12,FALSE)</f>
        <v>67591.852499999994</v>
      </c>
      <c r="J1233" s="853">
        <f t="shared" si="55"/>
        <v>29334.863984999996</v>
      </c>
      <c r="N1233" s="843" t="e">
        <f>SUMIF(#REF!,'8.Dgia'!A1233,#REF!)+SUMIF(#REF!,'8.Dgia'!A1233,#REF!)+SUMIF(#REF!,'8.Dgia'!A1233,#REF!)+SUMIF(#REF!,'8.Dgia'!A1233,#REF!)</f>
        <v>#REF!</v>
      </c>
      <c r="O1233" s="844">
        <v>2</v>
      </c>
      <c r="P1233" s="843" t="e">
        <f t="shared" si="52"/>
        <v>#REF!</v>
      </c>
    </row>
    <row r="1234" spans="1:18" ht="15" customHeight="1">
      <c r="A1234" s="657">
        <f>IF(B1234="",MAX($A$8:A1233)+0,MAX($A$8:A1233)+1)</f>
        <v>129</v>
      </c>
      <c r="B1234" s="835" t="str">
        <f>IF(C1234="","",COUNTA($C$10:C1235))</f>
        <v/>
      </c>
      <c r="C1234" s="362"/>
      <c r="D1234" s="851"/>
      <c r="E1234" s="852" t="s">
        <v>610</v>
      </c>
      <c r="F1234" s="848" t="str">
        <f>VLOOKUP(E1234,'9.may'!E:F,2,FALSE)</f>
        <v>diesel air compressor 600m3/h</v>
      </c>
      <c r="G1234" s="362" t="s">
        <v>4902</v>
      </c>
      <c r="H1234" s="847">
        <v>8.9999999999999993E-3</v>
      </c>
      <c r="I1234" s="848">
        <f>VLOOKUP(E1234,'9.may'!E:W,12,FALSE)</f>
        <v>1323272.1545454543</v>
      </c>
      <c r="J1234" s="853">
        <f t="shared" si="55"/>
        <v>11909.449390909087</v>
      </c>
      <c r="N1234" s="843" t="e">
        <f>SUMIF(#REF!,'8.Dgia'!A1234,#REF!)+SUMIF(#REF!,'8.Dgia'!A1234,#REF!)+SUMIF(#REF!,'8.Dgia'!A1234,#REF!)+SUMIF(#REF!,'8.Dgia'!A1234,#REF!)</f>
        <v>#REF!</v>
      </c>
      <c r="O1234" s="844">
        <v>2</v>
      </c>
      <c r="P1234" s="843" t="e">
        <f t="shared" si="52"/>
        <v>#REF!</v>
      </c>
    </row>
    <row r="1235" spans="1:18" ht="15" customHeight="1">
      <c r="A1235" s="657">
        <f>IF(B1235="",MAX($A$8:A1234)+0,MAX($A$8:A1234)+1)</f>
        <v>129</v>
      </c>
      <c r="B1235" s="835" t="str">
        <f>IF(C1235="","",COUNTA($C$10:C1236))</f>
        <v/>
      </c>
      <c r="C1235" s="362"/>
      <c r="D1235" s="851"/>
      <c r="E1235" s="852" t="s">
        <v>1733</v>
      </c>
      <c r="F1235" s="848" t="str">
        <f>VLOOKUP(E1235,'9.may'!E:F,2,FALSE)</f>
        <v>Plane machine</v>
      </c>
      <c r="G1235" s="362" t="s">
        <v>4902</v>
      </c>
      <c r="H1235" s="847">
        <v>0.03</v>
      </c>
      <c r="I1235" s="848">
        <f>VLOOKUP(E1235,'9.may'!E:W,12,FALSE)</f>
        <v>126539.62</v>
      </c>
      <c r="J1235" s="853">
        <f t="shared" si="55"/>
        <v>3796.1885999999995</v>
      </c>
      <c r="N1235" s="843" t="e">
        <f>SUMIF(#REF!,'8.Dgia'!A1235,#REF!)+SUMIF(#REF!,'8.Dgia'!A1235,#REF!)+SUMIF(#REF!,'8.Dgia'!A1235,#REF!)+SUMIF(#REF!,'8.Dgia'!A1235,#REF!)</f>
        <v>#REF!</v>
      </c>
      <c r="O1235" s="844">
        <v>2</v>
      </c>
      <c r="P1235" s="843" t="e">
        <f t="shared" si="52"/>
        <v>#REF!</v>
      </c>
    </row>
    <row r="1236" spans="1:18" ht="15" customHeight="1">
      <c r="A1236" s="657">
        <f>IF(B1236="",MAX($A$8:A1235)+0,MAX($A$8:A1235)+1)</f>
        <v>129</v>
      </c>
      <c r="B1236" s="835" t="str">
        <f>IF(C1236="","",COUNTA($C$10:C1237))</f>
        <v/>
      </c>
      <c r="C1236" s="362"/>
      <c r="D1236" s="851"/>
      <c r="E1236" s="852" t="s">
        <v>1680</v>
      </c>
      <c r="F1236" s="848" t="str">
        <f>VLOOKUP(E1236,'9.may'!E:F,2,FALSE)</f>
        <v>chain pulley 5T</v>
      </c>
      <c r="G1236" s="362" t="s">
        <v>4902</v>
      </c>
      <c r="H1236" s="847">
        <v>0.30599999999999999</v>
      </c>
      <c r="I1236" s="848">
        <f>VLOOKUP(E1236,'9.may'!E:W,12,FALSE)</f>
        <v>60980.880000000005</v>
      </c>
      <c r="J1236" s="853">
        <f t="shared" si="55"/>
        <v>18660.149280000001</v>
      </c>
      <c r="N1236" s="843" t="e">
        <f>SUMIF(#REF!,'8.Dgia'!A1236,#REF!)+SUMIF(#REF!,'8.Dgia'!A1236,#REF!)+SUMIF(#REF!,'8.Dgia'!A1236,#REF!)+SUMIF(#REF!,'8.Dgia'!A1236,#REF!)</f>
        <v>#REF!</v>
      </c>
      <c r="O1236" s="844">
        <v>2</v>
      </c>
      <c r="P1236" s="843" t="e">
        <f t="shared" si="52"/>
        <v>#REF!</v>
      </c>
    </row>
    <row r="1237" spans="1:18" ht="15" customHeight="1">
      <c r="A1237" s="657">
        <f>IF(B1237="",MAX($A$8:A1236)+0,MAX($A$8:A1236)+1)</f>
        <v>129</v>
      </c>
      <c r="B1237" s="835" t="str">
        <f>IF(C1237="","",COUNTA($C$10:C1238))</f>
        <v/>
      </c>
      <c r="C1237" s="362"/>
      <c r="D1237" s="851"/>
      <c r="E1237" s="852" t="s">
        <v>1109</v>
      </c>
      <c r="F1237" s="848" t="str">
        <f>VLOOKUP(E1237,'9.may'!E:F,2,FALSE)</f>
        <v>electric winch 5Ton</v>
      </c>
      <c r="G1237" s="362" t="s">
        <v>4902</v>
      </c>
      <c r="H1237" s="847">
        <v>0.30599999999999999</v>
      </c>
      <c r="I1237" s="848">
        <f>VLOOKUP(E1237,'9.may'!E:W,12,FALSE)</f>
        <v>135809.41500000001</v>
      </c>
      <c r="J1237" s="853">
        <f t="shared" si="55"/>
        <v>41557.680990000001</v>
      </c>
      <c r="N1237" s="843" t="e">
        <f>SUMIF(#REF!,'8.Dgia'!A1237,#REF!)+SUMIF(#REF!,'8.Dgia'!A1237,#REF!)+SUMIF(#REF!,'8.Dgia'!A1237,#REF!)+SUMIF(#REF!,'8.Dgia'!A1237,#REF!)</f>
        <v>#REF!</v>
      </c>
      <c r="O1237" s="844">
        <v>2</v>
      </c>
      <c r="P1237" s="843" t="e">
        <f t="shared" si="52"/>
        <v>#REF!</v>
      </c>
    </row>
    <row r="1238" spans="1:18" ht="15" customHeight="1">
      <c r="A1238" s="657">
        <f>IF(B1238="",MAX($A$8:A1237)+0,MAX($A$8:A1237)+1)</f>
        <v>129</v>
      </c>
      <c r="B1238" s="835" t="str">
        <f>IF(C1238="","",COUNTA($C$10:C1239))</f>
        <v/>
      </c>
      <c r="C1238" s="362"/>
      <c r="D1238" s="851"/>
      <c r="E1238" s="852" t="s">
        <v>1302</v>
      </c>
      <c r="F1238" s="848" t="str">
        <f>VLOOKUP(E1238,'9.may'!E:F,2,FALSE)</f>
        <v>Mobile genorator 30kW</v>
      </c>
      <c r="G1238" s="362" t="s">
        <v>4902</v>
      </c>
      <c r="H1238" s="847">
        <v>0.61499999999999999</v>
      </c>
      <c r="I1238" s="848">
        <f>VLOOKUP(E1238,'9.may'!E:W,12,FALSE)</f>
        <v>753311.59909090912</v>
      </c>
      <c r="J1238" s="853">
        <f t="shared" si="55"/>
        <v>463286.63344090909</v>
      </c>
      <c r="N1238" s="843" t="e">
        <f>SUMIF(#REF!,'8.Dgia'!A1238,#REF!)+SUMIF(#REF!,'8.Dgia'!A1238,#REF!)+SUMIF(#REF!,'8.Dgia'!A1238,#REF!)+SUMIF(#REF!,'8.Dgia'!A1238,#REF!)</f>
        <v>#REF!</v>
      </c>
      <c r="O1238" s="844">
        <v>2</v>
      </c>
      <c r="P1238" s="843" t="e">
        <f t="shared" si="52"/>
        <v>#REF!</v>
      </c>
    </row>
    <row r="1239" spans="1:18" ht="15" customHeight="1">
      <c r="A1239" s="657">
        <f>IF(B1239="",MAX($A$8:A1238)+0,MAX($A$8:A1238)+1)</f>
        <v>129</v>
      </c>
      <c r="B1239" s="835" t="str">
        <f>IF(C1239="","",COUNTA($C$10:C1240))</f>
        <v/>
      </c>
      <c r="C1239" s="362"/>
      <c r="D1239" s="851"/>
      <c r="E1239" s="852" t="s">
        <v>553</v>
      </c>
      <c r="F1239" s="848" t="str">
        <f>VLOOKUP(E1239,DICH!B:C,2,FALSE)</f>
        <v>Other machine</v>
      </c>
      <c r="G1239" s="362" t="s">
        <v>554</v>
      </c>
      <c r="H1239" s="847">
        <v>2</v>
      </c>
      <c r="I1239" s="848">
        <f>SUM(J1228:J1238)</f>
        <v>844224.00977372727</v>
      </c>
      <c r="J1239" s="853">
        <f>I1239*H1239%</f>
        <v>16884.480195474545</v>
      </c>
      <c r="N1239" s="843" t="e">
        <f>SUMIF(#REF!,'8.Dgia'!A1239,#REF!)+SUMIF(#REF!,'8.Dgia'!A1239,#REF!)+SUMIF(#REF!,'8.Dgia'!A1239,#REF!)+SUMIF(#REF!,'8.Dgia'!A1239,#REF!)</f>
        <v>#REF!</v>
      </c>
      <c r="O1239" s="844"/>
      <c r="P1239" s="843" t="e">
        <f t="shared" si="52"/>
        <v>#REF!</v>
      </c>
    </row>
    <row r="1240" spans="1:18" ht="15" customHeight="1">
      <c r="A1240" s="657">
        <f>IF(B1240="",MAX($A$8:A1239)+0,MAX($A$8:A1239)+1)</f>
        <v>130</v>
      </c>
      <c r="B1240" s="835">
        <f>IF(C1240="","",COUNTA($C$10:C1241))</f>
        <v>130</v>
      </c>
      <c r="C1240" s="362">
        <v>1129</v>
      </c>
      <c r="D1240" s="362" t="s">
        <v>3466</v>
      </c>
      <c r="E1240" s="855" t="s">
        <v>74</v>
      </c>
      <c r="F1240" s="1049" t="str">
        <f>VLOOKUP(E1240,DICH!B:C,2,FALSE)</f>
        <v>Cutting asphanlt concrete</v>
      </c>
      <c r="G1240" s="856" t="s">
        <v>546</v>
      </c>
      <c r="H1240" s="847"/>
      <c r="I1240" s="848"/>
      <c r="J1240" s="889"/>
      <c r="K1240" s="842">
        <f>J1241</f>
        <v>7650</v>
      </c>
      <c r="L1240" s="842">
        <f>J1244</f>
        <v>385311.52</v>
      </c>
      <c r="M1240" s="842">
        <f>J1245</f>
        <v>71782.975439999995</v>
      </c>
      <c r="N1240" s="843" t="e">
        <f>SUMIF(#REF!,'8.Dgia'!A1240,#REF!)+SUMIF(#REF!,'8.Dgia'!A1240,#REF!)+SUMIF(#REF!,'8.Dgia'!A1240,#REF!)+SUMIF(#REF!,'8.Dgia'!A1240,#REF!)</f>
        <v>#REF!</v>
      </c>
      <c r="O1240" s="844"/>
      <c r="P1240" s="843" t="e">
        <f t="shared" si="52"/>
        <v>#REF!</v>
      </c>
    </row>
    <row r="1241" spans="1:18" ht="15" customHeight="1">
      <c r="A1241" s="657">
        <f>IF(B1241="",MAX($A$8:A1240)+0,MAX($A$8:A1240)+1)</f>
        <v>130</v>
      </c>
      <c r="B1241" s="835" t="str">
        <f>IF(C1241="","",COUNTA($C$10:C1242))</f>
        <v/>
      </c>
      <c r="C1241" s="847"/>
      <c r="D1241" s="362"/>
      <c r="E1241" s="852" t="s">
        <v>2032</v>
      </c>
      <c r="F1241" s="848" t="str">
        <f>VLOOKUP(E1241,DICH!B:C,2,FALSE)</f>
        <v xml:space="preserve">  A - Material</v>
      </c>
      <c r="G1241" s="847"/>
      <c r="H1241" s="847"/>
      <c r="I1241" s="848"/>
      <c r="J1241" s="849">
        <f>SUM(J1242:J1243)</f>
        <v>7650</v>
      </c>
      <c r="K1241" s="890"/>
      <c r="L1241" s="890"/>
      <c r="M1241" s="890"/>
      <c r="N1241" s="843" t="e">
        <f>SUMIF(#REF!,'8.Dgia'!A1241,#REF!)+SUMIF(#REF!,'8.Dgia'!A1241,#REF!)+SUMIF(#REF!,'8.Dgia'!A1241,#REF!)+SUMIF(#REF!,'8.Dgia'!A1241,#REF!)</f>
        <v>#REF!</v>
      </c>
      <c r="O1241" s="844"/>
      <c r="P1241" s="843" t="e">
        <f t="shared" si="52"/>
        <v>#REF!</v>
      </c>
    </row>
    <row r="1242" spans="1:18" ht="15" customHeight="1">
      <c r="A1242" s="657">
        <f>IF(B1242="",MAX($A$8:A1241)+0,MAX($A$8:A1241)+1)</f>
        <v>130</v>
      </c>
      <c r="B1242" s="835" t="str">
        <f>IF(C1242="","",COUNTA($C$10:C1243))</f>
        <v/>
      </c>
      <c r="C1242" s="847"/>
      <c r="D1242" s="362"/>
      <c r="E1242" s="852" t="s">
        <v>2198</v>
      </c>
      <c r="F1242" s="848" t="str">
        <f>VLOOKUP(E1242,DICH!B:C,2,FALSE)</f>
        <v>Concrete cutting blades D356mm</v>
      </c>
      <c r="G1242" s="362" t="s">
        <v>4649</v>
      </c>
      <c r="H1242" s="847">
        <v>0.25</v>
      </c>
      <c r="I1242" s="848">
        <f>VLOOKUP(E1242,'11.gia '!$B:$I,8,FALSE)</f>
        <v>30000</v>
      </c>
      <c r="J1242" s="853">
        <f>I1242*H1242</f>
        <v>7500</v>
      </c>
      <c r="K1242" s="890"/>
      <c r="L1242" s="890"/>
      <c r="M1242" s="890"/>
      <c r="N1242" s="843" t="e">
        <f>SUMIF(#REF!,'8.Dgia'!A1242,#REF!)+SUMIF(#REF!,'8.Dgia'!A1242,#REF!)+SUMIF(#REF!,'8.Dgia'!A1242,#REF!)+SUMIF(#REF!,'8.Dgia'!A1242,#REF!)</f>
        <v>#REF!</v>
      </c>
      <c r="O1242" s="844">
        <v>2</v>
      </c>
      <c r="P1242" s="843" t="e">
        <f t="shared" si="52"/>
        <v>#REF!</v>
      </c>
    </row>
    <row r="1243" spans="1:18" ht="15" customHeight="1">
      <c r="A1243" s="657">
        <f>IF(B1243="",MAX($A$8:A1242)+0,MAX($A$8:A1242)+1)</f>
        <v>130</v>
      </c>
      <c r="B1243" s="835" t="str">
        <f>IF(C1243="","",COUNTA($C$10:C1244))</f>
        <v/>
      </c>
      <c r="C1243" s="847"/>
      <c r="D1243" s="362"/>
      <c r="E1243" s="852" t="s">
        <v>555</v>
      </c>
      <c r="F1243" s="848" t="str">
        <f>VLOOKUP(E1243,DICH!B:C,2,FALSE)</f>
        <v>Other material</v>
      </c>
      <c r="G1243" s="362" t="s">
        <v>554</v>
      </c>
      <c r="H1243" s="847">
        <v>2</v>
      </c>
      <c r="I1243" s="848">
        <f>+J1242</f>
        <v>7500</v>
      </c>
      <c r="J1243" s="853">
        <f>I1243*H1243%</f>
        <v>150</v>
      </c>
      <c r="K1243" s="890"/>
      <c r="L1243" s="890"/>
      <c r="M1243" s="890"/>
      <c r="N1243" s="843" t="e">
        <f>SUMIF(#REF!,'8.Dgia'!A1243,#REF!)+SUMIF(#REF!,'8.Dgia'!A1243,#REF!)+SUMIF(#REF!,'8.Dgia'!A1243,#REF!)+SUMIF(#REF!,'8.Dgia'!A1243,#REF!)</f>
        <v>#REF!</v>
      </c>
      <c r="O1243" s="844"/>
      <c r="P1243" s="843" t="e">
        <f t="shared" ref="P1243:P1305" si="56">$H1243*N1243*(1+O1243%)</f>
        <v>#REF!</v>
      </c>
    </row>
    <row r="1244" spans="1:18" ht="15" customHeight="1">
      <c r="A1244" s="657">
        <f>IF(B1244="",MAX($A$8:A1243)+0,MAX($A$8:A1243)+1)</f>
        <v>130</v>
      </c>
      <c r="B1244" s="835" t="str">
        <f>IF(C1244="","",COUNTA($C$10:C1245))</f>
        <v/>
      </c>
      <c r="C1244" s="891"/>
      <c r="D1244" s="883"/>
      <c r="E1244" s="852" t="s">
        <v>2039</v>
      </c>
      <c r="F1244" s="848" t="str">
        <f>VLOOKUP(E1244,DICH!B:C,2,FALSE)</f>
        <v xml:space="preserve">  B - Labour 4.0/7</v>
      </c>
      <c r="G1244" s="362" t="s">
        <v>4899</v>
      </c>
      <c r="H1244" s="847">
        <v>1.76</v>
      </c>
      <c r="I1244" s="848">
        <f>VLOOKUP(E1244,'16.NC'!$C$11:$F$22,4,FALSE)</f>
        <v>218927</v>
      </c>
      <c r="J1244" s="849">
        <f>I1244*H1244</f>
        <v>385311.52</v>
      </c>
      <c r="K1244" s="890"/>
      <c r="L1244" s="890"/>
      <c r="M1244" s="890"/>
      <c r="N1244" s="843" t="e">
        <f>SUMIF(#REF!,'8.Dgia'!A1244,#REF!)+SUMIF(#REF!,'8.Dgia'!A1244,#REF!)+SUMIF(#REF!,'8.Dgia'!A1244,#REF!)+SUMIF(#REF!,'8.Dgia'!A1244,#REF!)</f>
        <v>#REF!</v>
      </c>
      <c r="O1244" s="844"/>
      <c r="P1244" s="843" t="e">
        <f t="shared" si="56"/>
        <v>#REF!</v>
      </c>
      <c r="R1244" s="658">
        <v>1</v>
      </c>
    </row>
    <row r="1245" spans="1:18" ht="15" customHeight="1">
      <c r="A1245" s="657">
        <f>IF(B1245="",MAX($A$8:A1244)+0,MAX($A$8:A1244)+1)</f>
        <v>130</v>
      </c>
      <c r="B1245" s="835" t="str">
        <f>IF(C1245="","",COUNTA($C$10:C1246))</f>
        <v/>
      </c>
      <c r="C1245" s="891"/>
      <c r="D1245" s="883"/>
      <c r="E1245" s="852" t="s">
        <v>2033</v>
      </c>
      <c r="F1245" s="848" t="str">
        <f>VLOOKUP(E1245,DICH!B:C,2,FALSE)</f>
        <v xml:space="preserve">  C - Machine</v>
      </c>
      <c r="G1245" s="362"/>
      <c r="H1245" s="847"/>
      <c r="I1245" s="853"/>
      <c r="J1245" s="885">
        <f>J1246</f>
        <v>71782.975439999995</v>
      </c>
      <c r="K1245" s="890"/>
      <c r="L1245" s="890"/>
      <c r="M1245" s="890"/>
      <c r="N1245" s="843" t="e">
        <f>SUMIF(#REF!,'8.Dgia'!A1245,#REF!)+SUMIF(#REF!,'8.Dgia'!A1245,#REF!)+SUMIF(#REF!,'8.Dgia'!A1245,#REF!)+SUMIF(#REF!,'8.Dgia'!A1245,#REF!)</f>
        <v>#REF!</v>
      </c>
      <c r="O1245" s="844"/>
      <c r="P1245" s="843" t="e">
        <f t="shared" si="56"/>
        <v>#REF!</v>
      </c>
    </row>
    <row r="1246" spans="1:18" ht="15" customHeight="1">
      <c r="A1246" s="657">
        <f>IF(B1246="",MAX($A$8:A1245)+0,MAX($A$8:A1245)+1)</f>
        <v>130</v>
      </c>
      <c r="B1246" s="835" t="str">
        <f>IF(C1246="","",COUNTA($C$10:C1247))</f>
        <v/>
      </c>
      <c r="C1246" s="361"/>
      <c r="D1246" s="851"/>
      <c r="E1246" s="852" t="s">
        <v>1404</v>
      </c>
      <c r="F1246" s="848" t="str">
        <f>VLOOKUP(E1246,'9.may'!E:F,2,FALSE)</f>
        <v>concrete cutter 12CV</v>
      </c>
      <c r="G1246" s="362" t="s">
        <v>4902</v>
      </c>
      <c r="H1246" s="847">
        <f>0.22</f>
        <v>0.22</v>
      </c>
      <c r="I1246" s="848">
        <f>VLOOKUP(E1246,'9.may'!E:W,12,FALSE)</f>
        <v>326286.25199999998</v>
      </c>
      <c r="J1246" s="853">
        <f>I1246*H1246</f>
        <v>71782.975439999995</v>
      </c>
      <c r="N1246" s="843" t="e">
        <f>SUMIF(#REF!,'8.Dgia'!A1246,#REF!)+SUMIF(#REF!,'8.Dgia'!A1246,#REF!)+SUMIF(#REF!,'8.Dgia'!A1246,#REF!)+SUMIF(#REF!,'8.Dgia'!A1246,#REF!)</f>
        <v>#REF!</v>
      </c>
      <c r="O1246" s="844"/>
      <c r="P1246" s="843" t="e">
        <f t="shared" si="56"/>
        <v>#REF!</v>
      </c>
    </row>
    <row r="1247" spans="1:18" ht="15" customHeight="1">
      <c r="A1247" s="657">
        <f>IF(B1247="",MAX($A$8:A1246)+0,MAX($A$8:A1246)+1)</f>
        <v>131</v>
      </c>
      <c r="B1247" s="835">
        <f>IF(C1247="","",COUNTA($C$10:C1248))</f>
        <v>131</v>
      </c>
      <c r="C1247" s="835">
        <f>IF(D1247="","",1776)</f>
        <v>1776</v>
      </c>
      <c r="D1247" s="362" t="s">
        <v>75</v>
      </c>
      <c r="E1247" s="855" t="s">
        <v>76</v>
      </c>
      <c r="F1247" s="1049" t="str">
        <f>VLOOKUP(E1247,DICH!B:C,2,FALSE)</f>
        <v>Excavating asphalt concrete</v>
      </c>
      <c r="G1247" s="856" t="s">
        <v>545</v>
      </c>
      <c r="H1247" s="847"/>
      <c r="I1247" s="848"/>
      <c r="J1247" s="889"/>
      <c r="L1247" s="842">
        <f>J1248</f>
        <v>456439.5</v>
      </c>
      <c r="N1247" s="843" t="e">
        <f>SUMIF(#REF!,'8.Dgia'!A1247,#REF!)+SUMIF(#REF!,'8.Dgia'!A1247,#REF!)+SUMIF(#REF!,'8.Dgia'!A1247,#REF!)+SUMIF(#REF!,'8.Dgia'!A1247,#REF!)</f>
        <v>#REF!</v>
      </c>
      <c r="O1247" s="844"/>
      <c r="P1247" s="843" t="e">
        <f t="shared" si="56"/>
        <v>#REF!</v>
      </c>
    </row>
    <row r="1248" spans="1:18" ht="15" customHeight="1">
      <c r="A1248" s="657">
        <f>IF(B1248="",MAX($A$8:A1247)+0,MAX($A$8:A1247)+1)</f>
        <v>131</v>
      </c>
      <c r="B1248" s="835" t="str">
        <f>IF(C1248="","",COUNTA($C$10:C1249))</f>
        <v/>
      </c>
      <c r="C1248" s="891"/>
      <c r="D1248" s="887"/>
      <c r="E1248" s="852" t="s">
        <v>2037</v>
      </c>
      <c r="F1248" s="848" t="str">
        <f>VLOOKUP(E1248,DICH!B:C,2,FALSE)</f>
        <v xml:space="preserve">  B - Labour 3.5/7</v>
      </c>
      <c r="G1248" s="883" t="s">
        <v>4899</v>
      </c>
      <c r="H1248" s="847">
        <f>2.25</f>
        <v>2.25</v>
      </c>
      <c r="I1248" s="848">
        <f>VLOOKUP(E1248,'16.NC'!$C$11:$F$22,4,FALSE)</f>
        <v>202862</v>
      </c>
      <c r="J1248" s="849">
        <f>I1248*H1248</f>
        <v>456439.5</v>
      </c>
      <c r="K1248" s="890"/>
      <c r="L1248" s="890"/>
      <c r="M1248" s="890"/>
      <c r="N1248" s="843" t="e">
        <f>SUMIF(#REF!,'8.Dgia'!A1248,#REF!)+SUMIF(#REF!,'8.Dgia'!A1248,#REF!)+SUMIF(#REF!,'8.Dgia'!A1248,#REF!)+SUMIF(#REF!,'8.Dgia'!A1248,#REF!)</f>
        <v>#REF!</v>
      </c>
      <c r="O1248" s="844"/>
      <c r="P1248" s="843" t="e">
        <f t="shared" si="56"/>
        <v>#REF!</v>
      </c>
      <c r="R1248" s="658">
        <v>1</v>
      </c>
    </row>
    <row r="1249" spans="1:18" ht="15" customHeight="1">
      <c r="A1249" s="657">
        <f>IF(B1249="",MAX($A$8:A1248)+0,MAX($A$8:A1248)+1)</f>
        <v>132</v>
      </c>
      <c r="B1249" s="835">
        <f>IF(C1249="","",COUNTA($C$10:C1250))</f>
        <v>132</v>
      </c>
      <c r="C1249" s="835">
        <f>IF(D1249="","",1776)</f>
        <v>1776</v>
      </c>
      <c r="D1249" s="851" t="s">
        <v>724</v>
      </c>
      <c r="E1249" s="855" t="s">
        <v>4024</v>
      </c>
      <c r="F1249" s="1049" t="str">
        <f>VLOOKUP(E1249,DICH!B:C,2,FALSE)</f>
        <v>Concrete C30 of precast railing</v>
      </c>
      <c r="G1249" s="856" t="s">
        <v>545</v>
      </c>
      <c r="H1249" s="847"/>
      <c r="I1249" s="848"/>
      <c r="J1249" s="857"/>
      <c r="K1249" s="842">
        <f>+J1250</f>
        <v>1042170.1027936651</v>
      </c>
      <c r="L1249" s="842">
        <f>+J1253</f>
        <v>697845.28</v>
      </c>
      <c r="M1249" s="842">
        <f>+J1254</f>
        <v>26176.670825249999</v>
      </c>
      <c r="N1249" s="843" t="e">
        <f>SUMIF(#REF!,'8.Dgia'!A1249,#REF!)+SUMIF(#REF!,'8.Dgia'!A1249,#REF!)+SUMIF(#REF!,'8.Dgia'!A1249,#REF!)+SUMIF(#REF!,'8.Dgia'!A1249,#REF!)</f>
        <v>#REF!</v>
      </c>
      <c r="O1249" s="844"/>
      <c r="P1249" s="843" t="e">
        <f t="shared" si="56"/>
        <v>#REF!</v>
      </c>
    </row>
    <row r="1250" spans="1:18" s="658" customFormat="1" ht="15" customHeight="1">
      <c r="A1250" s="657">
        <f>IF(B1250="",MAX($A$8:A1249)+0,MAX($A$8:A1249)+1)</f>
        <v>132</v>
      </c>
      <c r="B1250" s="835" t="str">
        <f>IF(C1250="","",COUNTA($C$10:C1251))</f>
        <v/>
      </c>
      <c r="C1250" s="362"/>
      <c r="D1250" s="845"/>
      <c r="E1250" s="852" t="s">
        <v>2032</v>
      </c>
      <c r="F1250" s="848" t="str">
        <f>VLOOKUP(E1250,DICH!B:C,2,FALSE)</f>
        <v xml:space="preserve">  A - Material</v>
      </c>
      <c r="G1250" s="846"/>
      <c r="H1250" s="847"/>
      <c r="I1250" s="848"/>
      <c r="J1250" s="849">
        <f>SUM(J1251:J1252)</f>
        <v>1042170.1027936651</v>
      </c>
      <c r="K1250" s="850"/>
      <c r="L1250" s="850"/>
      <c r="M1250" s="850"/>
      <c r="N1250" s="843" t="e">
        <f>SUMIF(#REF!,'8.Dgia'!A1250,#REF!)+SUMIF(#REF!,'8.Dgia'!A1250,#REF!)+SUMIF(#REF!,'8.Dgia'!A1250,#REF!)+SUMIF(#REF!,'8.Dgia'!A1250,#REF!)</f>
        <v>#REF!</v>
      </c>
      <c r="O1250" s="844"/>
      <c r="P1250" s="843" t="e">
        <f t="shared" si="56"/>
        <v>#REF!</v>
      </c>
    </row>
    <row r="1251" spans="1:18" ht="15" customHeight="1">
      <c r="A1251" s="657">
        <f>IF(B1251="",MAX($A$8:A1250)+0,MAX($A$8:A1250)+1)</f>
        <v>132</v>
      </c>
      <c r="B1251" s="835" t="str">
        <f>IF(C1251="","",COUNTA($C$10:C1252))</f>
        <v/>
      </c>
      <c r="C1251" s="851"/>
      <c r="D1251" s="851" t="str">
        <f>+'10.PLV'!$C$27</f>
        <v>C3126</v>
      </c>
      <c r="E1251" s="852" t="str">
        <f>+'10.PLV'!$D$27</f>
        <v>Vữa bê tông đá 1x2 C30 SN 2-4</v>
      </c>
      <c r="F1251" s="848" t="str">
        <f>VLOOKUP(E1251,DICH!B:C,2,FALSE)</f>
        <v>Concrete motar C30 stone 1x2 slump 2-4</v>
      </c>
      <c r="G1251" s="362" t="s">
        <v>545</v>
      </c>
      <c r="H1251" s="847">
        <v>1.0149999999999999</v>
      </c>
      <c r="I1251" s="848">
        <f>VLOOKUP(E1251,'11.gia '!B:I,8,FALSE)</f>
        <v>1021660.2728168666</v>
      </c>
      <c r="J1251" s="853">
        <f>I1251*H1251</f>
        <v>1036985.1769091196</v>
      </c>
      <c r="N1251" s="843" t="e">
        <f>SUMIF(#REF!,'8.Dgia'!A1251,#REF!)+SUMIF(#REF!,'8.Dgia'!A1251,#REF!)+SUMIF(#REF!,'8.Dgia'!A1251,#REF!)+SUMIF(#REF!,'8.Dgia'!A1251,#REF!)</f>
        <v>#REF!</v>
      </c>
      <c r="O1251" s="844">
        <f>+$H$1252</f>
        <v>0.5</v>
      </c>
      <c r="P1251" s="843" t="e">
        <f t="shared" si="56"/>
        <v>#REF!</v>
      </c>
    </row>
    <row r="1252" spans="1:18" ht="15" customHeight="1">
      <c r="A1252" s="657">
        <f>IF(B1252="",MAX($A$8:A1251)+0,MAX($A$8:A1251)+1)</f>
        <v>132</v>
      </c>
      <c r="B1252" s="835" t="str">
        <f>IF(C1252="","",COUNTA($C$10:C1253))</f>
        <v/>
      </c>
      <c r="C1252" s="362"/>
      <c r="D1252" s="851"/>
      <c r="E1252" s="852" t="s">
        <v>555</v>
      </c>
      <c r="F1252" s="848" t="str">
        <f>VLOOKUP(E1252,DICH!B:C,2,FALSE)</f>
        <v>Other material</v>
      </c>
      <c r="G1252" s="362" t="s">
        <v>554</v>
      </c>
      <c r="H1252" s="847">
        <v>0.5</v>
      </c>
      <c r="I1252" s="848">
        <f>J1251</f>
        <v>1036985.1769091196</v>
      </c>
      <c r="J1252" s="853">
        <f>I1252*H1252%</f>
        <v>5184.9258845455979</v>
      </c>
      <c r="N1252" s="843" t="e">
        <f>SUMIF(#REF!,'8.Dgia'!A1252,#REF!)+SUMIF(#REF!,'8.Dgia'!A1252,#REF!)+SUMIF(#REF!,'8.Dgia'!A1252,#REF!)+SUMIF(#REF!,'8.Dgia'!A1252,#REF!)</f>
        <v>#REF!</v>
      </c>
      <c r="O1252" s="844"/>
      <c r="P1252" s="843" t="e">
        <f t="shared" si="56"/>
        <v>#REF!</v>
      </c>
    </row>
    <row r="1253" spans="1:18" s="658" customFormat="1" ht="15" customHeight="1">
      <c r="A1253" s="657">
        <f>IF(B1253="",MAX($A$8:A1252)+0,MAX($A$8:A1252)+1)</f>
        <v>132</v>
      </c>
      <c r="B1253" s="835" t="str">
        <f>IF(C1253="","",COUNTA($C$10:C1254))</f>
        <v/>
      </c>
      <c r="C1253" s="362"/>
      <c r="D1253" s="845"/>
      <c r="E1253" s="852" t="s">
        <v>2037</v>
      </c>
      <c r="F1253" s="848" t="str">
        <f>VLOOKUP(E1253,DICH!B:C,2,FALSE)</f>
        <v xml:space="preserve">  B - Labour 3.5/7</v>
      </c>
      <c r="G1253" s="362" t="s">
        <v>4899</v>
      </c>
      <c r="H1253" s="847">
        <v>3.44</v>
      </c>
      <c r="I1253" s="848">
        <f>VLOOKUP(E1253,'16.NC'!$C$11:$F$22,4,FALSE)</f>
        <v>202862</v>
      </c>
      <c r="J1253" s="849">
        <f>I1253*H1253</f>
        <v>697845.28</v>
      </c>
      <c r="K1253" s="850"/>
      <c r="L1253" s="850"/>
      <c r="M1253" s="850"/>
      <c r="N1253" s="843" t="e">
        <f>SUMIF(#REF!,'8.Dgia'!A1253,#REF!)+SUMIF(#REF!,'8.Dgia'!A1253,#REF!)+SUMIF(#REF!,'8.Dgia'!A1253,#REF!)+SUMIF(#REF!,'8.Dgia'!A1253,#REF!)</f>
        <v>#REF!</v>
      </c>
      <c r="O1253" s="844"/>
      <c r="P1253" s="843" t="e">
        <f t="shared" si="56"/>
        <v>#REF!</v>
      </c>
      <c r="R1253" s="658">
        <v>1</v>
      </c>
    </row>
    <row r="1254" spans="1:18" s="658" customFormat="1" ht="15" customHeight="1">
      <c r="A1254" s="657">
        <f>IF(B1254="",MAX($A$8:A1253)+0,MAX($A$8:A1253)+1)</f>
        <v>132</v>
      </c>
      <c r="B1254" s="835" t="str">
        <f>IF(C1254="","",COUNTA($C$10:C1255))</f>
        <v/>
      </c>
      <c r="C1254" s="362"/>
      <c r="D1254" s="845"/>
      <c r="E1254" s="852" t="s">
        <v>2033</v>
      </c>
      <c r="F1254" s="848" t="str">
        <f>VLOOKUP(E1254,DICH!B:C,2,FALSE)</f>
        <v xml:space="preserve">  C - Machine</v>
      </c>
      <c r="G1254" s="846"/>
      <c r="H1254" s="847"/>
      <c r="I1254" s="848"/>
      <c r="J1254" s="849">
        <f>SUM(J1255:J1257)</f>
        <v>26176.670825249999</v>
      </c>
      <c r="K1254" s="850"/>
      <c r="L1254" s="850"/>
      <c r="M1254" s="850"/>
      <c r="N1254" s="843" t="e">
        <f>SUMIF(#REF!,'8.Dgia'!A1254,#REF!)+SUMIF(#REF!,'8.Dgia'!A1254,#REF!)+SUMIF(#REF!,'8.Dgia'!A1254,#REF!)+SUMIF(#REF!,'8.Dgia'!A1254,#REF!)</f>
        <v>#REF!</v>
      </c>
      <c r="O1254" s="844"/>
      <c r="P1254" s="843" t="e">
        <f t="shared" si="56"/>
        <v>#REF!</v>
      </c>
    </row>
    <row r="1255" spans="1:18" ht="15" customHeight="1">
      <c r="A1255" s="657">
        <f>IF(B1255="",MAX($A$8:A1254)+0,MAX($A$8:A1254)+1)</f>
        <v>132</v>
      </c>
      <c r="B1255" s="835" t="str">
        <f>IF(C1255="","",COUNTA($C$10:C1256))</f>
        <v/>
      </c>
      <c r="C1255" s="362"/>
      <c r="D1255" s="851"/>
      <c r="E1255" s="852" t="s">
        <v>73</v>
      </c>
      <c r="F1255" s="848" t="str">
        <f>VLOOKUP(E1255,'9.may'!E:F,2,FALSE)</f>
        <v>concrete mixer 250L</v>
      </c>
      <c r="G1255" s="362" t="s">
        <v>4902</v>
      </c>
      <c r="H1255" s="847">
        <v>9.5000000000000001E-2</v>
      </c>
      <c r="I1255" s="848">
        <f>VLOOKUP(E1255,'9.may'!E:W,12,FALSE)</f>
        <v>180447.90000000002</v>
      </c>
      <c r="J1255" s="853">
        <f>I1255*H1255</f>
        <v>17142.550500000001</v>
      </c>
      <c r="N1255" s="843" t="e">
        <f>SUMIF(#REF!,'8.Dgia'!A1255,#REF!)+SUMIF(#REF!,'8.Dgia'!A1255,#REF!)+SUMIF(#REF!,'8.Dgia'!A1255,#REF!)+SUMIF(#REF!,'8.Dgia'!A1255,#REF!)</f>
        <v>#REF!</v>
      </c>
      <c r="O1255" s="844">
        <f>+$H$1257</f>
        <v>10</v>
      </c>
      <c r="P1255" s="843" t="e">
        <f t="shared" si="56"/>
        <v>#REF!</v>
      </c>
    </row>
    <row r="1256" spans="1:18" ht="15" customHeight="1">
      <c r="A1256" s="657">
        <f>IF(B1256="",MAX($A$8:A1255)+0,MAX($A$8:A1255)+1)</f>
        <v>132</v>
      </c>
      <c r="B1256" s="835" t="str">
        <f>IF(C1256="","",COUNTA($C$10:C1257))</f>
        <v/>
      </c>
      <c r="C1256" s="362"/>
      <c r="D1256" s="851"/>
      <c r="E1256" s="852" t="s">
        <v>620</v>
      </c>
      <c r="F1256" s="848" t="str">
        <f>VLOOKUP(E1256,'9.may'!E:F,2,FALSE)</f>
        <v>concrete vibrating compactor 1.5Kw</v>
      </c>
      <c r="G1256" s="362" t="s">
        <v>4902</v>
      </c>
      <c r="H1256" s="847">
        <v>8.8999999999999996E-2</v>
      </c>
      <c r="I1256" s="848">
        <f>VLOOKUP(E1256,'9.may'!E:W,12,FALSE)</f>
        <v>74768.797500000001</v>
      </c>
      <c r="J1256" s="853">
        <f>I1256*H1256</f>
        <v>6654.4229774999994</v>
      </c>
      <c r="N1256" s="843" t="e">
        <f>SUMIF(#REF!,'8.Dgia'!A1256,#REF!)+SUMIF(#REF!,'8.Dgia'!A1256,#REF!)+SUMIF(#REF!,'8.Dgia'!A1256,#REF!)+SUMIF(#REF!,'8.Dgia'!A1256,#REF!)</f>
        <v>#REF!</v>
      </c>
      <c r="O1256" s="844">
        <f>+$H$1257</f>
        <v>10</v>
      </c>
      <c r="P1256" s="843" t="e">
        <f t="shared" si="56"/>
        <v>#REF!</v>
      </c>
    </row>
    <row r="1257" spans="1:18" ht="15" customHeight="1">
      <c r="A1257" s="657">
        <f>IF(B1257="",MAX($A$8:A1256)+0,MAX($A$8:A1256)+1)</f>
        <v>132</v>
      </c>
      <c r="B1257" s="835" t="str">
        <f>IF(C1257="","",COUNTA($C$10:C1258))</f>
        <v/>
      </c>
      <c r="C1257" s="362"/>
      <c r="D1257" s="851"/>
      <c r="E1257" s="852" t="s">
        <v>553</v>
      </c>
      <c r="F1257" s="848" t="str">
        <f>VLOOKUP(E1257,DICH!B:C,2,FALSE)</f>
        <v>Other machine</v>
      </c>
      <c r="G1257" s="362" t="s">
        <v>554</v>
      </c>
      <c r="H1257" s="847">
        <v>10</v>
      </c>
      <c r="I1257" s="848">
        <f>SUM(J1255:J1256)</f>
        <v>23796.9734775</v>
      </c>
      <c r="J1257" s="853">
        <f>I1257*H1257%</f>
        <v>2379.6973477500001</v>
      </c>
      <c r="N1257" s="843" t="e">
        <f>SUMIF(#REF!,'8.Dgia'!A1257,#REF!)+SUMIF(#REF!,'8.Dgia'!A1257,#REF!)+SUMIF(#REF!,'8.Dgia'!A1257,#REF!)+SUMIF(#REF!,'8.Dgia'!A1257,#REF!)</f>
        <v>#REF!</v>
      </c>
      <c r="O1257" s="844"/>
      <c r="P1257" s="843" t="e">
        <f t="shared" si="56"/>
        <v>#REF!</v>
      </c>
    </row>
    <row r="1258" spans="1:18" ht="15" customHeight="1">
      <c r="A1258" s="657">
        <f>IF(B1258="",MAX($A$8:A1257)+0,MAX($A$8:A1257)+1)</f>
        <v>133</v>
      </c>
      <c r="B1258" s="835">
        <f>IF(C1258="","",COUNTA($C$10:C1259))</f>
        <v>133</v>
      </c>
      <c r="C1258" s="835">
        <f>IF(D1258="","",1776)</f>
        <v>1776</v>
      </c>
      <c r="D1258" s="851" t="s">
        <v>500</v>
      </c>
      <c r="E1258" s="855" t="s">
        <v>4064</v>
      </c>
      <c r="F1258" s="1049" t="str">
        <f>VLOOKUP(E1258,DICH!B:C,2,FALSE)</f>
        <v>Reinforcement D&lt;=18 (precast)</v>
      </c>
      <c r="G1258" s="856" t="s">
        <v>4644</v>
      </c>
      <c r="H1258" s="847"/>
      <c r="I1258" s="848"/>
      <c r="J1258" s="853"/>
      <c r="K1258" s="842">
        <f>+J1259</f>
        <v>17269159.111200001</v>
      </c>
      <c r="L1258" s="842">
        <f>+J1263</f>
        <v>2665606.6800000002</v>
      </c>
      <c r="M1258" s="842">
        <f>+J1264</f>
        <v>390791.14468499995</v>
      </c>
      <c r="N1258" s="843" t="e">
        <f>SUMIF(#REF!,'8.Dgia'!A1258,#REF!)+SUMIF(#REF!,'8.Dgia'!A1258,#REF!)+SUMIF(#REF!,'8.Dgia'!A1258,#REF!)+SUMIF(#REF!,'8.Dgia'!A1258,#REF!)</f>
        <v>#REF!</v>
      </c>
      <c r="O1258" s="844"/>
      <c r="P1258" s="843" t="e">
        <f t="shared" si="56"/>
        <v>#REF!</v>
      </c>
    </row>
    <row r="1259" spans="1:18" s="658" customFormat="1" ht="15" customHeight="1">
      <c r="A1259" s="657">
        <f>IF(B1259="",MAX($A$8:A1258)+0,MAX($A$8:A1258)+1)</f>
        <v>133</v>
      </c>
      <c r="B1259" s="835" t="str">
        <f>IF(C1259="","",COUNTA($C$10:C1260))</f>
        <v/>
      </c>
      <c r="C1259" s="362"/>
      <c r="D1259" s="845"/>
      <c r="E1259" s="852" t="s">
        <v>2032</v>
      </c>
      <c r="F1259" s="848" t="str">
        <f>VLOOKUP(E1259,DICH!B:C,2,FALSE)</f>
        <v xml:space="preserve">  A - Material</v>
      </c>
      <c r="G1259" s="846"/>
      <c r="H1259" s="847"/>
      <c r="I1259" s="848"/>
      <c r="J1259" s="849">
        <f>SUM(J1260:J1262)</f>
        <v>17269159.111200001</v>
      </c>
      <c r="K1259" s="850"/>
      <c r="L1259" s="850"/>
      <c r="M1259" s="850"/>
      <c r="N1259" s="843" t="e">
        <f>SUMIF(#REF!,'8.Dgia'!A1259,#REF!)+SUMIF(#REF!,'8.Dgia'!A1259,#REF!)+SUMIF(#REF!,'8.Dgia'!A1259,#REF!)+SUMIF(#REF!,'8.Dgia'!A1259,#REF!)</f>
        <v>#REF!</v>
      </c>
      <c r="O1259" s="844"/>
      <c r="P1259" s="843" t="e">
        <f t="shared" si="56"/>
        <v>#REF!</v>
      </c>
    </row>
    <row r="1260" spans="1:18" ht="15" customHeight="1">
      <c r="A1260" s="657">
        <f>IF(B1260="",MAX($A$8:A1259)+0,MAX($A$8:A1259)+1)</f>
        <v>133</v>
      </c>
      <c r="B1260" s="835" t="str">
        <f>IF(C1260="","",COUNTA($C$10:C1261))</f>
        <v/>
      </c>
      <c r="C1260" s="362"/>
      <c r="D1260" s="851"/>
      <c r="E1260" s="852" t="s">
        <v>671</v>
      </c>
      <c r="F1260" s="848" t="str">
        <f>VLOOKUP(E1260,DICH!B:C,2,FALSE)</f>
        <v>steel bar D&lt;=18</v>
      </c>
      <c r="G1260" s="362" t="s">
        <v>558</v>
      </c>
      <c r="H1260" s="847">
        <v>1020</v>
      </c>
      <c r="I1260" s="848">
        <f>VLOOKUP(E1260,'11.gia '!$B:$I,8,FALSE)</f>
        <v>16604.075560000001</v>
      </c>
      <c r="J1260" s="853">
        <f>I1260*H1260</f>
        <v>16936157.071200002</v>
      </c>
      <c r="N1260" s="843" t="e">
        <f>SUMIF(#REF!,'8.Dgia'!A1260,#REF!)+SUMIF(#REF!,'8.Dgia'!A1260,#REF!)+SUMIF(#REF!,'8.Dgia'!A1260,#REF!)+SUMIF(#REF!,'8.Dgia'!A1260,#REF!)</f>
        <v>#REF!</v>
      </c>
      <c r="O1260" s="844"/>
      <c r="P1260" s="843" t="e">
        <f t="shared" si="56"/>
        <v>#REF!</v>
      </c>
    </row>
    <row r="1261" spans="1:18" ht="15" customHeight="1">
      <c r="A1261" s="657">
        <f>IF(B1261="",MAX($A$8:A1260)+0,MAX($A$8:A1260)+1)</f>
        <v>133</v>
      </c>
      <c r="B1261" s="835" t="str">
        <f>IF(C1261="","",COUNTA($C$10:C1262))</f>
        <v/>
      </c>
      <c r="C1261" s="362"/>
      <c r="D1261" s="851"/>
      <c r="E1261" s="852" t="s">
        <v>459</v>
      </c>
      <c r="F1261" s="848" t="str">
        <f>VLOOKUP(E1261,DICH!B:C,2,FALSE)</f>
        <v>Steel ware</v>
      </c>
      <c r="G1261" s="362" t="s">
        <v>558</v>
      </c>
      <c r="H1261" s="847">
        <v>14.28</v>
      </c>
      <c r="I1261" s="848">
        <f>VLOOKUP(E1261,'11.gia '!$B:$I,8,FALSE)</f>
        <v>17143</v>
      </c>
      <c r="J1261" s="853">
        <f>I1261*H1261</f>
        <v>244802.03999999998</v>
      </c>
      <c r="N1261" s="843" t="e">
        <f>SUMIF(#REF!,'8.Dgia'!A1261,#REF!)+SUMIF(#REF!,'8.Dgia'!A1261,#REF!)+SUMIF(#REF!,'8.Dgia'!A1261,#REF!)+SUMIF(#REF!,'8.Dgia'!A1261,#REF!)</f>
        <v>#REF!</v>
      </c>
      <c r="O1261" s="844"/>
      <c r="P1261" s="843" t="e">
        <f t="shared" si="56"/>
        <v>#REF!</v>
      </c>
    </row>
    <row r="1262" spans="1:18" ht="15" customHeight="1">
      <c r="A1262" s="657">
        <f>IF(B1262="",MAX($A$8:A1261)+0,MAX($A$8:A1261)+1)</f>
        <v>133</v>
      </c>
      <c r="B1262" s="835" t="str">
        <f>IF(C1262="","",COUNTA($C$10:C1263))</f>
        <v/>
      </c>
      <c r="C1262" s="362"/>
      <c r="D1262" s="851"/>
      <c r="E1262" s="852" t="s">
        <v>559</v>
      </c>
      <c r="F1262" s="848" t="str">
        <f>VLOOKUP(E1262,DICH!B:C,2,FALSE)</f>
        <v>welding electrode</v>
      </c>
      <c r="G1262" s="362" t="s">
        <v>558</v>
      </c>
      <c r="H1262" s="847">
        <v>4.62</v>
      </c>
      <c r="I1262" s="848">
        <f>VLOOKUP(E1262,'11.gia '!$B:$I,8,FALSE)</f>
        <v>19090.909090909088</v>
      </c>
      <c r="J1262" s="853">
        <f>I1262*H1262</f>
        <v>88199.999999999985</v>
      </c>
      <c r="N1262" s="843" t="e">
        <f>SUMIF(#REF!,'8.Dgia'!A1262,#REF!)+SUMIF(#REF!,'8.Dgia'!A1262,#REF!)+SUMIF(#REF!,'8.Dgia'!A1262,#REF!)+SUMIF(#REF!,'8.Dgia'!A1262,#REF!)</f>
        <v>#REF!</v>
      </c>
      <c r="O1262" s="844"/>
      <c r="P1262" s="843" t="e">
        <f t="shared" si="56"/>
        <v>#REF!</v>
      </c>
    </row>
    <row r="1263" spans="1:18" s="658" customFormat="1" ht="15" customHeight="1">
      <c r="A1263" s="657">
        <f>IF(B1263="",MAX($A$8:A1262)+0,MAX($A$8:A1262)+1)</f>
        <v>133</v>
      </c>
      <c r="B1263" s="835" t="str">
        <f>IF(C1263="","",COUNTA($C$10:C1264))</f>
        <v/>
      </c>
      <c r="C1263" s="362"/>
      <c r="D1263" s="845"/>
      <c r="E1263" s="852" t="s">
        <v>2037</v>
      </c>
      <c r="F1263" s="848" t="str">
        <f>VLOOKUP(E1263,DICH!B:C,2,FALSE)</f>
        <v xml:space="preserve">  B - Labour 3.5/7</v>
      </c>
      <c r="G1263" s="362" t="s">
        <v>4899</v>
      </c>
      <c r="H1263" s="847">
        <v>13.14</v>
      </c>
      <c r="I1263" s="848">
        <f>VLOOKUP(E1263,'16.NC'!$C$11:$F$22,4,FALSE)</f>
        <v>202862</v>
      </c>
      <c r="J1263" s="849">
        <f>I1263*H1263</f>
        <v>2665606.6800000002</v>
      </c>
      <c r="K1263" s="850"/>
      <c r="L1263" s="850"/>
      <c r="M1263" s="850"/>
      <c r="N1263" s="843" t="e">
        <f>SUMIF(#REF!,'8.Dgia'!A1263,#REF!)+SUMIF(#REF!,'8.Dgia'!A1263,#REF!)+SUMIF(#REF!,'8.Dgia'!A1263,#REF!)+SUMIF(#REF!,'8.Dgia'!A1263,#REF!)</f>
        <v>#REF!</v>
      </c>
      <c r="O1263" s="844"/>
      <c r="P1263" s="843" t="e">
        <f t="shared" si="56"/>
        <v>#REF!</v>
      </c>
      <c r="R1263" s="658">
        <v>1</v>
      </c>
    </row>
    <row r="1264" spans="1:18" s="658" customFormat="1" ht="15" customHeight="1">
      <c r="A1264" s="657">
        <f>IF(B1264="",MAX($A$8:A1263)+0,MAX($A$8:A1263)+1)</f>
        <v>133</v>
      </c>
      <c r="B1264" s="835" t="str">
        <f>IF(C1264="","",COUNTA($C$10:C1265))</f>
        <v/>
      </c>
      <c r="C1264" s="362"/>
      <c r="D1264" s="845"/>
      <c r="E1264" s="852" t="s">
        <v>2033</v>
      </c>
      <c r="F1264" s="848" t="str">
        <f>VLOOKUP(E1264,DICH!B:C,2,FALSE)</f>
        <v xml:space="preserve">  C - Machine</v>
      </c>
      <c r="G1264" s="846"/>
      <c r="H1264" s="847"/>
      <c r="I1264" s="848"/>
      <c r="J1264" s="849">
        <f>SUM(J1265:J1266)</f>
        <v>390791.14468499995</v>
      </c>
      <c r="K1264" s="850"/>
      <c r="L1264" s="850"/>
      <c r="M1264" s="850"/>
      <c r="N1264" s="843" t="e">
        <f>SUMIF(#REF!,'8.Dgia'!A1264,#REF!)+SUMIF(#REF!,'8.Dgia'!A1264,#REF!)+SUMIF(#REF!,'8.Dgia'!A1264,#REF!)+SUMIF(#REF!,'8.Dgia'!A1264,#REF!)</f>
        <v>#REF!</v>
      </c>
      <c r="O1264" s="844"/>
      <c r="P1264" s="843" t="e">
        <f t="shared" si="56"/>
        <v>#REF!</v>
      </c>
    </row>
    <row r="1265" spans="1:18" ht="15" customHeight="1">
      <c r="A1265" s="657">
        <f>IF(B1265="",MAX($A$8:A1264)+0,MAX($A$8:A1264)+1)</f>
        <v>133</v>
      </c>
      <c r="B1265" s="835" t="str">
        <f>IF(C1265="","",COUNTA($C$10:C1266))</f>
        <v/>
      </c>
      <c r="C1265" s="362"/>
      <c r="D1265" s="851"/>
      <c r="E1265" s="852" t="s">
        <v>560</v>
      </c>
      <c r="F1265" s="848" t="str">
        <f>VLOOKUP(E1265,'9.may'!E:F,2,FALSE)</f>
        <v>welding machine 23kW</v>
      </c>
      <c r="G1265" s="362" t="s">
        <v>4902</v>
      </c>
      <c r="H1265" s="847">
        <v>2.1269999999999998</v>
      </c>
      <c r="I1265" s="848">
        <f>VLOOKUP(E1265,'9.may'!E:W,12,FALSE)</f>
        <v>171649.155</v>
      </c>
      <c r="J1265" s="853">
        <f>I1265*H1265</f>
        <v>365097.75268499996</v>
      </c>
      <c r="N1265" s="843" t="e">
        <f>SUMIF(#REF!,'8.Dgia'!A1265,#REF!)+SUMIF(#REF!,'8.Dgia'!A1265,#REF!)+SUMIF(#REF!,'8.Dgia'!A1265,#REF!)+SUMIF(#REF!,'8.Dgia'!A1265,#REF!)</f>
        <v>#REF!</v>
      </c>
      <c r="O1265" s="844"/>
      <c r="P1265" s="843" t="e">
        <f t="shared" si="56"/>
        <v>#REF!</v>
      </c>
    </row>
    <row r="1266" spans="1:18" ht="15" customHeight="1">
      <c r="A1266" s="657">
        <f>IF(B1266="",MAX($A$8:A1265)+0,MAX($A$8:A1265)+1)</f>
        <v>133</v>
      </c>
      <c r="B1266" s="835" t="str">
        <f>IF(C1266="","",COUNTA($C$10:C1267))</f>
        <v/>
      </c>
      <c r="C1266" s="362"/>
      <c r="D1266" s="851"/>
      <c r="E1266" s="852" t="s">
        <v>1424</v>
      </c>
      <c r="F1266" s="848" t="str">
        <f>VLOOKUP(E1266,'9.may'!E:F,2,FALSE)</f>
        <v>bender cutter 5Kw</v>
      </c>
      <c r="G1266" s="362" t="s">
        <v>4902</v>
      </c>
      <c r="H1266" s="847">
        <v>0.32</v>
      </c>
      <c r="I1266" s="848">
        <f>VLOOKUP(E1266,'9.may'!E:W,12,FALSE)</f>
        <v>80291.850000000006</v>
      </c>
      <c r="J1266" s="853">
        <f>I1266*H1266</f>
        <v>25693.392000000003</v>
      </c>
      <c r="N1266" s="843" t="e">
        <f>SUMIF(#REF!,'8.Dgia'!A1266,#REF!)+SUMIF(#REF!,'8.Dgia'!A1266,#REF!)+SUMIF(#REF!,'8.Dgia'!A1266,#REF!)+SUMIF(#REF!,'8.Dgia'!A1266,#REF!)</f>
        <v>#REF!</v>
      </c>
      <c r="O1266" s="844"/>
      <c r="P1266" s="843" t="e">
        <f t="shared" si="56"/>
        <v>#REF!</v>
      </c>
    </row>
    <row r="1267" spans="1:18" ht="15" customHeight="1">
      <c r="A1267" s="657">
        <f>IF(B1267="",MAX($A$8:A1266)+0,MAX($A$8:A1266)+1)</f>
        <v>134</v>
      </c>
      <c r="B1267" s="835">
        <f>IF(C1267="","",COUNTA($C$10:C1268))</f>
        <v>134</v>
      </c>
      <c r="C1267" s="835">
        <f>IF(D1267="","",1776)</f>
        <v>1776</v>
      </c>
      <c r="D1267" s="851" t="s">
        <v>3556</v>
      </c>
      <c r="E1267" s="855" t="s">
        <v>4063</v>
      </c>
      <c r="F1267" s="1049" t="str">
        <f>VLOOKUP(E1267,DICH!B:C,2,FALSE)</f>
        <v>Reinforcement D&lt;=10 (precast)</v>
      </c>
      <c r="G1267" s="856" t="s">
        <v>4644</v>
      </c>
      <c r="H1267" s="847"/>
      <c r="I1267" s="848"/>
      <c r="J1267" s="853"/>
      <c r="K1267" s="842">
        <f>+J1268</f>
        <v>17205048.9978</v>
      </c>
      <c r="L1267" s="842">
        <f>+J1271</f>
        <v>4335160.9400000004</v>
      </c>
      <c r="M1267" s="842">
        <f>+J1272</f>
        <v>38540.088000000003</v>
      </c>
      <c r="N1267" s="843" t="e">
        <f>SUMIF(#REF!,'8.Dgia'!A1267,#REF!)+SUMIF(#REF!,'8.Dgia'!A1267,#REF!)+SUMIF(#REF!,'8.Dgia'!A1267,#REF!)+SUMIF(#REF!,'8.Dgia'!A1267,#REF!)</f>
        <v>#REF!</v>
      </c>
      <c r="O1267" s="844"/>
      <c r="P1267" s="843" t="e">
        <f t="shared" ref="P1267:P1273" si="57">$H1267*N1267*(1+O1267%)</f>
        <v>#REF!</v>
      </c>
    </row>
    <row r="1268" spans="1:18" s="658" customFormat="1" ht="15" customHeight="1">
      <c r="A1268" s="657">
        <f>IF(B1268="",MAX($A$8:A1267)+0,MAX($A$8:A1267)+1)</f>
        <v>134</v>
      </c>
      <c r="B1268" s="835" t="str">
        <f>IF(C1268="","",COUNTA($C$10:C1269))</f>
        <v/>
      </c>
      <c r="C1268" s="362"/>
      <c r="D1268" s="845"/>
      <c r="E1268" s="852" t="s">
        <v>2032</v>
      </c>
      <c r="F1268" s="848" t="str">
        <f>VLOOKUP(E1268,DICH!B:C,2,FALSE)</f>
        <v xml:space="preserve">  A - Material</v>
      </c>
      <c r="G1268" s="846"/>
      <c r="H1268" s="847"/>
      <c r="I1268" s="848"/>
      <c r="J1268" s="849">
        <f>SUM(J1269:J1270)</f>
        <v>17205048.9978</v>
      </c>
      <c r="K1268" s="850"/>
      <c r="L1268" s="850"/>
      <c r="M1268" s="850"/>
      <c r="N1268" s="843" t="e">
        <f>SUMIF(#REF!,'8.Dgia'!A1268,#REF!)+SUMIF(#REF!,'8.Dgia'!A1268,#REF!)+SUMIF(#REF!,'8.Dgia'!A1268,#REF!)+SUMIF(#REF!,'8.Dgia'!A1268,#REF!)</f>
        <v>#REF!</v>
      </c>
      <c r="O1268" s="844"/>
      <c r="P1268" s="843" t="e">
        <f t="shared" si="57"/>
        <v>#REF!</v>
      </c>
    </row>
    <row r="1269" spans="1:18" ht="15" customHeight="1">
      <c r="A1269" s="657">
        <f>IF(B1269="",MAX($A$8:A1268)+0,MAX($A$8:A1268)+1)</f>
        <v>134</v>
      </c>
      <c r="B1269" s="835" t="str">
        <f>IF(C1269="","",COUNTA($C$10:C1270))</f>
        <v/>
      </c>
      <c r="C1269" s="362"/>
      <c r="D1269" s="851"/>
      <c r="E1269" s="245" t="s">
        <v>371</v>
      </c>
      <c r="F1269" s="848" t="str">
        <f>VLOOKUP(E1269,DICH!B:C,2,FALSE)</f>
        <v>steel bar D&lt;=10</v>
      </c>
      <c r="G1269" s="362" t="s">
        <v>558</v>
      </c>
      <c r="H1269" s="847">
        <v>1005</v>
      </c>
      <c r="I1269" s="848">
        <f>VLOOKUP(E1269,'11.gia '!$B:$I,8,FALSE)</f>
        <v>16754.075560000001</v>
      </c>
      <c r="J1269" s="853">
        <f>I1269*H1269</f>
        <v>16837845.937800001</v>
      </c>
      <c r="N1269" s="843" t="e">
        <f>SUMIF(#REF!,'8.Dgia'!A1269,#REF!)+SUMIF(#REF!,'8.Dgia'!A1269,#REF!)+SUMIF(#REF!,'8.Dgia'!A1269,#REF!)+SUMIF(#REF!,'8.Dgia'!A1269,#REF!)</f>
        <v>#REF!</v>
      </c>
      <c r="O1269" s="844"/>
      <c r="P1269" s="843" t="e">
        <f t="shared" si="57"/>
        <v>#REF!</v>
      </c>
    </row>
    <row r="1270" spans="1:18" ht="15" customHeight="1">
      <c r="A1270" s="657">
        <f>IF(B1270="",MAX($A$8:A1269)+0,MAX($A$8:A1269)+1)</f>
        <v>134</v>
      </c>
      <c r="B1270" s="835" t="str">
        <f>IF(C1270="","",COUNTA($C$10:C1271))</f>
        <v/>
      </c>
      <c r="C1270" s="362"/>
      <c r="D1270" s="851"/>
      <c r="E1270" s="852" t="s">
        <v>459</v>
      </c>
      <c r="F1270" s="848" t="str">
        <f>VLOOKUP(E1270,DICH!B:C,2,FALSE)</f>
        <v>Steel ware</v>
      </c>
      <c r="G1270" s="362" t="s">
        <v>558</v>
      </c>
      <c r="H1270" s="847">
        <v>21.42</v>
      </c>
      <c r="I1270" s="848">
        <f>VLOOKUP(E1270,'11.gia '!$B:$I,8,FALSE)</f>
        <v>17143</v>
      </c>
      <c r="J1270" s="853">
        <f>I1270*H1270</f>
        <v>367203.06000000006</v>
      </c>
      <c r="N1270" s="843" t="e">
        <f>SUMIF(#REF!,'8.Dgia'!A1270,#REF!)+SUMIF(#REF!,'8.Dgia'!A1270,#REF!)+SUMIF(#REF!,'8.Dgia'!A1270,#REF!)+SUMIF(#REF!,'8.Dgia'!A1270,#REF!)</f>
        <v>#REF!</v>
      </c>
      <c r="O1270" s="844"/>
      <c r="P1270" s="843" t="e">
        <f t="shared" si="57"/>
        <v>#REF!</v>
      </c>
    </row>
    <row r="1271" spans="1:18" s="658" customFormat="1" ht="15" customHeight="1">
      <c r="A1271" s="657">
        <f>IF(B1271="",MAX($A$8:A1270)+0,MAX($A$8:A1270)+1)</f>
        <v>134</v>
      </c>
      <c r="B1271" s="835" t="str">
        <f>IF(C1271="","",COUNTA($C$10:C1272))</f>
        <v/>
      </c>
      <c r="C1271" s="362"/>
      <c r="D1271" s="845"/>
      <c r="E1271" s="852" t="s">
        <v>2037</v>
      </c>
      <c r="F1271" s="848" t="str">
        <f>VLOOKUP(E1271,DICH!B:C,2,FALSE)</f>
        <v xml:space="preserve">  B - Labour 3.5/7</v>
      </c>
      <c r="G1271" s="362" t="s">
        <v>4899</v>
      </c>
      <c r="H1271" s="847">
        <v>21.37</v>
      </c>
      <c r="I1271" s="848">
        <f>VLOOKUP(E1271,'16.NC'!$C$11:$F$22,4,FALSE)</f>
        <v>202862</v>
      </c>
      <c r="J1271" s="849">
        <f>I1271*H1271</f>
        <v>4335160.9400000004</v>
      </c>
      <c r="K1271" s="850"/>
      <c r="L1271" s="850"/>
      <c r="M1271" s="850"/>
      <c r="N1271" s="843" t="e">
        <f>SUMIF(#REF!,'8.Dgia'!A1271,#REF!)+SUMIF(#REF!,'8.Dgia'!A1271,#REF!)+SUMIF(#REF!,'8.Dgia'!A1271,#REF!)+SUMIF(#REF!,'8.Dgia'!A1271,#REF!)</f>
        <v>#REF!</v>
      </c>
      <c r="O1271" s="844"/>
      <c r="P1271" s="843" t="e">
        <f t="shared" si="57"/>
        <v>#REF!</v>
      </c>
      <c r="R1271" s="658">
        <v>1</v>
      </c>
    </row>
    <row r="1272" spans="1:18" s="658" customFormat="1" ht="15" customHeight="1">
      <c r="A1272" s="657">
        <f>IF(B1272="",MAX($A$8:A1271)+0,MAX($A$8:A1271)+1)</f>
        <v>134</v>
      </c>
      <c r="B1272" s="835" t="str">
        <f>IF(C1272="","",COUNTA($C$10:C1273))</f>
        <v/>
      </c>
      <c r="C1272" s="362"/>
      <c r="D1272" s="845"/>
      <c r="E1272" s="852" t="s">
        <v>2033</v>
      </c>
      <c r="F1272" s="848" t="str">
        <f>VLOOKUP(E1272,DICH!B:C,2,FALSE)</f>
        <v xml:space="preserve">  C - Machine</v>
      </c>
      <c r="G1272" s="846"/>
      <c r="H1272" s="847"/>
      <c r="I1272" s="848"/>
      <c r="J1272" s="849">
        <f>SUM(J1273:J1273)</f>
        <v>38540.088000000003</v>
      </c>
      <c r="K1272" s="850"/>
      <c r="L1272" s="850"/>
      <c r="M1272" s="850"/>
      <c r="N1272" s="843" t="e">
        <f>SUMIF(#REF!,'8.Dgia'!A1272,#REF!)+SUMIF(#REF!,'8.Dgia'!A1272,#REF!)+SUMIF(#REF!,'8.Dgia'!A1272,#REF!)+SUMIF(#REF!,'8.Dgia'!A1272,#REF!)</f>
        <v>#REF!</v>
      </c>
      <c r="O1272" s="844"/>
      <c r="P1272" s="843" t="e">
        <f t="shared" si="57"/>
        <v>#REF!</v>
      </c>
    </row>
    <row r="1273" spans="1:18" ht="15" customHeight="1">
      <c r="A1273" s="657">
        <f>IF(B1273="",MAX($A$8:A1272)+0,MAX($A$8:A1272)+1)</f>
        <v>134</v>
      </c>
      <c r="B1273" s="835" t="str">
        <f>IF(C1273="","",COUNTA($C$10:C1274))</f>
        <v/>
      </c>
      <c r="C1273" s="362"/>
      <c r="D1273" s="851"/>
      <c r="E1273" s="852" t="s">
        <v>1424</v>
      </c>
      <c r="F1273" s="848" t="str">
        <f>VLOOKUP(E1273,'9.may'!E:F,2,FALSE)</f>
        <v>bender cutter 5Kw</v>
      </c>
      <c r="G1273" s="362" t="s">
        <v>4902</v>
      </c>
      <c r="H1273" s="847">
        <v>0.48</v>
      </c>
      <c r="I1273" s="848">
        <f>VLOOKUP(E1273,'9.may'!E:W,12,FALSE)</f>
        <v>80291.850000000006</v>
      </c>
      <c r="J1273" s="853">
        <f>I1273*H1273</f>
        <v>38540.088000000003</v>
      </c>
      <c r="N1273" s="843" t="e">
        <f>SUMIF(#REF!,'8.Dgia'!A1273,#REF!)+SUMIF(#REF!,'8.Dgia'!A1273,#REF!)+SUMIF(#REF!,'8.Dgia'!A1273,#REF!)+SUMIF(#REF!,'8.Dgia'!A1273,#REF!)</f>
        <v>#REF!</v>
      </c>
      <c r="O1273" s="844"/>
      <c r="P1273" s="843" t="e">
        <f t="shared" si="57"/>
        <v>#REF!</v>
      </c>
    </row>
    <row r="1274" spans="1:18" ht="15" customHeight="1">
      <c r="A1274" s="657">
        <f>IF(B1274="",MAX($A$8:A1273)+0,MAX($A$8:A1273)+1)</f>
        <v>135</v>
      </c>
      <c r="B1274" s="835">
        <f>IF(C1274="","",COUNTA($C$10:C1275))</f>
        <v>135</v>
      </c>
      <c r="C1274" s="835">
        <f>IF(D1274="","",1776)</f>
        <v>1776</v>
      </c>
      <c r="D1274" s="851" t="s">
        <v>343</v>
      </c>
      <c r="E1274" s="855" t="s">
        <v>585</v>
      </c>
      <c r="F1274" s="1049" t="str">
        <f>VLOOKUP(E1274,DICH!B:C,2,FALSE)</f>
        <v>Producing zinc steel railling</v>
      </c>
      <c r="G1274" s="856" t="s">
        <v>4644</v>
      </c>
      <c r="H1274" s="847"/>
      <c r="I1274" s="848"/>
      <c r="J1274" s="853"/>
      <c r="K1274" s="842">
        <f>+J1275</f>
        <v>24852010.781558473</v>
      </c>
      <c r="L1274" s="842">
        <f>+J1284</f>
        <v>5101056.3999999994</v>
      </c>
      <c r="M1274" s="842">
        <f>+J1285</f>
        <v>1272543.2423347363</v>
      </c>
      <c r="N1274" s="843" t="e">
        <f>SUMIF(#REF!,'8.Dgia'!A1274,#REF!)+SUMIF(#REF!,'8.Dgia'!A1274,#REF!)+SUMIF(#REF!,'8.Dgia'!A1274,#REF!)+SUMIF(#REF!,'8.Dgia'!A1274,#REF!)</f>
        <v>#REF!</v>
      </c>
      <c r="O1274" s="844"/>
      <c r="P1274" s="843" t="e">
        <f t="shared" si="56"/>
        <v>#REF!</v>
      </c>
    </row>
    <row r="1275" spans="1:18" s="658" customFormat="1" ht="15" customHeight="1">
      <c r="A1275" s="657">
        <f>IF(B1275="",MAX($A$8:A1274)+0,MAX($A$8:A1274)+1)</f>
        <v>135</v>
      </c>
      <c r="B1275" s="835" t="str">
        <f>IF(C1275="","",COUNTA($C$10:C1276))</f>
        <v/>
      </c>
      <c r="C1275" s="362"/>
      <c r="D1275" s="845"/>
      <c r="E1275" s="852" t="s">
        <v>2032</v>
      </c>
      <c r="F1275" s="848" t="str">
        <f>VLOOKUP(E1275,DICH!B:C,2,FALSE)</f>
        <v xml:space="preserve">  A - Material</v>
      </c>
      <c r="G1275" s="846"/>
      <c r="H1275" s="847"/>
      <c r="I1275" s="848"/>
      <c r="J1275" s="849">
        <f>SUM(J1276:J1283)</f>
        <v>24852010.781558473</v>
      </c>
      <c r="K1275" s="850"/>
      <c r="L1275" s="850"/>
      <c r="M1275" s="850"/>
      <c r="N1275" s="843" t="e">
        <f>SUMIF(#REF!,'8.Dgia'!A1275,#REF!)+SUMIF(#REF!,'8.Dgia'!A1275,#REF!)+SUMIF(#REF!,'8.Dgia'!A1275,#REF!)+SUMIF(#REF!,'8.Dgia'!A1275,#REF!)</f>
        <v>#REF!</v>
      </c>
      <c r="O1275" s="844"/>
      <c r="P1275" s="843" t="e">
        <f t="shared" si="56"/>
        <v>#REF!</v>
      </c>
    </row>
    <row r="1276" spans="1:18" ht="15" customHeight="1">
      <c r="A1276" s="657">
        <f>IF(B1276="",MAX($A$8:A1275)+0,MAX($A$8:A1275)+1)</f>
        <v>135</v>
      </c>
      <c r="B1276" s="835" t="str">
        <f>IF(C1276="","",COUNTA($C$10:C1277))</f>
        <v/>
      </c>
      <c r="C1276" s="362"/>
      <c r="D1276" s="851"/>
      <c r="E1276" s="852" t="s">
        <v>563</v>
      </c>
      <c r="F1276" s="848" t="str">
        <f>VLOOKUP(E1276,DICH!B:C,2,FALSE)</f>
        <v>Shaped steel</v>
      </c>
      <c r="G1276" s="362" t="s">
        <v>558</v>
      </c>
      <c r="H1276" s="847">
        <v>214</v>
      </c>
      <c r="I1276" s="848">
        <f>VLOOKUP(E1276,'11.gia '!$B:$I,8,FALSE)</f>
        <v>16703.248369172808</v>
      </c>
      <c r="J1276" s="853">
        <f t="shared" ref="J1276:J1282" si="58">I1276*H1276</f>
        <v>3574495.1510029812</v>
      </c>
      <c r="N1276" s="843" t="e">
        <f>SUMIF(#REF!,'8.Dgia'!A1276,#REF!)+SUMIF(#REF!,'8.Dgia'!A1276,#REF!)+SUMIF(#REF!,'8.Dgia'!A1276,#REF!)+SUMIF(#REF!,'8.Dgia'!A1276,#REF!)</f>
        <v>#REF!</v>
      </c>
      <c r="O1276" s="844">
        <f>+$H$1283</f>
        <v>5</v>
      </c>
      <c r="P1276" s="843" t="e">
        <f t="shared" si="56"/>
        <v>#REF!</v>
      </c>
    </row>
    <row r="1277" spans="1:18" ht="15" customHeight="1">
      <c r="A1277" s="657">
        <f>IF(B1277="",MAX($A$8:A1276)+0,MAX($A$8:A1276)+1)</f>
        <v>135</v>
      </c>
      <c r="B1277" s="835" t="str">
        <f>IF(C1277="","",COUNTA($C$10:C1278))</f>
        <v/>
      </c>
      <c r="C1277" s="362"/>
      <c r="D1277" s="851"/>
      <c r="E1277" s="852" t="s">
        <v>431</v>
      </c>
      <c r="F1277" s="848" t="str">
        <f>VLOOKUP(E1277,DICH!B:C,2,FALSE)</f>
        <v>pipe steel</v>
      </c>
      <c r="G1277" s="362" t="s">
        <v>558</v>
      </c>
      <c r="H1277" s="847">
        <v>836</v>
      </c>
      <c r="I1277" s="848">
        <f>VLOOKUP(E1277,'11.gia '!$B:$I,8,FALSE)</f>
        <v>16703.248369172808</v>
      </c>
      <c r="J1277" s="853">
        <f t="shared" si="58"/>
        <v>13963915.636628468</v>
      </c>
      <c r="N1277" s="843" t="e">
        <f>SUMIF(#REF!,'8.Dgia'!A1277,#REF!)+SUMIF(#REF!,'8.Dgia'!A1277,#REF!)+SUMIF(#REF!,'8.Dgia'!A1277,#REF!)+SUMIF(#REF!,'8.Dgia'!A1277,#REF!)</f>
        <v>#REF!</v>
      </c>
      <c r="O1277" s="844">
        <f t="shared" ref="O1277:O1282" si="59">+$H$1283</f>
        <v>5</v>
      </c>
      <c r="P1277" s="843" t="e">
        <f t="shared" si="56"/>
        <v>#REF!</v>
      </c>
    </row>
    <row r="1278" spans="1:18" ht="15" customHeight="1">
      <c r="A1278" s="657">
        <f>IF(B1278="",MAX($A$8:A1277)+0,MAX($A$8:A1277)+1)</f>
        <v>135</v>
      </c>
      <c r="B1278" s="835" t="str">
        <f>IF(C1278="","",COUNTA($C$10:C1279))</f>
        <v/>
      </c>
      <c r="C1278" s="362"/>
      <c r="D1278" s="851"/>
      <c r="E1278" s="852" t="s">
        <v>623</v>
      </c>
      <c r="F1278" s="848" t="str">
        <f>VLOOKUP(E1278,DICH!B:C,2,FALSE)</f>
        <v>Bbolt M20</v>
      </c>
      <c r="G1278" s="362" t="s">
        <v>4649</v>
      </c>
      <c r="H1278" s="847">
        <v>5</v>
      </c>
      <c r="I1278" s="848">
        <f>VLOOKUP(E1278,'11.gia '!$B:$I,8,FALSE)</f>
        <v>4000</v>
      </c>
      <c r="J1278" s="853">
        <f t="shared" si="58"/>
        <v>20000</v>
      </c>
      <c r="N1278" s="843" t="e">
        <f>SUMIF(#REF!,'8.Dgia'!A1278,#REF!)+SUMIF(#REF!,'8.Dgia'!A1278,#REF!)+SUMIF(#REF!,'8.Dgia'!A1278,#REF!)+SUMIF(#REF!,'8.Dgia'!A1278,#REF!)</f>
        <v>#REF!</v>
      </c>
      <c r="O1278" s="844">
        <f t="shared" si="59"/>
        <v>5</v>
      </c>
      <c r="P1278" s="843" t="e">
        <f t="shared" si="56"/>
        <v>#REF!</v>
      </c>
    </row>
    <row r="1279" spans="1:18" ht="15" customHeight="1">
      <c r="A1279" s="657">
        <f>IF(B1279="",MAX($A$8:A1278)+0,MAX($A$8:A1278)+1)</f>
        <v>135</v>
      </c>
      <c r="B1279" s="835" t="str">
        <f>IF(C1279="","",COUNTA($C$10:C1280))</f>
        <v/>
      </c>
      <c r="C1279" s="362"/>
      <c r="D1279" s="851"/>
      <c r="E1279" s="852" t="s">
        <v>586</v>
      </c>
      <c r="F1279" s="848" t="str">
        <f>VLOOKUP(E1279,DICH!B:C,2,FALSE)</f>
        <v>Zinc steel</v>
      </c>
      <c r="G1279" s="362" t="s">
        <v>558</v>
      </c>
      <c r="H1279" s="847">
        <v>1050</v>
      </c>
      <c r="I1279" s="848">
        <f>VLOOKUP(E1279,'11.gia '!$B:$I,8,FALSE)</f>
        <v>5636.363636363636</v>
      </c>
      <c r="J1279" s="853">
        <f t="shared" si="58"/>
        <v>5918181.8181818174</v>
      </c>
      <c r="N1279" s="843" t="e">
        <f>SUMIF(#REF!,'8.Dgia'!A1279,#REF!)+SUMIF(#REF!,'8.Dgia'!A1279,#REF!)+SUMIF(#REF!,'8.Dgia'!A1279,#REF!)+SUMIF(#REF!,'8.Dgia'!A1279,#REF!)</f>
        <v>#REF!</v>
      </c>
      <c r="O1279" s="844">
        <f t="shared" si="59"/>
        <v>5</v>
      </c>
      <c r="P1279" s="843" t="e">
        <f t="shared" si="56"/>
        <v>#REF!</v>
      </c>
    </row>
    <row r="1280" spans="1:18" ht="15" customHeight="1">
      <c r="A1280" s="657">
        <f>IF(B1280="",MAX($A$8:A1279)+0,MAX($A$8:A1279)+1)</f>
        <v>135</v>
      </c>
      <c r="B1280" s="835" t="str">
        <f>IF(C1280="","",COUNTA($C$10:C1281))</f>
        <v/>
      </c>
      <c r="C1280" s="362"/>
      <c r="D1280" s="851"/>
      <c r="E1280" s="852" t="s">
        <v>559</v>
      </c>
      <c r="F1280" s="848" t="str">
        <f>VLOOKUP(E1280,DICH!B:C,2,FALSE)</f>
        <v>welding electrode</v>
      </c>
      <c r="G1280" s="362" t="s">
        <v>558</v>
      </c>
      <c r="H1280" s="847">
        <v>4.5</v>
      </c>
      <c r="I1280" s="848">
        <f>VLOOKUP(E1280,'11.gia '!$B:$I,8,FALSE)</f>
        <v>19090.909090909088</v>
      </c>
      <c r="J1280" s="853">
        <f t="shared" si="58"/>
        <v>85909.090909090897</v>
      </c>
      <c r="N1280" s="843" t="e">
        <f>SUMIF(#REF!,'8.Dgia'!A1280,#REF!)+SUMIF(#REF!,'8.Dgia'!A1280,#REF!)+SUMIF(#REF!,'8.Dgia'!A1280,#REF!)+SUMIF(#REF!,'8.Dgia'!A1280,#REF!)</f>
        <v>#REF!</v>
      </c>
      <c r="O1280" s="844">
        <f t="shared" si="59"/>
        <v>5</v>
      </c>
      <c r="P1280" s="843" t="e">
        <f t="shared" si="56"/>
        <v>#REF!</v>
      </c>
    </row>
    <row r="1281" spans="1:18" ht="15" customHeight="1">
      <c r="A1281" s="657">
        <f>IF(B1281="",MAX($A$8:A1280)+0,MAX($A$8:A1280)+1)</f>
        <v>135</v>
      </c>
      <c r="B1281" s="835" t="str">
        <f>IF(C1281="","",COUNTA($C$10:C1282))</f>
        <v/>
      </c>
      <c r="C1281" s="362"/>
      <c r="D1281" s="851"/>
      <c r="E1281" s="852" t="s">
        <v>564</v>
      </c>
      <c r="F1281" s="848" t="str">
        <f>VLOOKUP(E1281,DICH!B:C,2,FALSE)</f>
        <v>oxygen</v>
      </c>
      <c r="G1281" s="362" t="s">
        <v>4647</v>
      </c>
      <c r="H1281" s="847">
        <v>1.66</v>
      </c>
      <c r="I1281" s="848">
        <f>VLOOKUP(E1281,'11.gia '!$B:$I,8,FALSE)</f>
        <v>48000</v>
      </c>
      <c r="J1281" s="853">
        <f t="shared" si="58"/>
        <v>79680</v>
      </c>
      <c r="N1281" s="843" t="e">
        <f>SUMIF(#REF!,'8.Dgia'!A1281,#REF!)+SUMIF(#REF!,'8.Dgia'!A1281,#REF!)+SUMIF(#REF!,'8.Dgia'!A1281,#REF!)+SUMIF(#REF!,'8.Dgia'!A1281,#REF!)</f>
        <v>#REF!</v>
      </c>
      <c r="O1281" s="844">
        <f t="shared" si="59"/>
        <v>5</v>
      </c>
      <c r="P1281" s="843" t="e">
        <f t="shared" si="56"/>
        <v>#REF!</v>
      </c>
    </row>
    <row r="1282" spans="1:18" ht="15" customHeight="1">
      <c r="A1282" s="657">
        <f>IF(B1282="",MAX($A$8:A1281)+0,MAX($A$8:A1281)+1)</f>
        <v>135</v>
      </c>
      <c r="B1282" s="835" t="str">
        <f>IF(C1282="","",COUNTA($C$10:C1283))</f>
        <v/>
      </c>
      <c r="C1282" s="362"/>
      <c r="D1282" s="851"/>
      <c r="E1282" s="852" t="s">
        <v>403</v>
      </c>
      <c r="F1282" s="848" t="str">
        <f>VLOOKUP(E1282,DICH!B:C,2,FALSE)</f>
        <v>Acetylene</v>
      </c>
      <c r="G1282" s="362" t="s">
        <v>4647</v>
      </c>
      <c r="H1282" s="847">
        <v>0.55000000000000004</v>
      </c>
      <c r="I1282" s="848">
        <f>VLOOKUP(E1282,'11.gia '!$B:$I,8,FALSE)</f>
        <v>48000</v>
      </c>
      <c r="J1282" s="853">
        <f t="shared" si="58"/>
        <v>26400.000000000004</v>
      </c>
      <c r="N1282" s="843" t="e">
        <f>SUMIF(#REF!,'8.Dgia'!A1282,#REF!)+SUMIF(#REF!,'8.Dgia'!A1282,#REF!)+SUMIF(#REF!,'8.Dgia'!A1282,#REF!)+SUMIF(#REF!,'8.Dgia'!A1282,#REF!)</f>
        <v>#REF!</v>
      </c>
      <c r="O1282" s="844">
        <f t="shared" si="59"/>
        <v>5</v>
      </c>
      <c r="P1282" s="843" t="e">
        <f t="shared" si="56"/>
        <v>#REF!</v>
      </c>
    </row>
    <row r="1283" spans="1:18" ht="15" customHeight="1">
      <c r="A1283" s="657">
        <f>IF(B1283="",MAX($A$8:A1282)+0,MAX($A$8:A1282)+1)</f>
        <v>135</v>
      </c>
      <c r="B1283" s="835" t="str">
        <f>IF(C1283="","",COUNTA($C$10:C1284))</f>
        <v/>
      </c>
      <c r="C1283" s="362"/>
      <c r="D1283" s="851"/>
      <c r="E1283" s="852" t="s">
        <v>555</v>
      </c>
      <c r="F1283" s="848" t="str">
        <f>VLOOKUP(E1283,DICH!B:C,2,FALSE)</f>
        <v>Other material</v>
      </c>
      <c r="G1283" s="362" t="s">
        <v>554</v>
      </c>
      <c r="H1283" s="847">
        <v>5</v>
      </c>
      <c r="I1283" s="848">
        <f>SUM(J1276:J1282)</f>
        <v>23668581.696722355</v>
      </c>
      <c r="J1283" s="853">
        <f>I1283*H1283%</f>
        <v>1183429.0848361177</v>
      </c>
      <c r="N1283" s="843" t="e">
        <f>SUMIF(#REF!,'8.Dgia'!A1283,#REF!)+SUMIF(#REF!,'8.Dgia'!A1283,#REF!)+SUMIF(#REF!,'8.Dgia'!A1283,#REF!)+SUMIF(#REF!,'8.Dgia'!A1283,#REF!)</f>
        <v>#REF!</v>
      </c>
      <c r="O1283" s="844"/>
      <c r="P1283" s="843" t="e">
        <f t="shared" si="56"/>
        <v>#REF!</v>
      </c>
    </row>
    <row r="1284" spans="1:18" s="658" customFormat="1" ht="15" customHeight="1">
      <c r="A1284" s="657">
        <f>IF(B1284="",MAX($A$8:A1283)+0,MAX($A$8:A1283)+1)</f>
        <v>135</v>
      </c>
      <c r="B1284" s="835" t="str">
        <f>IF(C1284="","",COUNTA($C$10:C1285))</f>
        <v/>
      </c>
      <c r="C1284" s="362"/>
      <c r="D1284" s="845"/>
      <c r="E1284" s="852" t="s">
        <v>2044</v>
      </c>
      <c r="F1284" s="848" t="str">
        <f>VLOOKUP(E1284,DICH!B:C,2,FALSE)</f>
        <v xml:space="preserve">  B - Labour 4.3/7</v>
      </c>
      <c r="G1284" s="362" t="s">
        <v>4899</v>
      </c>
      <c r="H1284" s="847">
        <v>22.15</v>
      </c>
      <c r="I1284" s="848">
        <f>VLOOKUP(E1284,'16.NC'!$C$11:$F$22,4,FALSE)</f>
        <v>230296</v>
      </c>
      <c r="J1284" s="849">
        <f>I1284*H1284</f>
        <v>5101056.3999999994</v>
      </c>
      <c r="K1284" s="850"/>
      <c r="L1284" s="850"/>
      <c r="M1284" s="850"/>
      <c r="N1284" s="843" t="e">
        <f>SUMIF(#REF!,'8.Dgia'!A1284,#REF!)+SUMIF(#REF!,'8.Dgia'!A1284,#REF!)+SUMIF(#REF!,'8.Dgia'!A1284,#REF!)+SUMIF(#REF!,'8.Dgia'!A1284,#REF!)</f>
        <v>#REF!</v>
      </c>
      <c r="O1284" s="844"/>
      <c r="P1284" s="843" t="e">
        <f t="shared" si="56"/>
        <v>#REF!</v>
      </c>
      <c r="R1284" s="658">
        <v>1</v>
      </c>
    </row>
    <row r="1285" spans="1:18" s="658" customFormat="1" ht="15" customHeight="1">
      <c r="A1285" s="657">
        <f>IF(B1285="",MAX($A$8:A1284)+0,MAX($A$8:A1284)+1)</f>
        <v>135</v>
      </c>
      <c r="B1285" s="835" t="str">
        <f>IF(C1285="","",COUNTA($C$10:C1286))</f>
        <v/>
      </c>
      <c r="C1285" s="362"/>
      <c r="D1285" s="845"/>
      <c r="E1285" s="852" t="s">
        <v>2033</v>
      </c>
      <c r="F1285" s="848" t="str">
        <f>VLOOKUP(E1285,DICH!B:C,2,FALSE)</f>
        <v xml:space="preserve">  C - Machine</v>
      </c>
      <c r="G1285" s="846"/>
      <c r="H1285" s="847"/>
      <c r="I1285" s="848"/>
      <c r="J1285" s="849">
        <f>SUM(J1286:J1289)</f>
        <v>1272543.2423347363</v>
      </c>
      <c r="K1285" s="850"/>
      <c r="L1285" s="850"/>
      <c r="M1285" s="850"/>
      <c r="N1285" s="843" t="e">
        <f>SUMIF(#REF!,'8.Dgia'!A1285,#REF!)+SUMIF(#REF!,'8.Dgia'!A1285,#REF!)+SUMIF(#REF!,'8.Dgia'!A1285,#REF!)+SUMIF(#REF!,'8.Dgia'!A1285,#REF!)</f>
        <v>#REF!</v>
      </c>
      <c r="O1285" s="844"/>
      <c r="P1285" s="843" t="e">
        <f t="shared" si="56"/>
        <v>#REF!</v>
      </c>
    </row>
    <row r="1286" spans="1:18" ht="15" customHeight="1">
      <c r="A1286" s="657">
        <f>IF(B1286="",MAX($A$8:A1285)+0,MAX($A$8:A1285)+1)</f>
        <v>135</v>
      </c>
      <c r="B1286" s="835" t="str">
        <f>IF(C1286="","",COUNTA($C$10:C1287))</f>
        <v/>
      </c>
      <c r="C1286" s="362"/>
      <c r="D1286" s="851"/>
      <c r="E1286" s="852" t="s">
        <v>269</v>
      </c>
      <c r="F1286" s="848" t="str">
        <f>VLOOKUP(E1286,'9.may'!E:F,2,FALSE)</f>
        <v>driller 4.5kW</v>
      </c>
      <c r="G1286" s="362" t="s">
        <v>4902</v>
      </c>
      <c r="H1286" s="847">
        <v>1.78</v>
      </c>
      <c r="I1286" s="848">
        <f>VLOOKUP(E1286,'9.may'!E:W,12,FALSE)</f>
        <v>108158.5425</v>
      </c>
      <c r="J1286" s="853">
        <f>I1286*H1286</f>
        <v>192522.20564999999</v>
      </c>
      <c r="N1286" s="843" t="e">
        <f>SUMIF(#REF!,'8.Dgia'!A1286,#REF!)+SUMIF(#REF!,'8.Dgia'!A1286,#REF!)+SUMIF(#REF!,'8.Dgia'!A1286,#REF!)+SUMIF(#REF!,'8.Dgia'!A1286,#REF!)</f>
        <v>#REF!</v>
      </c>
      <c r="O1286" s="844">
        <f>+$H$1289</f>
        <v>1</v>
      </c>
      <c r="P1286" s="843" t="e">
        <f t="shared" si="56"/>
        <v>#REF!</v>
      </c>
    </row>
    <row r="1287" spans="1:18" ht="15" customHeight="1">
      <c r="A1287" s="657">
        <f>IF(B1287="",MAX($A$8:A1286)+0,MAX($A$8:A1286)+1)</f>
        <v>135</v>
      </c>
      <c r="B1287" s="835" t="str">
        <f>IF(C1287="","",COUNTA($C$10:C1288))</f>
        <v/>
      </c>
      <c r="C1287" s="362"/>
      <c r="D1287" s="851"/>
      <c r="E1287" s="852" t="s">
        <v>404</v>
      </c>
      <c r="F1287" s="848" t="str">
        <f>VLOOKUP(E1287,'9.may'!E:F,2,FALSE)</f>
        <v>diesel air compressor 240m3/h</v>
      </c>
      <c r="G1287" s="362" t="s">
        <v>4902</v>
      </c>
      <c r="H1287" s="847">
        <v>0.89</v>
      </c>
      <c r="I1287" s="848">
        <f>VLOOKUP(E1287,'9.may'!E:W,12,FALSE)</f>
        <v>910053.78218181804</v>
      </c>
      <c r="J1287" s="853">
        <f>I1287*H1287</f>
        <v>809947.86614181811</v>
      </c>
      <c r="N1287" s="843" t="e">
        <f>SUMIF(#REF!,'8.Dgia'!A1287,#REF!)+SUMIF(#REF!,'8.Dgia'!A1287,#REF!)+SUMIF(#REF!,'8.Dgia'!A1287,#REF!)+SUMIF(#REF!,'8.Dgia'!A1287,#REF!)</f>
        <v>#REF!</v>
      </c>
      <c r="O1287" s="844">
        <f>+$H$1289</f>
        <v>1</v>
      </c>
      <c r="P1287" s="843" t="e">
        <f t="shared" si="56"/>
        <v>#REF!</v>
      </c>
    </row>
    <row r="1288" spans="1:18" ht="15" customHeight="1">
      <c r="A1288" s="657">
        <f>IF(B1288="",MAX($A$8:A1287)+0,MAX($A$8:A1287)+1)</f>
        <v>135</v>
      </c>
      <c r="B1288" s="835" t="str">
        <f>IF(C1288="","",COUNTA($C$10:C1289))</f>
        <v/>
      </c>
      <c r="C1288" s="362"/>
      <c r="D1288" s="851"/>
      <c r="E1288" s="852" t="s">
        <v>560</v>
      </c>
      <c r="F1288" s="848" t="str">
        <f>VLOOKUP(E1288,'9.may'!E:F,2,FALSE)</f>
        <v>welding machine 23kW</v>
      </c>
      <c r="G1288" s="362" t="s">
        <v>4902</v>
      </c>
      <c r="H1288" s="847">
        <v>1.5</v>
      </c>
      <c r="I1288" s="848">
        <f>VLOOKUP(E1288,'9.may'!E:W,12,FALSE)</f>
        <v>171649.155</v>
      </c>
      <c r="J1288" s="853">
        <f>I1288*H1288</f>
        <v>257473.73249999998</v>
      </c>
      <c r="N1288" s="843" t="e">
        <f>SUMIF(#REF!,'8.Dgia'!A1288,#REF!)+SUMIF(#REF!,'8.Dgia'!A1288,#REF!)+SUMIF(#REF!,'8.Dgia'!A1288,#REF!)+SUMIF(#REF!,'8.Dgia'!A1288,#REF!)</f>
        <v>#REF!</v>
      </c>
      <c r="O1288" s="844">
        <f>+$H$1289</f>
        <v>1</v>
      </c>
      <c r="P1288" s="843" t="e">
        <f t="shared" si="56"/>
        <v>#REF!</v>
      </c>
    </row>
    <row r="1289" spans="1:18" ht="15" customHeight="1">
      <c r="A1289" s="657">
        <f>IF(B1289="",MAX($A$8:A1288)+0,MAX($A$8:A1288)+1)</f>
        <v>135</v>
      </c>
      <c r="B1289" s="835" t="str">
        <f>IF(C1289="","",COUNTA($C$10:C1290))</f>
        <v/>
      </c>
      <c r="C1289" s="362"/>
      <c r="D1289" s="851"/>
      <c r="E1289" s="852" t="s">
        <v>553</v>
      </c>
      <c r="F1289" s="848" t="str">
        <f>VLOOKUP(E1289,DICH!B:C,2,FALSE)</f>
        <v>Other machine</v>
      </c>
      <c r="G1289" s="362" t="s">
        <v>554</v>
      </c>
      <c r="H1289" s="847">
        <v>1</v>
      </c>
      <c r="I1289" s="848">
        <f>SUM(J1286:J1288)</f>
        <v>1259943.8042918181</v>
      </c>
      <c r="J1289" s="853">
        <f>I1289*H1289%</f>
        <v>12599.43804291818</v>
      </c>
      <c r="N1289" s="843" t="e">
        <f>SUMIF(#REF!,'8.Dgia'!A1289,#REF!)+SUMIF(#REF!,'8.Dgia'!A1289,#REF!)+SUMIF(#REF!,'8.Dgia'!A1289,#REF!)+SUMIF(#REF!,'8.Dgia'!A1289,#REF!)</f>
        <v>#REF!</v>
      </c>
      <c r="O1289" s="844"/>
      <c r="P1289" s="843" t="e">
        <f t="shared" si="56"/>
        <v>#REF!</v>
      </c>
    </row>
    <row r="1290" spans="1:18" ht="15" customHeight="1">
      <c r="A1290" s="657">
        <f>IF(B1290="",MAX($A$8:A1289)+0,MAX($A$8:A1289)+1)</f>
        <v>136</v>
      </c>
      <c r="B1290" s="835">
        <f>IF(C1290="","",COUNTA($C$10:C1291))</f>
        <v>136</v>
      </c>
      <c r="C1290" s="835">
        <f>IF(D1290="","",1776)</f>
        <v>1776</v>
      </c>
      <c r="D1290" s="851" t="s">
        <v>407</v>
      </c>
      <c r="E1290" s="855" t="s">
        <v>348</v>
      </c>
      <c r="F1290" s="1049" t="str">
        <f>VLOOKUP(E1290,DICH!B:C,2,FALSE)</f>
        <v>Install railing</v>
      </c>
      <c r="G1290" s="856" t="s">
        <v>548</v>
      </c>
      <c r="H1290" s="847"/>
      <c r="I1290" s="848"/>
      <c r="J1290" s="853"/>
      <c r="K1290" s="842">
        <f>+J1291</f>
        <v>5581.8679271926367</v>
      </c>
      <c r="L1290" s="842">
        <f>+J1295</f>
        <v>87570.8</v>
      </c>
      <c r="M1290" s="842">
        <f>+J1296</f>
        <v>17164.915499999999</v>
      </c>
      <c r="N1290" s="843" t="e">
        <f>SUMIF(#REF!,'8.Dgia'!A1290,#REF!)+SUMIF(#REF!,'8.Dgia'!A1290,#REF!)+SUMIF(#REF!,'8.Dgia'!A1290,#REF!)+SUMIF(#REF!,'8.Dgia'!A1290,#REF!)</f>
        <v>#REF!</v>
      </c>
      <c r="O1290" s="844"/>
      <c r="P1290" s="843" t="e">
        <f t="shared" si="56"/>
        <v>#REF!</v>
      </c>
    </row>
    <row r="1291" spans="1:18" s="658" customFormat="1" ht="15" customHeight="1">
      <c r="A1291" s="657">
        <f>IF(B1291="",MAX($A$8:A1290)+0,MAX($A$8:A1290)+1)</f>
        <v>136</v>
      </c>
      <c r="B1291" s="835" t="str">
        <f>IF(C1291="","",COUNTA($C$10:C1292))</f>
        <v/>
      </c>
      <c r="C1291" s="362"/>
      <c r="D1291" s="845"/>
      <c r="E1291" s="852" t="s">
        <v>2032</v>
      </c>
      <c r="F1291" s="848" t="str">
        <f>VLOOKUP(E1291,DICH!B:C,2,FALSE)</f>
        <v xml:space="preserve">  A - Material</v>
      </c>
      <c r="G1291" s="846"/>
      <c r="H1291" s="847"/>
      <c r="I1291" s="848"/>
      <c r="J1291" s="849">
        <f>SUM(J1292:J1294)</f>
        <v>5581.8679271926367</v>
      </c>
      <c r="K1291" s="850"/>
      <c r="L1291" s="850"/>
      <c r="M1291" s="850"/>
      <c r="N1291" s="843" t="e">
        <f>SUMIF(#REF!,'8.Dgia'!A1291,#REF!)+SUMIF(#REF!,'8.Dgia'!A1291,#REF!)+SUMIF(#REF!,'8.Dgia'!A1291,#REF!)+SUMIF(#REF!,'8.Dgia'!A1291,#REF!)</f>
        <v>#REF!</v>
      </c>
      <c r="O1291" s="844"/>
      <c r="P1291" s="843" t="e">
        <f t="shared" si="56"/>
        <v>#REF!</v>
      </c>
    </row>
    <row r="1292" spans="1:18" ht="15" customHeight="1">
      <c r="A1292" s="657">
        <f>IF(B1292="",MAX($A$8:A1291)+0,MAX($A$8:A1291)+1)</f>
        <v>136</v>
      </c>
      <c r="B1292" s="835" t="str">
        <f>IF(C1292="","",COUNTA($C$10:C1293))</f>
        <v/>
      </c>
      <c r="C1292" s="851"/>
      <c r="D1292" s="851" t="str">
        <f>+'10.PLV'!$C$115</f>
        <v>B2215</v>
      </c>
      <c r="E1292" s="852" t="str">
        <f>+'10.PLV'!$D$115</f>
        <v>Vữa xi măng C10</v>
      </c>
      <c r="F1292" s="848" t="str">
        <f>VLOOKUP(E1292,DICH!B:C,2,FALSE)</f>
        <v>Cement motar C10</v>
      </c>
      <c r="G1292" s="362" t="s">
        <v>545</v>
      </c>
      <c r="H1292" s="847">
        <v>2.5000000000000001E-3</v>
      </c>
      <c r="I1292" s="848">
        <f>VLOOKUP(E1292,'11.gia '!B:I,8,FALSE)</f>
        <v>599153.14975303912</v>
      </c>
      <c r="J1292" s="853">
        <f>I1292*H1292</f>
        <v>1497.8828743825977</v>
      </c>
      <c r="N1292" s="843" t="e">
        <f>SUMIF(#REF!,'8.Dgia'!A1292,#REF!)+SUMIF(#REF!,'8.Dgia'!A1292,#REF!)+SUMIF(#REF!,'8.Dgia'!A1292,#REF!)+SUMIF(#REF!,'8.Dgia'!A1292,#REF!)</f>
        <v>#REF!</v>
      </c>
      <c r="O1292" s="844">
        <f>+$H$1294</f>
        <v>5</v>
      </c>
      <c r="P1292" s="843" t="e">
        <f t="shared" si="56"/>
        <v>#REF!</v>
      </c>
    </row>
    <row r="1293" spans="1:18" ht="15" customHeight="1">
      <c r="A1293" s="657">
        <f>IF(B1293="",MAX($A$8:A1292)+0,MAX($A$8:A1292)+1)</f>
        <v>136</v>
      </c>
      <c r="B1293" s="835" t="str">
        <f>IF(C1293="","",COUNTA($C$10:C1294))</f>
        <v/>
      </c>
      <c r="C1293" s="362"/>
      <c r="D1293" s="851"/>
      <c r="E1293" s="852" t="s">
        <v>559</v>
      </c>
      <c r="F1293" s="848" t="str">
        <f>VLOOKUP(E1293,DICH!B:C,2,FALSE)</f>
        <v>welding electrode</v>
      </c>
      <c r="G1293" s="362" t="s">
        <v>558</v>
      </c>
      <c r="H1293" s="847">
        <v>0.2</v>
      </c>
      <c r="I1293" s="848">
        <f>VLOOKUP(E1293,'11.gia '!$B:$I,8,FALSE)</f>
        <v>19090.909090909088</v>
      </c>
      <c r="J1293" s="853">
        <f>I1293*H1293</f>
        <v>3818.181818181818</v>
      </c>
      <c r="N1293" s="843" t="e">
        <f>SUMIF(#REF!,'8.Dgia'!A1293,#REF!)+SUMIF(#REF!,'8.Dgia'!A1293,#REF!)+SUMIF(#REF!,'8.Dgia'!A1293,#REF!)+SUMIF(#REF!,'8.Dgia'!A1293,#REF!)</f>
        <v>#REF!</v>
      </c>
      <c r="O1293" s="844">
        <f>+$H$1294</f>
        <v>5</v>
      </c>
      <c r="P1293" s="843" t="e">
        <f t="shared" si="56"/>
        <v>#REF!</v>
      </c>
    </row>
    <row r="1294" spans="1:18" ht="15" customHeight="1">
      <c r="A1294" s="657">
        <f>IF(B1294="",MAX($A$8:A1293)+0,MAX($A$8:A1293)+1)</f>
        <v>136</v>
      </c>
      <c r="B1294" s="835" t="str">
        <f>IF(C1294="","",COUNTA($C$10:C1295))</f>
        <v/>
      </c>
      <c r="C1294" s="362"/>
      <c r="D1294" s="851"/>
      <c r="E1294" s="852" t="s">
        <v>555</v>
      </c>
      <c r="F1294" s="848" t="str">
        <f>VLOOKUP(E1294,DICH!B:C,2,FALSE)</f>
        <v>Other material</v>
      </c>
      <c r="G1294" s="362" t="s">
        <v>554</v>
      </c>
      <c r="H1294" s="847">
        <v>5</v>
      </c>
      <c r="I1294" s="848">
        <f>SUM(J1292:J1293)</f>
        <v>5316.064692564416</v>
      </c>
      <c r="J1294" s="853">
        <f>I1294*H1294%</f>
        <v>265.80323462822082</v>
      </c>
      <c r="N1294" s="843" t="e">
        <f>SUMIF(#REF!,'8.Dgia'!A1294,#REF!)+SUMIF(#REF!,'8.Dgia'!A1294,#REF!)+SUMIF(#REF!,'8.Dgia'!A1294,#REF!)+SUMIF(#REF!,'8.Dgia'!A1294,#REF!)</f>
        <v>#REF!</v>
      </c>
      <c r="O1294" s="844"/>
      <c r="P1294" s="843" t="e">
        <f t="shared" si="56"/>
        <v>#REF!</v>
      </c>
    </row>
    <row r="1295" spans="1:18" s="658" customFormat="1" ht="15" customHeight="1">
      <c r="A1295" s="657">
        <f>IF(B1295="",MAX($A$8:A1294)+0,MAX($A$8:A1294)+1)</f>
        <v>136</v>
      </c>
      <c r="B1295" s="835" t="str">
        <f>IF(C1295="","",COUNTA($C$10:C1296))</f>
        <v/>
      </c>
      <c r="C1295" s="362"/>
      <c r="D1295" s="845"/>
      <c r="E1295" s="852" t="s">
        <v>2039</v>
      </c>
      <c r="F1295" s="848" t="str">
        <f>VLOOKUP(E1295,DICH!B:C,2,FALSE)</f>
        <v xml:space="preserve">  B - Labour 4.0/7</v>
      </c>
      <c r="G1295" s="362" t="s">
        <v>4899</v>
      </c>
      <c r="H1295" s="847">
        <v>0.4</v>
      </c>
      <c r="I1295" s="848">
        <f>VLOOKUP(E1295,'16.NC'!$C$11:$F$22,4,FALSE)</f>
        <v>218927</v>
      </c>
      <c r="J1295" s="849">
        <f>I1295*H1295</f>
        <v>87570.8</v>
      </c>
      <c r="K1295" s="850"/>
      <c r="L1295" s="850"/>
      <c r="M1295" s="850"/>
      <c r="N1295" s="843" t="e">
        <f>SUMIF(#REF!,'8.Dgia'!A1295,#REF!)+SUMIF(#REF!,'8.Dgia'!A1295,#REF!)+SUMIF(#REF!,'8.Dgia'!A1295,#REF!)+SUMIF(#REF!,'8.Dgia'!A1295,#REF!)</f>
        <v>#REF!</v>
      </c>
      <c r="O1295" s="844"/>
      <c r="P1295" s="843" t="e">
        <f t="shared" si="56"/>
        <v>#REF!</v>
      </c>
      <c r="R1295" s="658">
        <v>1</v>
      </c>
    </row>
    <row r="1296" spans="1:18" s="658" customFormat="1" ht="15" customHeight="1">
      <c r="A1296" s="657">
        <f>IF(B1296="",MAX($A$8:A1295)+0,MAX($A$8:A1295)+1)</f>
        <v>136</v>
      </c>
      <c r="B1296" s="835" t="str">
        <f>IF(C1296="","",COUNTA($C$10:C1297))</f>
        <v/>
      </c>
      <c r="C1296" s="362"/>
      <c r="D1296" s="845"/>
      <c r="E1296" s="852" t="s">
        <v>2033</v>
      </c>
      <c r="F1296" s="848" t="str">
        <f>VLOOKUP(E1296,DICH!B:C,2,FALSE)</f>
        <v xml:space="preserve">  C - Machine</v>
      </c>
      <c r="G1296" s="846"/>
      <c r="H1296" s="847"/>
      <c r="I1296" s="848"/>
      <c r="J1296" s="849">
        <f>J1297</f>
        <v>17164.915499999999</v>
      </c>
      <c r="K1296" s="850"/>
      <c r="L1296" s="850"/>
      <c r="M1296" s="850"/>
      <c r="N1296" s="843" t="e">
        <f>SUMIF(#REF!,'8.Dgia'!A1296,#REF!)+SUMIF(#REF!,'8.Dgia'!A1296,#REF!)+SUMIF(#REF!,'8.Dgia'!A1296,#REF!)+SUMIF(#REF!,'8.Dgia'!A1296,#REF!)</f>
        <v>#REF!</v>
      </c>
      <c r="O1296" s="844"/>
      <c r="P1296" s="843" t="e">
        <f t="shared" si="56"/>
        <v>#REF!</v>
      </c>
    </row>
    <row r="1297" spans="1:18" ht="15" customHeight="1">
      <c r="A1297" s="657">
        <f>IF(B1297="",MAX($A$8:A1296)+0,MAX($A$8:A1296)+1)</f>
        <v>136</v>
      </c>
      <c r="B1297" s="835" t="str">
        <f>IF(C1297="","",COUNTA($C$10:C1298))</f>
        <v/>
      </c>
      <c r="C1297" s="362"/>
      <c r="D1297" s="851"/>
      <c r="E1297" s="852" t="s">
        <v>560</v>
      </c>
      <c r="F1297" s="848" t="str">
        <f>VLOOKUP(E1297,'9.may'!E:F,2,FALSE)</f>
        <v>welding machine 23kW</v>
      </c>
      <c r="G1297" s="362" t="s">
        <v>4902</v>
      </c>
      <c r="H1297" s="847">
        <v>0.1</v>
      </c>
      <c r="I1297" s="848">
        <f>VLOOKUP(E1297,'9.may'!E:W,12,FALSE)</f>
        <v>171649.155</v>
      </c>
      <c r="J1297" s="853">
        <f>I1297*H1297</f>
        <v>17164.915499999999</v>
      </c>
      <c r="N1297" s="843" t="e">
        <f>SUMIF(#REF!,'8.Dgia'!A1297,#REF!)+SUMIF(#REF!,'8.Dgia'!A1297,#REF!)+SUMIF(#REF!,'8.Dgia'!A1297,#REF!)+SUMIF(#REF!,'8.Dgia'!A1297,#REF!)</f>
        <v>#REF!</v>
      </c>
      <c r="O1297" s="844"/>
      <c r="P1297" s="843" t="e">
        <f t="shared" si="56"/>
        <v>#REF!</v>
      </c>
    </row>
    <row r="1298" spans="1:18" ht="15" customHeight="1">
      <c r="A1298" s="657">
        <f>IF(B1298="",MAX($A$8:A1297)+0,MAX($A$8:A1297)+1)</f>
        <v>137</v>
      </c>
      <c r="B1298" s="835">
        <f>IF(C1298="","",COUNTA($C$10:C1299))</f>
        <v>137</v>
      </c>
      <c r="C1298" s="835">
        <f>IF(D1298="","",1776)</f>
        <v>1776</v>
      </c>
      <c r="D1298" s="847" t="s">
        <v>150</v>
      </c>
      <c r="E1298" s="855" t="s">
        <v>322</v>
      </c>
      <c r="F1298" s="1049" t="str">
        <f>VLOOKUP(E1298,DICH!B:C,2,FALSE)</f>
        <v>Marking railing, kerb</v>
      </c>
      <c r="G1298" s="882" t="s">
        <v>548</v>
      </c>
      <c r="H1298" s="847"/>
      <c r="I1298" s="848"/>
      <c r="J1298" s="853"/>
      <c r="K1298" s="842">
        <f>+J1299</f>
        <v>23962.25</v>
      </c>
      <c r="L1298" s="842">
        <f>+J1303</f>
        <v>13388.892</v>
      </c>
      <c r="N1298" s="843" t="e">
        <f>SUMIF(#REF!,'8.Dgia'!A1298,#REF!)+SUMIF(#REF!,'8.Dgia'!A1298,#REF!)+SUMIF(#REF!,'8.Dgia'!A1298,#REF!)+SUMIF(#REF!,'8.Dgia'!A1298,#REF!)</f>
        <v>#REF!</v>
      </c>
      <c r="O1298" s="844"/>
      <c r="P1298" s="843" t="e">
        <f t="shared" si="56"/>
        <v>#REF!</v>
      </c>
    </row>
    <row r="1299" spans="1:18" ht="15" customHeight="1">
      <c r="A1299" s="657">
        <f>IF(B1299="",MAX($A$8:A1298)+0,MAX($A$8:A1298)+1)</f>
        <v>137</v>
      </c>
      <c r="B1299" s="835" t="str">
        <f>IF(C1299="","",COUNTA($C$10:C1300))</f>
        <v/>
      </c>
      <c r="C1299" s="362"/>
      <c r="D1299" s="847"/>
      <c r="E1299" s="852" t="s">
        <v>2032</v>
      </c>
      <c r="F1299" s="848" t="str">
        <f>VLOOKUP(E1299,DICH!B:C,2,FALSE)</f>
        <v xml:space="preserve">  A - Material</v>
      </c>
      <c r="G1299" s="847"/>
      <c r="H1299" s="847"/>
      <c r="I1299" s="848"/>
      <c r="J1299" s="849">
        <f>SUM(J1300:J1302)</f>
        <v>23962.25</v>
      </c>
      <c r="N1299" s="843" t="e">
        <f>SUMIF(#REF!,'8.Dgia'!A1299,#REF!)+SUMIF(#REF!,'8.Dgia'!A1299,#REF!)+SUMIF(#REF!,'8.Dgia'!A1299,#REF!)+SUMIF(#REF!,'8.Dgia'!A1299,#REF!)</f>
        <v>#REF!</v>
      </c>
      <c r="O1299" s="844"/>
      <c r="P1299" s="843" t="e">
        <f t="shared" si="56"/>
        <v>#REF!</v>
      </c>
    </row>
    <row r="1300" spans="1:18" ht="15" customHeight="1">
      <c r="A1300" s="657">
        <f>IF(B1300="",MAX($A$8:A1299)+0,MAX($A$8:A1299)+1)</f>
        <v>137</v>
      </c>
      <c r="B1300" s="835" t="str">
        <f>IF(C1300="","",COUNTA($C$10:C1301))</f>
        <v/>
      </c>
      <c r="C1300" s="362"/>
      <c r="D1300" s="362"/>
      <c r="E1300" s="852" t="s">
        <v>13</v>
      </c>
      <c r="F1300" s="848" t="str">
        <f>VLOOKUP(E1300,DICH!B:C,2,FALSE)</f>
        <v>Priming paint</v>
      </c>
      <c r="G1300" s="847" t="s">
        <v>558</v>
      </c>
      <c r="H1300" s="847">
        <v>0.125</v>
      </c>
      <c r="I1300" s="848">
        <f>VLOOKUP(E1300,'11.gia '!$B:$I,8,FALSE)</f>
        <v>65000</v>
      </c>
      <c r="J1300" s="853">
        <f>I1300*H1300</f>
        <v>8125</v>
      </c>
      <c r="N1300" s="843" t="e">
        <f>SUMIF(#REF!,'8.Dgia'!A1300,#REF!)+SUMIF(#REF!,'8.Dgia'!A1300,#REF!)+SUMIF(#REF!,'8.Dgia'!A1300,#REF!)+SUMIF(#REF!,'8.Dgia'!A1300,#REF!)</f>
        <v>#REF!</v>
      </c>
      <c r="O1300" s="844"/>
      <c r="P1300" s="843" t="e">
        <f t="shared" si="56"/>
        <v>#REF!</v>
      </c>
    </row>
    <row r="1301" spans="1:18" ht="15" customHeight="1">
      <c r="A1301" s="657">
        <f>IF(B1301="",MAX($A$8:A1300)+0,MAX($A$8:A1300)+1)</f>
        <v>137</v>
      </c>
      <c r="B1301" s="835" t="str">
        <f>IF(C1301="","",COUNTA($C$10:C1302))</f>
        <v/>
      </c>
      <c r="C1301" s="362"/>
      <c r="D1301" s="847"/>
      <c r="E1301" s="852" t="s">
        <v>126</v>
      </c>
      <c r="F1301" s="848" t="str">
        <f>VLOOKUP(E1301,DICH!B:C,2,FALSE)</f>
        <v>Paint</v>
      </c>
      <c r="G1301" s="847" t="s">
        <v>558</v>
      </c>
      <c r="H1301" s="847">
        <v>0.18</v>
      </c>
      <c r="I1301" s="848">
        <f>VLOOKUP(E1301,'11.gia '!$B:$I,8,FALSE)</f>
        <v>86666.666666666672</v>
      </c>
      <c r="J1301" s="853">
        <f>I1301*H1301</f>
        <v>15600</v>
      </c>
      <c r="N1301" s="843" t="e">
        <f>SUMIF(#REF!,'8.Dgia'!A1301,#REF!)+SUMIF(#REF!,'8.Dgia'!A1301,#REF!)+SUMIF(#REF!,'8.Dgia'!A1301,#REF!)+SUMIF(#REF!,'8.Dgia'!A1301,#REF!)</f>
        <v>#REF!</v>
      </c>
      <c r="O1301" s="844"/>
      <c r="P1301" s="843" t="e">
        <f t="shared" si="56"/>
        <v>#REF!</v>
      </c>
    </row>
    <row r="1302" spans="1:18" ht="15" customHeight="1">
      <c r="A1302" s="657">
        <f>IF(B1302="",MAX($A$8:A1301)+0,MAX($A$8:A1301)+1)</f>
        <v>137</v>
      </c>
      <c r="B1302" s="835" t="str">
        <f>IF(C1302="","",COUNTA($C$10:C1303))</f>
        <v/>
      </c>
      <c r="C1302" s="362"/>
      <c r="D1302" s="847"/>
      <c r="E1302" s="852" t="s">
        <v>555</v>
      </c>
      <c r="F1302" s="848" t="str">
        <f>VLOOKUP(E1302,DICH!B:C,2,FALSE)</f>
        <v>Other material</v>
      </c>
      <c r="G1302" s="362" t="s">
        <v>554</v>
      </c>
      <c r="H1302" s="847">
        <v>1</v>
      </c>
      <c r="I1302" s="848">
        <f>SUM(J1300:J1301)</f>
        <v>23725</v>
      </c>
      <c r="J1302" s="853">
        <f>I1302*H1302%</f>
        <v>237.25</v>
      </c>
      <c r="N1302" s="843" t="e">
        <f>SUMIF(#REF!,'8.Dgia'!A1302,#REF!)+SUMIF(#REF!,'8.Dgia'!A1302,#REF!)+SUMIF(#REF!,'8.Dgia'!A1302,#REF!)+SUMIF(#REF!,'8.Dgia'!A1302,#REF!)</f>
        <v>#REF!</v>
      </c>
      <c r="O1302" s="844"/>
      <c r="P1302" s="843" t="e">
        <f t="shared" si="56"/>
        <v>#REF!</v>
      </c>
    </row>
    <row r="1303" spans="1:18" ht="15" customHeight="1">
      <c r="A1303" s="657">
        <f>IF(B1303="",MAX($A$8:A1302)+0,MAX($A$8:A1302)+1)</f>
        <v>137</v>
      </c>
      <c r="B1303" s="835" t="str">
        <f>IF(C1303="","",COUNTA($C$10:C1304))</f>
        <v/>
      </c>
      <c r="C1303" s="362"/>
      <c r="D1303" s="847"/>
      <c r="E1303" s="852" t="s">
        <v>2037</v>
      </c>
      <c r="F1303" s="848" t="str">
        <f>VLOOKUP(E1303,DICH!B:C,2,FALSE)</f>
        <v xml:space="preserve">  B - Labour 3.5/7</v>
      </c>
      <c r="G1303" s="892" t="s">
        <v>4899</v>
      </c>
      <c r="H1303" s="847">
        <v>6.6000000000000003E-2</v>
      </c>
      <c r="I1303" s="848">
        <f>VLOOKUP(E1303,'16.NC'!$C$11:$F$22,4,FALSE)</f>
        <v>202862</v>
      </c>
      <c r="J1303" s="849">
        <f>I1303*H1303</f>
        <v>13388.892</v>
      </c>
      <c r="N1303" s="843" t="e">
        <f>SUMIF(#REF!,'8.Dgia'!A1303,#REF!)+SUMIF(#REF!,'8.Dgia'!A1303,#REF!)+SUMIF(#REF!,'8.Dgia'!A1303,#REF!)+SUMIF(#REF!,'8.Dgia'!A1303,#REF!)</f>
        <v>#REF!</v>
      </c>
      <c r="O1303" s="844"/>
      <c r="P1303" s="843" t="e">
        <f t="shared" si="56"/>
        <v>#REF!</v>
      </c>
      <c r="R1303" s="658">
        <v>1</v>
      </c>
    </row>
    <row r="1304" spans="1:18" ht="15" customHeight="1">
      <c r="A1304" s="657">
        <f>IF(B1304="",MAX($A$8:A1303)+0,MAX($A$8:A1303)+1)</f>
        <v>138</v>
      </c>
      <c r="B1304" s="835">
        <f>IF(C1304="","",COUNTA($C$10:C1305))</f>
        <v>138</v>
      </c>
      <c r="C1304" s="835">
        <f>IF(D1304="","",1776)</f>
        <v>1776</v>
      </c>
      <c r="D1304" s="847" t="s">
        <v>125</v>
      </c>
      <c r="E1304" s="855" t="s">
        <v>124</v>
      </c>
      <c r="F1304" s="1049" t="str">
        <f>VLOOKUP(E1304,DICH!B:C,2,FALSE)</f>
        <v>Railing marking, 2 layers</v>
      </c>
      <c r="G1304" s="882" t="s">
        <v>548</v>
      </c>
      <c r="H1304" s="847"/>
      <c r="I1304" s="848"/>
      <c r="J1304" s="853"/>
      <c r="K1304" s="842">
        <f>+J1305</f>
        <v>18052.389271089269</v>
      </c>
      <c r="L1304" s="842">
        <f>+J1309</f>
        <v>17446.131999999998</v>
      </c>
      <c r="N1304" s="843" t="e">
        <f>SUMIF(#REF!,'8.Dgia'!A1304,#REF!)+SUMIF(#REF!,'8.Dgia'!A1304,#REF!)+SUMIF(#REF!,'8.Dgia'!A1304,#REF!)+SUMIF(#REF!,'8.Dgia'!A1304,#REF!)</f>
        <v>#REF!</v>
      </c>
      <c r="O1304" s="844"/>
      <c r="P1304" s="843" t="e">
        <f t="shared" si="56"/>
        <v>#REF!</v>
      </c>
    </row>
    <row r="1305" spans="1:18" ht="15" customHeight="1">
      <c r="A1305" s="657">
        <f>IF(B1305="",MAX($A$8:A1304)+0,MAX($A$8:A1304)+1)</f>
        <v>138</v>
      </c>
      <c r="B1305" s="835" t="str">
        <f>IF(C1305="","",COUNTA($C$10:C1306))</f>
        <v/>
      </c>
      <c r="C1305" s="362"/>
      <c r="D1305" s="847"/>
      <c r="E1305" s="852" t="s">
        <v>2032</v>
      </c>
      <c r="F1305" s="848" t="str">
        <f>VLOOKUP(E1305,DICH!B:C,2,FALSE)</f>
        <v xml:space="preserve">  A - Material</v>
      </c>
      <c r="G1305" s="847"/>
      <c r="H1305" s="847"/>
      <c r="I1305" s="848"/>
      <c r="J1305" s="849">
        <f>SUM(J1306:J1308)</f>
        <v>18052.389271089269</v>
      </c>
      <c r="N1305" s="843" t="e">
        <f>SUMIF(#REF!,'8.Dgia'!A1305,#REF!)+SUMIF(#REF!,'8.Dgia'!A1305,#REF!)+SUMIF(#REF!,'8.Dgia'!A1305,#REF!)+SUMIF(#REF!,'8.Dgia'!A1305,#REF!)</f>
        <v>#REF!</v>
      </c>
      <c r="O1305" s="844"/>
      <c r="P1305" s="843" t="e">
        <f t="shared" si="56"/>
        <v>#REF!</v>
      </c>
    </row>
    <row r="1306" spans="1:18" ht="15" customHeight="1">
      <c r="A1306" s="657">
        <f>IF(B1306="",MAX($A$8:A1305)+0,MAX($A$8:A1305)+1)</f>
        <v>138</v>
      </c>
      <c r="B1306" s="835" t="str">
        <f>IF(C1306="","",COUNTA($C$10:C1307))</f>
        <v/>
      </c>
      <c r="C1306" s="362"/>
      <c r="D1306" s="847"/>
      <c r="E1306" s="852" t="s">
        <v>126</v>
      </c>
      <c r="F1306" s="848" t="str">
        <f>VLOOKUP(E1306,DICH!B:C,2,FALSE)</f>
        <v>Paint</v>
      </c>
      <c r="G1306" s="847" t="s">
        <v>558</v>
      </c>
      <c r="H1306" s="847">
        <v>0.16400000000000001</v>
      </c>
      <c r="I1306" s="848">
        <f>VLOOKUP(E1306,'11.gia '!$B:$I,8,FALSE)</f>
        <v>86666.666666666672</v>
      </c>
      <c r="J1306" s="853">
        <f>I1306*H1306</f>
        <v>14213.333333333334</v>
      </c>
      <c r="N1306" s="843" t="e">
        <f>SUMIF(#REF!,'8.Dgia'!A1306,#REF!)+SUMIF(#REF!,'8.Dgia'!A1306,#REF!)+SUMIF(#REF!,'8.Dgia'!A1306,#REF!)+SUMIF(#REF!,'8.Dgia'!A1306,#REF!)</f>
        <v>#REF!</v>
      </c>
      <c r="O1306" s="844">
        <f>+$H$1308</f>
        <v>1</v>
      </c>
      <c r="P1306" s="843" t="e">
        <f t="shared" ref="P1306:P1373" si="60">$H1306*N1306*(1+O1306%)</f>
        <v>#REF!</v>
      </c>
    </row>
    <row r="1307" spans="1:18" ht="15" customHeight="1">
      <c r="A1307" s="657">
        <f>IF(B1307="",MAX($A$8:A1306)+0,MAX($A$8:A1306)+1)</f>
        <v>138</v>
      </c>
      <c r="B1307" s="835" t="str">
        <f>IF(C1307="","",COUNTA($C$10:C1308))</f>
        <v/>
      </c>
      <c r="C1307" s="362"/>
      <c r="D1307" s="847"/>
      <c r="E1307" s="852" t="s">
        <v>127</v>
      </c>
      <c r="F1307" s="848" t="str">
        <f>VLOOKUP(E1307,DICH!B:C,2,FALSE)</f>
        <v xml:space="preserve">Petrol -oil </v>
      </c>
      <c r="G1307" s="847" t="s">
        <v>558</v>
      </c>
      <c r="H1307" s="847">
        <v>0.11799999999999999</v>
      </c>
      <c r="I1307" s="848">
        <f>VLOOKUP(E1307,'11.gia '!$B:$I,8,FALSE)</f>
        <v>31019.656019656017</v>
      </c>
      <c r="J1307" s="853">
        <f>I1307*H1307</f>
        <v>3660.3194103194096</v>
      </c>
      <c r="N1307" s="843" t="e">
        <f>SUMIF(#REF!,'8.Dgia'!A1307,#REF!)+SUMIF(#REF!,'8.Dgia'!A1307,#REF!)+SUMIF(#REF!,'8.Dgia'!A1307,#REF!)+SUMIF(#REF!,'8.Dgia'!A1307,#REF!)</f>
        <v>#REF!</v>
      </c>
      <c r="O1307" s="844">
        <f>+$H$1308</f>
        <v>1</v>
      </c>
      <c r="P1307" s="843" t="e">
        <f t="shared" si="60"/>
        <v>#REF!</v>
      </c>
    </row>
    <row r="1308" spans="1:18" ht="15" customHeight="1">
      <c r="A1308" s="657">
        <f>IF(B1308="",MAX($A$8:A1307)+0,MAX($A$8:A1307)+1)</f>
        <v>138</v>
      </c>
      <c r="B1308" s="835" t="str">
        <f>IF(C1308="","",COUNTA($C$10:C1309))</f>
        <v/>
      </c>
      <c r="C1308" s="362"/>
      <c r="D1308" s="847"/>
      <c r="E1308" s="852" t="s">
        <v>555</v>
      </c>
      <c r="F1308" s="848" t="str">
        <f>VLOOKUP(E1308,DICH!B:C,2,FALSE)</f>
        <v>Other material</v>
      </c>
      <c r="G1308" s="362" t="s">
        <v>554</v>
      </c>
      <c r="H1308" s="847">
        <v>1</v>
      </c>
      <c r="I1308" s="848">
        <f>SUM(J1306:J1307)</f>
        <v>17873.652743652743</v>
      </c>
      <c r="J1308" s="853">
        <f>I1308*H1308%</f>
        <v>178.73652743652744</v>
      </c>
      <c r="N1308" s="843" t="e">
        <f>SUMIF(#REF!,'8.Dgia'!A1308,#REF!)+SUMIF(#REF!,'8.Dgia'!A1308,#REF!)+SUMIF(#REF!,'8.Dgia'!A1308,#REF!)+SUMIF(#REF!,'8.Dgia'!A1308,#REF!)</f>
        <v>#REF!</v>
      </c>
      <c r="O1308" s="844"/>
      <c r="P1308" s="843" t="e">
        <f t="shared" si="60"/>
        <v>#REF!</v>
      </c>
    </row>
    <row r="1309" spans="1:18" ht="15" customHeight="1">
      <c r="A1309" s="657">
        <f>IF(B1309="",MAX($A$8:A1308)+0,MAX($A$8:A1308)+1)</f>
        <v>138</v>
      </c>
      <c r="B1309" s="835" t="str">
        <f>IF(C1309="","",COUNTA($C$10:C1310))</f>
        <v/>
      </c>
      <c r="C1309" s="362"/>
      <c r="D1309" s="847"/>
      <c r="E1309" s="852" t="s">
        <v>2037</v>
      </c>
      <c r="F1309" s="848" t="str">
        <f>VLOOKUP(E1309,DICH!B:C,2,FALSE)</f>
        <v xml:space="preserve">  B - Labour 3.5/7</v>
      </c>
      <c r="G1309" s="892" t="s">
        <v>4899</v>
      </c>
      <c r="H1309" s="847">
        <v>8.5999999999999993E-2</v>
      </c>
      <c r="I1309" s="848">
        <f>VLOOKUP(E1309,'16.NC'!$C$11:$F$22,4,FALSE)</f>
        <v>202862</v>
      </c>
      <c r="J1309" s="849">
        <f>I1309*H1309</f>
        <v>17446.131999999998</v>
      </c>
      <c r="N1309" s="843" t="e">
        <f>SUMIF(#REF!,'8.Dgia'!A1309,#REF!)+SUMIF(#REF!,'8.Dgia'!A1309,#REF!)+SUMIF(#REF!,'8.Dgia'!A1309,#REF!)+SUMIF(#REF!,'8.Dgia'!A1309,#REF!)</f>
        <v>#REF!</v>
      </c>
      <c r="O1309" s="844"/>
      <c r="P1309" s="843" t="e">
        <f t="shared" si="60"/>
        <v>#REF!</v>
      </c>
      <c r="R1309" s="658">
        <v>1</v>
      </c>
    </row>
    <row r="1310" spans="1:18" ht="15" customHeight="1">
      <c r="A1310" s="657">
        <f>IF(B1310="",MAX($A$8:A1309)+0,MAX($A$8:A1309)+1)</f>
        <v>139</v>
      </c>
      <c r="B1310" s="835">
        <f>IF(C1310="","",COUNTA($C$10:C1311))</f>
        <v>139</v>
      </c>
      <c r="C1310" s="835">
        <f>IF(D1310="","",1776)</f>
        <v>1776</v>
      </c>
      <c r="D1310" s="847" t="s">
        <v>125</v>
      </c>
      <c r="E1310" s="369" t="s">
        <v>3930</v>
      </c>
      <c r="F1310" s="1049" t="str">
        <f>VLOOKUP(E1310,DICH!B:C,2,FALSE)</f>
        <v>Anti-rusty painting (2 layers)</v>
      </c>
      <c r="G1310" s="882" t="s">
        <v>548</v>
      </c>
      <c r="H1310" s="847"/>
      <c r="I1310" s="848"/>
      <c r="J1310" s="853"/>
      <c r="K1310" s="842">
        <f>+J1311</f>
        <v>10516.170822604421</v>
      </c>
      <c r="L1310" s="842">
        <f>+J1315</f>
        <v>17446.131999999998</v>
      </c>
      <c r="N1310" s="843" t="e">
        <f>SUMIF(#REF!,'8.Dgia'!A1310,#REF!)+SUMIF(#REF!,'8.Dgia'!A1310,#REF!)+SUMIF(#REF!,'8.Dgia'!A1310,#REF!)+SUMIF(#REF!,'8.Dgia'!A1310,#REF!)</f>
        <v>#REF!</v>
      </c>
      <c r="O1310" s="844"/>
      <c r="P1310" s="843" t="e">
        <f t="shared" si="60"/>
        <v>#REF!</v>
      </c>
    </row>
    <row r="1311" spans="1:18" ht="15" customHeight="1">
      <c r="A1311" s="657">
        <f>IF(B1311="",MAX($A$8:A1310)+0,MAX($A$8:A1310)+1)</f>
        <v>139</v>
      </c>
      <c r="B1311" s="835" t="str">
        <f>IF(C1311="","",COUNTA($C$10:C1312))</f>
        <v/>
      </c>
      <c r="C1311" s="362"/>
      <c r="D1311" s="847"/>
      <c r="E1311" s="852" t="s">
        <v>2032</v>
      </c>
      <c r="F1311" s="848" t="str">
        <f>VLOOKUP(E1311,DICH!B:C,2,FALSE)</f>
        <v xml:space="preserve">  A - Material</v>
      </c>
      <c r="G1311" s="847"/>
      <c r="H1311" s="847"/>
      <c r="I1311" s="848"/>
      <c r="J1311" s="849">
        <f>SUM(J1312:J1314)</f>
        <v>10516.170822604421</v>
      </c>
      <c r="N1311" s="843" t="e">
        <f>SUMIF(#REF!,'8.Dgia'!A1311,#REF!)+SUMIF(#REF!,'8.Dgia'!A1311,#REF!)+SUMIF(#REF!,'8.Dgia'!A1311,#REF!)+SUMIF(#REF!,'8.Dgia'!A1311,#REF!)</f>
        <v>#REF!</v>
      </c>
      <c r="O1311" s="844"/>
      <c r="P1311" s="843" t="e">
        <f t="shared" si="60"/>
        <v>#REF!</v>
      </c>
    </row>
    <row r="1312" spans="1:18" ht="15" customHeight="1">
      <c r="A1312" s="657">
        <f>IF(B1312="",MAX($A$8:A1311)+0,MAX($A$8:A1311)+1)</f>
        <v>139</v>
      </c>
      <c r="B1312" s="835" t="str">
        <f>IF(C1312="","",COUNTA($C$10:C1313))</f>
        <v/>
      </c>
      <c r="C1312" s="362"/>
      <c r="D1312" s="847"/>
      <c r="E1312" s="852" t="s">
        <v>596</v>
      </c>
      <c r="F1312" s="848" t="str">
        <f>VLOOKUP(E1312,DICH!B:C,2,FALSE)</f>
        <v>Antirust paint</v>
      </c>
      <c r="G1312" s="847" t="s">
        <v>558</v>
      </c>
      <c r="H1312" s="847">
        <v>0.16400000000000001</v>
      </c>
      <c r="I1312" s="848">
        <f>VLOOKUP(E1312,'11.gia '!$B:$I,8,FALSE)</f>
        <v>41169.090909090904</v>
      </c>
      <c r="J1312" s="853">
        <f>I1312*H1312</f>
        <v>6751.7309090909084</v>
      </c>
      <c r="N1312" s="843" t="e">
        <f>SUMIF(#REF!,'8.Dgia'!A1312,#REF!)+SUMIF(#REF!,'8.Dgia'!A1312,#REF!)+SUMIF(#REF!,'8.Dgia'!A1312,#REF!)+SUMIF(#REF!,'8.Dgia'!A1312,#REF!)</f>
        <v>#REF!</v>
      </c>
      <c r="O1312" s="844">
        <f>+$H$1308</f>
        <v>1</v>
      </c>
      <c r="P1312" s="843" t="e">
        <f>$H1312*N1312*(1+O1312%)</f>
        <v>#REF!</v>
      </c>
    </row>
    <row r="1313" spans="1:18" ht="15" customHeight="1">
      <c r="A1313" s="657">
        <f>IF(B1313="",MAX($A$8:A1312)+0,MAX($A$8:A1312)+1)</f>
        <v>139</v>
      </c>
      <c r="B1313" s="835" t="str">
        <f>IF(C1313="","",COUNTA($C$10:C1314))</f>
        <v/>
      </c>
      <c r="C1313" s="362"/>
      <c r="D1313" s="847"/>
      <c r="E1313" s="852" t="s">
        <v>127</v>
      </c>
      <c r="F1313" s="848" t="str">
        <f>VLOOKUP(E1313,DICH!B:C,2,FALSE)</f>
        <v xml:space="preserve">Petrol -oil </v>
      </c>
      <c r="G1313" s="847" t="s">
        <v>558</v>
      </c>
      <c r="H1313" s="847">
        <v>0.11799999999999999</v>
      </c>
      <c r="I1313" s="848">
        <f>VLOOKUP(E1313,'11.gia '!$B:$I,8,FALSE)</f>
        <v>31019.656019656017</v>
      </c>
      <c r="J1313" s="853">
        <f>I1313*H1313</f>
        <v>3660.3194103194096</v>
      </c>
      <c r="N1313" s="843" t="e">
        <f>SUMIF(#REF!,'8.Dgia'!A1313,#REF!)+SUMIF(#REF!,'8.Dgia'!A1313,#REF!)+SUMIF(#REF!,'8.Dgia'!A1313,#REF!)+SUMIF(#REF!,'8.Dgia'!A1313,#REF!)</f>
        <v>#REF!</v>
      </c>
      <c r="O1313" s="844">
        <f>+$H$1308</f>
        <v>1</v>
      </c>
      <c r="P1313" s="843" t="e">
        <f>$H1313*N1313*(1+O1313%)</f>
        <v>#REF!</v>
      </c>
    </row>
    <row r="1314" spans="1:18" ht="15" customHeight="1">
      <c r="A1314" s="657">
        <f>IF(B1314="",MAX($A$8:A1313)+0,MAX($A$8:A1313)+1)</f>
        <v>139</v>
      </c>
      <c r="B1314" s="835" t="str">
        <f>IF(C1314="","",COUNTA($C$10:C1315))</f>
        <v/>
      </c>
      <c r="C1314" s="362"/>
      <c r="D1314" s="847"/>
      <c r="E1314" s="852" t="s">
        <v>555</v>
      </c>
      <c r="F1314" s="848" t="str">
        <f>VLOOKUP(E1314,DICH!B:C,2,FALSE)</f>
        <v>Other material</v>
      </c>
      <c r="G1314" s="362" t="s">
        <v>554</v>
      </c>
      <c r="H1314" s="847">
        <v>1</v>
      </c>
      <c r="I1314" s="848">
        <f>SUM(J1312:J1313)</f>
        <v>10412.050319410318</v>
      </c>
      <c r="J1314" s="853">
        <f>I1314*H1314%</f>
        <v>104.12050319410319</v>
      </c>
      <c r="N1314" s="843" t="e">
        <f>SUMIF(#REF!,'8.Dgia'!A1314,#REF!)+SUMIF(#REF!,'8.Dgia'!A1314,#REF!)+SUMIF(#REF!,'8.Dgia'!A1314,#REF!)+SUMIF(#REF!,'8.Dgia'!A1314,#REF!)</f>
        <v>#REF!</v>
      </c>
      <c r="O1314" s="844"/>
      <c r="P1314" s="843" t="e">
        <f>$H1314*N1314*(1+O1314%)</f>
        <v>#REF!</v>
      </c>
    </row>
    <row r="1315" spans="1:18" ht="15" customHeight="1">
      <c r="A1315" s="657">
        <f>IF(B1315="",MAX($A$8:A1314)+0,MAX($A$8:A1314)+1)</f>
        <v>139</v>
      </c>
      <c r="B1315" s="835" t="str">
        <f>IF(C1315="","",COUNTA($C$10:C1316))</f>
        <v/>
      </c>
      <c r="C1315" s="362"/>
      <c r="D1315" s="847"/>
      <c r="E1315" s="852" t="s">
        <v>2037</v>
      </c>
      <c r="F1315" s="848" t="str">
        <f>VLOOKUP(E1315,DICH!B:C,2,FALSE)</f>
        <v xml:space="preserve">  B - Labour 3.5/7</v>
      </c>
      <c r="G1315" s="892" t="s">
        <v>4899</v>
      </c>
      <c r="H1315" s="847">
        <v>8.5999999999999993E-2</v>
      </c>
      <c r="I1315" s="848">
        <f>VLOOKUP(E1315,'16.NC'!$C$11:$F$22,4,FALSE)</f>
        <v>202862</v>
      </c>
      <c r="J1315" s="849">
        <f>I1315*H1315</f>
        <v>17446.131999999998</v>
      </c>
      <c r="N1315" s="843" t="e">
        <f>SUMIF(#REF!,'8.Dgia'!A1315,#REF!)+SUMIF(#REF!,'8.Dgia'!A1315,#REF!)+SUMIF(#REF!,'8.Dgia'!A1315,#REF!)+SUMIF(#REF!,'8.Dgia'!A1315,#REF!)</f>
        <v>#REF!</v>
      </c>
      <c r="O1315" s="844"/>
      <c r="P1315" s="843" t="e">
        <f>$H1315*N1315*(1+O1315%)</f>
        <v>#REF!</v>
      </c>
      <c r="R1315" s="658">
        <v>1</v>
      </c>
    </row>
    <row r="1316" spans="1:18" ht="15" customHeight="1">
      <c r="A1316" s="657">
        <f>IF(B1316="",MAX($A$8:A1315)+0,MAX($A$8:A1315)+1)</f>
        <v>140</v>
      </c>
      <c r="B1316" s="835">
        <f>IF(C1316="","",COUNTA($C$10:C1317))</f>
        <v>140</v>
      </c>
      <c r="C1316" s="239">
        <v>1129</v>
      </c>
      <c r="D1316" s="704" t="s">
        <v>3467</v>
      </c>
      <c r="E1316" s="855" t="s">
        <v>3548</v>
      </c>
      <c r="F1316" s="1049" t="str">
        <f>VLOOKUP(E1316,DICH!B:C,2,FALSE)</f>
        <v>Drilling concrete hole</v>
      </c>
      <c r="G1316" s="882" t="s">
        <v>3540</v>
      </c>
      <c r="H1316" s="847"/>
      <c r="I1316" s="848"/>
      <c r="J1316" s="853"/>
      <c r="K1316" s="842">
        <f>+J1317</f>
        <v>3150</v>
      </c>
      <c r="L1316" s="842">
        <f>+J1320</f>
        <v>5441.4879999999994</v>
      </c>
      <c r="M1316" s="842">
        <f>+J1321</f>
        <v>7300.3649399999995</v>
      </c>
      <c r="N1316" s="843" t="e">
        <f>SUMIF(#REF!,'8.Dgia'!A1316,#REF!)+SUMIF(#REF!,'8.Dgia'!A1316,#REF!)+SUMIF(#REF!,'8.Dgia'!A1316,#REF!)+SUMIF(#REF!,'8.Dgia'!A1316,#REF!)</f>
        <v>#REF!</v>
      </c>
      <c r="O1316" s="844"/>
      <c r="P1316" s="843" t="e">
        <f t="shared" si="60"/>
        <v>#REF!</v>
      </c>
    </row>
    <row r="1317" spans="1:18" ht="15" customHeight="1">
      <c r="A1317" s="657">
        <f>IF(B1317="",MAX($A$8:A1316)+0,MAX($A$8:A1316)+1)</f>
        <v>140</v>
      </c>
      <c r="B1317" s="835" t="str">
        <f>IF(C1317="","",COUNTA($C$10:C1318))</f>
        <v/>
      </c>
      <c r="C1317" s="361"/>
      <c r="D1317" s="361"/>
      <c r="E1317" s="852" t="s">
        <v>2032</v>
      </c>
      <c r="F1317" s="848" t="str">
        <f>VLOOKUP(E1317,DICH!B:C,2,FALSE)</f>
        <v xml:space="preserve">  A - Material</v>
      </c>
      <c r="G1317" s="882"/>
      <c r="H1317" s="847"/>
      <c r="I1317" s="848"/>
      <c r="J1317" s="849">
        <f>SUM(J1318:J1319)</f>
        <v>3150</v>
      </c>
      <c r="N1317" s="843" t="e">
        <f>SUMIF(#REF!,'8.Dgia'!A1317,#REF!)+SUMIF(#REF!,'8.Dgia'!A1317,#REF!)+SUMIF(#REF!,'8.Dgia'!A1317,#REF!)+SUMIF(#REF!,'8.Dgia'!A1317,#REF!)</f>
        <v>#REF!</v>
      </c>
      <c r="O1317" s="844"/>
      <c r="P1317" s="843" t="e">
        <f t="shared" si="60"/>
        <v>#REF!</v>
      </c>
    </row>
    <row r="1318" spans="1:18" ht="15" customHeight="1">
      <c r="A1318" s="657">
        <f>IF(B1318="",MAX($A$8:A1317)+0,MAX($A$8:A1317)+1)</f>
        <v>140</v>
      </c>
      <c r="B1318" s="835" t="str">
        <f>IF(C1318="","",COUNTA($C$10:C1319))</f>
        <v/>
      </c>
      <c r="C1318" s="847"/>
      <c r="D1318" s="362"/>
      <c r="E1318" s="852" t="s">
        <v>3469</v>
      </c>
      <c r="F1318" s="848" t="str">
        <f>VLOOKUP(E1318,DICH!B:C,2,FALSE)</f>
        <v>Tip for drill D20</v>
      </c>
      <c r="G1318" s="362" t="s">
        <v>4649</v>
      </c>
      <c r="H1318" s="886">
        <v>0.06</v>
      </c>
      <c r="I1318" s="848">
        <f>VLOOKUP(E1318,'11.gia '!$B:$I,8,FALSE)</f>
        <v>50000</v>
      </c>
      <c r="J1318" s="853">
        <f>I1318*H1318</f>
        <v>3000</v>
      </c>
      <c r="N1318" s="843" t="e">
        <f>SUMIF(#REF!,'8.Dgia'!A1318,#REF!)+SUMIF(#REF!,'8.Dgia'!A1318,#REF!)+SUMIF(#REF!,'8.Dgia'!A1318,#REF!)+SUMIF(#REF!,'8.Dgia'!A1318,#REF!)</f>
        <v>#REF!</v>
      </c>
      <c r="O1318" s="844">
        <f>+$H$1319</f>
        <v>5</v>
      </c>
      <c r="P1318" s="843" t="e">
        <f t="shared" si="60"/>
        <v>#REF!</v>
      </c>
    </row>
    <row r="1319" spans="1:18" ht="15" customHeight="1">
      <c r="A1319" s="657">
        <f>IF(B1319="",MAX($A$8:A1318)+0,MAX($A$8:A1318)+1)</f>
        <v>140</v>
      </c>
      <c r="B1319" s="835" t="str">
        <f>IF(C1319="","",COUNTA($C$10:C1320))</f>
        <v/>
      </c>
      <c r="C1319" s="847"/>
      <c r="D1319" s="362"/>
      <c r="E1319" s="852" t="s">
        <v>555</v>
      </c>
      <c r="F1319" s="848" t="str">
        <f>VLOOKUP(E1319,DICH!B:C,2,FALSE)</f>
        <v>Other material</v>
      </c>
      <c r="G1319" s="362" t="s">
        <v>554</v>
      </c>
      <c r="H1319" s="847">
        <v>5</v>
      </c>
      <c r="I1319" s="848">
        <f>SUM(J1318:J1318)</f>
        <v>3000</v>
      </c>
      <c r="J1319" s="853">
        <f>I1319*H1319%</f>
        <v>150</v>
      </c>
      <c r="N1319" s="843" t="e">
        <f>SUMIF(#REF!,'8.Dgia'!A1319,#REF!)+SUMIF(#REF!,'8.Dgia'!A1319,#REF!)+SUMIF(#REF!,'8.Dgia'!A1319,#REF!)+SUMIF(#REF!,'8.Dgia'!A1319,#REF!)</f>
        <v>#REF!</v>
      </c>
      <c r="O1319" s="844"/>
      <c r="P1319" s="843" t="e">
        <f t="shared" si="60"/>
        <v>#REF!</v>
      </c>
    </row>
    <row r="1320" spans="1:18" ht="15" customHeight="1">
      <c r="A1320" s="657">
        <f>IF(B1320="",MAX($A$8:A1319)+0,MAX($A$8:A1319)+1)</f>
        <v>140</v>
      </c>
      <c r="B1320" s="835" t="str">
        <f>IF(C1320="","",COUNTA($C$10:C1321))</f>
        <v/>
      </c>
      <c r="C1320" s="361"/>
      <c r="D1320" s="324"/>
      <c r="E1320" s="852" t="s">
        <v>2041</v>
      </c>
      <c r="F1320" s="848" t="str">
        <f>VLOOKUP(E1320,DICH!B:C,2,FALSE)</f>
        <v xml:space="preserve">  B - Labour 3.7/7</v>
      </c>
      <c r="G1320" s="847" t="s">
        <v>4899</v>
      </c>
      <c r="H1320" s="847">
        <v>2.5999999999999999E-2</v>
      </c>
      <c r="I1320" s="848">
        <f>VLOOKUP(E1320,'16.NC'!$C$11:$F$22,4,FALSE)</f>
        <v>209288</v>
      </c>
      <c r="J1320" s="849">
        <f>I1320*H1320</f>
        <v>5441.4879999999994</v>
      </c>
      <c r="N1320" s="843" t="e">
        <f>SUMIF(#REF!,'8.Dgia'!A1320,#REF!)+SUMIF(#REF!,'8.Dgia'!A1320,#REF!)+SUMIF(#REF!,'8.Dgia'!A1320,#REF!)+SUMIF(#REF!,'8.Dgia'!A1320,#REF!)</f>
        <v>#REF!</v>
      </c>
      <c r="O1320" s="844"/>
      <c r="P1320" s="843" t="e">
        <f t="shared" si="60"/>
        <v>#REF!</v>
      </c>
      <c r="R1320" s="658">
        <v>1</v>
      </c>
    </row>
    <row r="1321" spans="1:18" ht="15" customHeight="1">
      <c r="A1321" s="657">
        <f>IF(B1321="",MAX($A$8:A1320)+0,MAX($A$8:A1320)+1)</f>
        <v>140</v>
      </c>
      <c r="B1321" s="835" t="str">
        <f>IF(C1321="","",COUNTA($C$10:C1322))</f>
        <v/>
      </c>
      <c r="C1321" s="361"/>
      <c r="D1321" s="362"/>
      <c r="E1321" s="852" t="s">
        <v>2033</v>
      </c>
      <c r="F1321" s="848" t="str">
        <f>VLOOKUP(E1321,DICH!B:C,2,FALSE)</f>
        <v xml:space="preserve">  C - Machine</v>
      </c>
      <c r="G1321" s="847"/>
      <c r="H1321" s="886"/>
      <c r="I1321" s="848"/>
      <c r="J1321" s="849">
        <f>SUM(J1322:J1322)</f>
        <v>7300.3649399999995</v>
      </c>
      <c r="N1321" s="843" t="e">
        <f>SUMIF(#REF!,'8.Dgia'!A1321,#REF!)+SUMIF(#REF!,'8.Dgia'!A1321,#REF!)+SUMIF(#REF!,'8.Dgia'!A1321,#REF!)+SUMIF(#REF!,'8.Dgia'!A1321,#REF!)</f>
        <v>#REF!</v>
      </c>
      <c r="O1321" s="844"/>
      <c r="P1321" s="843" t="e">
        <f t="shared" si="60"/>
        <v>#REF!</v>
      </c>
    </row>
    <row r="1322" spans="1:18" ht="15" customHeight="1">
      <c r="A1322" s="657">
        <f>IF(B1322="",MAX($A$8:A1321)+0,MAX($A$8:A1321)+1)</f>
        <v>140</v>
      </c>
      <c r="B1322" s="835" t="str">
        <f>IF(C1322="","",COUNTA($C$10:C1323))</f>
        <v/>
      </c>
      <c r="C1322" s="847"/>
      <c r="D1322" s="324"/>
      <c r="E1322" s="819" t="s">
        <v>3468</v>
      </c>
      <c r="F1322" s="848" t="str">
        <f>VLOOKUP(E1322,'9.may'!E:F,2,FALSE)</f>
        <v>Concrete hand drill 0.6kW</v>
      </c>
      <c r="G1322" s="847" t="s">
        <v>4902</v>
      </c>
      <c r="H1322" s="847">
        <v>0.12</v>
      </c>
      <c r="I1322" s="848">
        <f>VLOOKUP(E1322,'9.may'!E:W,12,FALSE)</f>
        <v>60836.374499999998</v>
      </c>
      <c r="J1322" s="853">
        <f>I1322*H1322</f>
        <v>7300.3649399999995</v>
      </c>
      <c r="N1322" s="843" t="e">
        <f>SUMIF(#REF!,'8.Dgia'!A1322,#REF!)+SUMIF(#REF!,'8.Dgia'!A1322,#REF!)+SUMIF(#REF!,'8.Dgia'!A1322,#REF!)+SUMIF(#REF!,'8.Dgia'!A1322,#REF!)</f>
        <v>#REF!</v>
      </c>
      <c r="O1322" s="844"/>
      <c r="P1322" s="843" t="e">
        <f t="shared" si="60"/>
        <v>#REF!</v>
      </c>
    </row>
    <row r="1323" spans="1:18" ht="15" customHeight="1">
      <c r="A1323" s="657">
        <f>IF(B1323="",MAX($A$8:A1322)+0,MAX($A$8:A1322)+1)</f>
        <v>141</v>
      </c>
      <c r="B1323" s="835">
        <f>IF(C1323="","",COUNTA($C$10:C1324))</f>
        <v>141</v>
      </c>
      <c r="C1323" s="362">
        <v>1777</v>
      </c>
      <c r="D1323" s="362" t="s">
        <v>69</v>
      </c>
      <c r="E1323" s="855" t="s">
        <v>2070</v>
      </c>
      <c r="F1323" s="1049" t="str">
        <f>VLOOKUP(E1323,DICH!B:C,2,FALSE)</f>
        <v>Install cast  pipe D170/150</v>
      </c>
      <c r="G1323" s="856" t="s">
        <v>546</v>
      </c>
      <c r="H1323" s="847"/>
      <c r="I1323" s="848"/>
      <c r="J1323" s="889"/>
      <c r="K1323" s="842">
        <f>+J1324</f>
        <v>45506646.209600002</v>
      </c>
      <c r="L1323" s="842">
        <f>+J1329</f>
        <v>10475793.68</v>
      </c>
      <c r="N1323" s="843" t="e">
        <f>SUMIF(#REF!,'8.Dgia'!A1323,#REF!)+SUMIF(#REF!,'8.Dgia'!A1323,#REF!)+SUMIF(#REF!,'8.Dgia'!A1323,#REF!)+SUMIF(#REF!,'8.Dgia'!A1323,#REF!)</f>
        <v>#REF!</v>
      </c>
      <c r="O1323" s="844"/>
      <c r="P1323" s="843" t="e">
        <f t="shared" si="60"/>
        <v>#REF!</v>
      </c>
    </row>
    <row r="1324" spans="1:18" s="700" customFormat="1" ht="15" customHeight="1">
      <c r="A1324" s="657">
        <f>IF(B1324="",MAX($A$8:A1323)+0,MAX($A$8:A1323)+1)</f>
        <v>141</v>
      </c>
      <c r="B1324" s="835" t="str">
        <f>IF(C1324="","",COUNTA($C$10:C1325))</f>
        <v/>
      </c>
      <c r="C1324" s="891"/>
      <c r="D1324" s="893"/>
      <c r="E1324" s="852" t="s">
        <v>2032</v>
      </c>
      <c r="F1324" s="848" t="str">
        <f>VLOOKUP(E1324,DICH!B:C,2,FALSE)</f>
        <v xml:space="preserve">  A - Material</v>
      </c>
      <c r="G1324" s="362"/>
      <c r="H1324" s="847"/>
      <c r="I1324" s="853"/>
      <c r="J1324" s="885">
        <f>+SUM(J1325:J1328)</f>
        <v>45506646.209600002</v>
      </c>
      <c r="K1324" s="832"/>
      <c r="L1324" s="832"/>
      <c r="M1324" s="832"/>
      <c r="N1324" s="843" t="e">
        <f>SUMIF(#REF!,'8.Dgia'!A1324,#REF!)+SUMIF(#REF!,'8.Dgia'!A1324,#REF!)+SUMIF(#REF!,'8.Dgia'!A1324,#REF!)+SUMIF(#REF!,'8.Dgia'!A1324,#REF!)</f>
        <v>#REF!</v>
      </c>
      <c r="O1324" s="844"/>
      <c r="P1324" s="843" t="e">
        <f t="shared" si="60"/>
        <v>#REF!</v>
      </c>
    </row>
    <row r="1325" spans="1:18" s="700" customFormat="1" ht="15" customHeight="1">
      <c r="A1325" s="657">
        <f>IF(B1325="",MAX($A$8:A1324)+0,MAX($A$8:A1324)+1)</f>
        <v>141</v>
      </c>
      <c r="B1325" s="835" t="str">
        <f>IF(C1325="","",COUNTA($C$10:C1326))</f>
        <v/>
      </c>
      <c r="C1325" s="891"/>
      <c r="D1325" s="362"/>
      <c r="E1325" s="852" t="s">
        <v>2070</v>
      </c>
      <c r="F1325" s="848" t="str">
        <f>VLOOKUP(E1325,DICH!B:C,2,FALSE)</f>
        <v>Install cast  pipe D170/150</v>
      </c>
      <c r="G1325" s="362" t="s">
        <v>543</v>
      </c>
      <c r="H1325" s="847">
        <v>100.5</v>
      </c>
      <c r="I1325" s="848">
        <f>VLOOKUP(E1325,'11.gia '!$B:$I,8,FALSE)</f>
        <v>450000</v>
      </c>
      <c r="J1325" s="853">
        <f>I1325*H1325</f>
        <v>45225000</v>
      </c>
      <c r="K1325" s="832"/>
      <c r="L1325" s="832"/>
      <c r="M1325" s="832"/>
      <c r="N1325" s="843" t="e">
        <f>SUMIF(#REF!,'8.Dgia'!A1325,#REF!)+SUMIF(#REF!,'8.Dgia'!A1325,#REF!)+SUMIF(#REF!,'8.Dgia'!A1325,#REF!)+SUMIF(#REF!,'8.Dgia'!A1325,#REF!)</f>
        <v>#REF!</v>
      </c>
      <c r="O1325" s="844">
        <f>+$H$1328</f>
        <v>0.01</v>
      </c>
      <c r="P1325" s="843" t="e">
        <f t="shared" si="60"/>
        <v>#REF!</v>
      </c>
    </row>
    <row r="1326" spans="1:18" s="700" customFormat="1" ht="15" customHeight="1">
      <c r="A1326" s="657">
        <f>IF(B1326="",MAX($A$8:A1325)+0,MAX($A$8:A1325)+1)</f>
        <v>141</v>
      </c>
      <c r="B1326" s="835" t="str">
        <f>IF(C1326="","",COUNTA($C$10:C1327))</f>
        <v/>
      </c>
      <c r="C1326" s="891"/>
      <c r="D1326" s="362"/>
      <c r="E1326" s="852" t="s">
        <v>70</v>
      </c>
      <c r="F1326" s="848" t="str">
        <f>VLOOKUP(E1326,DICH!B:C,2,FALSE)</f>
        <v>Rubber joint</v>
      </c>
      <c r="G1326" s="362" t="s">
        <v>4649</v>
      </c>
      <c r="H1326" s="847">
        <v>16</v>
      </c>
      <c r="I1326" s="848">
        <f>VLOOKUP(E1326,'11.gia '!$B:$I,8,FALSE)</f>
        <v>17000</v>
      </c>
      <c r="J1326" s="853">
        <f>I1326*H1326</f>
        <v>272000</v>
      </c>
      <c r="K1326" s="832"/>
      <c r="L1326" s="832"/>
      <c r="M1326" s="832"/>
      <c r="N1326" s="843" t="e">
        <f>SUMIF(#REF!,'8.Dgia'!A1326,#REF!)+SUMIF(#REF!,'8.Dgia'!A1326,#REF!)+SUMIF(#REF!,'8.Dgia'!A1326,#REF!)+SUMIF(#REF!,'8.Dgia'!A1326,#REF!)</f>
        <v>#REF!</v>
      </c>
      <c r="O1326" s="844">
        <f>+$H$1328</f>
        <v>0.01</v>
      </c>
      <c r="P1326" s="843" t="e">
        <f t="shared" si="60"/>
        <v>#REF!</v>
      </c>
    </row>
    <row r="1327" spans="1:18" s="700" customFormat="1" ht="15" customHeight="1">
      <c r="A1327" s="657">
        <f>IF(B1327="",MAX($A$8:A1326)+0,MAX($A$8:A1326)+1)</f>
        <v>141</v>
      </c>
      <c r="B1327" s="835" t="str">
        <f>IF(C1327="","",COUNTA($C$10:C1328))</f>
        <v/>
      </c>
      <c r="C1327" s="891"/>
      <c r="D1327" s="362"/>
      <c r="E1327" s="852" t="s">
        <v>616</v>
      </c>
      <c r="F1327" s="848" t="str">
        <f>VLOOKUP(E1327,DICH!B:C,2,FALSE)</f>
        <v>Lubricant grease</v>
      </c>
      <c r="G1327" s="362" t="s">
        <v>558</v>
      </c>
      <c r="H1327" s="847">
        <v>0.35</v>
      </c>
      <c r="I1327" s="848">
        <f>VLOOKUP(E1327,'11.gia '!$B:$I,8,FALSE)</f>
        <v>14560</v>
      </c>
      <c r="J1327" s="853">
        <f>I1327*H1327</f>
        <v>5096</v>
      </c>
      <c r="K1327" s="832"/>
      <c r="L1327" s="832"/>
      <c r="M1327" s="832"/>
      <c r="N1327" s="843" t="e">
        <f>SUMIF(#REF!,'8.Dgia'!A1327,#REF!)+SUMIF(#REF!,'8.Dgia'!A1327,#REF!)+SUMIF(#REF!,'8.Dgia'!A1327,#REF!)+SUMIF(#REF!,'8.Dgia'!A1327,#REF!)</f>
        <v>#REF!</v>
      </c>
      <c r="O1327" s="844">
        <f>+$H$1328</f>
        <v>0.01</v>
      </c>
      <c r="P1327" s="843" t="e">
        <f t="shared" si="60"/>
        <v>#REF!</v>
      </c>
    </row>
    <row r="1328" spans="1:18" s="700" customFormat="1" ht="15" customHeight="1">
      <c r="A1328" s="657">
        <f>IF(B1328="",MAX($A$8:A1327)+0,MAX($A$8:A1327)+1)</f>
        <v>141</v>
      </c>
      <c r="B1328" s="835" t="str">
        <f>IF(C1328="","",COUNTA($C$10:C1329))</f>
        <v/>
      </c>
      <c r="C1328" s="891"/>
      <c r="D1328" s="362"/>
      <c r="E1328" s="852" t="s">
        <v>555</v>
      </c>
      <c r="F1328" s="848" t="str">
        <f>VLOOKUP(E1328,DICH!B:C,2,FALSE)</f>
        <v>Other material</v>
      </c>
      <c r="G1328" s="362" t="s">
        <v>554</v>
      </c>
      <c r="H1328" s="847">
        <v>0.01</v>
      </c>
      <c r="I1328" s="853">
        <f>SUM(J1325:J1327)</f>
        <v>45502096</v>
      </c>
      <c r="J1328" s="853">
        <f>I1328*H1328%</f>
        <v>4550.2096000000001</v>
      </c>
      <c r="K1328" s="832"/>
      <c r="L1328" s="832"/>
      <c r="M1328" s="832"/>
      <c r="N1328" s="843" t="e">
        <f>SUMIF(#REF!,'8.Dgia'!A1328,#REF!)+SUMIF(#REF!,'8.Dgia'!A1328,#REF!)+SUMIF(#REF!,'8.Dgia'!A1328,#REF!)+SUMIF(#REF!,'8.Dgia'!A1328,#REF!)</f>
        <v>#REF!</v>
      </c>
      <c r="O1328" s="844"/>
      <c r="P1328" s="843" t="e">
        <f t="shared" si="60"/>
        <v>#REF!</v>
      </c>
    </row>
    <row r="1329" spans="1:18" ht="15" customHeight="1">
      <c r="A1329" s="657">
        <f>IF(B1329="",MAX($A$8:A1328)+0,MAX($A$8:A1328)+1)</f>
        <v>141</v>
      </c>
      <c r="B1329" s="835" t="str">
        <f>IF(C1329="","",COUNTA($C$10:C1330))</f>
        <v/>
      </c>
      <c r="C1329" s="891"/>
      <c r="D1329" s="883"/>
      <c r="E1329" s="852" t="s">
        <v>2037</v>
      </c>
      <c r="F1329" s="848" t="str">
        <f>VLOOKUP(E1329,DICH!B:C,2,FALSE)</f>
        <v xml:space="preserve">  B - Labour 3.5/7</v>
      </c>
      <c r="G1329" s="883" t="s">
        <v>4899</v>
      </c>
      <c r="H1329" s="847">
        <v>51.64</v>
      </c>
      <c r="I1329" s="848">
        <f>VLOOKUP(E1329,'16.NC'!$C$11:$F$22,4,FALSE)</f>
        <v>202862</v>
      </c>
      <c r="J1329" s="849">
        <f>I1329*H1329</f>
        <v>10475793.68</v>
      </c>
      <c r="N1329" s="843" t="e">
        <f>SUMIF(#REF!,'8.Dgia'!A1329,#REF!)+SUMIF(#REF!,'8.Dgia'!A1329,#REF!)+SUMIF(#REF!,'8.Dgia'!A1329,#REF!)+SUMIF(#REF!,'8.Dgia'!A1329,#REF!)</f>
        <v>#REF!</v>
      </c>
      <c r="O1329" s="844"/>
      <c r="P1329" s="843" t="e">
        <f t="shared" si="60"/>
        <v>#REF!</v>
      </c>
      <c r="R1329" s="658">
        <v>1</v>
      </c>
    </row>
    <row r="1330" spans="1:18" ht="15" customHeight="1">
      <c r="A1330" s="657">
        <f>IF(B1330="",MAX($A$8:A1329)+0,MAX($A$8:A1329)+1)</f>
        <v>142</v>
      </c>
      <c r="B1330" s="835">
        <f>IF(C1330="","",COUNTA($C$10:C1331))</f>
        <v>142</v>
      </c>
      <c r="C1330" s="835">
        <f>IF(D1330="","",1776)</f>
        <v>1776</v>
      </c>
      <c r="D1330" s="851" t="s">
        <v>2200</v>
      </c>
      <c r="E1330" s="855" t="s">
        <v>2199</v>
      </c>
      <c r="F1330" s="1049" t="str">
        <f>VLOOKUP(E1330,DICH!B:C,2,FALSE)</f>
        <v>Installing filter rubbish grid</v>
      </c>
      <c r="G1330" s="856" t="s">
        <v>4649</v>
      </c>
      <c r="H1330" s="847"/>
      <c r="I1330" s="848"/>
      <c r="J1330" s="853"/>
      <c r="L1330" s="842">
        <f>+J1331</f>
        <v>32839.049999999996</v>
      </c>
      <c r="N1330" s="843" t="e">
        <f>SUMIF(#REF!,'8.Dgia'!A1330,#REF!)+SUMIF(#REF!,'8.Dgia'!A1330,#REF!)+SUMIF(#REF!,'8.Dgia'!A1330,#REF!)+SUMIF(#REF!,'8.Dgia'!A1330,#REF!)</f>
        <v>#REF!</v>
      </c>
      <c r="O1330" s="844"/>
      <c r="P1330" s="843" t="e">
        <f t="shared" si="60"/>
        <v>#REF!</v>
      </c>
    </row>
    <row r="1331" spans="1:18" s="658" customFormat="1" ht="15" customHeight="1">
      <c r="A1331" s="657">
        <f>IF(B1331="",MAX($A$8:A1330)+0,MAX($A$8:A1330)+1)</f>
        <v>142</v>
      </c>
      <c r="B1331" s="835" t="str">
        <f>IF(C1331="","",COUNTA($C$10:C1332))</f>
        <v/>
      </c>
      <c r="C1331" s="362"/>
      <c r="D1331" s="845"/>
      <c r="E1331" s="852" t="s">
        <v>2039</v>
      </c>
      <c r="F1331" s="848" t="str">
        <f>VLOOKUP(E1331,DICH!B:C,2,FALSE)</f>
        <v xml:space="preserve">  B - Labour 4.0/7</v>
      </c>
      <c r="G1331" s="362" t="s">
        <v>4899</v>
      </c>
      <c r="H1331" s="847">
        <v>0.15</v>
      </c>
      <c r="I1331" s="848">
        <f>VLOOKUP(E1331,'16.NC'!$C$11:$F$22,4,FALSE)</f>
        <v>218927</v>
      </c>
      <c r="J1331" s="849">
        <f>I1331*H1331</f>
        <v>32839.049999999996</v>
      </c>
      <c r="K1331" s="850"/>
      <c r="L1331" s="850"/>
      <c r="M1331" s="850"/>
      <c r="N1331" s="843" t="e">
        <f>SUMIF(#REF!,'8.Dgia'!A1331,#REF!)+SUMIF(#REF!,'8.Dgia'!A1331,#REF!)+SUMIF(#REF!,'8.Dgia'!A1331,#REF!)+SUMIF(#REF!,'8.Dgia'!A1331,#REF!)</f>
        <v>#REF!</v>
      </c>
      <c r="O1331" s="844"/>
      <c r="P1331" s="843" t="e">
        <f t="shared" si="60"/>
        <v>#REF!</v>
      </c>
      <c r="R1331" s="658">
        <v>1</v>
      </c>
    </row>
    <row r="1332" spans="1:18" ht="15" customHeight="1">
      <c r="A1332" s="657">
        <f>IF(B1332="",MAX($A$8:A1331)+0,MAX($A$8:A1331)+1)</f>
        <v>143</v>
      </c>
      <c r="B1332" s="835">
        <f>IF(C1332="","",COUNTA($C$10:C1333))</f>
        <v>143</v>
      </c>
      <c r="C1332" s="835">
        <f>IF(D1332="","",1776)</f>
        <v>1776</v>
      </c>
      <c r="D1332" s="847" t="s">
        <v>726</v>
      </c>
      <c r="E1332" s="855" t="s">
        <v>727</v>
      </c>
      <c r="F1332" s="1049" t="str">
        <f>VLOOKUP(E1332,DICH!B:C,2,FALSE)</f>
        <v>Building brick</v>
      </c>
      <c r="G1332" s="882" t="s">
        <v>545</v>
      </c>
      <c r="H1332" s="847"/>
      <c r="I1332" s="848"/>
      <c r="J1332" s="853"/>
      <c r="K1332" s="842">
        <f>+J1333</f>
        <v>706632.6622965486</v>
      </c>
      <c r="L1332" s="842">
        <f>+J1337</f>
        <v>710017</v>
      </c>
      <c r="N1332" s="843" t="e">
        <f>SUMIF(#REF!,'8.Dgia'!A1332,#REF!)+SUMIF(#REF!,'8.Dgia'!A1332,#REF!)+SUMIF(#REF!,'8.Dgia'!A1332,#REF!)+SUMIF(#REF!,'8.Dgia'!A1332,#REF!)</f>
        <v>#REF!</v>
      </c>
      <c r="O1332" s="844"/>
      <c r="P1332" s="843" t="e">
        <f t="shared" si="60"/>
        <v>#REF!</v>
      </c>
    </row>
    <row r="1333" spans="1:18" ht="15" customHeight="1">
      <c r="A1333" s="657">
        <f>IF(B1333="",MAX($A$8:A1332)+0,MAX($A$8:A1332)+1)</f>
        <v>143</v>
      </c>
      <c r="B1333" s="835" t="str">
        <f>IF(C1333="","",COUNTA($C$10:C1334))</f>
        <v/>
      </c>
      <c r="C1333" s="362"/>
      <c r="D1333" s="847"/>
      <c r="E1333" s="852" t="s">
        <v>2032</v>
      </c>
      <c r="F1333" s="848" t="str">
        <f>VLOOKUP(E1333,DICH!B:C,2,FALSE)</f>
        <v xml:space="preserve">  A - Material</v>
      </c>
      <c r="G1333" s="847"/>
      <c r="H1333" s="847"/>
      <c r="I1333" s="848"/>
      <c r="J1333" s="849">
        <f>SUM(J1334:J1336)</f>
        <v>706632.6622965486</v>
      </c>
      <c r="N1333" s="843" t="e">
        <f>SUMIF(#REF!,'8.Dgia'!A1333,#REF!)+SUMIF(#REF!,'8.Dgia'!A1333,#REF!)+SUMIF(#REF!,'8.Dgia'!A1333,#REF!)+SUMIF(#REF!,'8.Dgia'!A1333,#REF!)</f>
        <v>#REF!</v>
      </c>
      <c r="O1333" s="844"/>
      <c r="P1333" s="843" t="e">
        <f t="shared" si="60"/>
        <v>#REF!</v>
      </c>
    </row>
    <row r="1334" spans="1:18" ht="15" customHeight="1">
      <c r="A1334" s="657">
        <f>IF(B1334="",MAX($A$8:A1333)+0,MAX($A$8:A1333)+1)</f>
        <v>143</v>
      </c>
      <c r="B1334" s="835" t="str">
        <f>IF(C1334="","",COUNTA($C$10:C1335))</f>
        <v/>
      </c>
      <c r="C1334" s="362"/>
      <c r="D1334" s="847"/>
      <c r="E1334" s="852" t="s">
        <v>151</v>
      </c>
      <c r="F1334" s="848" t="str">
        <f>VLOOKUP(E1334,DICH!B:C,2,FALSE)</f>
        <v>Brick 40x80x190</v>
      </c>
      <c r="G1334" s="847" t="s">
        <v>573</v>
      </c>
      <c r="H1334" s="847">
        <v>810</v>
      </c>
      <c r="I1334" s="848">
        <f>VLOOKUP(E1334,'11.gia '!$B:$I,8,FALSE)</f>
        <v>545.45454545454538</v>
      </c>
      <c r="J1334" s="853">
        <f>I1334*H1334</f>
        <v>441818.18181818177</v>
      </c>
      <c r="N1334" s="843" t="e">
        <f>SUMIF(#REF!,'8.Dgia'!A1334,#REF!)+SUMIF(#REF!,'8.Dgia'!A1334,#REF!)+SUMIF(#REF!,'8.Dgia'!A1334,#REF!)+SUMIF(#REF!,'8.Dgia'!A1334,#REF!)</f>
        <v>#REF!</v>
      </c>
      <c r="O1334" s="844">
        <f>+$H$1336</f>
        <v>6.5</v>
      </c>
      <c r="P1334" s="843" t="e">
        <f t="shared" si="60"/>
        <v>#REF!</v>
      </c>
    </row>
    <row r="1335" spans="1:18" ht="15" customHeight="1">
      <c r="A1335" s="657">
        <f>IF(B1335="",MAX($A$8:A1334)+0,MAX($A$8:A1334)+1)</f>
        <v>143</v>
      </c>
      <c r="B1335" s="835" t="str">
        <f>IF(C1335="","",COUNTA($C$10:C1336))</f>
        <v/>
      </c>
      <c r="C1335" s="851"/>
      <c r="D1335" s="851" t="str">
        <f>+'10.PLV'!$C$115</f>
        <v>B2215</v>
      </c>
      <c r="E1335" s="852" t="str">
        <f>+'10.PLV'!$D$115</f>
        <v>Vữa xi măng C10</v>
      </c>
      <c r="F1335" s="848" t="str">
        <f>VLOOKUP(E1335,DICH!B:C,2,FALSE)</f>
        <v>Cement motar C10</v>
      </c>
      <c r="G1335" s="847" t="s">
        <v>545</v>
      </c>
      <c r="H1335" s="847">
        <v>0.37</v>
      </c>
      <c r="I1335" s="848">
        <f>VLOOKUP(E1335,'11.gia '!B:I,8,FALSE)</f>
        <v>599153.14975303912</v>
      </c>
      <c r="J1335" s="853">
        <f>I1335*H1335</f>
        <v>221686.66540862448</v>
      </c>
      <c r="N1335" s="843" t="e">
        <f>SUMIF(#REF!,'8.Dgia'!A1335,#REF!)+SUMIF(#REF!,'8.Dgia'!A1335,#REF!)+SUMIF(#REF!,'8.Dgia'!A1335,#REF!)+SUMIF(#REF!,'8.Dgia'!A1335,#REF!)</f>
        <v>#REF!</v>
      </c>
      <c r="O1335" s="844">
        <f>+$H$1336</f>
        <v>6.5</v>
      </c>
      <c r="P1335" s="843" t="e">
        <f t="shared" si="60"/>
        <v>#REF!</v>
      </c>
    </row>
    <row r="1336" spans="1:18" ht="15" customHeight="1">
      <c r="A1336" s="657">
        <f>IF(B1336="",MAX($A$8:A1335)+0,MAX($A$8:A1335)+1)</f>
        <v>143</v>
      </c>
      <c r="B1336" s="835" t="str">
        <f>IF(C1336="","",COUNTA($C$10:C1337))</f>
        <v/>
      </c>
      <c r="C1336" s="362"/>
      <c r="D1336" s="847"/>
      <c r="E1336" s="852" t="s">
        <v>555</v>
      </c>
      <c r="F1336" s="848" t="str">
        <f>VLOOKUP(E1336,DICH!B:C,2,FALSE)</f>
        <v>Other material</v>
      </c>
      <c r="G1336" s="362" t="s">
        <v>554</v>
      </c>
      <c r="H1336" s="847">
        <v>6.5</v>
      </c>
      <c r="I1336" s="848">
        <f>SUM(J1334:J1335)</f>
        <v>663504.84722680622</v>
      </c>
      <c r="J1336" s="853">
        <f>I1336*H1336%</f>
        <v>43127.815069742406</v>
      </c>
      <c r="N1336" s="843" t="e">
        <f>SUMIF(#REF!,'8.Dgia'!A1336,#REF!)+SUMIF(#REF!,'8.Dgia'!A1336,#REF!)+SUMIF(#REF!,'8.Dgia'!A1336,#REF!)+SUMIF(#REF!,'8.Dgia'!A1336,#REF!)</f>
        <v>#REF!</v>
      </c>
      <c r="O1336" s="844"/>
      <c r="P1336" s="843" t="e">
        <f t="shared" si="60"/>
        <v>#REF!</v>
      </c>
    </row>
    <row r="1337" spans="1:18" ht="15" customHeight="1">
      <c r="A1337" s="657">
        <f>IF(B1337="",MAX($A$8:A1336)+0,MAX($A$8:A1336)+1)</f>
        <v>143</v>
      </c>
      <c r="B1337" s="835" t="str">
        <f>IF(C1337="","",COUNTA($C$10:C1338))</f>
        <v/>
      </c>
      <c r="C1337" s="362"/>
      <c r="D1337" s="847"/>
      <c r="E1337" s="852" t="s">
        <v>2037</v>
      </c>
      <c r="F1337" s="848" t="str">
        <f>VLOOKUP(E1337,DICH!B:C,2,FALSE)</f>
        <v xml:space="preserve">  B - Labour 3.5/7</v>
      </c>
      <c r="G1337" s="892" t="s">
        <v>4899</v>
      </c>
      <c r="H1337" s="847">
        <v>3.5</v>
      </c>
      <c r="I1337" s="848">
        <f>VLOOKUP(E1337,'16.NC'!$C$11:$F$22,4,FALSE)</f>
        <v>202862</v>
      </c>
      <c r="J1337" s="849">
        <f>I1337*H1337</f>
        <v>710017</v>
      </c>
      <c r="N1337" s="843" t="e">
        <f>SUMIF(#REF!,'8.Dgia'!A1337,#REF!)+SUMIF(#REF!,'8.Dgia'!A1337,#REF!)+SUMIF(#REF!,'8.Dgia'!A1337,#REF!)+SUMIF(#REF!,'8.Dgia'!A1337,#REF!)</f>
        <v>#REF!</v>
      </c>
      <c r="O1337" s="844"/>
      <c r="P1337" s="843" t="e">
        <f t="shared" si="60"/>
        <v>#REF!</v>
      </c>
      <c r="R1337" s="658">
        <v>1</v>
      </c>
    </row>
    <row r="1338" spans="1:18" ht="15" customHeight="1">
      <c r="A1338" s="657">
        <f>IF(B1338="",MAX($A$8:A1337)+0,MAX($A$8:A1337)+1)</f>
        <v>144</v>
      </c>
      <c r="B1338" s="835">
        <f>IF(C1338="","",COUNTA($C$10:C1339))</f>
        <v>144</v>
      </c>
      <c r="C1338" s="835">
        <f>IF(D1338="","",1776)</f>
        <v>1776</v>
      </c>
      <c r="D1338" s="851" t="s">
        <v>330</v>
      </c>
      <c r="E1338" s="855" t="s">
        <v>667</v>
      </c>
      <c r="F1338" s="1049" t="str">
        <f>VLOOKUP(E1338,DICH!B:C,2,FALSE)</f>
        <v>Cable pipe PVC D60mm</v>
      </c>
      <c r="G1338" s="856" t="s">
        <v>543</v>
      </c>
      <c r="H1338" s="847"/>
      <c r="I1338" s="848"/>
      <c r="J1338" s="853"/>
      <c r="K1338" s="842">
        <f>+J1339</f>
        <v>26509.8</v>
      </c>
      <c r="L1338" s="842">
        <f>+J1342</f>
        <v>93316.52</v>
      </c>
      <c r="M1338" s="842">
        <f>+J1343</f>
        <v>1369.6188</v>
      </c>
      <c r="N1338" s="843" t="e">
        <f>SUMIF(#REF!,'8.Dgia'!A1338,#REF!)+SUMIF(#REF!,'8.Dgia'!A1338,#REF!)+SUMIF(#REF!,'8.Dgia'!A1338,#REF!)+SUMIF(#REF!,'8.Dgia'!A1338,#REF!)</f>
        <v>#REF!</v>
      </c>
      <c r="O1338" s="844"/>
      <c r="P1338" s="843" t="e">
        <f t="shared" si="60"/>
        <v>#REF!</v>
      </c>
    </row>
    <row r="1339" spans="1:18" s="658" customFormat="1" ht="15" customHeight="1">
      <c r="A1339" s="657">
        <f>IF(B1339="",MAX($A$8:A1338)+0,MAX($A$8:A1338)+1)</f>
        <v>144</v>
      </c>
      <c r="B1339" s="835" t="str">
        <f>IF(C1339="","",COUNTA($C$10:C1340))</f>
        <v/>
      </c>
      <c r="C1339" s="845"/>
      <c r="D1339" s="845"/>
      <c r="E1339" s="852" t="s">
        <v>2032</v>
      </c>
      <c r="F1339" s="848" t="str">
        <f>VLOOKUP(E1339,DICH!B:C,2,FALSE)</f>
        <v xml:space="preserve">  A - Material</v>
      </c>
      <c r="G1339" s="846"/>
      <c r="H1339" s="847"/>
      <c r="I1339" s="848"/>
      <c r="J1339" s="849">
        <f>SUM(J1340:J1341)</f>
        <v>26509.8</v>
      </c>
      <c r="K1339" s="850"/>
      <c r="L1339" s="850"/>
      <c r="M1339" s="850"/>
      <c r="N1339" s="843" t="e">
        <f>SUMIF(#REF!,'8.Dgia'!A1339,#REF!)+SUMIF(#REF!,'8.Dgia'!A1339,#REF!)+SUMIF(#REF!,'8.Dgia'!A1339,#REF!)+SUMIF(#REF!,'8.Dgia'!A1339,#REF!)</f>
        <v>#REF!</v>
      </c>
      <c r="O1339" s="844"/>
      <c r="P1339" s="843" t="e">
        <f t="shared" si="60"/>
        <v>#REF!</v>
      </c>
    </row>
    <row r="1340" spans="1:18" ht="15" customHeight="1">
      <c r="A1340" s="657">
        <f>IF(B1340="",MAX($A$8:A1339)+0,MAX($A$8:A1339)+1)</f>
        <v>144</v>
      </c>
      <c r="B1340" s="835" t="str">
        <f>IF(C1340="","",COUNTA($C$10:C1341))</f>
        <v/>
      </c>
      <c r="C1340" s="362"/>
      <c r="D1340" s="851"/>
      <c r="E1340" s="852" t="s">
        <v>668</v>
      </c>
      <c r="F1340" s="848" t="str">
        <f>VLOOKUP(E1340,DICH!B:C,2,FALSE)</f>
        <v>Pipe PVC D60</v>
      </c>
      <c r="G1340" s="362" t="s">
        <v>543</v>
      </c>
      <c r="H1340" s="847">
        <v>1.02</v>
      </c>
      <c r="I1340" s="848">
        <f>VLOOKUP(E1340,'11.gia '!$B:$I,8,FALSE)</f>
        <v>22600</v>
      </c>
      <c r="J1340" s="853">
        <f>I1340*H1340</f>
        <v>23052</v>
      </c>
      <c r="N1340" s="843" t="e">
        <f>SUMIF(#REF!,'8.Dgia'!A1340,#REF!)+SUMIF(#REF!,'8.Dgia'!A1340,#REF!)+SUMIF(#REF!,'8.Dgia'!A1340,#REF!)+SUMIF(#REF!,'8.Dgia'!A1340,#REF!)</f>
        <v>#REF!</v>
      </c>
      <c r="O1340" s="844">
        <f>+$H$1341</f>
        <v>15</v>
      </c>
      <c r="P1340" s="843" t="e">
        <f t="shared" si="60"/>
        <v>#REF!</v>
      </c>
    </row>
    <row r="1341" spans="1:18" ht="15" customHeight="1">
      <c r="A1341" s="657">
        <f>IF(B1341="",MAX($A$8:A1340)+0,MAX($A$8:A1340)+1)</f>
        <v>144</v>
      </c>
      <c r="B1341" s="835" t="str">
        <f>IF(C1341="","",COUNTA($C$10:C1342))</f>
        <v/>
      </c>
      <c r="C1341" s="362"/>
      <c r="D1341" s="851"/>
      <c r="E1341" s="852" t="s">
        <v>555</v>
      </c>
      <c r="F1341" s="848" t="str">
        <f>VLOOKUP(E1341,DICH!B:C,2,FALSE)</f>
        <v>Other material</v>
      </c>
      <c r="G1341" s="362" t="s">
        <v>554</v>
      </c>
      <c r="H1341" s="847">
        <v>15</v>
      </c>
      <c r="I1341" s="848">
        <f>J1340</f>
        <v>23052</v>
      </c>
      <c r="J1341" s="853">
        <f>I1341*H1341%</f>
        <v>3457.7999999999997</v>
      </c>
      <c r="N1341" s="843" t="e">
        <f>SUMIF(#REF!,'8.Dgia'!A1341,#REF!)+SUMIF(#REF!,'8.Dgia'!A1341,#REF!)+SUMIF(#REF!,'8.Dgia'!A1341,#REF!)+SUMIF(#REF!,'8.Dgia'!A1341,#REF!)</f>
        <v>#REF!</v>
      </c>
      <c r="O1341" s="844"/>
      <c r="P1341" s="843" t="e">
        <f t="shared" si="60"/>
        <v>#REF!</v>
      </c>
    </row>
    <row r="1342" spans="1:18" s="658" customFormat="1" ht="15" customHeight="1">
      <c r="A1342" s="657">
        <f>IF(B1342="",MAX($A$8:A1341)+0,MAX($A$8:A1341)+1)</f>
        <v>144</v>
      </c>
      <c r="B1342" s="835" t="str">
        <f>IF(C1342="","",COUNTA($C$10:C1343))</f>
        <v/>
      </c>
      <c r="C1342" s="362"/>
      <c r="D1342" s="845"/>
      <c r="E1342" s="852" t="s">
        <v>2037</v>
      </c>
      <c r="F1342" s="848" t="str">
        <f>VLOOKUP(E1342,DICH!B:C,2,FALSE)</f>
        <v xml:space="preserve">  B - Labour 3.5/7</v>
      </c>
      <c r="G1342" s="362" t="s">
        <v>4899</v>
      </c>
      <c r="H1342" s="847">
        <v>0.46</v>
      </c>
      <c r="I1342" s="848">
        <f>VLOOKUP(E1342,'16.NC'!$C$11:$F$22,4,FALSE)</f>
        <v>202862</v>
      </c>
      <c r="J1342" s="849">
        <f>I1342*H1342</f>
        <v>93316.52</v>
      </c>
      <c r="K1342" s="850"/>
      <c r="L1342" s="850"/>
      <c r="M1342" s="850"/>
      <c r="N1342" s="843" t="e">
        <f>SUMIF(#REF!,'8.Dgia'!A1342,#REF!)+SUMIF(#REF!,'8.Dgia'!A1342,#REF!)+SUMIF(#REF!,'8.Dgia'!A1342,#REF!)+SUMIF(#REF!,'8.Dgia'!A1342,#REF!)</f>
        <v>#REF!</v>
      </c>
      <c r="O1342" s="844"/>
      <c r="P1342" s="843" t="e">
        <f t="shared" si="60"/>
        <v>#REF!</v>
      </c>
      <c r="R1342" s="658">
        <v>1</v>
      </c>
    </row>
    <row r="1343" spans="1:18" s="658" customFormat="1" ht="15" customHeight="1">
      <c r="A1343" s="657">
        <f>IF(B1343="",MAX($A$8:A1342)+0,MAX($A$8:A1342)+1)</f>
        <v>144</v>
      </c>
      <c r="B1343" s="835" t="str">
        <f>IF(C1343="","",COUNTA($C$10:C1344))</f>
        <v/>
      </c>
      <c r="C1343" s="362"/>
      <c r="D1343" s="845"/>
      <c r="E1343" s="852" t="s">
        <v>2033</v>
      </c>
      <c r="F1343" s="848" t="str">
        <f>VLOOKUP(E1343,DICH!B:C,2,FALSE)</f>
        <v xml:space="preserve">  C - Machine</v>
      </c>
      <c r="G1343" s="846"/>
      <c r="H1343" s="847"/>
      <c r="I1343" s="848"/>
      <c r="J1343" s="849">
        <f>J1344</f>
        <v>1369.6188</v>
      </c>
      <c r="K1343" s="850"/>
      <c r="L1343" s="850"/>
      <c r="M1343" s="850"/>
      <c r="N1343" s="843" t="e">
        <f>SUMIF(#REF!,'8.Dgia'!A1343,#REF!)+SUMIF(#REF!,'8.Dgia'!A1343,#REF!)+SUMIF(#REF!,'8.Dgia'!A1343,#REF!)+SUMIF(#REF!,'8.Dgia'!A1343,#REF!)</f>
        <v>#REF!</v>
      </c>
      <c r="O1343" s="844"/>
      <c r="P1343" s="843" t="e">
        <f t="shared" si="60"/>
        <v>#REF!</v>
      </c>
    </row>
    <row r="1344" spans="1:18" ht="15" customHeight="1">
      <c r="A1344" s="657">
        <f>IF(B1344="",MAX($A$8:A1343)+0,MAX($A$8:A1343)+1)</f>
        <v>144</v>
      </c>
      <c r="B1344" s="835" t="str">
        <f>IF(C1344="","",COUNTA($C$10:C1345))</f>
        <v/>
      </c>
      <c r="C1344" s="362"/>
      <c r="D1344" s="851"/>
      <c r="E1344" s="852" t="s">
        <v>1447</v>
      </c>
      <c r="F1344" s="848" t="str">
        <f>VLOOKUP(E1344,'9.may'!E:F,2,FALSE)</f>
        <v>driller &lt;=4.2mm</v>
      </c>
      <c r="G1344" s="362" t="s">
        <v>4902</v>
      </c>
      <c r="H1344" s="847">
        <v>0.02</v>
      </c>
      <c r="I1344" s="848">
        <f>VLOOKUP(E1344,'9.may'!E:W,12,FALSE)</f>
        <v>68480.94</v>
      </c>
      <c r="J1344" s="853">
        <f>I1344*H1344</f>
        <v>1369.6188</v>
      </c>
      <c r="N1344" s="843" t="e">
        <f>SUMIF(#REF!,'8.Dgia'!A1344,#REF!)+SUMIF(#REF!,'8.Dgia'!A1344,#REF!)+SUMIF(#REF!,'8.Dgia'!A1344,#REF!)+SUMIF(#REF!,'8.Dgia'!A1344,#REF!)</f>
        <v>#REF!</v>
      </c>
      <c r="O1344" s="844"/>
      <c r="P1344" s="843" t="e">
        <f t="shared" si="60"/>
        <v>#REF!</v>
      </c>
    </row>
    <row r="1345" spans="1:18" ht="15" customHeight="1">
      <c r="A1345" s="657">
        <f>IF(B1345="",MAX($A$8:A1344)+0,MAX($A$8:A1344)+1)</f>
        <v>145</v>
      </c>
      <c r="B1345" s="835">
        <f>IF(C1345="","",COUNTA($C$10:C1346))</f>
        <v>145</v>
      </c>
      <c r="C1345" s="835">
        <f>IF(D1345="","",1776)</f>
        <v>1776</v>
      </c>
      <c r="D1345" s="851" t="s">
        <v>399</v>
      </c>
      <c r="E1345" s="855" t="s">
        <v>4025</v>
      </c>
      <c r="F1345" s="1049" t="str">
        <f>VLOOKUP(E1345,DICH!B:C,2,FALSE)</f>
        <v>Concrete C30 of railling/ side walk</v>
      </c>
      <c r="G1345" s="856" t="s">
        <v>545</v>
      </c>
      <c r="H1345" s="847"/>
      <c r="I1345" s="848"/>
      <c r="J1345" s="857"/>
      <c r="K1345" s="842">
        <f>+J1346</f>
        <v>1159210.5303112168</v>
      </c>
      <c r="L1345" s="842">
        <f>+J1349</f>
        <v>519326.72000000003</v>
      </c>
      <c r="M1345" s="842">
        <f>+J1350</f>
        <v>128461.15041840001</v>
      </c>
      <c r="N1345" s="843" t="e">
        <f>SUMIF(#REF!,'8.Dgia'!A1345,#REF!)+SUMIF(#REF!,'8.Dgia'!A1345,#REF!)+SUMIF(#REF!,'8.Dgia'!A1345,#REF!)+SUMIF(#REF!,'8.Dgia'!A1345,#REF!)</f>
        <v>#REF!</v>
      </c>
      <c r="O1345" s="844"/>
      <c r="P1345" s="843" t="e">
        <f t="shared" si="60"/>
        <v>#REF!</v>
      </c>
    </row>
    <row r="1346" spans="1:18" s="658" customFormat="1" ht="15" customHeight="1">
      <c r="A1346" s="657">
        <f>IF(B1346="",MAX($A$8:A1345)+0,MAX($A$8:A1345)+1)</f>
        <v>145</v>
      </c>
      <c r="B1346" s="835" t="str">
        <f>IF(C1346="","",COUNTA($C$10:C1347))</f>
        <v/>
      </c>
      <c r="C1346" s="362"/>
      <c r="D1346" s="845"/>
      <c r="E1346" s="852" t="s">
        <v>2032</v>
      </c>
      <c r="F1346" s="848" t="str">
        <f>VLOOKUP(E1346,DICH!B:C,2,FALSE)</f>
        <v xml:space="preserve">  A - Material</v>
      </c>
      <c r="G1346" s="846"/>
      <c r="H1346" s="847"/>
      <c r="I1346" s="848"/>
      <c r="J1346" s="849">
        <f>SUM(J1347:J1348)</f>
        <v>1159210.5303112168</v>
      </c>
      <c r="K1346" s="850"/>
      <c r="L1346" s="850"/>
      <c r="M1346" s="850"/>
      <c r="N1346" s="843" t="e">
        <f>SUMIF(#REF!,'8.Dgia'!A1346,#REF!)+SUMIF(#REF!,'8.Dgia'!A1346,#REF!)+SUMIF(#REF!,'8.Dgia'!A1346,#REF!)+SUMIF(#REF!,'8.Dgia'!A1346,#REF!)</f>
        <v>#REF!</v>
      </c>
      <c r="O1346" s="844"/>
      <c r="P1346" s="843" t="e">
        <f t="shared" si="60"/>
        <v>#REF!</v>
      </c>
    </row>
    <row r="1347" spans="1:18" ht="15" customHeight="1">
      <c r="A1347" s="657">
        <f>IF(B1347="",MAX($A$8:A1346)+0,MAX($A$8:A1346)+1)</f>
        <v>145</v>
      </c>
      <c r="B1347" s="835" t="str">
        <f>IF(C1347="","",COUNTA($C$10:C1348))</f>
        <v/>
      </c>
      <c r="C1347" s="851"/>
      <c r="D1347" s="851" t="str">
        <f>+'10.PLV'!$C$53</f>
        <v>C3326</v>
      </c>
      <c r="E1347" s="852" t="str">
        <f>+'10.PLV'!$D$53</f>
        <v>Vữa bê tông đá 1x2 C30 SN 14-17</v>
      </c>
      <c r="F1347" s="848" t="str">
        <f>VLOOKUP(E1347,DICH!B:C,2,FALSE)</f>
        <v>Concrete motar C30 stone 1x2 slump 14-17</v>
      </c>
      <c r="G1347" s="362" t="s">
        <v>545</v>
      </c>
      <c r="H1347" s="847">
        <v>1.0149999999999999</v>
      </c>
      <c r="I1347" s="848">
        <f>VLOOKUP(E1347,'11.gia '!B:I,8,FALSE)</f>
        <v>1130771.6239684112</v>
      </c>
      <c r="J1347" s="853">
        <f>I1347*H1347</f>
        <v>1147733.1983279374</v>
      </c>
      <c r="N1347" s="843" t="e">
        <f>SUMIF(#REF!,'8.Dgia'!A1347,#REF!)+SUMIF(#REF!,'8.Dgia'!A1347,#REF!)+SUMIF(#REF!,'8.Dgia'!A1347,#REF!)+SUMIF(#REF!,'8.Dgia'!A1347,#REF!)</f>
        <v>#REF!</v>
      </c>
      <c r="O1347" s="844">
        <f>+$H$1348</f>
        <v>1</v>
      </c>
      <c r="P1347" s="843" t="e">
        <f t="shared" si="60"/>
        <v>#REF!</v>
      </c>
    </row>
    <row r="1348" spans="1:18" ht="15" customHeight="1">
      <c r="A1348" s="657">
        <f>IF(B1348="",MAX($A$8:A1347)+0,MAX($A$8:A1347)+1)</f>
        <v>145</v>
      </c>
      <c r="B1348" s="835" t="str">
        <f>IF(C1348="","",COUNTA($C$10:C1349))</f>
        <v/>
      </c>
      <c r="C1348" s="851"/>
      <c r="D1348" s="851"/>
      <c r="E1348" s="852" t="s">
        <v>555</v>
      </c>
      <c r="F1348" s="848" t="str">
        <f>VLOOKUP(E1348,DICH!B:C,2,FALSE)</f>
        <v>Other material</v>
      </c>
      <c r="G1348" s="362" t="s">
        <v>554</v>
      </c>
      <c r="H1348" s="847">
        <v>1</v>
      </c>
      <c r="I1348" s="848">
        <f>SUM(J1347:J1347)</f>
        <v>1147733.1983279374</v>
      </c>
      <c r="J1348" s="853">
        <f>I1348*H1348%</f>
        <v>11477.331983279375</v>
      </c>
      <c r="N1348" s="843" t="e">
        <f>SUMIF(#REF!,'8.Dgia'!A1348,#REF!)+SUMIF(#REF!,'8.Dgia'!A1348,#REF!)+SUMIF(#REF!,'8.Dgia'!A1348,#REF!)+SUMIF(#REF!,'8.Dgia'!A1348,#REF!)</f>
        <v>#REF!</v>
      </c>
      <c r="O1348" s="844"/>
      <c r="P1348" s="843" t="e">
        <f t="shared" si="60"/>
        <v>#REF!</v>
      </c>
    </row>
    <row r="1349" spans="1:18" s="658" customFormat="1" ht="15" customHeight="1">
      <c r="A1349" s="657">
        <f>IF(B1349="",MAX($A$8:A1348)+0,MAX($A$8:A1348)+1)</f>
        <v>145</v>
      </c>
      <c r="B1349" s="835" t="str">
        <f>IF(C1349="","",COUNTA($C$10:C1350))</f>
        <v/>
      </c>
      <c r="C1349" s="851"/>
      <c r="D1349" s="845"/>
      <c r="E1349" s="852" t="s">
        <v>2037</v>
      </c>
      <c r="F1349" s="848" t="str">
        <f>VLOOKUP(E1349,DICH!B:C,2,FALSE)</f>
        <v xml:space="preserve">  B - Labour 3.5/7</v>
      </c>
      <c r="G1349" s="362" t="s">
        <v>4899</v>
      </c>
      <c r="H1349" s="847">
        <v>2.56</v>
      </c>
      <c r="I1349" s="848">
        <f>VLOOKUP(E1349,'16.NC'!$C$11:$F$22,4,FALSE)</f>
        <v>202862</v>
      </c>
      <c r="J1349" s="849">
        <f>I1349*H1349</f>
        <v>519326.72000000003</v>
      </c>
      <c r="K1349" s="850"/>
      <c r="L1349" s="850"/>
      <c r="M1349" s="850"/>
      <c r="N1349" s="843" t="e">
        <f>SUMIF(#REF!,'8.Dgia'!A1349,#REF!)+SUMIF(#REF!,'8.Dgia'!A1349,#REF!)+SUMIF(#REF!,'8.Dgia'!A1349,#REF!)+SUMIF(#REF!,'8.Dgia'!A1349,#REF!)</f>
        <v>#REF!</v>
      </c>
      <c r="O1349" s="844"/>
      <c r="P1349" s="843" t="e">
        <f t="shared" si="60"/>
        <v>#REF!</v>
      </c>
      <c r="R1349" s="658">
        <v>1</v>
      </c>
    </row>
    <row r="1350" spans="1:18" s="658" customFormat="1" ht="15" customHeight="1">
      <c r="A1350" s="657">
        <f>IF(B1350="",MAX($A$8:A1349)+0,MAX($A$8:A1349)+1)</f>
        <v>145</v>
      </c>
      <c r="B1350" s="835" t="str">
        <f>IF(C1350="","",COUNTA($C$10:C1351))</f>
        <v/>
      </c>
      <c r="C1350" s="851"/>
      <c r="D1350" s="845"/>
      <c r="E1350" s="852" t="s">
        <v>2033</v>
      </c>
      <c r="F1350" s="848" t="str">
        <f>VLOOKUP(E1350,DICH!B:C,2,FALSE)</f>
        <v xml:space="preserve">  C - Machine</v>
      </c>
      <c r="G1350" s="846"/>
      <c r="H1350" s="847"/>
      <c r="I1350" s="848"/>
      <c r="J1350" s="849">
        <f>SUM(J1351:J1353)</f>
        <v>128461.15041840001</v>
      </c>
      <c r="K1350" s="850"/>
      <c r="L1350" s="850"/>
      <c r="M1350" s="850"/>
      <c r="N1350" s="843" t="e">
        <f>SUMIF(#REF!,'8.Dgia'!A1350,#REF!)+SUMIF(#REF!,'8.Dgia'!A1350,#REF!)+SUMIF(#REF!,'8.Dgia'!A1350,#REF!)+SUMIF(#REF!,'8.Dgia'!A1350,#REF!)</f>
        <v>#REF!</v>
      </c>
      <c r="O1350" s="844"/>
      <c r="P1350" s="843" t="e">
        <f t="shared" si="60"/>
        <v>#REF!</v>
      </c>
    </row>
    <row r="1351" spans="1:18" ht="15" customHeight="1">
      <c r="A1351" s="657">
        <f>IF(B1351="",MAX($A$8:A1350)+0,MAX($A$8:A1350)+1)</f>
        <v>145</v>
      </c>
      <c r="B1351" s="835" t="str">
        <f>IF(C1351="","",COUNTA($C$10:C1352))</f>
        <v/>
      </c>
      <c r="C1351" s="851"/>
      <c r="D1351" s="851"/>
      <c r="E1351" s="852" t="s">
        <v>1182</v>
      </c>
      <c r="F1351" s="848" t="str">
        <f>VLOOKUP(E1351,'9.may'!E:F,2,FALSE)</f>
        <v>concrete pump truck 50m3/h</v>
      </c>
      <c r="G1351" s="362" t="s">
        <v>4902</v>
      </c>
      <c r="H1351" s="847">
        <v>3.3000000000000002E-2</v>
      </c>
      <c r="I1351" s="848">
        <f>VLOOKUP(E1351,'9.may'!E:W,12,FALSE)</f>
        <v>3446390.13</v>
      </c>
      <c r="J1351" s="853">
        <f>I1351*H1351</f>
        <v>113730.87429000001</v>
      </c>
      <c r="N1351" s="843" t="e">
        <f>SUMIF(#REF!,'8.Dgia'!A1351,#REF!)+SUMIF(#REF!,'8.Dgia'!A1351,#REF!)+SUMIF(#REF!,'8.Dgia'!A1351,#REF!)+SUMIF(#REF!,'8.Dgia'!A1351,#REF!)</f>
        <v>#REF!</v>
      </c>
      <c r="O1351" s="844">
        <f>+$H$1353</f>
        <v>1</v>
      </c>
      <c r="P1351" s="843" t="e">
        <f t="shared" si="60"/>
        <v>#REF!</v>
      </c>
    </row>
    <row r="1352" spans="1:18" ht="15" customHeight="1">
      <c r="A1352" s="657">
        <f>IF(B1352="",MAX($A$8:A1351)+0,MAX($A$8:A1351)+1)</f>
        <v>145</v>
      </c>
      <c r="B1352" s="835" t="str">
        <f>IF(C1352="","",COUNTA($C$10:C1353))</f>
        <v/>
      </c>
      <c r="C1352" s="851"/>
      <c r="D1352" s="851"/>
      <c r="E1352" s="852" t="s">
        <v>620</v>
      </c>
      <c r="F1352" s="848" t="str">
        <f>VLOOKUP(E1352,'9.may'!E:F,2,FALSE)</f>
        <v>concrete vibrating compactor 1.5Kw</v>
      </c>
      <c r="G1352" s="362" t="s">
        <v>4902</v>
      </c>
      <c r="H1352" s="847">
        <v>0.18</v>
      </c>
      <c r="I1352" s="848">
        <f>VLOOKUP(E1352,'9.may'!E:W,12,FALSE)</f>
        <v>74768.797500000001</v>
      </c>
      <c r="J1352" s="853">
        <f>I1352*H1352</f>
        <v>13458.38355</v>
      </c>
      <c r="N1352" s="843" t="e">
        <f>SUMIF(#REF!,'8.Dgia'!A1352,#REF!)+SUMIF(#REF!,'8.Dgia'!A1352,#REF!)+SUMIF(#REF!,'8.Dgia'!A1352,#REF!)+SUMIF(#REF!,'8.Dgia'!A1352,#REF!)</f>
        <v>#REF!</v>
      </c>
      <c r="O1352" s="844">
        <f>+$H$1353</f>
        <v>1</v>
      </c>
      <c r="P1352" s="843" t="e">
        <f t="shared" si="60"/>
        <v>#REF!</v>
      </c>
    </row>
    <row r="1353" spans="1:18" ht="15" customHeight="1">
      <c r="A1353" s="657">
        <f>IF(B1353="",MAX($A$8:A1352)+0,MAX($A$8:A1352)+1)</f>
        <v>145</v>
      </c>
      <c r="B1353" s="835" t="str">
        <f>IF(C1353="","",COUNTA($C$10:C1354))</f>
        <v/>
      </c>
      <c r="C1353" s="851"/>
      <c r="D1353" s="851"/>
      <c r="E1353" s="852" t="s">
        <v>553</v>
      </c>
      <c r="F1353" s="848" t="str">
        <f>VLOOKUP(E1353,DICH!B:C,2,FALSE)</f>
        <v>Other machine</v>
      </c>
      <c r="G1353" s="362" t="s">
        <v>554</v>
      </c>
      <c r="H1353" s="847">
        <v>1</v>
      </c>
      <c r="I1353" s="848">
        <f>SUM(J1351:J1352)</f>
        <v>127189.25784000001</v>
      </c>
      <c r="J1353" s="853">
        <f>I1353*H1353%</f>
        <v>1271.8925784</v>
      </c>
      <c r="N1353" s="843" t="e">
        <f>SUMIF(#REF!,'8.Dgia'!A1353,#REF!)+SUMIF(#REF!,'8.Dgia'!A1353,#REF!)+SUMIF(#REF!,'8.Dgia'!A1353,#REF!)+SUMIF(#REF!,'8.Dgia'!A1353,#REF!)</f>
        <v>#REF!</v>
      </c>
      <c r="O1353" s="844"/>
      <c r="P1353" s="843" t="e">
        <f t="shared" si="60"/>
        <v>#REF!</v>
      </c>
    </row>
    <row r="1354" spans="1:18" ht="15" customHeight="1">
      <c r="A1354" s="657">
        <f>IF(B1354="",MAX($A$8:A1353)+0,MAX($A$8:A1353)+1)</f>
        <v>146</v>
      </c>
      <c r="B1354" s="835">
        <f>IF(C1354="","",COUNTA($C$10:C1355))</f>
        <v>146</v>
      </c>
      <c r="C1354" s="835">
        <f>IF(D1354="","",1776)</f>
        <v>1776</v>
      </c>
      <c r="D1354" s="851" t="s">
        <v>152</v>
      </c>
      <c r="E1354" s="855" t="s">
        <v>728</v>
      </c>
      <c r="F1354" s="1049" t="str">
        <f>VLOOKUP(E1354,DICH!B:C,2,FALSE)</f>
        <v>Paving brick on side walk</v>
      </c>
      <c r="G1354" s="856" t="s">
        <v>545</v>
      </c>
      <c r="H1354" s="847"/>
      <c r="I1354" s="848"/>
      <c r="J1354" s="853"/>
      <c r="K1354" s="842">
        <f>+J1355</f>
        <v>730943.82813984621</v>
      </c>
      <c r="L1354" s="842">
        <f>+J1359</f>
        <v>499040.52</v>
      </c>
      <c r="M1354" s="842">
        <f>+J1360</f>
        <v>2980.7047200000002</v>
      </c>
      <c r="N1354" s="843" t="e">
        <f>SUMIF(#REF!,'8.Dgia'!A1354,#REF!)+SUMIF(#REF!,'8.Dgia'!A1354,#REF!)+SUMIF(#REF!,'8.Dgia'!A1354,#REF!)+SUMIF(#REF!,'8.Dgia'!A1354,#REF!)</f>
        <v>#REF!</v>
      </c>
      <c r="O1354" s="844"/>
      <c r="P1354" s="843" t="e">
        <f t="shared" si="60"/>
        <v>#REF!</v>
      </c>
    </row>
    <row r="1355" spans="1:18" ht="15" customHeight="1">
      <c r="A1355" s="657">
        <f>IF(B1355="",MAX($A$8:A1354)+0,MAX($A$8:A1354)+1)</f>
        <v>146</v>
      </c>
      <c r="B1355" s="835" t="str">
        <f>IF(C1355="","",COUNTA($C$10:C1356))</f>
        <v/>
      </c>
      <c r="C1355" s="851"/>
      <c r="D1355" s="362"/>
      <c r="E1355" s="852" t="s">
        <v>2032</v>
      </c>
      <c r="F1355" s="848" t="str">
        <f>VLOOKUP(E1355,DICH!B:C,2,FALSE)</f>
        <v xml:space="preserve">  A - Material</v>
      </c>
      <c r="G1355" s="362"/>
      <c r="H1355" s="847"/>
      <c r="I1355" s="848"/>
      <c r="J1355" s="849">
        <f>SUM(J1356:J1358)</f>
        <v>730943.82813984621</v>
      </c>
      <c r="N1355" s="843" t="e">
        <f>SUMIF(#REF!,'8.Dgia'!A1355,#REF!)+SUMIF(#REF!,'8.Dgia'!A1355,#REF!)+SUMIF(#REF!,'8.Dgia'!A1355,#REF!)+SUMIF(#REF!,'8.Dgia'!A1355,#REF!)</f>
        <v>#REF!</v>
      </c>
      <c r="O1355" s="844"/>
      <c r="P1355" s="843" t="e">
        <f t="shared" si="60"/>
        <v>#REF!</v>
      </c>
    </row>
    <row r="1356" spans="1:18" ht="15" customHeight="1">
      <c r="A1356" s="657">
        <f>IF(B1356="",MAX($A$8:A1355)+0,MAX($A$8:A1355)+1)</f>
        <v>146</v>
      </c>
      <c r="B1356" s="835" t="str">
        <f>IF(C1356="","",COUNTA($C$10:C1357))</f>
        <v/>
      </c>
      <c r="C1356" s="851"/>
      <c r="D1356" s="362"/>
      <c r="E1356" s="852" t="s">
        <v>151</v>
      </c>
      <c r="F1356" s="848" t="str">
        <f>VLOOKUP(E1356,DICH!B:C,2,FALSE)</f>
        <v>Brick 40x80x190</v>
      </c>
      <c r="G1356" s="362" t="s">
        <v>573</v>
      </c>
      <c r="H1356" s="847">
        <v>989</v>
      </c>
      <c r="I1356" s="848">
        <f>VLOOKUP(E1356,'11.gia '!B:I,8,FALSE)</f>
        <v>545.45454545454538</v>
      </c>
      <c r="J1356" s="853">
        <f>I1356*H1356</f>
        <v>539454.54545454541</v>
      </c>
      <c r="N1356" s="843" t="e">
        <f>SUMIF(#REF!,'8.Dgia'!A1356,#REF!)+SUMIF(#REF!,'8.Dgia'!A1356,#REF!)+SUMIF(#REF!,'8.Dgia'!A1356,#REF!)+SUMIF(#REF!,'8.Dgia'!A1356,#REF!)</f>
        <v>#REF!</v>
      </c>
      <c r="O1356" s="844"/>
      <c r="P1356" s="843" t="e">
        <f t="shared" si="60"/>
        <v>#REF!</v>
      </c>
    </row>
    <row r="1357" spans="1:18" ht="15" customHeight="1">
      <c r="A1357" s="657">
        <f>IF(B1357="",MAX($A$8:A1356)+0,MAX($A$8:A1356)+1)</f>
        <v>146</v>
      </c>
      <c r="B1357" s="835" t="str">
        <f>IF(C1357="","",COUNTA($C$10:C1358))</f>
        <v/>
      </c>
      <c r="C1357" s="851"/>
      <c r="D1357" s="851" t="str">
        <f>+'10.PLV'!$C$115</f>
        <v>B2215</v>
      </c>
      <c r="E1357" s="852" t="str">
        <f>+'10.PLV'!$D$115</f>
        <v>Vữa xi măng C10</v>
      </c>
      <c r="F1357" s="848" t="str">
        <f>VLOOKUP(E1357,DICH!B:C,2,FALSE)</f>
        <v>Cement motar C10</v>
      </c>
      <c r="G1357" s="847" t="s">
        <v>545</v>
      </c>
      <c r="H1357" s="847">
        <v>0.25600000000000001</v>
      </c>
      <c r="I1357" s="848">
        <f>VLOOKUP(E1357,'11.gia '!B:I,8,FALSE)</f>
        <v>599153.14975303912</v>
      </c>
      <c r="J1357" s="853">
        <f>I1357*H1357</f>
        <v>153383.20633677801</v>
      </c>
      <c r="N1357" s="843" t="e">
        <f>SUMIF(#REF!,'8.Dgia'!A1357,#REF!)+SUMIF(#REF!,'8.Dgia'!A1357,#REF!)+SUMIF(#REF!,'8.Dgia'!A1357,#REF!)+SUMIF(#REF!,'8.Dgia'!A1357,#REF!)</f>
        <v>#REF!</v>
      </c>
      <c r="O1357" s="844"/>
      <c r="P1357" s="843" t="e">
        <f t="shared" si="60"/>
        <v>#REF!</v>
      </c>
    </row>
    <row r="1358" spans="1:18" ht="15" customHeight="1">
      <c r="A1358" s="657">
        <f>IF(B1358="",MAX($A$8:A1357)+0,MAX($A$8:A1357)+1)</f>
        <v>146</v>
      </c>
      <c r="B1358" s="835" t="str">
        <f>IF(C1358="","",COUNTA($C$10:C1359))</f>
        <v/>
      </c>
      <c r="C1358" s="362"/>
      <c r="D1358" s="362"/>
      <c r="E1358" s="852" t="s">
        <v>555</v>
      </c>
      <c r="F1358" s="848" t="str">
        <f>VLOOKUP(E1358,DICH!B:C,2,FALSE)</f>
        <v>Other material</v>
      </c>
      <c r="G1358" s="362" t="s">
        <v>554</v>
      </c>
      <c r="H1358" s="847">
        <v>5.5</v>
      </c>
      <c r="I1358" s="848">
        <f>SUM(J1356:J1357)</f>
        <v>692837.75179132342</v>
      </c>
      <c r="J1358" s="853">
        <f>I1358*H1358%</f>
        <v>38106.076348522787</v>
      </c>
      <c r="N1358" s="843" t="e">
        <f>SUMIF(#REF!,'8.Dgia'!A1358,#REF!)+SUMIF(#REF!,'8.Dgia'!A1358,#REF!)+SUMIF(#REF!,'8.Dgia'!A1358,#REF!)+SUMIF(#REF!,'8.Dgia'!A1358,#REF!)</f>
        <v>#REF!</v>
      </c>
      <c r="O1358" s="844"/>
      <c r="P1358" s="843" t="e">
        <f t="shared" si="60"/>
        <v>#REF!</v>
      </c>
    </row>
    <row r="1359" spans="1:18" ht="15" customHeight="1">
      <c r="A1359" s="657">
        <f>IF(B1359="",MAX($A$8:A1358)+0,MAX($A$8:A1358)+1)</f>
        <v>146</v>
      </c>
      <c r="B1359" s="835" t="str">
        <f>IF(C1359="","",COUNTA($C$10:C1360))</f>
        <v/>
      </c>
      <c r="C1359" s="362"/>
      <c r="D1359" s="362"/>
      <c r="E1359" s="852" t="s">
        <v>2037</v>
      </c>
      <c r="F1359" s="848" t="str">
        <f>VLOOKUP(E1359,DICH!B:C,2,FALSE)</f>
        <v xml:space="preserve">  B - Labour 3.5/7</v>
      </c>
      <c r="G1359" s="883" t="s">
        <v>4899</v>
      </c>
      <c r="H1359" s="847">
        <v>2.46</v>
      </c>
      <c r="I1359" s="848">
        <f>VLOOKUP(E1359,'16.NC'!$C$11:$F$22,4,FALSE)</f>
        <v>202862</v>
      </c>
      <c r="J1359" s="849">
        <f>I1359*H1359</f>
        <v>499040.52</v>
      </c>
      <c r="N1359" s="843" t="e">
        <f>SUMIF(#REF!,'8.Dgia'!A1359,#REF!)+SUMIF(#REF!,'8.Dgia'!A1359,#REF!)+SUMIF(#REF!,'8.Dgia'!A1359,#REF!)+SUMIF(#REF!,'8.Dgia'!A1359,#REF!)</f>
        <v>#REF!</v>
      </c>
      <c r="O1359" s="844"/>
      <c r="P1359" s="843" t="e">
        <f t="shared" si="60"/>
        <v>#REF!</v>
      </c>
      <c r="R1359" s="658">
        <v>1</v>
      </c>
    </row>
    <row r="1360" spans="1:18" ht="15" customHeight="1">
      <c r="A1360" s="657">
        <f>IF(B1360="",MAX($A$8:A1359)+0,MAX($A$8:A1359)+1)</f>
        <v>146</v>
      </c>
      <c r="B1360" s="835" t="str">
        <f>IF(C1360="","",COUNTA($C$10:C1361))</f>
        <v/>
      </c>
      <c r="C1360" s="362"/>
      <c r="D1360" s="362"/>
      <c r="E1360" s="661" t="s">
        <v>2033</v>
      </c>
      <c r="F1360" s="848" t="str">
        <f>VLOOKUP(E1360,DICH!B:C,2,FALSE)</f>
        <v xml:space="preserve">  C - Machine</v>
      </c>
      <c r="G1360" s="883"/>
      <c r="H1360" s="847"/>
      <c r="I1360" s="848"/>
      <c r="J1360" s="849">
        <f>+J1361</f>
        <v>2980.7047200000002</v>
      </c>
      <c r="N1360" s="843" t="e">
        <f>SUMIF(#REF!,'8.Dgia'!A1360,#REF!)+SUMIF(#REF!,'8.Dgia'!A1360,#REF!)+SUMIF(#REF!,'8.Dgia'!A1360,#REF!)+SUMIF(#REF!,'8.Dgia'!A1360,#REF!)</f>
        <v>#REF!</v>
      </c>
      <c r="O1360" s="844"/>
      <c r="P1360" s="843" t="e">
        <f t="shared" si="60"/>
        <v>#REF!</v>
      </c>
    </row>
    <row r="1361" spans="1:16" ht="15" customHeight="1">
      <c r="A1361" s="657">
        <f>IF(B1361="",MAX($A$8:A1360)+0,MAX($A$8:A1360)+1)</f>
        <v>146</v>
      </c>
      <c r="B1361" s="835" t="str">
        <f>IF(C1361="","",COUNTA($C$10:C1362))</f>
        <v/>
      </c>
      <c r="C1361" s="362"/>
      <c r="D1361" s="362"/>
      <c r="E1361" s="852" t="s">
        <v>297</v>
      </c>
      <c r="F1361" s="848" t="str">
        <f>VLOOKUP(E1361,'9.may'!E:F,2,FALSE)</f>
        <v>mortar mixer 80L</v>
      </c>
      <c r="G1361" s="883" t="s">
        <v>4902</v>
      </c>
      <c r="H1361" s="847">
        <v>3.5000000000000003E-2</v>
      </c>
      <c r="I1361" s="848">
        <f>VLOOKUP(E1361,'9.may'!E:W,12,FALSE)</f>
        <v>85162.991999999998</v>
      </c>
      <c r="J1361" s="853">
        <f>I1361*H1361</f>
        <v>2980.7047200000002</v>
      </c>
      <c r="N1361" s="843" t="e">
        <f>SUMIF(#REF!,'8.Dgia'!A1361,#REF!)+SUMIF(#REF!,'8.Dgia'!A1361,#REF!)+SUMIF(#REF!,'8.Dgia'!A1361,#REF!)+SUMIF(#REF!,'8.Dgia'!A1361,#REF!)</f>
        <v>#REF!</v>
      </c>
      <c r="O1361" s="844"/>
      <c r="P1361" s="843" t="e">
        <f t="shared" si="60"/>
        <v>#REF!</v>
      </c>
    </row>
    <row r="1362" spans="1:16" ht="15" customHeight="1">
      <c r="A1362" s="657">
        <f>IF(B1362="",MAX($A$8:A1361)+0,MAX($A$8:A1361)+1)</f>
        <v>147</v>
      </c>
      <c r="B1362" s="835">
        <f>IF(C1362="","",COUNTA($C$10:C1363))</f>
        <v>147</v>
      </c>
      <c r="C1362" s="835">
        <f>IF(D1362="","",1776)</f>
        <v>1776</v>
      </c>
      <c r="D1362" s="851" t="s">
        <v>3486</v>
      </c>
      <c r="E1362" s="870" t="s">
        <v>5165</v>
      </c>
      <c r="F1362" s="1049" t="str">
        <f>VLOOKUP(E1362,DICH!B:C,2,FALSE)</f>
        <v>Producting fine asphanlt concrete C12.5</v>
      </c>
      <c r="G1362" s="856" t="s">
        <v>4644</v>
      </c>
      <c r="H1362" s="847"/>
      <c r="I1362" s="848"/>
      <c r="J1362" s="853"/>
      <c r="K1362" s="842">
        <f>+J1363</f>
        <v>1280883.9397127943</v>
      </c>
      <c r="L1362" s="842">
        <f>+J1377</f>
        <v>12559.8</v>
      </c>
      <c r="M1362" s="842">
        <f>+J1378</f>
        <v>133434.75326335529</v>
      </c>
      <c r="N1362" s="843" t="e">
        <f>SUMIF(#REF!,'8.Dgia'!A1362,#REF!)+SUMIF(#REF!,'8.Dgia'!A1362,#REF!)+SUMIF(#REF!,'8.Dgia'!A1362,#REF!)+SUMIF(#REF!,'8.Dgia'!A1362,#REF!)</f>
        <v>#REF!</v>
      </c>
      <c r="O1362" s="844"/>
      <c r="P1362" s="843" t="e">
        <f t="shared" si="60"/>
        <v>#REF!</v>
      </c>
    </row>
    <row r="1363" spans="1:16" ht="15" customHeight="1">
      <c r="A1363" s="657">
        <f>IF(B1363="",MAX($A$8:A1362)+0,MAX($A$8:A1362)+1)</f>
        <v>147</v>
      </c>
      <c r="B1363" s="835" t="str">
        <f>IF(C1363="","",COUNTA($C$10:C1364))</f>
        <v/>
      </c>
      <c r="C1363" s="362"/>
      <c r="D1363" s="894" t="s">
        <v>2208</v>
      </c>
      <c r="E1363" s="852" t="s">
        <v>2032</v>
      </c>
      <c r="F1363" s="848" t="str">
        <f>VLOOKUP(E1363,DICH!B:C,2,FALSE)</f>
        <v xml:space="preserve">  A - Material</v>
      </c>
      <c r="G1363" s="895"/>
      <c r="H1363" s="896"/>
      <c r="I1363" s="848"/>
      <c r="J1363" s="849">
        <f>SUM(J1364:J1376)</f>
        <v>1280883.9397127943</v>
      </c>
      <c r="N1363" s="843" t="e">
        <f>SUMIF(#REF!,'8.Dgia'!A1363,#REF!)+SUMIF(#REF!,'8.Dgia'!A1363,#REF!)+SUMIF(#REF!,'8.Dgia'!A1363,#REF!)+SUMIF(#REF!,'8.Dgia'!A1363,#REF!)</f>
        <v>#REF!</v>
      </c>
      <c r="O1363" s="844"/>
      <c r="P1363" s="843" t="e">
        <f t="shared" si="60"/>
        <v>#REF!</v>
      </c>
    </row>
    <row r="1364" spans="1:16" ht="15" customHeight="1">
      <c r="A1364" s="657">
        <f>IF(B1364="",MAX($A$8:A1363)+0,MAX($A$8:A1363)+1)</f>
        <v>147</v>
      </c>
      <c r="B1364" s="835" t="str">
        <f>IF(C1364="","",COUNTA($C$10:C1365))</f>
        <v/>
      </c>
      <c r="C1364" s="897"/>
      <c r="D1364" s="897" t="s">
        <v>5167</v>
      </c>
      <c r="E1364" s="852" t="s">
        <v>590</v>
      </c>
      <c r="F1364" s="848" t="str">
        <f>VLOOKUP(E1364,DICH!B:C,2,FALSE)</f>
        <v>bitumen</v>
      </c>
      <c r="G1364" s="362" t="s">
        <v>558</v>
      </c>
      <c r="H1364" s="898">
        <f>(5.37-5)/(5.5-5)*(55.79-50.953)+50.953</f>
        <v>54.532380000000003</v>
      </c>
      <c r="I1364" s="848">
        <f>VLOOKUP(E1364,'11.gia '!$B:$I,8,FALSE)</f>
        <v>15823.463400000001</v>
      </c>
      <c r="J1364" s="853">
        <f>I1364*H1364</f>
        <v>862891.11904489214</v>
      </c>
      <c r="N1364" s="843" t="e">
        <f>SUMIF(#REF!,'8.Dgia'!A1364,#REF!)+SUMIF(#REF!,'8.Dgia'!A1364,#REF!)+SUMIF(#REF!,'8.Dgia'!A1364,#REF!)+SUMIF(#REF!,'8.Dgia'!A1364,#REF!)</f>
        <v>#REF!</v>
      </c>
      <c r="O1364" s="844"/>
      <c r="P1364" s="843" t="e">
        <f t="shared" si="60"/>
        <v>#REF!</v>
      </c>
    </row>
    <row r="1365" spans="1:16" ht="30.75" customHeight="1">
      <c r="A1365" s="657">
        <f>IF(B1365="",MAX($A$8:A1364)+0,MAX($A$8:A1364)+1)</f>
        <v>147</v>
      </c>
      <c r="B1365" s="835" t="str">
        <f>IF(C1365="","",COUNTA($C$10:C1366))</f>
        <v/>
      </c>
      <c r="C1365" s="897"/>
      <c r="D1365" s="897"/>
      <c r="E1365" s="899" t="s">
        <v>5168</v>
      </c>
      <c r="F1365" s="848"/>
      <c r="G1365" s="362"/>
      <c r="H1365" s="900"/>
      <c r="I1365" s="848"/>
      <c r="J1365" s="853"/>
      <c r="N1365" s="843" t="e">
        <f>SUMIF(#REF!,'8.Dgia'!A1365,#REF!)+SUMIF(#REF!,'8.Dgia'!A1365,#REF!)+SUMIF(#REF!,'8.Dgia'!A1365,#REF!)+SUMIF(#REF!,'8.Dgia'!A1365,#REF!)</f>
        <v>#REF!</v>
      </c>
      <c r="O1365" s="844"/>
      <c r="P1365" s="843" t="e">
        <f t="shared" si="60"/>
        <v>#REF!</v>
      </c>
    </row>
    <row r="1366" spans="1:16" ht="15" customHeight="1">
      <c r="A1366" s="657">
        <f>IF(B1366="",MAX($A$8:A1365)+0,MAX($A$8:A1365)+1)</f>
        <v>147</v>
      </c>
      <c r="B1366" s="835" t="str">
        <f>IF(C1366="","",COUNTA($C$10:C1367))</f>
        <v/>
      </c>
      <c r="C1366" s="897"/>
      <c r="D1366" s="901" t="s">
        <v>5169</v>
      </c>
      <c r="E1366" s="852" t="s">
        <v>2210</v>
      </c>
      <c r="F1366" s="848" t="str">
        <f>VLOOKUP(E1366,DICH!B:C,2,FALSE)</f>
        <v>Stone 1x1.6 asphalt concrete</v>
      </c>
      <c r="G1366" s="362"/>
      <c r="H1366" s="900">
        <f>19*0.128/20</f>
        <v>0.1216</v>
      </c>
      <c r="I1366" s="848">
        <f>VLOOKUP(E1366,'11.gia '!$B:$I,8,FALSE)</f>
        <v>354185.41224953817</v>
      </c>
      <c r="J1366" s="853">
        <f>I1366*H1366</f>
        <v>43068.946129543845</v>
      </c>
      <c r="N1366" s="843" t="e">
        <f>SUMIF(#REF!,'8.Dgia'!A1366,#REF!)+SUMIF(#REF!,'8.Dgia'!A1366,#REF!)+SUMIF(#REF!,'8.Dgia'!A1366,#REF!)+SUMIF(#REF!,'8.Dgia'!A1366,#REF!)</f>
        <v>#REF!</v>
      </c>
      <c r="O1366" s="844"/>
      <c r="P1366" s="843" t="e">
        <f t="shared" si="60"/>
        <v>#REF!</v>
      </c>
    </row>
    <row r="1367" spans="1:16" ht="15" customHeight="1">
      <c r="A1367" s="657">
        <f>IF(B1367="",MAX($A$8:A1366)+0,MAX($A$8:A1366)+1)</f>
        <v>147</v>
      </c>
      <c r="B1367" s="835" t="str">
        <f>IF(C1367="","",COUNTA($C$10:C1368))</f>
        <v/>
      </c>
      <c r="C1367" s="897"/>
      <c r="D1367" s="901"/>
      <c r="E1367" s="899" t="s">
        <v>5170</v>
      </c>
      <c r="F1367" s="848"/>
      <c r="G1367" s="362"/>
      <c r="H1367" s="900"/>
      <c r="I1367" s="848"/>
      <c r="J1367" s="853"/>
      <c r="N1367" s="843" t="e">
        <f>SUMIF(#REF!,'8.Dgia'!A1367,#REF!)+SUMIF(#REF!,'8.Dgia'!A1367,#REF!)+SUMIF(#REF!,'8.Dgia'!A1367,#REF!)+SUMIF(#REF!,'8.Dgia'!A1367,#REF!)</f>
        <v>#REF!</v>
      </c>
      <c r="O1367" s="844"/>
      <c r="P1367" s="843"/>
    </row>
    <row r="1368" spans="1:16" ht="15" customHeight="1">
      <c r="A1368" s="657">
        <f>IF(B1368="",MAX($A$8:A1367)+0,MAX($A$8:A1367)+1)</f>
        <v>147</v>
      </c>
      <c r="B1368" s="835" t="str">
        <f>IF(C1368="","",COUNTA($C$10:C1369))</f>
        <v/>
      </c>
      <c r="C1368" s="901"/>
      <c r="D1368" s="901" t="s">
        <v>5171</v>
      </c>
      <c r="E1368" s="852" t="s">
        <v>2209</v>
      </c>
      <c r="F1368" s="848" t="str">
        <f>VLOOKUP(E1368,DICH!B:C,2,FALSE)</f>
        <v>Stone 0x0.5 asphalt concrete</v>
      </c>
      <c r="G1368" s="847" t="s">
        <v>545</v>
      </c>
      <c r="H1368" s="900">
        <f>(59-55)/(60-55)*(0.383-0.351)+0.351</f>
        <v>0.37659999999999999</v>
      </c>
      <c r="I1368" s="848">
        <f>VLOOKUP(E1368,'11.gia '!$B:$I,8,FALSE)</f>
        <v>289185.41224953817</v>
      </c>
      <c r="J1368" s="853">
        <f>I1368*H1368</f>
        <v>108907.22625317608</v>
      </c>
      <c r="N1368" s="843" t="e">
        <f>SUMIF(#REF!,'8.Dgia'!A1368,#REF!)+SUMIF(#REF!,'8.Dgia'!A1368,#REF!)+SUMIF(#REF!,'8.Dgia'!A1368,#REF!)+SUMIF(#REF!,'8.Dgia'!A1368,#REF!)</f>
        <v>#REF!</v>
      </c>
      <c r="O1368" s="844"/>
      <c r="P1368" s="843" t="e">
        <f t="shared" si="60"/>
        <v>#REF!</v>
      </c>
    </row>
    <row r="1369" spans="1:16" ht="15" customHeight="1">
      <c r="A1369" s="657">
        <f>IF(B1369="",MAX($A$8:A1368)+0,MAX($A$8:A1368)+1)</f>
        <v>147</v>
      </c>
      <c r="B1369" s="835" t="str">
        <f>IF(C1369="","",COUNTA($C$10:C1370))</f>
        <v/>
      </c>
      <c r="C1369" s="901"/>
      <c r="D1369" s="901"/>
      <c r="E1369" s="899" t="s">
        <v>5172</v>
      </c>
      <c r="F1369" s="848"/>
      <c r="G1369" s="847"/>
      <c r="H1369" s="900"/>
      <c r="I1369" s="848"/>
      <c r="J1369" s="853"/>
      <c r="N1369" s="843" t="e">
        <f>SUMIF(#REF!,'8.Dgia'!A1369,#REF!)+SUMIF(#REF!,'8.Dgia'!A1369,#REF!)+SUMIF(#REF!,'8.Dgia'!A1369,#REF!)+SUMIF(#REF!,'8.Dgia'!A1369,#REF!)</f>
        <v>#REF!</v>
      </c>
      <c r="O1369" s="844"/>
      <c r="P1369" s="843"/>
    </row>
    <row r="1370" spans="1:16" ht="15" customHeight="1">
      <c r="A1370" s="657">
        <f>IF(B1370="",MAX($A$8:A1369)+0,MAX($A$8:A1369)+1)</f>
        <v>147</v>
      </c>
      <c r="B1370" s="835" t="str">
        <f>IF(C1370="","",COUNTA($C$10:C1371))</f>
        <v/>
      </c>
      <c r="C1370" s="901"/>
      <c r="D1370" s="901" t="s">
        <v>5173</v>
      </c>
      <c r="E1370" s="852" t="s">
        <v>86</v>
      </c>
      <c r="F1370" s="848" t="str">
        <f>VLOOKUP(E1370,DICH!B:C,2,FALSE)</f>
        <v>Stone 0.5x1 asphalt concrete</v>
      </c>
      <c r="G1370" s="847" t="s">
        <v>545</v>
      </c>
      <c r="H1370" s="900">
        <v>0.128</v>
      </c>
      <c r="I1370" s="848">
        <f>VLOOKUP(E1370,'11.gia '!$B:$I,8,FALSE)</f>
        <v>354185.41224953817</v>
      </c>
      <c r="J1370" s="853">
        <f>I1370*H1370</f>
        <v>45335.732767940885</v>
      </c>
      <c r="N1370" s="843" t="e">
        <f>SUMIF(#REF!,'8.Dgia'!A1370,#REF!)+SUMIF(#REF!,'8.Dgia'!A1370,#REF!)+SUMIF(#REF!,'8.Dgia'!A1370,#REF!)+SUMIF(#REF!,'8.Dgia'!A1370,#REF!)</f>
        <v>#REF!</v>
      </c>
      <c r="O1370" s="844"/>
      <c r="P1370" s="843" t="e">
        <f t="shared" si="60"/>
        <v>#REF!</v>
      </c>
    </row>
    <row r="1371" spans="1:16" ht="15" customHeight="1">
      <c r="A1371" s="657">
        <f>IF(B1371="",MAX($A$8:A1370)+0,MAX($A$8:A1370)+1)</f>
        <v>147</v>
      </c>
      <c r="B1371" s="835" t="str">
        <f>IF(C1371="","",COUNTA($C$10:C1372))</f>
        <v/>
      </c>
      <c r="C1371" s="901"/>
      <c r="D1371" s="901" t="s">
        <v>5174</v>
      </c>
      <c r="E1371" s="852" t="s">
        <v>592</v>
      </c>
      <c r="F1371" s="848" t="str">
        <f>VLOOKUP(E1371,DICH!B:C,2,FALSE)</f>
        <v>Stone powder</v>
      </c>
      <c r="G1371" s="362" t="s">
        <v>558</v>
      </c>
      <c r="H1371" s="900">
        <f>47.235*2/5</f>
        <v>18.893999999999998</v>
      </c>
      <c r="I1371" s="848">
        <f>VLOOKUP(E1371,'11.gia '!$B:$I,8,FALSE)</f>
        <v>1000</v>
      </c>
      <c r="J1371" s="853">
        <f>I1371*H1371</f>
        <v>18894</v>
      </c>
      <c r="N1371" s="843" t="e">
        <f>SUMIF(#REF!,'8.Dgia'!A1371,#REF!)+SUMIF(#REF!,'8.Dgia'!A1371,#REF!)+SUMIF(#REF!,'8.Dgia'!A1371,#REF!)+SUMIF(#REF!,'8.Dgia'!A1371,#REF!)</f>
        <v>#REF!</v>
      </c>
      <c r="O1371" s="844"/>
      <c r="P1371" s="843" t="e">
        <f t="shared" si="60"/>
        <v>#REF!</v>
      </c>
    </row>
    <row r="1372" spans="1:16" ht="15" customHeight="1">
      <c r="A1372" s="657">
        <f>IF(B1372="",MAX($A$8:A1371)+0,MAX($A$8:A1371)+1)</f>
        <v>147</v>
      </c>
      <c r="B1372" s="835" t="str">
        <f>IF(C1372="","",COUNTA($C$10:C1373))</f>
        <v/>
      </c>
      <c r="C1372" s="901"/>
      <c r="D1372" s="901"/>
      <c r="E1372" s="899" t="s">
        <v>5175</v>
      </c>
      <c r="F1372" s="848"/>
      <c r="G1372" s="362"/>
      <c r="H1372" s="900"/>
      <c r="I1372" s="848"/>
      <c r="J1372" s="853"/>
      <c r="N1372" s="843" t="e">
        <f>SUMIF(#REF!,'8.Dgia'!A1372,#REF!)+SUMIF(#REF!,'8.Dgia'!A1372,#REF!)+SUMIF(#REF!,'8.Dgia'!A1372,#REF!)+SUMIF(#REF!,'8.Dgia'!A1372,#REF!)</f>
        <v>#REF!</v>
      </c>
      <c r="O1372" s="844"/>
      <c r="P1372" s="843" t="e">
        <f t="shared" si="60"/>
        <v>#REF!</v>
      </c>
    </row>
    <row r="1373" spans="1:16" s="658" customFormat="1" ht="15" customHeight="1">
      <c r="A1373" s="657">
        <f>IF(B1373="",MAX($A$8:A1372)+0,MAX($A$8:A1372)+1)</f>
        <v>147</v>
      </c>
      <c r="B1373" s="835" t="str">
        <f>IF(C1373="","",COUNTA($C$10:C1374))</f>
        <v/>
      </c>
      <c r="C1373" s="362"/>
      <c r="D1373" s="845"/>
      <c r="E1373" s="902" t="s">
        <v>2034</v>
      </c>
      <c r="F1373" s="848"/>
      <c r="G1373" s="846"/>
      <c r="H1373" s="847"/>
      <c r="I1373" s="848"/>
      <c r="J1373" s="853"/>
      <c r="K1373" s="850"/>
      <c r="L1373" s="850"/>
      <c r="M1373" s="850"/>
      <c r="N1373" s="843" t="e">
        <f>SUMIF(#REF!,'8.Dgia'!A1373,#REF!)+SUMIF(#REF!,'8.Dgia'!A1373,#REF!)+SUMIF(#REF!,'8.Dgia'!A1373,#REF!)+SUMIF(#REF!,'8.Dgia'!A1373,#REF!)</f>
        <v>#REF!</v>
      </c>
      <c r="O1373" s="844"/>
      <c r="P1373" s="843" t="e">
        <f t="shared" si="60"/>
        <v>#REF!</v>
      </c>
    </row>
    <row r="1374" spans="1:16" ht="15" customHeight="1">
      <c r="A1374" s="657">
        <f>IF(B1374="",MAX($A$8:A1373)+0,MAX($A$8:A1373)+1)</f>
        <v>147</v>
      </c>
      <c r="B1374" s="835" t="str">
        <f>IF(C1374="","",COUNTA($C$10:C1375))</f>
        <v/>
      </c>
      <c r="C1374" s="362"/>
      <c r="D1374" s="851"/>
      <c r="E1374" s="852" t="s">
        <v>653</v>
      </c>
      <c r="F1374" s="848" t="str">
        <f>VLOOKUP(E1374,DICH!B:C,2,FALSE)</f>
        <v>Diesel</v>
      </c>
      <c r="G1374" s="362" t="s">
        <v>558</v>
      </c>
      <c r="H1374" s="847">
        <v>1.5</v>
      </c>
      <c r="I1374" s="858">
        <f>VLOOKUP(E1374,'11.gia '!$B:$I,8,FALSE)</f>
        <v>25621.734587251827</v>
      </c>
      <c r="J1374" s="853">
        <f>I1374*H1374</f>
        <v>38432.601880877744</v>
      </c>
      <c r="N1374" s="843" t="e">
        <f>SUMIF(#REF!,'8.Dgia'!A1374,#REF!)+SUMIF(#REF!,'8.Dgia'!A1374,#REF!)+SUMIF(#REF!,'8.Dgia'!A1374,#REF!)+SUMIF(#REF!,'8.Dgia'!A1374,#REF!)</f>
        <v>#REF!</v>
      </c>
      <c r="O1374" s="844"/>
      <c r="P1374" s="843" t="e">
        <f t="shared" ref="P1374:P1436" si="61">$H1374*N1374*(1+O1374%)</f>
        <v>#REF!</v>
      </c>
    </row>
    <row r="1375" spans="1:16" ht="15" customHeight="1">
      <c r="A1375" s="657">
        <f>IF(B1375="",MAX($A$8:A1374)+0,MAX($A$8:A1374)+1)</f>
        <v>147</v>
      </c>
      <c r="B1375" s="835" t="str">
        <f>IF(C1375="","",COUNTA($C$10:C1376))</f>
        <v/>
      </c>
      <c r="C1375" s="362"/>
      <c r="D1375" s="851"/>
      <c r="E1375" s="852" t="s">
        <v>474</v>
      </c>
      <c r="F1375" s="848" t="str">
        <f>VLOOKUP(E1375,DICH!B:C,2,FALSE)</f>
        <v>Mazut</v>
      </c>
      <c r="G1375" s="362" t="s">
        <v>558</v>
      </c>
      <c r="H1375" s="847">
        <v>8.5</v>
      </c>
      <c r="I1375" s="858">
        <f>VLOOKUP(E1375,'11.gia '!$B:$I,8,FALSE)</f>
        <v>18345.454545454544</v>
      </c>
      <c r="J1375" s="853">
        <f>I1375*H1375</f>
        <v>155936.36363636362</v>
      </c>
      <c r="N1375" s="843" t="e">
        <f>SUMIF(#REF!,'8.Dgia'!A1375,#REF!)+SUMIF(#REF!,'8.Dgia'!A1375,#REF!)+SUMIF(#REF!,'8.Dgia'!A1375,#REF!)+SUMIF(#REF!,'8.Dgia'!A1375,#REF!)</f>
        <v>#REF!</v>
      </c>
      <c r="O1375" s="844"/>
      <c r="P1375" s="843" t="e">
        <f t="shared" si="61"/>
        <v>#REF!</v>
      </c>
    </row>
    <row r="1376" spans="1:16" ht="15" customHeight="1">
      <c r="A1376" s="657">
        <f>IF(B1376="",MAX($A$8:A1375)+0,MAX($A$8:A1375)+1)</f>
        <v>147</v>
      </c>
      <c r="B1376" s="835" t="str">
        <f>IF(C1376="","",COUNTA($C$10:C1377))</f>
        <v/>
      </c>
      <c r="C1376" s="362"/>
      <c r="D1376" s="851"/>
      <c r="E1376" s="852" t="s">
        <v>408</v>
      </c>
      <c r="F1376" s="848" t="str">
        <f>VLOOKUP(E1376,DICH!B:C,2,FALSE)</f>
        <v xml:space="preserve">Safe oil </v>
      </c>
      <c r="G1376" s="362" t="s">
        <v>558</v>
      </c>
      <c r="H1376" s="847">
        <v>0.42499999999999999</v>
      </c>
      <c r="I1376" s="858">
        <f>VLOOKUP(E1376,'11.gia '!$B:$I,8,FALSE)</f>
        <v>17454</v>
      </c>
      <c r="J1376" s="853">
        <f>I1376*H1376</f>
        <v>7417.95</v>
      </c>
      <c r="N1376" s="843" t="e">
        <f>SUMIF(#REF!,'8.Dgia'!A1376,#REF!)+SUMIF(#REF!,'8.Dgia'!A1376,#REF!)+SUMIF(#REF!,'8.Dgia'!A1376,#REF!)+SUMIF(#REF!,'8.Dgia'!A1376,#REF!)</f>
        <v>#REF!</v>
      </c>
      <c r="O1376" s="844"/>
      <c r="P1376" s="843" t="e">
        <f t="shared" si="61"/>
        <v>#REF!</v>
      </c>
    </row>
    <row r="1377" spans="1:18" s="658" customFormat="1" ht="15" customHeight="1">
      <c r="A1377" s="657">
        <f>IF(B1377="",MAX($A$8:A1376)+0,MAX($A$8:A1376)+1)</f>
        <v>147</v>
      </c>
      <c r="B1377" s="835" t="str">
        <f>IF(C1377="","",COUNTA($C$10:C1378))</f>
        <v/>
      </c>
      <c r="C1377" s="362"/>
      <c r="D1377" s="845"/>
      <c r="E1377" s="661" t="s">
        <v>2040</v>
      </c>
      <c r="F1377" s="848" t="str">
        <f>VLOOKUP(E1377,DICH!B:C,2,FALSE)</f>
        <v xml:space="preserve">  B - Labour 4.5/7</v>
      </c>
      <c r="G1377" s="362" t="s">
        <v>4899</v>
      </c>
      <c r="H1377" s="847">
        <f>5.28/100</f>
        <v>5.28E-2</v>
      </c>
      <c r="I1377" s="848">
        <f>VLOOKUP(E1377,'16.NC'!$C$11:$F$22,4,FALSE)</f>
        <v>237875</v>
      </c>
      <c r="J1377" s="849">
        <f>I1377*H1377</f>
        <v>12559.8</v>
      </c>
      <c r="K1377" s="850"/>
      <c r="L1377" s="850"/>
      <c r="M1377" s="850"/>
      <c r="N1377" s="843" t="e">
        <f>SUMIF(#REF!,'8.Dgia'!A1377,#REF!)+SUMIF(#REF!,'8.Dgia'!A1377,#REF!)+SUMIF(#REF!,'8.Dgia'!A1377,#REF!)+SUMIF(#REF!,'8.Dgia'!A1377,#REF!)</f>
        <v>#REF!</v>
      </c>
      <c r="O1377" s="844"/>
      <c r="P1377" s="843" t="e">
        <f t="shared" si="61"/>
        <v>#REF!</v>
      </c>
      <c r="R1377" s="658">
        <v>1</v>
      </c>
    </row>
    <row r="1378" spans="1:18" s="658" customFormat="1" ht="15" customHeight="1">
      <c r="A1378" s="657">
        <f>IF(B1378="",MAX($A$8:A1377)+0,MAX($A$8:A1377)+1)</f>
        <v>147</v>
      </c>
      <c r="B1378" s="835" t="str">
        <f>IF(C1378="","",COUNTA($C$10:C1379))</f>
        <v/>
      </c>
      <c r="C1378" s="362"/>
      <c r="D1378" s="845"/>
      <c r="E1378" s="661" t="s">
        <v>2033</v>
      </c>
      <c r="F1378" s="848" t="str">
        <f>VLOOKUP(E1378,DICH!B:C,2,FALSE)</f>
        <v xml:space="preserve">  C - Machine</v>
      </c>
      <c r="G1378" s="846"/>
      <c r="H1378" s="847"/>
      <c r="I1378" s="848"/>
      <c r="J1378" s="849">
        <f>SUM(J1379:J1382)</f>
        <v>133434.75326335529</v>
      </c>
      <c r="K1378" s="850"/>
      <c r="L1378" s="850"/>
      <c r="M1378" s="850"/>
      <c r="N1378" s="843" t="e">
        <f>SUMIF(#REF!,'8.Dgia'!A1378,#REF!)+SUMIF(#REF!,'8.Dgia'!A1378,#REF!)+SUMIF(#REF!,'8.Dgia'!A1378,#REF!)+SUMIF(#REF!,'8.Dgia'!A1378,#REF!)</f>
        <v>#REF!</v>
      </c>
      <c r="O1378" s="844"/>
      <c r="P1378" s="843" t="e">
        <f t="shared" si="61"/>
        <v>#REF!</v>
      </c>
    </row>
    <row r="1379" spans="1:18" ht="15" customHeight="1">
      <c r="A1379" s="657">
        <f>IF(B1379="",MAX($A$8:A1378)+0,MAX($A$8:A1378)+1)</f>
        <v>147</v>
      </c>
      <c r="B1379" s="835" t="str">
        <f>IF(C1379="","",COUNTA($C$10:C1380))</f>
        <v/>
      </c>
      <c r="C1379" s="362"/>
      <c r="D1379" s="851"/>
      <c r="E1379" s="852" t="s">
        <v>1226</v>
      </c>
      <c r="F1379" s="848" t="str">
        <f>VLOOKUP(E1379,'9.may'!E:F,2,FALSE)</f>
        <v>asphalt batch mix plant 60T/h</v>
      </c>
      <c r="G1379" s="362" t="s">
        <v>4902</v>
      </c>
      <c r="H1379" s="847">
        <f>0.463/100</f>
        <v>4.6300000000000004E-3</v>
      </c>
      <c r="I1379" s="848">
        <f>VLOOKUP(E1379,'9.may'!E:W,12,FALSE)</f>
        <v>21355788.48</v>
      </c>
      <c r="J1379" s="853">
        <f>I1379*H1379</f>
        <v>98877.300662400012</v>
      </c>
      <c r="N1379" s="843" t="e">
        <f>SUMIF(#REF!,'8.Dgia'!A1379,#REF!)+SUMIF(#REF!,'8.Dgia'!A1379,#REF!)+SUMIF(#REF!,'8.Dgia'!A1379,#REF!)+SUMIF(#REF!,'8.Dgia'!A1379,#REF!)</f>
        <v>#REF!</v>
      </c>
      <c r="O1379" s="844">
        <f>+$H$1382</f>
        <v>2</v>
      </c>
      <c r="P1379" s="843" t="e">
        <f t="shared" si="61"/>
        <v>#REF!</v>
      </c>
    </row>
    <row r="1380" spans="1:18" ht="15" customHeight="1">
      <c r="A1380" s="657">
        <f>IF(B1380="",MAX($A$8:A1379)+0,MAX($A$8:A1379)+1)</f>
        <v>147</v>
      </c>
      <c r="B1380" s="835" t="str">
        <f>IF(C1380="","",COUNTA($C$10:C1381))</f>
        <v/>
      </c>
      <c r="C1380" s="362"/>
      <c r="D1380" s="851"/>
      <c r="E1380" s="852" t="s">
        <v>784</v>
      </c>
      <c r="F1380" s="848" t="str">
        <f>VLOOKUP(E1380,'9.may'!E:F,2,FALSE)</f>
        <v>avulsion excavator 2.3m3</v>
      </c>
      <c r="G1380" s="362" t="s">
        <v>4902</v>
      </c>
      <c r="H1380" s="847">
        <f>H1379</f>
        <v>4.6300000000000004E-3</v>
      </c>
      <c r="I1380" s="848">
        <f>VLOOKUP(E1380,'9.may'!E:W,12,FALSE)</f>
        <v>5629111.3909090906</v>
      </c>
      <c r="J1380" s="853">
        <f>I1380*H1380</f>
        <v>26062.785739909094</v>
      </c>
      <c r="N1380" s="843" t="e">
        <f>SUMIF(#REF!,'8.Dgia'!A1380,#REF!)+SUMIF(#REF!,'8.Dgia'!A1380,#REF!)+SUMIF(#REF!,'8.Dgia'!A1380,#REF!)+SUMIF(#REF!,'8.Dgia'!A1380,#REF!)</f>
        <v>#REF!</v>
      </c>
      <c r="O1380" s="844">
        <f>+$H$1382</f>
        <v>2</v>
      </c>
      <c r="P1380" s="843" t="e">
        <f t="shared" si="61"/>
        <v>#REF!</v>
      </c>
    </row>
    <row r="1381" spans="1:18" ht="15" customHeight="1">
      <c r="A1381" s="657">
        <f>IF(B1381="",MAX($A$8:A1380)+0,MAX($A$8:A1380)+1)</f>
        <v>147</v>
      </c>
      <c r="B1381" s="835" t="str">
        <f>IF(C1381="","",COUNTA($C$10:C1382))</f>
        <v/>
      </c>
      <c r="C1381" s="362"/>
      <c r="D1381" s="851"/>
      <c r="E1381" s="852" t="s">
        <v>624</v>
      </c>
      <c r="F1381" s="848" t="str">
        <f>VLOOKUP(E1381,'9.may'!E:F,2,FALSE)</f>
        <v>bulldozer 108CV</v>
      </c>
      <c r="G1381" s="362" t="s">
        <v>4902</v>
      </c>
      <c r="H1381" s="847">
        <f>0.3/100</f>
        <v>3.0000000000000001E-3</v>
      </c>
      <c r="I1381" s="848">
        <f>VLOOKUP(E1381,'9.may'!E:W,12,FALSE)</f>
        <v>1959433.0499999998</v>
      </c>
      <c r="J1381" s="853">
        <f>I1381*H1381</f>
        <v>5878.2991499999998</v>
      </c>
      <c r="N1381" s="843" t="e">
        <f>SUMIF(#REF!,'8.Dgia'!A1381,#REF!)+SUMIF(#REF!,'8.Dgia'!A1381,#REF!)+SUMIF(#REF!,'8.Dgia'!A1381,#REF!)+SUMIF(#REF!,'8.Dgia'!A1381,#REF!)</f>
        <v>#REF!</v>
      </c>
      <c r="O1381" s="844">
        <f>+$H$1382</f>
        <v>2</v>
      </c>
      <c r="P1381" s="843" t="e">
        <f t="shared" si="61"/>
        <v>#REF!</v>
      </c>
    </row>
    <row r="1382" spans="1:18" ht="15" customHeight="1">
      <c r="A1382" s="657">
        <f>IF(B1382="",MAX($A$8:A1381)+0,MAX($A$8:A1381)+1)</f>
        <v>147</v>
      </c>
      <c r="B1382" s="835" t="str">
        <f>IF(C1382="","",COUNTA($C$10:C1383))</f>
        <v/>
      </c>
      <c r="C1382" s="362"/>
      <c r="D1382" s="851"/>
      <c r="E1382" s="852" t="s">
        <v>553</v>
      </c>
      <c r="F1382" s="848" t="str">
        <f>VLOOKUP(E1382,DICH!B:C,2,FALSE)</f>
        <v>Other machine</v>
      </c>
      <c r="G1382" s="362" t="s">
        <v>554</v>
      </c>
      <c r="H1382" s="847">
        <v>2</v>
      </c>
      <c r="I1382" s="848">
        <f>SUM(J1379:J1381)</f>
        <v>130818.3855523091</v>
      </c>
      <c r="J1382" s="853">
        <f>I1382*H1382%</f>
        <v>2616.3677110461822</v>
      </c>
      <c r="N1382" s="843" t="e">
        <f>SUMIF(#REF!,'8.Dgia'!A1382,#REF!)+SUMIF(#REF!,'8.Dgia'!A1382,#REF!)+SUMIF(#REF!,'8.Dgia'!A1382,#REF!)+SUMIF(#REF!,'8.Dgia'!A1382,#REF!)</f>
        <v>#REF!</v>
      </c>
      <c r="O1382" s="844"/>
      <c r="P1382" s="843" t="e">
        <f t="shared" si="61"/>
        <v>#REF!</v>
      </c>
    </row>
    <row r="1383" spans="1:18" s="1336" customFormat="1" ht="15" customHeight="1">
      <c r="A1383" s="1336">
        <f>IF(B1383="",MAX($A$8:A1382)+0,MAX($A$8:A1382)+1)</f>
        <v>148</v>
      </c>
      <c r="B1383" s="1337">
        <f>IF(C1383="","",COUNTA($C$10:C1384))</f>
        <v>148</v>
      </c>
      <c r="C1383" s="1337">
        <f>IF(D1383="","",1776)</f>
        <v>1776</v>
      </c>
      <c r="D1383" s="1427" t="s">
        <v>5623</v>
      </c>
      <c r="E1383" s="1428" t="s">
        <v>5622</v>
      </c>
      <c r="F1383" s="1420" t="e">
        <f>VLOOKUP(E1383,DICH!B:C,2,FALSE)</f>
        <v>#N/A</v>
      </c>
      <c r="G1383" s="1429" t="s">
        <v>4644</v>
      </c>
      <c r="H1383" s="1001"/>
      <c r="I1383" s="1331"/>
      <c r="J1383" s="1430"/>
      <c r="K1383" s="1425"/>
      <c r="L1383" s="1425"/>
      <c r="M1383" s="1425">
        <f>+J1384</f>
        <v>29556.524107090911</v>
      </c>
      <c r="N1383" s="1343" t="e">
        <f>SUMIF(#REF!,'8.Dgia'!A1383,#REF!)+SUMIF(#REF!,'8.Dgia'!A1383,#REF!)+SUMIF(#REF!,'8.Dgia'!A1383,#REF!)+SUMIF(#REF!,'8.Dgia'!A1383,#REF!)</f>
        <v>#REF!</v>
      </c>
      <c r="O1383" s="1426"/>
      <c r="P1383" s="1343" t="e">
        <f t="shared" si="61"/>
        <v>#REF!</v>
      </c>
    </row>
    <row r="1384" spans="1:18" ht="15" customHeight="1">
      <c r="A1384" s="657">
        <f>IF(B1384="",MAX($A$8:A1383)+0,MAX($A$8:A1383)+1)</f>
        <v>148</v>
      </c>
      <c r="B1384" s="835" t="str">
        <f>IF(C1384="","",COUNTA($C$10:C1385))</f>
        <v/>
      </c>
      <c r="C1384" s="362"/>
      <c r="D1384" s="851"/>
      <c r="E1384" s="661" t="s">
        <v>2033</v>
      </c>
      <c r="F1384" s="848" t="str">
        <f>VLOOKUP(E1384,DICH!B:C,2,FALSE)</f>
        <v xml:space="preserve">  C - Machine</v>
      </c>
      <c r="G1384" s="856"/>
      <c r="H1384" s="847"/>
      <c r="I1384" s="848"/>
      <c r="J1384" s="849">
        <f>SUM(J1385:J1385)</f>
        <v>29556.524107090911</v>
      </c>
      <c r="N1384" s="843" t="e">
        <f>SUMIF(#REF!,'8.Dgia'!A1384,#REF!)+SUMIF(#REF!,'8.Dgia'!A1384,#REF!)+SUMIF(#REF!,'8.Dgia'!A1384,#REF!)+SUMIF(#REF!,'8.Dgia'!A1384,#REF!)</f>
        <v>#REF!</v>
      </c>
      <c r="O1384" s="844"/>
      <c r="P1384" s="843" t="e">
        <f t="shared" si="61"/>
        <v>#REF!</v>
      </c>
    </row>
    <row r="1385" spans="1:18" ht="15" customHeight="1">
      <c r="A1385" s="657">
        <f>IF(B1385="",MAX($A$8:A1384)+0,MAX($A$8:A1384)+1)</f>
        <v>148</v>
      </c>
      <c r="B1385" s="835" t="str">
        <f>IF(C1385="","",COUNTA($C$10:C1386))</f>
        <v/>
      </c>
      <c r="C1385" s="362"/>
      <c r="D1385" s="851"/>
      <c r="E1385" s="852" t="s">
        <v>923</v>
      </c>
      <c r="F1385" s="848" t="str">
        <f>VLOOKUP(E1385,'9.may'!E:F,2,FALSE)</f>
        <v>dump truck 10T</v>
      </c>
      <c r="G1385" s="362" t="s">
        <v>4902</v>
      </c>
      <c r="H1385" s="847">
        <f>1.58/100</f>
        <v>1.5800000000000002E-2</v>
      </c>
      <c r="I1385" s="848">
        <f>VLOOKUP(E1385,'9.may'!E:W,12,FALSE)</f>
        <v>1870666.0827272725</v>
      </c>
      <c r="J1385" s="853">
        <f>I1385*H1385</f>
        <v>29556.524107090911</v>
      </c>
      <c r="N1385" s="843" t="e">
        <f>SUMIF(#REF!,'8.Dgia'!A1385,#REF!)+SUMIF(#REF!,'8.Dgia'!A1385,#REF!)+SUMIF(#REF!,'8.Dgia'!A1385,#REF!)+SUMIF(#REF!,'8.Dgia'!A1385,#REF!)</f>
        <v>#REF!</v>
      </c>
      <c r="O1385" s="844"/>
      <c r="P1385" s="843" t="e">
        <f t="shared" si="61"/>
        <v>#REF!</v>
      </c>
    </row>
    <row r="1386" spans="1:18" ht="15" customHeight="1">
      <c r="A1386" s="657">
        <f>IF(B1386="",MAX($A$8:A1385)+0,MAX($A$8:A1385)+1)</f>
        <v>149</v>
      </c>
      <c r="B1386" s="835">
        <f>IF(C1386="","",COUNTA($C$10:C1387))</f>
        <v>149</v>
      </c>
      <c r="C1386" s="835">
        <f>IF(D1386="","",1776)</f>
        <v>1776</v>
      </c>
      <c r="D1386" s="851" t="s">
        <v>411</v>
      </c>
      <c r="E1386" s="870" t="s">
        <v>2140</v>
      </c>
      <c r="F1386" s="1049" t="str">
        <f>VLOOKUP(E1386,DICH!B:C,2,FALSE)</f>
        <v>Paving fine asphanlt concrete, thicknees 5cm</v>
      </c>
      <c r="G1386" s="856" t="s">
        <v>547</v>
      </c>
      <c r="H1386" s="847"/>
      <c r="I1386" s="848"/>
      <c r="J1386" s="857"/>
      <c r="L1386" s="842">
        <f>+J1387</f>
        <v>405014.95</v>
      </c>
      <c r="M1386" s="842">
        <f>+J1388</f>
        <v>407181.12036938174</v>
      </c>
      <c r="N1386" s="843" t="e">
        <f>SUMIF(#REF!,'8.Dgia'!A1386,#REF!)+SUMIF(#REF!,'8.Dgia'!A1386,#REF!)+SUMIF(#REF!,'8.Dgia'!A1386,#REF!)+SUMIF(#REF!,'8.Dgia'!A1386,#REF!)</f>
        <v>#REF!</v>
      </c>
      <c r="O1386" s="844"/>
      <c r="P1386" s="843" t="e">
        <f t="shared" si="61"/>
        <v>#REF!</v>
      </c>
    </row>
    <row r="1387" spans="1:18" s="658" customFormat="1" ht="15" customHeight="1">
      <c r="A1387" s="657">
        <f>IF(B1387="",MAX($A$8:A1386)+0,MAX($A$8:A1386)+1)</f>
        <v>149</v>
      </c>
      <c r="B1387" s="835" t="str">
        <f>IF(C1387="","",COUNTA($C$10:C1388))</f>
        <v/>
      </c>
      <c r="C1387" s="362"/>
      <c r="D1387" s="845"/>
      <c r="E1387" s="661" t="s">
        <v>2039</v>
      </c>
      <c r="F1387" s="848" t="str">
        <f>VLOOKUP(E1387,DICH!B:C,2,FALSE)</f>
        <v xml:space="preserve">  B - Labour 4.0/7</v>
      </c>
      <c r="G1387" s="362" t="s">
        <v>4899</v>
      </c>
      <c r="H1387" s="847">
        <v>1.85</v>
      </c>
      <c r="I1387" s="848">
        <f>VLOOKUP(E1387,'16.NC'!$C$11:$F$22,4,FALSE)</f>
        <v>218927</v>
      </c>
      <c r="J1387" s="849">
        <f>I1387*H1387</f>
        <v>405014.95</v>
      </c>
      <c r="K1387" s="850"/>
      <c r="L1387" s="850"/>
      <c r="M1387" s="850"/>
      <c r="N1387" s="843" t="e">
        <f>SUMIF(#REF!,'8.Dgia'!A1387,#REF!)+SUMIF(#REF!,'8.Dgia'!A1387,#REF!)+SUMIF(#REF!,'8.Dgia'!A1387,#REF!)+SUMIF(#REF!,'8.Dgia'!A1387,#REF!)</f>
        <v>#REF!</v>
      </c>
      <c r="O1387" s="844"/>
      <c r="P1387" s="843" t="e">
        <f t="shared" si="61"/>
        <v>#REF!</v>
      </c>
      <c r="R1387" s="658">
        <v>1</v>
      </c>
    </row>
    <row r="1388" spans="1:18" s="658" customFormat="1" ht="15" customHeight="1">
      <c r="A1388" s="657">
        <f>IF(B1388="",MAX($A$8:A1387)+0,MAX($A$8:A1387)+1)</f>
        <v>149</v>
      </c>
      <c r="B1388" s="835" t="str">
        <f>IF(C1388="","",COUNTA($C$10:C1389))</f>
        <v/>
      </c>
      <c r="C1388" s="362"/>
      <c r="D1388" s="845"/>
      <c r="E1388" s="661" t="s">
        <v>2033</v>
      </c>
      <c r="F1388" s="848" t="str">
        <f>VLOOKUP(E1388,DICH!B:C,2,FALSE)</f>
        <v xml:space="preserve">  C - Machine</v>
      </c>
      <c r="G1388" s="846"/>
      <c r="H1388" s="847"/>
      <c r="I1388" s="848"/>
      <c r="J1388" s="849">
        <f>SUM(J1389:J1392)</f>
        <v>407181.12036938174</v>
      </c>
      <c r="K1388" s="850"/>
      <c r="L1388" s="850"/>
      <c r="M1388" s="850"/>
      <c r="N1388" s="843" t="e">
        <f>SUMIF(#REF!,'8.Dgia'!A1388,#REF!)+SUMIF(#REF!,'8.Dgia'!A1388,#REF!)+SUMIF(#REF!,'8.Dgia'!A1388,#REF!)+SUMIF(#REF!,'8.Dgia'!A1388,#REF!)</f>
        <v>#REF!</v>
      </c>
      <c r="O1388" s="844"/>
      <c r="P1388" s="843" t="e">
        <f t="shared" si="61"/>
        <v>#REF!</v>
      </c>
    </row>
    <row r="1389" spans="1:18" ht="15" customHeight="1">
      <c r="A1389" s="657">
        <f>IF(B1389="",MAX($A$8:A1388)+0,MAX($A$8:A1388)+1)</f>
        <v>149</v>
      </c>
      <c r="B1389" s="835" t="str">
        <f>IF(C1389="","",COUNTA($C$10:C1390))</f>
        <v/>
      </c>
      <c r="C1389" s="362"/>
      <c r="D1389" s="851"/>
      <c r="E1389" s="852" t="s">
        <v>295</v>
      </c>
      <c r="F1389" s="848" t="str">
        <f>VLOOKUP(E1389,'9.may'!E:F,2,FALSE)</f>
        <v>asphalt paver 130-140CV</v>
      </c>
      <c r="G1389" s="362" t="s">
        <v>4902</v>
      </c>
      <c r="H1389" s="847">
        <v>4.4999999999999998E-2</v>
      </c>
      <c r="I1389" s="848">
        <f>VLOOKUP(E1389,'9.may'!E:W,12,FALSE)</f>
        <v>4352684.9563636361</v>
      </c>
      <c r="J1389" s="853">
        <f>I1389*H1389</f>
        <v>195870.82303636361</v>
      </c>
      <c r="N1389" s="843" t="e">
        <f>SUMIF(#REF!,'8.Dgia'!A1389,#REF!)+SUMIF(#REF!,'8.Dgia'!A1389,#REF!)+SUMIF(#REF!,'8.Dgia'!A1389,#REF!)+SUMIF(#REF!,'8.Dgia'!A1389,#REF!)</f>
        <v>#REF!</v>
      </c>
      <c r="O1389" s="844">
        <f>+$H$1392</f>
        <v>2</v>
      </c>
      <c r="P1389" s="843" t="e">
        <f t="shared" si="61"/>
        <v>#REF!</v>
      </c>
    </row>
    <row r="1390" spans="1:18" ht="15" customHeight="1">
      <c r="A1390" s="657">
        <f>IF(B1390="",MAX($A$8:A1389)+0,MAX($A$8:A1389)+1)</f>
        <v>149</v>
      </c>
      <c r="B1390" s="835" t="str">
        <f>IF(C1390="","",COUNTA($C$10:C1391))</f>
        <v/>
      </c>
      <c r="C1390" s="362"/>
      <c r="D1390" s="851"/>
      <c r="E1390" s="852" t="s">
        <v>893</v>
      </c>
      <c r="F1390" s="848" t="str">
        <f>VLOOKUP(E1390,'9.may'!E:F,2,FALSE)</f>
        <v>Steel roller 10T</v>
      </c>
      <c r="G1390" s="362" t="s">
        <v>4902</v>
      </c>
      <c r="H1390" s="847">
        <v>0.12</v>
      </c>
      <c r="I1390" s="848">
        <f>VLOOKUP(E1390,'9.may'!E:W,12,FALSE)</f>
        <v>950702.42999999993</v>
      </c>
      <c r="J1390" s="853">
        <f>I1390*H1390</f>
        <v>114084.29159999998</v>
      </c>
      <c r="N1390" s="843" t="e">
        <f>SUMIF(#REF!,'8.Dgia'!A1390,#REF!)+SUMIF(#REF!,'8.Dgia'!A1390,#REF!)+SUMIF(#REF!,'8.Dgia'!A1390,#REF!)+SUMIF(#REF!,'8.Dgia'!A1390,#REF!)</f>
        <v>#REF!</v>
      </c>
      <c r="O1390" s="844">
        <f>+$H$1392</f>
        <v>2</v>
      </c>
      <c r="P1390" s="843" t="e">
        <f t="shared" si="61"/>
        <v>#REF!</v>
      </c>
    </row>
    <row r="1391" spans="1:18" ht="15" customHeight="1">
      <c r="A1391" s="657">
        <f>IF(B1391="",MAX($A$8:A1390)+0,MAX($A$8:A1390)+1)</f>
        <v>149</v>
      </c>
      <c r="B1391" s="835" t="str">
        <f>IF(C1391="","",COUNTA($C$10:C1392))</f>
        <v/>
      </c>
      <c r="C1391" s="362"/>
      <c r="D1391" s="851"/>
      <c r="E1391" s="852" t="s">
        <v>875</v>
      </c>
      <c r="F1391" s="848" t="str">
        <f>VLOOKUP(E1391,'9.may'!E:F,2,FALSE)</f>
        <v>Pneumatic roller 16T</v>
      </c>
      <c r="G1391" s="362" t="s">
        <v>4902</v>
      </c>
      <c r="H1391" s="847">
        <v>6.4000000000000001E-2</v>
      </c>
      <c r="I1391" s="848">
        <f>VLOOKUP(E1391,'9.may'!E:W,12,FALSE)</f>
        <v>1394407.2218181817</v>
      </c>
      <c r="J1391" s="853">
        <f>I1391*H1391</f>
        <v>89242.062196363637</v>
      </c>
      <c r="N1391" s="843" t="e">
        <f>SUMIF(#REF!,'8.Dgia'!A1391,#REF!)+SUMIF(#REF!,'8.Dgia'!A1391,#REF!)+SUMIF(#REF!,'8.Dgia'!A1391,#REF!)+SUMIF(#REF!,'8.Dgia'!A1391,#REF!)</f>
        <v>#REF!</v>
      </c>
      <c r="O1391" s="844">
        <f>+$H$1392</f>
        <v>2</v>
      </c>
      <c r="P1391" s="843" t="e">
        <f t="shared" si="61"/>
        <v>#REF!</v>
      </c>
    </row>
    <row r="1392" spans="1:18" ht="15" customHeight="1">
      <c r="A1392" s="657">
        <f>IF(B1392="",MAX($A$8:A1391)+0,MAX($A$8:A1391)+1)</f>
        <v>149</v>
      </c>
      <c r="B1392" s="835" t="str">
        <f>IF(C1392="","",COUNTA($C$10:C1393))</f>
        <v/>
      </c>
      <c r="C1392" s="362"/>
      <c r="D1392" s="851"/>
      <c r="E1392" s="852" t="s">
        <v>553</v>
      </c>
      <c r="F1392" s="848" t="str">
        <f>VLOOKUP(E1392,DICH!B:C,2,FALSE)</f>
        <v>Other machine</v>
      </c>
      <c r="G1392" s="362" t="s">
        <v>554</v>
      </c>
      <c r="H1392" s="847">
        <v>2</v>
      </c>
      <c r="I1392" s="848">
        <f>SUM(J1389:J1391)</f>
        <v>399197.17683272721</v>
      </c>
      <c r="J1392" s="853">
        <f>I1392*H1392%</f>
        <v>7983.9435366545449</v>
      </c>
      <c r="N1392" s="843" t="e">
        <f>SUMIF(#REF!,'8.Dgia'!A1392,#REF!)+SUMIF(#REF!,'8.Dgia'!A1392,#REF!)+SUMIF(#REF!,'8.Dgia'!A1392,#REF!)+SUMIF(#REF!,'8.Dgia'!A1392,#REF!)</f>
        <v>#REF!</v>
      </c>
      <c r="O1392" s="844"/>
      <c r="P1392" s="843" t="e">
        <f t="shared" si="61"/>
        <v>#REF!</v>
      </c>
    </row>
    <row r="1393" spans="1:18" ht="15" customHeight="1">
      <c r="A1393" s="657">
        <f>IF(B1393="",MAX($A$8:A1392)+0,MAX($A$8:A1392)+1)</f>
        <v>150</v>
      </c>
      <c r="B1393" s="835">
        <f>IF(C1393="","",COUNTA($C$10:C1394))</f>
        <v>150</v>
      </c>
      <c r="C1393" s="835">
        <f>IF(D1393="","",1776)</f>
        <v>1776</v>
      </c>
      <c r="D1393" s="851" t="s">
        <v>27</v>
      </c>
      <c r="E1393" s="870" t="s">
        <v>139</v>
      </c>
      <c r="F1393" s="1049" t="str">
        <f>VLOOKUP(E1393,DICH!B:C,2,FALSE)</f>
        <v>Bituminous tack coat 0.5kg/m2</v>
      </c>
      <c r="G1393" s="856" t="s">
        <v>547</v>
      </c>
      <c r="H1393" s="847"/>
      <c r="I1393" s="848"/>
      <c r="J1393" s="857"/>
      <c r="K1393" s="842">
        <f>+J1394</f>
        <v>888126.23479849915</v>
      </c>
      <c r="L1393" s="842">
        <f>+J1397</f>
        <v>63698.667999999998</v>
      </c>
      <c r="M1393" s="842">
        <f>+J1398</f>
        <v>290939.91583363636</v>
      </c>
      <c r="N1393" s="843" t="e">
        <f>SUMIF(#REF!,'8.Dgia'!A1393,#REF!)+SUMIF(#REF!,'8.Dgia'!A1393,#REF!)+SUMIF(#REF!,'8.Dgia'!A1393,#REF!)+SUMIF(#REF!,'8.Dgia'!A1393,#REF!)</f>
        <v>#REF!</v>
      </c>
      <c r="O1393" s="844"/>
      <c r="P1393" s="843" t="e">
        <f t="shared" si="61"/>
        <v>#REF!</v>
      </c>
    </row>
    <row r="1394" spans="1:18" s="658" customFormat="1" ht="15" customHeight="1">
      <c r="A1394" s="657">
        <f>IF(B1394="",MAX($A$8:A1393)+0,MAX($A$8:A1393)+1)</f>
        <v>150</v>
      </c>
      <c r="B1394" s="835" t="str">
        <f>IF(C1394="","",COUNTA($C$10:C1395))</f>
        <v/>
      </c>
      <c r="C1394" s="362"/>
      <c r="D1394" s="845"/>
      <c r="E1394" s="852" t="s">
        <v>2032</v>
      </c>
      <c r="F1394" s="848" t="str">
        <f>VLOOKUP(E1394,DICH!B:C,2,FALSE)</f>
        <v xml:space="preserve">  A - Material</v>
      </c>
      <c r="G1394" s="846"/>
      <c r="H1394" s="847"/>
      <c r="I1394" s="848"/>
      <c r="J1394" s="849">
        <f>SUM(J1395:J1396)</f>
        <v>888126.23479849915</v>
      </c>
      <c r="K1394" s="850"/>
      <c r="L1394" s="850"/>
      <c r="M1394" s="850"/>
      <c r="N1394" s="843" t="e">
        <f>SUMIF(#REF!,'8.Dgia'!A1394,#REF!)+SUMIF(#REF!,'8.Dgia'!A1394,#REF!)+SUMIF(#REF!,'8.Dgia'!A1394,#REF!)+SUMIF(#REF!,'8.Dgia'!A1394,#REF!)</f>
        <v>#REF!</v>
      </c>
      <c r="O1394" s="844"/>
      <c r="P1394" s="843" t="e">
        <f t="shared" si="61"/>
        <v>#REF!</v>
      </c>
    </row>
    <row r="1395" spans="1:18" ht="15" customHeight="1">
      <c r="A1395" s="657">
        <f>IF(B1395="",MAX($A$8:A1394)+0,MAX($A$8:A1394)+1)</f>
        <v>150</v>
      </c>
      <c r="B1395" s="835" t="str">
        <f>IF(C1395="","",COUNTA($C$10:C1396))</f>
        <v/>
      </c>
      <c r="C1395" s="362"/>
      <c r="D1395" s="851"/>
      <c r="E1395" s="852" t="s">
        <v>590</v>
      </c>
      <c r="F1395" s="848" t="str">
        <f>VLOOKUP(E1395,DICH!B:C,2,FALSE)</f>
        <v>bitumen</v>
      </c>
      <c r="G1395" s="362" t="s">
        <v>558</v>
      </c>
      <c r="H1395" s="847">
        <v>32.322000000000003</v>
      </c>
      <c r="I1395" s="858">
        <f>VLOOKUP(E1395,'11.gia '!$B:$I,8,FALSE)</f>
        <v>15823.463400000001</v>
      </c>
      <c r="J1395" s="853">
        <f>I1395*H1395</f>
        <v>511445.98401480005</v>
      </c>
      <c r="N1395" s="843" t="e">
        <f>SUMIF(#REF!,'8.Dgia'!A1395,#REF!)+SUMIF(#REF!,'8.Dgia'!A1395,#REF!)+SUMIF(#REF!,'8.Dgia'!A1395,#REF!)+SUMIF(#REF!,'8.Dgia'!A1395,#REF!)</f>
        <v>#REF!</v>
      </c>
      <c r="O1395" s="844"/>
      <c r="P1395" s="843" t="e">
        <f t="shared" si="61"/>
        <v>#REF!</v>
      </c>
    </row>
    <row r="1396" spans="1:18" ht="15" customHeight="1">
      <c r="A1396" s="657">
        <f>IF(B1396="",MAX($A$8:A1395)+0,MAX($A$8:A1395)+1)</f>
        <v>150</v>
      </c>
      <c r="B1396" s="835" t="str">
        <f>IF(C1396="","",COUNTA($C$10:C1397))</f>
        <v/>
      </c>
      <c r="C1396" s="362"/>
      <c r="D1396" s="851"/>
      <c r="E1396" s="852" t="s">
        <v>661</v>
      </c>
      <c r="F1396" s="848" t="str">
        <f>VLOOKUP(E1396,DICH!B:C,2,FALSE)</f>
        <v>Petroleum</v>
      </c>
      <c r="G1396" s="362" t="s">
        <v>558</v>
      </c>
      <c r="H1396" s="847">
        <v>16.05</v>
      </c>
      <c r="I1396" s="858">
        <f>VLOOKUP(E1396,'11.gia '!$B:$I,8,FALSE)</f>
        <v>23469.174503657261</v>
      </c>
      <c r="J1396" s="853">
        <f>I1396*H1396</f>
        <v>376680.25078369904</v>
      </c>
      <c r="N1396" s="843" t="e">
        <f>SUMIF(#REF!,'8.Dgia'!A1396,#REF!)+SUMIF(#REF!,'8.Dgia'!A1396,#REF!)+SUMIF(#REF!,'8.Dgia'!A1396,#REF!)+SUMIF(#REF!,'8.Dgia'!A1396,#REF!)</f>
        <v>#REF!</v>
      </c>
      <c r="O1396" s="844"/>
      <c r="P1396" s="843" t="e">
        <f t="shared" si="61"/>
        <v>#REF!</v>
      </c>
    </row>
    <row r="1397" spans="1:18" s="658" customFormat="1" ht="15" customHeight="1">
      <c r="A1397" s="657">
        <f>IF(B1397="",MAX($A$8:A1396)+0,MAX($A$8:A1396)+1)</f>
        <v>150</v>
      </c>
      <c r="B1397" s="835" t="str">
        <f>IF(C1397="","",COUNTA($C$10:C1398))</f>
        <v/>
      </c>
      <c r="C1397" s="362"/>
      <c r="D1397" s="845"/>
      <c r="E1397" s="661" t="s">
        <v>2037</v>
      </c>
      <c r="F1397" s="848" t="str">
        <f>VLOOKUP(E1397,DICH!B:C,2,FALSE)</f>
        <v xml:space="preserve">  B - Labour 3.5/7</v>
      </c>
      <c r="G1397" s="362" t="s">
        <v>4899</v>
      </c>
      <c r="H1397" s="847">
        <v>0.314</v>
      </c>
      <c r="I1397" s="848">
        <f>VLOOKUP(E1397,'16.NC'!$C$11:$F$22,4,FALSE)</f>
        <v>202862</v>
      </c>
      <c r="J1397" s="849">
        <f>I1397*H1397</f>
        <v>63698.667999999998</v>
      </c>
      <c r="K1397" s="850"/>
      <c r="L1397" s="850"/>
      <c r="M1397" s="850"/>
      <c r="N1397" s="843" t="e">
        <f>SUMIF(#REF!,'8.Dgia'!A1397,#REF!)+SUMIF(#REF!,'8.Dgia'!A1397,#REF!)+SUMIF(#REF!,'8.Dgia'!A1397,#REF!)+SUMIF(#REF!,'8.Dgia'!A1397,#REF!)</f>
        <v>#REF!</v>
      </c>
      <c r="O1397" s="844"/>
      <c r="P1397" s="843" t="e">
        <f t="shared" si="61"/>
        <v>#REF!</v>
      </c>
      <c r="R1397" s="658">
        <v>1</v>
      </c>
    </row>
    <row r="1398" spans="1:18" s="658" customFormat="1" ht="15" customHeight="1">
      <c r="A1398" s="657">
        <f>IF(B1398="",MAX($A$8:A1397)+0,MAX($A$8:A1397)+1)</f>
        <v>150</v>
      </c>
      <c r="B1398" s="835" t="str">
        <f>IF(C1398="","",COUNTA($C$10:C1399))</f>
        <v/>
      </c>
      <c r="C1398" s="362"/>
      <c r="D1398" s="845"/>
      <c r="E1398" s="661" t="s">
        <v>2033</v>
      </c>
      <c r="F1398" s="848" t="str">
        <f>VLOOKUP(E1398,DICH!B:C,2,FALSE)</f>
        <v xml:space="preserve">  C - Machine</v>
      </c>
      <c r="G1398" s="846"/>
      <c r="H1398" s="847"/>
      <c r="I1398" s="848"/>
      <c r="J1398" s="849">
        <f>SUM(J1399:J1401)</f>
        <v>290939.91583363636</v>
      </c>
      <c r="K1398" s="850"/>
      <c r="L1398" s="850"/>
      <c r="M1398" s="850"/>
      <c r="N1398" s="843" t="e">
        <f>SUMIF(#REF!,'8.Dgia'!A1398,#REF!)+SUMIF(#REF!,'8.Dgia'!A1398,#REF!)+SUMIF(#REF!,'8.Dgia'!A1398,#REF!)+SUMIF(#REF!,'8.Dgia'!A1398,#REF!)</f>
        <v>#REF!</v>
      </c>
      <c r="O1398" s="844"/>
      <c r="P1398" s="843" t="e">
        <f t="shared" si="61"/>
        <v>#REF!</v>
      </c>
    </row>
    <row r="1399" spans="1:18" ht="15" customHeight="1">
      <c r="A1399" s="657">
        <f>IF(B1399="",MAX($A$8:A1398)+0,MAX($A$8:A1398)+1)</f>
        <v>150</v>
      </c>
      <c r="B1399" s="835" t="str">
        <f>IF(C1399="","",COUNTA($C$10:C1400))</f>
        <v/>
      </c>
      <c r="C1399" s="362"/>
      <c r="D1399" s="851"/>
      <c r="E1399" s="852" t="s">
        <v>451</v>
      </c>
      <c r="F1399" s="848" t="str">
        <f>VLOOKUP(E1399,'9.may'!E:F,2,FALSE)</f>
        <v>Bitumen-cook equipment</v>
      </c>
      <c r="G1399" s="362" t="s">
        <v>4902</v>
      </c>
      <c r="H1399" s="847">
        <v>4.9000000000000002E-2</v>
      </c>
      <c r="I1399" s="848">
        <f>VLOOKUP(E1399,'9.may'!E:W,12,FALSE)</f>
        <v>70884.210000000006</v>
      </c>
      <c r="J1399" s="853">
        <f>I1399*H1399</f>
        <v>3473.3262900000004</v>
      </c>
      <c r="N1399" s="843" t="e">
        <f>SUMIF(#REF!,'8.Dgia'!A1399,#REF!)+SUMIF(#REF!,'8.Dgia'!A1399,#REF!)+SUMIF(#REF!,'8.Dgia'!A1399,#REF!)+SUMIF(#REF!,'8.Dgia'!A1399,#REF!)</f>
        <v>#REF!</v>
      </c>
      <c r="O1399" s="844"/>
      <c r="P1399" s="843" t="e">
        <f t="shared" si="61"/>
        <v>#REF!</v>
      </c>
    </row>
    <row r="1400" spans="1:18" ht="15" customHeight="1">
      <c r="A1400" s="657">
        <f>IF(B1400="",MAX($A$8:A1399)+0,MAX($A$8:A1399)+1)</f>
        <v>150</v>
      </c>
      <c r="B1400" s="835" t="str">
        <f>IF(C1400="","",COUNTA($C$10:C1401))</f>
        <v/>
      </c>
      <c r="C1400" s="362"/>
      <c r="D1400" s="851"/>
      <c r="E1400" s="852" t="s">
        <v>1232</v>
      </c>
      <c r="F1400" s="848" t="str">
        <f>VLOOKUP(E1400,'9.may'!E:F,2,FALSE)</f>
        <v>asphalt distributor truct 7T</v>
      </c>
      <c r="G1400" s="362" t="s">
        <v>4902</v>
      </c>
      <c r="H1400" s="847">
        <v>9.8000000000000004E-2</v>
      </c>
      <c r="I1400" s="848">
        <f>VLOOKUP(E1400,'9.may'!E:W,12,FALSE)</f>
        <v>2271696.4690909088</v>
      </c>
      <c r="J1400" s="853">
        <f>I1400*H1400</f>
        <v>222626.25397090908</v>
      </c>
      <c r="N1400" s="843" t="e">
        <f>SUMIF(#REF!,'8.Dgia'!A1400,#REF!)+SUMIF(#REF!,'8.Dgia'!A1400,#REF!)+SUMIF(#REF!,'8.Dgia'!A1400,#REF!)+SUMIF(#REF!,'8.Dgia'!A1400,#REF!)</f>
        <v>#REF!</v>
      </c>
      <c r="O1400" s="844"/>
      <c r="P1400" s="843" t="e">
        <f t="shared" si="61"/>
        <v>#REF!</v>
      </c>
    </row>
    <row r="1401" spans="1:18" ht="15" customHeight="1">
      <c r="A1401" s="657">
        <f>IF(B1401="",MAX($A$8:A1400)+0,MAX($A$8:A1400)+1)</f>
        <v>150</v>
      </c>
      <c r="B1401" s="835" t="str">
        <f>IF(C1401="","",COUNTA($C$10:C1402))</f>
        <v/>
      </c>
      <c r="C1401" s="362"/>
      <c r="D1401" s="851"/>
      <c r="E1401" s="852" t="s">
        <v>610</v>
      </c>
      <c r="F1401" s="848" t="str">
        <f>VLOOKUP(E1401,'9.may'!E:F,2,FALSE)</f>
        <v>diesel air compressor 600m3/h</v>
      </c>
      <c r="G1401" s="362" t="s">
        <v>4902</v>
      </c>
      <c r="H1401" s="847">
        <v>4.9000000000000002E-2</v>
      </c>
      <c r="I1401" s="848">
        <f>VLOOKUP(E1401,'9.may'!E:W,12,FALSE)</f>
        <v>1323272.1545454543</v>
      </c>
      <c r="J1401" s="853">
        <f>I1401*H1401</f>
        <v>64840.335572727265</v>
      </c>
      <c r="N1401" s="843" t="e">
        <f>SUMIF(#REF!,'8.Dgia'!A1401,#REF!)+SUMIF(#REF!,'8.Dgia'!A1401,#REF!)+SUMIF(#REF!,'8.Dgia'!A1401,#REF!)+SUMIF(#REF!,'8.Dgia'!A1401,#REF!)</f>
        <v>#REF!</v>
      </c>
      <c r="O1401" s="844"/>
      <c r="P1401" s="843" t="e">
        <f t="shared" si="61"/>
        <v>#REF!</v>
      </c>
    </row>
    <row r="1402" spans="1:18" ht="15" customHeight="1">
      <c r="A1402" s="657">
        <f>IF(B1402="",MAX($A$8:A1401)+0,MAX($A$8:A1401)+1)</f>
        <v>151</v>
      </c>
      <c r="B1402" s="835">
        <f>IF(C1402="","",COUNTA($C$10:C1403))</f>
        <v>151</v>
      </c>
      <c r="C1402" s="835">
        <f>IF(D1402="","",1776)</f>
        <v>1776</v>
      </c>
      <c r="D1402" s="851" t="s">
        <v>412</v>
      </c>
      <c r="E1402" s="870" t="s">
        <v>595</v>
      </c>
      <c r="F1402" s="1049" t="str">
        <f>VLOOKUP(E1402,DICH!B:C,2,FALSE)</f>
        <v>Producing sign of waterway</v>
      </c>
      <c r="G1402" s="856" t="s">
        <v>548</v>
      </c>
      <c r="H1402" s="847"/>
      <c r="I1402" s="848"/>
      <c r="J1402" s="857"/>
      <c r="K1402" s="842">
        <f>+J1403</f>
        <v>592291.06307485164</v>
      </c>
      <c r="L1402" s="842">
        <f>+J1412</f>
        <v>808775</v>
      </c>
      <c r="M1402" s="842">
        <f>+J1413</f>
        <v>38401.479240749999</v>
      </c>
      <c r="N1402" s="843" t="e">
        <f>SUMIF(#REF!,'8.Dgia'!A1402,#REF!)+SUMIF(#REF!,'8.Dgia'!A1402,#REF!)+SUMIF(#REF!,'8.Dgia'!A1402,#REF!)+SUMIF(#REF!,'8.Dgia'!A1402,#REF!)</f>
        <v>#REF!</v>
      </c>
      <c r="O1402" s="844"/>
      <c r="P1402" s="843" t="e">
        <f t="shared" si="61"/>
        <v>#REF!</v>
      </c>
    </row>
    <row r="1403" spans="1:18" s="658" customFormat="1" ht="15" customHeight="1">
      <c r="A1403" s="657">
        <f>IF(B1403="",MAX($A$8:A1402)+0,MAX($A$8:A1402)+1)</f>
        <v>151</v>
      </c>
      <c r="B1403" s="835" t="str">
        <f>IF(C1403="","",COUNTA($C$10:C1404))</f>
        <v/>
      </c>
      <c r="C1403" s="362"/>
      <c r="D1403" s="845"/>
      <c r="E1403" s="661" t="s">
        <v>2032</v>
      </c>
      <c r="F1403" s="848" t="str">
        <f>VLOOKUP(E1403,DICH!B:C,2,FALSE)</f>
        <v xml:space="preserve">  A - Material</v>
      </c>
      <c r="G1403" s="846"/>
      <c r="H1403" s="847"/>
      <c r="I1403" s="848"/>
      <c r="J1403" s="849">
        <f>SUM(J1404:J1411)</f>
        <v>592291.06307485164</v>
      </c>
      <c r="K1403" s="850"/>
      <c r="L1403" s="850"/>
      <c r="M1403" s="850"/>
      <c r="N1403" s="843" t="e">
        <f>SUMIF(#REF!,'8.Dgia'!A1403,#REF!)+SUMIF(#REF!,'8.Dgia'!A1403,#REF!)+SUMIF(#REF!,'8.Dgia'!A1403,#REF!)+SUMIF(#REF!,'8.Dgia'!A1403,#REF!)</f>
        <v>#REF!</v>
      </c>
      <c r="O1403" s="844"/>
      <c r="P1403" s="843" t="e">
        <f t="shared" si="61"/>
        <v>#REF!</v>
      </c>
    </row>
    <row r="1404" spans="1:18" ht="15" customHeight="1">
      <c r="A1404" s="657">
        <f>IF(B1404="",MAX($A$8:A1403)+0,MAX($A$8:A1403)+1)</f>
        <v>151</v>
      </c>
      <c r="B1404" s="835" t="str">
        <f>IF(C1404="","",COUNTA($C$10:C1405))</f>
        <v/>
      </c>
      <c r="C1404" s="362"/>
      <c r="D1404" s="851"/>
      <c r="E1404" s="852" t="s">
        <v>562</v>
      </c>
      <c r="F1404" s="848" t="str">
        <f>VLOOKUP(E1404,DICH!B:C,2,FALSE)</f>
        <v>Plate steel</v>
      </c>
      <c r="G1404" s="362" t="s">
        <v>558</v>
      </c>
      <c r="H1404" s="847">
        <v>27.5</v>
      </c>
      <c r="I1404" s="848">
        <f>VLOOKUP(E1404,'11.gia '!$B:$I,8,FALSE)</f>
        <v>12871.348287272725</v>
      </c>
      <c r="J1404" s="853">
        <f t="shared" ref="J1404:J1410" si="62">I1404*H1404</f>
        <v>353962.07789999997</v>
      </c>
      <c r="N1404" s="843" t="e">
        <f>SUMIF(#REF!,'8.Dgia'!A1404,#REF!)+SUMIF(#REF!,'8.Dgia'!A1404,#REF!)+SUMIF(#REF!,'8.Dgia'!A1404,#REF!)+SUMIF(#REF!,'8.Dgia'!A1404,#REF!)</f>
        <v>#REF!</v>
      </c>
      <c r="O1404" s="844">
        <f>+$H$1411</f>
        <v>3</v>
      </c>
      <c r="P1404" s="843" t="e">
        <f t="shared" si="61"/>
        <v>#REF!</v>
      </c>
    </row>
    <row r="1405" spans="1:18" ht="15" customHeight="1">
      <c r="A1405" s="657">
        <f>IF(B1405="",MAX($A$8:A1404)+0,MAX($A$8:A1404)+1)</f>
        <v>151</v>
      </c>
      <c r="B1405" s="835" t="str">
        <f>IF(C1405="","",COUNTA($C$10:C1406))</f>
        <v/>
      </c>
      <c r="C1405" s="362"/>
      <c r="D1405" s="851"/>
      <c r="E1405" s="852" t="s">
        <v>563</v>
      </c>
      <c r="F1405" s="848" t="str">
        <f>VLOOKUP(E1405,DICH!B:C,2,FALSE)</f>
        <v>Shaped steel</v>
      </c>
      <c r="G1405" s="362" t="s">
        <v>558</v>
      </c>
      <c r="H1405" s="847">
        <v>7.76</v>
      </c>
      <c r="I1405" s="848">
        <f>VLOOKUP(E1405,'11.gia '!$B:$I,8,FALSE)</f>
        <v>16703.248369172808</v>
      </c>
      <c r="J1405" s="853">
        <f t="shared" si="62"/>
        <v>129617.207344781</v>
      </c>
      <c r="N1405" s="843" t="e">
        <f>SUMIF(#REF!,'8.Dgia'!A1405,#REF!)+SUMIF(#REF!,'8.Dgia'!A1405,#REF!)+SUMIF(#REF!,'8.Dgia'!A1405,#REF!)+SUMIF(#REF!,'8.Dgia'!A1405,#REF!)</f>
        <v>#REF!</v>
      </c>
      <c r="O1405" s="844">
        <f t="shared" ref="O1405:O1410" si="63">+$H$1411</f>
        <v>3</v>
      </c>
      <c r="P1405" s="843" t="e">
        <f t="shared" si="61"/>
        <v>#REF!</v>
      </c>
    </row>
    <row r="1406" spans="1:18" ht="15" customHeight="1">
      <c r="A1406" s="657">
        <f>IF(B1406="",MAX($A$8:A1405)+0,MAX($A$8:A1405)+1)</f>
        <v>151</v>
      </c>
      <c r="B1406" s="835" t="str">
        <f>IF(C1406="","",COUNTA($C$10:C1407))</f>
        <v/>
      </c>
      <c r="C1406" s="362"/>
      <c r="D1406" s="851"/>
      <c r="E1406" s="852" t="s">
        <v>564</v>
      </c>
      <c r="F1406" s="848" t="str">
        <f>VLOOKUP(E1406,DICH!B:C,2,FALSE)</f>
        <v>oxygen</v>
      </c>
      <c r="G1406" s="362" t="s">
        <v>4647</v>
      </c>
      <c r="H1406" s="847">
        <v>0.11</v>
      </c>
      <c r="I1406" s="848">
        <f>VLOOKUP(E1406,'11.gia '!$B:$I,8,FALSE)</f>
        <v>48000</v>
      </c>
      <c r="J1406" s="853">
        <f t="shared" si="62"/>
        <v>5280</v>
      </c>
      <c r="N1406" s="843" t="e">
        <f>SUMIF(#REF!,'8.Dgia'!A1406,#REF!)+SUMIF(#REF!,'8.Dgia'!A1406,#REF!)+SUMIF(#REF!,'8.Dgia'!A1406,#REF!)+SUMIF(#REF!,'8.Dgia'!A1406,#REF!)</f>
        <v>#REF!</v>
      </c>
      <c r="O1406" s="844">
        <f t="shared" si="63"/>
        <v>3</v>
      </c>
      <c r="P1406" s="843" t="e">
        <f t="shared" si="61"/>
        <v>#REF!</v>
      </c>
    </row>
    <row r="1407" spans="1:18" ht="15" customHeight="1">
      <c r="A1407" s="657">
        <f>IF(B1407="",MAX($A$8:A1406)+0,MAX($A$8:A1406)+1)</f>
        <v>151</v>
      </c>
      <c r="B1407" s="835" t="str">
        <f>IF(C1407="","",COUNTA($C$10:C1408))</f>
        <v/>
      </c>
      <c r="C1407" s="362"/>
      <c r="D1407" s="851"/>
      <c r="E1407" s="852" t="s">
        <v>419</v>
      </c>
      <c r="F1407" s="848" t="str">
        <f>VLOOKUP(E1407,DICH!B:C,2,FALSE)</f>
        <v>Gas</v>
      </c>
      <c r="G1407" s="362" t="s">
        <v>558</v>
      </c>
      <c r="H1407" s="847">
        <v>0.33</v>
      </c>
      <c r="I1407" s="848">
        <f>VLOOKUP(E1407,'11.gia '!$B:$I,8,FALSE)</f>
        <v>27575.757575757572</v>
      </c>
      <c r="J1407" s="853">
        <f t="shared" si="62"/>
        <v>9100</v>
      </c>
      <c r="N1407" s="843" t="e">
        <f>SUMIF(#REF!,'8.Dgia'!A1407,#REF!)+SUMIF(#REF!,'8.Dgia'!A1407,#REF!)+SUMIF(#REF!,'8.Dgia'!A1407,#REF!)+SUMIF(#REF!,'8.Dgia'!A1407,#REF!)</f>
        <v>#REF!</v>
      </c>
      <c r="O1407" s="844">
        <f t="shared" si="63"/>
        <v>3</v>
      </c>
      <c r="P1407" s="843" t="e">
        <f t="shared" si="61"/>
        <v>#REF!</v>
      </c>
    </row>
    <row r="1408" spans="1:18" ht="15" customHeight="1">
      <c r="A1408" s="657">
        <f>IF(B1408="",MAX($A$8:A1407)+0,MAX($A$8:A1407)+1)</f>
        <v>151</v>
      </c>
      <c r="B1408" s="835" t="str">
        <f>IF(C1408="","",COUNTA($C$10:C1409))</f>
        <v/>
      </c>
      <c r="C1408" s="362"/>
      <c r="D1408" s="851"/>
      <c r="E1408" s="852" t="s">
        <v>559</v>
      </c>
      <c r="F1408" s="848" t="str">
        <f>VLOOKUP(E1408,DICH!B:C,2,FALSE)</f>
        <v>welding electrode</v>
      </c>
      <c r="G1408" s="362" t="s">
        <v>558</v>
      </c>
      <c r="H1408" s="847">
        <v>2.42</v>
      </c>
      <c r="I1408" s="848">
        <f>VLOOKUP(E1408,'11.gia '!$B:$I,8,FALSE)</f>
        <v>19090.909090909088</v>
      </c>
      <c r="J1408" s="853">
        <f t="shared" si="62"/>
        <v>46199.999999999993</v>
      </c>
      <c r="N1408" s="843" t="e">
        <f>SUMIF(#REF!,'8.Dgia'!A1408,#REF!)+SUMIF(#REF!,'8.Dgia'!A1408,#REF!)+SUMIF(#REF!,'8.Dgia'!A1408,#REF!)+SUMIF(#REF!,'8.Dgia'!A1408,#REF!)</f>
        <v>#REF!</v>
      </c>
      <c r="O1408" s="844">
        <f t="shared" si="63"/>
        <v>3</v>
      </c>
      <c r="P1408" s="843" t="e">
        <f t="shared" si="61"/>
        <v>#REF!</v>
      </c>
    </row>
    <row r="1409" spans="1:18" ht="15" customHeight="1">
      <c r="A1409" s="657">
        <f>IF(B1409="",MAX($A$8:A1408)+0,MAX($A$8:A1408)+1)</f>
        <v>151</v>
      </c>
      <c r="B1409" s="835" t="str">
        <f>IF(C1409="","",COUNTA($C$10:C1410))</f>
        <v/>
      </c>
      <c r="C1409" s="362"/>
      <c r="D1409" s="851"/>
      <c r="E1409" s="852" t="s">
        <v>596</v>
      </c>
      <c r="F1409" s="848" t="str">
        <f>VLOOKUP(E1409,DICH!B:C,2,FALSE)</f>
        <v>Antirust paint</v>
      </c>
      <c r="G1409" s="362" t="s">
        <v>558</v>
      </c>
      <c r="H1409" s="847">
        <v>0.24</v>
      </c>
      <c r="I1409" s="848">
        <f>VLOOKUP(E1409,'11.gia '!$B:$I,8,FALSE)</f>
        <v>41169.090909090904</v>
      </c>
      <c r="J1409" s="853">
        <f t="shared" si="62"/>
        <v>9880.5818181818158</v>
      </c>
      <c r="N1409" s="843" t="e">
        <f>SUMIF(#REF!,'8.Dgia'!A1409,#REF!)+SUMIF(#REF!,'8.Dgia'!A1409,#REF!)+SUMIF(#REF!,'8.Dgia'!A1409,#REF!)+SUMIF(#REF!,'8.Dgia'!A1409,#REF!)</f>
        <v>#REF!</v>
      </c>
      <c r="O1409" s="844">
        <f t="shared" si="63"/>
        <v>3</v>
      </c>
      <c r="P1409" s="843" t="e">
        <f t="shared" si="61"/>
        <v>#REF!</v>
      </c>
    </row>
    <row r="1410" spans="1:18" ht="15" customHeight="1">
      <c r="A1410" s="657">
        <f>IF(B1410="",MAX($A$8:A1409)+0,MAX($A$8:A1409)+1)</f>
        <v>151</v>
      </c>
      <c r="B1410" s="835" t="str">
        <f>IF(C1410="","",COUNTA($C$10:C1411))</f>
        <v/>
      </c>
      <c r="C1410" s="362"/>
      <c r="D1410" s="851"/>
      <c r="E1410" s="852" t="s">
        <v>597</v>
      </c>
      <c r="F1410" s="848" t="str">
        <f>VLOOKUP(E1410,DICH!B:C,2,FALSE)</f>
        <v>Bbolt M14</v>
      </c>
      <c r="G1410" s="362" t="s">
        <v>4649</v>
      </c>
      <c r="H1410" s="847">
        <v>7</v>
      </c>
      <c r="I1410" s="848">
        <f>VLOOKUP(E1410,'11.gia '!$B:$I,8,FALSE)</f>
        <v>3000</v>
      </c>
      <c r="J1410" s="853">
        <f t="shared" si="62"/>
        <v>21000</v>
      </c>
      <c r="N1410" s="843" t="e">
        <f>SUMIF(#REF!,'8.Dgia'!A1410,#REF!)+SUMIF(#REF!,'8.Dgia'!A1410,#REF!)+SUMIF(#REF!,'8.Dgia'!A1410,#REF!)+SUMIF(#REF!,'8.Dgia'!A1410,#REF!)</f>
        <v>#REF!</v>
      </c>
      <c r="O1410" s="844">
        <f t="shared" si="63"/>
        <v>3</v>
      </c>
      <c r="P1410" s="843" t="e">
        <f t="shared" si="61"/>
        <v>#REF!</v>
      </c>
    </row>
    <row r="1411" spans="1:18" ht="15" customHeight="1">
      <c r="A1411" s="657">
        <f>IF(B1411="",MAX($A$8:A1410)+0,MAX($A$8:A1410)+1)</f>
        <v>151</v>
      </c>
      <c r="B1411" s="835" t="str">
        <f>IF(C1411="","",COUNTA($C$10:C1412))</f>
        <v/>
      </c>
      <c r="C1411" s="362"/>
      <c r="D1411" s="851"/>
      <c r="E1411" s="852" t="s">
        <v>555</v>
      </c>
      <c r="F1411" s="848" t="str">
        <f>VLOOKUP(E1411,DICH!B:C,2,FALSE)</f>
        <v>Other material</v>
      </c>
      <c r="G1411" s="362" t="s">
        <v>554</v>
      </c>
      <c r="H1411" s="847">
        <v>3</v>
      </c>
      <c r="I1411" s="848">
        <f>SUM(J1404:J1410)</f>
        <v>575039.86706296273</v>
      </c>
      <c r="J1411" s="853">
        <f>I1411*H1411%</f>
        <v>17251.196011888882</v>
      </c>
      <c r="N1411" s="843" t="e">
        <f>SUMIF(#REF!,'8.Dgia'!A1411,#REF!)+SUMIF(#REF!,'8.Dgia'!A1411,#REF!)+SUMIF(#REF!,'8.Dgia'!A1411,#REF!)+SUMIF(#REF!,'8.Dgia'!A1411,#REF!)</f>
        <v>#REF!</v>
      </c>
      <c r="O1411" s="844"/>
      <c r="P1411" s="843" t="e">
        <f t="shared" si="61"/>
        <v>#REF!</v>
      </c>
    </row>
    <row r="1412" spans="1:18" s="658" customFormat="1" ht="15" customHeight="1">
      <c r="A1412" s="657">
        <f>IF(B1412="",MAX($A$8:A1411)+0,MAX($A$8:A1411)+1)</f>
        <v>151</v>
      </c>
      <c r="B1412" s="835" t="str">
        <f>IF(C1412="","",COUNTA($C$10:C1413))</f>
        <v/>
      </c>
      <c r="C1412" s="362"/>
      <c r="D1412" s="845"/>
      <c r="E1412" s="661" t="s">
        <v>2040</v>
      </c>
      <c r="F1412" s="848" t="str">
        <f>VLOOKUP(E1412,DICH!B:C,2,FALSE)</f>
        <v xml:space="preserve">  B - Labour 4.5/7</v>
      </c>
      <c r="G1412" s="362" t="s">
        <v>4899</v>
      </c>
      <c r="H1412" s="847">
        <v>3.4</v>
      </c>
      <c r="I1412" s="848">
        <f>VLOOKUP(E1412,'16.NC'!$C$11:$F$22,4,FALSE)</f>
        <v>237875</v>
      </c>
      <c r="J1412" s="849">
        <f>I1412*H1412</f>
        <v>808775</v>
      </c>
      <c r="K1412" s="850"/>
      <c r="L1412" s="850"/>
      <c r="M1412" s="850"/>
      <c r="N1412" s="843" t="e">
        <f>SUMIF(#REF!,'8.Dgia'!A1412,#REF!)+SUMIF(#REF!,'8.Dgia'!A1412,#REF!)+SUMIF(#REF!,'8.Dgia'!A1412,#REF!)+SUMIF(#REF!,'8.Dgia'!A1412,#REF!)</f>
        <v>#REF!</v>
      </c>
      <c r="O1412" s="844"/>
      <c r="P1412" s="843" t="e">
        <f t="shared" si="61"/>
        <v>#REF!</v>
      </c>
      <c r="R1412" s="658">
        <v>1</v>
      </c>
    </row>
    <row r="1413" spans="1:18" s="658" customFormat="1" ht="15" customHeight="1">
      <c r="A1413" s="657">
        <f>IF(B1413="",MAX($A$8:A1412)+0,MAX($A$8:A1412)+1)</f>
        <v>151</v>
      </c>
      <c r="B1413" s="835" t="str">
        <f>IF(C1413="","",COUNTA($C$10:C1414))</f>
        <v/>
      </c>
      <c r="C1413" s="362"/>
      <c r="D1413" s="845"/>
      <c r="E1413" s="661" t="s">
        <v>2033</v>
      </c>
      <c r="F1413" s="848" t="str">
        <f>VLOOKUP(E1413,DICH!B:C,2,FALSE)</f>
        <v xml:space="preserve">  C - Machine</v>
      </c>
      <c r="G1413" s="846"/>
      <c r="H1413" s="847"/>
      <c r="I1413" s="848"/>
      <c r="J1413" s="849">
        <f>SUM(J1414:J1416)</f>
        <v>38401.479240749999</v>
      </c>
      <c r="K1413" s="850"/>
      <c r="L1413" s="850"/>
      <c r="M1413" s="850"/>
      <c r="N1413" s="843" t="e">
        <f>SUMIF(#REF!,'8.Dgia'!A1413,#REF!)+SUMIF(#REF!,'8.Dgia'!A1413,#REF!)+SUMIF(#REF!,'8.Dgia'!A1413,#REF!)+SUMIF(#REF!,'8.Dgia'!A1413,#REF!)</f>
        <v>#REF!</v>
      </c>
      <c r="O1413" s="844"/>
      <c r="P1413" s="843" t="e">
        <f t="shared" si="61"/>
        <v>#REF!</v>
      </c>
    </row>
    <row r="1414" spans="1:18" ht="15" customHeight="1">
      <c r="A1414" s="657">
        <f>IF(B1414="",MAX($A$8:A1413)+0,MAX($A$8:A1413)+1)</f>
        <v>151</v>
      </c>
      <c r="B1414" s="835" t="str">
        <f>IF(C1414="","",COUNTA($C$10:C1415))</f>
        <v/>
      </c>
      <c r="C1414" s="362"/>
      <c r="D1414" s="851"/>
      <c r="E1414" s="852" t="s">
        <v>560</v>
      </c>
      <c r="F1414" s="848" t="str">
        <f>VLOOKUP(E1414,'9.may'!E:F,2,FALSE)</f>
        <v>welding machine 23kW</v>
      </c>
      <c r="G1414" s="362" t="s">
        <v>4902</v>
      </c>
      <c r="H1414" s="847">
        <v>0.19</v>
      </c>
      <c r="I1414" s="848">
        <f>VLOOKUP(E1414,'9.may'!E:W,12,FALSE)</f>
        <v>171649.155</v>
      </c>
      <c r="J1414" s="853">
        <f>I1414*H1414</f>
        <v>32613.339449999999</v>
      </c>
      <c r="N1414" s="843" t="e">
        <f>SUMIF(#REF!,'8.Dgia'!A1414,#REF!)+SUMIF(#REF!,'8.Dgia'!A1414,#REF!)+SUMIF(#REF!,'8.Dgia'!A1414,#REF!)+SUMIF(#REF!,'8.Dgia'!A1414,#REF!)</f>
        <v>#REF!</v>
      </c>
      <c r="O1414" s="844">
        <f>+$H$1416</f>
        <v>1</v>
      </c>
      <c r="P1414" s="843" t="e">
        <f t="shared" si="61"/>
        <v>#REF!</v>
      </c>
    </row>
    <row r="1415" spans="1:18" ht="15" customHeight="1">
      <c r="A1415" s="657">
        <f>IF(B1415="",MAX($A$8:A1414)+0,MAX($A$8:A1414)+1)</f>
        <v>151</v>
      </c>
      <c r="B1415" s="835" t="str">
        <f>IF(C1415="","",COUNTA($C$10:C1416))</f>
        <v/>
      </c>
      <c r="C1415" s="362"/>
      <c r="D1415" s="851"/>
      <c r="E1415" s="852" t="s">
        <v>269</v>
      </c>
      <c r="F1415" s="848" t="str">
        <f>VLOOKUP(E1415,'9.may'!E:F,2,FALSE)</f>
        <v>driller 4.5kW</v>
      </c>
      <c r="G1415" s="362" t="s">
        <v>4902</v>
      </c>
      <c r="H1415" s="847">
        <v>0.05</v>
      </c>
      <c r="I1415" s="848">
        <f>VLOOKUP(E1415,'9.may'!E:W,12,FALSE)</f>
        <v>108158.5425</v>
      </c>
      <c r="J1415" s="853">
        <f>I1415*H1415</f>
        <v>5407.9271250000002</v>
      </c>
      <c r="N1415" s="843" t="e">
        <f>SUMIF(#REF!,'8.Dgia'!A1415,#REF!)+SUMIF(#REF!,'8.Dgia'!A1415,#REF!)+SUMIF(#REF!,'8.Dgia'!A1415,#REF!)+SUMIF(#REF!,'8.Dgia'!A1415,#REF!)</f>
        <v>#REF!</v>
      </c>
      <c r="O1415" s="844">
        <f>+$H$1416</f>
        <v>1</v>
      </c>
      <c r="P1415" s="843" t="e">
        <f t="shared" si="61"/>
        <v>#REF!</v>
      </c>
    </row>
    <row r="1416" spans="1:18" ht="15" customHeight="1">
      <c r="A1416" s="657">
        <f>IF(B1416="",MAX($A$8:A1415)+0,MAX($A$8:A1415)+1)</f>
        <v>151</v>
      </c>
      <c r="B1416" s="835" t="str">
        <f>IF(C1416="","",COUNTA($C$10:C1417))</f>
        <v/>
      </c>
      <c r="C1416" s="362"/>
      <c r="D1416" s="851"/>
      <c r="E1416" s="852" t="s">
        <v>553</v>
      </c>
      <c r="F1416" s="848" t="str">
        <f>VLOOKUP(E1416,DICH!B:C,2,FALSE)</f>
        <v>Other machine</v>
      </c>
      <c r="G1416" s="362" t="s">
        <v>554</v>
      </c>
      <c r="H1416" s="847">
        <v>1</v>
      </c>
      <c r="I1416" s="848">
        <f>SUM(J1414:J1415)</f>
        <v>38021.266575000001</v>
      </c>
      <c r="J1416" s="853">
        <f>I1416*H1416%</f>
        <v>380.21266575000004</v>
      </c>
      <c r="N1416" s="843" t="e">
        <f>SUMIF(#REF!,'8.Dgia'!A1416,#REF!)+SUMIF(#REF!,'8.Dgia'!A1416,#REF!)+SUMIF(#REF!,'8.Dgia'!A1416,#REF!)+SUMIF(#REF!,'8.Dgia'!A1416,#REF!)</f>
        <v>#REF!</v>
      </c>
      <c r="O1416" s="844"/>
      <c r="P1416" s="843" t="e">
        <f t="shared" si="61"/>
        <v>#REF!</v>
      </c>
    </row>
    <row r="1417" spans="1:18" ht="15" customHeight="1">
      <c r="A1417" s="657">
        <f>IF(B1417="",MAX($A$8:A1416)+0,MAX($A$8:A1416)+1)</f>
        <v>152</v>
      </c>
      <c r="B1417" s="835">
        <f>IF(C1417="","",COUNTA($C$10:C1418))</f>
        <v>152</v>
      </c>
      <c r="C1417" s="835">
        <f>IF(D1417="","",1776)</f>
        <v>1776</v>
      </c>
      <c r="D1417" s="851" t="s">
        <v>606</v>
      </c>
      <c r="E1417" s="870" t="s">
        <v>607</v>
      </c>
      <c r="F1417" s="1049" t="str">
        <f>VLOOKUP(E1417,DICH!B:C,2,FALSE)</f>
        <v>Installing sign of waterway</v>
      </c>
      <c r="G1417" s="856" t="s">
        <v>4649</v>
      </c>
      <c r="H1417" s="847"/>
      <c r="I1417" s="848"/>
      <c r="J1417" s="857"/>
      <c r="K1417" s="842">
        <f>+J1418</f>
        <v>197977.61113796887</v>
      </c>
      <c r="L1417" s="842">
        <f>+J1421</f>
        <v>356812.5</v>
      </c>
      <c r="N1417" s="843" t="e">
        <f>SUMIF(#REF!,'8.Dgia'!A1417,#REF!)+SUMIF(#REF!,'8.Dgia'!A1417,#REF!)+SUMIF(#REF!,'8.Dgia'!A1417,#REF!)+SUMIF(#REF!,'8.Dgia'!A1417,#REF!)</f>
        <v>#REF!</v>
      </c>
      <c r="O1417" s="844"/>
      <c r="P1417" s="843" t="e">
        <f t="shared" si="61"/>
        <v>#REF!</v>
      </c>
    </row>
    <row r="1418" spans="1:18" s="658" customFormat="1" ht="15" customHeight="1">
      <c r="A1418" s="657">
        <f>IF(B1418="",MAX($A$8:A1417)+0,MAX($A$8:A1417)+1)</f>
        <v>152</v>
      </c>
      <c r="B1418" s="835" t="str">
        <f>IF(C1418="","",COUNTA($C$10:C1419))</f>
        <v/>
      </c>
      <c r="C1418" s="362"/>
      <c r="D1418" s="845"/>
      <c r="E1418" s="661" t="s">
        <v>2032</v>
      </c>
      <c r="F1418" s="848" t="str">
        <f>VLOOKUP(E1418,DICH!B:C,2,FALSE)</f>
        <v xml:space="preserve">  A - Material</v>
      </c>
      <c r="G1418" s="846"/>
      <c r="H1418" s="847"/>
      <c r="I1418" s="848"/>
      <c r="J1418" s="849">
        <f>SUM(J1419:J1420)</f>
        <v>197977.61113796887</v>
      </c>
      <c r="K1418" s="850"/>
      <c r="L1418" s="850"/>
      <c r="M1418" s="850"/>
      <c r="N1418" s="843" t="e">
        <f>SUMIF(#REF!,'8.Dgia'!A1418,#REF!)+SUMIF(#REF!,'8.Dgia'!A1418,#REF!)+SUMIF(#REF!,'8.Dgia'!A1418,#REF!)+SUMIF(#REF!,'8.Dgia'!A1418,#REF!)</f>
        <v>#REF!</v>
      </c>
      <c r="O1418" s="844"/>
      <c r="P1418" s="843" t="e">
        <f t="shared" si="61"/>
        <v>#REF!</v>
      </c>
    </row>
    <row r="1419" spans="1:18" ht="15" customHeight="1">
      <c r="A1419" s="657">
        <f>IF(B1419="",MAX($A$8:A1418)+0,MAX($A$8:A1418)+1)</f>
        <v>152</v>
      </c>
      <c r="B1419" s="835" t="str">
        <f>IF(C1419="","",COUNTA($C$10:C1420))</f>
        <v/>
      </c>
      <c r="C1419" s="862"/>
      <c r="D1419" s="362"/>
      <c r="E1419" s="852" t="s">
        <v>563</v>
      </c>
      <c r="F1419" s="848" t="str">
        <f>VLOOKUP(E1419,DICH!B:C,2,FALSE)</f>
        <v>Shaped steel</v>
      </c>
      <c r="G1419" s="847" t="s">
        <v>558</v>
      </c>
      <c r="H1419" s="847">
        <v>8.5</v>
      </c>
      <c r="I1419" s="848">
        <f>VLOOKUP(E1419,'11.gia '!$B:$I,8,FALSE)</f>
        <v>16703.248369172808</v>
      </c>
      <c r="J1419" s="853">
        <f>I1419*H1419</f>
        <v>141977.61113796887</v>
      </c>
      <c r="N1419" s="843" t="e">
        <f>SUMIF(#REF!,'8.Dgia'!A1419,#REF!)+SUMIF(#REF!,'8.Dgia'!A1419,#REF!)+SUMIF(#REF!,'8.Dgia'!A1419,#REF!)+SUMIF(#REF!,'8.Dgia'!A1419,#REF!)</f>
        <v>#REF!</v>
      </c>
      <c r="O1419" s="844"/>
      <c r="P1419" s="843" t="e">
        <f t="shared" si="61"/>
        <v>#REF!</v>
      </c>
    </row>
    <row r="1420" spans="1:18" ht="15" customHeight="1">
      <c r="A1420" s="657">
        <f>IF(B1420="",MAX($A$8:A1419)+0,MAX($A$8:A1419)+1)</f>
        <v>152</v>
      </c>
      <c r="B1420" s="835" t="str">
        <f>IF(C1420="","",COUNTA($C$10:C1421))</f>
        <v/>
      </c>
      <c r="C1420" s="862"/>
      <c r="D1420" s="362"/>
      <c r="E1420" s="852" t="s">
        <v>608</v>
      </c>
      <c r="F1420" s="848" t="str">
        <f>VLOOKUP(E1420,DICH!B:C,2,FALSE)</f>
        <v>Bbolt M16</v>
      </c>
      <c r="G1420" s="362" t="s">
        <v>4649</v>
      </c>
      <c r="H1420" s="847">
        <v>16</v>
      </c>
      <c r="I1420" s="848">
        <f>VLOOKUP(E1420,'11.gia '!$B:$I,8,FALSE)</f>
        <v>3500</v>
      </c>
      <c r="J1420" s="853">
        <f>I1420*H1420</f>
        <v>56000</v>
      </c>
      <c r="N1420" s="843" t="e">
        <f>SUMIF(#REF!,'8.Dgia'!A1420,#REF!)+SUMIF(#REF!,'8.Dgia'!A1420,#REF!)+SUMIF(#REF!,'8.Dgia'!A1420,#REF!)+SUMIF(#REF!,'8.Dgia'!A1420,#REF!)</f>
        <v>#REF!</v>
      </c>
      <c r="O1420" s="844"/>
      <c r="P1420" s="843" t="e">
        <f t="shared" si="61"/>
        <v>#REF!</v>
      </c>
    </row>
    <row r="1421" spans="1:18" ht="15" customHeight="1">
      <c r="A1421" s="657">
        <f>IF(B1421="",MAX($A$8:A1420)+0,MAX($A$8:A1420)+1)</f>
        <v>152</v>
      </c>
      <c r="B1421" s="835" t="str">
        <f>IF(C1421="","",COUNTA($C$10:C1422))</f>
        <v/>
      </c>
      <c r="C1421" s="362"/>
      <c r="D1421" s="851"/>
      <c r="E1421" s="661" t="s">
        <v>2040</v>
      </c>
      <c r="F1421" s="848" t="str">
        <f>VLOOKUP(E1421,DICH!B:C,2,FALSE)</f>
        <v xml:space="preserve">  B - Labour 4.5/7</v>
      </c>
      <c r="G1421" s="362" t="s">
        <v>4899</v>
      </c>
      <c r="H1421" s="847">
        <v>1.5</v>
      </c>
      <c r="I1421" s="848">
        <f>VLOOKUP(E1421,'16.NC'!$C$11:$F$22,4,FALSE)</f>
        <v>237875</v>
      </c>
      <c r="J1421" s="849">
        <f>I1421*H1421</f>
        <v>356812.5</v>
      </c>
      <c r="N1421" s="843" t="e">
        <f>SUMIF(#REF!,'8.Dgia'!A1421,#REF!)+SUMIF(#REF!,'8.Dgia'!A1421,#REF!)+SUMIF(#REF!,'8.Dgia'!A1421,#REF!)+SUMIF(#REF!,'8.Dgia'!A1421,#REF!)</f>
        <v>#REF!</v>
      </c>
      <c r="O1421" s="844"/>
      <c r="P1421" s="843" t="e">
        <f t="shared" si="61"/>
        <v>#REF!</v>
      </c>
      <c r="R1421" s="658">
        <v>1</v>
      </c>
    </row>
    <row r="1422" spans="1:18" ht="15" customHeight="1">
      <c r="A1422" s="657">
        <f>IF(B1422="",MAX($A$8:A1421)+0,MAX($A$8:A1421)+1)</f>
        <v>153</v>
      </c>
      <c r="B1422" s="835">
        <f>IF(C1422="","",COUNTA($C$10:C1423))</f>
        <v>153</v>
      </c>
      <c r="C1422" s="835">
        <f>IF(D1422="","",1776)</f>
        <v>1776</v>
      </c>
      <c r="D1422" s="362" t="s">
        <v>137</v>
      </c>
      <c r="E1422" s="870" t="s">
        <v>3926</v>
      </c>
      <c r="F1422" s="1049" t="str">
        <f>VLOOKUP(E1422,DICH!B:C,2,FALSE)</f>
        <v>Producing and installing sign column D168, thickness 7.1mm, L=8m</v>
      </c>
      <c r="G1422" s="856" t="s">
        <v>4649</v>
      </c>
      <c r="H1422" s="847"/>
      <c r="I1422" s="848"/>
      <c r="J1422" s="889"/>
      <c r="K1422" s="842">
        <f>+J1423</f>
        <v>4329854.666666667</v>
      </c>
      <c r="L1422" s="842">
        <f>+J1427</f>
        <v>233758.84</v>
      </c>
      <c r="M1422" s="842">
        <f>+J1428</f>
        <v>60248.859250909081</v>
      </c>
      <c r="N1422" s="843" t="e">
        <f>SUMIF(#REF!,'8.Dgia'!A1422,#REF!)+SUMIF(#REF!,'8.Dgia'!A1422,#REF!)+SUMIF(#REF!,'8.Dgia'!A1422,#REF!)+SUMIF(#REF!,'8.Dgia'!A1422,#REF!)</f>
        <v>#REF!</v>
      </c>
      <c r="O1422" s="844"/>
      <c r="P1422" s="843" t="e">
        <f t="shared" si="61"/>
        <v>#REF!</v>
      </c>
    </row>
    <row r="1423" spans="1:18" ht="15" customHeight="1">
      <c r="A1423" s="657">
        <f>IF(B1423="",MAX($A$8:A1422)+0,MAX($A$8:A1422)+1)</f>
        <v>153</v>
      </c>
      <c r="B1423" s="835" t="str">
        <f>IF(C1423="","",COUNTA($C$10:C1424))</f>
        <v/>
      </c>
      <c r="C1423" s="362"/>
      <c r="D1423" s="362"/>
      <c r="E1423" s="666" t="s">
        <v>2032</v>
      </c>
      <c r="F1423" s="848" t="str">
        <f>VLOOKUP(E1423,DICH!B:C,2,FALSE)</f>
        <v xml:space="preserve">  A - Material</v>
      </c>
      <c r="G1423" s="847"/>
      <c r="H1423" s="847"/>
      <c r="I1423" s="848"/>
      <c r="J1423" s="849">
        <f>SUM(J1424:J1426)</f>
        <v>4329854.666666667</v>
      </c>
      <c r="N1423" s="843" t="e">
        <f>SUMIF(#REF!,'8.Dgia'!A1423,#REF!)+SUMIF(#REF!,'8.Dgia'!A1423,#REF!)+SUMIF(#REF!,'8.Dgia'!A1423,#REF!)+SUMIF(#REF!,'8.Dgia'!A1423,#REF!)</f>
        <v>#REF!</v>
      </c>
      <c r="O1423" s="844"/>
      <c r="P1423" s="843" t="e">
        <f t="shared" si="61"/>
        <v>#REF!</v>
      </c>
    </row>
    <row r="1424" spans="1:18" ht="15" customHeight="1">
      <c r="A1424" s="657">
        <f>IF(B1424="",MAX($A$8:A1423)+0,MAX($A$8:A1423)+1)</f>
        <v>153</v>
      </c>
      <c r="B1424" s="835" t="str">
        <f>IF(C1424="","",COUNTA($C$10:C1425))</f>
        <v/>
      </c>
      <c r="C1424" s="862"/>
      <c r="D1424" s="362"/>
      <c r="E1424" s="852" t="s">
        <v>3927</v>
      </c>
      <c r="F1424" s="848" t="str">
        <f>VLOOKUP(E1424,DICH!B:C,2,FALSE)</f>
        <v>Signal column D168</v>
      </c>
      <c r="G1424" s="847" t="s">
        <v>543</v>
      </c>
      <c r="H1424" s="847">
        <v>8</v>
      </c>
      <c r="I1424" s="848">
        <f>VLOOKUP(E1424,'11.gia '!B:I,8,FALSE)</f>
        <v>533233.33333333337</v>
      </c>
      <c r="J1424" s="853">
        <f>I1424*H1424</f>
        <v>4265866.666666667</v>
      </c>
      <c r="N1424" s="843" t="e">
        <f>SUMIF(#REF!,'8.Dgia'!A1424,#REF!)+SUMIF(#REF!,'8.Dgia'!A1424,#REF!)+SUMIF(#REF!,'8.Dgia'!A1424,#REF!)+SUMIF(#REF!,'8.Dgia'!A1424,#REF!)</f>
        <v>#REF!</v>
      </c>
      <c r="O1424" s="844">
        <v>1.5</v>
      </c>
      <c r="P1424" s="843" t="e">
        <f t="shared" si="61"/>
        <v>#REF!</v>
      </c>
    </row>
    <row r="1425" spans="1:18" ht="15" customHeight="1">
      <c r="A1425" s="657">
        <f>IF(B1425="",MAX($A$8:A1424)+0,MAX($A$8:A1424)+1)</f>
        <v>153</v>
      </c>
      <c r="B1425" s="835" t="str">
        <f>IF(C1425="","",COUNTA($C$10:C1426))</f>
        <v/>
      </c>
      <c r="C1425" s="362"/>
      <c r="D1425" s="362"/>
      <c r="E1425" s="852" t="s">
        <v>3929</v>
      </c>
      <c r="F1425" s="848" t="str">
        <f>VLOOKUP(E1425,DICH!B:C,2,FALSE)</f>
        <v>Pole hight 8m</v>
      </c>
      <c r="G1425" s="847"/>
      <c r="H1425" s="847"/>
      <c r="I1425" s="848"/>
      <c r="J1425" s="853"/>
      <c r="N1425" s="843" t="e">
        <f>SUMIF(#REF!,'8.Dgia'!A1425,#REF!)+SUMIF(#REF!,'8.Dgia'!A1425,#REF!)+SUMIF(#REF!,'8.Dgia'!A1425,#REF!)+SUMIF(#REF!,'8.Dgia'!A1425,#REF!)</f>
        <v>#REF!</v>
      </c>
      <c r="O1425" s="844"/>
      <c r="P1425" s="843" t="e">
        <f t="shared" si="61"/>
        <v>#REF!</v>
      </c>
    </row>
    <row r="1426" spans="1:18" ht="15" customHeight="1">
      <c r="A1426" s="657">
        <f>IF(B1426="",MAX($A$8:A1425)+0,MAX($A$8:A1425)+1)</f>
        <v>153</v>
      </c>
      <c r="B1426" s="835" t="str">
        <f>IF(C1426="","",COUNTA($C$10:C1427))</f>
        <v/>
      </c>
      <c r="C1426" s="851"/>
      <c r="D1426" s="362"/>
      <c r="E1426" s="852" t="s">
        <v>555</v>
      </c>
      <c r="F1426" s="848" t="str">
        <f>VLOOKUP(E1426,DICH!B:C,2,FALSE)</f>
        <v>Other material</v>
      </c>
      <c r="G1426" s="362" t="s">
        <v>554</v>
      </c>
      <c r="H1426" s="847">
        <v>1.5</v>
      </c>
      <c r="I1426" s="848">
        <f>SUM(J1424:J1425)</f>
        <v>4265866.666666667</v>
      </c>
      <c r="J1426" s="853">
        <f>I1426*H1426%</f>
        <v>63988</v>
      </c>
      <c r="N1426" s="843" t="e">
        <f>SUMIF(#REF!,'8.Dgia'!A1426,#REF!)+SUMIF(#REF!,'8.Dgia'!A1426,#REF!)+SUMIF(#REF!,'8.Dgia'!A1426,#REF!)+SUMIF(#REF!,'8.Dgia'!A1426,#REF!)</f>
        <v>#REF!</v>
      </c>
      <c r="O1426" s="844"/>
      <c r="P1426" s="843" t="e">
        <f t="shared" si="61"/>
        <v>#REF!</v>
      </c>
    </row>
    <row r="1427" spans="1:18" ht="15" customHeight="1">
      <c r="A1427" s="657">
        <f>IF(B1427="",MAX($A$8:A1426)+0,MAX($A$8:A1426)+1)</f>
        <v>153</v>
      </c>
      <c r="B1427" s="835" t="str">
        <f>IF(C1427="","",COUNTA($C$10:C1428))</f>
        <v/>
      </c>
      <c r="C1427" s="862"/>
      <c r="D1427" s="862"/>
      <c r="E1427" s="852" t="s">
        <v>2045</v>
      </c>
      <c r="F1427" s="848" t="str">
        <f>VLOOKUP(E1427,DICH!B:C,2,FALSE)</f>
        <v xml:space="preserve">  B - Labour 3.3/7</v>
      </c>
      <c r="G1427" s="847" t="s">
        <v>4899</v>
      </c>
      <c r="H1427" s="865">
        <v>1.19</v>
      </c>
      <c r="I1427" s="848">
        <f>VLOOKUP(E1427,'16.NC'!$C$11:$F$22,4,FALSE)</f>
        <v>196436</v>
      </c>
      <c r="J1427" s="849">
        <f>I1427*H1427</f>
        <v>233758.84</v>
      </c>
      <c r="N1427" s="843" t="e">
        <f>SUMIF(#REF!,'8.Dgia'!A1427,#REF!)+SUMIF(#REF!,'8.Dgia'!A1427,#REF!)+SUMIF(#REF!,'8.Dgia'!A1427,#REF!)+SUMIF(#REF!,'8.Dgia'!A1427,#REF!)</f>
        <v>#REF!</v>
      </c>
      <c r="O1427" s="844"/>
      <c r="P1427" s="843" t="e">
        <f t="shared" si="61"/>
        <v>#REF!</v>
      </c>
      <c r="R1427" s="658">
        <v>1</v>
      </c>
    </row>
    <row r="1428" spans="1:18" ht="15" customHeight="1">
      <c r="A1428" s="657">
        <f>IF(B1428="",MAX($A$8:A1427)+0,MAX($A$8:A1427)+1)</f>
        <v>153</v>
      </c>
      <c r="B1428" s="835" t="str">
        <f>IF(C1428="","",COUNTA($C$10:C1429))</f>
        <v/>
      </c>
      <c r="C1428" s="362"/>
      <c r="D1428" s="362"/>
      <c r="E1428" s="852" t="s">
        <v>2033</v>
      </c>
      <c r="F1428" s="848" t="str">
        <f>VLOOKUP(E1428,DICH!B:C,2,FALSE)</f>
        <v xml:space="preserve">  C - Machine</v>
      </c>
      <c r="G1428" s="847"/>
      <c r="H1428" s="847"/>
      <c r="I1428" s="848"/>
      <c r="J1428" s="849">
        <f>SUM(J1429:J1431)</f>
        <v>60248.859250909081</v>
      </c>
      <c r="N1428" s="843" t="e">
        <f>SUMIF(#REF!,'8.Dgia'!A1428,#REF!)+SUMIF(#REF!,'8.Dgia'!A1428,#REF!)+SUMIF(#REF!,'8.Dgia'!A1428,#REF!)+SUMIF(#REF!,'8.Dgia'!A1428,#REF!)</f>
        <v>#REF!</v>
      </c>
      <c r="O1428" s="844"/>
      <c r="P1428" s="843" t="e">
        <f t="shared" si="61"/>
        <v>#REF!</v>
      </c>
    </row>
    <row r="1429" spans="1:18" ht="15" customHeight="1">
      <c r="A1429" s="657">
        <f>IF(B1429="",MAX($A$8:A1428)+0,MAX($A$8:A1428)+1)</f>
        <v>153</v>
      </c>
      <c r="B1429" s="835" t="str">
        <f>IF(C1429="","",COUNTA($C$10:C1430))</f>
        <v/>
      </c>
      <c r="C1429" s="862"/>
      <c r="D1429" s="862"/>
      <c r="E1429" s="852" t="s">
        <v>1992</v>
      </c>
      <c r="F1429" s="848" t="str">
        <f>VLOOKUP(E1429,'9.may'!E:F,2,FALSE)</f>
        <v>Cutting machine 2.8Kw</v>
      </c>
      <c r="G1429" s="847" t="s">
        <v>4902</v>
      </c>
      <c r="H1429" s="859">
        <v>0.06</v>
      </c>
      <c r="I1429" s="848">
        <f>VLOOKUP(E1429,'9.may'!E:W,12,FALSE)</f>
        <v>91297.656000000003</v>
      </c>
      <c r="J1429" s="853">
        <f>I1429*H1429</f>
        <v>5477.8593600000004</v>
      </c>
      <c r="N1429" s="843" t="e">
        <f>SUMIF(#REF!,'8.Dgia'!A1429,#REF!)+SUMIF(#REF!,'8.Dgia'!A1429,#REF!)+SUMIF(#REF!,'8.Dgia'!A1429,#REF!)+SUMIF(#REF!,'8.Dgia'!A1429,#REF!)</f>
        <v>#REF!</v>
      </c>
      <c r="O1429" s="844"/>
      <c r="P1429" s="843" t="e">
        <f t="shared" si="61"/>
        <v>#REF!</v>
      </c>
    </row>
    <row r="1430" spans="1:18" ht="15" customHeight="1">
      <c r="A1430" s="657">
        <f>IF(B1430="",MAX($A$8:A1429)+0,MAX($A$8:A1429)+1)</f>
        <v>153</v>
      </c>
      <c r="B1430" s="835" t="str">
        <f>IF(C1430="","",COUNTA($C$10:C1431))</f>
        <v/>
      </c>
      <c r="C1430" s="862"/>
      <c r="D1430" s="862"/>
      <c r="E1430" s="852" t="s">
        <v>1993</v>
      </c>
      <c r="F1430" s="848" t="str">
        <f>VLOOKUP(E1430,'9.may'!E:F,2,FALSE)</f>
        <v>sharpener 1kW</v>
      </c>
      <c r="G1430" s="847" t="s">
        <v>4902</v>
      </c>
      <c r="H1430" s="859">
        <v>0.06</v>
      </c>
      <c r="I1430" s="848">
        <f>VLOOKUP(E1430,'9.may'!E:W,12,FALSE)</f>
        <v>59539.11</v>
      </c>
      <c r="J1430" s="853">
        <f>I1430*H1430</f>
        <v>3572.3465999999999</v>
      </c>
      <c r="N1430" s="843" t="e">
        <f>SUMIF(#REF!,'8.Dgia'!A1430,#REF!)+SUMIF(#REF!,'8.Dgia'!A1430,#REF!)+SUMIF(#REF!,'8.Dgia'!A1430,#REF!)+SUMIF(#REF!,'8.Dgia'!A1430,#REF!)</f>
        <v>#REF!</v>
      </c>
      <c r="O1430" s="844"/>
      <c r="P1430" s="843" t="e">
        <f t="shared" si="61"/>
        <v>#REF!</v>
      </c>
    </row>
    <row r="1431" spans="1:18" ht="15" customHeight="1">
      <c r="A1431" s="657">
        <f>IF(B1431="",MAX($A$8:A1430)+0,MAX($A$8:A1430)+1)</f>
        <v>153</v>
      </c>
      <c r="B1431" s="835" t="str">
        <f>IF(C1431="","",COUNTA($C$10:C1432))</f>
        <v/>
      </c>
      <c r="C1431" s="862"/>
      <c r="D1431" s="862"/>
      <c r="E1431" s="852" t="s">
        <v>911</v>
      </c>
      <c r="F1431" s="848" t="str">
        <f>VLOOKUP(E1431,'9.may'!E:F,2,FALSE)</f>
        <v>truck 7T</v>
      </c>
      <c r="G1431" s="847" t="s">
        <v>4902</v>
      </c>
      <c r="H1431" s="859">
        <v>4.4999999999999998E-2</v>
      </c>
      <c r="I1431" s="848">
        <f>VLOOKUP(E1431,'9.may'!E:W,12,FALSE)</f>
        <v>1137747.8509090908</v>
      </c>
      <c r="J1431" s="853">
        <f>I1431*H1431</f>
        <v>51198.653290909082</v>
      </c>
      <c r="N1431" s="843" t="e">
        <f>SUMIF(#REF!,'8.Dgia'!A1431,#REF!)+SUMIF(#REF!,'8.Dgia'!A1431,#REF!)+SUMIF(#REF!,'8.Dgia'!A1431,#REF!)+SUMIF(#REF!,'8.Dgia'!A1431,#REF!)</f>
        <v>#REF!</v>
      </c>
      <c r="O1431" s="844"/>
      <c r="P1431" s="843" t="e">
        <f t="shared" si="61"/>
        <v>#REF!</v>
      </c>
    </row>
    <row r="1432" spans="1:18" ht="15" customHeight="1">
      <c r="A1432" s="657">
        <f>IF(B1432="",MAX($A$8:A1431)+0,MAX($A$8:A1431)+1)</f>
        <v>154</v>
      </c>
      <c r="B1432" s="835">
        <f>IF(C1432="","",COUNTA($C$10:C1433))</f>
        <v>154</v>
      </c>
      <c r="C1432" s="835">
        <f>IF(D1432="","",1776)</f>
        <v>1776</v>
      </c>
      <c r="D1432" s="851" t="s">
        <v>731</v>
      </c>
      <c r="E1432" s="855" t="s">
        <v>4036</v>
      </c>
      <c r="F1432" s="1049" t="str">
        <f>VLOOKUP(E1432,DICH!B:C,2,FALSE)</f>
        <v>Concrete C15 of foundation</v>
      </c>
      <c r="G1432" s="856" t="s">
        <v>545</v>
      </c>
      <c r="H1432" s="847"/>
      <c r="I1432" s="848"/>
      <c r="J1432" s="853"/>
      <c r="K1432" s="842">
        <f>+J1433</f>
        <v>852750.47729030612</v>
      </c>
      <c r="L1432" s="842">
        <f>+J1436</f>
        <v>295139.26</v>
      </c>
      <c r="M1432" s="842">
        <f>+J1437</f>
        <v>23229.762015</v>
      </c>
      <c r="N1432" s="843" t="e">
        <f>SUMIF(#REF!,'8.Dgia'!A1432,#REF!)+SUMIF(#REF!,'8.Dgia'!A1432,#REF!)+SUMIF(#REF!,'8.Dgia'!A1432,#REF!)+SUMIF(#REF!,'8.Dgia'!A1432,#REF!)</f>
        <v>#REF!</v>
      </c>
      <c r="O1432" s="844"/>
      <c r="P1432" s="843" t="e">
        <f t="shared" si="61"/>
        <v>#REF!</v>
      </c>
    </row>
    <row r="1433" spans="1:18" s="658" customFormat="1" ht="15" customHeight="1">
      <c r="A1433" s="657">
        <f>IF(B1433="",MAX($A$8:A1432)+0,MAX($A$8:A1432)+1)</f>
        <v>154</v>
      </c>
      <c r="B1433" s="835" t="str">
        <f>IF(C1433="","",COUNTA($C$10:C1434))</f>
        <v/>
      </c>
      <c r="C1433" s="362"/>
      <c r="D1433" s="845"/>
      <c r="E1433" s="852" t="s">
        <v>2032</v>
      </c>
      <c r="F1433" s="848" t="str">
        <f>VLOOKUP(E1433,DICH!B:C,2,FALSE)</f>
        <v xml:space="preserve">  A - Material</v>
      </c>
      <c r="G1433" s="846"/>
      <c r="H1433" s="847"/>
      <c r="I1433" s="848"/>
      <c r="J1433" s="849">
        <f>SUM(J1434:J1435)</f>
        <v>852750.47729030612</v>
      </c>
      <c r="K1433" s="850"/>
      <c r="L1433" s="850"/>
      <c r="M1433" s="850"/>
      <c r="N1433" s="843" t="e">
        <f>SUMIF(#REF!,'8.Dgia'!A1433,#REF!)+SUMIF(#REF!,'8.Dgia'!A1433,#REF!)+SUMIF(#REF!,'8.Dgia'!A1433,#REF!)+SUMIF(#REF!,'8.Dgia'!A1433,#REF!)</f>
        <v>#REF!</v>
      </c>
      <c r="O1433" s="844"/>
      <c r="P1433" s="843" t="e">
        <f t="shared" si="61"/>
        <v>#REF!</v>
      </c>
    </row>
    <row r="1434" spans="1:18" ht="15" customHeight="1">
      <c r="A1434" s="657">
        <f>IF(B1434="",MAX($A$8:A1433)+0,MAX($A$8:A1433)+1)</f>
        <v>154</v>
      </c>
      <c r="B1434" s="835" t="str">
        <f>IF(C1434="","",COUNTA($C$10:C1435))</f>
        <v/>
      </c>
      <c r="C1434" s="851"/>
      <c r="D1434" s="851" t="str">
        <f>'10.PLV'!$C$12</f>
        <v>C3123</v>
      </c>
      <c r="E1434" s="852" t="str">
        <f>'10.PLV'!$D$12</f>
        <v>Vữa bê tông đá 1x2 C15 SN 2-4</v>
      </c>
      <c r="F1434" s="848" t="str">
        <f>VLOOKUP(E1434,DICH!B:C,2,FALSE)</f>
        <v>Concrete motar C15 stone 1x2 slump 2-4</v>
      </c>
      <c r="G1434" s="362" t="s">
        <v>545</v>
      </c>
      <c r="H1434" s="847">
        <v>1.03</v>
      </c>
      <c r="I1434" s="848">
        <f>VLOOKUP(E1434,'11.gia '!B:I,8,FALSE)</f>
        <v>819715.92549294059</v>
      </c>
      <c r="J1434" s="853">
        <f>I1434*H1434</f>
        <v>844307.40325772879</v>
      </c>
      <c r="N1434" s="843" t="e">
        <f>SUMIF(#REF!,'8.Dgia'!A1434,#REF!)+SUMIF(#REF!,'8.Dgia'!A1434,#REF!)+SUMIF(#REF!,'8.Dgia'!A1434,#REF!)+SUMIF(#REF!,'8.Dgia'!A1434,#REF!)</f>
        <v>#REF!</v>
      </c>
      <c r="O1434" s="844">
        <f>+$H$1435</f>
        <v>1</v>
      </c>
      <c r="P1434" s="843" t="e">
        <f t="shared" si="61"/>
        <v>#REF!</v>
      </c>
    </row>
    <row r="1435" spans="1:18" ht="15" customHeight="1">
      <c r="A1435" s="657">
        <f>IF(B1435="",MAX($A$8:A1434)+0,MAX($A$8:A1434)+1)</f>
        <v>154</v>
      </c>
      <c r="B1435" s="835" t="str">
        <f>IF(C1435="","",COUNTA($C$10:C1436))</f>
        <v/>
      </c>
      <c r="C1435" s="362"/>
      <c r="D1435" s="851"/>
      <c r="E1435" s="852" t="s">
        <v>555</v>
      </c>
      <c r="F1435" s="848" t="str">
        <f>VLOOKUP(E1435,DICH!B:C,2,FALSE)</f>
        <v>Other material</v>
      </c>
      <c r="G1435" s="362" t="s">
        <v>554</v>
      </c>
      <c r="H1435" s="847">
        <v>1</v>
      </c>
      <c r="I1435" s="848">
        <f>J1434</f>
        <v>844307.40325772879</v>
      </c>
      <c r="J1435" s="853">
        <f>I1435*H1435%</f>
        <v>8443.0740325772877</v>
      </c>
      <c r="N1435" s="843" t="e">
        <f>SUMIF(#REF!,'8.Dgia'!A1435,#REF!)+SUMIF(#REF!,'8.Dgia'!A1435,#REF!)+SUMIF(#REF!,'8.Dgia'!A1435,#REF!)+SUMIF(#REF!,'8.Dgia'!A1435,#REF!)</f>
        <v>#REF!</v>
      </c>
      <c r="O1435" s="844"/>
      <c r="P1435" s="843" t="e">
        <f t="shared" si="61"/>
        <v>#REF!</v>
      </c>
    </row>
    <row r="1436" spans="1:18" s="658" customFormat="1" ht="15" customHeight="1">
      <c r="A1436" s="657">
        <f>IF(B1436="",MAX($A$8:A1435)+0,MAX($A$8:A1435)+1)</f>
        <v>154</v>
      </c>
      <c r="B1436" s="835" t="str">
        <f>IF(C1436="","",COUNTA($C$10:C1437))</f>
        <v/>
      </c>
      <c r="C1436" s="362"/>
      <c r="D1436" s="845"/>
      <c r="E1436" s="852" t="s">
        <v>2038</v>
      </c>
      <c r="F1436" s="848" t="str">
        <f>VLOOKUP(E1436,DICH!B:C,2,FALSE)</f>
        <v xml:space="preserve">  B - Labour 3.0/7</v>
      </c>
      <c r="G1436" s="362" t="s">
        <v>4899</v>
      </c>
      <c r="H1436" s="847">
        <v>1.58</v>
      </c>
      <c r="I1436" s="848">
        <f>VLOOKUP(E1436,'16.NC'!$C$11:$F$22,4,FALSE)</f>
        <v>186797</v>
      </c>
      <c r="J1436" s="849">
        <f>I1436*H1436</f>
        <v>295139.26</v>
      </c>
      <c r="K1436" s="850"/>
      <c r="L1436" s="850"/>
      <c r="M1436" s="850"/>
      <c r="N1436" s="843" t="e">
        <f>SUMIF(#REF!,'8.Dgia'!A1436,#REF!)+SUMIF(#REF!,'8.Dgia'!A1436,#REF!)+SUMIF(#REF!,'8.Dgia'!A1436,#REF!)+SUMIF(#REF!,'8.Dgia'!A1436,#REF!)</f>
        <v>#REF!</v>
      </c>
      <c r="O1436" s="844"/>
      <c r="P1436" s="843" t="e">
        <f t="shared" si="61"/>
        <v>#REF!</v>
      </c>
      <c r="R1436" s="658">
        <v>1</v>
      </c>
    </row>
    <row r="1437" spans="1:18" s="658" customFormat="1" ht="15" customHeight="1">
      <c r="A1437" s="657">
        <f>IF(B1437="",MAX($A$8:A1436)+0,MAX($A$8:A1436)+1)</f>
        <v>154</v>
      </c>
      <c r="B1437" s="835" t="str">
        <f>IF(C1437="","",COUNTA($C$10:C1438))</f>
        <v/>
      </c>
      <c r="C1437" s="362"/>
      <c r="D1437" s="845"/>
      <c r="E1437" s="852" t="s">
        <v>2033</v>
      </c>
      <c r="F1437" s="848" t="str">
        <f>VLOOKUP(E1437,DICH!B:C,2,FALSE)</f>
        <v xml:space="preserve">  C - Machine</v>
      </c>
      <c r="G1437" s="846"/>
      <c r="H1437" s="847"/>
      <c r="I1437" s="848"/>
      <c r="J1437" s="849">
        <f>SUM(J1438:J1439)</f>
        <v>23229.762015</v>
      </c>
      <c r="K1437" s="850"/>
      <c r="L1437" s="850"/>
      <c r="M1437" s="850"/>
      <c r="N1437" s="843" t="e">
        <f>SUMIF(#REF!,'8.Dgia'!A1437,#REF!)+SUMIF(#REF!,'8.Dgia'!A1437,#REF!)+SUMIF(#REF!,'8.Dgia'!A1437,#REF!)+SUMIF(#REF!,'8.Dgia'!A1437,#REF!)</f>
        <v>#REF!</v>
      </c>
      <c r="O1437" s="844"/>
      <c r="P1437" s="843" t="e">
        <f t="shared" ref="P1437:P1503" si="64">$H1437*N1437*(1+O1437%)</f>
        <v>#REF!</v>
      </c>
    </row>
    <row r="1438" spans="1:18" ht="15" customHeight="1">
      <c r="A1438" s="657">
        <f>IF(B1438="",MAX($A$8:A1437)+0,MAX($A$8:A1437)+1)</f>
        <v>154</v>
      </c>
      <c r="B1438" s="835" t="str">
        <f>IF(C1438="","",COUNTA($C$10:C1439))</f>
        <v/>
      </c>
      <c r="C1438" s="362"/>
      <c r="D1438" s="851"/>
      <c r="E1438" s="852" t="s">
        <v>582</v>
      </c>
      <c r="F1438" s="848" t="str">
        <f>VLOOKUP(E1438,'9.may'!E:F,2,FALSE)</f>
        <v>concrete mixer 250L</v>
      </c>
      <c r="G1438" s="362" t="s">
        <v>4902</v>
      </c>
      <c r="H1438" s="847">
        <v>9.5000000000000001E-2</v>
      </c>
      <c r="I1438" s="848">
        <f>VLOOKUP(E1438,'9.may'!E:W,12,FALSE)</f>
        <v>180447.90000000002</v>
      </c>
      <c r="J1438" s="853">
        <f>I1438*H1438</f>
        <v>17142.550500000001</v>
      </c>
      <c r="N1438" s="843" t="e">
        <f>SUMIF(#REF!,'8.Dgia'!A1438,#REF!)+SUMIF(#REF!,'8.Dgia'!A1438,#REF!)+SUMIF(#REF!,'8.Dgia'!A1438,#REF!)+SUMIF(#REF!,'8.Dgia'!A1438,#REF!)</f>
        <v>#REF!</v>
      </c>
      <c r="O1438" s="844"/>
      <c r="P1438" s="843" t="e">
        <f t="shared" si="64"/>
        <v>#REF!</v>
      </c>
    </row>
    <row r="1439" spans="1:18" ht="15" customHeight="1">
      <c r="A1439" s="657">
        <f>IF(B1439="",MAX($A$8:A1438)+0,MAX($A$8:A1438)+1)</f>
        <v>154</v>
      </c>
      <c r="B1439" s="835" t="str">
        <f>IF(C1439="","",COUNTA($C$10:C1440))</f>
        <v/>
      </c>
      <c r="C1439" s="362"/>
      <c r="D1439" s="851"/>
      <c r="E1439" s="852" t="s">
        <v>747</v>
      </c>
      <c r="F1439" s="848" t="str">
        <f>VLOOKUP(E1439,'9.may'!E:F,2,FALSE)</f>
        <v>concrete vibrating compactor 1Kw</v>
      </c>
      <c r="G1439" s="362" t="s">
        <v>4902</v>
      </c>
      <c r="H1439" s="847">
        <v>8.8999999999999996E-2</v>
      </c>
      <c r="I1439" s="848">
        <f>VLOOKUP(E1439,'9.may'!E:W,12,FALSE)</f>
        <v>68395.634999999995</v>
      </c>
      <c r="J1439" s="853">
        <f>I1439*H1439</f>
        <v>6087.2115149999991</v>
      </c>
      <c r="N1439" s="843" t="e">
        <f>SUMIF(#REF!,'8.Dgia'!A1439,#REF!)+SUMIF(#REF!,'8.Dgia'!A1439,#REF!)+SUMIF(#REF!,'8.Dgia'!A1439,#REF!)+SUMIF(#REF!,'8.Dgia'!A1439,#REF!)</f>
        <v>#REF!</v>
      </c>
      <c r="O1439" s="844"/>
      <c r="P1439" s="843" t="e">
        <f t="shared" si="64"/>
        <v>#REF!</v>
      </c>
    </row>
    <row r="1440" spans="1:18" ht="15" customHeight="1">
      <c r="A1440" s="657">
        <f>IF(B1440="",MAX($A$8:A1439)+0,MAX($A$8:A1439)+1)</f>
        <v>155</v>
      </c>
      <c r="B1440" s="835">
        <f>IF(C1440="","",COUNTA($C$10:C1441))</f>
        <v>155</v>
      </c>
      <c r="C1440" s="835">
        <f>IF(D1440="","",1776)</f>
        <v>1776</v>
      </c>
      <c r="D1440" s="362" t="s">
        <v>129</v>
      </c>
      <c r="E1440" s="855" t="s">
        <v>3542</v>
      </c>
      <c r="F1440" s="1049" t="str">
        <f>VLOOKUP(E1440,DICH!B:C,2,FALSE)</f>
        <v>Embankment backfill by fine sand, K=0.85</v>
      </c>
      <c r="G1440" s="882" t="s">
        <v>544</v>
      </c>
      <c r="H1440" s="847"/>
      <c r="I1440" s="858"/>
      <c r="J1440" s="903"/>
      <c r="K1440" s="842">
        <f>+J1441</f>
        <v>11372062.387221828</v>
      </c>
      <c r="L1440" s="842">
        <f>+J1443</f>
        <v>280195.5</v>
      </c>
      <c r="M1440" s="842">
        <f>+J1444</f>
        <v>361460.34045306814</v>
      </c>
      <c r="N1440" s="843" t="e">
        <f>SUMIF(#REF!,'8.Dgia'!A1440,#REF!)+SUMIF(#REF!,'8.Dgia'!A1440,#REF!)+SUMIF(#REF!,'8.Dgia'!A1440,#REF!)+SUMIF(#REF!,'8.Dgia'!A1440,#REF!)</f>
        <v>#REF!</v>
      </c>
      <c r="O1440" s="844"/>
      <c r="P1440" s="843" t="e">
        <f t="shared" si="64"/>
        <v>#REF!</v>
      </c>
    </row>
    <row r="1441" spans="1:18" s="658" customFormat="1" ht="15" customHeight="1">
      <c r="A1441" s="657">
        <f>IF(B1441="",MAX($A$8:A1440)+0,MAX($A$8:A1440)+1)</f>
        <v>155</v>
      </c>
      <c r="B1441" s="835" t="str">
        <f>IF(C1441="","",COUNTA($C$10:C1442))</f>
        <v/>
      </c>
      <c r="C1441" s="362"/>
      <c r="D1441" s="362"/>
      <c r="E1441" s="852" t="s">
        <v>2032</v>
      </c>
      <c r="F1441" s="848" t="str">
        <f>VLOOKUP(E1441,DICH!B:C,2,FALSE)</f>
        <v xml:space="preserve">  A - Material</v>
      </c>
      <c r="G1441" s="362"/>
      <c r="H1441" s="847"/>
      <c r="I1441" s="858"/>
      <c r="J1441" s="904">
        <f>SUM(J1442:J1442)</f>
        <v>11372062.387221828</v>
      </c>
      <c r="K1441" s="850"/>
      <c r="L1441" s="850"/>
      <c r="M1441" s="850"/>
      <c r="N1441" s="843" t="e">
        <f>SUMIF(#REF!,'8.Dgia'!A1441,#REF!)+SUMIF(#REF!,'8.Dgia'!A1441,#REF!)+SUMIF(#REF!,'8.Dgia'!A1441,#REF!)+SUMIF(#REF!,'8.Dgia'!A1441,#REF!)</f>
        <v>#REF!</v>
      </c>
      <c r="O1441" s="844"/>
      <c r="P1441" s="843" t="e">
        <f t="shared" si="64"/>
        <v>#REF!</v>
      </c>
    </row>
    <row r="1442" spans="1:18" ht="15" customHeight="1">
      <c r="A1442" s="657">
        <f>IF(B1442="",MAX($A$8:A1441)+0,MAX($A$8:A1441)+1)</f>
        <v>155</v>
      </c>
      <c r="B1442" s="835" t="str">
        <f>IF(C1442="","",COUNTA($C$10:C1443))</f>
        <v/>
      </c>
      <c r="C1442" s="362"/>
      <c r="D1442" s="362"/>
      <c r="E1442" s="852" t="s">
        <v>602</v>
      </c>
      <c r="F1442" s="848" t="str">
        <f>VLOOKUP(E1442,DICH!B:C,2,FALSE)</f>
        <v>Find sand</v>
      </c>
      <c r="G1442" s="847" t="s">
        <v>545</v>
      </c>
      <c r="H1442" s="847">
        <v>122</v>
      </c>
      <c r="I1442" s="848">
        <f>VLOOKUP(E1442,'11.gia '!$B:$I,8,FALSE)</f>
        <v>93213.626124769085</v>
      </c>
      <c r="J1442" s="853">
        <f>I1442*H1442</f>
        <v>11372062.387221828</v>
      </c>
      <c r="N1442" s="843" t="e">
        <f>SUMIF(#REF!,'8.Dgia'!A1442,#REF!)+SUMIF(#REF!,'8.Dgia'!A1442,#REF!)+SUMIF(#REF!,'8.Dgia'!A1442,#REF!)+SUMIF(#REF!,'8.Dgia'!A1442,#REF!)</f>
        <v>#REF!</v>
      </c>
      <c r="O1442" s="844"/>
      <c r="P1442" s="843" t="e">
        <f t="shared" si="64"/>
        <v>#REF!</v>
      </c>
    </row>
    <row r="1443" spans="1:18" ht="15" customHeight="1">
      <c r="A1443" s="657">
        <f>IF(B1443="",MAX($A$8:A1442)+0,MAX($A$8:A1442)+1)</f>
        <v>155</v>
      </c>
      <c r="B1443" s="835" t="str">
        <f>IF(C1443="","",COUNTA($C$10:C1444))</f>
        <v/>
      </c>
      <c r="C1443" s="362"/>
      <c r="D1443" s="362"/>
      <c r="E1443" s="852" t="s">
        <v>2038</v>
      </c>
      <c r="F1443" s="848" t="str">
        <f>VLOOKUP(E1443,DICH!B:C,2,FALSE)</f>
        <v xml:space="preserve">  B - Labour 3.0/7</v>
      </c>
      <c r="G1443" s="883" t="s">
        <v>4899</v>
      </c>
      <c r="H1443" s="900">
        <v>1.5</v>
      </c>
      <c r="I1443" s="848">
        <f>VLOOKUP(E1443,'16.NC'!$C$11:$F$22,4,FALSE)</f>
        <v>186797</v>
      </c>
      <c r="J1443" s="849">
        <f>I1443*H1443</f>
        <v>280195.5</v>
      </c>
      <c r="N1443" s="843" t="e">
        <f>SUMIF(#REF!,'8.Dgia'!A1443,#REF!)+SUMIF(#REF!,'8.Dgia'!A1443,#REF!)+SUMIF(#REF!,'8.Dgia'!A1443,#REF!)+SUMIF(#REF!,'8.Dgia'!A1443,#REF!)</f>
        <v>#REF!</v>
      </c>
      <c r="O1443" s="844"/>
      <c r="P1443" s="843" t="e">
        <f t="shared" si="64"/>
        <v>#REF!</v>
      </c>
      <c r="R1443" s="658">
        <v>1</v>
      </c>
    </row>
    <row r="1444" spans="1:18" s="658" customFormat="1" ht="15" customHeight="1">
      <c r="A1444" s="657">
        <f>IF(B1444="",MAX($A$8:A1443)+0,MAX($A$8:A1443)+1)</f>
        <v>155</v>
      </c>
      <c r="B1444" s="835" t="str">
        <f>IF(C1444="","",COUNTA($C$10:C1445))</f>
        <v/>
      </c>
      <c r="C1444" s="362"/>
      <c r="D1444" s="362"/>
      <c r="E1444" s="852" t="s">
        <v>2033</v>
      </c>
      <c r="F1444" s="848" t="str">
        <f>VLOOKUP(E1444,DICH!B:C,2,FALSE)</f>
        <v xml:space="preserve">  C - Machine</v>
      </c>
      <c r="G1444" s="883"/>
      <c r="H1444" s="900"/>
      <c r="I1444" s="858"/>
      <c r="J1444" s="849">
        <f>SUM(J1445:J1447)</f>
        <v>361460.34045306814</v>
      </c>
      <c r="K1444" s="850"/>
      <c r="L1444" s="850"/>
      <c r="M1444" s="850"/>
      <c r="N1444" s="843" t="e">
        <f>SUMIF(#REF!,'8.Dgia'!A1444,#REF!)+SUMIF(#REF!,'8.Dgia'!A1444,#REF!)+SUMIF(#REF!,'8.Dgia'!A1444,#REF!)+SUMIF(#REF!,'8.Dgia'!A1444,#REF!)</f>
        <v>#REF!</v>
      </c>
      <c r="O1444" s="844"/>
      <c r="P1444" s="843" t="e">
        <f t="shared" si="64"/>
        <v>#REF!</v>
      </c>
    </row>
    <row r="1445" spans="1:18" s="658" customFormat="1" ht="15" customHeight="1">
      <c r="A1445" s="657">
        <f>IF(B1445="",MAX($A$8:A1444)+0,MAX($A$8:A1444)+1)</f>
        <v>155</v>
      </c>
      <c r="B1445" s="835" t="str">
        <f>IF(C1445="","",COUNTA($C$10:C1446))</f>
        <v/>
      </c>
      <c r="C1445" s="362"/>
      <c r="D1445" s="362"/>
      <c r="E1445" s="852" t="s">
        <v>875</v>
      </c>
      <c r="F1445" s="848" t="str">
        <f>VLOOKUP(E1445,'9.may'!E:F,2,FALSE)</f>
        <v>Pneumatic roller 16T</v>
      </c>
      <c r="G1445" s="883" t="s">
        <v>4902</v>
      </c>
      <c r="H1445" s="900">
        <v>0.15</v>
      </c>
      <c r="I1445" s="848">
        <f>VLOOKUP(E1445,'9.may'!E:W,12,FALSE)</f>
        <v>1394407.2218181817</v>
      </c>
      <c r="J1445" s="853">
        <f>I1445*H1445</f>
        <v>209161.08327272724</v>
      </c>
      <c r="K1445" s="850"/>
      <c r="L1445" s="850"/>
      <c r="M1445" s="850"/>
      <c r="N1445" s="843" t="e">
        <f>SUMIF(#REF!,'8.Dgia'!A1445,#REF!)+SUMIF(#REF!,'8.Dgia'!A1445,#REF!)+SUMIF(#REF!,'8.Dgia'!A1445,#REF!)+SUMIF(#REF!,'8.Dgia'!A1445,#REF!)</f>
        <v>#REF!</v>
      </c>
      <c r="O1445" s="844">
        <f>+$H$1447</f>
        <v>1.5</v>
      </c>
      <c r="P1445" s="843" t="e">
        <f t="shared" si="64"/>
        <v>#REF!</v>
      </c>
    </row>
    <row r="1446" spans="1:18" s="658" customFormat="1" ht="15" customHeight="1">
      <c r="A1446" s="657">
        <f>IF(B1446="",MAX($A$8:A1445)+0,MAX($A$8:A1445)+1)</f>
        <v>155</v>
      </c>
      <c r="B1446" s="835" t="str">
        <f>IF(C1446="","",COUNTA($C$10:C1447))</f>
        <v/>
      </c>
      <c r="C1446" s="362"/>
      <c r="D1446" s="362"/>
      <c r="E1446" s="852" t="s">
        <v>624</v>
      </c>
      <c r="F1446" s="848" t="str">
        <f>VLOOKUP(E1446,'9.may'!E:F,2,FALSE)</f>
        <v>bulldozer 108CV</v>
      </c>
      <c r="G1446" s="883" t="s">
        <v>4902</v>
      </c>
      <c r="H1446" s="900">
        <v>7.4999999999999997E-2</v>
      </c>
      <c r="I1446" s="848">
        <f>VLOOKUP(E1446,'9.may'!E:W,12,FALSE)</f>
        <v>1959433.0499999998</v>
      </c>
      <c r="J1446" s="853">
        <f>I1446*H1446</f>
        <v>146957.47874999998</v>
      </c>
      <c r="K1446" s="850"/>
      <c r="L1446" s="850"/>
      <c r="M1446" s="850"/>
      <c r="N1446" s="843" t="e">
        <f>SUMIF(#REF!,'8.Dgia'!A1446,#REF!)+SUMIF(#REF!,'8.Dgia'!A1446,#REF!)+SUMIF(#REF!,'8.Dgia'!A1446,#REF!)+SUMIF(#REF!,'8.Dgia'!A1446,#REF!)</f>
        <v>#REF!</v>
      </c>
      <c r="O1446" s="844">
        <f>+$H$1447</f>
        <v>1.5</v>
      </c>
      <c r="P1446" s="843" t="e">
        <f t="shared" si="64"/>
        <v>#REF!</v>
      </c>
    </row>
    <row r="1447" spans="1:18" s="658" customFormat="1" ht="15" customHeight="1">
      <c r="A1447" s="657">
        <f>IF(B1447="",MAX($A$8:A1446)+0,MAX($A$8:A1446)+1)</f>
        <v>155</v>
      </c>
      <c r="B1447" s="835" t="str">
        <f>IF(C1447="","",COUNTA($C$10:C1448))</f>
        <v/>
      </c>
      <c r="C1447" s="362"/>
      <c r="D1447" s="362"/>
      <c r="E1447" s="852" t="s">
        <v>553</v>
      </c>
      <c r="F1447" s="848" t="str">
        <f>VLOOKUP(E1447,DICH!B:C,2,FALSE)</f>
        <v>Other machine</v>
      </c>
      <c r="G1447" s="362" t="s">
        <v>554</v>
      </c>
      <c r="H1447" s="900">
        <v>1.5</v>
      </c>
      <c r="I1447" s="858">
        <f>SUM(J1445:J1446)</f>
        <v>356118.56202272722</v>
      </c>
      <c r="J1447" s="853">
        <f>I1447*H1447%</f>
        <v>5341.778430340908</v>
      </c>
      <c r="K1447" s="850"/>
      <c r="L1447" s="850"/>
      <c r="M1447" s="850"/>
      <c r="N1447" s="843" t="e">
        <f>SUMIF(#REF!,'8.Dgia'!A1447,#REF!)+SUMIF(#REF!,'8.Dgia'!A1447,#REF!)+SUMIF(#REF!,'8.Dgia'!A1447,#REF!)+SUMIF(#REF!,'8.Dgia'!A1447,#REF!)</f>
        <v>#REF!</v>
      </c>
      <c r="O1447" s="844"/>
      <c r="P1447" s="843" t="e">
        <f t="shared" si="64"/>
        <v>#REF!</v>
      </c>
    </row>
    <row r="1448" spans="1:18" s="1336" customFormat="1" ht="15" customHeight="1">
      <c r="A1448" s="1336">
        <f>IF(B1448="",MAX($A$8:A1447)+0,MAX($A$8:A1447)+1)</f>
        <v>156</v>
      </c>
      <c r="B1448" s="1337">
        <f>IF(C1448="","",COUNTA($C$10:C1449))</f>
        <v>156</v>
      </c>
      <c r="C1448" s="1337">
        <f>IF(D1448="","",1776)</f>
        <v>1776</v>
      </c>
      <c r="D1448" s="1144" t="s">
        <v>688</v>
      </c>
      <c r="E1448" s="1419" t="s">
        <v>112</v>
      </c>
      <c r="F1448" s="1420" t="str">
        <f>VLOOKUP(E1448,DICH!B:C,2,FALSE)</f>
        <v>stone aggregate 0x4 (type 1)</v>
      </c>
      <c r="G1448" s="1421" t="s">
        <v>544</v>
      </c>
      <c r="H1448" s="1422"/>
      <c r="I1448" s="1423"/>
      <c r="J1448" s="1424"/>
      <c r="K1448" s="1425">
        <f>+J1449</f>
        <v>42484328.539434418</v>
      </c>
      <c r="L1448" s="1425">
        <f>+J1451</f>
        <v>963278.8</v>
      </c>
      <c r="M1448" s="1425">
        <f>+J1452</f>
        <v>2278844.7920881365</v>
      </c>
      <c r="N1448" s="1343" t="e">
        <f>SUMIF(#REF!,'8.Dgia'!A1448,#REF!)+SUMIF(#REF!,'8.Dgia'!A1448,#REF!)+SUMIF(#REF!,'8.Dgia'!A1448,#REF!)+SUMIF(#REF!,'8.Dgia'!A1448,#REF!)</f>
        <v>#REF!</v>
      </c>
      <c r="O1448" s="1426"/>
      <c r="P1448" s="1343" t="e">
        <f t="shared" si="64"/>
        <v>#REF!</v>
      </c>
    </row>
    <row r="1449" spans="1:18" ht="15" customHeight="1">
      <c r="A1449" s="657">
        <f>IF(B1449="",MAX($A$8:A1448)+0,MAX($A$8:A1448)+1)</f>
        <v>156</v>
      </c>
      <c r="B1449" s="835" t="str">
        <f>IF(C1449="","",COUNTA($C$10:C1450))</f>
        <v/>
      </c>
      <c r="C1449" s="362"/>
      <c r="D1449" s="362"/>
      <c r="E1449" s="852" t="s">
        <v>2032</v>
      </c>
      <c r="F1449" s="848" t="str">
        <f>VLOOKUP(E1449,DICH!B:C,2,FALSE)</f>
        <v xml:space="preserve">  A - Material</v>
      </c>
      <c r="G1449" s="883"/>
      <c r="H1449" s="906"/>
      <c r="I1449" s="895"/>
      <c r="J1449" s="904">
        <f>J1450</f>
        <v>42484328.539434418</v>
      </c>
      <c r="N1449" s="843" t="e">
        <f>SUMIF(#REF!,'8.Dgia'!A1449,#REF!)+SUMIF(#REF!,'8.Dgia'!A1449,#REF!)+SUMIF(#REF!,'8.Dgia'!A1449,#REF!)+SUMIF(#REF!,'8.Dgia'!A1449,#REF!)</f>
        <v>#REF!</v>
      </c>
      <c r="O1449" s="844"/>
      <c r="P1449" s="843" t="e">
        <f t="shared" si="64"/>
        <v>#REF!</v>
      </c>
    </row>
    <row r="1450" spans="1:18" ht="15" customHeight="1">
      <c r="A1450" s="657">
        <f>IF(B1450="",MAX($A$8:A1449)+0,MAX($A$8:A1449)+1)</f>
        <v>156</v>
      </c>
      <c r="B1450" s="835" t="str">
        <f>IF(C1450="","",COUNTA($C$10:C1451))</f>
        <v/>
      </c>
      <c r="C1450" s="362"/>
      <c r="D1450" s="362"/>
      <c r="E1450" s="852" t="s">
        <v>5612</v>
      </c>
      <c r="F1450" s="848" t="str">
        <f>VLOOKUP(E1450,DICH!B:C,2,FALSE)</f>
        <v>Stone aggregate 0x4 type 1</v>
      </c>
      <c r="G1450" s="847" t="s">
        <v>545</v>
      </c>
      <c r="H1450" s="847">
        <v>142</v>
      </c>
      <c r="I1450" s="848">
        <f>VLOOKUP(E1450,'11.gia '!$B:$I,8,FALSE)</f>
        <v>299185.41224953817</v>
      </c>
      <c r="J1450" s="853">
        <f>I1450*H1450</f>
        <v>42484328.539434418</v>
      </c>
      <c r="N1450" s="843" t="e">
        <f>SUMIF(#REF!,'8.Dgia'!A1450,#REF!)+SUMIF(#REF!,'8.Dgia'!A1450,#REF!)+SUMIF(#REF!,'8.Dgia'!A1450,#REF!)+SUMIF(#REF!,'8.Dgia'!A1450,#REF!)</f>
        <v>#REF!</v>
      </c>
      <c r="O1450" s="844"/>
      <c r="P1450" s="843" t="e">
        <f t="shared" si="64"/>
        <v>#REF!</v>
      </c>
    </row>
    <row r="1451" spans="1:18" ht="15" customHeight="1">
      <c r="A1451" s="657">
        <f>IF(B1451="",MAX($A$8:A1450)+0,MAX($A$8:A1450)+1)</f>
        <v>156</v>
      </c>
      <c r="B1451" s="835" t="str">
        <f>IF(C1451="","",COUNTA($C$10:C1452))</f>
        <v/>
      </c>
      <c r="C1451" s="362"/>
      <c r="D1451" s="362"/>
      <c r="E1451" s="852" t="s">
        <v>2039</v>
      </c>
      <c r="F1451" s="848" t="str">
        <f>VLOOKUP(E1451,DICH!B:C,2,FALSE)</f>
        <v xml:space="preserve">  B - Labour 4.0/7</v>
      </c>
      <c r="G1451" s="883" t="s">
        <v>4899</v>
      </c>
      <c r="H1451" s="847">
        <v>4.4000000000000004</v>
      </c>
      <c r="I1451" s="848">
        <f>VLOOKUP(E1451,'16.NC'!$C$11:$F$22,4,FALSE)</f>
        <v>218927</v>
      </c>
      <c r="J1451" s="849">
        <f>I1451*H1451</f>
        <v>963278.8</v>
      </c>
      <c r="N1451" s="843" t="e">
        <f>SUMIF(#REF!,'8.Dgia'!A1451,#REF!)+SUMIF(#REF!,'8.Dgia'!A1451,#REF!)+SUMIF(#REF!,'8.Dgia'!A1451,#REF!)+SUMIF(#REF!,'8.Dgia'!A1451,#REF!)</f>
        <v>#REF!</v>
      </c>
      <c r="O1451" s="844"/>
      <c r="P1451" s="843" t="e">
        <f t="shared" si="64"/>
        <v>#REF!</v>
      </c>
      <c r="R1451" s="658">
        <v>1</v>
      </c>
    </row>
    <row r="1452" spans="1:18" ht="15" customHeight="1">
      <c r="A1452" s="657">
        <f>IF(B1452="",MAX($A$8:A1451)+0,MAX($A$8:A1451)+1)</f>
        <v>156</v>
      </c>
      <c r="B1452" s="835" t="str">
        <f>IF(C1452="","",COUNTA($C$10:C1453))</f>
        <v/>
      </c>
      <c r="C1452" s="362"/>
      <c r="D1452" s="362"/>
      <c r="E1452" s="852" t="s">
        <v>2033</v>
      </c>
      <c r="F1452" s="848" t="str">
        <f>VLOOKUP(E1452,DICH!B:C,2,FALSE)</f>
        <v xml:space="preserve">  C - Machine</v>
      </c>
      <c r="G1452" s="883"/>
      <c r="H1452" s="847"/>
      <c r="I1452" s="858"/>
      <c r="J1452" s="904">
        <f>SUM(J1453:J1458)</f>
        <v>2278844.7920881365</v>
      </c>
      <c r="N1452" s="843" t="e">
        <f>SUMIF(#REF!,'8.Dgia'!A1452,#REF!)+SUMIF(#REF!,'8.Dgia'!A1452,#REF!)+SUMIF(#REF!,'8.Dgia'!A1452,#REF!)+SUMIF(#REF!,'8.Dgia'!A1452,#REF!)</f>
        <v>#REF!</v>
      </c>
      <c r="O1452" s="844"/>
      <c r="P1452" s="843" t="e">
        <f t="shared" si="64"/>
        <v>#REF!</v>
      </c>
    </row>
    <row r="1453" spans="1:18" ht="15" customHeight="1">
      <c r="A1453" s="657">
        <f>IF(B1453="",MAX($A$8:A1452)+0,MAX($A$8:A1452)+1)</f>
        <v>156</v>
      </c>
      <c r="B1453" s="835" t="str">
        <f>IF(C1453="","",COUNTA($C$10:C1454))</f>
        <v/>
      </c>
      <c r="C1453" s="362"/>
      <c r="D1453" s="362"/>
      <c r="E1453" s="852" t="s">
        <v>366</v>
      </c>
      <c r="F1453" s="848" t="str">
        <f>VLOOKUP(E1453,'9.may'!E:F,2,FALSE)</f>
        <v>stone spreder 50-60m3/h</v>
      </c>
      <c r="G1453" s="883" t="s">
        <v>4902</v>
      </c>
      <c r="H1453" s="847">
        <v>0.21</v>
      </c>
      <c r="I1453" s="848">
        <f>VLOOKUP(E1453,'9.may'!E:W,12,FALSE)</f>
        <v>3060566.9727272727</v>
      </c>
      <c r="J1453" s="853">
        <f>I1453*H1453</f>
        <v>642719.06427272724</v>
      </c>
      <c r="N1453" s="843" t="e">
        <f>SUMIF(#REF!,'8.Dgia'!A1453,#REF!)+SUMIF(#REF!,'8.Dgia'!A1453,#REF!)+SUMIF(#REF!,'8.Dgia'!A1453,#REF!)+SUMIF(#REF!,'8.Dgia'!A1453,#REF!)</f>
        <v>#REF!</v>
      </c>
      <c r="O1453" s="844">
        <f>+$H$1458</f>
        <v>0.5</v>
      </c>
      <c r="P1453" s="843" t="e">
        <f t="shared" si="64"/>
        <v>#REF!</v>
      </c>
    </row>
    <row r="1454" spans="1:18" ht="15" customHeight="1">
      <c r="A1454" s="657">
        <f>IF(B1454="",MAX($A$8:A1453)+0,MAX($A$8:A1453)+1)</f>
        <v>156</v>
      </c>
      <c r="B1454" s="835" t="str">
        <f>IF(C1454="","",COUNTA($C$10:C1455))</f>
        <v/>
      </c>
      <c r="C1454" s="362"/>
      <c r="D1454" s="362"/>
      <c r="E1454" s="852" t="s">
        <v>365</v>
      </c>
      <c r="F1454" s="848" t="str">
        <f>VLOOKUP(E1454,'9.may'!E:F,2,FALSE)</f>
        <v>Vibrating roller 25T</v>
      </c>
      <c r="G1454" s="883" t="s">
        <v>4902</v>
      </c>
      <c r="H1454" s="847">
        <v>0.21</v>
      </c>
      <c r="I1454" s="848">
        <f>VLOOKUP(E1454,'9.may'!E:W,12,FALSE)</f>
        <v>3012470.1054545455</v>
      </c>
      <c r="J1454" s="853">
        <f>I1454*H1454</f>
        <v>632618.72214545449</v>
      </c>
      <c r="N1454" s="843" t="e">
        <f>SUMIF(#REF!,'8.Dgia'!A1454,#REF!)+SUMIF(#REF!,'8.Dgia'!A1454,#REF!)+SUMIF(#REF!,'8.Dgia'!A1454,#REF!)+SUMIF(#REF!,'8.Dgia'!A1454,#REF!)</f>
        <v>#REF!</v>
      </c>
      <c r="O1454" s="844">
        <f>+$H$1458</f>
        <v>0.5</v>
      </c>
      <c r="P1454" s="843" t="e">
        <f t="shared" si="64"/>
        <v>#REF!</v>
      </c>
    </row>
    <row r="1455" spans="1:18" ht="15" customHeight="1">
      <c r="A1455" s="657">
        <f>IF(B1455="",MAX($A$8:A1454)+0,MAX($A$8:A1454)+1)</f>
        <v>156</v>
      </c>
      <c r="B1455" s="835" t="str">
        <f>IF(C1455="","",COUNTA($C$10:C1456))</f>
        <v/>
      </c>
      <c r="C1455" s="362"/>
      <c r="D1455" s="362"/>
      <c r="E1455" s="852" t="s">
        <v>875</v>
      </c>
      <c r="F1455" s="848" t="str">
        <f>VLOOKUP(E1455,'9.may'!E:F,2,FALSE)</f>
        <v>Pneumatic roller 16T</v>
      </c>
      <c r="G1455" s="883" t="s">
        <v>4902</v>
      </c>
      <c r="H1455" s="847">
        <v>0.42</v>
      </c>
      <c r="I1455" s="848">
        <f>VLOOKUP(E1455,'9.may'!E:W,12,FALSE)</f>
        <v>1394407.2218181817</v>
      </c>
      <c r="J1455" s="853">
        <f>I1455*H1455</f>
        <v>585651.03316363634</v>
      </c>
      <c r="N1455" s="843" t="e">
        <f>SUMIF(#REF!,'8.Dgia'!A1455,#REF!)+SUMIF(#REF!,'8.Dgia'!A1455,#REF!)+SUMIF(#REF!,'8.Dgia'!A1455,#REF!)+SUMIF(#REF!,'8.Dgia'!A1455,#REF!)</f>
        <v>#REF!</v>
      </c>
      <c r="O1455" s="844">
        <f>+$H$1458</f>
        <v>0.5</v>
      </c>
      <c r="P1455" s="843" t="e">
        <f t="shared" si="64"/>
        <v>#REF!</v>
      </c>
    </row>
    <row r="1456" spans="1:18" ht="15" customHeight="1">
      <c r="A1456" s="657">
        <f>IF(B1456="",MAX($A$8:A1455)+0,MAX($A$8:A1455)+1)</f>
        <v>156</v>
      </c>
      <c r="B1456" s="835" t="str">
        <f>IF(C1456="","",COUNTA($C$10:C1457))</f>
        <v/>
      </c>
      <c r="C1456" s="362"/>
      <c r="D1456" s="362"/>
      <c r="E1456" s="852" t="s">
        <v>893</v>
      </c>
      <c r="F1456" s="848" t="str">
        <f>VLOOKUP(E1456,'9.may'!E:F,2,FALSE)</f>
        <v>Steel roller 10T</v>
      </c>
      <c r="G1456" s="883" t="s">
        <v>4902</v>
      </c>
      <c r="H1456" s="847">
        <v>0.21</v>
      </c>
      <c r="I1456" s="848">
        <f>VLOOKUP(E1456,'9.may'!E:W,12,FALSE)</f>
        <v>950702.42999999993</v>
      </c>
      <c r="J1456" s="853">
        <f>I1456*H1456</f>
        <v>199647.51029999997</v>
      </c>
      <c r="N1456" s="843" t="e">
        <f>SUMIF(#REF!,'8.Dgia'!A1456,#REF!)+SUMIF(#REF!,'8.Dgia'!A1456,#REF!)+SUMIF(#REF!,'8.Dgia'!A1456,#REF!)+SUMIF(#REF!,'8.Dgia'!A1456,#REF!)</f>
        <v>#REF!</v>
      </c>
      <c r="O1456" s="844">
        <f>+$H$1458</f>
        <v>0.5</v>
      </c>
      <c r="P1456" s="843" t="e">
        <f t="shared" si="64"/>
        <v>#REF!</v>
      </c>
    </row>
    <row r="1457" spans="1:18" ht="15" customHeight="1">
      <c r="A1457" s="657">
        <f>IF(B1457="",MAX($A$8:A1456)+0,MAX($A$8:A1456)+1)</f>
        <v>156</v>
      </c>
      <c r="B1457" s="835" t="str">
        <f>IF(C1457="","",COUNTA($C$10:C1458))</f>
        <v/>
      </c>
      <c r="C1457" s="362"/>
      <c r="D1457" s="362"/>
      <c r="E1457" s="852" t="s">
        <v>962</v>
      </c>
      <c r="F1457" s="848" t="str">
        <f>VLOOKUP(E1457,'9.may'!E:F,2,FALSE)</f>
        <v>water truck 5m3</v>
      </c>
      <c r="G1457" s="883" t="s">
        <v>4902</v>
      </c>
      <c r="H1457" s="847">
        <v>0.21</v>
      </c>
      <c r="I1457" s="848">
        <f>VLOOKUP(E1457,'9.may'!E:W,12,FALSE)</f>
        <v>985099.64727272722</v>
      </c>
      <c r="J1457" s="853">
        <f>I1457*H1457</f>
        <v>206870.92592727271</v>
      </c>
      <c r="N1457" s="843" t="e">
        <f>SUMIF(#REF!,'8.Dgia'!A1457,#REF!)+SUMIF(#REF!,'8.Dgia'!A1457,#REF!)+SUMIF(#REF!,'8.Dgia'!A1457,#REF!)+SUMIF(#REF!,'8.Dgia'!A1457,#REF!)</f>
        <v>#REF!</v>
      </c>
      <c r="O1457" s="844">
        <f>+$H$1458</f>
        <v>0.5</v>
      </c>
      <c r="P1457" s="843" t="e">
        <f t="shared" si="64"/>
        <v>#REF!</v>
      </c>
    </row>
    <row r="1458" spans="1:18" ht="15" customHeight="1">
      <c r="A1458" s="657">
        <f>IF(B1458="",MAX($A$8:A1457)+0,MAX($A$8:A1457)+1)</f>
        <v>156</v>
      </c>
      <c r="B1458" s="835" t="str">
        <f>IF(C1458="","",COUNTA($C$10:C1459))</f>
        <v/>
      </c>
      <c r="C1458" s="362"/>
      <c r="D1458" s="362"/>
      <c r="E1458" s="852" t="s">
        <v>553</v>
      </c>
      <c r="F1458" s="848" t="str">
        <f>VLOOKUP(E1458,DICH!B:C,2,FALSE)</f>
        <v>Other machine</v>
      </c>
      <c r="G1458" s="362" t="s">
        <v>554</v>
      </c>
      <c r="H1458" s="847">
        <v>0.5</v>
      </c>
      <c r="I1458" s="858">
        <f>SUM(J1453:J1457)</f>
        <v>2267507.255809091</v>
      </c>
      <c r="J1458" s="853">
        <f>I1458*H1458%</f>
        <v>11337.536279045455</v>
      </c>
      <c r="N1458" s="843" t="e">
        <f>SUMIF(#REF!,'8.Dgia'!A1458,#REF!)+SUMIF(#REF!,'8.Dgia'!A1458,#REF!)+SUMIF(#REF!,'8.Dgia'!A1458,#REF!)+SUMIF(#REF!,'8.Dgia'!A1458,#REF!)</f>
        <v>#REF!</v>
      </c>
      <c r="O1458" s="844"/>
      <c r="P1458" s="843" t="e">
        <f t="shared" si="64"/>
        <v>#REF!</v>
      </c>
    </row>
    <row r="1459" spans="1:18" ht="25.5" customHeight="1">
      <c r="A1459" s="657">
        <f>IF(B1459="",MAX($A$8:A1458)+0,MAX($A$8:A1458)+1)</f>
        <v>157</v>
      </c>
      <c r="B1459" s="835">
        <f>IF(C1459="","",COUNTA($C$10:C1460))</f>
        <v>157</v>
      </c>
      <c r="C1459" s="835">
        <f>IF(D1459="","",1776)</f>
        <v>1776</v>
      </c>
      <c r="D1459" s="362" t="s">
        <v>344</v>
      </c>
      <c r="E1459" s="808" t="s">
        <v>3985</v>
      </c>
      <c r="F1459" s="1049" t="str">
        <f>VLOOKUP(E1459,DICH!B:C,2,FALSE)</f>
        <v>Supply &amp; install cluvert pipe D1500 (H10), L=3m, HS=1.15</v>
      </c>
      <c r="G1459" s="884" t="s">
        <v>546</v>
      </c>
      <c r="H1459" s="900"/>
      <c r="I1459" s="858"/>
      <c r="J1459" s="889"/>
      <c r="K1459" s="842">
        <f>+J1460</f>
        <v>304569911.54576004</v>
      </c>
      <c r="L1459" s="842">
        <f>+J1465</f>
        <v>60865701.417749994</v>
      </c>
      <c r="M1459" s="842">
        <f>+J1466</f>
        <v>4177640.3529262501</v>
      </c>
      <c r="N1459" s="843" t="e">
        <f>SUMIF(#REF!,'8.Dgia'!A1459,#REF!)+SUMIF(#REF!,'8.Dgia'!A1459,#REF!)+SUMIF(#REF!,'8.Dgia'!A1459,#REF!)+SUMIF(#REF!,'8.Dgia'!A1459,#REF!)</f>
        <v>#REF!</v>
      </c>
      <c r="O1459" s="844"/>
      <c r="P1459" s="843" t="e">
        <f t="shared" si="64"/>
        <v>#REF!</v>
      </c>
    </row>
    <row r="1460" spans="1:18" ht="15" customHeight="1">
      <c r="A1460" s="657">
        <f>IF(B1460="",MAX($A$8:A1459)+0,MAX($A$8:A1459)+1)</f>
        <v>157</v>
      </c>
      <c r="B1460" s="835" t="str">
        <f>IF(C1460="","",COUNTA($C$10:C1461))</f>
        <v/>
      </c>
      <c r="C1460" s="362"/>
      <c r="D1460" s="362"/>
      <c r="E1460" s="852" t="s">
        <v>2032</v>
      </c>
      <c r="F1460" s="848" t="str">
        <f>VLOOKUP(E1460,DICH!B:C,2,FALSE)</f>
        <v xml:space="preserve">  A - Material</v>
      </c>
      <c r="G1460" s="883"/>
      <c r="H1460" s="900"/>
      <c r="I1460" s="858"/>
      <c r="J1460" s="849">
        <f>SUM(J1461:J1464)</f>
        <v>304569911.54576004</v>
      </c>
      <c r="N1460" s="843" t="e">
        <f>SUMIF(#REF!,'8.Dgia'!A1460,#REF!)+SUMIF(#REF!,'8.Dgia'!A1460,#REF!)+SUMIF(#REF!,'8.Dgia'!A1460,#REF!)+SUMIF(#REF!,'8.Dgia'!A1460,#REF!)</f>
        <v>#REF!</v>
      </c>
      <c r="O1460" s="844"/>
      <c r="P1460" s="843" t="e">
        <f t="shared" si="64"/>
        <v>#REF!</v>
      </c>
    </row>
    <row r="1461" spans="1:18" ht="15" customHeight="1">
      <c r="A1461" s="657">
        <f>IF(B1461="",MAX($A$8:A1460)+0,MAX($A$8:A1460)+1)</f>
        <v>157</v>
      </c>
      <c r="B1461" s="835" t="str">
        <f>IF(C1461="","",COUNTA($C$10:C1462))</f>
        <v/>
      </c>
      <c r="C1461" s="862"/>
      <c r="D1461" s="361"/>
      <c r="E1461" s="852" t="s">
        <v>2142</v>
      </c>
      <c r="F1461" s="848" t="str">
        <f>VLOOKUP(E1461,DICH!B:C,2,FALSE)</f>
        <v>Pipe culvert D1500</v>
      </c>
      <c r="G1461" s="883" t="s">
        <v>543</v>
      </c>
      <c r="H1461" s="900">
        <f>101.5</f>
        <v>101.5</v>
      </c>
      <c r="I1461" s="848">
        <f>VLOOKUP(E1461,'11.gia '!$B:$I,8,FALSE)</f>
        <v>3000000</v>
      </c>
      <c r="J1461" s="853">
        <f>I1461*H1461</f>
        <v>304500000</v>
      </c>
      <c r="N1461" s="843" t="e">
        <f>SUMIF(#REF!,'8.Dgia'!A1461,#REF!)+SUMIF(#REF!,'8.Dgia'!A1461,#REF!)+SUMIF(#REF!,'8.Dgia'!A1461,#REF!)+SUMIF(#REF!,'8.Dgia'!A1461,#REF!)</f>
        <v>#REF!</v>
      </c>
      <c r="O1461" s="844">
        <f>+$H$1464</f>
        <v>0.01</v>
      </c>
      <c r="P1461" s="843" t="e">
        <f t="shared" si="64"/>
        <v>#REF!</v>
      </c>
    </row>
    <row r="1462" spans="1:18" ht="15" customHeight="1">
      <c r="A1462" s="657">
        <f>IF(B1462="",MAX($A$8:A1461)+0,MAX($A$8:A1461)+1)</f>
        <v>157</v>
      </c>
      <c r="B1462" s="835" t="str">
        <f>IF(C1462="","",COUNTA($C$10:C1463))</f>
        <v/>
      </c>
      <c r="C1462" s="362"/>
      <c r="D1462" s="362"/>
      <c r="E1462" s="852" t="s">
        <v>345</v>
      </c>
      <c r="F1462" s="848" t="str">
        <f>VLOOKUP(E1462,DICH!B:C,2,FALSE)</f>
        <v>Rubber joint D1500</v>
      </c>
      <c r="G1462" s="362" t="s">
        <v>4649</v>
      </c>
      <c r="H1462" s="900"/>
      <c r="I1462" s="848"/>
      <c r="J1462" s="863" t="s">
        <v>2106</v>
      </c>
      <c r="N1462" s="843" t="e">
        <f>SUMIF(#REF!,'8.Dgia'!A1462,#REF!)+SUMIF(#REF!,'8.Dgia'!A1462,#REF!)+SUMIF(#REF!,'8.Dgia'!A1462,#REF!)+SUMIF(#REF!,'8.Dgia'!A1462,#REF!)</f>
        <v>#REF!</v>
      </c>
      <c r="O1462" s="844">
        <f>+$H$1464</f>
        <v>0.01</v>
      </c>
      <c r="P1462" s="843" t="e">
        <f t="shared" si="64"/>
        <v>#REF!</v>
      </c>
    </row>
    <row r="1463" spans="1:18" ht="15" customHeight="1">
      <c r="A1463" s="657">
        <f>IF(B1463="",MAX($A$8:A1462)+0,MAX($A$8:A1462)+1)</f>
        <v>157</v>
      </c>
      <c r="B1463" s="835" t="str">
        <f>IF(C1463="","",COUNTA($C$10:C1464))</f>
        <v/>
      </c>
      <c r="C1463" s="362"/>
      <c r="D1463" s="362"/>
      <c r="E1463" s="852" t="s">
        <v>616</v>
      </c>
      <c r="F1463" s="848" t="str">
        <f>VLOOKUP(E1463,DICH!B:C,2,FALSE)</f>
        <v>Lubricant grease</v>
      </c>
      <c r="G1463" s="883" t="s">
        <v>558</v>
      </c>
      <c r="H1463" s="900">
        <v>2.71</v>
      </c>
      <c r="I1463" s="848">
        <f>VLOOKUP(E1463,'11.gia '!$B:$I,8,FALSE)</f>
        <v>14560</v>
      </c>
      <c r="J1463" s="853">
        <f>I1463*H1463</f>
        <v>39457.599999999999</v>
      </c>
      <c r="N1463" s="843" t="e">
        <f>SUMIF(#REF!,'8.Dgia'!A1463,#REF!)+SUMIF(#REF!,'8.Dgia'!A1463,#REF!)+SUMIF(#REF!,'8.Dgia'!A1463,#REF!)+SUMIF(#REF!,'8.Dgia'!A1463,#REF!)</f>
        <v>#REF!</v>
      </c>
      <c r="O1463" s="844">
        <f>+$H$1464</f>
        <v>0.01</v>
      </c>
      <c r="P1463" s="843" t="e">
        <f t="shared" si="64"/>
        <v>#REF!</v>
      </c>
    </row>
    <row r="1464" spans="1:18" ht="15" customHeight="1">
      <c r="A1464" s="657">
        <f>IF(B1464="",MAX($A$8:A1463)+0,MAX($A$8:A1463)+1)</f>
        <v>157</v>
      </c>
      <c r="B1464" s="835" t="str">
        <f>IF(C1464="","",COUNTA($C$10:C1465))</f>
        <v/>
      </c>
      <c r="C1464" s="362"/>
      <c r="D1464" s="362"/>
      <c r="E1464" s="852" t="s">
        <v>555</v>
      </c>
      <c r="F1464" s="848" t="str">
        <f>VLOOKUP(E1464,DICH!B:C,2,FALSE)</f>
        <v>Other material</v>
      </c>
      <c r="G1464" s="362" t="s">
        <v>554</v>
      </c>
      <c r="H1464" s="900">
        <v>0.01</v>
      </c>
      <c r="I1464" s="858">
        <f>SUM(J1461:J1463)</f>
        <v>304539457.60000002</v>
      </c>
      <c r="J1464" s="853">
        <f>I1464*H1464%</f>
        <v>30453.945760000002</v>
      </c>
      <c r="N1464" s="843" t="e">
        <f>SUMIF(#REF!,'8.Dgia'!A1464,#REF!)+SUMIF(#REF!,'8.Dgia'!A1464,#REF!)+SUMIF(#REF!,'8.Dgia'!A1464,#REF!)+SUMIF(#REF!,'8.Dgia'!A1464,#REF!)</f>
        <v>#REF!</v>
      </c>
      <c r="O1464" s="844"/>
      <c r="P1464" s="843" t="e">
        <f t="shared" si="64"/>
        <v>#REF!</v>
      </c>
    </row>
    <row r="1465" spans="1:18" ht="15" customHeight="1">
      <c r="A1465" s="657">
        <f>IF(B1465="",MAX($A$8:A1464)+0,MAX($A$8:A1464)+1)</f>
        <v>157</v>
      </c>
      <c r="B1465" s="835" t="str">
        <f>IF(C1465="","",COUNTA($C$10:C1466))</f>
        <v/>
      </c>
      <c r="C1465" s="862"/>
      <c r="D1465" s="907" t="s">
        <v>2108</v>
      </c>
      <c r="E1465" s="852" t="s">
        <v>2039</v>
      </c>
      <c r="F1465" s="848" t="str">
        <f>VLOOKUP(E1465,DICH!B:C,2,FALSE)</f>
        <v xml:space="preserve">  B - Labour 4.0/7</v>
      </c>
      <c r="G1465" s="883" t="s">
        <v>4899</v>
      </c>
      <c r="H1465" s="239">
        <f>(214/2+269.51/2)*1.15</f>
        <v>278.01824999999997</v>
      </c>
      <c r="I1465" s="848">
        <f>VLOOKUP(E1465,'16.NC'!$C$11:$F$22,4,FALSE)</f>
        <v>218927</v>
      </c>
      <c r="J1465" s="849">
        <f>I1465*H1465</f>
        <v>60865701.417749994</v>
      </c>
      <c r="N1465" s="843" t="e">
        <f>SUMIF(#REF!,'8.Dgia'!A1465,#REF!)+SUMIF(#REF!,'8.Dgia'!A1465,#REF!)+SUMIF(#REF!,'8.Dgia'!A1465,#REF!)+SUMIF(#REF!,'8.Dgia'!A1465,#REF!)</f>
        <v>#REF!</v>
      </c>
      <c r="O1465" s="844"/>
      <c r="P1465" s="843" t="e">
        <f t="shared" si="64"/>
        <v>#REF!</v>
      </c>
      <c r="R1465" s="658">
        <v>1</v>
      </c>
    </row>
    <row r="1466" spans="1:18" ht="15" customHeight="1">
      <c r="A1466" s="657">
        <f>IF(B1466="",MAX($A$8:A1465)+0,MAX($A$8:A1465)+1)</f>
        <v>157</v>
      </c>
      <c r="B1466" s="835" t="str">
        <f>IF(C1466="","",COUNTA($C$10:C1467))</f>
        <v/>
      </c>
      <c r="C1466" s="362"/>
      <c r="D1466" s="362"/>
      <c r="E1466" s="852" t="s">
        <v>2033</v>
      </c>
      <c r="F1466" s="848" t="str">
        <f>VLOOKUP(E1466,DICH!B:C,2,FALSE)</f>
        <v xml:space="preserve">  C - Machine</v>
      </c>
      <c r="G1466" s="883"/>
      <c r="H1466" s="900"/>
      <c r="I1466" s="858"/>
      <c r="J1466" s="849">
        <f>SUM(J1467:J1468)</f>
        <v>4177640.3529262501</v>
      </c>
      <c r="N1466" s="843" t="e">
        <f>SUMIF(#REF!,'8.Dgia'!A1466,#REF!)+SUMIF(#REF!,'8.Dgia'!A1466,#REF!)+SUMIF(#REF!,'8.Dgia'!A1466,#REF!)+SUMIF(#REF!,'8.Dgia'!A1466,#REF!)</f>
        <v>#REF!</v>
      </c>
      <c r="O1466" s="844"/>
      <c r="P1466" s="843" t="e">
        <f t="shared" si="64"/>
        <v>#REF!</v>
      </c>
    </row>
    <row r="1467" spans="1:18" ht="15" customHeight="1">
      <c r="A1467" s="657">
        <f>IF(B1467="",MAX($A$8:A1466)+0,MAX($A$8:A1466)+1)</f>
        <v>157</v>
      </c>
      <c r="B1467" s="835" t="str">
        <f>IF(C1467="","",COUNTA($C$10:C1468))</f>
        <v/>
      </c>
      <c r="C1467" s="362"/>
      <c r="D1467" s="901" t="s">
        <v>3481</v>
      </c>
      <c r="E1467" s="852" t="s">
        <v>286</v>
      </c>
      <c r="F1467" s="848" t="str">
        <f>VLOOKUP(E1467,'9.may'!E:F,2,FALSE)</f>
        <v>tyre crane 16T</v>
      </c>
      <c r="G1467" s="883" t="s">
        <v>4902</v>
      </c>
      <c r="H1467" s="239">
        <f>1.71*1.15</f>
        <v>1.9664999999999999</v>
      </c>
      <c r="I1467" s="848">
        <f>VLOOKUP(E1467,'9.may'!E:W,12,FALSE)</f>
        <v>2023241.85</v>
      </c>
      <c r="J1467" s="853">
        <f>I1467*H1467</f>
        <v>3978705.0980250002</v>
      </c>
      <c r="N1467" s="843" t="e">
        <f>SUMIF(#REF!,'8.Dgia'!A1467,#REF!)+SUMIF(#REF!,'8.Dgia'!A1467,#REF!)+SUMIF(#REF!,'8.Dgia'!A1467,#REF!)+SUMIF(#REF!,'8.Dgia'!A1467,#REF!)</f>
        <v>#REF!</v>
      </c>
      <c r="O1467" s="844">
        <f>+$H$1468</f>
        <v>5</v>
      </c>
      <c r="P1467" s="843" t="e">
        <f t="shared" si="64"/>
        <v>#REF!</v>
      </c>
    </row>
    <row r="1468" spans="1:18" ht="15" customHeight="1">
      <c r="A1468" s="657">
        <f>IF(B1468="",MAX($A$8:A1467)+0,MAX($A$8:A1467)+1)</f>
        <v>157</v>
      </c>
      <c r="B1468" s="835" t="str">
        <f>IF(C1468="","",COUNTA($C$10:C1469))</f>
        <v/>
      </c>
      <c r="C1468" s="362"/>
      <c r="D1468" s="362"/>
      <c r="E1468" s="852" t="s">
        <v>553</v>
      </c>
      <c r="F1468" s="848" t="str">
        <f>VLOOKUP(E1468,DICH!B:C,2,FALSE)</f>
        <v>Other machine</v>
      </c>
      <c r="G1468" s="362" t="s">
        <v>554</v>
      </c>
      <c r="H1468" s="900">
        <v>5</v>
      </c>
      <c r="I1468" s="858">
        <f>+J1467</f>
        <v>3978705.0980250002</v>
      </c>
      <c r="J1468" s="853">
        <f>I1468*H1468%</f>
        <v>198935.25490125001</v>
      </c>
      <c r="N1468" s="843" t="e">
        <f>SUMIF(#REF!,'8.Dgia'!A1468,#REF!)+SUMIF(#REF!,'8.Dgia'!A1468,#REF!)+SUMIF(#REF!,'8.Dgia'!A1468,#REF!)+SUMIF(#REF!,'8.Dgia'!A1468,#REF!)</f>
        <v>#REF!</v>
      </c>
      <c r="O1468" s="844"/>
      <c r="P1468" s="843" t="e">
        <f t="shared" si="64"/>
        <v>#REF!</v>
      </c>
    </row>
    <row r="1469" spans="1:18" ht="25.5" customHeight="1">
      <c r="A1469" s="657">
        <f>IF(B1469="",MAX($A$8:A1468)+0,MAX($A$8:A1468)+1)</f>
        <v>158</v>
      </c>
      <c r="B1469" s="835">
        <f>IF(C1469="","",COUNTA($C$10:C1470))</f>
        <v>158</v>
      </c>
      <c r="C1469" s="835">
        <f>IF(D1469="","",1776)</f>
        <v>1776</v>
      </c>
      <c r="D1469" s="362" t="s">
        <v>344</v>
      </c>
      <c r="E1469" s="808" t="s">
        <v>3986</v>
      </c>
      <c r="F1469" s="1049" t="str">
        <f>VLOOKUP(E1469,DICH!B:C,2,FALSE)</f>
        <v>Supply &amp; install cluvert pipe D1500 (H10), L=3m, HS=1.15, amor=50%</v>
      </c>
      <c r="G1469" s="884" t="s">
        <v>546</v>
      </c>
      <c r="H1469" s="900"/>
      <c r="I1469" s="858"/>
      <c r="J1469" s="889"/>
      <c r="K1469" s="842">
        <f>+J1470</f>
        <v>152304686.54576001</v>
      </c>
      <c r="L1469" s="842">
        <f>+J1475</f>
        <v>60865701.417749994</v>
      </c>
      <c r="M1469" s="842">
        <f>+J1476</f>
        <v>4177640.3529262501</v>
      </c>
      <c r="N1469" s="843" t="e">
        <f>SUMIF(#REF!,'8.Dgia'!A1469,#REF!)+SUMIF(#REF!,'8.Dgia'!A1469,#REF!)+SUMIF(#REF!,'8.Dgia'!A1469,#REF!)+SUMIF(#REF!,'8.Dgia'!A1469,#REF!)</f>
        <v>#REF!</v>
      </c>
      <c r="O1469" s="844"/>
      <c r="P1469" s="843" t="e">
        <f t="shared" ref="P1469:P1478" si="65">$H1469*N1469*(1+O1469%)</f>
        <v>#REF!</v>
      </c>
    </row>
    <row r="1470" spans="1:18" ht="15" customHeight="1">
      <c r="A1470" s="657">
        <f>IF(B1470="",MAX($A$8:A1469)+0,MAX($A$8:A1469)+1)</f>
        <v>158</v>
      </c>
      <c r="B1470" s="835" t="str">
        <f>IF(C1470="","",COUNTA($C$10:C1471))</f>
        <v/>
      </c>
      <c r="C1470" s="362"/>
      <c r="D1470" s="362"/>
      <c r="E1470" s="852" t="s">
        <v>2032</v>
      </c>
      <c r="F1470" s="848" t="str">
        <f>VLOOKUP(E1470,DICH!B:C,2,FALSE)</f>
        <v xml:space="preserve">  A - Material</v>
      </c>
      <c r="G1470" s="883"/>
      <c r="H1470" s="900"/>
      <c r="I1470" s="858"/>
      <c r="J1470" s="849">
        <f>SUM(J1471:J1474)</f>
        <v>152304686.54576001</v>
      </c>
      <c r="N1470" s="843" t="e">
        <f>SUMIF(#REF!,'8.Dgia'!A1470,#REF!)+SUMIF(#REF!,'8.Dgia'!A1470,#REF!)+SUMIF(#REF!,'8.Dgia'!A1470,#REF!)+SUMIF(#REF!,'8.Dgia'!A1470,#REF!)</f>
        <v>#REF!</v>
      </c>
      <c r="O1470" s="844"/>
      <c r="P1470" s="843" t="e">
        <f t="shared" si="65"/>
        <v>#REF!</v>
      </c>
    </row>
    <row r="1471" spans="1:18" ht="15" customHeight="1">
      <c r="A1471" s="657">
        <f>IF(B1471="",MAX($A$8:A1470)+0,MAX($A$8:A1470)+1)</f>
        <v>158</v>
      </c>
      <c r="B1471" s="835" t="str">
        <f>IF(C1471="","",COUNTA($C$10:C1472))</f>
        <v/>
      </c>
      <c r="C1471" s="862"/>
      <c r="D1471" s="361" t="s">
        <v>3987</v>
      </c>
      <c r="E1471" s="852" t="s">
        <v>2142</v>
      </c>
      <c r="F1471" s="848" t="str">
        <f>VLOOKUP(E1471,DICH!B:C,2,FALSE)</f>
        <v>Pipe culvert D1500</v>
      </c>
      <c r="G1471" s="883" t="s">
        <v>543</v>
      </c>
      <c r="H1471" s="900">
        <f>101.5*50%</f>
        <v>50.75</v>
      </c>
      <c r="I1471" s="848">
        <f>VLOOKUP(E1471,'11.gia '!$B:$I,8,FALSE)</f>
        <v>3000000</v>
      </c>
      <c r="J1471" s="853">
        <f>I1471*H1471</f>
        <v>152250000</v>
      </c>
      <c r="N1471" s="843" t="e">
        <f>SUMIF(#REF!,'8.Dgia'!A1471,#REF!)+SUMIF(#REF!,'8.Dgia'!A1471,#REF!)+SUMIF(#REF!,'8.Dgia'!A1471,#REF!)+SUMIF(#REF!,'8.Dgia'!A1471,#REF!)</f>
        <v>#REF!</v>
      </c>
      <c r="O1471" s="844">
        <f>+$H$1464</f>
        <v>0.01</v>
      </c>
      <c r="P1471" s="843" t="e">
        <f t="shared" si="65"/>
        <v>#REF!</v>
      </c>
    </row>
    <row r="1472" spans="1:18" ht="15" customHeight="1">
      <c r="A1472" s="657">
        <f>IF(B1472="",MAX($A$8:A1471)+0,MAX($A$8:A1471)+1)</f>
        <v>158</v>
      </c>
      <c r="B1472" s="835" t="str">
        <f>IF(C1472="","",COUNTA($C$10:C1473))</f>
        <v/>
      </c>
      <c r="C1472" s="362"/>
      <c r="D1472" s="362"/>
      <c r="E1472" s="852" t="s">
        <v>345</v>
      </c>
      <c r="F1472" s="848" t="str">
        <f>VLOOKUP(E1472,DICH!B:C,2,FALSE)</f>
        <v>Rubber joint D1500</v>
      </c>
      <c r="G1472" s="362" t="s">
        <v>4649</v>
      </c>
      <c r="H1472" s="900"/>
      <c r="I1472" s="848"/>
      <c r="J1472" s="863" t="s">
        <v>2106</v>
      </c>
      <c r="N1472" s="843" t="e">
        <f>SUMIF(#REF!,'8.Dgia'!A1472,#REF!)+SUMIF(#REF!,'8.Dgia'!A1472,#REF!)+SUMIF(#REF!,'8.Dgia'!A1472,#REF!)+SUMIF(#REF!,'8.Dgia'!A1472,#REF!)</f>
        <v>#REF!</v>
      </c>
      <c r="O1472" s="844">
        <f>+$H$1464</f>
        <v>0.01</v>
      </c>
      <c r="P1472" s="843" t="e">
        <f t="shared" si="65"/>
        <v>#REF!</v>
      </c>
    </row>
    <row r="1473" spans="1:18" ht="15" customHeight="1">
      <c r="A1473" s="657">
        <f>IF(B1473="",MAX($A$8:A1472)+0,MAX($A$8:A1472)+1)</f>
        <v>158</v>
      </c>
      <c r="B1473" s="835" t="str">
        <f>IF(C1473="","",COUNTA($C$10:C1474))</f>
        <v/>
      </c>
      <c r="C1473" s="362"/>
      <c r="D1473" s="362"/>
      <c r="E1473" s="852" t="s">
        <v>616</v>
      </c>
      <c r="F1473" s="848" t="str">
        <f>VLOOKUP(E1473,DICH!B:C,2,FALSE)</f>
        <v>Lubricant grease</v>
      </c>
      <c r="G1473" s="883" t="s">
        <v>558</v>
      </c>
      <c r="H1473" s="900">
        <v>2.71</v>
      </c>
      <c r="I1473" s="848">
        <f>VLOOKUP(E1473,'11.gia '!$B:$I,8,FALSE)</f>
        <v>14560</v>
      </c>
      <c r="J1473" s="853">
        <f>I1473*H1473</f>
        <v>39457.599999999999</v>
      </c>
      <c r="N1473" s="843" t="e">
        <f>SUMIF(#REF!,'8.Dgia'!A1473,#REF!)+SUMIF(#REF!,'8.Dgia'!A1473,#REF!)+SUMIF(#REF!,'8.Dgia'!A1473,#REF!)+SUMIF(#REF!,'8.Dgia'!A1473,#REF!)</f>
        <v>#REF!</v>
      </c>
      <c r="O1473" s="844">
        <f>+$H$1464</f>
        <v>0.01</v>
      </c>
      <c r="P1473" s="843" t="e">
        <f t="shared" si="65"/>
        <v>#REF!</v>
      </c>
    </row>
    <row r="1474" spans="1:18" ht="15" customHeight="1">
      <c r="A1474" s="657">
        <f>IF(B1474="",MAX($A$8:A1473)+0,MAX($A$8:A1473)+1)</f>
        <v>158</v>
      </c>
      <c r="B1474" s="835" t="str">
        <f>IF(C1474="","",COUNTA($C$10:C1475))</f>
        <v/>
      </c>
      <c r="C1474" s="362"/>
      <c r="D1474" s="362"/>
      <c r="E1474" s="852" t="s">
        <v>555</v>
      </c>
      <c r="F1474" s="848" t="str">
        <f>VLOOKUP(E1474,DICH!B:C,2,FALSE)</f>
        <v>Other material</v>
      </c>
      <c r="G1474" s="362" t="s">
        <v>554</v>
      </c>
      <c r="H1474" s="900">
        <v>0.01</v>
      </c>
      <c r="I1474" s="858">
        <f>SUM(J1471:J1473)</f>
        <v>152289457.59999999</v>
      </c>
      <c r="J1474" s="853">
        <f>I1474*H1474%</f>
        <v>15228.945760000001</v>
      </c>
      <c r="N1474" s="843" t="e">
        <f>SUMIF(#REF!,'8.Dgia'!A1474,#REF!)+SUMIF(#REF!,'8.Dgia'!A1474,#REF!)+SUMIF(#REF!,'8.Dgia'!A1474,#REF!)+SUMIF(#REF!,'8.Dgia'!A1474,#REF!)</f>
        <v>#REF!</v>
      </c>
      <c r="O1474" s="844"/>
      <c r="P1474" s="843" t="e">
        <f t="shared" si="65"/>
        <v>#REF!</v>
      </c>
    </row>
    <row r="1475" spans="1:18" ht="15" customHeight="1">
      <c r="A1475" s="657">
        <f>IF(B1475="",MAX($A$8:A1474)+0,MAX($A$8:A1474)+1)</f>
        <v>158</v>
      </c>
      <c r="B1475" s="835" t="str">
        <f>IF(C1475="","",COUNTA($C$10:C1476))</f>
        <v/>
      </c>
      <c r="C1475" s="862"/>
      <c r="D1475" s="907" t="s">
        <v>2108</v>
      </c>
      <c r="E1475" s="852" t="s">
        <v>2039</v>
      </c>
      <c r="F1475" s="848" t="str">
        <f>VLOOKUP(E1475,DICH!B:C,2,FALSE)</f>
        <v xml:space="preserve">  B - Labour 4.0/7</v>
      </c>
      <c r="G1475" s="883" t="s">
        <v>4899</v>
      </c>
      <c r="H1475" s="239">
        <f>(214/2+269.51/2)*1.15</f>
        <v>278.01824999999997</v>
      </c>
      <c r="I1475" s="848">
        <f>VLOOKUP(E1475,'16.NC'!$C$11:$F$22,4,FALSE)</f>
        <v>218927</v>
      </c>
      <c r="J1475" s="849">
        <f>I1475*H1475</f>
        <v>60865701.417749994</v>
      </c>
      <c r="N1475" s="843" t="e">
        <f>SUMIF(#REF!,'8.Dgia'!A1475,#REF!)+SUMIF(#REF!,'8.Dgia'!A1475,#REF!)+SUMIF(#REF!,'8.Dgia'!A1475,#REF!)+SUMIF(#REF!,'8.Dgia'!A1475,#REF!)</f>
        <v>#REF!</v>
      </c>
      <c r="O1475" s="844"/>
      <c r="P1475" s="843" t="e">
        <f t="shared" si="65"/>
        <v>#REF!</v>
      </c>
      <c r="R1475" s="658">
        <v>1</v>
      </c>
    </row>
    <row r="1476" spans="1:18" ht="15" customHeight="1">
      <c r="A1476" s="657">
        <f>IF(B1476="",MAX($A$8:A1475)+0,MAX($A$8:A1475)+1)</f>
        <v>158</v>
      </c>
      <c r="B1476" s="835" t="str">
        <f>IF(C1476="","",COUNTA($C$10:C1477))</f>
        <v/>
      </c>
      <c r="C1476" s="362"/>
      <c r="D1476" s="362"/>
      <c r="E1476" s="852" t="s">
        <v>2033</v>
      </c>
      <c r="F1476" s="848" t="str">
        <f>VLOOKUP(E1476,DICH!B:C,2,FALSE)</f>
        <v xml:space="preserve">  C - Machine</v>
      </c>
      <c r="G1476" s="883"/>
      <c r="H1476" s="900"/>
      <c r="I1476" s="858"/>
      <c r="J1476" s="849">
        <f>SUM(J1477:J1478)</f>
        <v>4177640.3529262501</v>
      </c>
      <c r="N1476" s="843" t="e">
        <f>SUMIF(#REF!,'8.Dgia'!A1476,#REF!)+SUMIF(#REF!,'8.Dgia'!A1476,#REF!)+SUMIF(#REF!,'8.Dgia'!A1476,#REF!)+SUMIF(#REF!,'8.Dgia'!A1476,#REF!)</f>
        <v>#REF!</v>
      </c>
      <c r="O1476" s="844"/>
      <c r="P1476" s="843" t="e">
        <f t="shared" si="65"/>
        <v>#REF!</v>
      </c>
    </row>
    <row r="1477" spans="1:18" ht="15" customHeight="1">
      <c r="A1477" s="657">
        <f>IF(B1477="",MAX($A$8:A1476)+0,MAX($A$8:A1476)+1)</f>
        <v>158</v>
      </c>
      <c r="B1477" s="835" t="str">
        <f>IF(C1477="","",COUNTA($C$10:C1478))</f>
        <v/>
      </c>
      <c r="C1477" s="362"/>
      <c r="D1477" s="901" t="s">
        <v>3481</v>
      </c>
      <c r="E1477" s="852" t="s">
        <v>286</v>
      </c>
      <c r="F1477" s="848" t="str">
        <f>VLOOKUP(E1477,'9.may'!E:F,2,FALSE)</f>
        <v>tyre crane 16T</v>
      </c>
      <c r="G1477" s="883" t="s">
        <v>4902</v>
      </c>
      <c r="H1477" s="239">
        <f>1.71*1.15</f>
        <v>1.9664999999999999</v>
      </c>
      <c r="I1477" s="848">
        <f>VLOOKUP(E1477,'9.may'!E:W,12,FALSE)</f>
        <v>2023241.85</v>
      </c>
      <c r="J1477" s="853">
        <f>I1477*H1477</f>
        <v>3978705.0980250002</v>
      </c>
      <c r="N1477" s="843" t="e">
        <f>SUMIF(#REF!,'8.Dgia'!A1477,#REF!)+SUMIF(#REF!,'8.Dgia'!A1477,#REF!)+SUMIF(#REF!,'8.Dgia'!A1477,#REF!)+SUMIF(#REF!,'8.Dgia'!A1477,#REF!)</f>
        <v>#REF!</v>
      </c>
      <c r="O1477" s="844">
        <f>+$H$1468</f>
        <v>5</v>
      </c>
      <c r="P1477" s="843" t="e">
        <f t="shared" si="65"/>
        <v>#REF!</v>
      </c>
    </row>
    <row r="1478" spans="1:18" ht="15" customHeight="1">
      <c r="A1478" s="657">
        <f>IF(B1478="",MAX($A$8:A1477)+0,MAX($A$8:A1477)+1)</f>
        <v>158</v>
      </c>
      <c r="B1478" s="835" t="str">
        <f>IF(C1478="","",COUNTA($C$10:C1479))</f>
        <v/>
      </c>
      <c r="C1478" s="362"/>
      <c r="D1478" s="362"/>
      <c r="E1478" s="852" t="s">
        <v>553</v>
      </c>
      <c r="F1478" s="848" t="str">
        <f>VLOOKUP(E1478,DICH!B:C,2,FALSE)</f>
        <v>Other machine</v>
      </c>
      <c r="G1478" s="362" t="s">
        <v>554</v>
      </c>
      <c r="H1478" s="900">
        <v>5</v>
      </c>
      <c r="I1478" s="858">
        <f>+J1477</f>
        <v>3978705.0980250002</v>
      </c>
      <c r="J1478" s="853">
        <f>I1478*H1478%</f>
        <v>198935.25490125001</v>
      </c>
      <c r="N1478" s="843" t="e">
        <f>SUMIF(#REF!,'8.Dgia'!A1478,#REF!)+SUMIF(#REF!,'8.Dgia'!A1478,#REF!)+SUMIF(#REF!,'8.Dgia'!A1478,#REF!)+SUMIF(#REF!,'8.Dgia'!A1478,#REF!)</f>
        <v>#REF!</v>
      </c>
      <c r="O1478" s="844"/>
      <c r="P1478" s="843" t="e">
        <f t="shared" si="65"/>
        <v>#REF!</v>
      </c>
    </row>
    <row r="1479" spans="1:18" ht="25.5" customHeight="1">
      <c r="A1479" s="657">
        <f>IF(B1479="",MAX($A$8:A1478)+0,MAX($A$8:A1478)+1)</f>
        <v>159</v>
      </c>
      <c r="B1479" s="835">
        <f>IF(C1479="","",COUNTA($C$10:C1480))</f>
        <v>159</v>
      </c>
      <c r="C1479" s="835">
        <f>IF(D1479="","",1776)</f>
        <v>1776</v>
      </c>
      <c r="D1479" s="362" t="s">
        <v>344</v>
      </c>
      <c r="E1479" s="808" t="s">
        <v>3936</v>
      </c>
      <c r="F1479" s="1049" t="str">
        <f>VLOOKUP(E1479,DICH!B:C,2,FALSE)</f>
        <v>Removing cluvert pipe D1500 (H10), L=3m, HS=1.15*0.6</v>
      </c>
      <c r="G1479" s="884" t="s">
        <v>546</v>
      </c>
      <c r="H1479" s="900"/>
      <c r="I1479" s="858"/>
      <c r="J1479" s="889"/>
      <c r="L1479" s="842">
        <f>+J1480</f>
        <v>36519420.85064999</v>
      </c>
      <c r="M1479" s="842">
        <f>+J1481</f>
        <v>2506584.2117557502</v>
      </c>
      <c r="N1479" s="843" t="e">
        <f>SUMIF(#REF!,'8.Dgia'!A1479,#REF!)+SUMIF(#REF!,'8.Dgia'!A1479,#REF!)+SUMIF(#REF!,'8.Dgia'!A1479,#REF!)+SUMIF(#REF!,'8.Dgia'!A1479,#REF!)</f>
        <v>#REF!</v>
      </c>
      <c r="O1479" s="844"/>
      <c r="P1479" s="843" t="e">
        <f>$H1479*N1479*(1+O1479%)</f>
        <v>#REF!</v>
      </c>
    </row>
    <row r="1480" spans="1:18" ht="15" customHeight="1">
      <c r="A1480" s="657">
        <f>IF(B1480="",MAX($A$8:A1479)+0,MAX($A$8:A1479)+1)</f>
        <v>159</v>
      </c>
      <c r="B1480" s="835" t="str">
        <f>IF(C1480="","",COUNTA($C$10:C1481))</f>
        <v/>
      </c>
      <c r="C1480" s="862"/>
      <c r="D1480" s="907" t="s">
        <v>2108</v>
      </c>
      <c r="E1480" s="852" t="s">
        <v>2039</v>
      </c>
      <c r="F1480" s="848" t="str">
        <f>VLOOKUP(E1480,DICH!B:C,2,FALSE)</f>
        <v xml:space="preserve">  B - Labour 4.0/7</v>
      </c>
      <c r="G1480" s="883" t="s">
        <v>4899</v>
      </c>
      <c r="H1480" s="239">
        <f>(214/2+269.51/2)*1.15*0.6</f>
        <v>166.81094999999996</v>
      </c>
      <c r="I1480" s="848">
        <f>VLOOKUP(E1480,'16.NC'!$C$11:$F$22,4,FALSE)</f>
        <v>218927</v>
      </c>
      <c r="J1480" s="849">
        <f>I1480*H1480</f>
        <v>36519420.85064999</v>
      </c>
      <c r="N1480" s="843" t="e">
        <f>SUMIF(#REF!,'8.Dgia'!A1480,#REF!)+SUMIF(#REF!,'8.Dgia'!A1480,#REF!)+SUMIF(#REF!,'8.Dgia'!A1480,#REF!)+SUMIF(#REF!,'8.Dgia'!A1480,#REF!)</f>
        <v>#REF!</v>
      </c>
      <c r="O1480" s="844"/>
      <c r="P1480" s="843" t="e">
        <f>$H1480*N1480*(1+O1480%)</f>
        <v>#REF!</v>
      </c>
      <c r="R1480" s="658">
        <v>1</v>
      </c>
    </row>
    <row r="1481" spans="1:18" ht="15" customHeight="1">
      <c r="A1481" s="657">
        <f>IF(B1481="",MAX($A$8:A1480)+0,MAX($A$8:A1480)+1)</f>
        <v>159</v>
      </c>
      <c r="B1481" s="835" t="str">
        <f>IF(C1481="","",COUNTA($C$10:C1482))</f>
        <v/>
      </c>
      <c r="C1481" s="362"/>
      <c r="D1481" s="362"/>
      <c r="E1481" s="852" t="s">
        <v>2033</v>
      </c>
      <c r="F1481" s="848" t="str">
        <f>VLOOKUP(E1481,DICH!B:C,2,FALSE)</f>
        <v xml:space="preserve">  C - Machine</v>
      </c>
      <c r="G1481" s="883"/>
      <c r="H1481" s="900"/>
      <c r="I1481" s="858"/>
      <c r="J1481" s="849">
        <f>SUM(J1482:J1483)</f>
        <v>2506584.2117557502</v>
      </c>
      <c r="N1481" s="843" t="e">
        <f>SUMIF(#REF!,'8.Dgia'!A1481,#REF!)+SUMIF(#REF!,'8.Dgia'!A1481,#REF!)+SUMIF(#REF!,'8.Dgia'!A1481,#REF!)+SUMIF(#REF!,'8.Dgia'!A1481,#REF!)</f>
        <v>#REF!</v>
      </c>
      <c r="O1481" s="844"/>
      <c r="P1481" s="843" t="e">
        <f>$H1481*N1481*(1+O1481%)</f>
        <v>#REF!</v>
      </c>
    </row>
    <row r="1482" spans="1:18" ht="15" customHeight="1">
      <c r="A1482" s="657">
        <f>IF(B1482="",MAX($A$8:A1481)+0,MAX($A$8:A1481)+1)</f>
        <v>159</v>
      </c>
      <c r="B1482" s="835" t="str">
        <f>IF(C1482="","",COUNTA($C$10:C1483))</f>
        <v/>
      </c>
      <c r="C1482" s="362"/>
      <c r="D1482" s="901" t="s">
        <v>3481</v>
      </c>
      <c r="E1482" s="852" t="s">
        <v>286</v>
      </c>
      <c r="F1482" s="848" t="str">
        <f>VLOOKUP(E1482,'9.may'!E:F,2,FALSE)</f>
        <v>tyre crane 16T</v>
      </c>
      <c r="G1482" s="883" t="s">
        <v>4902</v>
      </c>
      <c r="H1482" s="239">
        <f>1.71*1.15*0.6</f>
        <v>1.1798999999999999</v>
      </c>
      <c r="I1482" s="848">
        <f>VLOOKUP(E1482,'9.may'!E:W,12,FALSE)</f>
        <v>2023241.85</v>
      </c>
      <c r="J1482" s="853">
        <f>I1482*H1482</f>
        <v>2387223.0588150001</v>
      </c>
      <c r="N1482" s="843" t="e">
        <f>SUMIF(#REF!,'8.Dgia'!A1482,#REF!)+SUMIF(#REF!,'8.Dgia'!A1482,#REF!)+SUMIF(#REF!,'8.Dgia'!A1482,#REF!)+SUMIF(#REF!,'8.Dgia'!A1482,#REF!)</f>
        <v>#REF!</v>
      </c>
      <c r="O1482" s="844">
        <f>+$H$1468</f>
        <v>5</v>
      </c>
      <c r="P1482" s="843" t="e">
        <f>$H1482*N1482*(1+O1482%)</f>
        <v>#REF!</v>
      </c>
    </row>
    <row r="1483" spans="1:18" ht="15" customHeight="1">
      <c r="A1483" s="657">
        <f>IF(B1483="",MAX($A$8:A1482)+0,MAX($A$8:A1482)+1)</f>
        <v>159</v>
      </c>
      <c r="B1483" s="835" t="str">
        <f>IF(C1483="","",COUNTA($C$10:C1484))</f>
        <v/>
      </c>
      <c r="C1483" s="362"/>
      <c r="D1483" s="362"/>
      <c r="E1483" s="852" t="s">
        <v>553</v>
      </c>
      <c r="F1483" s="848" t="str">
        <f>VLOOKUP(E1483,DICH!B:C,2,FALSE)</f>
        <v>Other machine</v>
      </c>
      <c r="G1483" s="362" t="s">
        <v>554</v>
      </c>
      <c r="H1483" s="900">
        <v>5</v>
      </c>
      <c r="I1483" s="858">
        <f>+J1482</f>
        <v>2387223.0588150001</v>
      </c>
      <c r="J1483" s="853">
        <f>I1483*H1483%</f>
        <v>119361.15294075001</v>
      </c>
      <c r="N1483" s="843" t="e">
        <f>SUMIF(#REF!,'8.Dgia'!A1483,#REF!)+SUMIF(#REF!,'8.Dgia'!A1483,#REF!)+SUMIF(#REF!,'8.Dgia'!A1483,#REF!)+SUMIF(#REF!,'8.Dgia'!A1483,#REF!)</f>
        <v>#REF!</v>
      </c>
      <c r="O1483" s="844"/>
      <c r="P1483" s="843" t="e">
        <f>$H1483*N1483*(1+O1483%)</f>
        <v>#REF!</v>
      </c>
    </row>
    <row r="1484" spans="1:18" ht="15" customHeight="1">
      <c r="A1484" s="657">
        <f>IF(B1484="",MAX($A$8:A1483)+0,MAX($A$8:A1483)+1)</f>
        <v>160</v>
      </c>
      <c r="B1484" s="835">
        <f>IF(C1484="","",COUNTA($C$10:C1485))</f>
        <v>160</v>
      </c>
      <c r="C1484" s="835">
        <f>IF(D1484="","",1776)</f>
        <v>1776</v>
      </c>
      <c r="D1484" s="362" t="s">
        <v>344</v>
      </c>
      <c r="E1484" s="855" t="s">
        <v>646</v>
      </c>
      <c r="F1484" s="1049" t="str">
        <f>VLOOKUP(E1484,DICH!B:C,2,FALSE)</f>
        <v>Dismouting pipe culvert D1500, co=0.6</v>
      </c>
      <c r="G1484" s="884" t="s">
        <v>546</v>
      </c>
      <c r="H1484" s="900"/>
      <c r="I1484" s="858"/>
      <c r="J1484" s="889"/>
      <c r="L1484" s="842">
        <f>+J1485</f>
        <v>31756018.131000001</v>
      </c>
      <c r="M1484" s="842">
        <f>+J1486</f>
        <v>2179638.4450050001</v>
      </c>
      <c r="N1484" s="843" t="e">
        <f>SUMIF(#REF!,'8.Dgia'!A1484,#REF!)+SUMIF(#REF!,'8.Dgia'!A1484,#REF!)+SUMIF(#REF!,'8.Dgia'!A1484,#REF!)+SUMIF(#REF!,'8.Dgia'!A1484,#REF!)</f>
        <v>#REF!</v>
      </c>
      <c r="O1484" s="844"/>
      <c r="P1484" s="843" t="e">
        <f t="shared" si="64"/>
        <v>#REF!</v>
      </c>
    </row>
    <row r="1485" spans="1:18" ht="15" customHeight="1">
      <c r="A1485" s="657">
        <f>IF(B1485="",MAX($A$8:A1484)+0,MAX($A$8:A1484)+1)</f>
        <v>160</v>
      </c>
      <c r="B1485" s="835" t="str">
        <f>IF(C1485="","",COUNTA($C$10:C1486))</f>
        <v/>
      </c>
      <c r="C1485" s="862"/>
      <c r="D1485" s="862" t="s">
        <v>647</v>
      </c>
      <c r="E1485" s="852" t="s">
        <v>2039</v>
      </c>
      <c r="F1485" s="848" t="str">
        <f>VLOOKUP(E1485,DICH!B:C,2,FALSE)</f>
        <v xml:space="preserve">  B - Labour 4.0/7</v>
      </c>
      <c r="G1485" s="883" t="s">
        <v>4899</v>
      </c>
      <c r="H1485" s="900">
        <f>+(214+269.51)/2*0.6</f>
        <v>145.053</v>
      </c>
      <c r="I1485" s="848">
        <f>VLOOKUP(E1485,'16.NC'!$C$11:$F$22,4,FALSE)</f>
        <v>218927</v>
      </c>
      <c r="J1485" s="849">
        <f>I1485*H1485</f>
        <v>31756018.131000001</v>
      </c>
      <c r="N1485" s="843" t="e">
        <f>SUMIF(#REF!,'8.Dgia'!A1485,#REF!)+SUMIF(#REF!,'8.Dgia'!A1485,#REF!)+SUMIF(#REF!,'8.Dgia'!A1485,#REF!)+SUMIF(#REF!,'8.Dgia'!A1485,#REF!)</f>
        <v>#REF!</v>
      </c>
      <c r="O1485" s="844"/>
      <c r="P1485" s="843" t="e">
        <f t="shared" si="64"/>
        <v>#REF!</v>
      </c>
      <c r="R1485" s="658">
        <v>1</v>
      </c>
    </row>
    <row r="1486" spans="1:18" ht="15" customHeight="1">
      <c r="A1486" s="657">
        <f>IF(B1486="",MAX($A$8:A1485)+0,MAX($A$8:A1485)+1)</f>
        <v>160</v>
      </c>
      <c r="B1486" s="835" t="str">
        <f>IF(C1486="","",COUNTA($C$10:C1487))</f>
        <v/>
      </c>
      <c r="C1486" s="362"/>
      <c r="D1486" s="362"/>
      <c r="E1486" s="852" t="s">
        <v>2033</v>
      </c>
      <c r="F1486" s="848" t="str">
        <f>VLOOKUP(E1486,DICH!B:C,2,FALSE)</f>
        <v xml:space="preserve">  C - Machine</v>
      </c>
      <c r="G1486" s="883"/>
      <c r="H1486" s="900"/>
      <c r="I1486" s="858"/>
      <c r="J1486" s="849">
        <f>SUM(J1487:J1488)</f>
        <v>2179638.4450050001</v>
      </c>
      <c r="N1486" s="843" t="e">
        <f>SUMIF(#REF!,'8.Dgia'!A1486,#REF!)+SUMIF(#REF!,'8.Dgia'!A1486,#REF!)+SUMIF(#REF!,'8.Dgia'!A1486,#REF!)+SUMIF(#REF!,'8.Dgia'!A1486,#REF!)</f>
        <v>#REF!</v>
      </c>
      <c r="O1486" s="844"/>
      <c r="P1486" s="843" t="e">
        <f t="shared" si="64"/>
        <v>#REF!</v>
      </c>
    </row>
    <row r="1487" spans="1:18" ht="15" customHeight="1">
      <c r="A1487" s="657">
        <f>IF(B1487="",MAX($A$8:A1486)+0,MAX($A$8:A1486)+1)</f>
        <v>160</v>
      </c>
      <c r="B1487" s="835" t="str">
        <f>IF(C1487="","",COUNTA($C$10:C1488))</f>
        <v/>
      </c>
      <c r="C1487" s="901"/>
      <c r="D1487" s="901" t="s">
        <v>648</v>
      </c>
      <c r="E1487" s="852" t="s">
        <v>286</v>
      </c>
      <c r="F1487" s="848" t="str">
        <f>VLOOKUP(E1487,'9.may'!E:F,2,FALSE)</f>
        <v>tyre crane 16T</v>
      </c>
      <c r="G1487" s="883" t="s">
        <v>4902</v>
      </c>
      <c r="H1487" s="900">
        <f>1.71*0.6</f>
        <v>1.026</v>
      </c>
      <c r="I1487" s="848">
        <f>VLOOKUP(E1487,'9.may'!E:W,12,FALSE)</f>
        <v>2023241.85</v>
      </c>
      <c r="J1487" s="853">
        <f>I1487*H1487</f>
        <v>2075846.1381000001</v>
      </c>
      <c r="N1487" s="843" t="e">
        <f>SUMIF(#REF!,'8.Dgia'!A1487,#REF!)+SUMIF(#REF!,'8.Dgia'!A1487,#REF!)+SUMIF(#REF!,'8.Dgia'!A1487,#REF!)+SUMIF(#REF!,'8.Dgia'!A1487,#REF!)</f>
        <v>#REF!</v>
      </c>
      <c r="O1487" s="844"/>
      <c r="P1487" s="843" t="e">
        <f t="shared" si="64"/>
        <v>#REF!</v>
      </c>
    </row>
    <row r="1488" spans="1:18" ht="15" customHeight="1">
      <c r="A1488" s="657">
        <f>IF(B1488="",MAX($A$8:A1487)+0,MAX($A$8:A1487)+1)</f>
        <v>160</v>
      </c>
      <c r="B1488" s="835" t="str">
        <f>IF(C1488="","",COUNTA($C$10:C1489))</f>
        <v/>
      </c>
      <c r="C1488" s="362"/>
      <c r="D1488" s="362"/>
      <c r="E1488" s="852" t="s">
        <v>553</v>
      </c>
      <c r="F1488" s="848" t="str">
        <f>VLOOKUP(E1488,DICH!B:C,2,FALSE)</f>
        <v>Other machine</v>
      </c>
      <c r="G1488" s="362" t="s">
        <v>554</v>
      </c>
      <c r="H1488" s="900">
        <v>5</v>
      </c>
      <c r="I1488" s="858">
        <f>+J1487</f>
        <v>2075846.1381000001</v>
      </c>
      <c r="J1488" s="853">
        <f>I1488*H1488%</f>
        <v>103792.306905</v>
      </c>
      <c r="N1488" s="843" t="e">
        <f>SUMIF(#REF!,'8.Dgia'!A1488,#REF!)+SUMIF(#REF!,'8.Dgia'!A1488,#REF!)+SUMIF(#REF!,'8.Dgia'!A1488,#REF!)+SUMIF(#REF!,'8.Dgia'!A1488,#REF!)</f>
        <v>#REF!</v>
      </c>
      <c r="O1488" s="844"/>
      <c r="P1488" s="843" t="e">
        <f t="shared" si="64"/>
        <v>#REF!</v>
      </c>
    </row>
    <row r="1489" spans="1:18" ht="24.75" customHeight="1">
      <c r="A1489" s="657">
        <f>IF(B1489="",MAX($A$8:A1488)+0,MAX($A$8:A1488)+1)</f>
        <v>161</v>
      </c>
      <c r="B1489" s="835">
        <f>IF(C1489="","",COUNTA($C$10:C1490))</f>
        <v>161</v>
      </c>
      <c r="C1489" s="835">
        <f>IF(D1489="","",1776)</f>
        <v>1776</v>
      </c>
      <c r="D1489" s="851" t="s">
        <v>347</v>
      </c>
      <c r="E1489" s="855" t="s">
        <v>2071</v>
      </c>
      <c r="F1489" s="1049" t="str">
        <f>VLOOKUP(E1489,DICH!B:C,2,FALSE)</f>
        <v>Temporary railling B40 (amor main material=50%)</v>
      </c>
      <c r="G1489" s="856" t="s">
        <v>548</v>
      </c>
      <c r="H1489" s="847"/>
      <c r="I1489" s="848"/>
      <c r="J1489" s="853"/>
      <c r="K1489" s="842">
        <f>+J1490</f>
        <v>43839.104708732724</v>
      </c>
      <c r="L1489" s="842">
        <f>+J1498</f>
        <v>237348.53999999998</v>
      </c>
      <c r="M1489" s="842">
        <f>+J1499</f>
        <v>20597.8986</v>
      </c>
      <c r="N1489" s="843" t="e">
        <f>SUMIF(#REF!,'8.Dgia'!A1489,#REF!)+SUMIF(#REF!,'8.Dgia'!A1489,#REF!)+SUMIF(#REF!,'8.Dgia'!A1489,#REF!)+SUMIF(#REF!,'8.Dgia'!A1489,#REF!)</f>
        <v>#REF!</v>
      </c>
      <c r="O1489" s="844"/>
      <c r="P1489" s="843" t="e">
        <f t="shared" si="64"/>
        <v>#REF!</v>
      </c>
    </row>
    <row r="1490" spans="1:18" s="658" customFormat="1" ht="15" customHeight="1">
      <c r="A1490" s="657">
        <f>IF(B1490="",MAX($A$8:A1489)+0,MAX($A$8:A1489)+1)</f>
        <v>161</v>
      </c>
      <c r="B1490" s="835" t="str">
        <f>IF(C1490="","",COUNTA($C$10:C1491))</f>
        <v/>
      </c>
      <c r="C1490" s="362"/>
      <c r="D1490" s="845"/>
      <c r="E1490" s="852" t="s">
        <v>2032</v>
      </c>
      <c r="F1490" s="848" t="str">
        <f>VLOOKUP(E1490,DICH!B:C,2,FALSE)</f>
        <v xml:space="preserve">  A - Material</v>
      </c>
      <c r="G1490" s="846"/>
      <c r="H1490" s="847"/>
      <c r="I1490" s="848"/>
      <c r="J1490" s="849">
        <f>SUM(J1491:J1497)</f>
        <v>43839.104708732724</v>
      </c>
      <c r="K1490" s="850"/>
      <c r="L1490" s="850"/>
      <c r="M1490" s="850"/>
      <c r="N1490" s="843" t="e">
        <f>SUMIF(#REF!,'8.Dgia'!A1490,#REF!)+SUMIF(#REF!,'8.Dgia'!A1490,#REF!)+SUMIF(#REF!,'8.Dgia'!A1490,#REF!)+SUMIF(#REF!,'8.Dgia'!A1490,#REF!)</f>
        <v>#REF!</v>
      </c>
      <c r="O1490" s="844"/>
      <c r="P1490" s="843" t="e">
        <f t="shared" si="64"/>
        <v>#REF!</v>
      </c>
    </row>
    <row r="1491" spans="1:18" ht="15" customHeight="1">
      <c r="A1491" s="657">
        <f>IF(B1491="",MAX($A$8:A1490)+0,MAX($A$8:A1490)+1)</f>
        <v>161</v>
      </c>
      <c r="B1491" s="835" t="str">
        <f>IF(C1491="","",COUNTA($C$10:C1492))</f>
        <v/>
      </c>
      <c r="C1491" s="851"/>
      <c r="D1491" s="851"/>
      <c r="E1491" s="852" t="s">
        <v>130</v>
      </c>
      <c r="F1491" s="848" t="str">
        <f>VLOOKUP(E1491,DICH!B:C,2,FALSE)</f>
        <v>(not included shaped steel)</v>
      </c>
      <c r="G1491" s="362"/>
      <c r="H1491" s="847"/>
      <c r="I1491" s="848"/>
      <c r="J1491" s="853"/>
      <c r="N1491" s="843" t="e">
        <f>SUMIF(#REF!,'8.Dgia'!A1491,#REF!)+SUMIF(#REF!,'8.Dgia'!A1491,#REF!)+SUMIF(#REF!,'8.Dgia'!A1491,#REF!)+SUMIF(#REF!,'8.Dgia'!A1491,#REF!)</f>
        <v>#REF!</v>
      </c>
      <c r="O1491" s="844"/>
      <c r="P1491" s="843" t="e">
        <f t="shared" si="64"/>
        <v>#REF!</v>
      </c>
    </row>
    <row r="1492" spans="1:18" ht="15" customHeight="1">
      <c r="A1492" s="657">
        <f>IF(B1492="",MAX($A$8:A1491)+0,MAX($A$8:A1491)+1)</f>
        <v>161</v>
      </c>
      <c r="B1492" s="835" t="str">
        <f>IF(C1492="","",COUNTA($C$10:C1493))</f>
        <v/>
      </c>
      <c r="C1492" s="362"/>
      <c r="D1492" s="851"/>
      <c r="E1492" s="852" t="s">
        <v>671</v>
      </c>
      <c r="F1492" s="848" t="str">
        <f>VLOOKUP(E1492,DICH!B:C,2,FALSE)</f>
        <v>steel bar D&lt;=18</v>
      </c>
      <c r="G1492" s="362" t="s">
        <v>622</v>
      </c>
      <c r="H1492" s="847">
        <f>0.7</f>
        <v>0.7</v>
      </c>
      <c r="I1492" s="848">
        <f>VLOOKUP(E1492,'11.gia '!$B:$I,8,FALSE)</f>
        <v>16604.075560000001</v>
      </c>
      <c r="J1492" s="853">
        <f>I1492*H1492</f>
        <v>11622.852892000001</v>
      </c>
      <c r="N1492" s="843" t="e">
        <f>SUMIF(#REF!,'8.Dgia'!A1492,#REF!)+SUMIF(#REF!,'8.Dgia'!A1492,#REF!)+SUMIF(#REF!,'8.Dgia'!A1492,#REF!)+SUMIF(#REF!,'8.Dgia'!A1492,#REF!)</f>
        <v>#REF!</v>
      </c>
      <c r="O1492" s="844">
        <f>+$H$1497</f>
        <v>0.5</v>
      </c>
      <c r="P1492" s="843" t="e">
        <f t="shared" si="64"/>
        <v>#REF!</v>
      </c>
    </row>
    <row r="1493" spans="1:18" ht="15" customHeight="1">
      <c r="A1493" s="657">
        <f>IF(B1493="",MAX($A$8:A1492)+0,MAX($A$8:A1492)+1)</f>
        <v>161</v>
      </c>
      <c r="B1493" s="835" t="str">
        <f>IF(C1493="","",COUNTA($C$10:C1494))</f>
        <v/>
      </c>
      <c r="C1493" s="851"/>
      <c r="D1493" s="851" t="s">
        <v>111</v>
      </c>
      <c r="E1493" s="852" t="s">
        <v>658</v>
      </c>
      <c r="F1493" s="848" t="str">
        <f>VLOOKUP(E1493,DICH!B:C,2,FALSE)</f>
        <v>Temporary railling B40</v>
      </c>
      <c r="G1493" s="362" t="s">
        <v>659</v>
      </c>
      <c r="H1493" s="847">
        <f>1.1*50%</f>
        <v>0.55000000000000004</v>
      </c>
      <c r="I1493" s="848">
        <f>VLOOKUP(E1493,'11.gia '!$B:$I,8,FALSE)</f>
        <v>37676.299999999996</v>
      </c>
      <c r="J1493" s="853">
        <f>I1493*H1493</f>
        <v>20721.965</v>
      </c>
      <c r="N1493" s="843" t="e">
        <f>SUMIF(#REF!,'8.Dgia'!A1493,#REF!)+SUMIF(#REF!,'8.Dgia'!A1493,#REF!)+SUMIF(#REF!,'8.Dgia'!A1493,#REF!)+SUMIF(#REF!,'8.Dgia'!A1493,#REF!)</f>
        <v>#REF!</v>
      </c>
      <c r="O1493" s="844">
        <f>+$H$1497</f>
        <v>0.5</v>
      </c>
      <c r="P1493" s="843" t="e">
        <f t="shared" si="64"/>
        <v>#REF!</v>
      </c>
    </row>
    <row r="1494" spans="1:18" ht="15" customHeight="1">
      <c r="A1494" s="657">
        <f>IF(B1494="",MAX($A$8:A1493)+0,MAX($A$8:A1493)+1)</f>
        <v>161</v>
      </c>
      <c r="B1494" s="835" t="str">
        <f>IF(C1494="","",COUNTA($C$10:C1495))</f>
        <v/>
      </c>
      <c r="C1494" s="362"/>
      <c r="D1494" s="851"/>
      <c r="E1494" s="852" t="s">
        <v>559</v>
      </c>
      <c r="F1494" s="848" t="str">
        <f>VLOOKUP(E1494,DICH!B:C,2,FALSE)</f>
        <v>welding electrode</v>
      </c>
      <c r="G1494" s="362" t="s">
        <v>622</v>
      </c>
      <c r="H1494" s="847">
        <f>0.42</f>
        <v>0.42</v>
      </c>
      <c r="I1494" s="848">
        <f>VLOOKUP(E1494,'11.gia '!$B:$I,8,FALSE)</f>
        <v>19090.909090909088</v>
      </c>
      <c r="J1494" s="853">
        <f>I1494*H1494</f>
        <v>8018.1818181818171</v>
      </c>
      <c r="N1494" s="843" t="e">
        <f>SUMIF(#REF!,'8.Dgia'!A1494,#REF!)+SUMIF(#REF!,'8.Dgia'!A1494,#REF!)+SUMIF(#REF!,'8.Dgia'!A1494,#REF!)+SUMIF(#REF!,'8.Dgia'!A1494,#REF!)</f>
        <v>#REF!</v>
      </c>
      <c r="O1494" s="844">
        <f>+$H$1497</f>
        <v>0.5</v>
      </c>
      <c r="P1494" s="843" t="e">
        <f t="shared" si="64"/>
        <v>#REF!</v>
      </c>
    </row>
    <row r="1495" spans="1:18" ht="15" customHeight="1">
      <c r="A1495" s="657">
        <f>IF(B1495="",MAX($A$8:A1494)+0,MAX($A$8:A1494)+1)</f>
        <v>161</v>
      </c>
      <c r="B1495" s="835" t="str">
        <f>IF(C1495="","",COUNTA($C$10:C1496))</f>
        <v/>
      </c>
      <c r="C1495" s="362"/>
      <c r="D1495" s="851"/>
      <c r="E1495" s="852" t="s">
        <v>564</v>
      </c>
      <c r="F1495" s="848" t="str">
        <f>VLOOKUP(E1495,DICH!B:C,2,FALSE)</f>
        <v>oxygen</v>
      </c>
      <c r="G1495" s="362" t="s">
        <v>4648</v>
      </c>
      <c r="H1495" s="847">
        <f>0.06</f>
        <v>0.06</v>
      </c>
      <c r="I1495" s="848">
        <f>VLOOKUP(E1495,'11.gia '!$B:$I,8,FALSE)</f>
        <v>48000</v>
      </c>
      <c r="J1495" s="853">
        <f>I1495*H1495</f>
        <v>2880</v>
      </c>
      <c r="N1495" s="843" t="e">
        <f>SUMIF(#REF!,'8.Dgia'!A1495,#REF!)+SUMIF(#REF!,'8.Dgia'!A1495,#REF!)+SUMIF(#REF!,'8.Dgia'!A1495,#REF!)+SUMIF(#REF!,'8.Dgia'!A1495,#REF!)</f>
        <v>#REF!</v>
      </c>
      <c r="O1495" s="844">
        <f>+$H$1497</f>
        <v>0.5</v>
      </c>
      <c r="P1495" s="843" t="e">
        <f t="shared" si="64"/>
        <v>#REF!</v>
      </c>
    </row>
    <row r="1496" spans="1:18" ht="15" customHeight="1">
      <c r="A1496" s="657">
        <f>IF(B1496="",MAX($A$8:A1495)+0,MAX($A$8:A1495)+1)</f>
        <v>161</v>
      </c>
      <c r="B1496" s="835" t="str">
        <f>IF(C1496="","",COUNTA($C$10:C1497))</f>
        <v/>
      </c>
      <c r="C1496" s="362"/>
      <c r="D1496" s="851"/>
      <c r="E1496" s="852" t="s">
        <v>566</v>
      </c>
      <c r="F1496" s="848" t="str">
        <f>VLOOKUP(E1496,DICH!B:C,2,FALSE)</f>
        <v>Calcium carbide</v>
      </c>
      <c r="G1496" s="362" t="s">
        <v>622</v>
      </c>
      <c r="H1496" s="847">
        <f>0.027</f>
        <v>2.7E-2</v>
      </c>
      <c r="I1496" s="848">
        <f>VLOOKUP(E1496,'11.gia '!$B:$I,8,FALSE)</f>
        <v>14000</v>
      </c>
      <c r="J1496" s="853">
        <f>I1496*H1496</f>
        <v>378</v>
      </c>
      <c r="N1496" s="843" t="e">
        <f>SUMIF(#REF!,'8.Dgia'!A1496,#REF!)+SUMIF(#REF!,'8.Dgia'!A1496,#REF!)+SUMIF(#REF!,'8.Dgia'!A1496,#REF!)+SUMIF(#REF!,'8.Dgia'!A1496,#REF!)</f>
        <v>#REF!</v>
      </c>
      <c r="O1496" s="844">
        <f>+$H$1497</f>
        <v>0.5</v>
      </c>
      <c r="P1496" s="843" t="e">
        <f t="shared" si="64"/>
        <v>#REF!</v>
      </c>
    </row>
    <row r="1497" spans="1:18" ht="15" customHeight="1">
      <c r="A1497" s="657">
        <f>IF(B1497="",MAX($A$8:A1496)+0,MAX($A$8:A1496)+1)</f>
        <v>161</v>
      </c>
      <c r="B1497" s="835" t="str">
        <f>IF(C1497="","",COUNTA($C$10:C1498))</f>
        <v/>
      </c>
      <c r="C1497" s="362"/>
      <c r="D1497" s="851"/>
      <c r="E1497" s="852" t="s">
        <v>555</v>
      </c>
      <c r="F1497" s="848" t="str">
        <f>VLOOKUP(E1497,DICH!B:C,2,FALSE)</f>
        <v>Other material</v>
      </c>
      <c r="G1497" s="362" t="s">
        <v>554</v>
      </c>
      <c r="H1497" s="847">
        <v>0.5</v>
      </c>
      <c r="I1497" s="848">
        <f>SUM(J1491:J1496)</f>
        <v>43620.999710181815</v>
      </c>
      <c r="J1497" s="853">
        <f>I1497*H1497%</f>
        <v>218.10499855090907</v>
      </c>
      <c r="N1497" s="843" t="e">
        <f>SUMIF(#REF!,'8.Dgia'!A1497,#REF!)+SUMIF(#REF!,'8.Dgia'!A1497,#REF!)+SUMIF(#REF!,'8.Dgia'!A1497,#REF!)+SUMIF(#REF!,'8.Dgia'!A1497,#REF!)</f>
        <v>#REF!</v>
      </c>
      <c r="O1497" s="844"/>
      <c r="P1497" s="843" t="e">
        <f t="shared" si="64"/>
        <v>#REF!</v>
      </c>
    </row>
    <row r="1498" spans="1:18" s="658" customFormat="1" ht="15" customHeight="1">
      <c r="A1498" s="657">
        <f>IF(B1498="",MAX($A$8:A1497)+0,MAX($A$8:A1497)+1)</f>
        <v>161</v>
      </c>
      <c r="B1498" s="835" t="str">
        <f>IF(C1498="","",COUNTA($C$10:C1499))</f>
        <v/>
      </c>
      <c r="C1498" s="362"/>
      <c r="D1498" s="845"/>
      <c r="E1498" s="852" t="s">
        <v>2037</v>
      </c>
      <c r="F1498" s="848" t="str">
        <f>VLOOKUP(E1498,DICH!B:C,2,FALSE)</f>
        <v xml:space="preserve">  B - Labour 3.5/7</v>
      </c>
      <c r="G1498" s="362" t="s">
        <v>4899</v>
      </c>
      <c r="H1498" s="847">
        <f>1.17</f>
        <v>1.17</v>
      </c>
      <c r="I1498" s="848">
        <f>VLOOKUP(E1498,'16.NC'!$C$11:$F$22,4,FALSE)</f>
        <v>202862</v>
      </c>
      <c r="J1498" s="849">
        <f>I1498*H1498</f>
        <v>237348.53999999998</v>
      </c>
      <c r="K1498" s="850"/>
      <c r="L1498" s="850"/>
      <c r="M1498" s="850"/>
      <c r="N1498" s="843" t="e">
        <f>SUMIF(#REF!,'8.Dgia'!A1498,#REF!)+SUMIF(#REF!,'8.Dgia'!A1498,#REF!)+SUMIF(#REF!,'8.Dgia'!A1498,#REF!)+SUMIF(#REF!,'8.Dgia'!A1498,#REF!)</f>
        <v>#REF!</v>
      </c>
      <c r="O1498" s="844"/>
      <c r="P1498" s="843" t="e">
        <f t="shared" si="64"/>
        <v>#REF!</v>
      </c>
      <c r="R1498" s="658">
        <v>1</v>
      </c>
    </row>
    <row r="1499" spans="1:18" s="658" customFormat="1" ht="15" customHeight="1">
      <c r="A1499" s="657">
        <f>IF(B1499="",MAX($A$8:A1498)+0,MAX($A$8:A1498)+1)</f>
        <v>161</v>
      </c>
      <c r="B1499" s="835" t="str">
        <f>IF(C1499="","",COUNTA($C$10:C1500))</f>
        <v/>
      </c>
      <c r="C1499" s="362"/>
      <c r="D1499" s="845"/>
      <c r="E1499" s="852" t="s">
        <v>2033</v>
      </c>
      <c r="F1499" s="848" t="str">
        <f>VLOOKUP(E1499,DICH!B:C,2,FALSE)</f>
        <v xml:space="preserve">  C - Machine</v>
      </c>
      <c r="G1499" s="846"/>
      <c r="H1499" s="847"/>
      <c r="I1499" s="848"/>
      <c r="J1499" s="849">
        <f>J1500</f>
        <v>20597.8986</v>
      </c>
      <c r="K1499" s="850"/>
      <c r="L1499" s="850"/>
      <c r="M1499" s="850"/>
      <c r="N1499" s="843" t="e">
        <f>SUMIF(#REF!,'8.Dgia'!A1499,#REF!)+SUMIF(#REF!,'8.Dgia'!A1499,#REF!)+SUMIF(#REF!,'8.Dgia'!A1499,#REF!)+SUMIF(#REF!,'8.Dgia'!A1499,#REF!)</f>
        <v>#REF!</v>
      </c>
      <c r="O1499" s="844"/>
      <c r="P1499" s="843" t="e">
        <f t="shared" si="64"/>
        <v>#REF!</v>
      </c>
    </row>
    <row r="1500" spans="1:18" ht="15" customHeight="1">
      <c r="A1500" s="657">
        <f>IF(B1500="",MAX($A$8:A1499)+0,MAX($A$8:A1499)+1)</f>
        <v>161</v>
      </c>
      <c r="B1500" s="835" t="str">
        <f>IF(C1500="","",COUNTA($C$10:C1501))</f>
        <v/>
      </c>
      <c r="C1500" s="362"/>
      <c r="D1500" s="851"/>
      <c r="E1500" s="852" t="s">
        <v>560</v>
      </c>
      <c r="F1500" s="848" t="str">
        <f>VLOOKUP(E1500,'9.may'!E:F,2,FALSE)</f>
        <v>welding machine 23kW</v>
      </c>
      <c r="G1500" s="362" t="s">
        <v>4902</v>
      </c>
      <c r="H1500" s="847">
        <f>0.12</f>
        <v>0.12</v>
      </c>
      <c r="I1500" s="848">
        <f>VLOOKUP(E1500,'9.may'!E:W,12,FALSE)</f>
        <v>171649.155</v>
      </c>
      <c r="J1500" s="853">
        <f>I1500*H1500</f>
        <v>20597.8986</v>
      </c>
      <c r="N1500" s="843" t="e">
        <f>SUMIF(#REF!,'8.Dgia'!A1500,#REF!)+SUMIF(#REF!,'8.Dgia'!A1500,#REF!)+SUMIF(#REF!,'8.Dgia'!A1500,#REF!)+SUMIF(#REF!,'8.Dgia'!A1500,#REF!)</f>
        <v>#REF!</v>
      </c>
      <c r="O1500" s="844"/>
      <c r="P1500" s="843" t="e">
        <f t="shared" si="64"/>
        <v>#REF!</v>
      </c>
    </row>
    <row r="1501" spans="1:18" ht="25.5" customHeight="1">
      <c r="A1501" s="657">
        <f>IF(B1501="",MAX($A$8:A1500)+0,MAX($A$8:A1500)+1)</f>
        <v>162</v>
      </c>
      <c r="B1501" s="835">
        <f>IF(C1501="","",COUNTA($C$10:C1502))</f>
        <v>162</v>
      </c>
      <c r="C1501" s="835" t="s">
        <v>169</v>
      </c>
      <c r="D1501" s="851"/>
      <c r="E1501" s="855" t="s">
        <v>3541</v>
      </c>
      <c r="F1501" s="1049" t="str">
        <f>VLOOKUP(E1501,DICH!B:C,2,FALSE)</f>
        <v>Supply shape steel (amor=50%)</v>
      </c>
      <c r="G1501" s="856" t="s">
        <v>4644</v>
      </c>
      <c r="H1501" s="847"/>
      <c r="I1501" s="848"/>
      <c r="J1501" s="853"/>
      <c r="K1501" s="842">
        <f>+J1502</f>
        <v>8769205.3938157242</v>
      </c>
      <c r="N1501" s="843" t="e">
        <f>SUMIF(#REF!,'8.Dgia'!A1501,#REF!)+SUMIF(#REF!,'8.Dgia'!A1501,#REF!)+SUMIF(#REF!,'8.Dgia'!A1501,#REF!)+SUMIF(#REF!,'8.Dgia'!A1501,#REF!)</f>
        <v>#REF!</v>
      </c>
      <c r="O1501" s="844"/>
      <c r="P1501" s="843" t="e">
        <f t="shared" si="64"/>
        <v>#REF!</v>
      </c>
    </row>
    <row r="1502" spans="1:18" ht="15" customHeight="1">
      <c r="A1502" s="657">
        <f>IF(B1502="",MAX($A$8:A1501)+0,MAX($A$8:A1501)+1)</f>
        <v>162</v>
      </c>
      <c r="B1502" s="835" t="str">
        <f>IF(C1502="","",COUNTA($C$10:C1503))</f>
        <v/>
      </c>
      <c r="C1502" s="362"/>
      <c r="D1502" s="362"/>
      <c r="E1502" s="852" t="s">
        <v>2032</v>
      </c>
      <c r="F1502" s="848" t="str">
        <f>VLOOKUP(E1502,DICH!B:C,2,FALSE)</f>
        <v xml:space="preserve">  A - Material</v>
      </c>
      <c r="G1502" s="362"/>
      <c r="H1502" s="847"/>
      <c r="I1502" s="848"/>
      <c r="J1502" s="849">
        <f>SUM(J1503:J1503)</f>
        <v>8769205.3938157242</v>
      </c>
      <c r="N1502" s="843" t="e">
        <f>SUMIF(#REF!,'8.Dgia'!A1502,#REF!)+SUMIF(#REF!,'8.Dgia'!A1502,#REF!)+SUMIF(#REF!,'8.Dgia'!A1502,#REF!)+SUMIF(#REF!,'8.Dgia'!A1502,#REF!)</f>
        <v>#REF!</v>
      </c>
      <c r="O1502" s="844"/>
      <c r="P1502" s="843" t="e">
        <f t="shared" si="64"/>
        <v>#REF!</v>
      </c>
    </row>
    <row r="1503" spans="1:18" ht="15" customHeight="1">
      <c r="A1503" s="657">
        <f>IF(B1503="",MAX($A$8:A1502)+0,MAX($A$8:A1502)+1)</f>
        <v>162</v>
      </c>
      <c r="B1503" s="835" t="str">
        <f>IF(C1503="","",COUNTA($C$10:C1504))</f>
        <v/>
      </c>
      <c r="C1503" s="362"/>
      <c r="D1503" s="851" t="s">
        <v>111</v>
      </c>
      <c r="E1503" s="852" t="s">
        <v>563</v>
      </c>
      <c r="F1503" s="848" t="str">
        <f>VLOOKUP(E1503,DICH!B:C,2,FALSE)</f>
        <v>Shaped steel</v>
      </c>
      <c r="G1503" s="362" t="s">
        <v>558</v>
      </c>
      <c r="H1503" s="847">
        <f>1050*50%</f>
        <v>525</v>
      </c>
      <c r="I1503" s="848">
        <f>VLOOKUP(E1503,'11.gia '!$B:$I,8,FALSE)</f>
        <v>16703.248369172808</v>
      </c>
      <c r="J1503" s="853">
        <f>I1503*H1503</f>
        <v>8769205.3938157242</v>
      </c>
      <c r="N1503" s="843" t="e">
        <f>SUMIF(#REF!,'8.Dgia'!A1503,#REF!)+SUMIF(#REF!,'8.Dgia'!A1503,#REF!)+SUMIF(#REF!,'8.Dgia'!A1503,#REF!)+SUMIF(#REF!,'8.Dgia'!A1503,#REF!)</f>
        <v>#REF!</v>
      </c>
      <c r="O1503" s="844"/>
      <c r="P1503" s="843" t="e">
        <f t="shared" si="64"/>
        <v>#REF!</v>
      </c>
    </row>
    <row r="1504" spans="1:18" ht="15" customHeight="1">
      <c r="A1504" s="657">
        <f>IF(B1504="",MAX($A$8:A1503)+0,MAX($A$8:A1503)+1)</f>
        <v>163</v>
      </c>
      <c r="B1504" s="835">
        <f>IF(C1504="","",COUNTA($C$10:C1505))</f>
        <v>163</v>
      </c>
      <c r="C1504" s="835">
        <f>IF(D1504="","",1776)</f>
        <v>1776</v>
      </c>
      <c r="D1504" s="851" t="s">
        <v>128</v>
      </c>
      <c r="E1504" s="855" t="s">
        <v>132</v>
      </c>
      <c r="F1504" s="1049" t="str">
        <f>VLOOKUP(E1504,DICH!B:C,2,FALSE)</f>
        <v>Install steel columns</v>
      </c>
      <c r="G1504" s="856" t="s">
        <v>4644</v>
      </c>
      <c r="H1504" s="847"/>
      <c r="I1504" s="848"/>
      <c r="J1504" s="853"/>
      <c r="K1504" s="842">
        <f>+J1505</f>
        <v>371031.17406035872</v>
      </c>
      <c r="L1504" s="842">
        <f>+J1513</f>
        <v>1970195.7439999999</v>
      </c>
      <c r="M1504" s="842">
        <f>+J1514</f>
        <v>1330945.2741661363</v>
      </c>
      <c r="N1504" s="843" t="e">
        <f>SUMIF(#REF!,'8.Dgia'!A1504,#REF!)+SUMIF(#REF!,'8.Dgia'!A1504,#REF!)+SUMIF(#REF!,'8.Dgia'!A1504,#REF!)+SUMIF(#REF!,'8.Dgia'!A1504,#REF!)</f>
        <v>#REF!</v>
      </c>
      <c r="O1504" s="844"/>
      <c r="P1504" s="843" t="e">
        <f t="shared" ref="P1504:P1571" si="66">$H1504*N1504*(1+O1504%)</f>
        <v>#REF!</v>
      </c>
    </row>
    <row r="1505" spans="1:18" s="658" customFormat="1" ht="15" customHeight="1">
      <c r="A1505" s="657">
        <f>IF(B1505="",MAX($A$8:A1504)+0,MAX($A$8:A1504)+1)</f>
        <v>163</v>
      </c>
      <c r="B1505" s="835" t="str">
        <f>IF(C1505="","",COUNTA($C$10:C1506))</f>
        <v/>
      </c>
      <c r="C1505" s="362"/>
      <c r="D1505" s="845"/>
      <c r="E1505" s="852" t="s">
        <v>2032</v>
      </c>
      <c r="F1505" s="848" t="str">
        <f>VLOOKUP(E1505,DICH!B:C,2,FALSE)</f>
        <v xml:space="preserve">  A - Material</v>
      </c>
      <c r="G1505" s="362"/>
      <c r="H1505" s="847"/>
      <c r="I1505" s="848"/>
      <c r="J1505" s="849">
        <f>SUM(J1506:J1512)</f>
        <v>371031.17406035872</v>
      </c>
      <c r="K1505" s="850"/>
      <c r="L1505" s="850"/>
      <c r="M1505" s="850"/>
      <c r="N1505" s="843" t="e">
        <f>SUMIF(#REF!,'8.Dgia'!A1505,#REF!)+SUMIF(#REF!,'8.Dgia'!A1505,#REF!)+SUMIF(#REF!,'8.Dgia'!A1505,#REF!)+SUMIF(#REF!,'8.Dgia'!A1505,#REF!)</f>
        <v>#REF!</v>
      </c>
      <c r="O1505" s="844"/>
      <c r="P1505" s="843" t="e">
        <f t="shared" si="66"/>
        <v>#REF!</v>
      </c>
    </row>
    <row r="1506" spans="1:18" s="658" customFormat="1" ht="15" customHeight="1">
      <c r="A1506" s="657">
        <f>IF(B1506="",MAX($A$8:A1505)+0,MAX($A$8:A1505)+1)</f>
        <v>163</v>
      </c>
      <c r="B1506" s="835" t="str">
        <f>IF(C1506="","",COUNTA($C$10:C1507))</f>
        <v/>
      </c>
      <c r="C1506" s="362"/>
      <c r="D1506" s="845"/>
      <c r="E1506" s="852" t="s">
        <v>623</v>
      </c>
      <c r="F1506" s="848" t="str">
        <f>VLOOKUP(E1506,DICH!B:C,2,FALSE)</f>
        <v>Bbolt M20</v>
      </c>
      <c r="G1506" s="362" t="s">
        <v>4649</v>
      </c>
      <c r="H1506" s="847">
        <v>12</v>
      </c>
      <c r="I1506" s="848">
        <f>VLOOKUP(E1506,'11.gia '!$B:$I,8,FALSE)</f>
        <v>4000</v>
      </c>
      <c r="J1506" s="853">
        <f t="shared" ref="J1506:J1511" si="67">I1506*H1506</f>
        <v>48000</v>
      </c>
      <c r="K1506" s="850"/>
      <c r="L1506" s="850"/>
      <c r="M1506" s="850"/>
      <c r="N1506" s="843" t="e">
        <f>SUMIF(#REF!,'8.Dgia'!A1506,#REF!)+SUMIF(#REF!,'8.Dgia'!A1506,#REF!)+SUMIF(#REF!,'8.Dgia'!A1506,#REF!)+SUMIF(#REF!,'8.Dgia'!A1506,#REF!)</f>
        <v>#REF!</v>
      </c>
      <c r="O1506" s="844">
        <f t="shared" ref="O1506:O1511" si="68">+$H$1512</f>
        <v>5</v>
      </c>
      <c r="P1506" s="843" t="e">
        <f t="shared" si="66"/>
        <v>#REF!</v>
      </c>
    </row>
    <row r="1507" spans="1:18" s="658" customFormat="1" ht="15" customHeight="1">
      <c r="A1507" s="657">
        <f>IF(B1507="",MAX($A$8:A1506)+0,MAX($A$8:A1506)+1)</f>
        <v>163</v>
      </c>
      <c r="B1507" s="835" t="str">
        <f>IF(C1507="","",COUNTA($C$10:C1508))</f>
        <v/>
      </c>
      <c r="C1507" s="362"/>
      <c r="D1507" s="845"/>
      <c r="E1507" s="852" t="s">
        <v>133</v>
      </c>
      <c r="F1507" s="848" t="str">
        <f>VLOOKUP(E1507,DICH!B:C,2,FALSE)</f>
        <v>Clinch-nail D22</v>
      </c>
      <c r="G1507" s="362" t="s">
        <v>4649</v>
      </c>
      <c r="H1507" s="847">
        <v>20</v>
      </c>
      <c r="I1507" s="848">
        <f>VLOOKUP(E1507,'11.gia '!$B:$I,8,FALSE)</f>
        <v>1000</v>
      </c>
      <c r="J1507" s="853">
        <f t="shared" si="67"/>
        <v>20000</v>
      </c>
      <c r="K1507" s="850"/>
      <c r="L1507" s="850"/>
      <c r="M1507" s="850"/>
      <c r="N1507" s="843" t="e">
        <f>SUMIF(#REF!,'8.Dgia'!A1507,#REF!)+SUMIF(#REF!,'8.Dgia'!A1507,#REF!)+SUMIF(#REF!,'8.Dgia'!A1507,#REF!)+SUMIF(#REF!,'8.Dgia'!A1507,#REF!)</f>
        <v>#REF!</v>
      </c>
      <c r="O1507" s="844">
        <f t="shared" si="68"/>
        <v>5</v>
      </c>
      <c r="P1507" s="843" t="e">
        <f t="shared" si="66"/>
        <v>#REF!</v>
      </c>
    </row>
    <row r="1508" spans="1:18" ht="15" customHeight="1">
      <c r="A1508" s="657">
        <f>IF(B1508="",MAX($A$8:A1507)+0,MAX($A$8:A1507)+1)</f>
        <v>163</v>
      </c>
      <c r="B1508" s="835" t="str">
        <f>IF(C1508="","",COUNTA($C$10:C1509))</f>
        <v/>
      </c>
      <c r="C1508" s="362"/>
      <c r="D1508" s="851"/>
      <c r="E1508" s="852" t="s">
        <v>559</v>
      </c>
      <c r="F1508" s="848" t="str">
        <f>VLOOKUP(E1508,DICH!B:C,2,FALSE)</f>
        <v>welding electrode</v>
      </c>
      <c r="G1508" s="362" t="s">
        <v>558</v>
      </c>
      <c r="H1508" s="847">
        <v>6</v>
      </c>
      <c r="I1508" s="848">
        <f>VLOOKUP(E1508,'11.gia '!$B:$I,8,FALSE)</f>
        <v>19090.909090909088</v>
      </c>
      <c r="J1508" s="853">
        <f t="shared" si="67"/>
        <v>114545.45454545453</v>
      </c>
      <c r="N1508" s="843" t="e">
        <f>SUMIF(#REF!,'8.Dgia'!A1508,#REF!)+SUMIF(#REF!,'8.Dgia'!A1508,#REF!)+SUMIF(#REF!,'8.Dgia'!A1508,#REF!)+SUMIF(#REF!,'8.Dgia'!A1508,#REF!)</f>
        <v>#REF!</v>
      </c>
      <c r="O1508" s="844">
        <f t="shared" si="68"/>
        <v>5</v>
      </c>
      <c r="P1508" s="843" t="e">
        <f t="shared" si="66"/>
        <v>#REF!</v>
      </c>
    </row>
    <row r="1509" spans="1:18" ht="15" customHeight="1">
      <c r="A1509" s="657">
        <f>IF(B1509="",MAX($A$8:A1508)+0,MAX($A$8:A1508)+1)</f>
        <v>163</v>
      </c>
      <c r="B1509" s="835" t="str">
        <f>IF(C1509="","",COUNTA($C$10:C1510))</f>
        <v/>
      </c>
      <c r="C1509" s="362"/>
      <c r="D1509" s="851"/>
      <c r="E1509" s="852" t="s">
        <v>459</v>
      </c>
      <c r="F1509" s="848" t="str">
        <f>VLOOKUP(E1509,DICH!B:C,2,FALSE)</f>
        <v>Steel ware</v>
      </c>
      <c r="G1509" s="362" t="s">
        <v>558</v>
      </c>
      <c r="H1509" s="847">
        <v>0.24</v>
      </c>
      <c r="I1509" s="848">
        <f>VLOOKUP(E1509,'11.gia '!$B:$I,8,FALSE)</f>
        <v>17143</v>
      </c>
      <c r="J1509" s="853">
        <f t="shared" si="67"/>
        <v>4114.32</v>
      </c>
      <c r="N1509" s="843" t="e">
        <f>SUMIF(#REF!,'8.Dgia'!A1509,#REF!)+SUMIF(#REF!,'8.Dgia'!A1509,#REF!)+SUMIF(#REF!,'8.Dgia'!A1509,#REF!)+SUMIF(#REF!,'8.Dgia'!A1509,#REF!)</f>
        <v>#REF!</v>
      </c>
      <c r="O1509" s="844">
        <f t="shared" si="68"/>
        <v>5</v>
      </c>
      <c r="P1509" s="843" t="e">
        <f t="shared" si="66"/>
        <v>#REF!</v>
      </c>
    </row>
    <row r="1510" spans="1:18" ht="15" customHeight="1">
      <c r="A1510" s="657">
        <f>IF(B1510="",MAX($A$8:A1509)+0,MAX($A$8:A1509)+1)</f>
        <v>163</v>
      </c>
      <c r="B1510" s="835" t="str">
        <f>IF(C1510="","",COUNTA($C$10:C1511))</f>
        <v/>
      </c>
      <c r="C1510" s="362"/>
      <c r="D1510" s="851"/>
      <c r="E1510" s="852" t="s">
        <v>563</v>
      </c>
      <c r="F1510" s="848" t="str">
        <f>VLOOKUP(E1510,DICH!B:C,2,FALSE)</f>
        <v>Shaped steel</v>
      </c>
      <c r="G1510" s="362" t="s">
        <v>558</v>
      </c>
      <c r="H1510" s="847">
        <v>1</v>
      </c>
      <c r="I1510" s="848">
        <f>VLOOKUP(E1510,'11.gia '!$B:$I,8,FALSE)</f>
        <v>16703.248369172808</v>
      </c>
      <c r="J1510" s="853">
        <f t="shared" si="67"/>
        <v>16703.248369172808</v>
      </c>
      <c r="N1510" s="843" t="e">
        <f>SUMIF(#REF!,'8.Dgia'!A1510,#REF!)+SUMIF(#REF!,'8.Dgia'!A1510,#REF!)+SUMIF(#REF!,'8.Dgia'!A1510,#REF!)+SUMIF(#REF!,'8.Dgia'!A1510,#REF!)</f>
        <v>#REF!</v>
      </c>
      <c r="O1510" s="844">
        <f t="shared" si="68"/>
        <v>5</v>
      </c>
      <c r="P1510" s="843" t="e">
        <f t="shared" si="66"/>
        <v>#REF!</v>
      </c>
    </row>
    <row r="1511" spans="1:18" ht="15" customHeight="1">
      <c r="A1511" s="657">
        <f>IF(B1511="",MAX($A$8:A1510)+0,MAX($A$8:A1510)+1)</f>
        <v>163</v>
      </c>
      <c r="B1511" s="835" t="str">
        <f>IF(C1511="","",COUNTA($C$10:C1512))</f>
        <v/>
      </c>
      <c r="C1511" s="362"/>
      <c r="D1511" s="851"/>
      <c r="E1511" s="852" t="s">
        <v>134</v>
      </c>
      <c r="F1511" s="848" t="str">
        <f>VLOOKUP(E1511,DICH!B:C,2,FALSE)</f>
        <v>Wooden</v>
      </c>
      <c r="G1511" s="362" t="s">
        <v>545</v>
      </c>
      <c r="H1511" s="847">
        <v>0.03</v>
      </c>
      <c r="I1511" s="848">
        <f>VLOOKUP(E1511,'11.gia '!$B:$I,8,FALSE)</f>
        <v>5000000</v>
      </c>
      <c r="J1511" s="853">
        <f t="shared" si="67"/>
        <v>150000</v>
      </c>
      <c r="N1511" s="843" t="e">
        <f>SUMIF(#REF!,'8.Dgia'!A1511,#REF!)+SUMIF(#REF!,'8.Dgia'!A1511,#REF!)+SUMIF(#REF!,'8.Dgia'!A1511,#REF!)+SUMIF(#REF!,'8.Dgia'!A1511,#REF!)</f>
        <v>#REF!</v>
      </c>
      <c r="O1511" s="844">
        <f t="shared" si="68"/>
        <v>5</v>
      </c>
      <c r="P1511" s="843" t="e">
        <f t="shared" si="66"/>
        <v>#REF!</v>
      </c>
    </row>
    <row r="1512" spans="1:18" ht="15" customHeight="1">
      <c r="A1512" s="657">
        <f>IF(B1512="",MAX($A$8:A1511)+0,MAX($A$8:A1511)+1)</f>
        <v>163</v>
      </c>
      <c r="B1512" s="835" t="str">
        <f>IF(C1512="","",COUNTA($C$10:C1513))</f>
        <v/>
      </c>
      <c r="C1512" s="362"/>
      <c r="D1512" s="851"/>
      <c r="E1512" s="852" t="s">
        <v>555</v>
      </c>
      <c r="F1512" s="848" t="str">
        <f>VLOOKUP(E1512,DICH!B:C,2,FALSE)</f>
        <v>Other material</v>
      </c>
      <c r="G1512" s="362" t="s">
        <v>554</v>
      </c>
      <c r="H1512" s="847">
        <v>5</v>
      </c>
      <c r="I1512" s="848">
        <f>SUM(J1506:J1511)</f>
        <v>353363.02291462733</v>
      </c>
      <c r="J1512" s="853">
        <f>I1512*H1512%</f>
        <v>17668.151145731368</v>
      </c>
      <c r="N1512" s="843" t="e">
        <f>SUMIF(#REF!,'8.Dgia'!A1512,#REF!)+SUMIF(#REF!,'8.Dgia'!A1512,#REF!)+SUMIF(#REF!,'8.Dgia'!A1512,#REF!)+SUMIF(#REF!,'8.Dgia'!A1512,#REF!)</f>
        <v>#REF!</v>
      </c>
      <c r="O1512" s="844"/>
      <c r="P1512" s="843" t="e">
        <f t="shared" si="66"/>
        <v>#REF!</v>
      </c>
    </row>
    <row r="1513" spans="1:18" s="658" customFormat="1" ht="15" customHeight="1">
      <c r="A1513" s="657">
        <f>IF(B1513="",MAX($A$8:A1512)+0,MAX($A$8:A1512)+1)</f>
        <v>163</v>
      </c>
      <c r="B1513" s="835" t="str">
        <f>IF(C1513="","",COUNTA($C$10:C1514))</f>
        <v/>
      </c>
      <c r="C1513" s="362"/>
      <c r="D1513" s="845"/>
      <c r="E1513" s="852" t="s">
        <v>2037</v>
      </c>
      <c r="F1513" s="848" t="str">
        <f>VLOOKUP(E1513,DICH!B:C,2,FALSE)</f>
        <v xml:space="preserve">  B - Labour 3.5/7</v>
      </c>
      <c r="G1513" s="362" t="s">
        <v>4899</v>
      </c>
      <c r="H1513" s="847">
        <v>9.7119999999999997</v>
      </c>
      <c r="I1513" s="848">
        <f>VLOOKUP(E1513,'16.NC'!$C$11:$F$22,4,FALSE)</f>
        <v>202862</v>
      </c>
      <c r="J1513" s="849">
        <f>I1513*H1513</f>
        <v>1970195.7439999999</v>
      </c>
      <c r="K1513" s="850"/>
      <c r="L1513" s="850"/>
      <c r="M1513" s="850"/>
      <c r="N1513" s="843" t="e">
        <f>SUMIF(#REF!,'8.Dgia'!A1513,#REF!)+SUMIF(#REF!,'8.Dgia'!A1513,#REF!)+SUMIF(#REF!,'8.Dgia'!A1513,#REF!)+SUMIF(#REF!,'8.Dgia'!A1513,#REF!)</f>
        <v>#REF!</v>
      </c>
      <c r="O1513" s="844"/>
      <c r="P1513" s="843" t="e">
        <f t="shared" si="66"/>
        <v>#REF!</v>
      </c>
      <c r="R1513" s="658">
        <v>1</v>
      </c>
    </row>
    <row r="1514" spans="1:18" s="658" customFormat="1" ht="15" customHeight="1">
      <c r="A1514" s="657">
        <f>IF(B1514="",MAX($A$8:A1513)+0,MAX($A$8:A1513)+1)</f>
        <v>163</v>
      </c>
      <c r="B1514" s="835" t="str">
        <f>IF(C1514="","",COUNTA($C$10:C1515))</f>
        <v/>
      </c>
      <c r="C1514" s="362"/>
      <c r="D1514" s="845"/>
      <c r="E1514" s="852" t="s">
        <v>2033</v>
      </c>
      <c r="F1514" s="848" t="str">
        <f>VLOOKUP(E1514,DICH!B:C,2,FALSE)</f>
        <v xml:space="preserve">  C - Machine</v>
      </c>
      <c r="G1514" s="846"/>
      <c r="H1514" s="847"/>
      <c r="I1514" s="848"/>
      <c r="J1514" s="849">
        <f>SUM(J1515:J1519)</f>
        <v>1330945.2741661363</v>
      </c>
      <c r="K1514" s="850">
        <v>692677</v>
      </c>
      <c r="L1514" s="850"/>
      <c r="M1514" s="850"/>
      <c r="N1514" s="843" t="e">
        <f>SUMIF(#REF!,'8.Dgia'!A1514,#REF!)+SUMIF(#REF!,'8.Dgia'!A1514,#REF!)+SUMIF(#REF!,'8.Dgia'!A1514,#REF!)+SUMIF(#REF!,'8.Dgia'!A1514,#REF!)</f>
        <v>#REF!</v>
      </c>
      <c r="O1514" s="844"/>
      <c r="P1514" s="843" t="e">
        <f t="shared" si="66"/>
        <v>#REF!</v>
      </c>
      <c r="Q1514" s="658" t="s">
        <v>457</v>
      </c>
    </row>
    <row r="1515" spans="1:18" ht="15" customHeight="1">
      <c r="A1515" s="657">
        <f>IF(B1515="",MAX($A$8:A1514)+0,MAX($A$8:A1514)+1)</f>
        <v>163</v>
      </c>
      <c r="B1515" s="835" t="str">
        <f>IF(C1515="","",COUNTA($C$10:C1516))</f>
        <v/>
      </c>
      <c r="C1515" s="362"/>
      <c r="D1515" s="851"/>
      <c r="E1515" s="852" t="s">
        <v>287</v>
      </c>
      <c r="F1515" s="848" t="str">
        <f>VLOOKUP(E1515,'9.may'!E:F,2,FALSE)</f>
        <v>caterpillar crane 16T</v>
      </c>
      <c r="G1515" s="362" t="s">
        <v>4902</v>
      </c>
      <c r="H1515" s="847">
        <v>0.32</v>
      </c>
      <c r="I1515" s="848">
        <f>VLOOKUP(E1515,'9.may'!E:W,12,FALSE)</f>
        <v>2129914.1945454543</v>
      </c>
      <c r="J1515" s="853">
        <f>I1515*H1515</f>
        <v>681572.54225454538</v>
      </c>
      <c r="N1515" s="843" t="e">
        <f>SUMIF(#REF!,'8.Dgia'!A1515,#REF!)+SUMIF(#REF!,'8.Dgia'!A1515,#REF!)+SUMIF(#REF!,'8.Dgia'!A1515,#REF!)+SUMIF(#REF!,'8.Dgia'!A1515,#REF!)</f>
        <v>#REF!</v>
      </c>
      <c r="O1515" s="844">
        <f>+$H$1519</f>
        <v>5</v>
      </c>
      <c r="P1515" s="843" t="e">
        <f t="shared" si="66"/>
        <v>#REF!</v>
      </c>
    </row>
    <row r="1516" spans="1:18" ht="15" customHeight="1">
      <c r="A1516" s="657">
        <f>IF(B1516="",MAX($A$8:A1515)+0,MAX($A$8:A1515)+1)</f>
        <v>163</v>
      </c>
      <c r="B1516" s="835" t="str">
        <f>IF(C1516="","",COUNTA($C$10:C1517))</f>
        <v/>
      </c>
      <c r="C1516" s="362"/>
      <c r="D1516" s="851"/>
      <c r="E1516" s="852" t="s">
        <v>560</v>
      </c>
      <c r="F1516" s="848" t="str">
        <f>VLOOKUP(E1516,'9.may'!E:F,2,FALSE)</f>
        <v>welding machine 23kW</v>
      </c>
      <c r="G1516" s="362" t="s">
        <v>4902</v>
      </c>
      <c r="H1516" s="847">
        <v>1.2</v>
      </c>
      <c r="I1516" s="848">
        <f>VLOOKUP(E1516,'9.may'!E:W,12,FALSE)</f>
        <v>171649.155</v>
      </c>
      <c r="J1516" s="853">
        <f>I1516*H1516</f>
        <v>205978.986</v>
      </c>
      <c r="N1516" s="843" t="e">
        <f>SUMIF(#REF!,'8.Dgia'!A1516,#REF!)+SUMIF(#REF!,'8.Dgia'!A1516,#REF!)+SUMIF(#REF!,'8.Dgia'!A1516,#REF!)+SUMIF(#REF!,'8.Dgia'!A1516,#REF!)</f>
        <v>#REF!</v>
      </c>
      <c r="O1516" s="844">
        <f>+$H$1519</f>
        <v>5</v>
      </c>
      <c r="P1516" s="843" t="e">
        <f t="shared" si="66"/>
        <v>#REF!</v>
      </c>
    </row>
    <row r="1517" spans="1:18" ht="15" customHeight="1">
      <c r="A1517" s="657">
        <f>IF(B1517="",MAX($A$8:A1516)+0,MAX($A$8:A1516)+1)</f>
        <v>163</v>
      </c>
      <c r="B1517" s="835" t="str">
        <f>IF(C1517="","",COUNTA($C$10:C1518))</f>
        <v/>
      </c>
      <c r="C1517" s="362"/>
      <c r="D1517" s="851"/>
      <c r="E1517" s="852" t="s">
        <v>269</v>
      </c>
      <c r="F1517" s="848" t="str">
        <f>VLOOKUP(E1517,'9.may'!E:F,2,FALSE)</f>
        <v>driller 4.5kW</v>
      </c>
      <c r="G1517" s="362" t="s">
        <v>4902</v>
      </c>
      <c r="H1517" s="847">
        <v>0.9</v>
      </c>
      <c r="I1517" s="848">
        <f>VLOOKUP(E1517,'9.may'!E:W,12,FALSE)</f>
        <v>108158.5425</v>
      </c>
      <c r="J1517" s="853">
        <f>I1517*H1517</f>
        <v>97342.688249999992</v>
      </c>
      <c r="N1517" s="843" t="e">
        <f>SUMIF(#REF!,'8.Dgia'!A1517,#REF!)+SUMIF(#REF!,'8.Dgia'!A1517,#REF!)+SUMIF(#REF!,'8.Dgia'!A1517,#REF!)+SUMIF(#REF!,'8.Dgia'!A1517,#REF!)</f>
        <v>#REF!</v>
      </c>
      <c r="O1517" s="844">
        <f>+$H$1519</f>
        <v>5</v>
      </c>
      <c r="P1517" s="843" t="e">
        <f t="shared" si="66"/>
        <v>#REF!</v>
      </c>
    </row>
    <row r="1518" spans="1:18" ht="15" customHeight="1">
      <c r="A1518" s="657">
        <f>IF(B1518="",MAX($A$8:A1517)+0,MAX($A$8:A1517)+1)</f>
        <v>163</v>
      </c>
      <c r="B1518" s="835" t="str">
        <f>IF(C1518="","",COUNTA($C$10:C1519))</f>
        <v/>
      </c>
      <c r="C1518" s="362"/>
      <c r="D1518" s="851"/>
      <c r="E1518" s="852" t="s">
        <v>439</v>
      </c>
      <c r="F1518" s="848" t="str">
        <f>VLOOKUP(E1518,'9.may'!E:F,2,FALSE)</f>
        <v>diesel air compressor 360m3/h</v>
      </c>
      <c r="G1518" s="362" t="s">
        <v>4902</v>
      </c>
      <c r="H1518" s="847">
        <v>0.25</v>
      </c>
      <c r="I1518" s="848">
        <f>VLOOKUP(E1518,'9.may'!E:W,12,FALSE)</f>
        <v>1130690.8450909092</v>
      </c>
      <c r="J1518" s="853">
        <f>I1518*H1518</f>
        <v>282672.71127272729</v>
      </c>
      <c r="N1518" s="843" t="e">
        <f>SUMIF(#REF!,'8.Dgia'!A1518,#REF!)+SUMIF(#REF!,'8.Dgia'!A1518,#REF!)+SUMIF(#REF!,'8.Dgia'!A1518,#REF!)+SUMIF(#REF!,'8.Dgia'!A1518,#REF!)</f>
        <v>#REF!</v>
      </c>
      <c r="O1518" s="844">
        <f>+$H$1519</f>
        <v>5</v>
      </c>
      <c r="P1518" s="843" t="e">
        <f t="shared" si="66"/>
        <v>#REF!</v>
      </c>
    </row>
    <row r="1519" spans="1:18" ht="15" customHeight="1">
      <c r="A1519" s="657">
        <f>IF(B1519="",MAX($A$8:A1518)+0,MAX($A$8:A1518)+1)</f>
        <v>163</v>
      </c>
      <c r="B1519" s="835" t="str">
        <f>IF(C1519="","",COUNTA($C$10:C1520))</f>
        <v/>
      </c>
      <c r="C1519" s="362"/>
      <c r="D1519" s="851"/>
      <c r="E1519" s="852" t="s">
        <v>553</v>
      </c>
      <c r="F1519" s="848" t="str">
        <f>VLOOKUP(E1519,DICH!B:C,2,FALSE)</f>
        <v>Other machine</v>
      </c>
      <c r="G1519" s="362" t="s">
        <v>554</v>
      </c>
      <c r="H1519" s="847">
        <v>5</v>
      </c>
      <c r="I1519" s="848">
        <f>SUM(J1515:J1518)</f>
        <v>1267566.9277772726</v>
      </c>
      <c r="J1519" s="853">
        <f>I1519*H1519%</f>
        <v>63378.346388863632</v>
      </c>
      <c r="N1519" s="843" t="e">
        <f>SUMIF(#REF!,'8.Dgia'!A1519,#REF!)+SUMIF(#REF!,'8.Dgia'!A1519,#REF!)+SUMIF(#REF!,'8.Dgia'!A1519,#REF!)+SUMIF(#REF!,'8.Dgia'!A1519,#REF!)</f>
        <v>#REF!</v>
      </c>
      <c r="O1519" s="844"/>
      <c r="P1519" s="843" t="e">
        <f t="shared" si="66"/>
        <v>#REF!</v>
      </c>
    </row>
    <row r="1520" spans="1:18" ht="15" customHeight="1">
      <c r="A1520" s="657">
        <f>IF(B1520="",MAX($A$8:A1519)+0,MAX($A$8:A1519)+1)</f>
        <v>164</v>
      </c>
      <c r="B1520" s="835">
        <f>IF(C1520="","",COUNTA($C$10:C1521))</f>
        <v>164</v>
      </c>
      <c r="C1520" s="835">
        <f>IF(D1520="","",1776)</f>
        <v>1776</v>
      </c>
      <c r="D1520" s="851" t="s">
        <v>450</v>
      </c>
      <c r="E1520" s="855" t="s">
        <v>4032</v>
      </c>
      <c r="F1520" s="1049" t="str">
        <f>VLOOKUP(E1520,DICH!B:C,2,FALSE)</f>
        <v>Concrete C20 of foundation</v>
      </c>
      <c r="G1520" s="856" t="s">
        <v>545</v>
      </c>
      <c r="H1520" s="847"/>
      <c r="I1520" s="848"/>
      <c r="J1520" s="853"/>
      <c r="K1520" s="842">
        <f>+J1521</f>
        <v>915552.66503722349</v>
      </c>
      <c r="L1520" s="842">
        <f>+J1524</f>
        <v>306347.07999999996</v>
      </c>
      <c r="M1520" s="842">
        <f>+J1525</f>
        <v>23796.9734775</v>
      </c>
      <c r="N1520" s="843" t="e">
        <f>SUMIF(#REF!,'8.Dgia'!A1520,#REF!)+SUMIF(#REF!,'8.Dgia'!A1520,#REF!)+SUMIF(#REF!,'8.Dgia'!A1520,#REF!)+SUMIF(#REF!,'8.Dgia'!A1520,#REF!)</f>
        <v>#REF!</v>
      </c>
      <c r="O1520" s="844"/>
      <c r="P1520" s="843" t="e">
        <f t="shared" si="66"/>
        <v>#REF!</v>
      </c>
    </row>
    <row r="1521" spans="1:18" s="658" customFormat="1" ht="15" customHeight="1">
      <c r="A1521" s="657">
        <f>IF(B1521="",MAX($A$8:A1520)+0,MAX($A$8:A1520)+1)</f>
        <v>164</v>
      </c>
      <c r="B1521" s="835" t="str">
        <f>IF(C1521="","",COUNTA($C$10:C1522))</f>
        <v/>
      </c>
      <c r="C1521" s="362"/>
      <c r="D1521" s="845"/>
      <c r="E1521" s="852" t="s">
        <v>2032</v>
      </c>
      <c r="F1521" s="848" t="str">
        <f>VLOOKUP(E1521,DICH!B:C,2,FALSE)</f>
        <v xml:space="preserve">  A - Material</v>
      </c>
      <c r="G1521" s="846"/>
      <c r="H1521" s="847"/>
      <c r="I1521" s="848"/>
      <c r="J1521" s="849">
        <f>SUM(J1522:J1523)</f>
        <v>915552.66503722349</v>
      </c>
      <c r="K1521" s="850"/>
      <c r="L1521" s="850"/>
      <c r="M1521" s="850"/>
      <c r="N1521" s="843" t="e">
        <f>SUMIF(#REF!,'8.Dgia'!A1521,#REF!)+SUMIF(#REF!,'8.Dgia'!A1521,#REF!)+SUMIF(#REF!,'8.Dgia'!A1521,#REF!)+SUMIF(#REF!,'8.Dgia'!A1521,#REF!)</f>
        <v>#REF!</v>
      </c>
      <c r="O1521" s="844"/>
      <c r="P1521" s="843" t="e">
        <f t="shared" si="66"/>
        <v>#REF!</v>
      </c>
    </row>
    <row r="1522" spans="1:18" ht="15" customHeight="1">
      <c r="A1522" s="657">
        <f>IF(B1522="",MAX($A$8:A1521)+0,MAX($A$8:A1521)+1)</f>
        <v>164</v>
      </c>
      <c r="B1522" s="835" t="str">
        <f>IF(C1522="","",COUNTA($C$10:C1523))</f>
        <v/>
      </c>
      <c r="C1522" s="851"/>
      <c r="D1522" s="851" t="str">
        <f>+'10.PLV'!$C$17</f>
        <v>C3124</v>
      </c>
      <c r="E1522" s="852" t="str">
        <f>+'10.PLV'!$D$17</f>
        <v>Vữa bê tông đá 1x2 C20 SN 2-4</v>
      </c>
      <c r="F1522" s="848" t="str">
        <f>VLOOKUP(E1522,DICH!B:C,2,FALSE)</f>
        <v>Concrete motar C20 stone 1x2 slump 2-4</v>
      </c>
      <c r="G1522" s="362" t="s">
        <v>545</v>
      </c>
      <c r="H1522" s="847">
        <v>1.0249999999999999</v>
      </c>
      <c r="I1522" s="848">
        <f>VLOOKUP(E1522,'11.gia '!B:I,8,FALSE)</f>
        <v>884378.32894201751</v>
      </c>
      <c r="J1522" s="853">
        <f>I1522*H1522</f>
        <v>906487.78716556786</v>
      </c>
      <c r="N1522" s="843" t="e">
        <f>SUMIF(#REF!,'8.Dgia'!A1522,#REF!)+SUMIF(#REF!,'8.Dgia'!A1522,#REF!)+SUMIF(#REF!,'8.Dgia'!A1522,#REF!)+SUMIF(#REF!,'8.Dgia'!A1522,#REF!)</f>
        <v>#REF!</v>
      </c>
      <c r="O1522" s="844">
        <f>+$H$1523</f>
        <v>1</v>
      </c>
      <c r="P1522" s="843" t="e">
        <f t="shared" si="66"/>
        <v>#REF!</v>
      </c>
    </row>
    <row r="1523" spans="1:18" ht="15" customHeight="1">
      <c r="A1523" s="657">
        <f>IF(B1523="",MAX($A$8:A1522)+0,MAX($A$8:A1522)+1)</f>
        <v>164</v>
      </c>
      <c r="B1523" s="835" t="str">
        <f>IF(C1523="","",COUNTA($C$10:C1524))</f>
        <v/>
      </c>
      <c r="C1523" s="362"/>
      <c r="D1523" s="851"/>
      <c r="E1523" s="852" t="s">
        <v>555</v>
      </c>
      <c r="F1523" s="848" t="str">
        <f>VLOOKUP(E1523,DICH!B:C,2,FALSE)</f>
        <v>Other material</v>
      </c>
      <c r="G1523" s="362" t="s">
        <v>554</v>
      </c>
      <c r="H1523" s="847">
        <v>1</v>
      </c>
      <c r="I1523" s="848">
        <f>J1522</f>
        <v>906487.78716556786</v>
      </c>
      <c r="J1523" s="853">
        <f>I1523*H1523%</f>
        <v>9064.877871655679</v>
      </c>
      <c r="N1523" s="843" t="e">
        <f>SUMIF(#REF!,'8.Dgia'!A1523,#REF!)+SUMIF(#REF!,'8.Dgia'!A1523,#REF!)+SUMIF(#REF!,'8.Dgia'!A1523,#REF!)+SUMIF(#REF!,'8.Dgia'!A1523,#REF!)</f>
        <v>#REF!</v>
      </c>
      <c r="O1523" s="844"/>
      <c r="P1523" s="843" t="e">
        <f t="shared" si="66"/>
        <v>#REF!</v>
      </c>
    </row>
    <row r="1524" spans="1:18" s="658" customFormat="1" ht="15" customHeight="1">
      <c r="A1524" s="657">
        <f>IF(B1524="",MAX($A$8:A1523)+0,MAX($A$8:A1523)+1)</f>
        <v>164</v>
      </c>
      <c r="B1524" s="835" t="str">
        <f>IF(C1524="","",COUNTA($C$10:C1525))</f>
        <v/>
      </c>
      <c r="C1524" s="362"/>
      <c r="D1524" s="845"/>
      <c r="E1524" s="852" t="s">
        <v>2038</v>
      </c>
      <c r="F1524" s="848" t="str">
        <f>VLOOKUP(E1524,DICH!B:C,2,FALSE)</f>
        <v xml:space="preserve">  B - Labour 3.0/7</v>
      </c>
      <c r="G1524" s="362" t="s">
        <v>4899</v>
      </c>
      <c r="H1524" s="847">
        <v>1.64</v>
      </c>
      <c r="I1524" s="848">
        <f>VLOOKUP(E1524,'16.NC'!$C$11:$F$22,4,FALSE)</f>
        <v>186797</v>
      </c>
      <c r="J1524" s="849">
        <f>I1524*H1524</f>
        <v>306347.07999999996</v>
      </c>
      <c r="K1524" s="850"/>
      <c r="L1524" s="850"/>
      <c r="M1524" s="850"/>
      <c r="N1524" s="843" t="e">
        <f>SUMIF(#REF!,'8.Dgia'!A1524,#REF!)+SUMIF(#REF!,'8.Dgia'!A1524,#REF!)+SUMIF(#REF!,'8.Dgia'!A1524,#REF!)+SUMIF(#REF!,'8.Dgia'!A1524,#REF!)</f>
        <v>#REF!</v>
      </c>
      <c r="O1524" s="844"/>
      <c r="P1524" s="843" t="e">
        <f t="shared" si="66"/>
        <v>#REF!</v>
      </c>
      <c r="R1524" s="658">
        <v>1</v>
      </c>
    </row>
    <row r="1525" spans="1:18" s="658" customFormat="1" ht="15" customHeight="1">
      <c r="A1525" s="657">
        <f>IF(B1525="",MAX($A$8:A1524)+0,MAX($A$8:A1524)+1)</f>
        <v>164</v>
      </c>
      <c r="B1525" s="835" t="str">
        <f>IF(C1525="","",COUNTA($C$10:C1526))</f>
        <v/>
      </c>
      <c r="C1525" s="362"/>
      <c r="D1525" s="845"/>
      <c r="E1525" s="852" t="s">
        <v>2033</v>
      </c>
      <c r="F1525" s="848" t="str">
        <f>VLOOKUP(E1525,DICH!B:C,2,FALSE)</f>
        <v xml:space="preserve">  C - Machine</v>
      </c>
      <c r="G1525" s="846"/>
      <c r="H1525" s="847"/>
      <c r="I1525" s="848"/>
      <c r="J1525" s="849">
        <f>SUM(J1526:J1527)</f>
        <v>23796.9734775</v>
      </c>
      <c r="K1525" s="850"/>
      <c r="L1525" s="850"/>
      <c r="M1525" s="850"/>
      <c r="N1525" s="843" t="e">
        <f>SUMIF(#REF!,'8.Dgia'!A1525,#REF!)+SUMIF(#REF!,'8.Dgia'!A1525,#REF!)+SUMIF(#REF!,'8.Dgia'!A1525,#REF!)+SUMIF(#REF!,'8.Dgia'!A1525,#REF!)</f>
        <v>#REF!</v>
      </c>
      <c r="O1525" s="844"/>
      <c r="P1525" s="843" t="e">
        <f t="shared" si="66"/>
        <v>#REF!</v>
      </c>
    </row>
    <row r="1526" spans="1:18" ht="15" customHeight="1">
      <c r="A1526" s="657">
        <f>IF(B1526="",MAX($A$8:A1525)+0,MAX($A$8:A1525)+1)</f>
        <v>164</v>
      </c>
      <c r="B1526" s="835" t="str">
        <f>IF(C1526="","",COUNTA($C$10:C1527))</f>
        <v/>
      </c>
      <c r="C1526" s="362"/>
      <c r="D1526" s="851"/>
      <c r="E1526" s="852" t="s">
        <v>582</v>
      </c>
      <c r="F1526" s="848" t="str">
        <f>VLOOKUP(E1526,'9.may'!E:F,2,FALSE)</f>
        <v>concrete mixer 250L</v>
      </c>
      <c r="G1526" s="362" t="s">
        <v>4902</v>
      </c>
      <c r="H1526" s="847">
        <v>9.5000000000000001E-2</v>
      </c>
      <c r="I1526" s="848">
        <f>VLOOKUP(E1526,'9.may'!E:W,12,FALSE)</f>
        <v>180447.90000000002</v>
      </c>
      <c r="J1526" s="853">
        <f>I1526*H1526</f>
        <v>17142.550500000001</v>
      </c>
      <c r="N1526" s="843" t="e">
        <f>SUMIF(#REF!,'8.Dgia'!A1526,#REF!)+SUMIF(#REF!,'8.Dgia'!A1526,#REF!)+SUMIF(#REF!,'8.Dgia'!A1526,#REF!)+SUMIF(#REF!,'8.Dgia'!A1526,#REF!)</f>
        <v>#REF!</v>
      </c>
      <c r="O1526" s="844"/>
      <c r="P1526" s="843" t="e">
        <f t="shared" si="66"/>
        <v>#REF!</v>
      </c>
    </row>
    <row r="1527" spans="1:18" ht="15" customHeight="1">
      <c r="A1527" s="657">
        <f>IF(B1527="",MAX($A$8:A1526)+0,MAX($A$8:A1526)+1)</f>
        <v>164</v>
      </c>
      <c r="B1527" s="835" t="str">
        <f>IF(C1527="","",COUNTA($C$10:C1528))</f>
        <v/>
      </c>
      <c r="C1527" s="362"/>
      <c r="D1527" s="851"/>
      <c r="E1527" s="852" t="s">
        <v>293</v>
      </c>
      <c r="F1527" s="848" t="str">
        <f>VLOOKUP(E1527,'9.may'!E:F,2,FALSE)</f>
        <v>concrete vibrating compactor 1.5Kw</v>
      </c>
      <c r="G1527" s="362" t="s">
        <v>4902</v>
      </c>
      <c r="H1527" s="847">
        <v>8.8999999999999996E-2</v>
      </c>
      <c r="I1527" s="848">
        <f>VLOOKUP(E1527,'9.may'!E:W,12,FALSE)</f>
        <v>74768.797500000001</v>
      </c>
      <c r="J1527" s="853">
        <f>I1527*H1527</f>
        <v>6654.4229774999994</v>
      </c>
      <c r="N1527" s="843" t="e">
        <f>SUMIF(#REF!,'8.Dgia'!A1527,#REF!)+SUMIF(#REF!,'8.Dgia'!A1527,#REF!)+SUMIF(#REF!,'8.Dgia'!A1527,#REF!)+SUMIF(#REF!,'8.Dgia'!A1527,#REF!)</f>
        <v>#REF!</v>
      </c>
      <c r="O1527" s="844"/>
      <c r="P1527" s="843" t="e">
        <f t="shared" si="66"/>
        <v>#REF!</v>
      </c>
    </row>
    <row r="1528" spans="1:18" ht="30" customHeight="1">
      <c r="A1528" s="657">
        <f>IF(B1528="",MAX($A$8:A1527)+0,MAX($A$8:A1527)+1)</f>
        <v>165</v>
      </c>
      <c r="B1528" s="835">
        <f>IF(C1528="","",COUNTA($C$10:C1529))</f>
        <v>165</v>
      </c>
      <c r="C1528" s="835">
        <f>IF(D1528="","",1776)</f>
        <v>1776</v>
      </c>
      <c r="D1528" s="851" t="s">
        <v>2072</v>
      </c>
      <c r="E1528" s="855" t="s">
        <v>5564</v>
      </c>
      <c r="F1528" s="1049" t="s">
        <v>5565</v>
      </c>
      <c r="G1528" s="856" t="s">
        <v>546</v>
      </c>
      <c r="H1528" s="847"/>
      <c r="I1528" s="848"/>
      <c r="J1528" s="853"/>
      <c r="K1528" s="842">
        <f>+J1529</f>
        <v>34364017.967570208</v>
      </c>
      <c r="N1528" s="843" t="e">
        <f>SUMIF(#REF!,'8.Dgia'!A1528,#REF!)+SUMIF(#REF!,'8.Dgia'!A1528,#REF!)+SUMIF(#REF!,'8.Dgia'!A1528,#REF!)+SUMIF(#REF!,'8.Dgia'!A1528,#REF!)</f>
        <v>#REF!</v>
      </c>
      <c r="O1528" s="844"/>
      <c r="P1528" s="843" t="e">
        <f t="shared" si="66"/>
        <v>#REF!</v>
      </c>
    </row>
    <row r="1529" spans="1:18" s="658" customFormat="1" ht="15" customHeight="1">
      <c r="A1529" s="657">
        <f>IF(B1529="",MAX($A$8:A1528)+0,MAX($A$8:A1528)+1)</f>
        <v>165</v>
      </c>
      <c r="B1529" s="835" t="str">
        <f>IF(C1529="","",COUNTA($C$10:C1530))</f>
        <v/>
      </c>
      <c r="C1529" s="362"/>
      <c r="D1529" s="845"/>
      <c r="E1529" s="852" t="s">
        <v>2032</v>
      </c>
      <c r="F1529" s="848" t="str">
        <f>VLOOKUP(E1529,DICH!B:C,2,FALSE)</f>
        <v xml:space="preserve">  A - Material</v>
      </c>
      <c r="G1529" s="846"/>
      <c r="H1529" s="847"/>
      <c r="I1529" s="848"/>
      <c r="J1529" s="849">
        <f>SUM(J1530:J1531)</f>
        <v>34364017.967570208</v>
      </c>
      <c r="K1529" s="850"/>
      <c r="L1529" s="850"/>
      <c r="M1529" s="850"/>
      <c r="N1529" s="843" t="e">
        <f>SUMIF(#REF!,'8.Dgia'!A1529,#REF!)+SUMIF(#REF!,'8.Dgia'!A1529,#REF!)+SUMIF(#REF!,'8.Dgia'!A1529,#REF!)+SUMIF(#REF!,'8.Dgia'!A1529,#REF!)</f>
        <v>#REF!</v>
      </c>
      <c r="O1529" s="844"/>
      <c r="P1529" s="843" t="e">
        <f t="shared" si="66"/>
        <v>#REF!</v>
      </c>
    </row>
    <row r="1530" spans="1:18" ht="15" customHeight="1">
      <c r="A1530" s="657">
        <f>IF(B1530="",MAX($A$8:A1529)+0,MAX($A$8:A1529)+1)</f>
        <v>165</v>
      </c>
      <c r="B1530" s="835" t="str">
        <f>IF(C1530="","",COUNTA($C$10:C1531))</f>
        <v/>
      </c>
      <c r="C1530" s="362"/>
      <c r="D1530" s="851"/>
      <c r="E1530" s="852" t="s">
        <v>638</v>
      </c>
      <c r="F1530" s="848" t="str">
        <f>VLOOKUP(E1530,DICH!B:C,2,FALSE)</f>
        <v>Steel sheet stake</v>
      </c>
      <c r="G1530" s="362" t="s">
        <v>628</v>
      </c>
      <c r="H1530" s="847">
        <f>100*(1.17%*20+3.5%)</f>
        <v>26.900000000000002</v>
      </c>
      <c r="I1530" s="848">
        <f>VLOOKUP(E1530,'11.gia '!$B:$I,8,FALSE)</f>
        <v>1271117.2008940505</v>
      </c>
      <c r="J1530" s="853">
        <f>I1530*H1530</f>
        <v>34193052.70404996</v>
      </c>
      <c r="N1530" s="843" t="e">
        <f>SUMIF(#REF!,'8.Dgia'!A1530,#REF!)+SUMIF(#REF!,'8.Dgia'!A1530,#REF!)+SUMIF(#REF!,'8.Dgia'!A1530,#REF!)+SUMIF(#REF!,'8.Dgia'!A1530,#REF!)</f>
        <v>#REF!</v>
      </c>
      <c r="O1530" s="844">
        <f>+$H$1531</f>
        <v>0.5</v>
      </c>
      <c r="P1530" s="843" t="e">
        <f t="shared" si="66"/>
        <v>#REF!</v>
      </c>
    </row>
    <row r="1531" spans="1:18" ht="15" customHeight="1">
      <c r="A1531" s="657">
        <f>IF(B1531="",MAX($A$8:A1530)+0,MAX($A$8:A1530)+1)</f>
        <v>165</v>
      </c>
      <c r="B1531" s="835" t="str">
        <f>IF(C1531="","",COUNTA($C$10:C1532))</f>
        <v/>
      </c>
      <c r="C1531" s="362"/>
      <c r="D1531" s="851"/>
      <c r="E1531" s="852" t="s">
        <v>555</v>
      </c>
      <c r="F1531" s="848" t="str">
        <f>VLOOKUP(E1531,DICH!B:C,2,FALSE)</f>
        <v>Other material</v>
      </c>
      <c r="G1531" s="362" t="s">
        <v>554</v>
      </c>
      <c r="H1531" s="847">
        <v>0.5</v>
      </c>
      <c r="I1531" s="848">
        <f>J1530</f>
        <v>34193052.70404996</v>
      </c>
      <c r="J1531" s="853">
        <f>I1531*H1531%</f>
        <v>170965.26352024981</v>
      </c>
      <c r="N1531" s="843" t="e">
        <f>SUMIF(#REF!,'8.Dgia'!A1531,#REF!)+SUMIF(#REF!,'8.Dgia'!A1531,#REF!)+SUMIF(#REF!,'8.Dgia'!A1531,#REF!)+SUMIF(#REF!,'8.Dgia'!A1531,#REF!)</f>
        <v>#REF!</v>
      </c>
      <c r="O1531" s="844"/>
      <c r="P1531" s="843" t="e">
        <f t="shared" si="66"/>
        <v>#REF!</v>
      </c>
    </row>
    <row r="1532" spans="1:18" ht="26.25" customHeight="1">
      <c r="A1532" s="657">
        <f>IF(B1532="",MAX($A$8:A1531)+0,MAX($A$8:A1531)+1)</f>
        <v>166</v>
      </c>
      <c r="B1532" s="835">
        <f>IF(C1532="","",COUNTA($C$10:C1533))</f>
        <v>166</v>
      </c>
      <c r="C1532" s="835">
        <f>IF(D1532="","",1776)</f>
        <v>1776</v>
      </c>
      <c r="D1532" s="851" t="s">
        <v>176</v>
      </c>
      <c r="E1532" s="855" t="s">
        <v>5569</v>
      </c>
      <c r="F1532" s="1049" t="s">
        <v>5570</v>
      </c>
      <c r="G1532" s="856" t="s">
        <v>546</v>
      </c>
      <c r="H1532" s="847"/>
      <c r="I1532" s="848"/>
      <c r="J1532" s="853"/>
      <c r="K1532" s="842">
        <f>+J1533</f>
        <v>13439013.718172438</v>
      </c>
      <c r="N1532" s="843" t="e">
        <f>SUMIF(#REF!,'8.Dgia'!A1532,#REF!)+SUMIF(#REF!,'8.Dgia'!A1532,#REF!)+SUMIF(#REF!,'8.Dgia'!A1532,#REF!)+SUMIF(#REF!,'8.Dgia'!A1532,#REF!)</f>
        <v>#REF!</v>
      </c>
      <c r="O1532" s="844"/>
      <c r="P1532" s="843" t="e">
        <f t="shared" si="66"/>
        <v>#REF!</v>
      </c>
    </row>
    <row r="1533" spans="1:18" s="658" customFormat="1" ht="15" customHeight="1">
      <c r="A1533" s="657">
        <f>IF(B1533="",MAX($A$8:A1532)+0,MAX($A$8:A1532)+1)</f>
        <v>166</v>
      </c>
      <c r="B1533" s="835" t="str">
        <f>IF(C1533="","",COUNTA($C$10:C1534))</f>
        <v/>
      </c>
      <c r="C1533" s="362"/>
      <c r="D1533" s="845"/>
      <c r="E1533" s="852" t="s">
        <v>2032</v>
      </c>
      <c r="F1533" s="848" t="str">
        <f>VLOOKUP(E1533,DICH!B:C,2,FALSE)</f>
        <v xml:space="preserve">  A - Material</v>
      </c>
      <c r="G1533" s="846"/>
      <c r="H1533" s="847"/>
      <c r="I1533" s="848"/>
      <c r="J1533" s="849">
        <f>SUM(J1534:J1535)</f>
        <v>13439013.718172438</v>
      </c>
      <c r="K1533" s="850"/>
      <c r="L1533" s="850"/>
      <c r="M1533" s="850"/>
      <c r="N1533" s="843" t="e">
        <f>SUMIF(#REF!,'8.Dgia'!A1533,#REF!)+SUMIF(#REF!,'8.Dgia'!A1533,#REF!)+SUMIF(#REF!,'8.Dgia'!A1533,#REF!)+SUMIF(#REF!,'8.Dgia'!A1533,#REF!)</f>
        <v>#REF!</v>
      </c>
      <c r="O1533" s="844"/>
      <c r="P1533" s="843" t="e">
        <f t="shared" si="66"/>
        <v>#REF!</v>
      </c>
    </row>
    <row r="1534" spans="1:18" ht="15" customHeight="1">
      <c r="A1534" s="657">
        <f>IF(B1534="",MAX($A$8:A1533)+0,MAX($A$8:A1533)+1)</f>
        <v>166</v>
      </c>
      <c r="B1534" s="835" t="str">
        <f>IF(C1534="","",COUNTA($C$10:C1535))</f>
        <v/>
      </c>
      <c r="C1534" s="362"/>
      <c r="D1534" s="851"/>
      <c r="E1534" s="852" t="s">
        <v>638</v>
      </c>
      <c r="F1534" s="848" t="str">
        <f>VLOOKUP(E1534,DICH!B:C,2,FALSE)</f>
        <v>Steel sheet stake</v>
      </c>
      <c r="G1534" s="362" t="s">
        <v>628</v>
      </c>
      <c r="H1534" s="847">
        <f>100*(1.17%*6+3.5%)</f>
        <v>10.52</v>
      </c>
      <c r="I1534" s="848">
        <f>VLOOKUP(E1534,'11.gia '!$B:$I,8,FALSE)</f>
        <v>1271117.2008940505</v>
      </c>
      <c r="J1534" s="853">
        <f>I1534*H1534</f>
        <v>13372152.953405412</v>
      </c>
      <c r="N1534" s="843" t="e">
        <f>SUMIF(#REF!,'8.Dgia'!A1534,#REF!)+SUMIF(#REF!,'8.Dgia'!A1534,#REF!)+SUMIF(#REF!,'8.Dgia'!A1534,#REF!)+SUMIF(#REF!,'8.Dgia'!A1534,#REF!)</f>
        <v>#REF!</v>
      </c>
      <c r="O1534" s="844">
        <f>+$H$1535</f>
        <v>0.5</v>
      </c>
      <c r="P1534" s="843" t="e">
        <f t="shared" si="66"/>
        <v>#REF!</v>
      </c>
    </row>
    <row r="1535" spans="1:18" ht="15" customHeight="1">
      <c r="A1535" s="657">
        <f>IF(B1535="",MAX($A$8:A1534)+0,MAX($A$8:A1534)+1)</f>
        <v>166</v>
      </c>
      <c r="B1535" s="835" t="str">
        <f>IF(C1535="","",COUNTA($C$10:C1540))</f>
        <v/>
      </c>
      <c r="C1535" s="362"/>
      <c r="D1535" s="851"/>
      <c r="E1535" s="852" t="s">
        <v>555</v>
      </c>
      <c r="F1535" s="848" t="str">
        <f>VLOOKUP(E1535,DICH!B:C,2,FALSE)</f>
        <v>Other material</v>
      </c>
      <c r="G1535" s="362" t="s">
        <v>554</v>
      </c>
      <c r="H1535" s="847">
        <v>0.5</v>
      </c>
      <c r="I1535" s="848">
        <f>J1534</f>
        <v>13372152.953405412</v>
      </c>
      <c r="J1535" s="853">
        <f>I1535*H1535%</f>
        <v>66860.764767027067</v>
      </c>
      <c r="N1535" s="843" t="e">
        <f>SUMIF(#REF!,'8.Dgia'!A1535,#REF!)+SUMIF(#REF!,'8.Dgia'!A1535,#REF!)+SUMIF(#REF!,'8.Dgia'!A1535,#REF!)+SUMIF(#REF!,'8.Dgia'!A1535,#REF!)</f>
        <v>#REF!</v>
      </c>
      <c r="O1535" s="844"/>
      <c r="P1535" s="843" t="e">
        <f t="shared" si="66"/>
        <v>#REF!</v>
      </c>
    </row>
    <row r="1536" spans="1:18" ht="26.25" customHeight="1">
      <c r="A1536" s="657">
        <f>IF(B1536="",MAX($A$8:A1535)+0,MAX($A$8:A1535)+1)</f>
        <v>167</v>
      </c>
      <c r="B1536" s="835">
        <f>IF(C1536="","",COUNTA($C$10:C1537))</f>
        <v>167</v>
      </c>
      <c r="C1536" s="835">
        <f>IF(D1536="","",1776)</f>
        <v>1776</v>
      </c>
      <c r="D1536" s="851" t="s">
        <v>444</v>
      </c>
      <c r="E1536" s="855" t="s">
        <v>5576</v>
      </c>
      <c r="F1536" s="1049" t="s">
        <v>5577</v>
      </c>
      <c r="G1536" s="856" t="s">
        <v>546</v>
      </c>
      <c r="H1536" s="847"/>
      <c r="I1536" s="848"/>
      <c r="J1536" s="853"/>
      <c r="K1536" s="842">
        <f>+J1537</f>
        <v>5965797.9148160927</v>
      </c>
      <c r="N1536" s="843" t="e">
        <f>SUMIF(#REF!,'8.Dgia'!A1536,#REF!)+SUMIF(#REF!,'8.Dgia'!A1536,#REF!)+SUMIF(#REF!,'8.Dgia'!A1536,#REF!)+SUMIF(#REF!,'8.Dgia'!A1536,#REF!)</f>
        <v>#REF!</v>
      </c>
      <c r="O1536" s="844"/>
      <c r="P1536" s="843" t="e">
        <f>$H1536*N1536*(1+O1536%)</f>
        <v>#REF!</v>
      </c>
    </row>
    <row r="1537" spans="1:18" s="658" customFormat="1" ht="15" customHeight="1">
      <c r="A1537" s="657">
        <f>IF(B1537="",MAX($A$8:A1536)+0,MAX($A$8:A1536)+1)</f>
        <v>167</v>
      </c>
      <c r="B1537" s="835" t="str">
        <f>IF(C1537="","",COUNTA($C$10:C1538))</f>
        <v/>
      </c>
      <c r="C1537" s="362"/>
      <c r="D1537" s="845"/>
      <c r="E1537" s="852" t="s">
        <v>2032</v>
      </c>
      <c r="F1537" s="848" t="str">
        <f>VLOOKUP(E1537,DICH!B:C,2,FALSE)</f>
        <v xml:space="preserve">  A - Material</v>
      </c>
      <c r="G1537" s="846"/>
      <c r="H1537" s="847"/>
      <c r="I1537" s="848"/>
      <c r="J1537" s="849">
        <f>SUM(J1538:J1539)</f>
        <v>5965797.9148160927</v>
      </c>
      <c r="K1537" s="850"/>
      <c r="L1537" s="850"/>
      <c r="M1537" s="850"/>
      <c r="N1537" s="843" t="e">
        <f>SUMIF(#REF!,'8.Dgia'!A1537,#REF!)+SUMIF(#REF!,'8.Dgia'!A1537,#REF!)+SUMIF(#REF!,'8.Dgia'!A1537,#REF!)+SUMIF(#REF!,'8.Dgia'!A1537,#REF!)</f>
        <v>#REF!</v>
      </c>
      <c r="O1537" s="844"/>
      <c r="P1537" s="843" t="e">
        <f>$H1537*N1537*(1+O1537%)</f>
        <v>#REF!</v>
      </c>
    </row>
    <row r="1538" spans="1:18" ht="15" customHeight="1">
      <c r="A1538" s="657">
        <f>IF(B1538="",MAX($A$8:A1537)+0,MAX($A$8:A1537)+1)</f>
        <v>167</v>
      </c>
      <c r="B1538" s="835" t="str">
        <f>IF(C1538="","",COUNTA($C$10:C1539))</f>
        <v/>
      </c>
      <c r="C1538" s="362"/>
      <c r="D1538" s="851"/>
      <c r="E1538" s="852" t="s">
        <v>638</v>
      </c>
      <c r="F1538" s="848" t="str">
        <f>VLOOKUP(E1538,DICH!B:C,2,FALSE)</f>
        <v>Steel sheet stake</v>
      </c>
      <c r="G1538" s="362" t="s">
        <v>628</v>
      </c>
      <c r="H1538" s="847">
        <f>100*(1.17%*1+3.5%)</f>
        <v>4.6700000000000008</v>
      </c>
      <c r="I1538" s="848">
        <f>VLOOKUP(E1538,'11.gia '!$B:$I,8,FALSE)</f>
        <v>1271117.2008940505</v>
      </c>
      <c r="J1538" s="853">
        <f>I1538*H1538</f>
        <v>5936117.3281752169</v>
      </c>
      <c r="N1538" s="843" t="e">
        <f>SUMIF(#REF!,'8.Dgia'!A1538,#REF!)+SUMIF(#REF!,'8.Dgia'!A1538,#REF!)+SUMIF(#REF!,'8.Dgia'!A1538,#REF!)+SUMIF(#REF!,'8.Dgia'!A1538,#REF!)</f>
        <v>#REF!</v>
      </c>
      <c r="O1538" s="844">
        <f>+$H$1535</f>
        <v>0.5</v>
      </c>
      <c r="P1538" s="843" t="e">
        <f>$H1538*N1538*(1+O1538%)</f>
        <v>#REF!</v>
      </c>
    </row>
    <row r="1539" spans="1:18" ht="15" customHeight="1">
      <c r="A1539" s="657">
        <f>IF(B1539="",MAX($A$8:A1538)+0,MAX($A$8:A1538)+1)</f>
        <v>167</v>
      </c>
      <c r="B1539" s="835" t="str">
        <f>IF(C1539="","",COUNTA($C$10:C1544))</f>
        <v/>
      </c>
      <c r="C1539" s="362"/>
      <c r="D1539" s="851"/>
      <c r="E1539" s="852" t="s">
        <v>555</v>
      </c>
      <c r="F1539" s="848" t="str">
        <f>VLOOKUP(E1539,DICH!B:C,2,FALSE)</f>
        <v>Other material</v>
      </c>
      <c r="G1539" s="362" t="s">
        <v>554</v>
      </c>
      <c r="H1539" s="847">
        <v>0.5</v>
      </c>
      <c r="I1539" s="848">
        <f>J1538</f>
        <v>5936117.3281752169</v>
      </c>
      <c r="J1539" s="853">
        <f>I1539*H1539%</f>
        <v>29680.586640876085</v>
      </c>
      <c r="N1539" s="843" t="e">
        <f>SUMIF(#REF!,'8.Dgia'!A1539,#REF!)+SUMIF(#REF!,'8.Dgia'!A1539,#REF!)+SUMIF(#REF!,'8.Dgia'!A1539,#REF!)+SUMIF(#REF!,'8.Dgia'!A1539,#REF!)</f>
        <v>#REF!</v>
      </c>
      <c r="O1539" s="844"/>
      <c r="P1539" s="843" t="e">
        <f>$H1539*N1539*(1+O1539%)</f>
        <v>#REF!</v>
      </c>
    </row>
    <row r="1540" spans="1:18" ht="27.75" customHeight="1">
      <c r="A1540" s="657">
        <f>IF(B1540="",MAX($A$8:A1539)+0,MAX($A$8:A1539)+1)</f>
        <v>168</v>
      </c>
      <c r="B1540" s="835">
        <f>IF(C1540="","",COUNTA($C$10:C1541))</f>
        <v>168</v>
      </c>
      <c r="C1540" s="835">
        <f>IF(D1540="","",1776)</f>
        <v>1776</v>
      </c>
      <c r="D1540" s="851" t="s">
        <v>443</v>
      </c>
      <c r="E1540" s="855" t="s">
        <v>2081</v>
      </c>
      <c r="F1540" s="1049" t="str">
        <f>VLOOKUP(E1540,DICH!B:C,2,FALSE)</f>
        <v>Steel pile, amor=1.17%*24 months +3.5%</v>
      </c>
      <c r="G1540" s="856" t="s">
        <v>546</v>
      </c>
      <c r="H1540" s="847"/>
      <c r="I1540" s="848"/>
      <c r="J1540" s="853"/>
      <c r="K1540" s="842">
        <f>+J1541</f>
        <v>40342590.610255286</v>
      </c>
      <c r="N1540" s="843" t="s">
        <v>457</v>
      </c>
      <c r="O1540" s="844"/>
      <c r="P1540" s="843"/>
    </row>
    <row r="1541" spans="1:18" s="658" customFormat="1" ht="15" customHeight="1">
      <c r="A1541" s="657">
        <f>IF(B1541="",MAX($A$8:A1540)+0,MAX($A$8:A1540)+1)</f>
        <v>168</v>
      </c>
      <c r="B1541" s="835" t="str">
        <f>IF(C1541="","",COUNTA($C$10:C1542))</f>
        <v/>
      </c>
      <c r="C1541" s="362"/>
      <c r="D1541" s="845"/>
      <c r="E1541" s="852" t="s">
        <v>2032</v>
      </c>
      <c r="F1541" s="848" t="str">
        <f>VLOOKUP(E1541,DICH!B:C,2,FALSE)</f>
        <v xml:space="preserve">  A - Material</v>
      </c>
      <c r="G1541" s="846"/>
      <c r="H1541" s="847"/>
      <c r="I1541" s="848"/>
      <c r="J1541" s="849">
        <f>SUM(J1542:J1543)</f>
        <v>40342590.610255286</v>
      </c>
      <c r="K1541" s="850"/>
      <c r="L1541" s="850"/>
      <c r="M1541" s="850"/>
      <c r="N1541" s="843" t="s">
        <v>457</v>
      </c>
      <c r="O1541" s="844"/>
      <c r="P1541" s="843"/>
    </row>
    <row r="1542" spans="1:18" ht="15" customHeight="1">
      <c r="A1542" s="657">
        <f>IF(B1542="",MAX($A$8:A1541)+0,MAX($A$8:A1541)+1)</f>
        <v>168</v>
      </c>
      <c r="B1542" s="835" t="str">
        <f>IF(C1542="","",COUNTA($C$10:C1543))</f>
        <v/>
      </c>
      <c r="C1542" s="362"/>
      <c r="D1542" s="851"/>
      <c r="E1542" s="852" t="s">
        <v>638</v>
      </c>
      <c r="F1542" s="848" t="str">
        <f>VLOOKUP(E1542,DICH!B:C,2,FALSE)</f>
        <v>Steel sheet stake</v>
      </c>
      <c r="G1542" s="362" t="s">
        <v>628</v>
      </c>
      <c r="H1542" s="847">
        <f>100*(1.17%*24+3.5%)</f>
        <v>31.58</v>
      </c>
      <c r="I1542" s="848">
        <f>VLOOKUP(E1542,'11.gia '!$B:$I,8,FALSE)</f>
        <v>1271117.2008940505</v>
      </c>
      <c r="J1542" s="853">
        <f>I1542*H1542</f>
        <v>40141881.204234116</v>
      </c>
      <c r="N1542" s="843" t="s">
        <v>457</v>
      </c>
      <c r="O1542" s="844"/>
      <c r="P1542" s="843"/>
    </row>
    <row r="1543" spans="1:18" ht="15" customHeight="1">
      <c r="A1543" s="657">
        <f>IF(B1543="",MAX($A$8:A1542)+0,MAX($A$8:A1542)+1)</f>
        <v>168</v>
      </c>
      <c r="B1543" s="835" t="str">
        <f>IF(C1543="","",COUNTA($C$10:C1544))</f>
        <v/>
      </c>
      <c r="C1543" s="362"/>
      <c r="D1543" s="851"/>
      <c r="E1543" s="852" t="s">
        <v>555</v>
      </c>
      <c r="F1543" s="848" t="str">
        <f>VLOOKUP(E1543,DICH!B:C,2,FALSE)</f>
        <v>Other material</v>
      </c>
      <c r="G1543" s="362" t="s">
        <v>554</v>
      </c>
      <c r="H1543" s="847">
        <v>0.5</v>
      </c>
      <c r="I1543" s="848">
        <f>J1542</f>
        <v>40141881.204234116</v>
      </c>
      <c r="J1543" s="853">
        <f>I1543*H1543%</f>
        <v>200709.40602117058</v>
      </c>
      <c r="N1543" s="843" t="s">
        <v>457</v>
      </c>
      <c r="O1543" s="844"/>
      <c r="P1543" s="843"/>
    </row>
    <row r="1544" spans="1:18" ht="15" customHeight="1">
      <c r="A1544" s="657">
        <f>IF(B1544="",MAX($A$8:A1543)+0,MAX($A$8:A1543)+1)</f>
        <v>169</v>
      </c>
      <c r="B1544" s="835">
        <f>IF(C1544="","",COUNTA($C$10:C1545))</f>
        <v>169</v>
      </c>
      <c r="C1544" s="835">
        <f>IF(D1544="","",1776)</f>
        <v>1776</v>
      </c>
      <c r="D1544" s="851" t="s">
        <v>443</v>
      </c>
      <c r="E1544" s="855" t="s">
        <v>629</v>
      </c>
      <c r="F1544" s="1049" t="str">
        <f>VLOOKUP(E1544,DICH!B:C,2,FALSE)</f>
        <v>Driving steel sheet pile (water), L&gt;12m, soil C1</v>
      </c>
      <c r="G1544" s="856" t="s">
        <v>546</v>
      </c>
      <c r="H1544" s="847"/>
      <c r="I1544" s="848"/>
      <c r="J1544" s="853"/>
      <c r="L1544" s="842">
        <f>+J1545</f>
        <v>3218226.9</v>
      </c>
      <c r="M1544" s="842">
        <f>+J1546</f>
        <v>30009958.548055641</v>
      </c>
      <c r="N1544" s="843" t="e">
        <f>SUMIF(#REF!,'8.Dgia'!A1544,#REF!)+SUMIF(#REF!,'8.Dgia'!A1544,#REF!)+SUMIF(#REF!,'8.Dgia'!A1544,#REF!)+SUMIF(#REF!,'8.Dgia'!A1544,#REF!)</f>
        <v>#REF!</v>
      </c>
      <c r="O1544" s="844"/>
      <c r="P1544" s="843" t="e">
        <f t="shared" si="66"/>
        <v>#REF!</v>
      </c>
    </row>
    <row r="1545" spans="1:18" s="658" customFormat="1" ht="15" customHeight="1">
      <c r="A1545" s="657">
        <f>IF(B1545="",MAX($A$8:A1544)+0,MAX($A$8:A1544)+1)</f>
        <v>169</v>
      </c>
      <c r="B1545" s="835" t="str">
        <f>IF(C1545="","",COUNTA($C$10:C1546))</f>
        <v/>
      </c>
      <c r="C1545" s="362"/>
      <c r="D1545" s="845"/>
      <c r="E1545" s="852" t="s">
        <v>2039</v>
      </c>
      <c r="F1545" s="848" t="str">
        <f>VLOOKUP(E1545,DICH!B:C,2,FALSE)</f>
        <v xml:space="preserve">  B - Labour 4.0/7</v>
      </c>
      <c r="G1545" s="362" t="s">
        <v>4899</v>
      </c>
      <c r="H1545" s="847">
        <v>14.7</v>
      </c>
      <c r="I1545" s="848">
        <f>VLOOKUP(E1545,'16.NC'!$C$11:$F$22,4,FALSE)</f>
        <v>218927</v>
      </c>
      <c r="J1545" s="849">
        <f>I1545*H1545</f>
        <v>3218226.9</v>
      </c>
      <c r="K1545" s="850"/>
      <c r="L1545" s="850"/>
      <c r="M1545" s="850"/>
      <c r="N1545" s="843" t="e">
        <f>SUMIF(#REF!,'8.Dgia'!A1545,#REF!)+SUMIF(#REF!,'8.Dgia'!A1545,#REF!)+SUMIF(#REF!,'8.Dgia'!A1545,#REF!)+SUMIF(#REF!,'8.Dgia'!A1545,#REF!)</f>
        <v>#REF!</v>
      </c>
      <c r="O1545" s="844"/>
      <c r="P1545" s="843" t="e">
        <f t="shared" si="66"/>
        <v>#REF!</v>
      </c>
      <c r="R1545" s="658">
        <v>1</v>
      </c>
    </row>
    <row r="1546" spans="1:18" s="658" customFormat="1" ht="15" customHeight="1">
      <c r="A1546" s="657">
        <f>IF(B1546="",MAX($A$8:A1545)+0,MAX($A$8:A1545)+1)</f>
        <v>169</v>
      </c>
      <c r="B1546" s="835" t="str">
        <f>IF(C1546="","",COUNTA($C$10:C1547))</f>
        <v/>
      </c>
      <c r="C1546" s="362"/>
      <c r="D1546" s="845"/>
      <c r="E1546" s="852" t="s">
        <v>2033</v>
      </c>
      <c r="F1546" s="848" t="str">
        <f>VLOOKUP(E1546,DICH!B:C,2,FALSE)</f>
        <v xml:space="preserve">  C - Machine</v>
      </c>
      <c r="G1546" s="846"/>
      <c r="H1546" s="847"/>
      <c r="I1546" s="848"/>
      <c r="J1546" s="849">
        <f>SUM(J1547:J1551)</f>
        <v>30009958.548055641</v>
      </c>
      <c r="K1546" s="850"/>
      <c r="L1546" s="850"/>
      <c r="M1546" s="850"/>
      <c r="N1546" s="843" t="e">
        <f>SUMIF(#REF!,'8.Dgia'!A1546,#REF!)+SUMIF(#REF!,'8.Dgia'!A1546,#REF!)+SUMIF(#REF!,'8.Dgia'!A1546,#REF!)+SUMIF(#REF!,'8.Dgia'!A1546,#REF!)</f>
        <v>#REF!</v>
      </c>
      <c r="O1546" s="844"/>
      <c r="P1546" s="843" t="e">
        <f t="shared" si="66"/>
        <v>#REF!</v>
      </c>
    </row>
    <row r="1547" spans="1:18" ht="15" customHeight="1">
      <c r="A1547" s="657">
        <f>IF(B1547="",MAX($A$8:A1546)+0,MAX($A$8:A1546)+1)</f>
        <v>169</v>
      </c>
      <c r="B1547" s="835" t="str">
        <f>IF(C1547="","",COUNTA($C$10:C1548))</f>
        <v/>
      </c>
      <c r="C1547" s="362"/>
      <c r="D1547" s="851"/>
      <c r="E1547" s="852" t="s">
        <v>1501</v>
      </c>
      <c r="F1547" s="848" t="str">
        <f>VLOOKUP(E1547,'9.may'!E:F,2,FALSE)</f>
        <v>pile driver, diesel self-propelled hammer 1.8T</v>
      </c>
      <c r="G1547" s="362" t="s">
        <v>4902</v>
      </c>
      <c r="H1547" s="847">
        <v>4.7300000000000004</v>
      </c>
      <c r="I1547" s="848">
        <f>VLOOKUP(E1547,'9.may'!E:W,12,FALSE)</f>
        <v>2693810.7109090909</v>
      </c>
      <c r="J1547" s="853">
        <f>I1547*H1547</f>
        <v>12741724.662600001</v>
      </c>
      <c r="N1547" s="843" t="e">
        <f>SUMIF(#REF!,'8.Dgia'!A1547,#REF!)+SUMIF(#REF!,'8.Dgia'!A1547,#REF!)+SUMIF(#REF!,'8.Dgia'!A1547,#REF!)+SUMIF(#REF!,'8.Dgia'!A1547,#REF!)</f>
        <v>#REF!</v>
      </c>
      <c r="O1547" s="844"/>
      <c r="P1547" s="843" t="e">
        <f t="shared" si="66"/>
        <v>#REF!</v>
      </c>
    </row>
    <row r="1548" spans="1:18" ht="15" customHeight="1">
      <c r="A1548" s="657">
        <f>IF(B1548="",MAX($A$8:A1547)+0,MAX($A$8:A1547)+1)</f>
        <v>169</v>
      </c>
      <c r="B1548" s="835" t="str">
        <f>IF(C1548="","",COUNTA($C$10:C1549))</f>
        <v/>
      </c>
      <c r="C1548" s="362"/>
      <c r="D1548" s="851"/>
      <c r="E1548" s="852" t="s">
        <v>288</v>
      </c>
      <c r="F1548" s="848" t="str">
        <f>VLOOKUP(E1548,'9.may'!E:F,2,FALSE)</f>
        <v>caterpillar crane 25T</v>
      </c>
      <c r="G1548" s="362" t="s">
        <v>4902</v>
      </c>
      <c r="H1548" s="847">
        <f>H1547</f>
        <v>4.7300000000000004</v>
      </c>
      <c r="I1548" s="848">
        <f>VLOOKUP(E1548,'9.may'!E:W,12,FALSE)</f>
        <v>2787996.6736363638</v>
      </c>
      <c r="J1548" s="853">
        <f>I1548*H1548</f>
        <v>13187224.266300002</v>
      </c>
      <c r="N1548" s="843" t="e">
        <f>SUMIF(#REF!,'8.Dgia'!A1548,#REF!)+SUMIF(#REF!,'8.Dgia'!A1548,#REF!)+SUMIF(#REF!,'8.Dgia'!A1548,#REF!)+SUMIF(#REF!,'8.Dgia'!A1548,#REF!)</f>
        <v>#REF!</v>
      </c>
      <c r="O1548" s="844"/>
      <c r="P1548" s="843" t="e">
        <f t="shared" si="66"/>
        <v>#REF!</v>
      </c>
    </row>
    <row r="1549" spans="1:18" ht="15" customHeight="1">
      <c r="A1549" s="657">
        <f>IF(B1549="",MAX($A$8:A1548)+0,MAX($A$8:A1548)+1)</f>
        <v>169</v>
      </c>
      <c r="B1549" s="835" t="str">
        <f>IF(C1549="","",COUNTA($C$10:C1550))</f>
        <v/>
      </c>
      <c r="C1549" s="362"/>
      <c r="D1549" s="851"/>
      <c r="E1549" s="852" t="s">
        <v>611</v>
      </c>
      <c r="F1549" s="848" t="str">
        <f>VLOOKUP(E1549,'9.may'!E:F,2,FALSE)</f>
        <v>tug boat 150CV</v>
      </c>
      <c r="G1549" s="362" t="s">
        <v>4902</v>
      </c>
      <c r="H1549" s="847">
        <v>0.13</v>
      </c>
      <c r="I1549" s="848">
        <f>VLOOKUP(E1549,'9.may'!E:W,12,FALSE)</f>
        <v>3329663.6045454545</v>
      </c>
      <c r="J1549" s="853">
        <f>I1549*H1549</f>
        <v>432856.26859090908</v>
      </c>
      <c r="N1549" s="843" t="e">
        <f>SUMIF(#REF!,'8.Dgia'!A1549,#REF!)+SUMIF(#REF!,'8.Dgia'!A1549,#REF!)+SUMIF(#REF!,'8.Dgia'!A1549,#REF!)+SUMIF(#REF!,'8.Dgia'!A1549,#REF!)</f>
        <v>#REF!</v>
      </c>
      <c r="O1549" s="844"/>
      <c r="P1549" s="843" t="e">
        <f t="shared" si="66"/>
        <v>#REF!</v>
      </c>
    </row>
    <row r="1550" spans="1:18" ht="15" customHeight="1">
      <c r="A1550" s="657">
        <f>IF(B1550="",MAX($A$8:A1549)+0,MAX($A$8:A1549)+1)</f>
        <v>169</v>
      </c>
      <c r="B1550" s="835" t="str">
        <f>IF(C1550="","",COUNTA($C$10:C1551))</f>
        <v/>
      </c>
      <c r="C1550" s="362"/>
      <c r="D1550" s="851"/>
      <c r="E1550" s="852" t="s">
        <v>561</v>
      </c>
      <c r="F1550" s="848" t="str">
        <f>VLOOKUP(E1550,'9.may'!E:F,2,FALSE)</f>
        <v>barge 200Ton</v>
      </c>
      <c r="G1550" s="362" t="s">
        <v>4902</v>
      </c>
      <c r="H1550" s="847">
        <v>4.7300000000000004</v>
      </c>
      <c r="I1550" s="848">
        <f>VLOOKUP(E1550,'9.may'!E:W,12,FALSE)</f>
        <v>586485.6</v>
      </c>
      <c r="J1550" s="853">
        <f>I1550*H1550</f>
        <v>2774076.8880000003</v>
      </c>
      <c r="N1550" s="843" t="e">
        <f>SUMIF(#REF!,'8.Dgia'!A1550,#REF!)+SUMIF(#REF!,'8.Dgia'!A1550,#REF!)+SUMIF(#REF!,'8.Dgia'!A1550,#REF!)+SUMIF(#REF!,'8.Dgia'!A1550,#REF!)</f>
        <v>#REF!</v>
      </c>
      <c r="O1550" s="844"/>
      <c r="P1550" s="843" t="e">
        <f t="shared" si="66"/>
        <v>#REF!</v>
      </c>
    </row>
    <row r="1551" spans="1:18" ht="15" customHeight="1">
      <c r="A1551" s="657">
        <f>IF(B1551="",MAX($A$8:A1550)+0,MAX($A$8:A1550)+1)</f>
        <v>169</v>
      </c>
      <c r="B1551" s="835" t="str">
        <f>IF(C1551="","",COUNTA($C$10:C1552))</f>
        <v/>
      </c>
      <c r="C1551" s="362"/>
      <c r="D1551" s="851"/>
      <c r="E1551" s="852" t="s">
        <v>553</v>
      </c>
      <c r="F1551" s="848" t="str">
        <f>VLOOKUP(E1551,DICH!B:C,2,FALSE)</f>
        <v>Other machine</v>
      </c>
      <c r="G1551" s="362" t="s">
        <v>554</v>
      </c>
      <c r="H1551" s="847">
        <v>3</v>
      </c>
      <c r="I1551" s="848">
        <f>SUM(J1547:J1550)</f>
        <v>29135882.085490912</v>
      </c>
      <c r="J1551" s="853">
        <f>I1551*H1551%</f>
        <v>874076.46256472729</v>
      </c>
      <c r="N1551" s="843" t="e">
        <f>SUMIF(#REF!,'8.Dgia'!A1551,#REF!)+SUMIF(#REF!,'8.Dgia'!A1551,#REF!)+SUMIF(#REF!,'8.Dgia'!A1551,#REF!)+SUMIF(#REF!,'8.Dgia'!A1551,#REF!)</f>
        <v>#REF!</v>
      </c>
      <c r="O1551" s="844"/>
      <c r="P1551" s="843" t="e">
        <f t="shared" si="66"/>
        <v>#REF!</v>
      </c>
    </row>
    <row r="1552" spans="1:18" ht="15" customHeight="1">
      <c r="A1552" s="657">
        <f>IF(B1552="",MAX($A$8:A1551)+0,MAX($A$8:A1551)+1)</f>
        <v>170</v>
      </c>
      <c r="B1552" s="835">
        <f>IF(C1552="","",COUNTA($C$10:C1553))</f>
        <v>170</v>
      </c>
      <c r="C1552" s="835">
        <f>IF(D1552="","",1776)</f>
        <v>1776</v>
      </c>
      <c r="D1552" s="851" t="s">
        <v>445</v>
      </c>
      <c r="E1552" s="855" t="s">
        <v>639</v>
      </c>
      <c r="F1552" s="1049" t="str">
        <f>VLOOKUP(E1552,DICH!B:C,2,FALSE)</f>
        <v>Remove sheet pile (water)</v>
      </c>
      <c r="G1552" s="856" t="s">
        <v>546</v>
      </c>
      <c r="H1552" s="847"/>
      <c r="I1552" s="848"/>
      <c r="J1552" s="853"/>
      <c r="L1552" s="842">
        <f>+J1553</f>
        <v>1889340.0100000002</v>
      </c>
      <c r="M1552" s="842">
        <f>+J1554</f>
        <v>14915908.181545092</v>
      </c>
      <c r="N1552" s="843" t="e">
        <f>SUMIF(#REF!,'8.Dgia'!A1552,#REF!)+SUMIF(#REF!,'8.Dgia'!A1552,#REF!)+SUMIF(#REF!,'8.Dgia'!A1552,#REF!)+SUMIF(#REF!,'8.Dgia'!A1552,#REF!)</f>
        <v>#REF!</v>
      </c>
      <c r="O1552" s="844"/>
      <c r="P1552" s="843" t="e">
        <f t="shared" si="66"/>
        <v>#REF!</v>
      </c>
    </row>
    <row r="1553" spans="1:18" s="658" customFormat="1" ht="15" customHeight="1">
      <c r="A1553" s="657">
        <f>IF(B1553="",MAX($A$8:A1552)+0,MAX($A$8:A1552)+1)</f>
        <v>170</v>
      </c>
      <c r="B1553" s="835" t="str">
        <f>IF(C1553="","",COUNTA($C$10:C1554))</f>
        <v/>
      </c>
      <c r="C1553" s="362"/>
      <c r="D1553" s="845"/>
      <c r="E1553" s="852" t="s">
        <v>2039</v>
      </c>
      <c r="F1553" s="848" t="str">
        <f>VLOOKUP(E1553,DICH!B:C,2,FALSE)</f>
        <v xml:space="preserve">  B - Labour 4.0/7</v>
      </c>
      <c r="G1553" s="362" t="s">
        <v>4899</v>
      </c>
      <c r="H1553" s="847">
        <v>8.6300000000000008</v>
      </c>
      <c r="I1553" s="848">
        <f>VLOOKUP(E1553,'16.NC'!$C$11:$F$22,4,FALSE)</f>
        <v>218927</v>
      </c>
      <c r="J1553" s="849">
        <f>I1553*H1553</f>
        <v>1889340.0100000002</v>
      </c>
      <c r="K1553" s="850"/>
      <c r="L1553" s="850"/>
      <c r="M1553" s="850"/>
      <c r="N1553" s="843" t="e">
        <f>SUMIF(#REF!,'8.Dgia'!A1553,#REF!)+SUMIF(#REF!,'8.Dgia'!A1553,#REF!)+SUMIF(#REF!,'8.Dgia'!A1553,#REF!)+SUMIF(#REF!,'8.Dgia'!A1553,#REF!)</f>
        <v>#REF!</v>
      </c>
      <c r="O1553" s="844"/>
      <c r="P1553" s="843" t="e">
        <f t="shared" si="66"/>
        <v>#REF!</v>
      </c>
      <c r="R1553" s="658">
        <v>1</v>
      </c>
    </row>
    <row r="1554" spans="1:18" s="658" customFormat="1" ht="15" customHeight="1">
      <c r="A1554" s="657">
        <f>IF(B1554="",MAX($A$8:A1553)+0,MAX($A$8:A1553)+1)</f>
        <v>170</v>
      </c>
      <c r="B1554" s="835" t="str">
        <f>IF(C1554="","",COUNTA($C$10:C1555))</f>
        <v/>
      </c>
      <c r="C1554" s="362"/>
      <c r="D1554" s="845"/>
      <c r="E1554" s="852" t="s">
        <v>2033</v>
      </c>
      <c r="F1554" s="848" t="str">
        <f>VLOOKUP(E1554,DICH!B:C,2,FALSE)</f>
        <v xml:space="preserve">  C - Machine</v>
      </c>
      <c r="G1554" s="846"/>
      <c r="H1554" s="847"/>
      <c r="I1554" s="848"/>
      <c r="J1554" s="849">
        <f>SUM(J1555:J1559)</f>
        <v>14915908.181545092</v>
      </c>
      <c r="K1554" s="850"/>
      <c r="L1554" s="850"/>
      <c r="M1554" s="850"/>
      <c r="N1554" s="843" t="e">
        <f>SUMIF(#REF!,'8.Dgia'!A1554,#REF!)+SUMIF(#REF!,'8.Dgia'!A1554,#REF!)+SUMIF(#REF!,'8.Dgia'!A1554,#REF!)+SUMIF(#REF!,'8.Dgia'!A1554,#REF!)</f>
        <v>#REF!</v>
      </c>
      <c r="O1554" s="844"/>
      <c r="P1554" s="843" t="e">
        <f t="shared" si="66"/>
        <v>#REF!</v>
      </c>
    </row>
    <row r="1555" spans="1:18" ht="15" customHeight="1">
      <c r="A1555" s="657">
        <f>IF(B1555="",MAX($A$8:A1554)+0,MAX($A$8:A1554)+1)</f>
        <v>170</v>
      </c>
      <c r="B1555" s="835" t="str">
        <f>IF(C1555="","",COUNTA($C$10:C1556))</f>
        <v/>
      </c>
      <c r="C1555" s="362"/>
      <c r="D1555" s="851"/>
      <c r="E1555" s="852" t="s">
        <v>1522</v>
      </c>
      <c r="F1555" s="848" t="str">
        <f>VLOOKUP(E1555,'9.may'!E:F,2,FALSE)</f>
        <v>vibrator hammer 170kW</v>
      </c>
      <c r="G1555" s="362" t="s">
        <v>4902</v>
      </c>
      <c r="H1555" s="847">
        <v>2.89</v>
      </c>
      <c r="I1555" s="848">
        <f>VLOOKUP(E1555,'9.may'!E:W,12,FALSE)</f>
        <v>1555755.72</v>
      </c>
      <c r="J1555" s="853">
        <f>I1555*H1555</f>
        <v>4496134.0307999998</v>
      </c>
      <c r="N1555" s="843" t="e">
        <f>SUMIF(#REF!,'8.Dgia'!A1555,#REF!)+SUMIF(#REF!,'8.Dgia'!A1555,#REF!)+SUMIF(#REF!,'8.Dgia'!A1555,#REF!)+SUMIF(#REF!,'8.Dgia'!A1555,#REF!)</f>
        <v>#REF!</v>
      </c>
      <c r="O1555" s="844"/>
      <c r="P1555" s="843" t="e">
        <f t="shared" si="66"/>
        <v>#REF!</v>
      </c>
    </row>
    <row r="1556" spans="1:18" ht="15" customHeight="1">
      <c r="A1556" s="657">
        <f>IF(B1556="",MAX($A$8:A1555)+0,MAX($A$8:A1555)+1)</f>
        <v>170</v>
      </c>
      <c r="B1556" s="835" t="str">
        <f>IF(C1556="","",COUNTA($C$10:C1557))</f>
        <v/>
      </c>
      <c r="C1556" s="362"/>
      <c r="D1556" s="851"/>
      <c r="E1556" s="852" t="s">
        <v>288</v>
      </c>
      <c r="F1556" s="848" t="str">
        <f>VLOOKUP(E1556,'9.may'!E:F,2,FALSE)</f>
        <v>caterpillar crane 25T</v>
      </c>
      <c r="G1556" s="362" t="s">
        <v>4902</v>
      </c>
      <c r="H1556" s="847">
        <v>2.89</v>
      </c>
      <c r="I1556" s="848">
        <f>VLOOKUP(E1556,'9.may'!E:W,12,FALSE)</f>
        <v>2787996.6736363638</v>
      </c>
      <c r="J1556" s="853">
        <f>I1556*H1556</f>
        <v>8057310.386809092</v>
      </c>
      <c r="N1556" s="843" t="e">
        <f>SUMIF(#REF!,'8.Dgia'!A1556,#REF!)+SUMIF(#REF!,'8.Dgia'!A1556,#REF!)+SUMIF(#REF!,'8.Dgia'!A1556,#REF!)+SUMIF(#REF!,'8.Dgia'!A1556,#REF!)</f>
        <v>#REF!</v>
      </c>
      <c r="O1556" s="844"/>
      <c r="P1556" s="843" t="e">
        <f t="shared" si="66"/>
        <v>#REF!</v>
      </c>
    </row>
    <row r="1557" spans="1:18" ht="15" customHeight="1">
      <c r="A1557" s="657">
        <f>IF(B1557="",MAX($A$8:A1556)+0,MAX($A$8:A1556)+1)</f>
        <v>170</v>
      </c>
      <c r="B1557" s="835" t="str">
        <f>IF(C1557="","",COUNTA($C$10:C1558))</f>
        <v/>
      </c>
      <c r="C1557" s="362"/>
      <c r="D1557" s="851"/>
      <c r="E1557" s="852" t="s">
        <v>611</v>
      </c>
      <c r="F1557" s="848" t="str">
        <f>VLOOKUP(E1557,'9.may'!E:F,2,FALSE)</f>
        <v>tug boat 150CV</v>
      </c>
      <c r="G1557" s="362" t="s">
        <v>4902</v>
      </c>
      <c r="H1557" s="847">
        <v>7.0000000000000007E-2</v>
      </c>
      <c r="I1557" s="848">
        <f>VLOOKUP(E1557,'9.may'!E:W,12,FALSE)</f>
        <v>3329663.6045454545</v>
      </c>
      <c r="J1557" s="853">
        <f>I1557*H1557</f>
        <v>233076.45231818184</v>
      </c>
      <c r="N1557" s="843" t="e">
        <f>SUMIF(#REF!,'8.Dgia'!A1557,#REF!)+SUMIF(#REF!,'8.Dgia'!A1557,#REF!)+SUMIF(#REF!,'8.Dgia'!A1557,#REF!)+SUMIF(#REF!,'8.Dgia'!A1557,#REF!)</f>
        <v>#REF!</v>
      </c>
      <c r="O1557" s="844"/>
      <c r="P1557" s="843" t="e">
        <f t="shared" si="66"/>
        <v>#REF!</v>
      </c>
    </row>
    <row r="1558" spans="1:18" ht="15" customHeight="1">
      <c r="A1558" s="657">
        <f>IF(B1558="",MAX($A$8:A1557)+0,MAX($A$8:A1557)+1)</f>
        <v>170</v>
      </c>
      <c r="B1558" s="835" t="str">
        <f>IF(C1558="","",COUNTA($C$10:C1559))</f>
        <v/>
      </c>
      <c r="C1558" s="362"/>
      <c r="D1558" s="851"/>
      <c r="E1558" s="852" t="s">
        <v>561</v>
      </c>
      <c r="F1558" s="848" t="str">
        <f>VLOOKUP(E1558,'9.may'!E:F,2,FALSE)</f>
        <v>barge 200Ton</v>
      </c>
      <c r="G1558" s="362" t="s">
        <v>4902</v>
      </c>
      <c r="H1558" s="847">
        <v>2.89</v>
      </c>
      <c r="I1558" s="848">
        <f>VLOOKUP(E1558,'9.may'!E:W,12,FALSE)</f>
        <v>586485.6</v>
      </c>
      <c r="J1558" s="853">
        <f>I1558*H1558</f>
        <v>1694943.3840000001</v>
      </c>
      <c r="N1558" s="843" t="e">
        <f>SUMIF(#REF!,'8.Dgia'!A1558,#REF!)+SUMIF(#REF!,'8.Dgia'!A1558,#REF!)+SUMIF(#REF!,'8.Dgia'!A1558,#REF!)+SUMIF(#REF!,'8.Dgia'!A1558,#REF!)</f>
        <v>#REF!</v>
      </c>
      <c r="O1558" s="844"/>
      <c r="P1558" s="843" t="e">
        <f t="shared" si="66"/>
        <v>#REF!</v>
      </c>
    </row>
    <row r="1559" spans="1:18" ht="15" customHeight="1">
      <c r="A1559" s="657">
        <f>IF(B1559="",MAX($A$8:A1558)+0,MAX($A$8:A1558)+1)</f>
        <v>170</v>
      </c>
      <c r="B1559" s="835" t="str">
        <f>IF(C1559="","",COUNTA($C$10:C1560))</f>
        <v/>
      </c>
      <c r="C1559" s="362"/>
      <c r="D1559" s="851"/>
      <c r="E1559" s="852" t="s">
        <v>553</v>
      </c>
      <c r="F1559" s="848" t="str">
        <f>VLOOKUP(E1559,DICH!B:C,2,FALSE)</f>
        <v>Other machine</v>
      </c>
      <c r="G1559" s="362" t="s">
        <v>554</v>
      </c>
      <c r="H1559" s="847">
        <v>3</v>
      </c>
      <c r="I1559" s="848">
        <f>SUM(J1555:J1558)</f>
        <v>14481464.253927274</v>
      </c>
      <c r="J1559" s="853">
        <f>I1559*H1559%</f>
        <v>434443.92761781818</v>
      </c>
      <c r="N1559" s="843" t="e">
        <f>SUMIF(#REF!,'8.Dgia'!A1559,#REF!)+SUMIF(#REF!,'8.Dgia'!A1559,#REF!)+SUMIF(#REF!,'8.Dgia'!A1559,#REF!)+SUMIF(#REF!,'8.Dgia'!A1559,#REF!)</f>
        <v>#REF!</v>
      </c>
      <c r="O1559" s="844"/>
      <c r="P1559" s="843" t="e">
        <f t="shared" si="66"/>
        <v>#REF!</v>
      </c>
    </row>
    <row r="1560" spans="1:18" ht="27" customHeight="1">
      <c r="A1560" s="657">
        <f>IF(B1560="",MAX($A$8:A1559)+0,MAX($A$8:A1559)+1)</f>
        <v>171</v>
      </c>
      <c r="B1560" s="835">
        <f>IF(C1560="","",COUNTA($C$10:C1561))</f>
        <v>171</v>
      </c>
      <c r="C1560" s="835">
        <f>IF(D1560="","",1776)</f>
        <v>1776</v>
      </c>
      <c r="D1560" s="851" t="s">
        <v>2053</v>
      </c>
      <c r="E1560" s="855" t="s">
        <v>5583</v>
      </c>
      <c r="F1560" s="1049" t="str">
        <f>VLOOKUP(E1560,DICH!B:C,2,FALSE)</f>
        <v>Cross - lingking, strut (amor main mater=2%/months*20months+7%)</v>
      </c>
      <c r="G1560" s="856" t="s">
        <v>4644</v>
      </c>
      <c r="H1560" s="847"/>
      <c r="I1560" s="848"/>
      <c r="J1560" s="857"/>
      <c r="K1560" s="842">
        <f>+J1561</f>
        <v>8766212.8713359479</v>
      </c>
      <c r="L1560" s="842">
        <f>+J1568</f>
        <v>4949939.47</v>
      </c>
      <c r="M1560" s="842">
        <f>+J1569</f>
        <v>1271422.0785818181</v>
      </c>
      <c r="N1560" s="843" t="e">
        <f>SUMIF(#REF!,'8.Dgia'!A1560,#REF!)+SUMIF(#REF!,'8.Dgia'!A1560,#REF!)+SUMIF(#REF!,'8.Dgia'!A1560,#REF!)+SUMIF(#REF!,'8.Dgia'!A1560,#REF!)</f>
        <v>#REF!</v>
      </c>
      <c r="O1560" s="844"/>
      <c r="P1560" s="843" t="e">
        <f t="shared" si="66"/>
        <v>#REF!</v>
      </c>
    </row>
    <row r="1561" spans="1:18" ht="15" customHeight="1">
      <c r="A1561" s="657">
        <f>IF(B1561="",MAX($A$8:A1560)+0,MAX($A$8:A1560)+1)</f>
        <v>171</v>
      </c>
      <c r="B1561" s="835" t="str">
        <f>IF(C1561="","",COUNTA($C$10:C1562))</f>
        <v/>
      </c>
      <c r="C1561" s="362"/>
      <c r="D1561" s="851"/>
      <c r="E1561" s="852" t="s">
        <v>2032</v>
      </c>
      <c r="F1561" s="848" t="str">
        <f>VLOOKUP(E1561,DICH!B:C,2,FALSE)</f>
        <v xml:space="preserve">  A - Material</v>
      </c>
      <c r="G1561" s="856"/>
      <c r="H1561" s="847"/>
      <c r="I1561" s="848"/>
      <c r="J1561" s="849">
        <f>SUM(J1562:J1567)</f>
        <v>8766212.8713359479</v>
      </c>
      <c r="N1561" s="843" t="e">
        <f>SUMIF(#REF!,'8.Dgia'!A1561,#REF!)+SUMIF(#REF!,'8.Dgia'!A1561,#REF!)+SUMIF(#REF!,'8.Dgia'!A1561,#REF!)+SUMIF(#REF!,'8.Dgia'!A1561,#REF!)</f>
        <v>#REF!</v>
      </c>
      <c r="O1561" s="844"/>
      <c r="P1561" s="843" t="e">
        <f t="shared" si="66"/>
        <v>#REF!</v>
      </c>
    </row>
    <row r="1562" spans="1:18" ht="15" customHeight="1">
      <c r="A1562" s="657">
        <f>IF(B1562="",MAX($A$8:A1561)+0,MAX($A$8:A1561)+1)</f>
        <v>171</v>
      </c>
      <c r="B1562" s="835" t="str">
        <f>IF(C1562="","",COUNTA($C$10:C1563))</f>
        <v/>
      </c>
      <c r="C1562" s="362"/>
      <c r="D1562" s="851" t="s">
        <v>2255</v>
      </c>
      <c r="E1562" s="852" t="s">
        <v>563</v>
      </c>
      <c r="F1562" s="848" t="str">
        <f>VLOOKUP(E1562,DICH!B:C,2,FALSE)</f>
        <v>Shaped steel</v>
      </c>
      <c r="G1562" s="362" t="s">
        <v>622</v>
      </c>
      <c r="H1562" s="847">
        <f>697.85*(2%*20+7%)</f>
        <v>327.98950000000002</v>
      </c>
      <c r="I1562" s="848">
        <f>VLOOKUP(E1562,'11.gia '!$B:$I,8,FALSE)</f>
        <v>16703.248369172808</v>
      </c>
      <c r="J1562" s="853">
        <f t="shared" ref="J1562:J1568" si="69">I1562*H1562</f>
        <v>5478490.0809808047</v>
      </c>
      <c r="N1562" s="843" t="e">
        <f>SUMIF(#REF!,'8.Dgia'!A1562,#REF!)+SUMIF(#REF!,'8.Dgia'!A1562,#REF!)+SUMIF(#REF!,'8.Dgia'!A1562,#REF!)+SUMIF(#REF!,'8.Dgia'!A1562,#REF!)</f>
        <v>#REF!</v>
      </c>
      <c r="O1562" s="844">
        <f>+$H$1567</f>
        <v>5</v>
      </c>
      <c r="P1562" s="843" t="e">
        <f t="shared" si="66"/>
        <v>#REF!</v>
      </c>
    </row>
    <row r="1563" spans="1:18" ht="15" customHeight="1">
      <c r="A1563" s="657">
        <f>IF(B1563="",MAX($A$8:A1562)+0,MAX($A$8:A1562)+1)</f>
        <v>171</v>
      </c>
      <c r="B1563" s="835" t="str">
        <f>IF(C1563="","",COUNTA($C$10:C1564))</f>
        <v/>
      </c>
      <c r="C1563" s="362"/>
      <c r="D1563" s="851" t="s">
        <v>2255</v>
      </c>
      <c r="E1563" s="852" t="s">
        <v>562</v>
      </c>
      <c r="F1563" s="848" t="str">
        <f>VLOOKUP(E1563,DICH!B:C,2,FALSE)</f>
        <v>Plate steel</v>
      </c>
      <c r="G1563" s="362" t="s">
        <v>558</v>
      </c>
      <c r="H1563" s="847">
        <f>362.15*H1562/697.85</f>
        <v>170.2105</v>
      </c>
      <c r="I1563" s="848">
        <f>VLOOKUP(E1563,'11.gia '!$B:$I,8,FALSE)</f>
        <v>12871.348287272725</v>
      </c>
      <c r="J1563" s="853">
        <f t="shared" si="69"/>
        <v>2190838.6276508342</v>
      </c>
      <c r="N1563" s="843" t="e">
        <f>SUMIF(#REF!,'8.Dgia'!A1563,#REF!)+SUMIF(#REF!,'8.Dgia'!A1563,#REF!)+SUMIF(#REF!,'8.Dgia'!A1563,#REF!)+SUMIF(#REF!,'8.Dgia'!A1563,#REF!)</f>
        <v>#REF!</v>
      </c>
      <c r="O1563" s="844">
        <f>+$H$1567</f>
        <v>5</v>
      </c>
      <c r="P1563" s="843" t="e">
        <f t="shared" si="66"/>
        <v>#REF!</v>
      </c>
    </row>
    <row r="1564" spans="1:18" ht="15" customHeight="1">
      <c r="A1564" s="657">
        <f>IF(B1564="",MAX($A$8:A1563)+0,MAX($A$8:A1563)+1)</f>
        <v>171</v>
      </c>
      <c r="B1564" s="835" t="str">
        <f>IF(C1564="","",COUNTA($C$10:C1565))</f>
        <v/>
      </c>
      <c r="C1564" s="362"/>
      <c r="D1564" s="851"/>
      <c r="E1564" s="852" t="s">
        <v>559</v>
      </c>
      <c r="F1564" s="848" t="str">
        <f>VLOOKUP(E1564,DICH!B:C,2,FALSE)</f>
        <v>welding electrode</v>
      </c>
      <c r="G1564" s="362" t="s">
        <v>558</v>
      </c>
      <c r="H1564" s="847">
        <v>24.15</v>
      </c>
      <c r="I1564" s="848">
        <f>VLOOKUP(E1564,'11.gia '!$B:$I,8,FALSE)</f>
        <v>19090.909090909088</v>
      </c>
      <c r="J1564" s="853">
        <f t="shared" si="69"/>
        <v>461045.45454545447</v>
      </c>
      <c r="N1564" s="843" t="e">
        <f>SUMIF(#REF!,'8.Dgia'!A1564,#REF!)+SUMIF(#REF!,'8.Dgia'!A1564,#REF!)+SUMIF(#REF!,'8.Dgia'!A1564,#REF!)+SUMIF(#REF!,'8.Dgia'!A1564,#REF!)</f>
        <v>#REF!</v>
      </c>
      <c r="O1564" s="844">
        <f>+$H$1567</f>
        <v>5</v>
      </c>
      <c r="P1564" s="843" t="e">
        <f t="shared" si="66"/>
        <v>#REF!</v>
      </c>
    </row>
    <row r="1565" spans="1:18" ht="15" customHeight="1">
      <c r="A1565" s="657">
        <f>IF(B1565="",MAX($A$8:A1564)+0,MAX($A$8:A1564)+1)</f>
        <v>171</v>
      </c>
      <c r="B1565" s="835" t="str">
        <f>IF(C1565="","",COUNTA($C$10:C1566))</f>
        <v/>
      </c>
      <c r="C1565" s="362"/>
      <c r="D1565" s="851"/>
      <c r="E1565" s="852" t="s">
        <v>564</v>
      </c>
      <c r="F1565" s="848" t="str">
        <f>VLOOKUP(E1565,DICH!B:C,2,FALSE)</f>
        <v>oxygen</v>
      </c>
      <c r="G1565" s="362" t="s">
        <v>4647</v>
      </c>
      <c r="H1565" s="847">
        <v>2.1</v>
      </c>
      <c r="I1565" s="848">
        <f>VLOOKUP(E1565,'11.gia '!$B:$I,8,FALSE)</f>
        <v>48000</v>
      </c>
      <c r="J1565" s="853">
        <f t="shared" si="69"/>
        <v>100800</v>
      </c>
      <c r="N1565" s="843" t="e">
        <f>SUMIF(#REF!,'8.Dgia'!A1565,#REF!)+SUMIF(#REF!,'8.Dgia'!A1565,#REF!)+SUMIF(#REF!,'8.Dgia'!A1565,#REF!)+SUMIF(#REF!,'8.Dgia'!A1565,#REF!)</f>
        <v>#REF!</v>
      </c>
      <c r="O1565" s="844">
        <f>+$H$1567</f>
        <v>5</v>
      </c>
      <c r="P1565" s="843" t="e">
        <f t="shared" si="66"/>
        <v>#REF!</v>
      </c>
    </row>
    <row r="1566" spans="1:18" ht="15" customHeight="1">
      <c r="A1566" s="657">
        <f>IF(B1566="",MAX($A$8:A1565)+0,MAX($A$8:A1565)+1)</f>
        <v>171</v>
      </c>
      <c r="B1566" s="835" t="str">
        <f>IF(C1566="","",COUNTA($C$10:C1567))</f>
        <v/>
      </c>
      <c r="C1566" s="362"/>
      <c r="D1566" s="851"/>
      <c r="E1566" s="852" t="s">
        <v>566</v>
      </c>
      <c r="F1566" s="848" t="str">
        <f>VLOOKUP(E1566,DICH!B:C,2,FALSE)</f>
        <v>Calcium carbide</v>
      </c>
      <c r="G1566" s="362" t="s">
        <v>558</v>
      </c>
      <c r="H1566" s="847">
        <v>8.4</v>
      </c>
      <c r="I1566" s="848">
        <f>VLOOKUP(E1566,'11.gia '!$B:$I,8,FALSE)</f>
        <v>14000</v>
      </c>
      <c r="J1566" s="853">
        <f t="shared" si="69"/>
        <v>117600</v>
      </c>
      <c r="N1566" s="843" t="e">
        <f>SUMIF(#REF!,'8.Dgia'!A1566,#REF!)+SUMIF(#REF!,'8.Dgia'!A1566,#REF!)+SUMIF(#REF!,'8.Dgia'!A1566,#REF!)+SUMIF(#REF!,'8.Dgia'!A1566,#REF!)</f>
        <v>#REF!</v>
      </c>
      <c r="O1566" s="844">
        <f>+$H$1567</f>
        <v>5</v>
      </c>
      <c r="P1566" s="843" t="e">
        <f t="shared" si="66"/>
        <v>#REF!</v>
      </c>
    </row>
    <row r="1567" spans="1:18" ht="15" customHeight="1">
      <c r="A1567" s="657">
        <f>IF(B1567="",MAX($A$8:A1566)+0,MAX($A$8:A1566)+1)</f>
        <v>171</v>
      </c>
      <c r="B1567" s="835" t="str">
        <f>IF(C1567="","",COUNTA($C$10:C1568))</f>
        <v/>
      </c>
      <c r="C1567" s="362"/>
      <c r="D1567" s="851"/>
      <c r="E1567" s="852" t="s">
        <v>555</v>
      </c>
      <c r="F1567" s="848" t="str">
        <f>VLOOKUP(E1567,DICH!B:C,2,FALSE)</f>
        <v>Other material</v>
      </c>
      <c r="G1567" s="362" t="s">
        <v>554</v>
      </c>
      <c r="H1567" s="847">
        <v>5</v>
      </c>
      <c r="I1567" s="848">
        <f>SUM(J1562:J1566)</f>
        <v>8348774.1631770926</v>
      </c>
      <c r="J1567" s="853">
        <f>I1567*H1567%</f>
        <v>417438.70815885463</v>
      </c>
      <c r="N1567" s="843" t="e">
        <f>SUMIF(#REF!,'8.Dgia'!A1567,#REF!)+SUMIF(#REF!,'8.Dgia'!A1567,#REF!)+SUMIF(#REF!,'8.Dgia'!A1567,#REF!)+SUMIF(#REF!,'8.Dgia'!A1567,#REF!)</f>
        <v>#REF!</v>
      </c>
      <c r="O1567" s="844"/>
      <c r="P1567" s="843" t="e">
        <f t="shared" si="66"/>
        <v>#REF!</v>
      </c>
    </row>
    <row r="1568" spans="1:18" ht="15" customHeight="1">
      <c r="A1568" s="657">
        <f>IF(B1568="",MAX($A$8:A1567)+0,MAX($A$8:A1567)+1)</f>
        <v>171</v>
      </c>
      <c r="B1568" s="835" t="str">
        <f>IF(C1568="","",COUNTA($C$10:C1569))</f>
        <v/>
      </c>
      <c r="C1568" s="362"/>
      <c r="D1568" s="851"/>
      <c r="E1568" s="852" t="s">
        <v>2039</v>
      </c>
      <c r="F1568" s="848" t="str">
        <f>VLOOKUP(E1568,DICH!B:C,2,FALSE)</f>
        <v xml:space="preserve">  B - Labour 4.0/7</v>
      </c>
      <c r="G1568" s="362" t="s">
        <v>4899</v>
      </c>
      <c r="H1568" s="859">
        <f>22.61</f>
        <v>22.61</v>
      </c>
      <c r="I1568" s="848">
        <f>VLOOKUP(E1568,'16.NC'!$C$11:$F$22,4,FALSE)</f>
        <v>218927</v>
      </c>
      <c r="J1568" s="849">
        <f t="shared" si="69"/>
        <v>4949939.47</v>
      </c>
      <c r="N1568" s="843" t="e">
        <f>SUMIF(#REF!,'8.Dgia'!A1568,#REF!)+SUMIF(#REF!,'8.Dgia'!A1568,#REF!)+SUMIF(#REF!,'8.Dgia'!A1568,#REF!)+SUMIF(#REF!,'8.Dgia'!A1568,#REF!)</f>
        <v>#REF!</v>
      </c>
      <c r="O1568" s="844"/>
      <c r="P1568" s="843" t="e">
        <f t="shared" si="66"/>
        <v>#REF!</v>
      </c>
      <c r="R1568" s="658">
        <v>1</v>
      </c>
    </row>
    <row r="1569" spans="1:18" ht="15" customHeight="1">
      <c r="A1569" s="657">
        <f>IF(B1569="",MAX($A$8:A1568)+0,MAX($A$8:A1568)+1)</f>
        <v>171</v>
      </c>
      <c r="B1569" s="835" t="str">
        <f>IF(C1569="","",COUNTA($C$10:C1570))</f>
        <v/>
      </c>
      <c r="C1569" s="362"/>
      <c r="D1569" s="851"/>
      <c r="E1569" s="852" t="s">
        <v>2033</v>
      </c>
      <c r="F1569" s="848" t="str">
        <f>VLOOKUP(E1569,DICH!B:C,2,FALSE)</f>
        <v xml:space="preserve">  C - Machine</v>
      </c>
      <c r="G1569" s="362"/>
      <c r="H1569" s="847"/>
      <c r="I1569" s="848"/>
      <c r="J1569" s="849">
        <f>SUM(J1570:J1572)</f>
        <v>1271422.0785818181</v>
      </c>
      <c r="N1569" s="843" t="e">
        <f>SUMIF(#REF!,'8.Dgia'!A1569,#REF!)+SUMIF(#REF!,'8.Dgia'!A1569,#REF!)+SUMIF(#REF!,'8.Dgia'!A1569,#REF!)+SUMIF(#REF!,'8.Dgia'!A1569,#REF!)</f>
        <v>#REF!</v>
      </c>
      <c r="O1569" s="844"/>
      <c r="P1569" s="843" t="e">
        <f t="shared" si="66"/>
        <v>#REF!</v>
      </c>
    </row>
    <row r="1570" spans="1:18" ht="15" customHeight="1">
      <c r="A1570" s="657">
        <f>IF(B1570="",MAX($A$8:A1569)+0,MAX($A$8:A1569)+1)</f>
        <v>171</v>
      </c>
      <c r="B1570" s="835" t="str">
        <f>IF(C1570="","",COUNTA($C$10:C1571))</f>
        <v/>
      </c>
      <c r="C1570" s="362"/>
      <c r="D1570" s="851"/>
      <c r="E1570" s="852" t="s">
        <v>560</v>
      </c>
      <c r="F1570" s="848" t="str">
        <f>VLOOKUP(E1570,'9.may'!E:F,2,FALSE)</f>
        <v>welding machine 23kW</v>
      </c>
      <c r="G1570" s="362" t="s">
        <v>4902</v>
      </c>
      <c r="H1570" s="847">
        <f>4.6</f>
        <v>4.5999999999999996</v>
      </c>
      <c r="I1570" s="848">
        <f>VLOOKUP(E1570,'9.may'!E:W,12,FALSE)</f>
        <v>171649.155</v>
      </c>
      <c r="J1570" s="853">
        <f>I1570*H1570</f>
        <v>789586.1129999999</v>
      </c>
      <c r="N1570" s="843" t="e">
        <f>SUMIF(#REF!,'8.Dgia'!A1570,#REF!)+SUMIF(#REF!,'8.Dgia'!A1570,#REF!)+SUMIF(#REF!,'8.Dgia'!A1570,#REF!)+SUMIF(#REF!,'8.Dgia'!A1570,#REF!)</f>
        <v>#REF!</v>
      </c>
      <c r="O1570" s="844"/>
      <c r="P1570" s="843" t="e">
        <f t="shared" si="66"/>
        <v>#REF!</v>
      </c>
    </row>
    <row r="1571" spans="1:18" ht="15" customHeight="1">
      <c r="A1571" s="657">
        <f>IF(B1571="",MAX($A$8:A1570)+0,MAX($A$8:A1570)+1)</f>
        <v>171</v>
      </c>
      <c r="B1571" s="835" t="str">
        <f>IF(C1571="","",COUNTA($C$10:C1572))</f>
        <v/>
      </c>
      <c r="C1571" s="362"/>
      <c r="D1571" s="851"/>
      <c r="E1571" s="852" t="s">
        <v>1417</v>
      </c>
      <c r="F1571" s="848" t="str">
        <f>VLOOKUP(E1571,'9.may'!E:F,2,FALSE)</f>
        <v>Cutting machine 15Kw</v>
      </c>
      <c r="G1571" s="362" t="s">
        <v>4902</v>
      </c>
      <c r="H1571" s="847">
        <f>0.4</f>
        <v>0.4</v>
      </c>
      <c r="I1571" s="848">
        <f>VLOOKUP(E1571,'9.may'!E:W,12,FALSE)</f>
        <v>204698.78999999998</v>
      </c>
      <c r="J1571" s="853">
        <f>I1571*H1571</f>
        <v>81879.516000000003</v>
      </c>
      <c r="N1571" s="843" t="e">
        <f>SUMIF(#REF!,'8.Dgia'!A1571,#REF!)+SUMIF(#REF!,'8.Dgia'!A1571,#REF!)+SUMIF(#REF!,'8.Dgia'!A1571,#REF!)+SUMIF(#REF!,'8.Dgia'!A1571,#REF!)</f>
        <v>#REF!</v>
      </c>
      <c r="O1571" s="844"/>
      <c r="P1571" s="843" t="e">
        <f t="shared" si="66"/>
        <v>#REF!</v>
      </c>
    </row>
    <row r="1572" spans="1:18" ht="15" customHeight="1">
      <c r="A1572" s="657">
        <f>IF(B1572="",MAX($A$8:A1571)+0,MAX($A$8:A1571)+1)</f>
        <v>171</v>
      </c>
      <c r="B1572" s="835" t="str">
        <f>IF(C1572="","",COUNTA($C$10:C1573))</f>
        <v/>
      </c>
      <c r="C1572" s="362"/>
      <c r="D1572" s="851"/>
      <c r="E1572" s="852" t="s">
        <v>1038</v>
      </c>
      <c r="F1572" s="848" t="str">
        <f>VLOOKUP(E1572,'9.may'!E:F,2,FALSE)</f>
        <v>caterpillar crane 10T/ crawler crane 10T</v>
      </c>
      <c r="G1572" s="362" t="s">
        <v>4902</v>
      </c>
      <c r="H1572" s="847">
        <f>0.27</f>
        <v>0.27</v>
      </c>
      <c r="I1572" s="848">
        <f>VLOOKUP(E1572,'9.may'!E:W,12,FALSE)</f>
        <v>1481320.1836363636</v>
      </c>
      <c r="J1572" s="853">
        <f>I1572*H1572</f>
        <v>399956.44958181819</v>
      </c>
      <c r="N1572" s="843" t="e">
        <f>SUMIF(#REF!,'8.Dgia'!A1572,#REF!)+SUMIF(#REF!,'8.Dgia'!A1572,#REF!)+SUMIF(#REF!,'8.Dgia'!A1572,#REF!)+SUMIF(#REF!,'8.Dgia'!A1572,#REF!)</f>
        <v>#REF!</v>
      </c>
      <c r="O1572" s="844"/>
      <c r="P1572" s="843" t="e">
        <f t="shared" ref="P1572:P1607" si="70">$H1572*N1572*(1+O1572%)</f>
        <v>#REF!</v>
      </c>
    </row>
    <row r="1573" spans="1:18" ht="25.5" customHeight="1">
      <c r="A1573" s="657">
        <f>IF(B1573="",MAX($A$8:A1572)+0,MAX($A$8:A1572)+1)</f>
        <v>172</v>
      </c>
      <c r="B1573" s="835">
        <f>IF(C1573="","",COUNTA($C$10:C1574))</f>
        <v>172</v>
      </c>
      <c r="C1573" s="835">
        <f>IF(D1573="","",1776)</f>
        <v>1776</v>
      </c>
      <c r="D1573" s="851" t="s">
        <v>440</v>
      </c>
      <c r="E1573" s="855" t="s">
        <v>114</v>
      </c>
      <c r="F1573" s="1049" t="str">
        <f>VLOOKUP(E1573,DICH!B:C,2,FALSE)</f>
        <v>Install $ remove scaffolding system of K19 in water (co=1.6)</v>
      </c>
      <c r="G1573" s="856" t="s">
        <v>4644</v>
      </c>
      <c r="H1573" s="847">
        <v>1.6</v>
      </c>
      <c r="I1573" s="848"/>
      <c r="J1573" s="853"/>
      <c r="K1573" s="842">
        <f>+J1574</f>
        <v>676189.03812822758</v>
      </c>
      <c r="L1573" s="842">
        <f>+J1579</f>
        <v>4028256.8000000003</v>
      </c>
      <c r="M1573" s="842">
        <f>+J1580</f>
        <v>2394704.2360145459</v>
      </c>
      <c r="N1573" s="843" t="e">
        <f>SUMIF(#REF!,'8.Dgia'!A1573,#REF!)+SUMIF(#REF!,'8.Dgia'!A1573,#REF!)+SUMIF(#REF!,'8.Dgia'!A1573,#REF!)+SUMIF(#REF!,'8.Dgia'!A1573,#REF!)</f>
        <v>#REF!</v>
      </c>
      <c r="O1573" s="844"/>
      <c r="P1573" s="843" t="e">
        <f t="shared" si="70"/>
        <v>#REF!</v>
      </c>
    </row>
    <row r="1574" spans="1:18" s="658" customFormat="1" ht="15" customHeight="1">
      <c r="A1574" s="657">
        <f>IF(B1574="",MAX($A$8:A1573)+0,MAX($A$8:A1573)+1)</f>
        <v>172</v>
      </c>
      <c r="B1574" s="835" t="str">
        <f>IF(C1574="","",COUNTA($C$10:C1575))</f>
        <v/>
      </c>
      <c r="C1574" s="362"/>
      <c r="D1574" s="845"/>
      <c r="E1574" s="852" t="s">
        <v>2032</v>
      </c>
      <c r="F1574" s="848" t="str">
        <f>VLOOKUP(E1574,DICH!B:C,2,FALSE)</f>
        <v xml:space="preserve">  A - Material</v>
      </c>
      <c r="G1574" s="846"/>
      <c r="H1574" s="847"/>
      <c r="I1574" s="848"/>
      <c r="J1574" s="849">
        <f>SUM(J1575:J1578)</f>
        <v>676189.03812822758</v>
      </c>
      <c r="K1574" s="850"/>
      <c r="L1574" s="850"/>
      <c r="M1574" s="850"/>
      <c r="N1574" s="843" t="e">
        <f>SUMIF(#REF!,'8.Dgia'!A1574,#REF!)+SUMIF(#REF!,'8.Dgia'!A1574,#REF!)+SUMIF(#REF!,'8.Dgia'!A1574,#REF!)+SUMIF(#REF!,'8.Dgia'!A1574,#REF!)</f>
        <v>#REF!</v>
      </c>
      <c r="O1574" s="844"/>
      <c r="P1574" s="843" t="e">
        <f t="shared" si="70"/>
        <v>#REF!</v>
      </c>
    </row>
    <row r="1575" spans="1:18" ht="15" customHeight="1">
      <c r="A1575" s="657">
        <f>IF(B1575="",MAX($A$8:A1574)+0,MAX($A$8:A1574)+1)</f>
        <v>172</v>
      </c>
      <c r="B1575" s="835" t="str">
        <f>IF(C1575="","",COUNTA($C$10:C1576))</f>
        <v/>
      </c>
      <c r="C1575" s="362"/>
      <c r="D1575" s="851"/>
      <c r="E1575" s="852" t="s">
        <v>563</v>
      </c>
      <c r="F1575" s="848" t="str">
        <f>VLOOKUP(E1575,DICH!B:C,2,FALSE)</f>
        <v>Shaped steel</v>
      </c>
      <c r="G1575" s="362" t="s">
        <v>622</v>
      </c>
      <c r="H1575" s="847">
        <f>0.65*H1573</f>
        <v>1.04</v>
      </c>
      <c r="I1575" s="848">
        <f>VLOOKUP(E1575,'11.gia '!$B:$I,8,FALSE)</f>
        <v>16703.248369172808</v>
      </c>
      <c r="J1575" s="853">
        <f>I1575*H1575</f>
        <v>17371.37830393972</v>
      </c>
      <c r="N1575" s="843" t="e">
        <f>SUMIF(#REF!,'8.Dgia'!A1575,#REF!)+SUMIF(#REF!,'8.Dgia'!A1575,#REF!)+SUMIF(#REF!,'8.Dgia'!A1575,#REF!)+SUMIF(#REF!,'8.Dgia'!A1575,#REF!)</f>
        <v>#REF!</v>
      </c>
      <c r="O1575" s="844">
        <f>+$H$1578</f>
        <v>5</v>
      </c>
      <c r="P1575" s="843" t="e">
        <f t="shared" si="70"/>
        <v>#REF!</v>
      </c>
    </row>
    <row r="1576" spans="1:18" ht="15" customHeight="1">
      <c r="A1576" s="657">
        <f>IF(B1576="",MAX($A$8:A1575)+0,MAX($A$8:A1575)+1)</f>
        <v>172</v>
      </c>
      <c r="B1576" s="835" t="str">
        <f>IF(C1576="","",COUNTA($C$10:C1577))</f>
        <v/>
      </c>
      <c r="C1576" s="362"/>
      <c r="D1576" s="851"/>
      <c r="E1576" s="852" t="s">
        <v>623</v>
      </c>
      <c r="F1576" s="848" t="str">
        <f>VLOOKUP(E1576,DICH!B:C,2,FALSE)</f>
        <v>Bbolt M20</v>
      </c>
      <c r="G1576" s="362" t="s">
        <v>4649</v>
      </c>
      <c r="H1576" s="847">
        <f>12*H1573</f>
        <v>19.200000000000003</v>
      </c>
      <c r="I1576" s="848">
        <f>VLOOKUP(E1576,'11.gia '!$B:$I,8,FALSE)</f>
        <v>4000</v>
      </c>
      <c r="J1576" s="853">
        <f>I1576*H1576</f>
        <v>76800.000000000015</v>
      </c>
      <c r="N1576" s="843" t="e">
        <f>SUMIF(#REF!,'8.Dgia'!A1576,#REF!)+SUMIF(#REF!,'8.Dgia'!A1576,#REF!)+SUMIF(#REF!,'8.Dgia'!A1576,#REF!)+SUMIF(#REF!,'8.Dgia'!A1576,#REF!)</f>
        <v>#REF!</v>
      </c>
      <c r="O1576" s="844">
        <f>+$H$1578</f>
        <v>5</v>
      </c>
      <c r="P1576" s="843" t="e">
        <f t="shared" si="70"/>
        <v>#REF!</v>
      </c>
    </row>
    <row r="1577" spans="1:18" ht="15" customHeight="1">
      <c r="A1577" s="657">
        <f>IF(B1577="",MAX($A$8:A1576)+0,MAX($A$8:A1576)+1)</f>
        <v>172</v>
      </c>
      <c r="B1577" s="835" t="str">
        <f>IF(C1577="","",COUNTA($C$10:C1578))</f>
        <v/>
      </c>
      <c r="C1577" s="362"/>
      <c r="D1577" s="851"/>
      <c r="E1577" s="852" t="s">
        <v>559</v>
      </c>
      <c r="F1577" s="848" t="str">
        <f>VLOOKUP(E1577,DICH!B:C,2,FALSE)</f>
        <v>welding electrode</v>
      </c>
      <c r="G1577" s="362" t="s">
        <v>622</v>
      </c>
      <c r="H1577" s="847">
        <f>18*H1573</f>
        <v>28.8</v>
      </c>
      <c r="I1577" s="848">
        <f>VLOOKUP(E1577,'11.gia '!$B:$I,8,FALSE)</f>
        <v>19090.909090909088</v>
      </c>
      <c r="J1577" s="853">
        <f>I1577*H1577</f>
        <v>549818.18181818177</v>
      </c>
      <c r="N1577" s="843" t="e">
        <f>SUMIF(#REF!,'8.Dgia'!A1577,#REF!)+SUMIF(#REF!,'8.Dgia'!A1577,#REF!)+SUMIF(#REF!,'8.Dgia'!A1577,#REF!)+SUMIF(#REF!,'8.Dgia'!A1577,#REF!)</f>
        <v>#REF!</v>
      </c>
      <c r="O1577" s="844">
        <f>+$H$1578</f>
        <v>5</v>
      </c>
      <c r="P1577" s="843" t="e">
        <f t="shared" si="70"/>
        <v>#REF!</v>
      </c>
    </row>
    <row r="1578" spans="1:18" ht="15" customHeight="1">
      <c r="A1578" s="657">
        <f>IF(B1578="",MAX($A$8:A1577)+0,MAX($A$8:A1577)+1)</f>
        <v>172</v>
      </c>
      <c r="B1578" s="835" t="str">
        <f>IF(C1578="","",COUNTA($C$10:C1579))</f>
        <v/>
      </c>
      <c r="C1578" s="362"/>
      <c r="D1578" s="851"/>
      <c r="E1578" s="852" t="s">
        <v>555</v>
      </c>
      <c r="F1578" s="848" t="str">
        <f>VLOOKUP(E1578,DICH!B:C,2,FALSE)</f>
        <v>Other material</v>
      </c>
      <c r="G1578" s="362" t="s">
        <v>554</v>
      </c>
      <c r="H1578" s="847">
        <v>5</v>
      </c>
      <c r="I1578" s="848">
        <f>SUM(J1575:J1577)</f>
        <v>643989.56012212147</v>
      </c>
      <c r="J1578" s="853">
        <f>I1578*H1578%</f>
        <v>32199.478006106074</v>
      </c>
      <c r="N1578" s="843" t="e">
        <f>SUMIF(#REF!,'8.Dgia'!A1578,#REF!)+SUMIF(#REF!,'8.Dgia'!A1578,#REF!)+SUMIF(#REF!,'8.Dgia'!A1578,#REF!)+SUMIF(#REF!,'8.Dgia'!A1578,#REF!)</f>
        <v>#REF!</v>
      </c>
      <c r="O1578" s="844"/>
      <c r="P1578" s="843" t="e">
        <f t="shared" si="70"/>
        <v>#REF!</v>
      </c>
    </row>
    <row r="1579" spans="1:18" s="658" customFormat="1" ht="15" customHeight="1">
      <c r="A1579" s="657">
        <f>IF(B1579="",MAX($A$8:A1578)+0,MAX($A$8:A1578)+1)</f>
        <v>172</v>
      </c>
      <c r="B1579" s="835" t="str">
        <f>IF(C1579="","",COUNTA($C$10:C1580))</f>
        <v/>
      </c>
      <c r="C1579" s="362"/>
      <c r="D1579" s="845"/>
      <c r="E1579" s="852" t="s">
        <v>2039</v>
      </c>
      <c r="F1579" s="848" t="str">
        <f>VLOOKUP(E1579,DICH!B:C,2,FALSE)</f>
        <v xml:space="preserve">  B - Labour 4.0/7</v>
      </c>
      <c r="G1579" s="362" t="s">
        <v>4899</v>
      </c>
      <c r="H1579" s="847">
        <f>11.5*H1573</f>
        <v>18.400000000000002</v>
      </c>
      <c r="I1579" s="848">
        <f>VLOOKUP(E1579,'16.NC'!$C$11:$F$22,4,FALSE)</f>
        <v>218927</v>
      </c>
      <c r="J1579" s="849">
        <f>I1579*H1579</f>
        <v>4028256.8000000003</v>
      </c>
      <c r="K1579" s="850"/>
      <c r="L1579" s="850"/>
      <c r="M1579" s="850"/>
      <c r="N1579" s="843" t="e">
        <f>SUMIF(#REF!,'8.Dgia'!A1579,#REF!)+SUMIF(#REF!,'8.Dgia'!A1579,#REF!)+SUMIF(#REF!,'8.Dgia'!A1579,#REF!)+SUMIF(#REF!,'8.Dgia'!A1579,#REF!)</f>
        <v>#REF!</v>
      </c>
      <c r="O1579" s="844"/>
      <c r="P1579" s="843" t="e">
        <f t="shared" si="70"/>
        <v>#REF!</v>
      </c>
      <c r="R1579" s="658">
        <v>1</v>
      </c>
    </row>
    <row r="1580" spans="1:18" s="658" customFormat="1" ht="15" customHeight="1">
      <c r="A1580" s="657">
        <f>IF(B1580="",MAX($A$8:A1579)+0,MAX($A$8:A1579)+1)</f>
        <v>172</v>
      </c>
      <c r="B1580" s="835" t="str">
        <f>IF(C1580="","",COUNTA($C$10:C1581))</f>
        <v/>
      </c>
      <c r="C1580" s="362"/>
      <c r="D1580" s="845"/>
      <c r="E1580" s="852" t="s">
        <v>2033</v>
      </c>
      <c r="F1580" s="848" t="str">
        <f>VLOOKUP(E1580,DICH!B:C,2,FALSE)</f>
        <v xml:space="preserve">  C - Machine</v>
      </c>
      <c r="G1580" s="846"/>
      <c r="H1580" s="847"/>
      <c r="I1580" s="848"/>
      <c r="J1580" s="849">
        <f>SUM(J1581:J1586)</f>
        <v>2394704.2360145459</v>
      </c>
      <c r="K1580" s="850">
        <f>+J1580/1.6</f>
        <v>1496690.1475090911</v>
      </c>
      <c r="L1580" s="850"/>
      <c r="M1580" s="850"/>
      <c r="N1580" s="843" t="e">
        <f>SUMIF(#REF!,'8.Dgia'!A1580,#REF!)+SUMIF(#REF!,'8.Dgia'!A1580,#REF!)+SUMIF(#REF!,'8.Dgia'!A1580,#REF!)+SUMIF(#REF!,'8.Dgia'!A1580,#REF!)</f>
        <v>#REF!</v>
      </c>
      <c r="O1580" s="844"/>
      <c r="P1580" s="843" t="e">
        <f t="shared" si="70"/>
        <v>#REF!</v>
      </c>
    </row>
    <row r="1581" spans="1:18" ht="15" customHeight="1">
      <c r="A1581" s="657">
        <f>IF(B1581="",MAX($A$8:A1580)+0,MAX($A$8:A1580)+1)</f>
        <v>172</v>
      </c>
      <c r="B1581" s="835" t="str">
        <f>IF(C1581="","",COUNTA($C$10:C1582))</f>
        <v/>
      </c>
      <c r="C1581" s="362"/>
      <c r="D1581" s="851"/>
      <c r="E1581" s="852" t="s">
        <v>286</v>
      </c>
      <c r="F1581" s="848" t="str">
        <f>VLOOKUP(E1581,'9.may'!E:F,2,FALSE)</f>
        <v>tyre crane 16T</v>
      </c>
      <c r="G1581" s="362" t="s">
        <v>4902</v>
      </c>
      <c r="H1581" s="847">
        <f>0.083*H1573</f>
        <v>0.1328</v>
      </c>
      <c r="I1581" s="848">
        <f>VLOOKUP(E1581,'9.may'!E:W,12,FALSE)</f>
        <v>2023241.85</v>
      </c>
      <c r="J1581" s="853">
        <f t="shared" ref="J1581:J1586" si="71">I1581*H1581</f>
        <v>268686.51767999999</v>
      </c>
      <c r="N1581" s="843" t="e">
        <f>SUMIF(#REF!,'8.Dgia'!A1581,#REF!)+SUMIF(#REF!,'8.Dgia'!A1581,#REF!)+SUMIF(#REF!,'8.Dgia'!A1581,#REF!)+SUMIF(#REF!,'8.Dgia'!A1581,#REF!)</f>
        <v>#REF!</v>
      </c>
      <c r="O1581" s="844"/>
      <c r="P1581" s="843" t="e">
        <f t="shared" si="70"/>
        <v>#REF!</v>
      </c>
    </row>
    <row r="1582" spans="1:18" ht="15" customHeight="1">
      <c r="A1582" s="657">
        <f>IF(B1582="",MAX($A$8:A1581)+0,MAX($A$8:A1581)+1)</f>
        <v>172</v>
      </c>
      <c r="B1582" s="835" t="str">
        <f>IF(C1582="","",COUNTA($C$10:C1583))</f>
        <v/>
      </c>
      <c r="C1582" s="362"/>
      <c r="D1582" s="851"/>
      <c r="E1582" s="852" t="s">
        <v>1018</v>
      </c>
      <c r="F1582" s="848" t="str">
        <f>VLOOKUP(E1582,'9.may'!E:F,2,FALSE)</f>
        <v>truck-mounted crane 25T</v>
      </c>
      <c r="G1582" s="362" t="s">
        <v>4902</v>
      </c>
      <c r="H1582" s="847">
        <f>0.12*H1573</f>
        <v>0.192</v>
      </c>
      <c r="I1582" s="848">
        <f>VLOOKUP(E1582,'9.may'!E:W,12,FALSE)</f>
        <v>2886276.207272727</v>
      </c>
      <c r="J1582" s="853">
        <f t="shared" si="71"/>
        <v>554165.03179636365</v>
      </c>
      <c r="N1582" s="843" t="e">
        <f>SUMIF(#REF!,'8.Dgia'!A1582,#REF!)+SUMIF(#REF!,'8.Dgia'!A1582,#REF!)+SUMIF(#REF!,'8.Dgia'!A1582,#REF!)+SUMIF(#REF!,'8.Dgia'!A1582,#REF!)</f>
        <v>#REF!</v>
      </c>
      <c r="O1582" s="844"/>
      <c r="P1582" s="843" t="e">
        <f t="shared" si="70"/>
        <v>#REF!</v>
      </c>
    </row>
    <row r="1583" spans="1:18" ht="15" customHeight="1">
      <c r="A1583" s="657">
        <f>IF(B1583="",MAX($A$8:A1582)+0,MAX($A$8:A1582)+1)</f>
        <v>172</v>
      </c>
      <c r="B1583" s="835" t="str">
        <f>IF(C1583="","",COUNTA($C$10:C1584))</f>
        <v/>
      </c>
      <c r="C1583" s="362"/>
      <c r="D1583" s="851"/>
      <c r="E1583" s="852" t="s">
        <v>560</v>
      </c>
      <c r="F1583" s="848" t="str">
        <f>VLOOKUP(E1583,'9.may'!E:F,2,FALSE)</f>
        <v>welding machine 23kW</v>
      </c>
      <c r="G1583" s="362" t="s">
        <v>4902</v>
      </c>
      <c r="H1583" s="847">
        <f>4.15*H1573</f>
        <v>6.6400000000000006</v>
      </c>
      <c r="I1583" s="848">
        <f>VLOOKUP(E1583,'9.may'!E:W,12,FALSE)</f>
        <v>171649.155</v>
      </c>
      <c r="J1583" s="853">
        <f t="shared" si="71"/>
        <v>1139750.3892000001</v>
      </c>
      <c r="N1583" s="843" t="e">
        <f>SUMIF(#REF!,'8.Dgia'!A1583,#REF!)+SUMIF(#REF!,'8.Dgia'!A1583,#REF!)+SUMIF(#REF!,'8.Dgia'!A1583,#REF!)+SUMIF(#REF!,'8.Dgia'!A1583,#REF!)</f>
        <v>#REF!</v>
      </c>
      <c r="O1583" s="844"/>
      <c r="P1583" s="843" t="e">
        <f t="shared" si="70"/>
        <v>#REF!</v>
      </c>
    </row>
    <row r="1584" spans="1:18" ht="15" customHeight="1">
      <c r="A1584" s="657">
        <f>IF(B1584="",MAX($A$8:A1583)+0,MAX($A$8:A1583)+1)</f>
        <v>172</v>
      </c>
      <c r="B1584" s="835" t="str">
        <f>IF(C1584="","",COUNTA($C$10:C1585))</f>
        <v/>
      </c>
      <c r="C1584" s="362"/>
      <c r="D1584" s="851"/>
      <c r="E1584" s="852" t="s">
        <v>561</v>
      </c>
      <c r="F1584" s="848" t="str">
        <f>VLOOKUP(E1584,'9.may'!E:F,2,FALSE)</f>
        <v>barge 200Ton</v>
      </c>
      <c r="G1584" s="362" t="s">
        <v>4902</v>
      </c>
      <c r="H1584" s="847">
        <f>0.12*H1573</f>
        <v>0.192</v>
      </c>
      <c r="I1584" s="848">
        <f>VLOOKUP(E1584,'9.may'!E:W,12,FALSE)</f>
        <v>586485.6</v>
      </c>
      <c r="J1584" s="853">
        <f t="shared" si="71"/>
        <v>112605.2352</v>
      </c>
      <c r="N1584" s="843" t="e">
        <f>SUMIF(#REF!,'8.Dgia'!A1584,#REF!)+SUMIF(#REF!,'8.Dgia'!A1584,#REF!)+SUMIF(#REF!,'8.Dgia'!A1584,#REF!)+SUMIF(#REF!,'8.Dgia'!A1584,#REF!)</f>
        <v>#REF!</v>
      </c>
      <c r="O1584" s="844"/>
      <c r="P1584" s="843" t="e">
        <f t="shared" si="70"/>
        <v>#REF!</v>
      </c>
    </row>
    <row r="1585" spans="1:18" ht="15" customHeight="1">
      <c r="A1585" s="657">
        <f>IF(B1585="",MAX($A$8:A1584)+0,MAX($A$8:A1584)+1)</f>
        <v>172</v>
      </c>
      <c r="B1585" s="835" t="str">
        <f>IF(C1585="","",COUNTA($C$10:C1586))</f>
        <v/>
      </c>
      <c r="C1585" s="362"/>
      <c r="D1585" s="851"/>
      <c r="E1585" s="852" t="s">
        <v>556</v>
      </c>
      <c r="F1585" s="848" t="str">
        <f>VLOOKUP(E1585,'9.may'!E:F,2,FALSE)</f>
        <v>barge 400Ton</v>
      </c>
      <c r="G1585" s="362" t="s">
        <v>4902</v>
      </c>
      <c r="H1585" s="847">
        <f>0.12*H1573</f>
        <v>0.192</v>
      </c>
      <c r="I1585" s="848">
        <f>VLOOKUP(E1585,'9.may'!E:W,12,FALSE)</f>
        <v>1144511.22</v>
      </c>
      <c r="J1585" s="853">
        <f t="shared" si="71"/>
        <v>219746.15424</v>
      </c>
      <c r="N1585" s="843" t="e">
        <f>SUMIF(#REF!,'8.Dgia'!A1585,#REF!)+SUMIF(#REF!,'8.Dgia'!A1585,#REF!)+SUMIF(#REF!,'8.Dgia'!A1585,#REF!)+SUMIF(#REF!,'8.Dgia'!A1585,#REF!)</f>
        <v>#REF!</v>
      </c>
      <c r="O1585" s="844"/>
      <c r="P1585" s="843" t="e">
        <f t="shared" si="70"/>
        <v>#REF!</v>
      </c>
    </row>
    <row r="1586" spans="1:18" ht="15" customHeight="1">
      <c r="A1586" s="657">
        <f>IF(B1586="",MAX($A$8:A1585)+0,MAX($A$8:A1585)+1)</f>
        <v>172</v>
      </c>
      <c r="B1586" s="835" t="str">
        <f>IF(C1586="","",COUNTA($C$10:C1587))</f>
        <v/>
      </c>
      <c r="C1586" s="362"/>
      <c r="D1586" s="851"/>
      <c r="E1586" s="852" t="s">
        <v>1776</v>
      </c>
      <c r="F1586" s="848" t="str">
        <f>VLOOKUP(E1586,'9.may'!E:F,2,FALSE)</f>
        <v>canoe 150CV</v>
      </c>
      <c r="G1586" s="362" t="s">
        <v>4902</v>
      </c>
      <c r="H1586" s="847">
        <f>0.06*1.6</f>
        <v>9.6000000000000002E-2</v>
      </c>
      <c r="I1586" s="848">
        <f>VLOOKUP(E1586,'9.may'!E:W,12,FALSE)</f>
        <v>1039071.9572727273</v>
      </c>
      <c r="J1586" s="853">
        <f t="shared" si="71"/>
        <v>99750.907898181817</v>
      </c>
      <c r="N1586" s="843" t="e">
        <f>SUMIF(#REF!,'8.Dgia'!A1586,#REF!)+SUMIF(#REF!,'8.Dgia'!A1586,#REF!)+SUMIF(#REF!,'8.Dgia'!A1586,#REF!)+SUMIF(#REF!,'8.Dgia'!A1586,#REF!)</f>
        <v>#REF!</v>
      </c>
      <c r="O1586" s="844"/>
      <c r="P1586" s="843" t="e">
        <f t="shared" si="70"/>
        <v>#REF!</v>
      </c>
    </row>
    <row r="1587" spans="1:18" ht="15" customHeight="1">
      <c r="A1587" s="657">
        <f>IF(B1587="",MAX($A$8:A1586)+0,MAX($A$8:A1586)+1)</f>
        <v>173</v>
      </c>
      <c r="B1587" s="835">
        <f>IF(C1587="","",COUNTA($C$10:C1588))</f>
        <v>173</v>
      </c>
      <c r="C1587" s="835">
        <f>IF(D1587="","",1776)</f>
        <v>1776</v>
      </c>
      <c r="D1587" s="851" t="s">
        <v>731</v>
      </c>
      <c r="E1587" s="855" t="s">
        <v>4037</v>
      </c>
      <c r="F1587" s="1049" t="str">
        <f>VLOOKUP(E1587,DICH!B:C,2,FALSE)</f>
        <v>Concrete C20 of foundation</v>
      </c>
      <c r="G1587" s="856" t="s">
        <v>545</v>
      </c>
      <c r="H1587" s="847"/>
      <c r="I1587" s="848"/>
      <c r="J1587" s="853"/>
      <c r="K1587" s="842">
        <f>+J1588</f>
        <v>920018.77559838083</v>
      </c>
      <c r="L1587" s="842">
        <f>+J1591</f>
        <v>295139.26</v>
      </c>
      <c r="M1587" s="842">
        <f>+J1592</f>
        <v>23229.762015</v>
      </c>
      <c r="N1587" s="843" t="e">
        <f>SUMIF(#REF!,'8.Dgia'!A1587,#REF!)+SUMIF(#REF!,'8.Dgia'!A1587,#REF!)+SUMIF(#REF!,'8.Dgia'!A1587,#REF!)+SUMIF(#REF!,'8.Dgia'!A1587,#REF!)</f>
        <v>#REF!</v>
      </c>
      <c r="O1587" s="844"/>
      <c r="P1587" s="843" t="e">
        <f t="shared" si="70"/>
        <v>#REF!</v>
      </c>
    </row>
    <row r="1588" spans="1:18" s="658" customFormat="1" ht="15" customHeight="1">
      <c r="A1588" s="657">
        <f>IF(B1588="",MAX($A$8:A1587)+0,MAX($A$8:A1587)+1)</f>
        <v>173</v>
      </c>
      <c r="B1588" s="835" t="str">
        <f>IF(C1588="","",COUNTA($C$10:C1589))</f>
        <v/>
      </c>
      <c r="C1588" s="362"/>
      <c r="D1588" s="845"/>
      <c r="E1588" s="852" t="s">
        <v>2032</v>
      </c>
      <c r="F1588" s="848" t="str">
        <f>VLOOKUP(E1588,DICH!B:C,2,FALSE)</f>
        <v xml:space="preserve">  A - Material</v>
      </c>
      <c r="G1588" s="846"/>
      <c r="H1588" s="847"/>
      <c r="I1588" s="848"/>
      <c r="J1588" s="849">
        <f>SUM(J1589:J1590)</f>
        <v>920018.77559838083</v>
      </c>
      <c r="K1588" s="850"/>
      <c r="L1588" s="850"/>
      <c r="M1588" s="850"/>
      <c r="N1588" s="843" t="e">
        <f>SUMIF(#REF!,'8.Dgia'!A1588,#REF!)+SUMIF(#REF!,'8.Dgia'!A1588,#REF!)+SUMIF(#REF!,'8.Dgia'!A1588,#REF!)+SUMIF(#REF!,'8.Dgia'!A1588,#REF!)</f>
        <v>#REF!</v>
      </c>
      <c r="O1588" s="844"/>
      <c r="P1588" s="843" t="e">
        <f t="shared" si="70"/>
        <v>#REF!</v>
      </c>
    </row>
    <row r="1589" spans="1:18" ht="15" customHeight="1">
      <c r="A1589" s="657">
        <f>IF(B1589="",MAX($A$8:A1588)+0,MAX($A$8:A1588)+1)</f>
        <v>173</v>
      </c>
      <c r="B1589" s="835" t="str">
        <f>IF(C1589="","",COUNTA($C$10:C1590))</f>
        <v/>
      </c>
      <c r="C1589" s="851"/>
      <c r="D1589" s="851" t="str">
        <f>+'10.PLV'!$C$17</f>
        <v>C3124</v>
      </c>
      <c r="E1589" s="852" t="str">
        <f>+'10.PLV'!$D$17</f>
        <v>Vữa bê tông đá 1x2 C20 SN 2-4</v>
      </c>
      <c r="F1589" s="848" t="str">
        <f>VLOOKUP(E1589,DICH!B:C,2,FALSE)</f>
        <v>Concrete motar C20 stone 1x2 slump 2-4</v>
      </c>
      <c r="G1589" s="362" t="s">
        <v>545</v>
      </c>
      <c r="H1589" s="847">
        <v>1.03</v>
      </c>
      <c r="I1589" s="848">
        <f>VLOOKUP(E1589,'11.gia '!B:I,8,FALSE)</f>
        <v>884378.32894201751</v>
      </c>
      <c r="J1589" s="853">
        <f>I1589*H1589</f>
        <v>910909.67881027807</v>
      </c>
      <c r="N1589" s="843" t="e">
        <f>SUMIF(#REF!,'8.Dgia'!A1589,#REF!)+SUMIF(#REF!,'8.Dgia'!A1589,#REF!)+SUMIF(#REF!,'8.Dgia'!A1589,#REF!)+SUMIF(#REF!,'8.Dgia'!A1589,#REF!)</f>
        <v>#REF!</v>
      </c>
      <c r="O1589" s="844">
        <f>+$H$1590</f>
        <v>1</v>
      </c>
      <c r="P1589" s="843" t="e">
        <f t="shared" si="70"/>
        <v>#REF!</v>
      </c>
    </row>
    <row r="1590" spans="1:18" ht="15" customHeight="1">
      <c r="A1590" s="657">
        <f>IF(B1590="",MAX($A$8:A1589)+0,MAX($A$8:A1589)+1)</f>
        <v>173</v>
      </c>
      <c r="B1590" s="835" t="str">
        <f>IF(C1590="","",COUNTA($C$10:C1591))</f>
        <v/>
      </c>
      <c r="C1590" s="362"/>
      <c r="D1590" s="851"/>
      <c r="E1590" s="852" t="s">
        <v>555</v>
      </c>
      <c r="F1590" s="848" t="str">
        <f>VLOOKUP(E1590,DICH!B:C,2,FALSE)</f>
        <v>Other material</v>
      </c>
      <c r="G1590" s="362" t="s">
        <v>554</v>
      </c>
      <c r="H1590" s="847">
        <v>1</v>
      </c>
      <c r="I1590" s="848">
        <f>J1589</f>
        <v>910909.67881027807</v>
      </c>
      <c r="J1590" s="853">
        <f>I1590*H1590%</f>
        <v>9109.0967881027809</v>
      </c>
      <c r="N1590" s="843" t="e">
        <f>SUMIF(#REF!,'8.Dgia'!A1590,#REF!)+SUMIF(#REF!,'8.Dgia'!A1590,#REF!)+SUMIF(#REF!,'8.Dgia'!A1590,#REF!)+SUMIF(#REF!,'8.Dgia'!A1590,#REF!)</f>
        <v>#REF!</v>
      </c>
      <c r="O1590" s="844"/>
      <c r="P1590" s="843" t="e">
        <f t="shared" si="70"/>
        <v>#REF!</v>
      </c>
    </row>
    <row r="1591" spans="1:18" s="658" customFormat="1" ht="15" customHeight="1">
      <c r="A1591" s="657">
        <f>IF(B1591="",MAX($A$8:A1590)+0,MAX($A$8:A1590)+1)</f>
        <v>173</v>
      </c>
      <c r="B1591" s="835" t="str">
        <f>IF(C1591="","",COUNTA($C$10:C1592))</f>
        <v/>
      </c>
      <c r="C1591" s="362"/>
      <c r="D1591" s="845"/>
      <c r="E1591" s="852" t="s">
        <v>2038</v>
      </c>
      <c r="F1591" s="848" t="str">
        <f>VLOOKUP(E1591,DICH!B:C,2,FALSE)</f>
        <v xml:space="preserve">  B - Labour 3.0/7</v>
      </c>
      <c r="G1591" s="362" t="s">
        <v>4899</v>
      </c>
      <c r="H1591" s="847">
        <v>1.58</v>
      </c>
      <c r="I1591" s="848">
        <f>VLOOKUP(E1591,'16.NC'!$C$11:$F$22,4,FALSE)</f>
        <v>186797</v>
      </c>
      <c r="J1591" s="849">
        <f>I1591*H1591</f>
        <v>295139.26</v>
      </c>
      <c r="K1591" s="850"/>
      <c r="L1591" s="850"/>
      <c r="M1591" s="850"/>
      <c r="N1591" s="843" t="e">
        <f>SUMIF(#REF!,'8.Dgia'!A1591,#REF!)+SUMIF(#REF!,'8.Dgia'!A1591,#REF!)+SUMIF(#REF!,'8.Dgia'!A1591,#REF!)+SUMIF(#REF!,'8.Dgia'!A1591,#REF!)</f>
        <v>#REF!</v>
      </c>
      <c r="O1591" s="844"/>
      <c r="P1591" s="843" t="e">
        <f t="shared" si="70"/>
        <v>#REF!</v>
      </c>
      <c r="R1591" s="658">
        <v>1</v>
      </c>
    </row>
    <row r="1592" spans="1:18" s="658" customFormat="1" ht="15" customHeight="1">
      <c r="A1592" s="657">
        <f>IF(B1592="",MAX($A$8:A1591)+0,MAX($A$8:A1591)+1)</f>
        <v>173</v>
      </c>
      <c r="B1592" s="835" t="str">
        <f>IF(C1592="","",COUNTA($C$10:C1593))</f>
        <v/>
      </c>
      <c r="C1592" s="362"/>
      <c r="D1592" s="845"/>
      <c r="E1592" s="852" t="s">
        <v>2033</v>
      </c>
      <c r="F1592" s="848" t="str">
        <f>VLOOKUP(E1592,DICH!B:C,2,FALSE)</f>
        <v xml:space="preserve">  C - Machine</v>
      </c>
      <c r="G1592" s="846"/>
      <c r="H1592" s="847"/>
      <c r="I1592" s="848"/>
      <c r="J1592" s="849">
        <f>SUM(J1593:J1594)</f>
        <v>23229.762015</v>
      </c>
      <c r="K1592" s="850"/>
      <c r="L1592" s="850"/>
      <c r="M1592" s="850"/>
      <c r="N1592" s="843" t="e">
        <f>SUMIF(#REF!,'8.Dgia'!A1592,#REF!)+SUMIF(#REF!,'8.Dgia'!A1592,#REF!)+SUMIF(#REF!,'8.Dgia'!A1592,#REF!)+SUMIF(#REF!,'8.Dgia'!A1592,#REF!)</f>
        <v>#REF!</v>
      </c>
      <c r="O1592" s="844"/>
      <c r="P1592" s="843" t="e">
        <f t="shared" si="70"/>
        <v>#REF!</v>
      </c>
    </row>
    <row r="1593" spans="1:18" ht="15" customHeight="1">
      <c r="A1593" s="657">
        <f>IF(B1593="",MAX($A$8:A1592)+0,MAX($A$8:A1592)+1)</f>
        <v>173</v>
      </c>
      <c r="B1593" s="835" t="str">
        <f>IF(C1593="","",COUNTA($C$10:C1594))</f>
        <v/>
      </c>
      <c r="C1593" s="362"/>
      <c r="D1593" s="851"/>
      <c r="E1593" s="852" t="s">
        <v>582</v>
      </c>
      <c r="F1593" s="848" t="str">
        <f>VLOOKUP(E1593,'9.may'!E:F,2,FALSE)</f>
        <v>concrete mixer 250L</v>
      </c>
      <c r="G1593" s="362" t="s">
        <v>4902</v>
      </c>
      <c r="H1593" s="847">
        <v>9.5000000000000001E-2</v>
      </c>
      <c r="I1593" s="848">
        <f>VLOOKUP(E1593,'9.may'!E:W,12,FALSE)</f>
        <v>180447.90000000002</v>
      </c>
      <c r="J1593" s="853">
        <f>I1593*H1593</f>
        <v>17142.550500000001</v>
      </c>
      <c r="N1593" s="843" t="e">
        <f>SUMIF(#REF!,'8.Dgia'!A1593,#REF!)+SUMIF(#REF!,'8.Dgia'!A1593,#REF!)+SUMIF(#REF!,'8.Dgia'!A1593,#REF!)+SUMIF(#REF!,'8.Dgia'!A1593,#REF!)</f>
        <v>#REF!</v>
      </c>
      <c r="O1593" s="844"/>
      <c r="P1593" s="843" t="e">
        <f t="shared" si="70"/>
        <v>#REF!</v>
      </c>
    </row>
    <row r="1594" spans="1:18" ht="15" customHeight="1">
      <c r="A1594" s="657">
        <f>IF(B1594="",MAX($A$8:A1593)+0,MAX($A$8:A1593)+1)</f>
        <v>173</v>
      </c>
      <c r="B1594" s="835" t="str">
        <f>IF(C1594="","",COUNTA($C$10:C1595))</f>
        <v/>
      </c>
      <c r="C1594" s="362"/>
      <c r="D1594" s="851"/>
      <c r="E1594" s="852" t="s">
        <v>747</v>
      </c>
      <c r="F1594" s="848" t="str">
        <f>VLOOKUP(E1594,'9.may'!E:F,2,FALSE)</f>
        <v>concrete vibrating compactor 1Kw</v>
      </c>
      <c r="G1594" s="362" t="s">
        <v>4902</v>
      </c>
      <c r="H1594" s="847">
        <v>8.8999999999999996E-2</v>
      </c>
      <c r="I1594" s="848">
        <f>VLOOKUP(E1594,'9.may'!E:W,12,FALSE)</f>
        <v>68395.634999999995</v>
      </c>
      <c r="J1594" s="853">
        <f>I1594*H1594</f>
        <v>6087.2115149999991</v>
      </c>
      <c r="N1594" s="843" t="e">
        <f>SUMIF(#REF!,'8.Dgia'!A1594,#REF!)+SUMIF(#REF!,'8.Dgia'!A1594,#REF!)+SUMIF(#REF!,'8.Dgia'!A1594,#REF!)+SUMIF(#REF!,'8.Dgia'!A1594,#REF!)</f>
        <v>#REF!</v>
      </c>
      <c r="O1594" s="844"/>
      <c r="P1594" s="843" t="e">
        <f t="shared" si="70"/>
        <v>#REF!</v>
      </c>
    </row>
    <row r="1595" spans="1:18" s="1336" customFormat="1" ht="44.25" customHeight="1">
      <c r="A1595" s="1336">
        <f>IF(B1595="",MAX($A$8:A1594)+0,MAX($A$8:A1594)+1)</f>
        <v>174</v>
      </c>
      <c r="B1595" s="1337">
        <f>IF(C1595="","",COUNTA($C$10:C1596))</f>
        <v>174</v>
      </c>
      <c r="C1595" s="1337">
        <f>IF(D1595="","",1776)</f>
        <v>1776</v>
      </c>
      <c r="D1595" s="1144" t="s">
        <v>733</v>
      </c>
      <c r="E1595" s="1419" t="s">
        <v>5627</v>
      </c>
      <c r="F1595" s="1420" t="e">
        <f>VLOOKUP(E1595,DICH!B:C,2,FALSE)</f>
        <v>#N/A</v>
      </c>
      <c r="G1595" s="1431" t="s">
        <v>4644</v>
      </c>
      <c r="H1595" s="1001">
        <f>1.17%*3</f>
        <v>3.5099999999999992E-2</v>
      </c>
      <c r="I1595" s="1331"/>
      <c r="J1595" s="1430"/>
      <c r="K1595" s="1425">
        <f>+J1596</f>
        <v>482210.6236891619</v>
      </c>
      <c r="L1595" s="1425">
        <f>+J1602</f>
        <v>154464.13124999998</v>
      </c>
      <c r="M1595" s="1425">
        <f>+J1603</f>
        <v>41314.85530997334</v>
      </c>
      <c r="N1595" s="1343" t="e">
        <f>SUMIF(#REF!,'8.Dgia'!A1595,#REF!)+SUMIF(#REF!,'8.Dgia'!A1595,#REF!)+SUMIF(#REF!,'8.Dgia'!A1595,#REF!)+SUMIF(#REF!,'8.Dgia'!A1595,#REF!)</f>
        <v>#REF!</v>
      </c>
      <c r="O1595" s="1426"/>
      <c r="P1595" s="1343" t="e">
        <f t="shared" si="70"/>
        <v>#REF!</v>
      </c>
    </row>
    <row r="1596" spans="1:18" ht="15" customHeight="1">
      <c r="A1596" s="657">
        <f>IF(B1596="",MAX($A$8:A1595)+0,MAX($A$8:A1595)+1)</f>
        <v>174</v>
      </c>
      <c r="B1596" s="835" t="str">
        <f>IF(C1596="","",COUNTA($C$10:C1597))</f>
        <v/>
      </c>
      <c r="C1596" s="847"/>
      <c r="D1596" s="362"/>
      <c r="E1596" s="852" t="s">
        <v>2032</v>
      </c>
      <c r="F1596" s="848" t="str">
        <f>VLOOKUP(E1596,DICH!B:C,2,FALSE)</f>
        <v xml:space="preserve">  A - Material</v>
      </c>
      <c r="G1596" s="884"/>
      <c r="H1596" s="847"/>
      <c r="I1596" s="848"/>
      <c r="J1596" s="849">
        <f>SUM(J1597:J1601)</f>
        <v>482210.6236891619</v>
      </c>
      <c r="N1596" s="843" t="e">
        <f>SUMIF(#REF!,'8.Dgia'!A1596,#REF!)+SUMIF(#REF!,'8.Dgia'!A1596,#REF!)+SUMIF(#REF!,'8.Dgia'!A1596,#REF!)+SUMIF(#REF!,'8.Dgia'!A1596,#REF!)</f>
        <v>#REF!</v>
      </c>
      <c r="O1596" s="844"/>
      <c r="P1596" s="843" t="e">
        <f t="shared" si="70"/>
        <v>#REF!</v>
      </c>
    </row>
    <row r="1597" spans="1:18" ht="15" customHeight="1">
      <c r="A1597" s="657">
        <f>IF(B1597="",MAX($A$8:A1596)+0,MAX($A$8:A1596)+1)</f>
        <v>174</v>
      </c>
      <c r="B1597" s="835" t="str">
        <f>IF(C1597="","",COUNTA($C$10:C1598))</f>
        <v/>
      </c>
      <c r="C1597" s="847"/>
      <c r="D1597" s="362"/>
      <c r="E1597" s="852" t="s">
        <v>562</v>
      </c>
      <c r="F1597" s="848" t="str">
        <f>VLOOKUP(E1597,DICH!B:C,2,FALSE)</f>
        <v>Plate steel</v>
      </c>
      <c r="G1597" s="883" t="s">
        <v>558</v>
      </c>
      <c r="H1597" s="859">
        <f>1025*H1595</f>
        <v>35.977499999999992</v>
      </c>
      <c r="I1597" s="848">
        <f>VLOOKUP(E1597,'11.gia '!$B:$I,8,FALSE)</f>
        <v>12871.348287272725</v>
      </c>
      <c r="J1597" s="853">
        <f>I1597*H1597</f>
        <v>463078.93300535437</v>
      </c>
      <c r="N1597" s="843" t="e">
        <f>SUMIF(#REF!,'8.Dgia'!A1597,#REF!)+SUMIF(#REF!,'8.Dgia'!A1597,#REF!)+SUMIF(#REF!,'8.Dgia'!A1597,#REF!)+SUMIF(#REF!,'8.Dgia'!A1597,#REF!)</f>
        <v>#REF!</v>
      </c>
      <c r="O1597" s="844">
        <f>+$H$1601</f>
        <v>1.5</v>
      </c>
      <c r="P1597" s="843" t="e">
        <f t="shared" si="70"/>
        <v>#REF!</v>
      </c>
    </row>
    <row r="1598" spans="1:18" ht="15" customHeight="1">
      <c r="A1598" s="657">
        <f>IF(B1598="",MAX($A$8:A1597)+0,MAX($A$8:A1597)+1)</f>
        <v>174</v>
      </c>
      <c r="B1598" s="835" t="str">
        <f>IF(C1598="","",COUNTA($C$10:C1599))</f>
        <v/>
      </c>
      <c r="C1598" s="847"/>
      <c r="D1598" s="362"/>
      <c r="E1598" s="852" t="s">
        <v>564</v>
      </c>
      <c r="F1598" s="848" t="str">
        <f>VLOOKUP(E1598,DICH!B:C,2,FALSE)</f>
        <v>oxygen</v>
      </c>
      <c r="G1598" s="883" t="s">
        <v>4647</v>
      </c>
      <c r="H1598" s="859">
        <f>0.078*H1595</f>
        <v>2.7377999999999994E-3</v>
      </c>
      <c r="I1598" s="848">
        <f>VLOOKUP(E1598,'11.gia '!$B:$I,8,FALSE)</f>
        <v>48000</v>
      </c>
      <c r="J1598" s="853">
        <f>I1598*H1598</f>
        <v>131.41439999999997</v>
      </c>
      <c r="N1598" s="843" t="e">
        <f>SUMIF(#REF!,'8.Dgia'!A1598,#REF!)+SUMIF(#REF!,'8.Dgia'!A1598,#REF!)+SUMIF(#REF!,'8.Dgia'!A1598,#REF!)+SUMIF(#REF!,'8.Dgia'!A1598,#REF!)</f>
        <v>#REF!</v>
      </c>
      <c r="O1598" s="844">
        <f>+$H$1601</f>
        <v>1.5</v>
      </c>
      <c r="P1598" s="843" t="e">
        <f t="shared" si="70"/>
        <v>#REF!</v>
      </c>
    </row>
    <row r="1599" spans="1:18" ht="15" customHeight="1">
      <c r="A1599" s="657">
        <f>IF(B1599="",MAX($A$8:A1598)+0,MAX($A$8:A1598)+1)</f>
        <v>174</v>
      </c>
      <c r="B1599" s="835" t="str">
        <f>IF(C1599="","",COUNTA($C$10:C1600))</f>
        <v/>
      </c>
      <c r="C1599" s="847"/>
      <c r="D1599" s="362"/>
      <c r="E1599" s="852" t="s">
        <v>566</v>
      </c>
      <c r="F1599" s="848" t="str">
        <f>VLOOKUP(E1599,DICH!B:C,2,FALSE)</f>
        <v>Calcium carbide</v>
      </c>
      <c r="G1599" s="883" t="s">
        <v>558</v>
      </c>
      <c r="H1599" s="859">
        <f>0.3*H1595</f>
        <v>1.0529999999999998E-2</v>
      </c>
      <c r="I1599" s="848">
        <f>VLOOKUP(E1599,'11.gia '!$B:$I,8,FALSE)</f>
        <v>14000</v>
      </c>
      <c r="J1599" s="853">
        <f>I1599*H1599</f>
        <v>147.41999999999996</v>
      </c>
      <c r="N1599" s="843" t="e">
        <f>SUMIF(#REF!,'8.Dgia'!A1599,#REF!)+SUMIF(#REF!,'8.Dgia'!A1599,#REF!)+SUMIF(#REF!,'8.Dgia'!A1599,#REF!)+SUMIF(#REF!,'8.Dgia'!A1599,#REF!)</f>
        <v>#REF!</v>
      </c>
      <c r="O1599" s="844">
        <f>+$H$1601</f>
        <v>1.5</v>
      </c>
      <c r="P1599" s="843" t="e">
        <f t="shared" si="70"/>
        <v>#REF!</v>
      </c>
    </row>
    <row r="1600" spans="1:18" ht="15" customHeight="1">
      <c r="A1600" s="657">
        <f>IF(B1600="",MAX($A$8:A1599)+0,MAX($A$8:A1599)+1)</f>
        <v>174</v>
      </c>
      <c r="B1600" s="835" t="str">
        <f>IF(C1600="","",COUNTA($C$10:C1601))</f>
        <v/>
      </c>
      <c r="C1600" s="847"/>
      <c r="D1600" s="362"/>
      <c r="E1600" s="852" t="s">
        <v>559</v>
      </c>
      <c r="F1600" s="848" t="str">
        <f>VLOOKUP(E1600,DICH!B:C,2,FALSE)</f>
        <v>welding electrode</v>
      </c>
      <c r="G1600" s="883" t="s">
        <v>558</v>
      </c>
      <c r="H1600" s="859">
        <f>17.5*H1595</f>
        <v>0.61424999999999985</v>
      </c>
      <c r="I1600" s="848">
        <f>VLOOKUP(E1600,'11.gia '!$B:$I,8,FALSE)</f>
        <v>19090.909090909088</v>
      </c>
      <c r="J1600" s="853">
        <f>I1600*H1600</f>
        <v>11726.590909090904</v>
      </c>
      <c r="N1600" s="843" t="e">
        <f>SUMIF(#REF!,'8.Dgia'!A1600,#REF!)+SUMIF(#REF!,'8.Dgia'!A1600,#REF!)+SUMIF(#REF!,'8.Dgia'!A1600,#REF!)+SUMIF(#REF!,'8.Dgia'!A1600,#REF!)</f>
        <v>#REF!</v>
      </c>
      <c r="O1600" s="844">
        <f>+$H$1601</f>
        <v>1.5</v>
      </c>
      <c r="P1600" s="843" t="e">
        <f t="shared" si="70"/>
        <v>#REF!</v>
      </c>
    </row>
    <row r="1601" spans="1:18" ht="15" customHeight="1">
      <c r="A1601" s="657">
        <f>IF(B1601="",MAX($A$8:A1600)+0,MAX($A$8:A1600)+1)</f>
        <v>174</v>
      </c>
      <c r="B1601" s="835" t="str">
        <f>IF(C1601="","",COUNTA($C$10:C1602))</f>
        <v/>
      </c>
      <c r="C1601" s="847"/>
      <c r="D1601" s="362"/>
      <c r="E1601" s="852" t="s">
        <v>555</v>
      </c>
      <c r="F1601" s="848" t="str">
        <f>VLOOKUP(E1601,DICH!B:C,2,FALSE)</f>
        <v>Other material</v>
      </c>
      <c r="G1601" s="362" t="s">
        <v>554</v>
      </c>
      <c r="H1601" s="847">
        <v>1.5</v>
      </c>
      <c r="I1601" s="848">
        <f>SUM(J1597:J1600)</f>
        <v>475084.35831444524</v>
      </c>
      <c r="J1601" s="853">
        <f>I1601*H1601%</f>
        <v>7126.2653747166787</v>
      </c>
      <c r="N1601" s="843" t="e">
        <f>SUMIF(#REF!,'8.Dgia'!A1601,#REF!)+SUMIF(#REF!,'8.Dgia'!A1601,#REF!)+SUMIF(#REF!,'8.Dgia'!A1601,#REF!)+SUMIF(#REF!,'8.Dgia'!A1601,#REF!)</f>
        <v>#REF!</v>
      </c>
      <c r="O1601" s="844"/>
      <c r="P1601" s="843" t="e">
        <f t="shared" si="70"/>
        <v>#REF!</v>
      </c>
    </row>
    <row r="1602" spans="1:18" ht="15" customHeight="1">
      <c r="A1602" s="657">
        <f>IF(B1602="",MAX($A$8:A1601)+0,MAX($A$8:A1601)+1)</f>
        <v>174</v>
      </c>
      <c r="B1602" s="835" t="str">
        <f>IF(C1602="","",COUNTA($C$10:C1603))</f>
        <v/>
      </c>
      <c r="C1602" s="847"/>
      <c r="D1602" s="362"/>
      <c r="E1602" s="852" t="s">
        <v>2040</v>
      </c>
      <c r="F1602" s="848" t="str">
        <f>VLOOKUP(E1602,DICH!B:C,2,FALSE)</f>
        <v xml:space="preserve">  B - Labour 4.5/7</v>
      </c>
      <c r="G1602" s="883" t="s">
        <v>4899</v>
      </c>
      <c r="H1602" s="908">
        <f>18.5*H1595</f>
        <v>0.64934999999999987</v>
      </c>
      <c r="I1602" s="848">
        <f>VLOOKUP(E1602,'16.NC'!$C$11:$F$22,4,FALSE)</f>
        <v>237875</v>
      </c>
      <c r="J1602" s="849">
        <f>I1602*H1602</f>
        <v>154464.13124999998</v>
      </c>
      <c r="N1602" s="843" t="e">
        <f>SUMIF(#REF!,'8.Dgia'!A1602,#REF!)+SUMIF(#REF!,'8.Dgia'!A1602,#REF!)+SUMIF(#REF!,'8.Dgia'!A1602,#REF!)+SUMIF(#REF!,'8.Dgia'!A1602,#REF!)</f>
        <v>#REF!</v>
      </c>
      <c r="O1602" s="844"/>
      <c r="P1602" s="843" t="e">
        <f t="shared" si="70"/>
        <v>#REF!</v>
      </c>
      <c r="R1602" s="658">
        <v>1</v>
      </c>
    </row>
    <row r="1603" spans="1:18" ht="15" customHeight="1">
      <c r="A1603" s="657">
        <f>IF(B1603="",MAX($A$8:A1602)+0,MAX($A$8:A1602)+1)</f>
        <v>174</v>
      </c>
      <c r="B1603" s="835" t="str">
        <f>IF(C1603="","",COUNTA($C$10:C1604))</f>
        <v/>
      </c>
      <c r="C1603" s="847"/>
      <c r="D1603" s="362"/>
      <c r="E1603" s="852" t="s">
        <v>2033</v>
      </c>
      <c r="F1603" s="848" t="str">
        <f>VLOOKUP(E1603,DICH!B:C,2,FALSE)</f>
        <v xml:space="preserve">  C - Machine</v>
      </c>
      <c r="G1603" s="883"/>
      <c r="H1603" s="847"/>
      <c r="I1603" s="848"/>
      <c r="J1603" s="849">
        <f>SUM(J1604:J1607)</f>
        <v>41314.85530997334</v>
      </c>
      <c r="N1603" s="843" t="e">
        <f>SUMIF(#REF!,'8.Dgia'!A1603,#REF!)+SUMIF(#REF!,'8.Dgia'!A1603,#REF!)+SUMIF(#REF!,'8.Dgia'!A1603,#REF!)+SUMIF(#REF!,'8.Dgia'!A1603,#REF!)</f>
        <v>#REF!</v>
      </c>
      <c r="O1603" s="844"/>
      <c r="P1603" s="843" t="e">
        <f t="shared" si="70"/>
        <v>#REF!</v>
      </c>
    </row>
    <row r="1604" spans="1:18" ht="15" customHeight="1">
      <c r="A1604" s="657">
        <f>IF(B1604="",MAX($A$8:A1603)+0,MAX($A$8:A1603)+1)</f>
        <v>174</v>
      </c>
      <c r="B1604" s="835" t="str">
        <f>IF(C1604="","",COUNTA($C$10:C1605))</f>
        <v/>
      </c>
      <c r="C1604" s="847"/>
      <c r="D1604" s="362"/>
      <c r="E1604" s="852" t="s">
        <v>560</v>
      </c>
      <c r="F1604" s="848" t="str">
        <f>VLOOKUP(E1604,'9.may'!E:F,2,FALSE)</f>
        <v>welding machine 23kW</v>
      </c>
      <c r="G1604" s="883" t="s">
        <v>4902</v>
      </c>
      <c r="H1604" s="859">
        <f>3.2*H1595</f>
        <v>0.11231999999999998</v>
      </c>
      <c r="I1604" s="848">
        <f>VLOOKUP(E1604,'9.may'!E:W,12,FALSE)</f>
        <v>171649.155</v>
      </c>
      <c r="J1604" s="853">
        <f>I1604*H1604</f>
        <v>19279.633089599996</v>
      </c>
      <c r="N1604" s="843" t="e">
        <f>SUMIF(#REF!,'8.Dgia'!A1604,#REF!)+SUMIF(#REF!,'8.Dgia'!A1604,#REF!)+SUMIF(#REF!,'8.Dgia'!A1604,#REF!)+SUMIF(#REF!,'8.Dgia'!A1604,#REF!)</f>
        <v>#REF!</v>
      </c>
      <c r="O1604" s="844">
        <f>+$H$1607</f>
        <v>1</v>
      </c>
      <c r="P1604" s="843" t="e">
        <f t="shared" si="70"/>
        <v>#REF!</v>
      </c>
    </row>
    <row r="1605" spans="1:18" ht="15" customHeight="1">
      <c r="A1605" s="657">
        <f>IF(B1605="",MAX($A$8:A1604)+0,MAX($A$8:A1604)+1)</f>
        <v>174</v>
      </c>
      <c r="B1605" s="835" t="str">
        <f>IF(C1605="","",COUNTA($C$10:C1606))</f>
        <v/>
      </c>
      <c r="C1605" s="847"/>
      <c r="D1605" s="362"/>
      <c r="E1605" s="852" t="s">
        <v>1412</v>
      </c>
      <c r="F1605" s="848" t="str">
        <f>VLOOKUP(E1605,'9.may'!E:F,2,FALSE)</f>
        <v>plate roll bending machine 2.8kW</v>
      </c>
      <c r="G1605" s="883" t="s">
        <v>4902</v>
      </c>
      <c r="H1605" s="859">
        <f>0.5*H1595</f>
        <v>1.7549999999999996E-2</v>
      </c>
      <c r="I1605" s="848">
        <f>VLOOKUP(E1605,'9.may'!E:W,12,FALSE)</f>
        <v>82106.406000000003</v>
      </c>
      <c r="J1605" s="853">
        <f>I1605*H1605</f>
        <v>1440.9674252999998</v>
      </c>
      <c r="N1605" s="843" t="e">
        <f>SUMIF(#REF!,'8.Dgia'!A1605,#REF!)+SUMIF(#REF!,'8.Dgia'!A1605,#REF!)+SUMIF(#REF!,'8.Dgia'!A1605,#REF!)+SUMIF(#REF!,'8.Dgia'!A1605,#REF!)</f>
        <v>#REF!</v>
      </c>
      <c r="O1605" s="844">
        <f>+$H$1607</f>
        <v>1</v>
      </c>
      <c r="P1605" s="843" t="e">
        <f t="shared" si="70"/>
        <v>#REF!</v>
      </c>
    </row>
    <row r="1606" spans="1:18" ht="15" customHeight="1">
      <c r="A1606" s="657">
        <f>IF(B1606="",MAX($A$8:A1605)+0,MAX($A$8:A1605)+1)</f>
        <v>174</v>
      </c>
      <c r="B1606" s="835" t="str">
        <f>IF(C1606="","",COUNTA($C$10:C1607))</f>
        <v/>
      </c>
      <c r="C1606" s="847"/>
      <c r="D1606" s="362"/>
      <c r="E1606" s="852" t="s">
        <v>287</v>
      </c>
      <c r="F1606" s="848" t="str">
        <f>VLOOKUP(E1606,'9.may'!E:F,2,FALSE)</f>
        <v>caterpillar crane 16T</v>
      </c>
      <c r="G1606" s="883" t="s">
        <v>4902</v>
      </c>
      <c r="H1606" s="859">
        <f>0.27*H1595</f>
        <v>9.4769999999999993E-3</v>
      </c>
      <c r="I1606" s="848">
        <f>VLOOKUP(E1606,'9.may'!E:W,12,FALSE)</f>
        <v>2129914.1945454543</v>
      </c>
      <c r="J1606" s="853">
        <f>I1606*H1606</f>
        <v>20185.196821707268</v>
      </c>
      <c r="N1606" s="843" t="e">
        <f>SUMIF(#REF!,'8.Dgia'!A1606,#REF!)+SUMIF(#REF!,'8.Dgia'!A1606,#REF!)+SUMIF(#REF!,'8.Dgia'!A1606,#REF!)+SUMIF(#REF!,'8.Dgia'!A1606,#REF!)</f>
        <v>#REF!</v>
      </c>
      <c r="O1606" s="844">
        <f>+$H$1607</f>
        <v>1</v>
      </c>
      <c r="P1606" s="843" t="e">
        <f t="shared" si="70"/>
        <v>#REF!</v>
      </c>
    </row>
    <row r="1607" spans="1:18" ht="15" customHeight="1">
      <c r="A1607" s="657">
        <f>IF(B1607="",MAX($A$8:A1606)+0,MAX($A$8:A1606)+1)</f>
        <v>174</v>
      </c>
      <c r="B1607" s="835" t="str">
        <f>IF(C1607="","",COUNTA($C$10:C1608))</f>
        <v/>
      </c>
      <c r="C1607" s="847"/>
      <c r="D1607" s="362"/>
      <c r="E1607" s="852" t="s">
        <v>553</v>
      </c>
      <c r="F1607" s="848" t="str">
        <f>VLOOKUP(E1607,DICH!B:C,2,FALSE)</f>
        <v>Other machine</v>
      </c>
      <c r="G1607" s="362" t="s">
        <v>554</v>
      </c>
      <c r="H1607" s="847">
        <v>1</v>
      </c>
      <c r="I1607" s="848">
        <f>SUM(J1604:J1606)</f>
        <v>40905.797336607269</v>
      </c>
      <c r="J1607" s="853">
        <f>I1607*H1607%</f>
        <v>409.0579733660727</v>
      </c>
      <c r="N1607" s="843" t="e">
        <f>SUMIF(#REF!,'8.Dgia'!A1607,#REF!)+SUMIF(#REF!,'8.Dgia'!A1607,#REF!)+SUMIF(#REF!,'8.Dgia'!A1607,#REF!)+SUMIF(#REF!,'8.Dgia'!A1607,#REF!)</f>
        <v>#REF!</v>
      </c>
      <c r="O1607" s="844"/>
      <c r="P1607" s="843" t="e">
        <f t="shared" si="70"/>
        <v>#REF!</v>
      </c>
    </row>
    <row r="1608" spans="1:18" s="1336" customFormat="1" ht="54" customHeight="1">
      <c r="A1608" s="1336">
        <f>IF(B1608="",MAX($A$8:A1607)+0,MAX($A$8:A1607)+1)</f>
        <v>175</v>
      </c>
      <c r="B1608" s="1337">
        <f>IF(C1608="","",COUNTA($C$10:C1609))</f>
        <v>175</v>
      </c>
      <c r="C1608" s="1337">
        <f>IF(D1608="","",1776)</f>
        <v>1776</v>
      </c>
      <c r="D1608" s="1144" t="s">
        <v>733</v>
      </c>
      <c r="E1608" s="1419" t="s">
        <v>5625</v>
      </c>
      <c r="F1608" s="1420" t="e">
        <f>VLOOKUP(E1608,DICH!B:C,2,FALSE)</f>
        <v>#N/A</v>
      </c>
      <c r="G1608" s="1431" t="s">
        <v>4644</v>
      </c>
      <c r="H1608" s="1001">
        <f>1.17%*2</f>
        <v>2.3399999999999997E-2</v>
      </c>
      <c r="I1608" s="1331"/>
      <c r="J1608" s="1430"/>
      <c r="K1608" s="1425">
        <f>+J1609</f>
        <v>321473.74912610807</v>
      </c>
      <c r="L1608" s="1425">
        <f>+J1615</f>
        <v>102976.08749999999</v>
      </c>
      <c r="M1608" s="1425">
        <f>+J1616</f>
        <v>27543.23687331556</v>
      </c>
      <c r="N1608" s="1343" t="e">
        <f>SUMIF(#REF!,'8.Dgia'!A1608,#REF!)+SUMIF(#REF!,'8.Dgia'!A1608,#REF!)+SUMIF(#REF!,'8.Dgia'!A1608,#REF!)+SUMIF(#REF!,'8.Dgia'!A1608,#REF!)</f>
        <v>#REF!</v>
      </c>
      <c r="O1608" s="1426"/>
      <c r="P1608" s="1343" t="e">
        <f t="shared" ref="P1608:P1620" si="72">$H1608*N1608*(1+O1608%)</f>
        <v>#REF!</v>
      </c>
    </row>
    <row r="1609" spans="1:18" ht="15" customHeight="1">
      <c r="A1609" s="657">
        <f>IF(B1609="",MAX($A$8:A1608)+0,MAX($A$8:A1608)+1)</f>
        <v>175</v>
      </c>
      <c r="B1609" s="835" t="str">
        <f>IF(C1609="","",COUNTA($C$10:C1610))</f>
        <v/>
      </c>
      <c r="C1609" s="847"/>
      <c r="D1609" s="362"/>
      <c r="E1609" s="852" t="s">
        <v>2032</v>
      </c>
      <c r="F1609" s="848" t="str">
        <f>VLOOKUP(E1609,DICH!B:C,2,FALSE)</f>
        <v xml:space="preserve">  A - Material</v>
      </c>
      <c r="G1609" s="884"/>
      <c r="H1609" s="847"/>
      <c r="I1609" s="848"/>
      <c r="J1609" s="849">
        <f>SUM(J1610:J1614)</f>
        <v>321473.74912610807</v>
      </c>
      <c r="N1609" s="843" t="e">
        <f>SUMIF(#REF!,'8.Dgia'!A1609,#REF!)+SUMIF(#REF!,'8.Dgia'!A1609,#REF!)+SUMIF(#REF!,'8.Dgia'!A1609,#REF!)+SUMIF(#REF!,'8.Dgia'!A1609,#REF!)</f>
        <v>#REF!</v>
      </c>
      <c r="O1609" s="844"/>
      <c r="P1609" s="843" t="e">
        <f t="shared" si="72"/>
        <v>#REF!</v>
      </c>
    </row>
    <row r="1610" spans="1:18" ht="15" customHeight="1">
      <c r="A1610" s="657">
        <f>IF(B1610="",MAX($A$8:A1609)+0,MAX($A$8:A1609)+1)</f>
        <v>175</v>
      </c>
      <c r="B1610" s="835" t="str">
        <f>IF(C1610="","",COUNTA($C$10:C1611))</f>
        <v/>
      </c>
      <c r="C1610" s="847"/>
      <c r="D1610" s="362"/>
      <c r="E1610" s="852" t="s">
        <v>562</v>
      </c>
      <c r="F1610" s="848" t="str">
        <f>VLOOKUP(E1610,DICH!B:C,2,FALSE)</f>
        <v>Plate steel</v>
      </c>
      <c r="G1610" s="883" t="s">
        <v>558</v>
      </c>
      <c r="H1610" s="859">
        <f>1025*H1608</f>
        <v>23.984999999999996</v>
      </c>
      <c r="I1610" s="848">
        <f>VLOOKUP(E1610,'11.gia '!$B:$I,8,FALSE)</f>
        <v>12871.348287272725</v>
      </c>
      <c r="J1610" s="853">
        <f>I1610*H1610</f>
        <v>308719.28867023624</v>
      </c>
      <c r="N1610" s="843" t="e">
        <f>SUMIF(#REF!,'8.Dgia'!A1610,#REF!)+SUMIF(#REF!,'8.Dgia'!A1610,#REF!)+SUMIF(#REF!,'8.Dgia'!A1610,#REF!)+SUMIF(#REF!,'8.Dgia'!A1610,#REF!)</f>
        <v>#REF!</v>
      </c>
      <c r="O1610" s="844">
        <f>+$H$1601</f>
        <v>1.5</v>
      </c>
      <c r="P1610" s="843" t="e">
        <f t="shared" si="72"/>
        <v>#REF!</v>
      </c>
    </row>
    <row r="1611" spans="1:18" ht="15" customHeight="1">
      <c r="A1611" s="657">
        <f>IF(B1611="",MAX($A$8:A1610)+0,MAX($A$8:A1610)+1)</f>
        <v>175</v>
      </c>
      <c r="B1611" s="835" t="str">
        <f>IF(C1611="","",COUNTA($C$10:C1612))</f>
        <v/>
      </c>
      <c r="C1611" s="847"/>
      <c r="D1611" s="362"/>
      <c r="E1611" s="852" t="s">
        <v>564</v>
      </c>
      <c r="F1611" s="848" t="str">
        <f>VLOOKUP(E1611,DICH!B:C,2,FALSE)</f>
        <v>oxygen</v>
      </c>
      <c r="G1611" s="883" t="s">
        <v>4647</v>
      </c>
      <c r="H1611" s="859">
        <f>0.078*H1608</f>
        <v>1.8251999999999997E-3</v>
      </c>
      <c r="I1611" s="848">
        <f>VLOOKUP(E1611,'11.gia '!$B:$I,8,FALSE)</f>
        <v>48000</v>
      </c>
      <c r="J1611" s="853">
        <f>I1611*H1611</f>
        <v>87.609599999999986</v>
      </c>
      <c r="N1611" s="843" t="e">
        <f>SUMIF(#REF!,'8.Dgia'!A1611,#REF!)+SUMIF(#REF!,'8.Dgia'!A1611,#REF!)+SUMIF(#REF!,'8.Dgia'!A1611,#REF!)+SUMIF(#REF!,'8.Dgia'!A1611,#REF!)</f>
        <v>#REF!</v>
      </c>
      <c r="O1611" s="844">
        <f>+$H$1601</f>
        <v>1.5</v>
      </c>
      <c r="P1611" s="843" t="e">
        <f t="shared" si="72"/>
        <v>#REF!</v>
      </c>
    </row>
    <row r="1612" spans="1:18" ht="15" customHeight="1">
      <c r="A1612" s="657">
        <f>IF(B1612="",MAX($A$8:A1611)+0,MAX($A$8:A1611)+1)</f>
        <v>175</v>
      </c>
      <c r="B1612" s="835" t="str">
        <f>IF(C1612="","",COUNTA($C$10:C1613))</f>
        <v/>
      </c>
      <c r="C1612" s="847"/>
      <c r="D1612" s="362"/>
      <c r="E1612" s="852" t="s">
        <v>566</v>
      </c>
      <c r="F1612" s="848" t="str">
        <f>VLOOKUP(E1612,DICH!B:C,2,FALSE)</f>
        <v>Calcium carbide</v>
      </c>
      <c r="G1612" s="883" t="s">
        <v>558</v>
      </c>
      <c r="H1612" s="859">
        <f>0.3*H1608</f>
        <v>7.0199999999999993E-3</v>
      </c>
      <c r="I1612" s="848">
        <f>VLOOKUP(E1612,'11.gia '!$B:$I,8,FALSE)</f>
        <v>14000</v>
      </c>
      <c r="J1612" s="853">
        <f>I1612*H1612</f>
        <v>98.279999999999987</v>
      </c>
      <c r="N1612" s="843" t="e">
        <f>SUMIF(#REF!,'8.Dgia'!A1612,#REF!)+SUMIF(#REF!,'8.Dgia'!A1612,#REF!)+SUMIF(#REF!,'8.Dgia'!A1612,#REF!)+SUMIF(#REF!,'8.Dgia'!A1612,#REF!)</f>
        <v>#REF!</v>
      </c>
      <c r="O1612" s="844">
        <f>+$H$1601</f>
        <v>1.5</v>
      </c>
      <c r="P1612" s="843" t="e">
        <f t="shared" si="72"/>
        <v>#REF!</v>
      </c>
    </row>
    <row r="1613" spans="1:18" ht="15" customHeight="1">
      <c r="A1613" s="657">
        <f>IF(B1613="",MAX($A$8:A1612)+0,MAX($A$8:A1612)+1)</f>
        <v>175</v>
      </c>
      <c r="B1613" s="835" t="str">
        <f>IF(C1613="","",COUNTA($C$10:C1614))</f>
        <v/>
      </c>
      <c r="C1613" s="847"/>
      <c r="D1613" s="362"/>
      <c r="E1613" s="852" t="s">
        <v>559</v>
      </c>
      <c r="F1613" s="848" t="str">
        <f>VLOOKUP(E1613,DICH!B:C,2,FALSE)</f>
        <v>welding electrode</v>
      </c>
      <c r="G1613" s="883" t="s">
        <v>558</v>
      </c>
      <c r="H1613" s="859">
        <f>17.5*H1608</f>
        <v>0.40949999999999998</v>
      </c>
      <c r="I1613" s="848">
        <f>VLOOKUP(E1613,'11.gia '!$B:$I,8,FALSE)</f>
        <v>19090.909090909088</v>
      </c>
      <c r="J1613" s="853">
        <f>I1613*H1613</f>
        <v>7817.7272727272712</v>
      </c>
      <c r="N1613" s="843" t="e">
        <f>SUMIF(#REF!,'8.Dgia'!A1613,#REF!)+SUMIF(#REF!,'8.Dgia'!A1613,#REF!)+SUMIF(#REF!,'8.Dgia'!A1613,#REF!)+SUMIF(#REF!,'8.Dgia'!A1613,#REF!)</f>
        <v>#REF!</v>
      </c>
      <c r="O1613" s="844">
        <f>+$H$1601</f>
        <v>1.5</v>
      </c>
      <c r="P1613" s="843" t="e">
        <f t="shared" si="72"/>
        <v>#REF!</v>
      </c>
    </row>
    <row r="1614" spans="1:18" ht="15" customHeight="1">
      <c r="A1614" s="657">
        <f>IF(B1614="",MAX($A$8:A1613)+0,MAX($A$8:A1613)+1)</f>
        <v>175</v>
      </c>
      <c r="B1614" s="835" t="str">
        <f>IF(C1614="","",COUNTA($C$10:C1615))</f>
        <v/>
      </c>
      <c r="C1614" s="847"/>
      <c r="D1614" s="362"/>
      <c r="E1614" s="852" t="s">
        <v>555</v>
      </c>
      <c r="F1614" s="848" t="str">
        <f>VLOOKUP(E1614,DICH!B:C,2,FALSE)</f>
        <v>Other material</v>
      </c>
      <c r="G1614" s="362" t="s">
        <v>554</v>
      </c>
      <c r="H1614" s="847">
        <v>1.5</v>
      </c>
      <c r="I1614" s="848">
        <f>SUM(J1610:J1613)</f>
        <v>316722.90554296359</v>
      </c>
      <c r="J1614" s="853">
        <f>I1614*H1614%</f>
        <v>4750.843583144454</v>
      </c>
      <c r="N1614" s="843" t="e">
        <f>SUMIF(#REF!,'8.Dgia'!A1614,#REF!)+SUMIF(#REF!,'8.Dgia'!A1614,#REF!)+SUMIF(#REF!,'8.Dgia'!A1614,#REF!)+SUMIF(#REF!,'8.Dgia'!A1614,#REF!)</f>
        <v>#REF!</v>
      </c>
      <c r="O1614" s="844"/>
      <c r="P1614" s="843" t="e">
        <f t="shared" si="72"/>
        <v>#REF!</v>
      </c>
    </row>
    <row r="1615" spans="1:18" ht="15" customHeight="1">
      <c r="A1615" s="657">
        <f>IF(B1615="",MAX($A$8:A1614)+0,MAX($A$8:A1614)+1)</f>
        <v>175</v>
      </c>
      <c r="B1615" s="835" t="str">
        <f>IF(C1615="","",COUNTA($C$10:C1616))</f>
        <v/>
      </c>
      <c r="C1615" s="847"/>
      <c r="D1615" s="362"/>
      <c r="E1615" s="852" t="s">
        <v>2040</v>
      </c>
      <c r="F1615" s="848" t="str">
        <f>VLOOKUP(E1615,DICH!B:C,2,FALSE)</f>
        <v xml:space="preserve">  B - Labour 4.5/7</v>
      </c>
      <c r="G1615" s="883" t="s">
        <v>4899</v>
      </c>
      <c r="H1615" s="908">
        <f>18.5*H1608</f>
        <v>0.43289999999999995</v>
      </c>
      <c r="I1615" s="848">
        <f>VLOOKUP(E1615,'16.NC'!$C$11:$F$22,4,FALSE)</f>
        <v>237875</v>
      </c>
      <c r="J1615" s="849">
        <f>I1615*H1615</f>
        <v>102976.08749999999</v>
      </c>
      <c r="N1615" s="843" t="e">
        <f>SUMIF(#REF!,'8.Dgia'!A1615,#REF!)+SUMIF(#REF!,'8.Dgia'!A1615,#REF!)+SUMIF(#REF!,'8.Dgia'!A1615,#REF!)+SUMIF(#REF!,'8.Dgia'!A1615,#REF!)</f>
        <v>#REF!</v>
      </c>
      <c r="O1615" s="844"/>
      <c r="P1615" s="843" t="e">
        <f t="shared" si="72"/>
        <v>#REF!</v>
      </c>
      <c r="R1615" s="658">
        <v>1</v>
      </c>
    </row>
    <row r="1616" spans="1:18" ht="15" customHeight="1">
      <c r="A1616" s="657">
        <f>IF(B1616="",MAX($A$8:A1615)+0,MAX($A$8:A1615)+1)</f>
        <v>175</v>
      </c>
      <c r="B1616" s="835" t="str">
        <f>IF(C1616="","",COUNTA($C$10:C1617))</f>
        <v/>
      </c>
      <c r="C1616" s="847"/>
      <c r="D1616" s="362"/>
      <c r="E1616" s="852" t="s">
        <v>2033</v>
      </c>
      <c r="F1616" s="848" t="str">
        <f>VLOOKUP(E1616,DICH!B:C,2,FALSE)</f>
        <v xml:space="preserve">  C - Machine</v>
      </c>
      <c r="G1616" s="883"/>
      <c r="H1616" s="847"/>
      <c r="I1616" s="848"/>
      <c r="J1616" s="849">
        <f>SUM(J1617:J1620)</f>
        <v>27543.23687331556</v>
      </c>
      <c r="N1616" s="843" t="e">
        <f>SUMIF(#REF!,'8.Dgia'!A1616,#REF!)+SUMIF(#REF!,'8.Dgia'!A1616,#REF!)+SUMIF(#REF!,'8.Dgia'!A1616,#REF!)+SUMIF(#REF!,'8.Dgia'!A1616,#REF!)</f>
        <v>#REF!</v>
      </c>
      <c r="O1616" s="844"/>
      <c r="P1616" s="843" t="e">
        <f t="shared" si="72"/>
        <v>#REF!</v>
      </c>
    </row>
    <row r="1617" spans="1:18" ht="15" customHeight="1">
      <c r="A1617" s="657">
        <f>IF(B1617="",MAX($A$8:A1616)+0,MAX($A$8:A1616)+1)</f>
        <v>175</v>
      </c>
      <c r="B1617" s="835" t="str">
        <f>IF(C1617="","",COUNTA($C$10:C1618))</f>
        <v/>
      </c>
      <c r="C1617" s="847"/>
      <c r="D1617" s="362"/>
      <c r="E1617" s="852" t="s">
        <v>560</v>
      </c>
      <c r="F1617" s="848" t="str">
        <f>VLOOKUP(E1617,'9.may'!E:F,2,FALSE)</f>
        <v>welding machine 23kW</v>
      </c>
      <c r="G1617" s="883" t="s">
        <v>4902</v>
      </c>
      <c r="H1617" s="859">
        <f>3.2*H1608</f>
        <v>7.4879999999999988E-2</v>
      </c>
      <c r="I1617" s="848">
        <f>VLOOKUP(E1617,'9.may'!E:W,12,FALSE)</f>
        <v>171649.155</v>
      </c>
      <c r="J1617" s="853">
        <f>I1617*H1617</f>
        <v>12853.088726399998</v>
      </c>
      <c r="N1617" s="843" t="e">
        <f>SUMIF(#REF!,'8.Dgia'!A1617,#REF!)+SUMIF(#REF!,'8.Dgia'!A1617,#REF!)+SUMIF(#REF!,'8.Dgia'!A1617,#REF!)+SUMIF(#REF!,'8.Dgia'!A1617,#REF!)</f>
        <v>#REF!</v>
      </c>
      <c r="O1617" s="844">
        <f>+$H$1607</f>
        <v>1</v>
      </c>
      <c r="P1617" s="843" t="e">
        <f t="shared" si="72"/>
        <v>#REF!</v>
      </c>
    </row>
    <row r="1618" spans="1:18" ht="15" customHeight="1">
      <c r="A1618" s="657">
        <f>IF(B1618="",MAX($A$8:A1617)+0,MAX($A$8:A1617)+1)</f>
        <v>175</v>
      </c>
      <c r="B1618" s="835" t="str">
        <f>IF(C1618="","",COUNTA($C$10:C1619))</f>
        <v/>
      </c>
      <c r="C1618" s="847"/>
      <c r="D1618" s="362"/>
      <c r="E1618" s="852" t="s">
        <v>1412</v>
      </c>
      <c r="F1618" s="848" t="str">
        <f>VLOOKUP(E1618,'9.may'!E:F,2,FALSE)</f>
        <v>plate roll bending machine 2.8kW</v>
      </c>
      <c r="G1618" s="883" t="s">
        <v>4902</v>
      </c>
      <c r="H1618" s="859">
        <f>0.5*H1608</f>
        <v>1.1699999999999999E-2</v>
      </c>
      <c r="I1618" s="848">
        <f>VLOOKUP(E1618,'9.may'!E:W,12,FALSE)</f>
        <v>82106.406000000003</v>
      </c>
      <c r="J1618" s="853">
        <f>I1618*H1618</f>
        <v>960.64495019999993</v>
      </c>
      <c r="N1618" s="843" t="e">
        <f>SUMIF(#REF!,'8.Dgia'!A1618,#REF!)+SUMIF(#REF!,'8.Dgia'!A1618,#REF!)+SUMIF(#REF!,'8.Dgia'!A1618,#REF!)+SUMIF(#REF!,'8.Dgia'!A1618,#REF!)</f>
        <v>#REF!</v>
      </c>
      <c r="O1618" s="844">
        <f>+$H$1607</f>
        <v>1</v>
      </c>
      <c r="P1618" s="843" t="e">
        <f t="shared" si="72"/>
        <v>#REF!</v>
      </c>
    </row>
    <row r="1619" spans="1:18" ht="15" customHeight="1">
      <c r="A1619" s="657">
        <f>IF(B1619="",MAX($A$8:A1618)+0,MAX($A$8:A1618)+1)</f>
        <v>175</v>
      </c>
      <c r="B1619" s="835" t="str">
        <f>IF(C1619="","",COUNTA($C$10:C1620))</f>
        <v/>
      </c>
      <c r="C1619" s="847"/>
      <c r="D1619" s="362"/>
      <c r="E1619" s="852" t="s">
        <v>287</v>
      </c>
      <c r="F1619" s="848" t="str">
        <f>VLOOKUP(E1619,'9.may'!E:F,2,FALSE)</f>
        <v>caterpillar crane 16T</v>
      </c>
      <c r="G1619" s="883" t="s">
        <v>4902</v>
      </c>
      <c r="H1619" s="859">
        <f>0.27*H1608</f>
        <v>6.3179999999999998E-3</v>
      </c>
      <c r="I1619" s="848">
        <f>VLOOKUP(E1619,'9.may'!E:W,12,FALSE)</f>
        <v>2129914.1945454543</v>
      </c>
      <c r="J1619" s="853">
        <f>I1619*H1619</f>
        <v>13456.79788113818</v>
      </c>
      <c r="N1619" s="843" t="e">
        <f>SUMIF(#REF!,'8.Dgia'!A1619,#REF!)+SUMIF(#REF!,'8.Dgia'!A1619,#REF!)+SUMIF(#REF!,'8.Dgia'!A1619,#REF!)+SUMIF(#REF!,'8.Dgia'!A1619,#REF!)</f>
        <v>#REF!</v>
      </c>
      <c r="O1619" s="844">
        <f>+$H$1607</f>
        <v>1</v>
      </c>
      <c r="P1619" s="843" t="e">
        <f t="shared" si="72"/>
        <v>#REF!</v>
      </c>
    </row>
    <row r="1620" spans="1:18" ht="15" customHeight="1">
      <c r="A1620" s="657">
        <f>IF(B1620="",MAX($A$8:A1619)+0,MAX($A$8:A1619)+1)</f>
        <v>175</v>
      </c>
      <c r="B1620" s="835" t="str">
        <f>IF(C1620="","",COUNTA($C$10:C1621))</f>
        <v/>
      </c>
      <c r="C1620" s="847"/>
      <c r="D1620" s="362"/>
      <c r="E1620" s="852" t="s">
        <v>553</v>
      </c>
      <c r="F1620" s="848" t="str">
        <f>VLOOKUP(E1620,DICH!B:C,2,FALSE)</f>
        <v>Other machine</v>
      </c>
      <c r="G1620" s="362" t="s">
        <v>554</v>
      </c>
      <c r="H1620" s="847">
        <v>1</v>
      </c>
      <c r="I1620" s="848">
        <f>SUM(J1617:J1619)</f>
        <v>27270.531557738177</v>
      </c>
      <c r="J1620" s="853">
        <f>I1620*H1620%</f>
        <v>272.70531557738178</v>
      </c>
      <c r="N1620" s="843" t="e">
        <f>SUMIF(#REF!,'8.Dgia'!A1620,#REF!)+SUMIF(#REF!,'8.Dgia'!A1620,#REF!)+SUMIF(#REF!,'8.Dgia'!A1620,#REF!)+SUMIF(#REF!,'8.Dgia'!A1620,#REF!)</f>
        <v>#REF!</v>
      </c>
      <c r="O1620" s="844"/>
      <c r="P1620" s="843" t="e">
        <f t="shared" si="72"/>
        <v>#REF!</v>
      </c>
    </row>
    <row r="1621" spans="1:18" s="1336" customFormat="1" ht="44.25" customHeight="1">
      <c r="A1621" s="1336">
        <f>IF(B1621="",MAX($A$8:A1620)+0,MAX($A$8:A1620)+1)</f>
        <v>176</v>
      </c>
      <c r="B1621" s="1337">
        <f>IF(C1621="","",COUNTA($C$10:C1622))</f>
        <v>176</v>
      </c>
      <c r="C1621" s="1337">
        <f>IF(D1621="","",1776)</f>
        <v>1776</v>
      </c>
      <c r="D1621" s="1144" t="s">
        <v>733</v>
      </c>
      <c r="E1621" s="1419" t="s">
        <v>5626</v>
      </c>
      <c r="F1621" s="1420" t="e">
        <f>VLOOKUP(E1621,DICH!B:C,2,FALSE)</f>
        <v>#N/A</v>
      </c>
      <c r="G1621" s="1431" t="s">
        <v>4644</v>
      </c>
      <c r="H1621" s="1001">
        <f>1.17%*2.5</f>
        <v>2.9249999999999998E-2</v>
      </c>
      <c r="I1621" s="1331"/>
      <c r="J1621" s="1430"/>
      <c r="K1621" s="1425">
        <f>+J1622</f>
        <v>401842.18640763499</v>
      </c>
      <c r="L1621" s="1425">
        <f>+J1628</f>
        <v>128720.10937499999</v>
      </c>
      <c r="M1621" s="1425">
        <f>+J1629</f>
        <v>34429.04609164445</v>
      </c>
      <c r="N1621" s="1343" t="e">
        <f>SUMIF(#REF!,'8.Dgia'!A1621,#REF!)+SUMIF(#REF!,'8.Dgia'!A1621,#REF!)+SUMIF(#REF!,'8.Dgia'!A1621,#REF!)+SUMIF(#REF!,'8.Dgia'!A1621,#REF!)</f>
        <v>#REF!</v>
      </c>
      <c r="O1621" s="1426"/>
      <c r="P1621" s="1343" t="e">
        <f t="shared" ref="P1621:P1633" si="73">$H1621*N1621*(1+O1621%)</f>
        <v>#REF!</v>
      </c>
    </row>
    <row r="1622" spans="1:18" ht="15" customHeight="1">
      <c r="A1622" s="657">
        <f>IF(B1622="",MAX($A$8:A1621)+0,MAX($A$8:A1621)+1)</f>
        <v>176</v>
      </c>
      <c r="B1622" s="835" t="str">
        <f>IF(C1622="","",COUNTA($C$10:C1623))</f>
        <v/>
      </c>
      <c r="C1622" s="847"/>
      <c r="D1622" s="362"/>
      <c r="E1622" s="852" t="s">
        <v>2032</v>
      </c>
      <c r="F1622" s="848" t="str">
        <f>VLOOKUP(E1622,DICH!B:C,2,FALSE)</f>
        <v xml:space="preserve">  A - Material</v>
      </c>
      <c r="G1622" s="884"/>
      <c r="H1622" s="847"/>
      <c r="I1622" s="848"/>
      <c r="J1622" s="849">
        <f>SUM(J1623:J1627)</f>
        <v>401842.18640763499</v>
      </c>
      <c r="N1622" s="843" t="e">
        <f>SUMIF(#REF!,'8.Dgia'!A1622,#REF!)+SUMIF(#REF!,'8.Dgia'!A1622,#REF!)+SUMIF(#REF!,'8.Dgia'!A1622,#REF!)+SUMIF(#REF!,'8.Dgia'!A1622,#REF!)</f>
        <v>#REF!</v>
      </c>
      <c r="O1622" s="844"/>
      <c r="P1622" s="843" t="e">
        <f t="shared" si="73"/>
        <v>#REF!</v>
      </c>
    </row>
    <row r="1623" spans="1:18" ht="15" customHeight="1">
      <c r="A1623" s="657">
        <f>IF(B1623="",MAX($A$8:A1622)+0,MAX($A$8:A1622)+1)</f>
        <v>176</v>
      </c>
      <c r="B1623" s="835" t="str">
        <f>IF(C1623="","",COUNTA($C$10:C1624))</f>
        <v/>
      </c>
      <c r="C1623" s="847"/>
      <c r="D1623" s="362"/>
      <c r="E1623" s="852" t="s">
        <v>562</v>
      </c>
      <c r="F1623" s="848" t="str">
        <f>VLOOKUP(E1623,DICH!B:C,2,FALSE)</f>
        <v>Plate steel</v>
      </c>
      <c r="G1623" s="883" t="s">
        <v>558</v>
      </c>
      <c r="H1623" s="859">
        <f>1025*H1621</f>
        <v>29.981249999999999</v>
      </c>
      <c r="I1623" s="848">
        <f>VLOOKUP(E1623,'11.gia '!$B:$I,8,FALSE)</f>
        <v>12871.348287272725</v>
      </c>
      <c r="J1623" s="853">
        <f>I1623*H1623</f>
        <v>385899.11083779536</v>
      </c>
      <c r="N1623" s="843" t="e">
        <f>SUMIF(#REF!,'8.Dgia'!A1623,#REF!)+SUMIF(#REF!,'8.Dgia'!A1623,#REF!)+SUMIF(#REF!,'8.Dgia'!A1623,#REF!)+SUMIF(#REF!,'8.Dgia'!A1623,#REF!)</f>
        <v>#REF!</v>
      </c>
      <c r="O1623" s="844">
        <f>+$H$1601</f>
        <v>1.5</v>
      </c>
      <c r="P1623" s="843" t="e">
        <f t="shared" si="73"/>
        <v>#REF!</v>
      </c>
    </row>
    <row r="1624" spans="1:18" ht="15" customHeight="1">
      <c r="A1624" s="657">
        <f>IF(B1624="",MAX($A$8:A1623)+0,MAX($A$8:A1623)+1)</f>
        <v>176</v>
      </c>
      <c r="B1624" s="835" t="str">
        <f>IF(C1624="","",COUNTA($C$10:C1625))</f>
        <v/>
      </c>
      <c r="C1624" s="847"/>
      <c r="D1624" s="362"/>
      <c r="E1624" s="852" t="s">
        <v>564</v>
      </c>
      <c r="F1624" s="848" t="str">
        <f>VLOOKUP(E1624,DICH!B:C,2,FALSE)</f>
        <v>oxygen</v>
      </c>
      <c r="G1624" s="883" t="s">
        <v>4647</v>
      </c>
      <c r="H1624" s="859">
        <f>0.078*H1621</f>
        <v>2.2814999999999997E-3</v>
      </c>
      <c r="I1624" s="848">
        <f>VLOOKUP(E1624,'11.gia '!$B:$I,8,FALSE)</f>
        <v>48000</v>
      </c>
      <c r="J1624" s="853">
        <f>I1624*H1624</f>
        <v>109.51199999999999</v>
      </c>
      <c r="N1624" s="843" t="e">
        <f>SUMIF(#REF!,'8.Dgia'!A1624,#REF!)+SUMIF(#REF!,'8.Dgia'!A1624,#REF!)+SUMIF(#REF!,'8.Dgia'!A1624,#REF!)+SUMIF(#REF!,'8.Dgia'!A1624,#REF!)</f>
        <v>#REF!</v>
      </c>
      <c r="O1624" s="844">
        <f>+$H$1601</f>
        <v>1.5</v>
      </c>
      <c r="P1624" s="843" t="e">
        <f t="shared" si="73"/>
        <v>#REF!</v>
      </c>
    </row>
    <row r="1625" spans="1:18" ht="15" customHeight="1">
      <c r="A1625" s="657">
        <f>IF(B1625="",MAX($A$8:A1624)+0,MAX($A$8:A1624)+1)</f>
        <v>176</v>
      </c>
      <c r="B1625" s="835" t="str">
        <f>IF(C1625="","",COUNTA($C$10:C1626))</f>
        <v/>
      </c>
      <c r="C1625" s="847"/>
      <c r="D1625" s="362"/>
      <c r="E1625" s="852" t="s">
        <v>566</v>
      </c>
      <c r="F1625" s="848" t="str">
        <f>VLOOKUP(E1625,DICH!B:C,2,FALSE)</f>
        <v>Calcium carbide</v>
      </c>
      <c r="G1625" s="883" t="s">
        <v>558</v>
      </c>
      <c r="H1625" s="859">
        <f>0.3*H1621</f>
        <v>8.7749999999999998E-3</v>
      </c>
      <c r="I1625" s="848">
        <f>VLOOKUP(E1625,'11.gia '!$B:$I,8,FALSE)</f>
        <v>14000</v>
      </c>
      <c r="J1625" s="853">
        <f>I1625*H1625</f>
        <v>122.85</v>
      </c>
      <c r="N1625" s="843" t="e">
        <f>SUMIF(#REF!,'8.Dgia'!A1625,#REF!)+SUMIF(#REF!,'8.Dgia'!A1625,#REF!)+SUMIF(#REF!,'8.Dgia'!A1625,#REF!)+SUMIF(#REF!,'8.Dgia'!A1625,#REF!)</f>
        <v>#REF!</v>
      </c>
      <c r="O1625" s="844">
        <f>+$H$1601</f>
        <v>1.5</v>
      </c>
      <c r="P1625" s="843" t="e">
        <f t="shared" si="73"/>
        <v>#REF!</v>
      </c>
    </row>
    <row r="1626" spans="1:18" ht="15" customHeight="1">
      <c r="A1626" s="657">
        <f>IF(B1626="",MAX($A$8:A1625)+0,MAX($A$8:A1625)+1)</f>
        <v>176</v>
      </c>
      <c r="B1626" s="835" t="str">
        <f>IF(C1626="","",COUNTA($C$10:C1627))</f>
        <v/>
      </c>
      <c r="C1626" s="847"/>
      <c r="D1626" s="362"/>
      <c r="E1626" s="852" t="s">
        <v>559</v>
      </c>
      <c r="F1626" s="848" t="str">
        <f>VLOOKUP(E1626,DICH!B:C,2,FALSE)</f>
        <v>welding electrode</v>
      </c>
      <c r="G1626" s="883" t="s">
        <v>558</v>
      </c>
      <c r="H1626" s="859">
        <f>17.5*H1621</f>
        <v>0.51187499999999997</v>
      </c>
      <c r="I1626" s="848">
        <f>VLOOKUP(E1626,'11.gia '!$B:$I,8,FALSE)</f>
        <v>19090.909090909088</v>
      </c>
      <c r="J1626" s="853">
        <f>I1626*H1626</f>
        <v>9772.1590909090883</v>
      </c>
      <c r="N1626" s="843" t="e">
        <f>SUMIF(#REF!,'8.Dgia'!A1626,#REF!)+SUMIF(#REF!,'8.Dgia'!A1626,#REF!)+SUMIF(#REF!,'8.Dgia'!A1626,#REF!)+SUMIF(#REF!,'8.Dgia'!A1626,#REF!)</f>
        <v>#REF!</v>
      </c>
      <c r="O1626" s="844">
        <f>+$H$1601</f>
        <v>1.5</v>
      </c>
      <c r="P1626" s="843" t="e">
        <f t="shared" si="73"/>
        <v>#REF!</v>
      </c>
    </row>
    <row r="1627" spans="1:18" ht="15" customHeight="1">
      <c r="A1627" s="657">
        <f>IF(B1627="",MAX($A$8:A1626)+0,MAX($A$8:A1626)+1)</f>
        <v>176</v>
      </c>
      <c r="B1627" s="835" t="str">
        <f>IF(C1627="","",COUNTA($C$10:C1628))</f>
        <v/>
      </c>
      <c r="C1627" s="847"/>
      <c r="D1627" s="362"/>
      <c r="E1627" s="852" t="s">
        <v>555</v>
      </c>
      <c r="F1627" s="848" t="str">
        <f>VLOOKUP(E1627,DICH!B:C,2,FALSE)</f>
        <v>Other material</v>
      </c>
      <c r="G1627" s="362" t="s">
        <v>554</v>
      </c>
      <c r="H1627" s="847">
        <v>1.5</v>
      </c>
      <c r="I1627" s="848">
        <f>SUM(J1623:J1626)</f>
        <v>395903.63192870445</v>
      </c>
      <c r="J1627" s="853">
        <f>I1627*H1627%</f>
        <v>5938.5544789305668</v>
      </c>
      <c r="N1627" s="843" t="e">
        <f>SUMIF(#REF!,'8.Dgia'!A1627,#REF!)+SUMIF(#REF!,'8.Dgia'!A1627,#REF!)+SUMIF(#REF!,'8.Dgia'!A1627,#REF!)+SUMIF(#REF!,'8.Dgia'!A1627,#REF!)</f>
        <v>#REF!</v>
      </c>
      <c r="O1627" s="844"/>
      <c r="P1627" s="843" t="e">
        <f t="shared" si="73"/>
        <v>#REF!</v>
      </c>
    </row>
    <row r="1628" spans="1:18" ht="15" customHeight="1">
      <c r="A1628" s="657">
        <f>IF(B1628="",MAX($A$8:A1627)+0,MAX($A$8:A1627)+1)</f>
        <v>176</v>
      </c>
      <c r="B1628" s="835" t="str">
        <f>IF(C1628="","",COUNTA($C$10:C1629))</f>
        <v/>
      </c>
      <c r="C1628" s="847"/>
      <c r="D1628" s="362"/>
      <c r="E1628" s="852" t="s">
        <v>2040</v>
      </c>
      <c r="F1628" s="848" t="str">
        <f>VLOOKUP(E1628,DICH!B:C,2,FALSE)</f>
        <v xml:space="preserve">  B - Labour 4.5/7</v>
      </c>
      <c r="G1628" s="883" t="s">
        <v>4899</v>
      </c>
      <c r="H1628" s="908">
        <f>18.5*H1621</f>
        <v>0.54112499999999997</v>
      </c>
      <c r="I1628" s="848">
        <f>VLOOKUP(E1628,'16.NC'!$C$11:$F$22,4,FALSE)</f>
        <v>237875</v>
      </c>
      <c r="J1628" s="849">
        <f>I1628*H1628</f>
        <v>128720.10937499999</v>
      </c>
      <c r="N1628" s="843" t="e">
        <f>SUMIF(#REF!,'8.Dgia'!A1628,#REF!)+SUMIF(#REF!,'8.Dgia'!A1628,#REF!)+SUMIF(#REF!,'8.Dgia'!A1628,#REF!)+SUMIF(#REF!,'8.Dgia'!A1628,#REF!)</f>
        <v>#REF!</v>
      </c>
      <c r="O1628" s="844"/>
      <c r="P1628" s="843" t="e">
        <f t="shared" si="73"/>
        <v>#REF!</v>
      </c>
      <c r="R1628" s="658">
        <v>1</v>
      </c>
    </row>
    <row r="1629" spans="1:18" ht="15" customHeight="1">
      <c r="A1629" s="657">
        <f>IF(B1629="",MAX($A$8:A1628)+0,MAX($A$8:A1628)+1)</f>
        <v>176</v>
      </c>
      <c r="B1629" s="835" t="str">
        <f>IF(C1629="","",COUNTA($C$10:C1630))</f>
        <v/>
      </c>
      <c r="C1629" s="847"/>
      <c r="D1629" s="362"/>
      <c r="E1629" s="852" t="s">
        <v>2033</v>
      </c>
      <c r="F1629" s="848" t="str">
        <f>VLOOKUP(E1629,DICH!B:C,2,FALSE)</f>
        <v xml:space="preserve">  C - Machine</v>
      </c>
      <c r="G1629" s="883"/>
      <c r="H1629" s="847"/>
      <c r="I1629" s="848"/>
      <c r="J1629" s="849">
        <f>SUM(J1630:J1633)</f>
        <v>34429.04609164445</v>
      </c>
      <c r="N1629" s="843" t="e">
        <f>SUMIF(#REF!,'8.Dgia'!A1629,#REF!)+SUMIF(#REF!,'8.Dgia'!A1629,#REF!)+SUMIF(#REF!,'8.Dgia'!A1629,#REF!)+SUMIF(#REF!,'8.Dgia'!A1629,#REF!)</f>
        <v>#REF!</v>
      </c>
      <c r="O1629" s="844"/>
      <c r="P1629" s="843" t="e">
        <f t="shared" si="73"/>
        <v>#REF!</v>
      </c>
    </row>
    <row r="1630" spans="1:18" ht="15" customHeight="1">
      <c r="A1630" s="657">
        <f>IF(B1630="",MAX($A$8:A1629)+0,MAX($A$8:A1629)+1)</f>
        <v>176</v>
      </c>
      <c r="B1630" s="835" t="str">
        <f>IF(C1630="","",COUNTA($C$10:C1631))</f>
        <v/>
      </c>
      <c r="C1630" s="847"/>
      <c r="D1630" s="362"/>
      <c r="E1630" s="852" t="s">
        <v>560</v>
      </c>
      <c r="F1630" s="848" t="str">
        <f>VLOOKUP(E1630,'9.may'!E:F,2,FALSE)</f>
        <v>welding machine 23kW</v>
      </c>
      <c r="G1630" s="883" t="s">
        <v>4902</v>
      </c>
      <c r="H1630" s="859">
        <f>3.2*H1621</f>
        <v>9.3600000000000003E-2</v>
      </c>
      <c r="I1630" s="848">
        <f>VLOOKUP(E1630,'9.may'!E:W,12,FALSE)</f>
        <v>171649.155</v>
      </c>
      <c r="J1630" s="853">
        <f>I1630*H1630</f>
        <v>16066.360908000001</v>
      </c>
      <c r="N1630" s="843" t="e">
        <f>SUMIF(#REF!,'8.Dgia'!A1630,#REF!)+SUMIF(#REF!,'8.Dgia'!A1630,#REF!)+SUMIF(#REF!,'8.Dgia'!A1630,#REF!)+SUMIF(#REF!,'8.Dgia'!A1630,#REF!)</f>
        <v>#REF!</v>
      </c>
      <c r="O1630" s="844">
        <f>+$H$1607</f>
        <v>1</v>
      </c>
      <c r="P1630" s="843" t="e">
        <f t="shared" si="73"/>
        <v>#REF!</v>
      </c>
    </row>
    <row r="1631" spans="1:18" ht="15" customHeight="1">
      <c r="A1631" s="657">
        <f>IF(B1631="",MAX($A$8:A1630)+0,MAX($A$8:A1630)+1)</f>
        <v>176</v>
      </c>
      <c r="B1631" s="835" t="str">
        <f>IF(C1631="","",COUNTA($C$10:C1632))</f>
        <v/>
      </c>
      <c r="C1631" s="847"/>
      <c r="D1631" s="362"/>
      <c r="E1631" s="852" t="s">
        <v>1412</v>
      </c>
      <c r="F1631" s="848" t="str">
        <f>VLOOKUP(E1631,'9.may'!E:F,2,FALSE)</f>
        <v>plate roll bending machine 2.8kW</v>
      </c>
      <c r="G1631" s="883" t="s">
        <v>4902</v>
      </c>
      <c r="H1631" s="859">
        <f>0.5*H1621</f>
        <v>1.4624999999999999E-2</v>
      </c>
      <c r="I1631" s="848">
        <f>VLOOKUP(E1631,'9.may'!E:W,12,FALSE)</f>
        <v>82106.406000000003</v>
      </c>
      <c r="J1631" s="853">
        <f>I1631*H1631</f>
        <v>1200.8061877499999</v>
      </c>
      <c r="N1631" s="843" t="e">
        <f>SUMIF(#REF!,'8.Dgia'!A1631,#REF!)+SUMIF(#REF!,'8.Dgia'!A1631,#REF!)+SUMIF(#REF!,'8.Dgia'!A1631,#REF!)+SUMIF(#REF!,'8.Dgia'!A1631,#REF!)</f>
        <v>#REF!</v>
      </c>
      <c r="O1631" s="844">
        <f>+$H$1607</f>
        <v>1</v>
      </c>
      <c r="P1631" s="843" t="e">
        <f t="shared" si="73"/>
        <v>#REF!</v>
      </c>
    </row>
    <row r="1632" spans="1:18" ht="15" customHeight="1">
      <c r="A1632" s="657">
        <f>IF(B1632="",MAX($A$8:A1631)+0,MAX($A$8:A1631)+1)</f>
        <v>176</v>
      </c>
      <c r="B1632" s="835" t="str">
        <f>IF(C1632="","",COUNTA($C$10:C1633))</f>
        <v/>
      </c>
      <c r="C1632" s="847"/>
      <c r="D1632" s="362"/>
      <c r="E1632" s="852" t="s">
        <v>287</v>
      </c>
      <c r="F1632" s="848" t="str">
        <f>VLOOKUP(E1632,'9.may'!E:F,2,FALSE)</f>
        <v>caterpillar crane 16T</v>
      </c>
      <c r="G1632" s="883" t="s">
        <v>4902</v>
      </c>
      <c r="H1632" s="859">
        <f>0.27*H1621</f>
        <v>7.8975E-3</v>
      </c>
      <c r="I1632" s="848">
        <f>VLOOKUP(E1632,'9.may'!E:W,12,FALSE)</f>
        <v>2129914.1945454543</v>
      </c>
      <c r="J1632" s="853">
        <f>I1632*H1632</f>
        <v>16820.997351422724</v>
      </c>
      <c r="N1632" s="843" t="e">
        <f>SUMIF(#REF!,'8.Dgia'!A1632,#REF!)+SUMIF(#REF!,'8.Dgia'!A1632,#REF!)+SUMIF(#REF!,'8.Dgia'!A1632,#REF!)+SUMIF(#REF!,'8.Dgia'!A1632,#REF!)</f>
        <v>#REF!</v>
      </c>
      <c r="O1632" s="844">
        <f>+$H$1607</f>
        <v>1</v>
      </c>
      <c r="P1632" s="843" t="e">
        <f t="shared" si="73"/>
        <v>#REF!</v>
      </c>
    </row>
    <row r="1633" spans="1:18" ht="15" customHeight="1">
      <c r="A1633" s="657">
        <f>IF(B1633="",MAX($A$8:A1632)+0,MAX($A$8:A1632)+1)</f>
        <v>176</v>
      </c>
      <c r="B1633" s="835" t="str">
        <f>IF(C1633="","",COUNTA($C$10:C1634))</f>
        <v/>
      </c>
      <c r="C1633" s="847"/>
      <c r="D1633" s="362"/>
      <c r="E1633" s="852" t="s">
        <v>553</v>
      </c>
      <c r="F1633" s="848" t="str">
        <f>VLOOKUP(E1633,DICH!B:C,2,FALSE)</f>
        <v>Other machine</v>
      </c>
      <c r="G1633" s="362" t="s">
        <v>554</v>
      </c>
      <c r="H1633" s="847">
        <v>1</v>
      </c>
      <c r="I1633" s="848">
        <f>SUM(J1630:J1632)</f>
        <v>34088.16444717272</v>
      </c>
      <c r="J1633" s="853">
        <f>I1633*H1633%</f>
        <v>340.88164447172721</v>
      </c>
      <c r="N1633" s="843" t="e">
        <f>SUMIF(#REF!,'8.Dgia'!A1633,#REF!)+SUMIF(#REF!,'8.Dgia'!A1633,#REF!)+SUMIF(#REF!,'8.Dgia'!A1633,#REF!)+SUMIF(#REF!,'8.Dgia'!A1633,#REF!)</f>
        <v>#REF!</v>
      </c>
      <c r="O1633" s="844"/>
      <c r="P1633" s="843" t="e">
        <f t="shared" si="73"/>
        <v>#REF!</v>
      </c>
    </row>
    <row r="1634" spans="1:18" ht="24" customHeight="1">
      <c r="A1634" s="657">
        <f>IF(B1634="",MAX($A$8:A1633)+0,MAX($A$8:A1633)+1)</f>
        <v>177</v>
      </c>
      <c r="B1634" s="835">
        <f>IF(C1634="","",COUNTA($C$10:C1635))</f>
        <v>177</v>
      </c>
      <c r="C1634" s="835">
        <f>IF(D1634="","",1776)</f>
        <v>1776</v>
      </c>
      <c r="D1634" s="362" t="s">
        <v>733</v>
      </c>
      <c r="E1634" s="855" t="s">
        <v>3968</v>
      </c>
      <c r="F1634" s="1049" t="str">
        <f>VLOOKUP(E1634,DICH!B:C,2,FALSE)</f>
        <v>Product casting pipe (permanent)</v>
      </c>
      <c r="G1634" s="884" t="s">
        <v>4644</v>
      </c>
      <c r="H1634" s="847">
        <v>1</v>
      </c>
      <c r="I1634" s="848"/>
      <c r="J1634" s="853"/>
      <c r="K1634" s="842">
        <f>+J1635</f>
        <v>13738194.407098634</v>
      </c>
      <c r="L1634" s="842">
        <f>+J1641</f>
        <v>4400687.5</v>
      </c>
      <c r="M1634" s="842">
        <f>+J1642</f>
        <v>1177061.4048425455</v>
      </c>
      <c r="N1634" s="843" t="e">
        <f>SUMIF(#REF!,'8.Dgia'!A1634,#REF!)+SUMIF(#REF!,'8.Dgia'!A1634,#REF!)+SUMIF(#REF!,'8.Dgia'!A1634,#REF!)+SUMIF(#REF!,'8.Dgia'!A1634,#REF!)</f>
        <v>#REF!</v>
      </c>
      <c r="O1634" s="844"/>
      <c r="P1634" s="843" t="e">
        <f t="shared" ref="P1634:P1646" si="74">$H1634*N1634*(1+O1634%)</f>
        <v>#REF!</v>
      </c>
    </row>
    <row r="1635" spans="1:18" ht="15" customHeight="1">
      <c r="A1635" s="657">
        <f>IF(B1635="",MAX($A$8:A1634)+0,MAX($A$8:A1634)+1)</f>
        <v>177</v>
      </c>
      <c r="B1635" s="835" t="str">
        <f>IF(C1635="","",COUNTA($C$10:C1636))</f>
        <v/>
      </c>
      <c r="C1635" s="847"/>
      <c r="D1635" s="362"/>
      <c r="E1635" s="852" t="s">
        <v>2032</v>
      </c>
      <c r="F1635" s="848" t="str">
        <f>VLOOKUP(E1635,DICH!B:C,2,FALSE)</f>
        <v xml:space="preserve">  A - Material</v>
      </c>
      <c r="G1635" s="884"/>
      <c r="H1635" s="847"/>
      <c r="I1635" s="848"/>
      <c r="J1635" s="849">
        <f>SUM(J1636:J1640)</f>
        <v>13738194.407098634</v>
      </c>
      <c r="N1635" s="843" t="e">
        <f>SUMIF(#REF!,'8.Dgia'!A1635,#REF!)+SUMIF(#REF!,'8.Dgia'!A1635,#REF!)+SUMIF(#REF!,'8.Dgia'!A1635,#REF!)+SUMIF(#REF!,'8.Dgia'!A1635,#REF!)</f>
        <v>#REF!</v>
      </c>
      <c r="O1635" s="844"/>
      <c r="P1635" s="843" t="e">
        <f t="shared" si="74"/>
        <v>#REF!</v>
      </c>
    </row>
    <row r="1636" spans="1:18" ht="15" customHeight="1">
      <c r="A1636" s="657">
        <f>IF(B1636="",MAX($A$8:A1635)+0,MAX($A$8:A1635)+1)</f>
        <v>177</v>
      </c>
      <c r="B1636" s="835" t="str">
        <f>IF(C1636="","",COUNTA($C$10:C1637))</f>
        <v/>
      </c>
      <c r="C1636" s="847"/>
      <c r="D1636" s="362"/>
      <c r="E1636" s="852" t="s">
        <v>562</v>
      </c>
      <c r="F1636" s="848" t="str">
        <f>VLOOKUP(E1636,DICH!B:C,2,FALSE)</f>
        <v>Plate steel</v>
      </c>
      <c r="G1636" s="883" t="s">
        <v>558</v>
      </c>
      <c r="H1636" s="859">
        <f>1025*H1634</f>
        <v>1025</v>
      </c>
      <c r="I1636" s="848">
        <f>VLOOKUP(E1636,'11.gia '!$B:$I,8,FALSE)</f>
        <v>12871.348287272725</v>
      </c>
      <c r="J1636" s="853">
        <f>I1636*H1636</f>
        <v>13193131.994454544</v>
      </c>
      <c r="N1636" s="843" t="e">
        <f>SUMIF(#REF!,'8.Dgia'!A1636,#REF!)+SUMIF(#REF!,'8.Dgia'!A1636,#REF!)+SUMIF(#REF!,'8.Dgia'!A1636,#REF!)+SUMIF(#REF!,'8.Dgia'!A1636,#REF!)</f>
        <v>#REF!</v>
      </c>
      <c r="O1636" s="844">
        <f>+$H$1601</f>
        <v>1.5</v>
      </c>
      <c r="P1636" s="843" t="e">
        <f t="shared" si="74"/>
        <v>#REF!</v>
      </c>
    </row>
    <row r="1637" spans="1:18" ht="15" customHeight="1">
      <c r="A1637" s="657">
        <f>IF(B1637="",MAX($A$8:A1636)+0,MAX($A$8:A1636)+1)</f>
        <v>177</v>
      </c>
      <c r="B1637" s="835" t="str">
        <f>IF(C1637="","",COUNTA($C$10:C1638))</f>
        <v/>
      </c>
      <c r="C1637" s="847"/>
      <c r="D1637" s="362"/>
      <c r="E1637" s="852" t="s">
        <v>564</v>
      </c>
      <c r="F1637" s="848" t="str">
        <f>VLOOKUP(E1637,DICH!B:C,2,FALSE)</f>
        <v>oxygen</v>
      </c>
      <c r="G1637" s="883" t="s">
        <v>4647</v>
      </c>
      <c r="H1637" s="859">
        <f>0.078*H1634</f>
        <v>7.8E-2</v>
      </c>
      <c r="I1637" s="848">
        <f>VLOOKUP(E1637,'11.gia '!$B:$I,8,FALSE)</f>
        <v>48000</v>
      </c>
      <c r="J1637" s="853">
        <f>I1637*H1637</f>
        <v>3744</v>
      </c>
      <c r="N1637" s="843" t="e">
        <f>SUMIF(#REF!,'8.Dgia'!A1637,#REF!)+SUMIF(#REF!,'8.Dgia'!A1637,#REF!)+SUMIF(#REF!,'8.Dgia'!A1637,#REF!)+SUMIF(#REF!,'8.Dgia'!A1637,#REF!)</f>
        <v>#REF!</v>
      </c>
      <c r="O1637" s="844">
        <f>+$H$1601</f>
        <v>1.5</v>
      </c>
      <c r="P1637" s="843" t="e">
        <f t="shared" si="74"/>
        <v>#REF!</v>
      </c>
    </row>
    <row r="1638" spans="1:18" ht="15" customHeight="1">
      <c r="A1638" s="657">
        <f>IF(B1638="",MAX($A$8:A1637)+0,MAX($A$8:A1637)+1)</f>
        <v>177</v>
      </c>
      <c r="B1638" s="835" t="str">
        <f>IF(C1638="","",COUNTA($C$10:C1639))</f>
        <v/>
      </c>
      <c r="C1638" s="847"/>
      <c r="D1638" s="362"/>
      <c r="E1638" s="852" t="s">
        <v>566</v>
      </c>
      <c r="F1638" s="848" t="str">
        <f>VLOOKUP(E1638,DICH!B:C,2,FALSE)</f>
        <v>Calcium carbide</v>
      </c>
      <c r="G1638" s="883" t="s">
        <v>558</v>
      </c>
      <c r="H1638" s="859">
        <f>0.3*H1634</f>
        <v>0.3</v>
      </c>
      <c r="I1638" s="848">
        <f>VLOOKUP(E1638,'11.gia '!$B:$I,8,FALSE)</f>
        <v>14000</v>
      </c>
      <c r="J1638" s="853">
        <f>I1638*H1638</f>
        <v>4200</v>
      </c>
      <c r="N1638" s="843" t="e">
        <f>SUMIF(#REF!,'8.Dgia'!A1638,#REF!)+SUMIF(#REF!,'8.Dgia'!A1638,#REF!)+SUMIF(#REF!,'8.Dgia'!A1638,#REF!)+SUMIF(#REF!,'8.Dgia'!A1638,#REF!)</f>
        <v>#REF!</v>
      </c>
      <c r="O1638" s="844">
        <f>+$H$1601</f>
        <v>1.5</v>
      </c>
      <c r="P1638" s="843" t="e">
        <f t="shared" si="74"/>
        <v>#REF!</v>
      </c>
    </row>
    <row r="1639" spans="1:18" ht="15" customHeight="1">
      <c r="A1639" s="657">
        <f>IF(B1639="",MAX($A$8:A1638)+0,MAX($A$8:A1638)+1)</f>
        <v>177</v>
      </c>
      <c r="B1639" s="835" t="str">
        <f>IF(C1639="","",COUNTA($C$10:C1640))</f>
        <v/>
      </c>
      <c r="C1639" s="847"/>
      <c r="D1639" s="362"/>
      <c r="E1639" s="852" t="s">
        <v>559</v>
      </c>
      <c r="F1639" s="848" t="str">
        <f>VLOOKUP(E1639,DICH!B:C,2,FALSE)</f>
        <v>welding electrode</v>
      </c>
      <c r="G1639" s="883" t="s">
        <v>558</v>
      </c>
      <c r="H1639" s="859">
        <f>17.5*H1634</f>
        <v>17.5</v>
      </c>
      <c r="I1639" s="848">
        <f>VLOOKUP(E1639,'11.gia '!$B:$I,8,FALSE)</f>
        <v>19090.909090909088</v>
      </c>
      <c r="J1639" s="853">
        <f>I1639*H1639</f>
        <v>334090.90909090906</v>
      </c>
      <c r="N1639" s="843" t="e">
        <f>SUMIF(#REF!,'8.Dgia'!A1639,#REF!)+SUMIF(#REF!,'8.Dgia'!A1639,#REF!)+SUMIF(#REF!,'8.Dgia'!A1639,#REF!)+SUMIF(#REF!,'8.Dgia'!A1639,#REF!)</f>
        <v>#REF!</v>
      </c>
      <c r="O1639" s="844">
        <f>+$H$1601</f>
        <v>1.5</v>
      </c>
      <c r="P1639" s="843" t="e">
        <f t="shared" si="74"/>
        <v>#REF!</v>
      </c>
    </row>
    <row r="1640" spans="1:18" ht="15" customHeight="1">
      <c r="A1640" s="657">
        <f>IF(B1640="",MAX($A$8:A1639)+0,MAX($A$8:A1639)+1)</f>
        <v>177</v>
      </c>
      <c r="B1640" s="835" t="str">
        <f>IF(C1640="","",COUNTA($C$10:C1641))</f>
        <v/>
      </c>
      <c r="C1640" s="847"/>
      <c r="D1640" s="362"/>
      <c r="E1640" s="852" t="s">
        <v>555</v>
      </c>
      <c r="F1640" s="848" t="str">
        <f>VLOOKUP(E1640,DICH!B:C,2,FALSE)</f>
        <v>Other material</v>
      </c>
      <c r="G1640" s="362" t="s">
        <v>554</v>
      </c>
      <c r="H1640" s="847">
        <v>1.5</v>
      </c>
      <c r="I1640" s="848">
        <f>SUM(J1636:J1639)</f>
        <v>13535166.903545452</v>
      </c>
      <c r="J1640" s="853">
        <f>I1640*H1640%</f>
        <v>203027.50355318177</v>
      </c>
      <c r="N1640" s="843" t="e">
        <f>SUMIF(#REF!,'8.Dgia'!A1640,#REF!)+SUMIF(#REF!,'8.Dgia'!A1640,#REF!)+SUMIF(#REF!,'8.Dgia'!A1640,#REF!)+SUMIF(#REF!,'8.Dgia'!A1640,#REF!)</f>
        <v>#REF!</v>
      </c>
      <c r="O1640" s="844"/>
      <c r="P1640" s="843" t="e">
        <f t="shared" si="74"/>
        <v>#REF!</v>
      </c>
    </row>
    <row r="1641" spans="1:18" ht="15" customHeight="1">
      <c r="A1641" s="657">
        <f>IF(B1641="",MAX($A$8:A1640)+0,MAX($A$8:A1640)+1)</f>
        <v>177</v>
      </c>
      <c r="B1641" s="835" t="str">
        <f>IF(C1641="","",COUNTA($C$10:C1642))</f>
        <v/>
      </c>
      <c r="C1641" s="847"/>
      <c r="D1641" s="362"/>
      <c r="E1641" s="852" t="s">
        <v>2040</v>
      </c>
      <c r="F1641" s="848" t="str">
        <f>VLOOKUP(E1641,DICH!B:C,2,FALSE)</f>
        <v xml:space="preserve">  B - Labour 4.5/7</v>
      </c>
      <c r="G1641" s="883" t="s">
        <v>4899</v>
      </c>
      <c r="H1641" s="908">
        <f>18.5*H1634</f>
        <v>18.5</v>
      </c>
      <c r="I1641" s="848">
        <f>VLOOKUP(E1641,'16.NC'!$C$11:$F$22,4,FALSE)</f>
        <v>237875</v>
      </c>
      <c r="J1641" s="849">
        <f>I1641*H1641</f>
        <v>4400687.5</v>
      </c>
      <c r="N1641" s="843" t="e">
        <f>SUMIF(#REF!,'8.Dgia'!A1641,#REF!)+SUMIF(#REF!,'8.Dgia'!A1641,#REF!)+SUMIF(#REF!,'8.Dgia'!A1641,#REF!)+SUMIF(#REF!,'8.Dgia'!A1641,#REF!)</f>
        <v>#REF!</v>
      </c>
      <c r="O1641" s="844"/>
      <c r="P1641" s="843" t="e">
        <f t="shared" si="74"/>
        <v>#REF!</v>
      </c>
      <c r="R1641" s="658">
        <v>1</v>
      </c>
    </row>
    <row r="1642" spans="1:18" ht="15" customHeight="1">
      <c r="A1642" s="657">
        <f>IF(B1642="",MAX($A$8:A1641)+0,MAX($A$8:A1641)+1)</f>
        <v>177</v>
      </c>
      <c r="B1642" s="835" t="str">
        <f>IF(C1642="","",COUNTA($C$10:C1643))</f>
        <v/>
      </c>
      <c r="C1642" s="847"/>
      <c r="D1642" s="362"/>
      <c r="E1642" s="852" t="s">
        <v>2033</v>
      </c>
      <c r="F1642" s="848" t="str">
        <f>VLOOKUP(E1642,DICH!B:C,2,FALSE)</f>
        <v xml:space="preserve">  C - Machine</v>
      </c>
      <c r="G1642" s="883"/>
      <c r="H1642" s="847"/>
      <c r="I1642" s="848"/>
      <c r="J1642" s="849">
        <f>SUM(J1643:J1646)</f>
        <v>1177061.4048425455</v>
      </c>
      <c r="N1642" s="843" t="e">
        <f>SUMIF(#REF!,'8.Dgia'!A1642,#REF!)+SUMIF(#REF!,'8.Dgia'!A1642,#REF!)+SUMIF(#REF!,'8.Dgia'!A1642,#REF!)+SUMIF(#REF!,'8.Dgia'!A1642,#REF!)</f>
        <v>#REF!</v>
      </c>
      <c r="O1642" s="844"/>
      <c r="P1642" s="843" t="e">
        <f t="shared" si="74"/>
        <v>#REF!</v>
      </c>
    </row>
    <row r="1643" spans="1:18" ht="15" customHeight="1">
      <c r="A1643" s="657">
        <f>IF(B1643="",MAX($A$8:A1642)+0,MAX($A$8:A1642)+1)</f>
        <v>177</v>
      </c>
      <c r="B1643" s="835" t="str">
        <f>IF(C1643="","",COUNTA($C$10:C1644))</f>
        <v/>
      </c>
      <c r="C1643" s="847"/>
      <c r="D1643" s="362"/>
      <c r="E1643" s="852" t="s">
        <v>560</v>
      </c>
      <c r="F1643" s="848" t="str">
        <f>VLOOKUP(E1643,'9.may'!E:F,2,FALSE)</f>
        <v>welding machine 23kW</v>
      </c>
      <c r="G1643" s="883" t="s">
        <v>4902</v>
      </c>
      <c r="H1643" s="859">
        <f>3.2*H1634</f>
        <v>3.2</v>
      </c>
      <c r="I1643" s="848">
        <f>VLOOKUP(E1643,'9.may'!E:W,12,FALSE)</f>
        <v>171649.155</v>
      </c>
      <c r="J1643" s="853">
        <f>I1643*H1643</f>
        <v>549277.29599999997</v>
      </c>
      <c r="N1643" s="843" t="e">
        <f>SUMIF(#REF!,'8.Dgia'!A1643,#REF!)+SUMIF(#REF!,'8.Dgia'!A1643,#REF!)+SUMIF(#REF!,'8.Dgia'!A1643,#REF!)+SUMIF(#REF!,'8.Dgia'!A1643,#REF!)</f>
        <v>#REF!</v>
      </c>
      <c r="O1643" s="844">
        <f>+$H$1607</f>
        <v>1</v>
      </c>
      <c r="P1643" s="843" t="e">
        <f t="shared" si="74"/>
        <v>#REF!</v>
      </c>
    </row>
    <row r="1644" spans="1:18" ht="15" customHeight="1">
      <c r="A1644" s="657">
        <f>IF(B1644="",MAX($A$8:A1643)+0,MAX($A$8:A1643)+1)</f>
        <v>177</v>
      </c>
      <c r="B1644" s="835" t="str">
        <f>IF(C1644="","",COUNTA($C$10:C1645))</f>
        <v/>
      </c>
      <c r="C1644" s="847"/>
      <c r="D1644" s="362"/>
      <c r="E1644" s="852" t="s">
        <v>1412</v>
      </c>
      <c r="F1644" s="848" t="str">
        <f>VLOOKUP(E1644,'9.may'!E:F,2,FALSE)</f>
        <v>plate roll bending machine 2.8kW</v>
      </c>
      <c r="G1644" s="883" t="s">
        <v>4902</v>
      </c>
      <c r="H1644" s="859">
        <f>0.5*H1634</f>
        <v>0.5</v>
      </c>
      <c r="I1644" s="848">
        <f>VLOOKUP(E1644,'9.may'!E:W,12,FALSE)</f>
        <v>82106.406000000003</v>
      </c>
      <c r="J1644" s="853">
        <f>I1644*H1644</f>
        <v>41053.203000000001</v>
      </c>
      <c r="N1644" s="843" t="e">
        <f>SUMIF(#REF!,'8.Dgia'!A1644,#REF!)+SUMIF(#REF!,'8.Dgia'!A1644,#REF!)+SUMIF(#REF!,'8.Dgia'!A1644,#REF!)+SUMIF(#REF!,'8.Dgia'!A1644,#REF!)</f>
        <v>#REF!</v>
      </c>
      <c r="O1644" s="844">
        <f>+$H$1607</f>
        <v>1</v>
      </c>
      <c r="P1644" s="843" t="e">
        <f t="shared" si="74"/>
        <v>#REF!</v>
      </c>
    </row>
    <row r="1645" spans="1:18" ht="15" customHeight="1">
      <c r="A1645" s="657">
        <f>IF(B1645="",MAX($A$8:A1644)+0,MAX($A$8:A1644)+1)</f>
        <v>177</v>
      </c>
      <c r="B1645" s="835" t="str">
        <f>IF(C1645="","",COUNTA($C$10:C1646))</f>
        <v/>
      </c>
      <c r="C1645" s="847"/>
      <c r="D1645" s="362"/>
      <c r="E1645" s="852" t="s">
        <v>287</v>
      </c>
      <c r="F1645" s="848" t="str">
        <f>VLOOKUP(E1645,'9.may'!E:F,2,FALSE)</f>
        <v>caterpillar crane 16T</v>
      </c>
      <c r="G1645" s="883" t="s">
        <v>4902</v>
      </c>
      <c r="H1645" s="859">
        <f>0.27*H1634</f>
        <v>0.27</v>
      </c>
      <c r="I1645" s="848">
        <f>VLOOKUP(E1645,'9.may'!E:W,12,FALSE)</f>
        <v>2129914.1945454543</v>
      </c>
      <c r="J1645" s="853">
        <f>I1645*H1645</f>
        <v>575076.83252727275</v>
      </c>
      <c r="N1645" s="843" t="e">
        <f>SUMIF(#REF!,'8.Dgia'!A1645,#REF!)+SUMIF(#REF!,'8.Dgia'!A1645,#REF!)+SUMIF(#REF!,'8.Dgia'!A1645,#REF!)+SUMIF(#REF!,'8.Dgia'!A1645,#REF!)</f>
        <v>#REF!</v>
      </c>
      <c r="O1645" s="844">
        <f>+$H$1607</f>
        <v>1</v>
      </c>
      <c r="P1645" s="843" t="e">
        <f t="shared" si="74"/>
        <v>#REF!</v>
      </c>
    </row>
    <row r="1646" spans="1:18" ht="15" customHeight="1">
      <c r="A1646" s="657">
        <f>IF(B1646="",MAX($A$8:A1645)+0,MAX($A$8:A1645)+1)</f>
        <v>177</v>
      </c>
      <c r="B1646" s="835" t="str">
        <f>IF(C1646="","",COUNTA($C$10:C1647))</f>
        <v/>
      </c>
      <c r="C1646" s="847"/>
      <c r="D1646" s="362"/>
      <c r="E1646" s="852" t="s">
        <v>553</v>
      </c>
      <c r="F1646" s="848" t="str">
        <f>VLOOKUP(E1646,DICH!B:C,2,FALSE)</f>
        <v>Other machine</v>
      </c>
      <c r="G1646" s="362" t="s">
        <v>554</v>
      </c>
      <c r="H1646" s="847">
        <v>1</v>
      </c>
      <c r="I1646" s="848">
        <f>SUM(J1643:J1645)</f>
        <v>1165407.3315272727</v>
      </c>
      <c r="J1646" s="853">
        <f>I1646*H1646%</f>
        <v>11654.073315272728</v>
      </c>
      <c r="N1646" s="843" t="e">
        <f>SUMIF(#REF!,'8.Dgia'!A1646,#REF!)+SUMIF(#REF!,'8.Dgia'!A1646,#REF!)+SUMIF(#REF!,'8.Dgia'!A1646,#REF!)+SUMIF(#REF!,'8.Dgia'!A1646,#REF!)</f>
        <v>#REF!</v>
      </c>
      <c r="O1646" s="844"/>
      <c r="P1646" s="843" t="e">
        <f t="shared" si="74"/>
        <v>#REF!</v>
      </c>
    </row>
    <row r="1647" spans="1:18" ht="26.25" customHeight="1">
      <c r="A1647" s="657">
        <f>IF(B1647="",MAX($A$8:A1646)+0,MAX($A$8:A1646)+1)</f>
        <v>178</v>
      </c>
      <c r="B1647" s="835">
        <f>IF(C1647="","",COUNTA($C$10:C1648))</f>
        <v>178</v>
      </c>
      <c r="C1647" s="835">
        <f>IF(D1647="","",1776)</f>
        <v>1776</v>
      </c>
      <c r="D1647" s="851" t="s">
        <v>444</v>
      </c>
      <c r="E1647" s="855" t="s">
        <v>4068</v>
      </c>
      <c r="F1647" s="1049" t="str">
        <f>VLOOKUP(E1647,DICH!B:C,2,FALSE)</f>
        <v>Driving steel sheet pile (land), L&lt;=12m, soil C1 (not on land, HS=0.75)</v>
      </c>
      <c r="G1647" s="856" t="s">
        <v>546</v>
      </c>
      <c r="H1647" s="847">
        <v>0.75</v>
      </c>
      <c r="I1647" s="848"/>
      <c r="J1647" s="853"/>
      <c r="L1647" s="842">
        <f>+J1648</f>
        <v>1566422.6849999998</v>
      </c>
      <c r="M1647" s="842">
        <f>+J1649</f>
        <v>6617480.7018837277</v>
      </c>
      <c r="N1647" s="843" t="e">
        <f>SUMIF(#REF!,'8.Dgia'!A1647,#REF!)+SUMIF(#REF!,'8.Dgia'!A1647,#REF!)+SUMIF(#REF!,'8.Dgia'!A1647,#REF!)+SUMIF(#REF!,'8.Dgia'!A1647,#REF!)</f>
        <v>#REF!</v>
      </c>
      <c r="O1647" s="844"/>
      <c r="P1647" s="843" t="e">
        <f t="shared" ref="P1647:P1675" si="75">$H1647*N1647*(1+O1647%)</f>
        <v>#REF!</v>
      </c>
    </row>
    <row r="1648" spans="1:18" s="658" customFormat="1" ht="15" customHeight="1">
      <c r="A1648" s="657">
        <f>IF(B1648="",MAX($A$8:A1647)+0,MAX($A$8:A1647)+1)</f>
        <v>178</v>
      </c>
      <c r="B1648" s="835" t="str">
        <f>IF(C1648="","",COUNTA($C$10:C1649))</f>
        <v/>
      </c>
      <c r="C1648" s="362"/>
      <c r="D1648" s="845"/>
      <c r="E1648" s="852" t="s">
        <v>2039</v>
      </c>
      <c r="F1648" s="848" t="str">
        <f>VLOOKUP(E1648,DICH!B:C,2,FALSE)</f>
        <v xml:space="preserve">  B - Labour 4.0/7</v>
      </c>
      <c r="G1648" s="362" t="s">
        <v>4899</v>
      </c>
      <c r="H1648" s="847">
        <f>9.54*H1647</f>
        <v>7.1549999999999994</v>
      </c>
      <c r="I1648" s="848">
        <f>VLOOKUP(E1648,'16.NC'!$C$11:$F$22,4,FALSE)</f>
        <v>218927</v>
      </c>
      <c r="J1648" s="849">
        <f>I1648*H1648</f>
        <v>1566422.6849999998</v>
      </c>
      <c r="K1648" s="850"/>
      <c r="L1648" s="850"/>
      <c r="M1648" s="850"/>
      <c r="N1648" s="843" t="e">
        <f>SUMIF(#REF!,'8.Dgia'!A1648,#REF!)+SUMIF(#REF!,'8.Dgia'!A1648,#REF!)+SUMIF(#REF!,'8.Dgia'!A1648,#REF!)+SUMIF(#REF!,'8.Dgia'!A1648,#REF!)</f>
        <v>#REF!</v>
      </c>
      <c r="O1648" s="844"/>
      <c r="P1648" s="843" t="e">
        <f t="shared" si="75"/>
        <v>#REF!</v>
      </c>
      <c r="R1648" s="658">
        <v>1</v>
      </c>
    </row>
    <row r="1649" spans="1:18" s="658" customFormat="1" ht="15" customHeight="1">
      <c r="A1649" s="657">
        <f>IF(B1649="",MAX($A$8:A1648)+0,MAX($A$8:A1648)+1)</f>
        <v>178</v>
      </c>
      <c r="B1649" s="835" t="str">
        <f>IF(C1649="","",COUNTA($C$10:C1650))</f>
        <v/>
      </c>
      <c r="C1649" s="362"/>
      <c r="D1649" s="845"/>
      <c r="E1649" s="852" t="s">
        <v>2033</v>
      </c>
      <c r="F1649" s="848" t="str">
        <f>VLOOKUP(E1649,DICH!B:C,2,FALSE)</f>
        <v xml:space="preserve">  C - Machine</v>
      </c>
      <c r="G1649" s="846"/>
      <c r="H1649" s="847"/>
      <c r="I1649" s="848"/>
      <c r="J1649" s="849">
        <f>SUM(J1650:J1651)</f>
        <v>6617480.7018837277</v>
      </c>
      <c r="K1649" s="850"/>
      <c r="L1649" s="850"/>
      <c r="M1649" s="850"/>
      <c r="N1649" s="843" t="e">
        <f>SUMIF(#REF!,'8.Dgia'!A1649,#REF!)+SUMIF(#REF!,'8.Dgia'!A1649,#REF!)+SUMIF(#REF!,'8.Dgia'!A1649,#REF!)+SUMIF(#REF!,'8.Dgia'!A1649,#REF!)</f>
        <v>#REF!</v>
      </c>
      <c r="O1649" s="844"/>
      <c r="P1649" s="843" t="e">
        <f t="shared" si="75"/>
        <v>#REF!</v>
      </c>
    </row>
    <row r="1650" spans="1:18" ht="15" customHeight="1">
      <c r="A1650" s="657">
        <f>IF(B1650="",MAX($A$8:A1649)+0,MAX($A$8:A1649)+1)</f>
        <v>178</v>
      </c>
      <c r="B1650" s="835" t="str">
        <f>IF(C1650="","",COUNTA($C$10:C1651))</f>
        <v/>
      </c>
      <c r="C1650" s="362"/>
      <c r="D1650" s="851"/>
      <c r="E1650" s="852" t="s">
        <v>1501</v>
      </c>
      <c r="F1650" s="848" t="str">
        <f>VLOOKUP(E1650,'9.may'!E:F,2,FALSE)</f>
        <v>pile driver, diesel self-propelled hammer 1.8T</v>
      </c>
      <c r="G1650" s="362" t="s">
        <v>4902</v>
      </c>
      <c r="H1650" s="847">
        <f>3.18*H1647</f>
        <v>2.3850000000000002</v>
      </c>
      <c r="I1650" s="848">
        <f>VLOOKUP(E1650,'9.may'!E:W,12,FALSE)</f>
        <v>2693810.7109090909</v>
      </c>
      <c r="J1650" s="853">
        <f>I1650*H1650</f>
        <v>6424738.5455181822</v>
      </c>
      <c r="N1650" s="843" t="e">
        <f>SUMIF(#REF!,'8.Dgia'!A1650,#REF!)+SUMIF(#REF!,'8.Dgia'!A1650,#REF!)+SUMIF(#REF!,'8.Dgia'!A1650,#REF!)+SUMIF(#REF!,'8.Dgia'!A1650,#REF!)</f>
        <v>#REF!</v>
      </c>
      <c r="O1650" s="844">
        <f>+$H$1651</f>
        <v>3</v>
      </c>
      <c r="P1650" s="843" t="e">
        <f t="shared" si="75"/>
        <v>#REF!</v>
      </c>
    </row>
    <row r="1651" spans="1:18" ht="15" customHeight="1">
      <c r="A1651" s="657">
        <f>IF(B1651="",MAX($A$8:A1650)+0,MAX($A$8:A1650)+1)</f>
        <v>178</v>
      </c>
      <c r="B1651" s="835" t="str">
        <f>IF(C1651="","",COUNTA($C$10:C1652))</f>
        <v/>
      </c>
      <c r="C1651" s="362"/>
      <c r="D1651" s="851"/>
      <c r="E1651" s="852" t="s">
        <v>553</v>
      </c>
      <c r="F1651" s="848" t="str">
        <f>VLOOKUP(E1651,DICH!B:C,2,FALSE)</f>
        <v>Other machine</v>
      </c>
      <c r="G1651" s="362" t="s">
        <v>554</v>
      </c>
      <c r="H1651" s="847">
        <v>3</v>
      </c>
      <c r="I1651" s="848">
        <f>SUM(J1650:J1650)</f>
        <v>6424738.5455181822</v>
      </c>
      <c r="J1651" s="853">
        <f>I1651*H1651%</f>
        <v>192742.15636554547</v>
      </c>
      <c r="N1651" s="843" t="e">
        <f>SUMIF(#REF!,'8.Dgia'!A1651,#REF!)+SUMIF(#REF!,'8.Dgia'!A1651,#REF!)+SUMIF(#REF!,'8.Dgia'!A1651,#REF!)+SUMIF(#REF!,'8.Dgia'!A1651,#REF!)</f>
        <v>#REF!</v>
      </c>
      <c r="O1651" s="844"/>
      <c r="P1651" s="843" t="e">
        <f t="shared" si="75"/>
        <v>#REF!</v>
      </c>
    </row>
    <row r="1652" spans="1:18" ht="28.5" customHeight="1">
      <c r="A1652" s="657">
        <f>IF(B1652="",MAX($A$8:A1651)+0,MAX($A$8:A1651)+1)</f>
        <v>179</v>
      </c>
      <c r="B1652" s="835">
        <f>IF(C1652="","",COUNTA($C$10:C1653))</f>
        <v>179</v>
      </c>
      <c r="C1652" s="835">
        <f>IF(D1652="","",1776)</f>
        <v>1776</v>
      </c>
      <c r="D1652" s="851" t="s">
        <v>444</v>
      </c>
      <c r="E1652" s="855" t="s">
        <v>2165</v>
      </c>
      <c r="F1652" s="1049" t="str">
        <f>VLOOKUP(E1652,DICH!B:C,2,FALSE)</f>
        <v>Driving steel sheet pile (land), L&lt;=12m, soil C1 (on land)</v>
      </c>
      <c r="G1652" s="856" t="s">
        <v>546</v>
      </c>
      <c r="H1652" s="847">
        <v>1</v>
      </c>
      <c r="I1652" s="848"/>
      <c r="J1652" s="853"/>
      <c r="L1652" s="842">
        <f>+J1653</f>
        <v>2088563.5799999998</v>
      </c>
      <c r="M1652" s="842">
        <f>+J1654</f>
        <v>8823307.6025116369</v>
      </c>
      <c r="N1652" s="843" t="e">
        <f>SUMIF(#REF!,'8.Dgia'!A1652,#REF!)+SUMIF(#REF!,'8.Dgia'!A1652,#REF!)+SUMIF(#REF!,'8.Dgia'!A1652,#REF!)+SUMIF(#REF!,'8.Dgia'!A1652,#REF!)</f>
        <v>#REF!</v>
      </c>
      <c r="O1652" s="844"/>
      <c r="P1652" s="843" t="e">
        <f t="shared" si="75"/>
        <v>#REF!</v>
      </c>
    </row>
    <row r="1653" spans="1:18" s="658" customFormat="1" ht="15" customHeight="1">
      <c r="A1653" s="657">
        <f>IF(B1653="",MAX($A$8:A1652)+0,MAX($A$8:A1652)+1)</f>
        <v>179</v>
      </c>
      <c r="B1653" s="835" t="str">
        <f>IF(C1653="","",COUNTA($C$10:C1654))</f>
        <v/>
      </c>
      <c r="C1653" s="362"/>
      <c r="D1653" s="845"/>
      <c r="E1653" s="852" t="s">
        <v>2039</v>
      </c>
      <c r="F1653" s="848" t="str">
        <f>VLOOKUP(E1653,DICH!B:C,2,FALSE)</f>
        <v xml:space="preserve">  B - Labour 4.0/7</v>
      </c>
      <c r="G1653" s="362" t="s">
        <v>4899</v>
      </c>
      <c r="H1653" s="847">
        <f>9.54*H1652</f>
        <v>9.5399999999999991</v>
      </c>
      <c r="I1653" s="848">
        <f>VLOOKUP(E1653,'16.NC'!$C$11:$F$22,4,FALSE)</f>
        <v>218927</v>
      </c>
      <c r="J1653" s="849">
        <f>I1653*H1653</f>
        <v>2088563.5799999998</v>
      </c>
      <c r="K1653" s="850"/>
      <c r="L1653" s="850"/>
      <c r="M1653" s="850"/>
      <c r="N1653" s="843" t="e">
        <f>SUMIF(#REF!,'8.Dgia'!A1653,#REF!)+SUMIF(#REF!,'8.Dgia'!A1653,#REF!)+SUMIF(#REF!,'8.Dgia'!A1653,#REF!)+SUMIF(#REF!,'8.Dgia'!A1653,#REF!)</f>
        <v>#REF!</v>
      </c>
      <c r="O1653" s="844"/>
      <c r="P1653" s="843" t="e">
        <f t="shared" si="75"/>
        <v>#REF!</v>
      </c>
      <c r="R1653" s="658">
        <v>1</v>
      </c>
    </row>
    <row r="1654" spans="1:18" s="658" customFormat="1" ht="15" customHeight="1">
      <c r="A1654" s="657">
        <f>IF(B1654="",MAX($A$8:A1653)+0,MAX($A$8:A1653)+1)</f>
        <v>179</v>
      </c>
      <c r="B1654" s="835" t="str">
        <f>IF(C1654="","",COUNTA($C$10:C1655))</f>
        <v/>
      </c>
      <c r="C1654" s="362"/>
      <c r="D1654" s="845"/>
      <c r="E1654" s="852" t="s">
        <v>2033</v>
      </c>
      <c r="F1654" s="848" t="str">
        <f>VLOOKUP(E1654,DICH!B:C,2,FALSE)</f>
        <v xml:space="preserve">  C - Machine</v>
      </c>
      <c r="G1654" s="846"/>
      <c r="H1654" s="847"/>
      <c r="I1654" s="848"/>
      <c r="J1654" s="849">
        <f>SUM(J1655:J1656)</f>
        <v>8823307.6025116369</v>
      </c>
      <c r="K1654" s="850"/>
      <c r="L1654" s="850"/>
      <c r="M1654" s="850"/>
      <c r="N1654" s="843" t="e">
        <f>SUMIF(#REF!,'8.Dgia'!A1654,#REF!)+SUMIF(#REF!,'8.Dgia'!A1654,#REF!)+SUMIF(#REF!,'8.Dgia'!A1654,#REF!)+SUMIF(#REF!,'8.Dgia'!A1654,#REF!)</f>
        <v>#REF!</v>
      </c>
      <c r="O1654" s="844"/>
      <c r="P1654" s="843" t="e">
        <f t="shared" si="75"/>
        <v>#REF!</v>
      </c>
    </row>
    <row r="1655" spans="1:18" ht="15" customHeight="1">
      <c r="A1655" s="657">
        <f>IF(B1655="",MAX($A$8:A1654)+0,MAX($A$8:A1654)+1)</f>
        <v>179</v>
      </c>
      <c r="B1655" s="835" t="str">
        <f>IF(C1655="","",COUNTA($C$10:C1656))</f>
        <v/>
      </c>
      <c r="C1655" s="362"/>
      <c r="D1655" s="851"/>
      <c r="E1655" s="852" t="s">
        <v>1501</v>
      </c>
      <c r="F1655" s="848" t="str">
        <f>VLOOKUP(E1655,'9.may'!E:F,2,FALSE)</f>
        <v>pile driver, diesel self-propelled hammer 1.8T</v>
      </c>
      <c r="G1655" s="362" t="s">
        <v>4902</v>
      </c>
      <c r="H1655" s="847">
        <f>3.18*H1652</f>
        <v>3.18</v>
      </c>
      <c r="I1655" s="848">
        <f>VLOOKUP(E1655,'9.may'!E:W,12,FALSE)</f>
        <v>2693810.7109090909</v>
      </c>
      <c r="J1655" s="853">
        <f>I1655*H1655</f>
        <v>8566318.0606909096</v>
      </c>
      <c r="N1655" s="843" t="e">
        <f>SUMIF(#REF!,'8.Dgia'!A1655,#REF!)+SUMIF(#REF!,'8.Dgia'!A1655,#REF!)+SUMIF(#REF!,'8.Dgia'!A1655,#REF!)+SUMIF(#REF!,'8.Dgia'!A1655,#REF!)</f>
        <v>#REF!</v>
      </c>
      <c r="O1655" s="844">
        <f>+$H$1651</f>
        <v>3</v>
      </c>
      <c r="P1655" s="843" t="e">
        <f t="shared" si="75"/>
        <v>#REF!</v>
      </c>
    </row>
    <row r="1656" spans="1:18" ht="15" customHeight="1">
      <c r="A1656" s="657">
        <f>IF(B1656="",MAX($A$8:A1655)+0,MAX($A$8:A1655)+1)</f>
        <v>179</v>
      </c>
      <c r="B1656" s="835" t="str">
        <f>IF(C1656="","",COUNTA($C$10:C1657))</f>
        <v/>
      </c>
      <c r="C1656" s="362"/>
      <c r="D1656" s="851"/>
      <c r="E1656" s="852" t="s">
        <v>553</v>
      </c>
      <c r="F1656" s="848" t="str">
        <f>VLOOKUP(E1656,DICH!B:C,2,FALSE)</f>
        <v>Other machine</v>
      </c>
      <c r="G1656" s="362" t="s">
        <v>554</v>
      </c>
      <c r="H1656" s="847">
        <v>3</v>
      </c>
      <c r="I1656" s="848">
        <f>SUM(J1655:J1655)</f>
        <v>8566318.0606909096</v>
      </c>
      <c r="J1656" s="853">
        <f>I1656*H1656%</f>
        <v>256989.54182072729</v>
      </c>
      <c r="N1656" s="843" t="e">
        <f>SUMIF(#REF!,'8.Dgia'!A1656,#REF!)+SUMIF(#REF!,'8.Dgia'!A1656,#REF!)+SUMIF(#REF!,'8.Dgia'!A1656,#REF!)+SUMIF(#REF!,'8.Dgia'!A1656,#REF!)</f>
        <v>#REF!</v>
      </c>
      <c r="O1656" s="844"/>
      <c r="P1656" s="843" t="e">
        <f t="shared" si="75"/>
        <v>#REF!</v>
      </c>
    </row>
    <row r="1657" spans="1:18" ht="15" customHeight="1">
      <c r="A1657" s="657">
        <f>IF(B1657="",MAX($A$8:A1656)+0,MAX($A$8:A1656)+1)</f>
        <v>180</v>
      </c>
      <c r="B1657" s="835">
        <f>IF(C1657="","",COUNTA($C$10:C1658))</f>
        <v>180</v>
      </c>
      <c r="C1657" s="835">
        <f>IF(D1657="","",1776)</f>
        <v>1776</v>
      </c>
      <c r="D1657" s="851" t="s">
        <v>446</v>
      </c>
      <c r="E1657" s="855" t="s">
        <v>640</v>
      </c>
      <c r="F1657" s="1049" t="str">
        <f>VLOOKUP(E1657,DICH!B:C,2,FALSE)</f>
        <v>Remove sheet pile (land)</v>
      </c>
      <c r="G1657" s="856" t="s">
        <v>546</v>
      </c>
      <c r="H1657" s="847"/>
      <c r="I1657" s="848"/>
      <c r="J1657" s="853"/>
      <c r="L1657" s="842">
        <f>+J1658</f>
        <v>1565328.05</v>
      </c>
      <c r="M1657" s="842">
        <f>+J1659</f>
        <v>9891015.7757280022</v>
      </c>
      <c r="N1657" s="843" t="e">
        <f>SUMIF(#REF!,'8.Dgia'!A1657,#REF!)+SUMIF(#REF!,'8.Dgia'!A1657,#REF!)+SUMIF(#REF!,'8.Dgia'!A1657,#REF!)+SUMIF(#REF!,'8.Dgia'!A1657,#REF!)</f>
        <v>#REF!</v>
      </c>
      <c r="O1657" s="844"/>
      <c r="P1657" s="843" t="e">
        <f t="shared" si="75"/>
        <v>#REF!</v>
      </c>
    </row>
    <row r="1658" spans="1:18" s="658" customFormat="1" ht="15" customHeight="1">
      <c r="A1658" s="657">
        <f>IF(B1658="",MAX($A$8:A1657)+0,MAX($A$8:A1657)+1)</f>
        <v>180</v>
      </c>
      <c r="B1658" s="835" t="str">
        <f>IF(C1658="","",COUNTA($C$10:C1659))</f>
        <v/>
      </c>
      <c r="C1658" s="362"/>
      <c r="D1658" s="845"/>
      <c r="E1658" s="852" t="s">
        <v>2039</v>
      </c>
      <c r="F1658" s="848" t="str">
        <f>VLOOKUP(E1658,DICH!B:C,2,FALSE)</f>
        <v xml:space="preserve">  B - Labour 4.0/7</v>
      </c>
      <c r="G1658" s="362" t="s">
        <v>4899</v>
      </c>
      <c r="H1658" s="847">
        <v>7.15</v>
      </c>
      <c r="I1658" s="848">
        <f>VLOOKUP(E1658,'16.NC'!$C$11:$F$22,4,FALSE)</f>
        <v>218927</v>
      </c>
      <c r="J1658" s="849">
        <f>I1658*H1658</f>
        <v>1565328.05</v>
      </c>
      <c r="K1658" s="850"/>
      <c r="L1658" s="850"/>
      <c r="M1658" s="850"/>
      <c r="N1658" s="843" t="e">
        <f>SUMIF(#REF!,'8.Dgia'!A1658,#REF!)+SUMIF(#REF!,'8.Dgia'!A1658,#REF!)+SUMIF(#REF!,'8.Dgia'!A1658,#REF!)+SUMIF(#REF!,'8.Dgia'!A1658,#REF!)</f>
        <v>#REF!</v>
      </c>
      <c r="O1658" s="844"/>
      <c r="P1658" s="843" t="e">
        <f t="shared" si="75"/>
        <v>#REF!</v>
      </c>
      <c r="R1658" s="658">
        <v>1</v>
      </c>
    </row>
    <row r="1659" spans="1:18" s="658" customFormat="1" ht="15" customHeight="1">
      <c r="A1659" s="657">
        <f>IF(B1659="",MAX($A$8:A1658)+0,MAX($A$8:A1658)+1)</f>
        <v>180</v>
      </c>
      <c r="B1659" s="835" t="str">
        <f>IF(C1659="","",COUNTA($C$10:C1660))</f>
        <v/>
      </c>
      <c r="C1659" s="362"/>
      <c r="D1659" s="845"/>
      <c r="E1659" s="852" t="s">
        <v>2033</v>
      </c>
      <c r="F1659" s="848" t="str">
        <f>VLOOKUP(E1659,DICH!B:C,2,FALSE)</f>
        <v xml:space="preserve">  C - Machine</v>
      </c>
      <c r="G1659" s="846"/>
      <c r="H1659" s="847"/>
      <c r="I1659" s="848"/>
      <c r="J1659" s="849">
        <f>SUM(J1660:J1662)</f>
        <v>9891015.7757280022</v>
      </c>
      <c r="K1659" s="850"/>
      <c r="L1659" s="850"/>
      <c r="M1659" s="850"/>
      <c r="N1659" s="843" t="e">
        <f>SUMIF(#REF!,'8.Dgia'!A1659,#REF!)+SUMIF(#REF!,'8.Dgia'!A1659,#REF!)+SUMIF(#REF!,'8.Dgia'!A1659,#REF!)+SUMIF(#REF!,'8.Dgia'!A1659,#REF!)</f>
        <v>#REF!</v>
      </c>
      <c r="O1659" s="844"/>
      <c r="P1659" s="843" t="e">
        <f t="shared" si="75"/>
        <v>#REF!</v>
      </c>
    </row>
    <row r="1660" spans="1:18" ht="15" customHeight="1">
      <c r="A1660" s="657">
        <f>IF(B1660="",MAX($A$8:A1659)+0,MAX($A$8:A1659)+1)</f>
        <v>180</v>
      </c>
      <c r="B1660" s="835" t="str">
        <f>IF(C1660="","",COUNTA($C$10:C1661))</f>
        <v/>
      </c>
      <c r="C1660" s="362"/>
      <c r="D1660" s="851"/>
      <c r="E1660" s="852" t="s">
        <v>1522</v>
      </c>
      <c r="F1660" s="848" t="str">
        <f>VLOOKUP(E1660,'9.may'!E:F,2,FALSE)</f>
        <v>vibrator hammer 170kW</v>
      </c>
      <c r="G1660" s="362" t="s">
        <v>4902</v>
      </c>
      <c r="H1660" s="847">
        <v>2.23</v>
      </c>
      <c r="I1660" s="848">
        <f>VLOOKUP(E1660,'9.may'!E:W,12,FALSE)</f>
        <v>1555755.72</v>
      </c>
      <c r="J1660" s="853">
        <f>I1660*H1660</f>
        <v>3469335.2555999998</v>
      </c>
      <c r="N1660" s="843" t="e">
        <f>SUMIF(#REF!,'8.Dgia'!A1660,#REF!)+SUMIF(#REF!,'8.Dgia'!A1660,#REF!)+SUMIF(#REF!,'8.Dgia'!A1660,#REF!)+SUMIF(#REF!,'8.Dgia'!A1660,#REF!)</f>
        <v>#REF!</v>
      </c>
      <c r="O1660" s="844">
        <f>+$H$1662</f>
        <v>3</v>
      </c>
      <c r="P1660" s="843" t="e">
        <f t="shared" si="75"/>
        <v>#REF!</v>
      </c>
    </row>
    <row r="1661" spans="1:18" ht="15" customHeight="1">
      <c r="A1661" s="657">
        <f>IF(B1661="",MAX($A$8:A1660)+0,MAX($A$8:A1660)+1)</f>
        <v>180</v>
      </c>
      <c r="B1661" s="835" t="str">
        <f>IF(C1661="","",COUNTA($C$10:C1662))</f>
        <v/>
      </c>
      <c r="C1661" s="362"/>
      <c r="D1661" s="851"/>
      <c r="E1661" s="852" t="s">
        <v>288</v>
      </c>
      <c r="F1661" s="848" t="str">
        <f>VLOOKUP(E1661,'9.may'!E:F,2,FALSE)</f>
        <v>caterpillar crane 25T</v>
      </c>
      <c r="G1661" s="362" t="s">
        <v>4902</v>
      </c>
      <c r="H1661" s="847">
        <v>2.2000000000000002</v>
      </c>
      <c r="I1661" s="848">
        <f>VLOOKUP(E1661,'9.may'!E:W,12,FALSE)</f>
        <v>2787996.6736363638</v>
      </c>
      <c r="J1661" s="853">
        <f>I1661*H1661</f>
        <v>6133592.682000001</v>
      </c>
      <c r="N1661" s="843" t="e">
        <f>SUMIF(#REF!,'8.Dgia'!A1661,#REF!)+SUMIF(#REF!,'8.Dgia'!A1661,#REF!)+SUMIF(#REF!,'8.Dgia'!A1661,#REF!)+SUMIF(#REF!,'8.Dgia'!A1661,#REF!)</f>
        <v>#REF!</v>
      </c>
      <c r="O1661" s="844">
        <f>+$H$1662</f>
        <v>3</v>
      </c>
      <c r="P1661" s="843" t="e">
        <f t="shared" si="75"/>
        <v>#REF!</v>
      </c>
    </row>
    <row r="1662" spans="1:18" ht="15" customHeight="1">
      <c r="A1662" s="657">
        <f>IF(B1662="",MAX($A$8:A1661)+0,MAX($A$8:A1661)+1)</f>
        <v>180</v>
      </c>
      <c r="B1662" s="835" t="str">
        <f>IF(C1662="","",COUNTA($C$10:C1663))</f>
        <v/>
      </c>
      <c r="C1662" s="362"/>
      <c r="D1662" s="851"/>
      <c r="E1662" s="852" t="s">
        <v>553</v>
      </c>
      <c r="F1662" s="848" t="str">
        <f>VLOOKUP(E1662,DICH!B:C,2,FALSE)</f>
        <v>Other machine</v>
      </c>
      <c r="G1662" s="362" t="s">
        <v>554</v>
      </c>
      <c r="H1662" s="847">
        <v>3</v>
      </c>
      <c r="I1662" s="848">
        <f>SUM(J1660:J1661)</f>
        <v>9602927.9376000017</v>
      </c>
      <c r="J1662" s="853">
        <f>I1662*H1662%</f>
        <v>288087.83812800003</v>
      </c>
      <c r="N1662" s="843" t="e">
        <f>SUMIF(#REF!,'8.Dgia'!A1662,#REF!)+SUMIF(#REF!,'8.Dgia'!A1662,#REF!)+SUMIF(#REF!,'8.Dgia'!A1662,#REF!)+SUMIF(#REF!,'8.Dgia'!A1662,#REF!)</f>
        <v>#REF!</v>
      </c>
      <c r="O1662" s="844"/>
      <c r="P1662" s="843" t="e">
        <f t="shared" si="75"/>
        <v>#REF!</v>
      </c>
    </row>
    <row r="1663" spans="1:18" ht="29.25" customHeight="1">
      <c r="A1663" s="657">
        <f>IF(B1663="",MAX($A$8:A1662)+0,MAX($A$8:A1662)+1)</f>
        <v>181</v>
      </c>
      <c r="B1663" s="835">
        <f>IF(C1663="","",COUNTA($C$10:C1664))</f>
        <v>181</v>
      </c>
      <c r="C1663" s="835">
        <f>IF(D1663="","",1776)</f>
        <v>1776</v>
      </c>
      <c r="D1663" s="851" t="s">
        <v>5090</v>
      </c>
      <c r="E1663" s="855" t="s">
        <v>5571</v>
      </c>
      <c r="F1663" s="1049" t="s">
        <v>5572</v>
      </c>
      <c r="G1663" s="856" t="s">
        <v>4644</v>
      </c>
      <c r="H1663" s="847"/>
      <c r="I1663" s="848"/>
      <c r="J1663" s="909"/>
      <c r="K1663" s="842">
        <f>+J1664</f>
        <v>3534397.251194241</v>
      </c>
      <c r="L1663" s="842">
        <f>+J1671</f>
        <v>5801565.5</v>
      </c>
      <c r="M1663" s="842">
        <f>+J1672</f>
        <v>1403916.4982045456</v>
      </c>
      <c r="N1663" s="843" t="e">
        <f>SUMIF(#REF!,'8.Dgia'!A1663,#REF!)+SUMIF(#REF!,'8.Dgia'!A1663,#REF!)+SUMIF(#REF!,'8.Dgia'!A1663,#REF!)+SUMIF(#REF!,'8.Dgia'!A1663,#REF!)</f>
        <v>#REF!</v>
      </c>
      <c r="O1663" s="844"/>
      <c r="P1663" s="843" t="e">
        <f t="shared" si="75"/>
        <v>#REF!</v>
      </c>
    </row>
    <row r="1664" spans="1:18" ht="15" customHeight="1">
      <c r="A1664" s="657">
        <f>IF(B1664="",MAX($A$8:A1663)+0,MAX($A$8:A1663)+1)</f>
        <v>181</v>
      </c>
      <c r="B1664" s="835" t="str">
        <f>IF(C1664="","",COUNTA($C$10:C1665))</f>
        <v/>
      </c>
      <c r="C1664" s="362"/>
      <c r="D1664" s="851"/>
      <c r="E1664" s="852" t="s">
        <v>2032</v>
      </c>
      <c r="F1664" s="848" t="str">
        <f>VLOOKUP(E1664,DICH!B:C,2,FALSE)</f>
        <v xml:space="preserve">  A - Material</v>
      </c>
      <c r="G1664" s="856"/>
      <c r="H1664" s="847"/>
      <c r="I1664" s="848"/>
      <c r="J1664" s="849">
        <f>SUM(J1665:J1670)</f>
        <v>3534397.251194241</v>
      </c>
      <c r="N1664" s="843" t="e">
        <f>SUMIF(#REF!,'8.Dgia'!A1664,#REF!)+SUMIF(#REF!,'8.Dgia'!A1664,#REF!)+SUMIF(#REF!,'8.Dgia'!A1664,#REF!)+SUMIF(#REF!,'8.Dgia'!A1664,#REF!)</f>
        <v>#REF!</v>
      </c>
      <c r="O1664" s="844"/>
      <c r="P1664" s="843" t="e">
        <f t="shared" si="75"/>
        <v>#REF!</v>
      </c>
    </row>
    <row r="1665" spans="1:18" ht="15" customHeight="1">
      <c r="A1665" s="657">
        <f>IF(B1665="",MAX($A$8:A1664)+0,MAX($A$8:A1664)+1)</f>
        <v>181</v>
      </c>
      <c r="B1665" s="835" t="str">
        <f>IF(C1665="","",COUNTA($C$10:C1666))</f>
        <v/>
      </c>
      <c r="C1665" s="362"/>
      <c r="D1665" s="851" t="s">
        <v>2255</v>
      </c>
      <c r="E1665" s="852" t="s">
        <v>563</v>
      </c>
      <c r="F1665" s="848" t="str">
        <f>VLOOKUP(E1665,DICH!B:C,2,FALSE)</f>
        <v>Shaped steel</v>
      </c>
      <c r="G1665" s="362" t="s">
        <v>622</v>
      </c>
      <c r="H1665" s="859">
        <f>625.39*(2%*6+7%)</f>
        <v>118.8241</v>
      </c>
      <c r="I1665" s="848">
        <f>VLOOKUP(E1665,'11.gia '!$B:$I,8,FALSE)</f>
        <v>16703.248369172808</v>
      </c>
      <c r="J1665" s="853">
        <f t="shared" ref="J1665:J1671" si="76">I1665*H1665</f>
        <v>1984748.4545434266</v>
      </c>
      <c r="N1665" s="843" t="e">
        <f>SUMIF(#REF!,'8.Dgia'!A1665,#REF!)+SUMIF(#REF!,'8.Dgia'!A1665,#REF!)+SUMIF(#REF!,'8.Dgia'!A1665,#REF!)+SUMIF(#REF!,'8.Dgia'!A1665,#REF!)</f>
        <v>#REF!</v>
      </c>
      <c r="O1665" s="844"/>
      <c r="P1665" s="843" t="e">
        <f t="shared" si="75"/>
        <v>#REF!</v>
      </c>
    </row>
    <row r="1666" spans="1:18" ht="15" customHeight="1">
      <c r="A1666" s="657">
        <f>IF(B1666="",MAX($A$8:A1665)+0,MAX($A$8:A1665)+1)</f>
        <v>181</v>
      </c>
      <c r="B1666" s="835" t="str">
        <f>IF(C1666="","",COUNTA($C$10:C1667))</f>
        <v/>
      </c>
      <c r="C1666" s="362"/>
      <c r="D1666" s="851" t="s">
        <v>2255</v>
      </c>
      <c r="E1666" s="852" t="s">
        <v>562</v>
      </c>
      <c r="F1666" s="848" t="str">
        <f>VLOOKUP(E1666,DICH!B:C,2,FALSE)</f>
        <v>Plate steel</v>
      </c>
      <c r="G1666" s="362" t="s">
        <v>558</v>
      </c>
      <c r="H1666" s="859">
        <f>316*(2%*6+7%)</f>
        <v>60.04</v>
      </c>
      <c r="I1666" s="848">
        <f>VLOOKUP(E1666,'11.gia '!$B:$I,8,FALSE)</f>
        <v>12871.348287272725</v>
      </c>
      <c r="J1666" s="853">
        <f t="shared" si="76"/>
        <v>772795.75116785441</v>
      </c>
      <c r="N1666" s="843" t="e">
        <f>SUMIF(#REF!,'8.Dgia'!A1666,#REF!)+SUMIF(#REF!,'8.Dgia'!A1666,#REF!)+SUMIF(#REF!,'8.Dgia'!A1666,#REF!)+SUMIF(#REF!,'8.Dgia'!A1666,#REF!)</f>
        <v>#REF!</v>
      </c>
      <c r="O1666" s="844"/>
      <c r="P1666" s="843" t="e">
        <f t="shared" si="75"/>
        <v>#REF!</v>
      </c>
    </row>
    <row r="1667" spans="1:18" ht="15" customHeight="1">
      <c r="A1667" s="657">
        <f>IF(B1667="",MAX($A$8:A1666)+0,MAX($A$8:A1666)+1)</f>
        <v>181</v>
      </c>
      <c r="B1667" s="835" t="str">
        <f>IF(C1667="","",COUNTA($C$10:C1668))</f>
        <v/>
      </c>
      <c r="C1667" s="362"/>
      <c r="D1667" s="851" t="s">
        <v>2255</v>
      </c>
      <c r="E1667" s="852" t="s">
        <v>371</v>
      </c>
      <c r="F1667" s="848" t="str">
        <f>VLOOKUP(E1667,DICH!B:C,2,FALSE)</f>
        <v>steel bar D&lt;=10</v>
      </c>
      <c r="G1667" s="362" t="s">
        <v>558</v>
      </c>
      <c r="H1667" s="859">
        <f>61.4*(2%*6+7%)</f>
        <v>11.666</v>
      </c>
      <c r="I1667" s="848">
        <f>VLOOKUP(E1667,'11.gia '!$B:$I,8,FALSE)</f>
        <v>16754.075560000001</v>
      </c>
      <c r="J1667" s="853">
        <f>I1667*H1667</f>
        <v>195453.04548296001</v>
      </c>
      <c r="N1667" s="843" t="e">
        <f>SUMIF(#REF!,'8.Dgia'!A1667,#REF!)+SUMIF(#REF!,'8.Dgia'!A1667,#REF!)+SUMIF(#REF!,'8.Dgia'!A1667,#REF!)+SUMIF(#REF!,'8.Dgia'!A1667,#REF!)</f>
        <v>#REF!</v>
      </c>
      <c r="O1667" s="844"/>
      <c r="P1667" s="843" t="e">
        <f t="shared" si="75"/>
        <v>#REF!</v>
      </c>
    </row>
    <row r="1668" spans="1:18" ht="15" customHeight="1">
      <c r="A1668" s="657">
        <f>IF(B1668="",MAX($A$8:A1667)+0,MAX($A$8:A1667)+1)</f>
        <v>181</v>
      </c>
      <c r="B1668" s="835" t="str">
        <f>IF(C1668="","",COUNTA($C$10:C1669))</f>
        <v/>
      </c>
      <c r="C1668" s="362"/>
      <c r="D1668" s="851"/>
      <c r="E1668" s="852" t="s">
        <v>559</v>
      </c>
      <c r="F1668" s="848" t="str">
        <f>VLOOKUP(E1668,DICH!B:C,2,FALSE)</f>
        <v>welding electrode</v>
      </c>
      <c r="G1668" s="362" t="s">
        <v>558</v>
      </c>
      <c r="H1668" s="847">
        <v>22.66</v>
      </c>
      <c r="I1668" s="848">
        <f>VLOOKUP(E1668,'11.gia '!$B:$I,8,FALSE)</f>
        <v>19090.909090909088</v>
      </c>
      <c r="J1668" s="853">
        <f t="shared" si="76"/>
        <v>432599.99999999994</v>
      </c>
      <c r="N1668" s="843" t="e">
        <f>SUMIF(#REF!,'8.Dgia'!A1668,#REF!)+SUMIF(#REF!,'8.Dgia'!A1668,#REF!)+SUMIF(#REF!,'8.Dgia'!A1668,#REF!)+SUMIF(#REF!,'8.Dgia'!A1668,#REF!)</f>
        <v>#REF!</v>
      </c>
      <c r="O1668" s="844"/>
      <c r="P1668" s="843" t="e">
        <f t="shared" si="75"/>
        <v>#REF!</v>
      </c>
    </row>
    <row r="1669" spans="1:18" ht="15" customHeight="1">
      <c r="A1669" s="657">
        <f>IF(B1669="",MAX($A$8:A1668)+0,MAX($A$8:A1668)+1)</f>
        <v>181</v>
      </c>
      <c r="B1669" s="835" t="str">
        <f>IF(C1669="","",COUNTA($C$10:C1670))</f>
        <v/>
      </c>
      <c r="C1669" s="362"/>
      <c r="D1669" s="851"/>
      <c r="E1669" s="852" t="s">
        <v>564</v>
      </c>
      <c r="F1669" s="848" t="str">
        <f>VLOOKUP(E1669,DICH!B:C,2,FALSE)</f>
        <v>oxygen</v>
      </c>
      <c r="G1669" s="362" t="s">
        <v>4647</v>
      </c>
      <c r="H1669" s="847">
        <v>1.7</v>
      </c>
      <c r="I1669" s="848">
        <f>VLOOKUP(E1669,'11.gia '!$B:$I,8,FALSE)</f>
        <v>48000</v>
      </c>
      <c r="J1669" s="853">
        <f t="shared" si="76"/>
        <v>81600</v>
      </c>
      <c r="N1669" s="843" t="e">
        <f>SUMIF(#REF!,'8.Dgia'!A1669,#REF!)+SUMIF(#REF!,'8.Dgia'!A1669,#REF!)+SUMIF(#REF!,'8.Dgia'!A1669,#REF!)+SUMIF(#REF!,'8.Dgia'!A1669,#REF!)</f>
        <v>#REF!</v>
      </c>
      <c r="O1669" s="844"/>
      <c r="P1669" s="843" t="e">
        <f t="shared" si="75"/>
        <v>#REF!</v>
      </c>
    </row>
    <row r="1670" spans="1:18" ht="15" customHeight="1">
      <c r="A1670" s="657">
        <f>IF(B1670="",MAX($A$8:A1669)+0,MAX($A$8:A1669)+1)</f>
        <v>181</v>
      </c>
      <c r="B1670" s="835" t="str">
        <f>IF(C1670="","",COUNTA($C$10:C1671))</f>
        <v/>
      </c>
      <c r="C1670" s="362"/>
      <c r="D1670" s="851"/>
      <c r="E1670" s="852" t="s">
        <v>566</v>
      </c>
      <c r="F1670" s="848" t="str">
        <f>VLOOKUP(E1670,DICH!B:C,2,FALSE)</f>
        <v>Calcium carbide</v>
      </c>
      <c r="G1670" s="362" t="s">
        <v>558</v>
      </c>
      <c r="H1670" s="847">
        <v>4.8</v>
      </c>
      <c r="I1670" s="848">
        <f>VLOOKUP(E1670,'11.gia '!$B:$I,8,FALSE)</f>
        <v>14000</v>
      </c>
      <c r="J1670" s="853">
        <f t="shared" si="76"/>
        <v>67200</v>
      </c>
      <c r="N1670" s="843" t="e">
        <f>SUMIF(#REF!,'8.Dgia'!A1670,#REF!)+SUMIF(#REF!,'8.Dgia'!A1670,#REF!)+SUMIF(#REF!,'8.Dgia'!A1670,#REF!)+SUMIF(#REF!,'8.Dgia'!A1670,#REF!)</f>
        <v>#REF!</v>
      </c>
      <c r="O1670" s="844"/>
      <c r="P1670" s="843" t="e">
        <f t="shared" si="75"/>
        <v>#REF!</v>
      </c>
    </row>
    <row r="1671" spans="1:18" ht="15" customHeight="1">
      <c r="A1671" s="657">
        <f>IF(B1671="",MAX($A$8:A1670)+0,MAX($A$8:A1670)+1)</f>
        <v>181</v>
      </c>
      <c r="B1671" s="835" t="str">
        <f>IF(C1671="","",COUNTA($C$10:C1672))</f>
        <v/>
      </c>
      <c r="C1671" s="362"/>
      <c r="D1671" s="851"/>
      <c r="E1671" s="852" t="s">
        <v>2039</v>
      </c>
      <c r="F1671" s="848" t="str">
        <f>VLOOKUP(E1671,DICH!B:C,2,FALSE)</f>
        <v xml:space="preserve">  B - Labour 4.0/7</v>
      </c>
      <c r="G1671" s="362" t="s">
        <v>4899</v>
      </c>
      <c r="H1671" s="847">
        <v>26.5</v>
      </c>
      <c r="I1671" s="848">
        <f>VLOOKUP(E1671,'16.NC'!$C$11:$F$22,4,FALSE)</f>
        <v>218927</v>
      </c>
      <c r="J1671" s="849">
        <f t="shared" si="76"/>
        <v>5801565.5</v>
      </c>
      <c r="N1671" s="843" t="e">
        <f>SUMIF(#REF!,'8.Dgia'!A1671,#REF!)+SUMIF(#REF!,'8.Dgia'!A1671,#REF!)+SUMIF(#REF!,'8.Dgia'!A1671,#REF!)+SUMIF(#REF!,'8.Dgia'!A1671,#REF!)</f>
        <v>#REF!</v>
      </c>
      <c r="O1671" s="844"/>
      <c r="P1671" s="843" t="e">
        <f t="shared" si="75"/>
        <v>#REF!</v>
      </c>
      <c r="R1671" s="658">
        <v>1</v>
      </c>
    </row>
    <row r="1672" spans="1:18" ht="15" customHeight="1">
      <c r="A1672" s="657">
        <f>IF(B1672="",MAX($A$8:A1671)+0,MAX($A$8:A1671)+1)</f>
        <v>181</v>
      </c>
      <c r="B1672" s="835" t="str">
        <f>IF(C1672="","",COUNTA($C$10:C1673))</f>
        <v/>
      </c>
      <c r="C1672" s="362"/>
      <c r="D1672" s="851"/>
      <c r="E1672" s="852" t="s">
        <v>2033</v>
      </c>
      <c r="F1672" s="848" t="str">
        <f>VLOOKUP(E1672,DICH!B:C,2,FALSE)</f>
        <v xml:space="preserve">  C - Machine</v>
      </c>
      <c r="G1672" s="362"/>
      <c r="H1672" s="847"/>
      <c r="I1672" s="848"/>
      <c r="J1672" s="849">
        <f>SUM(J1673:J1675)</f>
        <v>1403916.4982045456</v>
      </c>
      <c r="N1672" s="843" t="e">
        <f>SUMIF(#REF!,'8.Dgia'!A1672,#REF!)+SUMIF(#REF!,'8.Dgia'!A1672,#REF!)+SUMIF(#REF!,'8.Dgia'!A1672,#REF!)+SUMIF(#REF!,'8.Dgia'!A1672,#REF!)</f>
        <v>#REF!</v>
      </c>
      <c r="O1672" s="844"/>
      <c r="P1672" s="843" t="e">
        <f t="shared" si="75"/>
        <v>#REF!</v>
      </c>
    </row>
    <row r="1673" spans="1:18" ht="15" customHeight="1">
      <c r="A1673" s="657">
        <f>IF(B1673="",MAX($A$8:A1672)+0,MAX($A$8:A1672)+1)</f>
        <v>181</v>
      </c>
      <c r="B1673" s="835" t="str">
        <f>IF(C1673="","",COUNTA($C$10:C1674))</f>
        <v/>
      </c>
      <c r="C1673" s="362"/>
      <c r="D1673" s="851"/>
      <c r="E1673" s="852" t="s">
        <v>560</v>
      </c>
      <c r="F1673" s="848" t="str">
        <f>VLOOKUP(E1673,'9.may'!E:F,2,FALSE)</f>
        <v>welding machine 23kW</v>
      </c>
      <c r="G1673" s="362" t="s">
        <v>4902</v>
      </c>
      <c r="H1673" s="847">
        <v>4.25</v>
      </c>
      <c r="I1673" s="848">
        <f>VLOOKUP(E1673,'9.may'!E:W,12,FALSE)</f>
        <v>171649.155</v>
      </c>
      <c r="J1673" s="853">
        <f>I1673*H1673</f>
        <v>729508.90874999994</v>
      </c>
      <c r="N1673" s="843" t="e">
        <f>SUMIF(#REF!,'8.Dgia'!A1673,#REF!)+SUMIF(#REF!,'8.Dgia'!A1673,#REF!)+SUMIF(#REF!,'8.Dgia'!A1673,#REF!)+SUMIF(#REF!,'8.Dgia'!A1673,#REF!)</f>
        <v>#REF!</v>
      </c>
      <c r="O1673" s="844"/>
      <c r="P1673" s="843" t="e">
        <f t="shared" si="75"/>
        <v>#REF!</v>
      </c>
    </row>
    <row r="1674" spans="1:18" ht="15" customHeight="1">
      <c r="A1674" s="657">
        <f>IF(B1674="",MAX($A$8:A1673)+0,MAX($A$8:A1673)+1)</f>
        <v>181</v>
      </c>
      <c r="B1674" s="835" t="str">
        <f>IF(C1674="","",COUNTA($C$10:C1675))</f>
        <v/>
      </c>
      <c r="C1674" s="362"/>
      <c r="D1674" s="851"/>
      <c r="E1674" s="852" t="s">
        <v>1417</v>
      </c>
      <c r="F1674" s="848" t="str">
        <f>VLOOKUP(E1674,'9.may'!E:F,2,FALSE)</f>
        <v>Cutting machine 15Kw</v>
      </c>
      <c r="G1674" s="362" t="s">
        <v>4902</v>
      </c>
      <c r="H1674" s="847">
        <f>0.4</f>
        <v>0.4</v>
      </c>
      <c r="I1674" s="848">
        <f>VLOOKUP(E1674,'9.may'!E:W,12,FALSE)</f>
        <v>204698.78999999998</v>
      </c>
      <c r="J1674" s="853">
        <f>I1674*H1674</f>
        <v>81879.516000000003</v>
      </c>
      <c r="N1674" s="843" t="e">
        <f>SUMIF(#REF!,'8.Dgia'!A1674,#REF!)+SUMIF(#REF!,'8.Dgia'!A1674,#REF!)+SUMIF(#REF!,'8.Dgia'!A1674,#REF!)+SUMIF(#REF!,'8.Dgia'!A1674,#REF!)</f>
        <v>#REF!</v>
      </c>
      <c r="O1674" s="844"/>
      <c r="P1674" s="843" t="e">
        <f t="shared" si="75"/>
        <v>#REF!</v>
      </c>
    </row>
    <row r="1675" spans="1:18" ht="15" customHeight="1">
      <c r="A1675" s="657">
        <f>IF(B1675="",MAX($A$8:A1674)+0,MAX($A$8:A1674)+1)</f>
        <v>181</v>
      </c>
      <c r="B1675" s="835" t="str">
        <f>IF(C1675="","",COUNTA($C$10:C1676))</f>
        <v/>
      </c>
      <c r="C1675" s="362"/>
      <c r="D1675" s="851"/>
      <c r="E1675" s="852" t="s">
        <v>1038</v>
      </c>
      <c r="F1675" s="848" t="str">
        <f>VLOOKUP(E1675,'9.may'!E:F,2,FALSE)</f>
        <v>caterpillar crane 10T/ crawler crane 10T</v>
      </c>
      <c r="G1675" s="362" t="s">
        <v>4902</v>
      </c>
      <c r="H1675" s="847">
        <v>0.4</v>
      </c>
      <c r="I1675" s="848">
        <f>VLOOKUP(E1675,'9.may'!E:W,12,FALSE)</f>
        <v>1481320.1836363636</v>
      </c>
      <c r="J1675" s="853">
        <f>I1675*H1675</f>
        <v>592528.07345454546</v>
      </c>
      <c r="N1675" s="843" t="e">
        <f>SUMIF(#REF!,'8.Dgia'!A1675,#REF!)+SUMIF(#REF!,'8.Dgia'!A1675,#REF!)+SUMIF(#REF!,'8.Dgia'!A1675,#REF!)+SUMIF(#REF!,'8.Dgia'!A1675,#REF!)</f>
        <v>#REF!</v>
      </c>
      <c r="O1675" s="844"/>
      <c r="P1675" s="843" t="e">
        <f t="shared" si="75"/>
        <v>#REF!</v>
      </c>
    </row>
    <row r="1676" spans="1:18" ht="29.25" customHeight="1">
      <c r="A1676" s="657">
        <f>IF(B1676="",MAX($A$8:A1675)+0,MAX($A$8:A1675)+1)</f>
        <v>182</v>
      </c>
      <c r="B1676" s="835">
        <f>IF(C1676="","",COUNTA($C$10:C1677))</f>
        <v>182</v>
      </c>
      <c r="C1676" s="835">
        <f>IF(D1676="","",1776)</f>
        <v>1776</v>
      </c>
      <c r="D1676" s="851" t="s">
        <v>5090</v>
      </c>
      <c r="E1676" s="855" t="s">
        <v>5155</v>
      </c>
      <c r="F1676" s="1049" t="str">
        <f>VLOOKUP(E1676,DICH!B:C,2,FALSE)</f>
        <v>Brace for pier P2, P5 (amor main material=2%/month*1 months+7%)</v>
      </c>
      <c r="G1676" s="856" t="s">
        <v>4644</v>
      </c>
      <c r="H1676" s="847"/>
      <c r="I1676" s="848"/>
      <c r="J1676" s="909"/>
      <c r="K1676" s="842">
        <f>+J1677</f>
        <v>1980188.1716183249</v>
      </c>
      <c r="L1676" s="842">
        <f>+J1684</f>
        <v>5801565.5</v>
      </c>
      <c r="M1676" s="842">
        <f>+J1685</f>
        <v>1403916.4982045456</v>
      </c>
      <c r="N1676" s="843" t="e">
        <f>SUMIF(#REF!,'8.Dgia'!A1676,#REF!)+SUMIF(#REF!,'8.Dgia'!A1676,#REF!)+SUMIF(#REF!,'8.Dgia'!A1676,#REF!)+SUMIF(#REF!,'8.Dgia'!A1676,#REF!)</f>
        <v>#REF!</v>
      </c>
      <c r="O1676" s="844"/>
      <c r="P1676" s="843" t="e">
        <f t="shared" ref="P1676:P1688" si="77">$H1676*N1676*(1+O1676%)</f>
        <v>#REF!</v>
      </c>
    </row>
    <row r="1677" spans="1:18" ht="15" customHeight="1">
      <c r="A1677" s="657">
        <f>IF(B1677="",MAX($A$8:A1676)+0,MAX($A$8:A1676)+1)</f>
        <v>182</v>
      </c>
      <c r="B1677" s="835" t="str">
        <f>IF(C1677="","",COUNTA($C$10:C1678))</f>
        <v/>
      </c>
      <c r="C1677" s="362"/>
      <c r="D1677" s="851"/>
      <c r="E1677" s="852" t="s">
        <v>2032</v>
      </c>
      <c r="F1677" s="848" t="str">
        <f>VLOOKUP(E1677,DICH!B:C,2,FALSE)</f>
        <v xml:space="preserve">  A - Material</v>
      </c>
      <c r="G1677" s="856"/>
      <c r="H1677" s="847"/>
      <c r="I1677" s="848"/>
      <c r="J1677" s="849">
        <f>SUM(J1678:J1683)</f>
        <v>1980188.1716183249</v>
      </c>
      <c r="N1677" s="843" t="e">
        <f>SUMIF(#REF!,'8.Dgia'!A1677,#REF!)+SUMIF(#REF!,'8.Dgia'!A1677,#REF!)+SUMIF(#REF!,'8.Dgia'!A1677,#REF!)+SUMIF(#REF!,'8.Dgia'!A1677,#REF!)</f>
        <v>#REF!</v>
      </c>
      <c r="O1677" s="844"/>
      <c r="P1677" s="843" t="e">
        <f t="shared" si="77"/>
        <v>#REF!</v>
      </c>
    </row>
    <row r="1678" spans="1:18" ht="15" customHeight="1">
      <c r="A1678" s="657">
        <f>IF(B1678="",MAX($A$8:A1677)+0,MAX($A$8:A1677)+1)</f>
        <v>182</v>
      </c>
      <c r="B1678" s="835" t="str">
        <f>IF(C1678="","",COUNTA($C$10:C1679))</f>
        <v/>
      </c>
      <c r="C1678" s="362"/>
      <c r="D1678" s="851" t="s">
        <v>2255</v>
      </c>
      <c r="E1678" s="852" t="s">
        <v>563</v>
      </c>
      <c r="F1678" s="848" t="str">
        <f>VLOOKUP(E1678,DICH!B:C,2,FALSE)</f>
        <v>Shaped steel</v>
      </c>
      <c r="G1678" s="362" t="s">
        <v>622</v>
      </c>
      <c r="H1678" s="859">
        <f>625.39*(2%*1+7%)</f>
        <v>56.285100000000007</v>
      </c>
      <c r="I1678" s="848">
        <f>VLOOKUP(E1678,'11.gia '!$B:$I,8,FALSE)</f>
        <v>16703.248369172808</v>
      </c>
      <c r="J1678" s="853">
        <f t="shared" ref="J1678:J1684" si="78">I1678*H1678</f>
        <v>940144.00478372851</v>
      </c>
      <c r="N1678" s="843" t="e">
        <f>SUMIF(#REF!,'8.Dgia'!A1678,#REF!)+SUMIF(#REF!,'8.Dgia'!A1678,#REF!)+SUMIF(#REF!,'8.Dgia'!A1678,#REF!)+SUMIF(#REF!,'8.Dgia'!A1678,#REF!)</f>
        <v>#REF!</v>
      </c>
      <c r="O1678" s="844"/>
      <c r="P1678" s="843" t="e">
        <f t="shared" si="77"/>
        <v>#REF!</v>
      </c>
    </row>
    <row r="1679" spans="1:18" ht="15" customHeight="1">
      <c r="A1679" s="657">
        <f>IF(B1679="",MAX($A$8:A1678)+0,MAX($A$8:A1678)+1)</f>
        <v>182</v>
      </c>
      <c r="B1679" s="835" t="str">
        <f>IF(C1679="","",COUNTA($C$10:C1680))</f>
        <v/>
      </c>
      <c r="C1679" s="362"/>
      <c r="D1679" s="851" t="s">
        <v>2255</v>
      </c>
      <c r="E1679" s="852" t="s">
        <v>562</v>
      </c>
      <c r="F1679" s="848" t="str">
        <f>VLOOKUP(E1679,DICH!B:C,2,FALSE)</f>
        <v>Plate steel</v>
      </c>
      <c r="G1679" s="362" t="s">
        <v>558</v>
      </c>
      <c r="H1679" s="859">
        <f>316*(2%*1+7%)</f>
        <v>28.440000000000005</v>
      </c>
      <c r="I1679" s="848">
        <f>VLOOKUP(E1679,'11.gia '!$B:$I,8,FALSE)</f>
        <v>12871.348287272725</v>
      </c>
      <c r="J1679" s="853">
        <f t="shared" si="78"/>
        <v>366061.14529003639</v>
      </c>
      <c r="N1679" s="843" t="e">
        <f>SUMIF(#REF!,'8.Dgia'!A1679,#REF!)+SUMIF(#REF!,'8.Dgia'!A1679,#REF!)+SUMIF(#REF!,'8.Dgia'!A1679,#REF!)+SUMIF(#REF!,'8.Dgia'!A1679,#REF!)</f>
        <v>#REF!</v>
      </c>
      <c r="O1679" s="844"/>
      <c r="P1679" s="843" t="e">
        <f t="shared" si="77"/>
        <v>#REF!</v>
      </c>
    </row>
    <row r="1680" spans="1:18" ht="15" customHeight="1">
      <c r="A1680" s="657">
        <f>IF(B1680="",MAX($A$8:A1679)+0,MAX($A$8:A1679)+1)</f>
        <v>182</v>
      </c>
      <c r="B1680" s="835" t="str">
        <f>IF(C1680="","",COUNTA($C$10:C1681))</f>
        <v/>
      </c>
      <c r="C1680" s="362"/>
      <c r="D1680" s="851" t="s">
        <v>2255</v>
      </c>
      <c r="E1680" s="852" t="s">
        <v>371</v>
      </c>
      <c r="F1680" s="848" t="str">
        <f>VLOOKUP(E1680,DICH!B:C,2,FALSE)</f>
        <v>steel bar D&lt;=10</v>
      </c>
      <c r="G1680" s="362" t="s">
        <v>558</v>
      </c>
      <c r="H1680" s="859">
        <f>61.4*(2%*1+7%)</f>
        <v>5.5260000000000007</v>
      </c>
      <c r="I1680" s="848">
        <f>VLOOKUP(E1680,'11.gia '!$B:$I,8,FALSE)</f>
        <v>16754.075560000001</v>
      </c>
      <c r="J1680" s="853">
        <f t="shared" si="78"/>
        <v>92583.021544560019</v>
      </c>
      <c r="N1680" s="843" t="e">
        <f>SUMIF(#REF!,'8.Dgia'!A1680,#REF!)+SUMIF(#REF!,'8.Dgia'!A1680,#REF!)+SUMIF(#REF!,'8.Dgia'!A1680,#REF!)+SUMIF(#REF!,'8.Dgia'!A1680,#REF!)</f>
        <v>#REF!</v>
      </c>
      <c r="O1680" s="844"/>
      <c r="P1680" s="843" t="e">
        <f t="shared" si="77"/>
        <v>#REF!</v>
      </c>
    </row>
    <row r="1681" spans="1:18" ht="15" customHeight="1">
      <c r="A1681" s="657">
        <f>IF(B1681="",MAX($A$8:A1680)+0,MAX($A$8:A1680)+1)</f>
        <v>182</v>
      </c>
      <c r="B1681" s="835" t="str">
        <f>IF(C1681="","",COUNTA($C$10:C1682))</f>
        <v/>
      </c>
      <c r="C1681" s="362"/>
      <c r="D1681" s="851"/>
      <c r="E1681" s="852" t="s">
        <v>559</v>
      </c>
      <c r="F1681" s="848" t="str">
        <f>VLOOKUP(E1681,DICH!B:C,2,FALSE)</f>
        <v>welding electrode</v>
      </c>
      <c r="G1681" s="362" t="s">
        <v>558</v>
      </c>
      <c r="H1681" s="847">
        <v>22.66</v>
      </c>
      <c r="I1681" s="848">
        <f>VLOOKUP(E1681,'11.gia '!$B:$I,8,FALSE)</f>
        <v>19090.909090909088</v>
      </c>
      <c r="J1681" s="853">
        <f t="shared" si="78"/>
        <v>432599.99999999994</v>
      </c>
      <c r="N1681" s="843" t="e">
        <f>SUMIF(#REF!,'8.Dgia'!A1681,#REF!)+SUMIF(#REF!,'8.Dgia'!A1681,#REF!)+SUMIF(#REF!,'8.Dgia'!A1681,#REF!)+SUMIF(#REF!,'8.Dgia'!A1681,#REF!)</f>
        <v>#REF!</v>
      </c>
      <c r="O1681" s="844"/>
      <c r="P1681" s="843" t="e">
        <f t="shared" si="77"/>
        <v>#REF!</v>
      </c>
    </row>
    <row r="1682" spans="1:18" ht="15" customHeight="1">
      <c r="A1682" s="657">
        <f>IF(B1682="",MAX($A$8:A1681)+0,MAX($A$8:A1681)+1)</f>
        <v>182</v>
      </c>
      <c r="B1682" s="835" t="str">
        <f>IF(C1682="","",COUNTA($C$10:C1683))</f>
        <v/>
      </c>
      <c r="C1682" s="362"/>
      <c r="D1682" s="851"/>
      <c r="E1682" s="852" t="s">
        <v>564</v>
      </c>
      <c r="F1682" s="848" t="str">
        <f>VLOOKUP(E1682,DICH!B:C,2,FALSE)</f>
        <v>oxygen</v>
      </c>
      <c r="G1682" s="362" t="s">
        <v>4647</v>
      </c>
      <c r="H1682" s="847">
        <v>1.7</v>
      </c>
      <c r="I1682" s="848">
        <f>VLOOKUP(E1682,'11.gia '!$B:$I,8,FALSE)</f>
        <v>48000</v>
      </c>
      <c r="J1682" s="853">
        <f t="shared" si="78"/>
        <v>81600</v>
      </c>
      <c r="N1682" s="843" t="e">
        <f>SUMIF(#REF!,'8.Dgia'!A1682,#REF!)+SUMIF(#REF!,'8.Dgia'!A1682,#REF!)+SUMIF(#REF!,'8.Dgia'!A1682,#REF!)+SUMIF(#REF!,'8.Dgia'!A1682,#REF!)</f>
        <v>#REF!</v>
      </c>
      <c r="O1682" s="844"/>
      <c r="P1682" s="843" t="e">
        <f t="shared" si="77"/>
        <v>#REF!</v>
      </c>
    </row>
    <row r="1683" spans="1:18" ht="15" customHeight="1">
      <c r="A1683" s="657">
        <f>IF(B1683="",MAX($A$8:A1682)+0,MAX($A$8:A1682)+1)</f>
        <v>182</v>
      </c>
      <c r="B1683" s="835" t="str">
        <f>IF(C1683="","",COUNTA($C$10:C1684))</f>
        <v/>
      </c>
      <c r="C1683" s="362"/>
      <c r="D1683" s="851"/>
      <c r="E1683" s="852" t="s">
        <v>566</v>
      </c>
      <c r="F1683" s="848" t="str">
        <f>VLOOKUP(E1683,DICH!B:C,2,FALSE)</f>
        <v>Calcium carbide</v>
      </c>
      <c r="G1683" s="362" t="s">
        <v>558</v>
      </c>
      <c r="H1683" s="847">
        <v>4.8</v>
      </c>
      <c r="I1683" s="848">
        <f>VLOOKUP(E1683,'11.gia '!$B:$I,8,FALSE)</f>
        <v>14000</v>
      </c>
      <c r="J1683" s="853">
        <f t="shared" si="78"/>
        <v>67200</v>
      </c>
      <c r="N1683" s="843" t="e">
        <f>SUMIF(#REF!,'8.Dgia'!A1683,#REF!)+SUMIF(#REF!,'8.Dgia'!A1683,#REF!)+SUMIF(#REF!,'8.Dgia'!A1683,#REF!)+SUMIF(#REF!,'8.Dgia'!A1683,#REF!)</f>
        <v>#REF!</v>
      </c>
      <c r="O1683" s="844"/>
      <c r="P1683" s="843" t="e">
        <f t="shared" si="77"/>
        <v>#REF!</v>
      </c>
    </row>
    <row r="1684" spans="1:18" ht="15" customHeight="1">
      <c r="A1684" s="657">
        <f>IF(B1684="",MAX($A$8:A1683)+0,MAX($A$8:A1683)+1)</f>
        <v>182</v>
      </c>
      <c r="B1684" s="835" t="str">
        <f>IF(C1684="","",COUNTA($C$10:C1685))</f>
        <v/>
      </c>
      <c r="C1684" s="362"/>
      <c r="D1684" s="851"/>
      <c r="E1684" s="852" t="s">
        <v>2039</v>
      </c>
      <c r="F1684" s="848" t="str">
        <f>VLOOKUP(E1684,DICH!B:C,2,FALSE)</f>
        <v xml:space="preserve">  B - Labour 4.0/7</v>
      </c>
      <c r="G1684" s="362" t="s">
        <v>4899</v>
      </c>
      <c r="H1684" s="847">
        <v>26.5</v>
      </c>
      <c r="I1684" s="848">
        <f>VLOOKUP(E1684,'16.NC'!$C$11:$F$22,4,FALSE)</f>
        <v>218927</v>
      </c>
      <c r="J1684" s="849">
        <f t="shared" si="78"/>
        <v>5801565.5</v>
      </c>
      <c r="N1684" s="843" t="e">
        <f>SUMIF(#REF!,'8.Dgia'!A1684,#REF!)+SUMIF(#REF!,'8.Dgia'!A1684,#REF!)+SUMIF(#REF!,'8.Dgia'!A1684,#REF!)+SUMIF(#REF!,'8.Dgia'!A1684,#REF!)</f>
        <v>#REF!</v>
      </c>
      <c r="O1684" s="844"/>
      <c r="P1684" s="843" t="e">
        <f t="shared" si="77"/>
        <v>#REF!</v>
      </c>
      <c r="R1684" s="658">
        <v>1</v>
      </c>
    </row>
    <row r="1685" spans="1:18" ht="15" customHeight="1">
      <c r="A1685" s="657">
        <f>IF(B1685="",MAX($A$8:A1684)+0,MAX($A$8:A1684)+1)</f>
        <v>182</v>
      </c>
      <c r="B1685" s="835" t="str">
        <f>IF(C1685="","",COUNTA($C$10:C1686))</f>
        <v/>
      </c>
      <c r="C1685" s="362"/>
      <c r="D1685" s="851"/>
      <c r="E1685" s="852" t="s">
        <v>2033</v>
      </c>
      <c r="F1685" s="848" t="str">
        <f>VLOOKUP(E1685,DICH!B:C,2,FALSE)</f>
        <v xml:space="preserve">  C - Machine</v>
      </c>
      <c r="G1685" s="362"/>
      <c r="H1685" s="847"/>
      <c r="I1685" s="848"/>
      <c r="J1685" s="849">
        <f>SUM(J1686:J1688)</f>
        <v>1403916.4982045456</v>
      </c>
      <c r="N1685" s="843" t="e">
        <f>SUMIF(#REF!,'8.Dgia'!A1685,#REF!)+SUMIF(#REF!,'8.Dgia'!A1685,#REF!)+SUMIF(#REF!,'8.Dgia'!A1685,#REF!)+SUMIF(#REF!,'8.Dgia'!A1685,#REF!)</f>
        <v>#REF!</v>
      </c>
      <c r="O1685" s="844"/>
      <c r="P1685" s="843" t="e">
        <f t="shared" si="77"/>
        <v>#REF!</v>
      </c>
    </row>
    <row r="1686" spans="1:18" ht="15" customHeight="1">
      <c r="A1686" s="657">
        <f>IF(B1686="",MAX($A$8:A1685)+0,MAX($A$8:A1685)+1)</f>
        <v>182</v>
      </c>
      <c r="B1686" s="835" t="str">
        <f>IF(C1686="","",COUNTA($C$10:C1687))</f>
        <v/>
      </c>
      <c r="C1686" s="362"/>
      <c r="D1686" s="851"/>
      <c r="E1686" s="852" t="s">
        <v>560</v>
      </c>
      <c r="F1686" s="848" t="str">
        <f>VLOOKUP(E1686,'9.may'!E:F,2,FALSE)</f>
        <v>welding machine 23kW</v>
      </c>
      <c r="G1686" s="362" t="s">
        <v>4902</v>
      </c>
      <c r="H1686" s="847">
        <v>4.25</v>
      </c>
      <c r="I1686" s="848">
        <f>VLOOKUP(E1686,'9.may'!E:W,12,FALSE)</f>
        <v>171649.155</v>
      </c>
      <c r="J1686" s="853">
        <f>I1686*H1686</f>
        <v>729508.90874999994</v>
      </c>
      <c r="N1686" s="843" t="e">
        <f>SUMIF(#REF!,'8.Dgia'!A1686,#REF!)+SUMIF(#REF!,'8.Dgia'!A1686,#REF!)+SUMIF(#REF!,'8.Dgia'!A1686,#REF!)+SUMIF(#REF!,'8.Dgia'!A1686,#REF!)</f>
        <v>#REF!</v>
      </c>
      <c r="O1686" s="844"/>
      <c r="P1686" s="843" t="e">
        <f t="shared" si="77"/>
        <v>#REF!</v>
      </c>
    </row>
    <row r="1687" spans="1:18" ht="15" customHeight="1">
      <c r="A1687" s="657">
        <f>IF(B1687="",MAX($A$8:A1686)+0,MAX($A$8:A1686)+1)</f>
        <v>182</v>
      </c>
      <c r="B1687" s="835" t="str">
        <f>IF(C1687="","",COUNTA($C$10:C1688))</f>
        <v/>
      </c>
      <c r="C1687" s="362"/>
      <c r="D1687" s="851"/>
      <c r="E1687" s="852" t="s">
        <v>1417</v>
      </c>
      <c r="F1687" s="848" t="str">
        <f>VLOOKUP(E1687,'9.may'!E:F,2,FALSE)</f>
        <v>Cutting machine 15Kw</v>
      </c>
      <c r="G1687" s="362" t="s">
        <v>4902</v>
      </c>
      <c r="H1687" s="847">
        <f>0.4</f>
        <v>0.4</v>
      </c>
      <c r="I1687" s="848">
        <f>VLOOKUP(E1687,'9.may'!E:W,12,FALSE)</f>
        <v>204698.78999999998</v>
      </c>
      <c r="J1687" s="853">
        <f>I1687*H1687</f>
        <v>81879.516000000003</v>
      </c>
      <c r="N1687" s="843" t="e">
        <f>SUMIF(#REF!,'8.Dgia'!A1687,#REF!)+SUMIF(#REF!,'8.Dgia'!A1687,#REF!)+SUMIF(#REF!,'8.Dgia'!A1687,#REF!)+SUMIF(#REF!,'8.Dgia'!A1687,#REF!)</f>
        <v>#REF!</v>
      </c>
      <c r="O1687" s="844"/>
      <c r="P1687" s="843" t="e">
        <f t="shared" si="77"/>
        <v>#REF!</v>
      </c>
    </row>
    <row r="1688" spans="1:18" ht="15" customHeight="1">
      <c r="A1688" s="657">
        <f>IF(B1688="",MAX($A$8:A1687)+0,MAX($A$8:A1687)+1)</f>
        <v>182</v>
      </c>
      <c r="B1688" s="835" t="str">
        <f>IF(C1688="","",COUNTA($C$10:C1689))</f>
        <v/>
      </c>
      <c r="C1688" s="362"/>
      <c r="D1688" s="851"/>
      <c r="E1688" s="852" t="s">
        <v>1038</v>
      </c>
      <c r="F1688" s="848" t="str">
        <f>VLOOKUP(E1688,'9.may'!E:F,2,FALSE)</f>
        <v>caterpillar crane 10T/ crawler crane 10T</v>
      </c>
      <c r="G1688" s="362" t="s">
        <v>4902</v>
      </c>
      <c r="H1688" s="847">
        <v>0.4</v>
      </c>
      <c r="I1688" s="848">
        <f>VLOOKUP(E1688,'9.may'!E:W,12,FALSE)</f>
        <v>1481320.1836363636</v>
      </c>
      <c r="J1688" s="853">
        <f>I1688*H1688</f>
        <v>592528.07345454546</v>
      </c>
      <c r="N1688" s="843" t="e">
        <f>SUMIF(#REF!,'8.Dgia'!A1688,#REF!)+SUMIF(#REF!,'8.Dgia'!A1688,#REF!)+SUMIF(#REF!,'8.Dgia'!A1688,#REF!)+SUMIF(#REF!,'8.Dgia'!A1688,#REF!)</f>
        <v>#REF!</v>
      </c>
      <c r="O1688" s="844"/>
      <c r="P1688" s="843" t="e">
        <f t="shared" si="77"/>
        <v>#REF!</v>
      </c>
    </row>
    <row r="1689" spans="1:18" ht="39.75" customHeight="1">
      <c r="A1689" s="657">
        <f>IF(B1689="",MAX($A$8:A1688)+0,MAX($A$8:A1688)+1)</f>
        <v>183</v>
      </c>
      <c r="B1689" s="835">
        <f>IF(C1689="","",COUNTA($C$10:C1690))</f>
        <v>183</v>
      </c>
      <c r="C1689" s="835">
        <f>IF(D1689="","",1776)</f>
        <v>1776</v>
      </c>
      <c r="D1689" s="851" t="s">
        <v>5090</v>
      </c>
      <c r="E1689" s="855" t="s">
        <v>5157</v>
      </c>
      <c r="F1689" s="1049" t="str">
        <f>VLOOKUP(E1689,[5]DICH!B$1:C$65536,2,FALSE)</f>
        <v>Brace for pier P1, P6 (amor main material=2%/month*1 months+7%)</v>
      </c>
      <c r="G1689" s="856" t="s">
        <v>4644</v>
      </c>
      <c r="H1689" s="847"/>
      <c r="I1689" s="848"/>
      <c r="J1689" s="909"/>
      <c r="K1689" s="842">
        <f>+J1690</f>
        <v>1980188.1716183249</v>
      </c>
      <c r="N1689" s="843" t="e">
        <f>SUMIF(#REF!,'8.Dgia'!A1689,#REF!)+SUMIF(#REF!,'8.Dgia'!A1689,#REF!)+SUMIF(#REF!,'8.Dgia'!A1689,#REF!)+SUMIF(#REF!,'8.Dgia'!A1689,#REF!)</f>
        <v>#REF!</v>
      </c>
      <c r="O1689" s="844"/>
      <c r="P1689" s="843" t="e">
        <f t="shared" ref="P1689:P1696" si="79">$H1689*N1689*(1+O1689%)</f>
        <v>#REF!</v>
      </c>
    </row>
    <row r="1690" spans="1:18" ht="15" customHeight="1">
      <c r="A1690" s="657">
        <f>IF(B1690="",MAX($A$8:A1689)+0,MAX($A$8:A1689)+1)</f>
        <v>183</v>
      </c>
      <c r="B1690" s="835" t="str">
        <f>IF(C1690="","",COUNTA($C$10:C1691))</f>
        <v/>
      </c>
      <c r="C1690" s="362"/>
      <c r="D1690" s="851"/>
      <c r="E1690" s="852" t="s">
        <v>2032</v>
      </c>
      <c r="F1690" s="848" t="str">
        <f>VLOOKUP(E1690,DICH!B:C,2,FALSE)</f>
        <v xml:space="preserve">  A - Material</v>
      </c>
      <c r="G1690" s="856"/>
      <c r="H1690" s="847"/>
      <c r="I1690" s="848"/>
      <c r="J1690" s="849">
        <f>SUM(J1691:J1696)</f>
        <v>1980188.1716183249</v>
      </c>
      <c r="N1690" s="843" t="e">
        <f>SUMIF(#REF!,'8.Dgia'!A1690,#REF!)+SUMIF(#REF!,'8.Dgia'!A1690,#REF!)+SUMIF(#REF!,'8.Dgia'!A1690,#REF!)+SUMIF(#REF!,'8.Dgia'!A1690,#REF!)</f>
        <v>#REF!</v>
      </c>
      <c r="O1690" s="844"/>
      <c r="P1690" s="843" t="e">
        <f t="shared" si="79"/>
        <v>#REF!</v>
      </c>
    </row>
    <row r="1691" spans="1:18" ht="15" customHeight="1">
      <c r="A1691" s="657">
        <f>IF(B1691="",MAX($A$8:A1690)+0,MAX($A$8:A1690)+1)</f>
        <v>183</v>
      </c>
      <c r="B1691" s="835" t="str">
        <f>IF(C1691="","",COUNTA($C$10:C1692))</f>
        <v/>
      </c>
      <c r="C1691" s="362"/>
      <c r="D1691" s="851" t="s">
        <v>2255</v>
      </c>
      <c r="E1691" s="852" t="s">
        <v>563</v>
      </c>
      <c r="F1691" s="848" t="str">
        <f>VLOOKUP(E1691,DICH!B:C,2,FALSE)</f>
        <v>Shaped steel</v>
      </c>
      <c r="G1691" s="362" t="s">
        <v>622</v>
      </c>
      <c r="H1691" s="859">
        <f>625.39*(2%*1+7%)</f>
        <v>56.285100000000007</v>
      </c>
      <c r="I1691" s="848">
        <f>VLOOKUP(E1691,'11.gia '!$B:$I,8,FALSE)</f>
        <v>16703.248369172808</v>
      </c>
      <c r="J1691" s="853">
        <f t="shared" ref="J1691:J1696" si="80">I1691*H1691</f>
        <v>940144.00478372851</v>
      </c>
      <c r="N1691" s="843" t="e">
        <f>SUMIF(#REF!,'8.Dgia'!A1691,#REF!)+SUMIF(#REF!,'8.Dgia'!A1691,#REF!)+SUMIF(#REF!,'8.Dgia'!A1691,#REF!)+SUMIF(#REF!,'8.Dgia'!A1691,#REF!)</f>
        <v>#REF!</v>
      </c>
      <c r="O1691" s="844"/>
      <c r="P1691" s="843" t="e">
        <f t="shared" si="79"/>
        <v>#REF!</v>
      </c>
    </row>
    <row r="1692" spans="1:18" ht="15" customHeight="1">
      <c r="A1692" s="657">
        <f>IF(B1692="",MAX($A$8:A1691)+0,MAX($A$8:A1691)+1)</f>
        <v>183</v>
      </c>
      <c r="B1692" s="835" t="str">
        <f>IF(C1692="","",COUNTA($C$10:C1693))</f>
        <v/>
      </c>
      <c r="C1692" s="362"/>
      <c r="D1692" s="851" t="s">
        <v>2255</v>
      </c>
      <c r="E1692" s="852" t="s">
        <v>562</v>
      </c>
      <c r="F1692" s="848" t="str">
        <f>VLOOKUP(E1692,DICH!B:C,2,FALSE)</f>
        <v>Plate steel</v>
      </c>
      <c r="G1692" s="362" t="s">
        <v>558</v>
      </c>
      <c r="H1692" s="859">
        <f>316*(2%*1+7%)</f>
        <v>28.440000000000005</v>
      </c>
      <c r="I1692" s="848">
        <f>VLOOKUP(E1692,'11.gia '!$B:$I,8,FALSE)</f>
        <v>12871.348287272725</v>
      </c>
      <c r="J1692" s="853">
        <f t="shared" si="80"/>
        <v>366061.14529003639</v>
      </c>
      <c r="N1692" s="843" t="e">
        <f>SUMIF(#REF!,'8.Dgia'!A1692,#REF!)+SUMIF(#REF!,'8.Dgia'!A1692,#REF!)+SUMIF(#REF!,'8.Dgia'!A1692,#REF!)+SUMIF(#REF!,'8.Dgia'!A1692,#REF!)</f>
        <v>#REF!</v>
      </c>
      <c r="O1692" s="844"/>
      <c r="P1692" s="843" t="e">
        <f t="shared" si="79"/>
        <v>#REF!</v>
      </c>
    </row>
    <row r="1693" spans="1:18" ht="15" customHeight="1">
      <c r="A1693" s="657">
        <f>IF(B1693="",MAX($A$8:A1692)+0,MAX($A$8:A1692)+1)</f>
        <v>183</v>
      </c>
      <c r="B1693" s="835" t="str">
        <f>IF(C1693="","",COUNTA($C$10:C1694))</f>
        <v/>
      </c>
      <c r="C1693" s="362"/>
      <c r="D1693" s="851" t="s">
        <v>2255</v>
      </c>
      <c r="E1693" s="852" t="s">
        <v>371</v>
      </c>
      <c r="F1693" s="848" t="str">
        <f>VLOOKUP(E1693,DICH!B:C,2,FALSE)</f>
        <v>steel bar D&lt;=10</v>
      </c>
      <c r="G1693" s="362" t="s">
        <v>558</v>
      </c>
      <c r="H1693" s="859">
        <f>61.4*(2%*1+7%)</f>
        <v>5.5260000000000007</v>
      </c>
      <c r="I1693" s="848">
        <f>VLOOKUP(E1693,'11.gia '!$B:$I,8,FALSE)</f>
        <v>16754.075560000001</v>
      </c>
      <c r="J1693" s="853">
        <f t="shared" si="80"/>
        <v>92583.021544560019</v>
      </c>
      <c r="N1693" s="843" t="e">
        <f>SUMIF(#REF!,'8.Dgia'!A1693,#REF!)+SUMIF(#REF!,'8.Dgia'!A1693,#REF!)+SUMIF(#REF!,'8.Dgia'!A1693,#REF!)+SUMIF(#REF!,'8.Dgia'!A1693,#REF!)</f>
        <v>#REF!</v>
      </c>
      <c r="O1693" s="844"/>
      <c r="P1693" s="843" t="e">
        <f t="shared" si="79"/>
        <v>#REF!</v>
      </c>
    </row>
    <row r="1694" spans="1:18" ht="15" customHeight="1">
      <c r="A1694" s="657">
        <f>IF(B1694="",MAX($A$8:A1693)+0,MAX($A$8:A1693)+1)</f>
        <v>183</v>
      </c>
      <c r="B1694" s="835" t="str">
        <f>IF(C1694="","",COUNTA($C$10:C1695))</f>
        <v/>
      </c>
      <c r="C1694" s="362"/>
      <c r="D1694" s="851"/>
      <c r="E1694" s="852" t="s">
        <v>559</v>
      </c>
      <c r="F1694" s="848" t="str">
        <f>VLOOKUP(E1694,DICH!B:C,2,FALSE)</f>
        <v>welding electrode</v>
      </c>
      <c r="G1694" s="362" t="s">
        <v>558</v>
      </c>
      <c r="H1694" s="847">
        <v>22.66</v>
      </c>
      <c r="I1694" s="848">
        <f>VLOOKUP(E1694,'11.gia '!$B:$I,8,FALSE)</f>
        <v>19090.909090909088</v>
      </c>
      <c r="J1694" s="853">
        <f t="shared" si="80"/>
        <v>432599.99999999994</v>
      </c>
      <c r="N1694" s="843" t="e">
        <f>SUMIF(#REF!,'8.Dgia'!A1694,#REF!)+SUMIF(#REF!,'8.Dgia'!A1694,#REF!)+SUMIF(#REF!,'8.Dgia'!A1694,#REF!)+SUMIF(#REF!,'8.Dgia'!A1694,#REF!)</f>
        <v>#REF!</v>
      </c>
      <c r="O1694" s="844"/>
      <c r="P1694" s="843" t="e">
        <f t="shared" si="79"/>
        <v>#REF!</v>
      </c>
    </row>
    <row r="1695" spans="1:18" ht="15" customHeight="1">
      <c r="A1695" s="657">
        <f>IF(B1695="",MAX($A$8:A1694)+0,MAX($A$8:A1694)+1)</f>
        <v>183</v>
      </c>
      <c r="B1695" s="835" t="str">
        <f>IF(C1695="","",COUNTA($C$10:C1696))</f>
        <v/>
      </c>
      <c r="C1695" s="362"/>
      <c r="D1695" s="851"/>
      <c r="E1695" s="852" t="s">
        <v>564</v>
      </c>
      <c r="F1695" s="848" t="str">
        <f>VLOOKUP(E1695,DICH!B:C,2,FALSE)</f>
        <v>oxygen</v>
      </c>
      <c r="G1695" s="362" t="s">
        <v>4647</v>
      </c>
      <c r="H1695" s="847">
        <v>1.7</v>
      </c>
      <c r="I1695" s="848">
        <f>VLOOKUP(E1695,'11.gia '!$B:$I,8,FALSE)</f>
        <v>48000</v>
      </c>
      <c r="J1695" s="853">
        <f t="shared" si="80"/>
        <v>81600</v>
      </c>
      <c r="N1695" s="843" t="e">
        <f>SUMIF(#REF!,'8.Dgia'!A1695,#REF!)+SUMIF(#REF!,'8.Dgia'!A1695,#REF!)+SUMIF(#REF!,'8.Dgia'!A1695,#REF!)+SUMIF(#REF!,'8.Dgia'!A1695,#REF!)</f>
        <v>#REF!</v>
      </c>
      <c r="O1695" s="844"/>
      <c r="P1695" s="843" t="e">
        <f t="shared" si="79"/>
        <v>#REF!</v>
      </c>
    </row>
    <row r="1696" spans="1:18" ht="15" customHeight="1">
      <c r="A1696" s="657">
        <f>IF(B1696="",MAX($A$8:A1695)+0,MAX($A$8:A1695)+1)</f>
        <v>183</v>
      </c>
      <c r="B1696" s="835" t="str">
        <f>IF(C1696="","",COUNTA($C$10:C1697))</f>
        <v/>
      </c>
      <c r="C1696" s="362"/>
      <c r="D1696" s="851"/>
      <c r="E1696" s="852" t="s">
        <v>566</v>
      </c>
      <c r="F1696" s="848" t="str">
        <f>VLOOKUP(E1696,DICH!B:C,2,FALSE)</f>
        <v>Calcium carbide</v>
      </c>
      <c r="G1696" s="362" t="s">
        <v>558</v>
      </c>
      <c r="H1696" s="847">
        <v>4.8</v>
      </c>
      <c r="I1696" s="848">
        <f>VLOOKUP(E1696,'11.gia '!$B:$I,8,FALSE)</f>
        <v>14000</v>
      </c>
      <c r="J1696" s="853">
        <f t="shared" si="80"/>
        <v>67200</v>
      </c>
      <c r="N1696" s="843" t="e">
        <f>SUMIF(#REF!,'8.Dgia'!A1696,#REF!)+SUMIF(#REF!,'8.Dgia'!A1696,#REF!)+SUMIF(#REF!,'8.Dgia'!A1696,#REF!)+SUMIF(#REF!,'8.Dgia'!A1696,#REF!)</f>
        <v>#REF!</v>
      </c>
      <c r="O1696" s="844"/>
      <c r="P1696" s="843" t="e">
        <f t="shared" si="79"/>
        <v>#REF!</v>
      </c>
    </row>
    <row r="1697" spans="1:18" ht="28.5" customHeight="1">
      <c r="A1697" s="657">
        <f>IF(B1697="",MAX($A$8:A1696)+0,MAX($A$8:A1696)+1)</f>
        <v>184</v>
      </c>
      <c r="B1697" s="835">
        <f>IF(C1697="","",COUNTA($C$10:C1698))</f>
        <v>184</v>
      </c>
      <c r="C1697" s="835">
        <f>IF(D1697="","",1776)</f>
        <v>1776</v>
      </c>
      <c r="D1697" s="851" t="s">
        <v>441</v>
      </c>
      <c r="E1697" s="855" t="s">
        <v>162</v>
      </c>
      <c r="F1697" s="1049" t="str">
        <f>VLOOKUP(E1697,DICH!B:C,2,FALSE)</f>
        <v>Install $ remove scaffolding system of K19 on land (co=1.6)</v>
      </c>
      <c r="G1697" s="856" t="s">
        <v>4644</v>
      </c>
      <c r="H1697" s="847">
        <v>1.6</v>
      </c>
      <c r="I1697" s="848"/>
      <c r="J1697" s="853"/>
      <c r="K1697" s="842">
        <f>+J1698</f>
        <v>478140.38303982193</v>
      </c>
      <c r="L1697" s="842">
        <f>+J1703</f>
        <v>3327690.4000000004</v>
      </c>
      <c r="M1697" s="842">
        <f>+J1704</f>
        <v>1388987.9442000003</v>
      </c>
      <c r="N1697" s="843" t="e">
        <f>SUMIF(#REF!,'8.Dgia'!A1697,#REF!)+SUMIF(#REF!,'8.Dgia'!A1697,#REF!)+SUMIF(#REF!,'8.Dgia'!A1697,#REF!)+SUMIF(#REF!,'8.Dgia'!A1697,#REF!)</f>
        <v>#REF!</v>
      </c>
      <c r="O1697" s="844"/>
      <c r="P1697" s="843" t="e">
        <f>$H1697*N1697*(1+O1697%)</f>
        <v>#REF!</v>
      </c>
    </row>
    <row r="1698" spans="1:18" s="658" customFormat="1" ht="15" customHeight="1">
      <c r="A1698" s="657">
        <f>IF(B1698="",MAX($A$8:A1697)+0,MAX($A$8:A1697)+1)</f>
        <v>184</v>
      </c>
      <c r="B1698" s="835" t="str">
        <f>IF(C1698="","",COUNTA($C$10:C1699))</f>
        <v/>
      </c>
      <c r="C1698" s="362"/>
      <c r="D1698" s="845"/>
      <c r="E1698" s="852" t="s">
        <v>2032</v>
      </c>
      <c r="F1698" s="848" t="str">
        <f>VLOOKUP(E1698,DICH!B:C,2,FALSE)</f>
        <v xml:space="preserve">  A - Material</v>
      </c>
      <c r="G1698" s="846"/>
      <c r="H1698" s="847"/>
      <c r="I1698" s="848"/>
      <c r="J1698" s="849">
        <f>SUM(J1699:J1702)</f>
        <v>478140.38303982193</v>
      </c>
      <c r="K1698" s="850"/>
      <c r="L1698" s="850"/>
      <c r="M1698" s="850"/>
      <c r="N1698" s="843" t="e">
        <f>SUMIF(#REF!,'8.Dgia'!A1698,#REF!)+SUMIF(#REF!,'8.Dgia'!A1698,#REF!)+SUMIF(#REF!,'8.Dgia'!A1698,#REF!)+SUMIF(#REF!,'8.Dgia'!A1698,#REF!)</f>
        <v>#REF!</v>
      </c>
      <c r="O1698" s="844"/>
      <c r="P1698" s="843" t="e">
        <f>$H1698*N1698*(1+O1698%)</f>
        <v>#REF!</v>
      </c>
      <c r="Q1698" s="989" t="s">
        <v>466</v>
      </c>
    </row>
    <row r="1699" spans="1:18" ht="15" customHeight="1">
      <c r="A1699" s="657">
        <f>IF(B1699="",MAX($A$8:A1698)+0,MAX($A$8:A1698)+1)</f>
        <v>184</v>
      </c>
      <c r="B1699" s="835" t="str">
        <f>IF(C1699="","",COUNTA($C$10:C1700))</f>
        <v/>
      </c>
      <c r="C1699" s="362"/>
      <c r="D1699" s="851"/>
      <c r="E1699" s="852" t="s">
        <v>563</v>
      </c>
      <c r="F1699" s="848" t="str">
        <f>VLOOKUP(E1699,DICH!B:C,2,FALSE)</f>
        <v>Shaped steel</v>
      </c>
      <c r="G1699" s="362" t="s">
        <v>622</v>
      </c>
      <c r="H1699" s="910">
        <f>0.45*H1697</f>
        <v>0.72000000000000008</v>
      </c>
      <c r="I1699" s="848">
        <f>VLOOKUP(E1699,'11.gia '!$B:$I,8,FALSE)</f>
        <v>16703.248369172808</v>
      </c>
      <c r="J1699" s="853">
        <f>I1699*H1699</f>
        <v>12026.338825804423</v>
      </c>
      <c r="N1699" s="843" t="e">
        <f>SUMIF(#REF!,'8.Dgia'!A1699,#REF!)+SUMIF(#REF!,'8.Dgia'!A1699,#REF!)+SUMIF(#REF!,'8.Dgia'!A1699,#REF!)+SUMIF(#REF!,'8.Dgia'!A1699,#REF!)</f>
        <v>#REF!</v>
      </c>
      <c r="O1699" s="844">
        <f>+$H$1702</f>
        <v>5</v>
      </c>
      <c r="P1699" s="843" t="e">
        <f>$H1699*N1699*(1+O1699%)</f>
        <v>#REF!</v>
      </c>
      <c r="Q1699" s="989">
        <v>12</v>
      </c>
    </row>
    <row r="1700" spans="1:18" ht="15" customHeight="1">
      <c r="A1700" s="657">
        <f>IF(B1700="",MAX($A$8:A1699)+0,MAX($A$8:A1699)+1)</f>
        <v>184</v>
      </c>
      <c r="B1700" s="835" t="str">
        <f>IF(C1700="","",COUNTA($C$10:C1701))</f>
        <v/>
      </c>
      <c r="C1700" s="362"/>
      <c r="D1700" s="851"/>
      <c r="E1700" s="852" t="s">
        <v>623</v>
      </c>
      <c r="F1700" s="848" t="str">
        <f>VLOOKUP(E1700,DICH!B:C,2,FALSE)</f>
        <v>Bbolt M20</v>
      </c>
      <c r="G1700" s="362" t="s">
        <v>4649</v>
      </c>
      <c r="H1700" s="910">
        <f>12*H1697</f>
        <v>19.200000000000003</v>
      </c>
      <c r="I1700" s="848">
        <f>VLOOKUP(E1700,'11.gia '!$B:$I,8,FALSE)</f>
        <v>4000</v>
      </c>
      <c r="J1700" s="853">
        <f>I1700*H1700</f>
        <v>76800.000000000015</v>
      </c>
      <c r="N1700" s="843" t="e">
        <f>SUMIF(#REF!,'8.Dgia'!A1700,#REF!)+SUMIF(#REF!,'8.Dgia'!A1700,#REF!)+SUMIF(#REF!,'8.Dgia'!A1700,#REF!)+SUMIF(#REF!,'8.Dgia'!A1700,#REF!)</f>
        <v>#REF!</v>
      </c>
      <c r="O1700" s="844">
        <f>+$H$1702</f>
        <v>5</v>
      </c>
      <c r="P1700" s="843" t="e">
        <f>$H1700*N1700*(1+O1700%)</f>
        <v>#REF!</v>
      </c>
      <c r="Q1700" s="989">
        <v>12</v>
      </c>
    </row>
    <row r="1701" spans="1:18" ht="15" customHeight="1">
      <c r="A1701" s="657">
        <f>IF(B1701="",MAX($A$8:A1700)+0,MAX($A$8:A1700)+1)</f>
        <v>184</v>
      </c>
      <c r="B1701" s="835" t="str">
        <f>IF(C1701="","",COUNTA($C$10:C1702))</f>
        <v/>
      </c>
      <c r="C1701" s="362"/>
      <c r="D1701" s="851"/>
      <c r="E1701" s="852" t="s">
        <v>559</v>
      </c>
      <c r="F1701" s="848" t="str">
        <f>VLOOKUP(E1701,DICH!B:C,2,FALSE)</f>
        <v>welding electrode</v>
      </c>
      <c r="G1701" s="362" t="s">
        <v>622</v>
      </c>
      <c r="H1701" s="910">
        <f>12*H1697</f>
        <v>19.200000000000003</v>
      </c>
      <c r="I1701" s="848">
        <f>VLOOKUP(E1701,'11.gia '!$B:$I,8,FALSE)</f>
        <v>19090.909090909088</v>
      </c>
      <c r="J1701" s="853">
        <f>I1701*H1701</f>
        <v>366545.45454545453</v>
      </c>
      <c r="N1701" s="843" t="e">
        <f>SUMIF(#REF!,'8.Dgia'!A1701,#REF!)+SUMIF(#REF!,'8.Dgia'!A1701,#REF!)+SUMIF(#REF!,'8.Dgia'!A1701,#REF!)+SUMIF(#REF!,'8.Dgia'!A1701,#REF!)</f>
        <v>#REF!</v>
      </c>
      <c r="O1701" s="844">
        <f>+$H$1702</f>
        <v>5</v>
      </c>
      <c r="P1701" s="843" t="e">
        <f t="shared" ref="P1701:P1775" si="81">$H1701*N1701*(1+O1701%)</f>
        <v>#REF!</v>
      </c>
      <c r="Q1701" s="989">
        <v>5</v>
      </c>
    </row>
    <row r="1702" spans="1:18" ht="15" customHeight="1">
      <c r="A1702" s="657">
        <f>IF(B1702="",MAX($A$8:A1701)+0,MAX($A$8:A1701)+1)</f>
        <v>184</v>
      </c>
      <c r="B1702" s="835" t="str">
        <f>IF(C1702="","",COUNTA($C$10:C1703))</f>
        <v/>
      </c>
      <c r="C1702" s="362"/>
      <c r="D1702" s="851"/>
      <c r="E1702" s="852" t="s">
        <v>555</v>
      </c>
      <c r="F1702" s="848" t="str">
        <f>VLOOKUP(E1702,DICH!B:C,2,FALSE)</f>
        <v>Other material</v>
      </c>
      <c r="G1702" s="362" t="s">
        <v>554</v>
      </c>
      <c r="H1702" s="910">
        <v>5</v>
      </c>
      <c r="I1702" s="848">
        <f>SUM(J1699:J1701)</f>
        <v>455371.793371259</v>
      </c>
      <c r="J1702" s="853">
        <f>I1702*H1702%</f>
        <v>22768.589668562952</v>
      </c>
      <c r="N1702" s="843" t="e">
        <f>SUMIF(#REF!,'8.Dgia'!A1702,#REF!)+SUMIF(#REF!,'8.Dgia'!A1702,#REF!)+SUMIF(#REF!,'8.Dgia'!A1702,#REF!)+SUMIF(#REF!,'8.Dgia'!A1702,#REF!)</f>
        <v>#REF!</v>
      </c>
      <c r="O1702" s="844"/>
      <c r="P1702" s="843" t="e">
        <f t="shared" si="81"/>
        <v>#REF!</v>
      </c>
      <c r="Q1702" s="989" t="s">
        <v>467</v>
      </c>
    </row>
    <row r="1703" spans="1:18" s="658" customFormat="1" ht="15" customHeight="1">
      <c r="A1703" s="657">
        <f>IF(B1703="",MAX($A$8:A1702)+0,MAX($A$8:A1702)+1)</f>
        <v>184</v>
      </c>
      <c r="B1703" s="835" t="str">
        <f>IF(C1703="","",COUNTA($C$10:C1704))</f>
        <v/>
      </c>
      <c r="C1703" s="362"/>
      <c r="D1703" s="845"/>
      <c r="E1703" s="852" t="s">
        <v>2039</v>
      </c>
      <c r="F1703" s="848" t="str">
        <f>VLOOKUP(E1703,DICH!B:C,2,FALSE)</f>
        <v xml:space="preserve">  B - Labour 4.0/7</v>
      </c>
      <c r="G1703" s="362" t="s">
        <v>4899</v>
      </c>
      <c r="H1703" s="910">
        <f>9.5*H1697</f>
        <v>15.200000000000001</v>
      </c>
      <c r="I1703" s="848">
        <f>VLOOKUP(E1703,'16.NC'!$C$11:$F$22,4,FALSE)</f>
        <v>218927</v>
      </c>
      <c r="J1703" s="849">
        <f>I1703*H1703</f>
        <v>3327690.4000000004</v>
      </c>
      <c r="K1703" s="850"/>
      <c r="L1703" s="850"/>
      <c r="M1703" s="850"/>
      <c r="N1703" s="843" t="e">
        <f>SUMIF(#REF!,'8.Dgia'!A1703,#REF!)+SUMIF(#REF!,'8.Dgia'!A1703,#REF!)+SUMIF(#REF!,'8.Dgia'!A1703,#REF!)+SUMIF(#REF!,'8.Dgia'!A1703,#REF!)</f>
        <v>#REF!</v>
      </c>
      <c r="O1703" s="844"/>
      <c r="P1703" s="843" t="e">
        <f t="shared" si="81"/>
        <v>#REF!</v>
      </c>
      <c r="Q1703" s="989"/>
      <c r="R1703" s="658">
        <v>1</v>
      </c>
    </row>
    <row r="1704" spans="1:18" s="658" customFormat="1" ht="15" customHeight="1">
      <c r="A1704" s="657">
        <f>IF(B1704="",MAX($A$8:A1703)+0,MAX($A$8:A1703)+1)</f>
        <v>184</v>
      </c>
      <c r="B1704" s="835" t="str">
        <f>IF(C1704="","",COUNTA($C$10:C1705))</f>
        <v/>
      </c>
      <c r="C1704" s="362"/>
      <c r="D1704" s="845"/>
      <c r="E1704" s="852" t="s">
        <v>2033</v>
      </c>
      <c r="F1704" s="848" t="str">
        <f>VLOOKUP(E1704,DICH!B:C,2,FALSE)</f>
        <v xml:space="preserve">  C - Machine</v>
      </c>
      <c r="G1704" s="846"/>
      <c r="H1704" s="910"/>
      <c r="I1704" s="848"/>
      <c r="J1704" s="849">
        <f>SUM(J1705:J1706)</f>
        <v>1388987.9442000003</v>
      </c>
      <c r="K1704" s="850"/>
      <c r="L1704" s="850"/>
      <c r="M1704" s="850"/>
      <c r="N1704" s="843" t="e">
        <f>SUMIF(#REF!,'8.Dgia'!A1704,#REF!)+SUMIF(#REF!,'8.Dgia'!A1704,#REF!)+SUMIF(#REF!,'8.Dgia'!A1704,#REF!)+SUMIF(#REF!,'8.Dgia'!A1704,#REF!)</f>
        <v>#REF!</v>
      </c>
      <c r="O1704" s="844"/>
      <c r="P1704" s="843" t="e">
        <f t="shared" si="81"/>
        <v>#REF!</v>
      </c>
      <c r="Q1704" s="989" t="s">
        <v>468</v>
      </c>
    </row>
    <row r="1705" spans="1:18" ht="15" customHeight="1">
      <c r="A1705" s="657">
        <f>IF(B1705="",MAX($A$8:A1704)+0,MAX($A$8:A1704)+1)</f>
        <v>184</v>
      </c>
      <c r="B1705" s="835" t="str">
        <f>IF(C1705="","",COUNTA($C$10:C1706))</f>
        <v/>
      </c>
      <c r="C1705" s="362"/>
      <c r="D1705" s="851"/>
      <c r="E1705" s="852" t="s">
        <v>286</v>
      </c>
      <c r="F1705" s="848" t="str">
        <f>VLOOKUP(E1705,'9.may'!E:F,2,FALSE)</f>
        <v>tyre crane 16T</v>
      </c>
      <c r="G1705" s="362" t="s">
        <v>4902</v>
      </c>
      <c r="H1705" s="910">
        <f>0.27*H1697</f>
        <v>0.43200000000000005</v>
      </c>
      <c r="I1705" s="848">
        <f>VLOOKUP(E1705,'9.may'!E:W,12,FALSE)</f>
        <v>2023241.85</v>
      </c>
      <c r="J1705" s="853">
        <f>I1705*H1705</f>
        <v>874040.47920000018</v>
      </c>
      <c r="N1705" s="843" t="e">
        <f>SUMIF(#REF!,'8.Dgia'!A1705,#REF!)+SUMIF(#REF!,'8.Dgia'!A1705,#REF!)+SUMIF(#REF!,'8.Dgia'!A1705,#REF!)+SUMIF(#REF!,'8.Dgia'!A1705,#REF!)</f>
        <v>#REF!</v>
      </c>
      <c r="O1705" s="844">
        <v>3</v>
      </c>
      <c r="P1705" s="843" t="e">
        <f t="shared" si="81"/>
        <v>#REF!</v>
      </c>
      <c r="Q1705" s="989" t="s">
        <v>469</v>
      </c>
    </row>
    <row r="1706" spans="1:18" ht="15" customHeight="1">
      <c r="A1706" s="657">
        <f>IF(B1706="",MAX($A$8:A1705)+0,MAX($A$8:A1705)+1)</f>
        <v>184</v>
      </c>
      <c r="B1706" s="835" t="str">
        <f>IF(C1706="","",COUNTA($C$10:C1717))</f>
        <v/>
      </c>
      <c r="C1706" s="362"/>
      <c r="D1706" s="851"/>
      <c r="E1706" s="852" t="s">
        <v>560</v>
      </c>
      <c r="F1706" s="848" t="str">
        <f>VLOOKUP(E1706,'9.may'!E:F,2,FALSE)</f>
        <v>welding machine 23kW</v>
      </c>
      <c r="G1706" s="362" t="s">
        <v>4902</v>
      </c>
      <c r="H1706" s="910">
        <v>3</v>
      </c>
      <c r="I1706" s="848">
        <f>VLOOKUP(E1706,'9.may'!E:W,12,FALSE)</f>
        <v>171649.155</v>
      </c>
      <c r="J1706" s="853">
        <f>I1706*H1706</f>
        <v>514947.46499999997</v>
      </c>
      <c r="N1706" s="843" t="e">
        <f>SUMIF(#REF!,'8.Dgia'!A1706,#REF!)+SUMIF(#REF!,'8.Dgia'!A1706,#REF!)+SUMIF(#REF!,'8.Dgia'!A1706,#REF!)+SUMIF(#REF!,'8.Dgia'!A1706,#REF!)</f>
        <v>#REF!</v>
      </c>
      <c r="O1706" s="844"/>
      <c r="P1706" s="843" t="e">
        <f t="shared" si="81"/>
        <v>#REF!</v>
      </c>
      <c r="Q1706" s="989" t="s">
        <v>470</v>
      </c>
    </row>
    <row r="1707" spans="1:18" s="1294" customFormat="1" ht="28.5" customHeight="1">
      <c r="A1707" s="1294">
        <f>IF(B1707="",MAX($A$8:A1706)+0,MAX($A$8:A1706)+1)</f>
        <v>185</v>
      </c>
      <c r="B1707" s="1291">
        <f>IF(C1707="","",COUNTA($C$10:C1708))</f>
        <v>185</v>
      </c>
      <c r="C1707" s="1291">
        <f>IF(D1707="","",1776)</f>
        <v>1776</v>
      </c>
      <c r="D1707" s="1292" t="s">
        <v>441</v>
      </c>
      <c r="E1707" s="1224" t="s">
        <v>5470</v>
      </c>
      <c r="F1707" s="1295" t="s">
        <v>5471</v>
      </c>
      <c r="G1707" s="1296" t="s">
        <v>4644</v>
      </c>
      <c r="H1707" s="1293">
        <v>1</v>
      </c>
      <c r="I1707" s="1297"/>
      <c r="J1707" s="1298"/>
      <c r="K1707" s="1299">
        <f>+J1708</f>
        <v>298837.73939988867</v>
      </c>
      <c r="L1707" s="1299">
        <f>+J1713</f>
        <v>2079806.5</v>
      </c>
      <c r="M1707" s="1299">
        <f>+J1714</f>
        <v>1061222.7645</v>
      </c>
      <c r="N1707" s="843" t="e">
        <f>SUMIF(#REF!,'8.Dgia'!A1707,#REF!)+SUMIF(#REF!,'8.Dgia'!A1707,#REF!)+SUMIF(#REF!,'8.Dgia'!A1707,#REF!)+SUMIF(#REF!,'8.Dgia'!A1707,#REF!)</f>
        <v>#REF!</v>
      </c>
      <c r="O1707" s="1301"/>
      <c r="P1707" s="1300" t="e">
        <f>$H1707*N1707*(1+O1707%)</f>
        <v>#REF!</v>
      </c>
    </row>
    <row r="1708" spans="1:18" s="658" customFormat="1" ht="15" customHeight="1">
      <c r="A1708" s="657">
        <f>IF(B1708="",MAX($A$8:A1707)+0,MAX($A$8:A1707)+1)</f>
        <v>185</v>
      </c>
      <c r="B1708" s="835" t="str">
        <f>IF(C1708="","",COUNTA($C$10:C1709))</f>
        <v/>
      </c>
      <c r="C1708" s="362"/>
      <c r="D1708" s="845"/>
      <c r="E1708" s="852" t="s">
        <v>2032</v>
      </c>
      <c r="F1708" s="848" t="str">
        <f>VLOOKUP(E1708,DICH!B:C,2,FALSE)</f>
        <v xml:space="preserve">  A - Material</v>
      </c>
      <c r="G1708" s="846"/>
      <c r="H1708" s="847"/>
      <c r="I1708" s="848"/>
      <c r="J1708" s="849">
        <f>SUM(J1709:J1712)</f>
        <v>298837.73939988867</v>
      </c>
      <c r="K1708" s="850"/>
      <c r="L1708" s="850"/>
      <c r="M1708" s="850"/>
      <c r="N1708" s="843" t="e">
        <f>SUMIF(#REF!,'8.Dgia'!A1708,#REF!)+SUMIF(#REF!,'8.Dgia'!A1708,#REF!)+SUMIF(#REF!,'8.Dgia'!A1708,#REF!)+SUMIF(#REF!,'8.Dgia'!A1708,#REF!)</f>
        <v>#REF!</v>
      </c>
      <c r="O1708" s="844"/>
      <c r="P1708" s="843" t="e">
        <f>$H1708*N1708*(1+O1708%)</f>
        <v>#REF!</v>
      </c>
      <c r="Q1708" s="989" t="s">
        <v>466</v>
      </c>
    </row>
    <row r="1709" spans="1:18" ht="15" customHeight="1">
      <c r="A1709" s="657">
        <f>IF(B1709="",MAX($A$8:A1708)+0,MAX($A$8:A1708)+1)</f>
        <v>185</v>
      </c>
      <c r="B1709" s="835" t="str">
        <f>IF(C1709="","",COUNTA($C$10:C1710))</f>
        <v/>
      </c>
      <c r="C1709" s="362"/>
      <c r="D1709" s="851"/>
      <c r="E1709" s="852" t="s">
        <v>563</v>
      </c>
      <c r="F1709" s="848" t="str">
        <f>VLOOKUP(E1709,DICH!B:C,2,FALSE)</f>
        <v>Shaped steel</v>
      </c>
      <c r="G1709" s="362" t="s">
        <v>622</v>
      </c>
      <c r="H1709" s="910">
        <f>0.45*H1707</f>
        <v>0.45</v>
      </c>
      <c r="I1709" s="848">
        <f>VLOOKUP(E1709,'11.gia '!$B:$I,8,FALSE)</f>
        <v>16703.248369172808</v>
      </c>
      <c r="J1709" s="853">
        <f>I1709*H1709</f>
        <v>7516.4617661277643</v>
      </c>
      <c r="N1709" s="843" t="e">
        <f>SUMIF(#REF!,'8.Dgia'!A1709,#REF!)+SUMIF(#REF!,'8.Dgia'!A1709,#REF!)+SUMIF(#REF!,'8.Dgia'!A1709,#REF!)+SUMIF(#REF!,'8.Dgia'!A1709,#REF!)</f>
        <v>#REF!</v>
      </c>
      <c r="O1709" s="844">
        <f>+$H$1702</f>
        <v>5</v>
      </c>
      <c r="P1709" s="843" t="e">
        <f>$H1709*N1709*(1+O1709%)</f>
        <v>#REF!</v>
      </c>
      <c r="Q1709" s="989">
        <v>12</v>
      </c>
    </row>
    <row r="1710" spans="1:18" ht="15" customHeight="1">
      <c r="A1710" s="657">
        <f>IF(B1710="",MAX($A$8:A1709)+0,MAX($A$8:A1709)+1)</f>
        <v>185</v>
      </c>
      <c r="B1710" s="835" t="str">
        <f>IF(C1710="","",COUNTA($C$10:C1711))</f>
        <v/>
      </c>
      <c r="C1710" s="362"/>
      <c r="D1710" s="851"/>
      <c r="E1710" s="852" t="s">
        <v>623</v>
      </c>
      <c r="F1710" s="848" t="str">
        <f>VLOOKUP(E1710,DICH!B:C,2,FALSE)</f>
        <v>Bbolt M20</v>
      </c>
      <c r="G1710" s="362" t="s">
        <v>4649</v>
      </c>
      <c r="H1710" s="910">
        <f>12*H1707</f>
        <v>12</v>
      </c>
      <c r="I1710" s="848">
        <f>VLOOKUP(E1710,'11.gia '!$B:$I,8,FALSE)</f>
        <v>4000</v>
      </c>
      <c r="J1710" s="853">
        <f>I1710*H1710</f>
        <v>48000</v>
      </c>
      <c r="N1710" s="843" t="e">
        <f>SUMIF(#REF!,'8.Dgia'!A1710,#REF!)+SUMIF(#REF!,'8.Dgia'!A1710,#REF!)+SUMIF(#REF!,'8.Dgia'!A1710,#REF!)+SUMIF(#REF!,'8.Dgia'!A1710,#REF!)</f>
        <v>#REF!</v>
      </c>
      <c r="O1710" s="844">
        <f>+$H$1702</f>
        <v>5</v>
      </c>
      <c r="P1710" s="843" t="e">
        <f>$H1710*N1710*(1+O1710%)</f>
        <v>#REF!</v>
      </c>
      <c r="Q1710" s="989">
        <v>12</v>
      </c>
    </row>
    <row r="1711" spans="1:18" ht="15" customHeight="1">
      <c r="A1711" s="657">
        <f>IF(B1711="",MAX($A$8:A1710)+0,MAX($A$8:A1710)+1)</f>
        <v>185</v>
      </c>
      <c r="B1711" s="835" t="str">
        <f>IF(C1711="","",COUNTA($C$10:C1712))</f>
        <v/>
      </c>
      <c r="C1711" s="362"/>
      <c r="D1711" s="851"/>
      <c r="E1711" s="852" t="s">
        <v>559</v>
      </c>
      <c r="F1711" s="848" t="str">
        <f>VLOOKUP(E1711,DICH!B:C,2,FALSE)</f>
        <v>welding electrode</v>
      </c>
      <c r="G1711" s="362" t="s">
        <v>622</v>
      </c>
      <c r="H1711" s="910">
        <f>12*H1707</f>
        <v>12</v>
      </c>
      <c r="I1711" s="848">
        <f>VLOOKUP(E1711,'11.gia '!$B:$I,8,FALSE)</f>
        <v>19090.909090909088</v>
      </c>
      <c r="J1711" s="853">
        <f>I1711*H1711</f>
        <v>229090.90909090906</v>
      </c>
      <c r="N1711" s="843" t="e">
        <f>SUMIF(#REF!,'8.Dgia'!A1711,#REF!)+SUMIF(#REF!,'8.Dgia'!A1711,#REF!)+SUMIF(#REF!,'8.Dgia'!A1711,#REF!)+SUMIF(#REF!,'8.Dgia'!A1711,#REF!)</f>
        <v>#REF!</v>
      </c>
      <c r="O1711" s="844">
        <f>+$H$1702</f>
        <v>5</v>
      </c>
      <c r="P1711" s="843" t="e">
        <f t="shared" ref="P1711:P1716" si="82">$H1711*N1711*(1+O1711%)</f>
        <v>#REF!</v>
      </c>
      <c r="Q1711" s="989">
        <v>5</v>
      </c>
    </row>
    <row r="1712" spans="1:18" ht="15" customHeight="1">
      <c r="A1712" s="657">
        <f>IF(B1712="",MAX($A$8:A1711)+0,MAX($A$8:A1711)+1)</f>
        <v>185</v>
      </c>
      <c r="B1712" s="835" t="str">
        <f>IF(C1712="","",COUNTA($C$10:C1713))</f>
        <v/>
      </c>
      <c r="C1712" s="362"/>
      <c r="D1712" s="851"/>
      <c r="E1712" s="852" t="s">
        <v>555</v>
      </c>
      <c r="F1712" s="848" t="str">
        <f>VLOOKUP(E1712,DICH!B:C,2,FALSE)</f>
        <v>Other material</v>
      </c>
      <c r="G1712" s="362" t="s">
        <v>554</v>
      </c>
      <c r="H1712" s="910">
        <v>5</v>
      </c>
      <c r="I1712" s="848">
        <f>SUM(J1709:J1711)</f>
        <v>284607.37085703685</v>
      </c>
      <c r="J1712" s="853">
        <f>I1712*H1712%</f>
        <v>14230.368542851844</v>
      </c>
      <c r="N1712" s="843" t="e">
        <f>SUMIF(#REF!,'8.Dgia'!A1712,#REF!)+SUMIF(#REF!,'8.Dgia'!A1712,#REF!)+SUMIF(#REF!,'8.Dgia'!A1712,#REF!)+SUMIF(#REF!,'8.Dgia'!A1712,#REF!)</f>
        <v>#REF!</v>
      </c>
      <c r="O1712" s="844"/>
      <c r="P1712" s="843" t="e">
        <f t="shared" si="82"/>
        <v>#REF!</v>
      </c>
      <c r="Q1712" s="989" t="s">
        <v>467</v>
      </c>
    </row>
    <row r="1713" spans="1:18" s="658" customFormat="1" ht="15" customHeight="1">
      <c r="A1713" s="657">
        <f>IF(B1713="",MAX($A$8:A1712)+0,MAX($A$8:A1712)+1)</f>
        <v>185</v>
      </c>
      <c r="B1713" s="835" t="str">
        <f>IF(C1713="","",COUNTA($C$10:C1714))</f>
        <v/>
      </c>
      <c r="C1713" s="362"/>
      <c r="D1713" s="845"/>
      <c r="E1713" s="852" t="s">
        <v>2039</v>
      </c>
      <c r="F1713" s="848" t="str">
        <f>VLOOKUP(E1713,DICH!B:C,2,FALSE)</f>
        <v xml:space="preserve">  B - Labour 4.0/7</v>
      </c>
      <c r="G1713" s="362" t="s">
        <v>4899</v>
      </c>
      <c r="H1713" s="910">
        <f>9.5*H1707</f>
        <v>9.5</v>
      </c>
      <c r="I1713" s="848">
        <f>VLOOKUP(E1713,'16.NC'!$C$11:$F$22,4,FALSE)</f>
        <v>218927</v>
      </c>
      <c r="J1713" s="849">
        <f>I1713*H1713</f>
        <v>2079806.5</v>
      </c>
      <c r="K1713" s="850"/>
      <c r="L1713" s="850"/>
      <c r="M1713" s="850"/>
      <c r="N1713" s="843" t="e">
        <f>SUMIF(#REF!,'8.Dgia'!A1713,#REF!)+SUMIF(#REF!,'8.Dgia'!A1713,#REF!)+SUMIF(#REF!,'8.Dgia'!A1713,#REF!)+SUMIF(#REF!,'8.Dgia'!A1713,#REF!)</f>
        <v>#REF!</v>
      </c>
      <c r="O1713" s="844"/>
      <c r="P1713" s="843" t="e">
        <f t="shared" si="82"/>
        <v>#REF!</v>
      </c>
      <c r="Q1713" s="989"/>
      <c r="R1713" s="658">
        <v>1</v>
      </c>
    </row>
    <row r="1714" spans="1:18" s="658" customFormat="1" ht="15" customHeight="1">
      <c r="A1714" s="657">
        <f>IF(B1714="",MAX($A$8:A1713)+0,MAX($A$8:A1713)+1)</f>
        <v>185</v>
      </c>
      <c r="B1714" s="835" t="str">
        <f>IF(C1714="","",COUNTA($C$10:C1715))</f>
        <v/>
      </c>
      <c r="C1714" s="362"/>
      <c r="D1714" s="845"/>
      <c r="E1714" s="852" t="s">
        <v>2033</v>
      </c>
      <c r="F1714" s="848" t="str">
        <f>VLOOKUP(E1714,DICH!B:C,2,FALSE)</f>
        <v xml:space="preserve">  C - Machine</v>
      </c>
      <c r="G1714" s="846"/>
      <c r="H1714" s="910"/>
      <c r="I1714" s="848"/>
      <c r="J1714" s="849">
        <f>SUM(J1715:J1716)</f>
        <v>1061222.7645</v>
      </c>
      <c r="K1714" s="850"/>
      <c r="L1714" s="850"/>
      <c r="M1714" s="850"/>
      <c r="N1714" s="843" t="e">
        <f>SUMIF(#REF!,'8.Dgia'!A1714,#REF!)+SUMIF(#REF!,'8.Dgia'!A1714,#REF!)+SUMIF(#REF!,'8.Dgia'!A1714,#REF!)+SUMIF(#REF!,'8.Dgia'!A1714,#REF!)</f>
        <v>#REF!</v>
      </c>
      <c r="O1714" s="844"/>
      <c r="P1714" s="843" t="e">
        <f t="shared" si="82"/>
        <v>#REF!</v>
      </c>
      <c r="Q1714" s="989" t="s">
        <v>468</v>
      </c>
    </row>
    <row r="1715" spans="1:18" ht="15" customHeight="1">
      <c r="A1715" s="657">
        <f>IF(B1715="",MAX($A$8:A1714)+0,MAX($A$8:A1714)+1)</f>
        <v>185</v>
      </c>
      <c r="B1715" s="835" t="str">
        <f>IF(C1715="","",COUNTA($C$10:C1716))</f>
        <v/>
      </c>
      <c r="C1715" s="362"/>
      <c r="D1715" s="851"/>
      <c r="E1715" s="852" t="s">
        <v>286</v>
      </c>
      <c r="F1715" s="848" t="str">
        <f>VLOOKUP(E1715,'9.may'!E:F,2,FALSE)</f>
        <v>tyre crane 16T</v>
      </c>
      <c r="G1715" s="362" t="s">
        <v>4902</v>
      </c>
      <c r="H1715" s="910">
        <f>0.27*H1707</f>
        <v>0.27</v>
      </c>
      <c r="I1715" s="848">
        <f>VLOOKUP(E1715,'9.may'!E:W,12,FALSE)</f>
        <v>2023241.85</v>
      </c>
      <c r="J1715" s="853">
        <f>I1715*H1715</f>
        <v>546275.29950000008</v>
      </c>
      <c r="N1715" s="843" t="e">
        <f>SUMIF(#REF!,'8.Dgia'!A1715,#REF!)+SUMIF(#REF!,'8.Dgia'!A1715,#REF!)+SUMIF(#REF!,'8.Dgia'!A1715,#REF!)+SUMIF(#REF!,'8.Dgia'!A1715,#REF!)</f>
        <v>#REF!</v>
      </c>
      <c r="O1715" s="844">
        <v>3</v>
      </c>
      <c r="P1715" s="843" t="e">
        <f t="shared" si="82"/>
        <v>#REF!</v>
      </c>
      <c r="Q1715" s="989" t="s">
        <v>469</v>
      </c>
    </row>
    <row r="1716" spans="1:18" ht="15" customHeight="1">
      <c r="A1716" s="657">
        <f>IF(B1716="",MAX($A$8:A1715)+0,MAX($A$8:A1715)+1)</f>
        <v>185</v>
      </c>
      <c r="B1716" s="835" t="str">
        <f>IF(C1716="","",COUNTA($C$10:C1727))</f>
        <v/>
      </c>
      <c r="C1716" s="362"/>
      <c r="D1716" s="851"/>
      <c r="E1716" s="852" t="s">
        <v>560</v>
      </c>
      <c r="F1716" s="848" t="str">
        <f>VLOOKUP(E1716,'9.may'!E:F,2,FALSE)</f>
        <v>welding machine 23kW</v>
      </c>
      <c r="G1716" s="362" t="s">
        <v>4902</v>
      </c>
      <c r="H1716" s="910">
        <v>3</v>
      </c>
      <c r="I1716" s="848">
        <f>VLOOKUP(E1716,'9.may'!E:W,12,FALSE)</f>
        <v>171649.155</v>
      </c>
      <c r="J1716" s="853">
        <f>I1716*H1716</f>
        <v>514947.46499999997</v>
      </c>
      <c r="N1716" s="843" t="e">
        <f>SUMIF(#REF!,'8.Dgia'!A1716,#REF!)+SUMIF(#REF!,'8.Dgia'!A1716,#REF!)+SUMIF(#REF!,'8.Dgia'!A1716,#REF!)+SUMIF(#REF!,'8.Dgia'!A1716,#REF!)</f>
        <v>#REF!</v>
      </c>
      <c r="O1716" s="844"/>
      <c r="P1716" s="843" t="e">
        <f t="shared" si="82"/>
        <v>#REF!</v>
      </c>
      <c r="Q1716" s="989" t="s">
        <v>470</v>
      </c>
    </row>
    <row r="1717" spans="1:18" ht="26.25" customHeight="1">
      <c r="A1717" s="657">
        <f>IF(B1717="",MAX($A$8:A1716)+0,MAX($A$8:A1716)+1)</f>
        <v>186</v>
      </c>
      <c r="B1717" s="835">
        <f>IF(C1717="","",COUNTA($C$10:C1718))</f>
        <v>186</v>
      </c>
      <c r="C1717" s="835">
        <f>IF(D1717="","",1776)</f>
        <v>1776</v>
      </c>
      <c r="D1717" s="851" t="s">
        <v>447</v>
      </c>
      <c r="E1717" s="855" t="s">
        <v>5602</v>
      </c>
      <c r="F1717" s="1049" t="s">
        <v>5603</v>
      </c>
      <c r="G1717" s="856" t="s">
        <v>546</v>
      </c>
      <c r="H1717" s="847"/>
      <c r="I1717" s="848"/>
      <c r="J1717" s="853"/>
      <c r="K1717" s="842">
        <f>+J1718</f>
        <v>13168671.309252411</v>
      </c>
      <c r="N1717" s="843" t="e">
        <f>SUMIF(#REF!,'8.Dgia'!A1717,#REF!)+SUMIF(#REF!,'8.Dgia'!A1717,#REF!)+SUMIF(#REF!,'8.Dgia'!A1717,#REF!)+SUMIF(#REF!,'8.Dgia'!A1717,#REF!)</f>
        <v>#REF!</v>
      </c>
      <c r="O1717" s="844"/>
      <c r="P1717" s="843" t="e">
        <f t="shared" si="81"/>
        <v>#REF!</v>
      </c>
    </row>
    <row r="1718" spans="1:18" s="658" customFormat="1" ht="15" customHeight="1">
      <c r="A1718" s="657">
        <f>IF(B1718="",MAX($A$8:A1717)+0,MAX($A$8:A1717)+1)</f>
        <v>186</v>
      </c>
      <c r="B1718" s="835" t="str">
        <f>IF(C1718="","",COUNTA($C$10:C1719))</f>
        <v/>
      </c>
      <c r="C1718" s="362"/>
      <c r="D1718" s="845"/>
      <c r="E1718" s="852" t="s">
        <v>2032</v>
      </c>
      <c r="F1718" s="848" t="str">
        <f>VLOOKUP(E1718,DICH!B:C,2,FALSE)</f>
        <v xml:space="preserve">  A - Material</v>
      </c>
      <c r="G1718" s="846"/>
      <c r="H1718" s="847"/>
      <c r="I1718" s="848"/>
      <c r="J1718" s="849">
        <f>SUM(J1719:J1720)</f>
        <v>13168671.309252411</v>
      </c>
      <c r="K1718" s="850"/>
      <c r="L1718" s="850"/>
      <c r="M1718" s="850"/>
      <c r="N1718" s="843" t="e">
        <f>SUMIF(#REF!,'8.Dgia'!A1718,#REF!)+SUMIF(#REF!,'8.Dgia'!A1718,#REF!)+SUMIF(#REF!,'8.Dgia'!A1718,#REF!)+SUMIF(#REF!,'8.Dgia'!A1718,#REF!)</f>
        <v>#REF!</v>
      </c>
      <c r="O1718" s="844"/>
      <c r="P1718" s="843" t="e">
        <f t="shared" si="81"/>
        <v>#REF!</v>
      </c>
    </row>
    <row r="1719" spans="1:18" ht="15" customHeight="1">
      <c r="A1719" s="657">
        <f>IF(B1719="",MAX($A$8:A1718)+0,MAX($A$8:A1718)+1)</f>
        <v>186</v>
      </c>
      <c r="B1719" s="835" t="str">
        <f>IF(C1719="","",COUNTA($C$10:C1720))</f>
        <v/>
      </c>
      <c r="C1719" s="362"/>
      <c r="D1719" s="851" t="s">
        <v>2255</v>
      </c>
      <c r="E1719" s="852" t="s">
        <v>5600</v>
      </c>
      <c r="F1719" s="848" t="s">
        <v>5604</v>
      </c>
      <c r="G1719" s="362" t="s">
        <v>628</v>
      </c>
      <c r="H1719" s="847">
        <f>100*(1.17%*6+3.5%)</f>
        <v>10.52</v>
      </c>
      <c r="I1719" s="848">
        <f>VLOOKUP(E1719,'11.gia '!$B:$I,8,FALSE)</f>
        <v>1239381.0289926224</v>
      </c>
      <c r="J1719" s="853">
        <f>I1719*H1719</f>
        <v>13038288.425002387</v>
      </c>
      <c r="N1719" s="843" t="e">
        <f>SUMIF(#REF!,'8.Dgia'!A1719,#REF!)+SUMIF(#REF!,'8.Dgia'!A1719,#REF!)+SUMIF(#REF!,'8.Dgia'!A1719,#REF!)+SUMIF(#REF!,'8.Dgia'!A1719,#REF!)</f>
        <v>#REF!</v>
      </c>
      <c r="O1719" s="844">
        <f>+$H$1720</f>
        <v>1</v>
      </c>
      <c r="P1719" s="843" t="e">
        <f t="shared" si="81"/>
        <v>#REF!</v>
      </c>
    </row>
    <row r="1720" spans="1:18" ht="15" customHeight="1">
      <c r="A1720" s="657">
        <f>IF(B1720="",MAX($A$8:A1719)+0,MAX($A$8:A1719)+1)</f>
        <v>186</v>
      </c>
      <c r="B1720" s="835" t="str">
        <f>IF(C1720="","",COUNTA($C$10:C1721))</f>
        <v/>
      </c>
      <c r="C1720" s="362"/>
      <c r="D1720" s="851"/>
      <c r="E1720" s="852" t="s">
        <v>555</v>
      </c>
      <c r="F1720" s="848" t="str">
        <f>VLOOKUP(E1720,DICH!B:C,2,FALSE)</f>
        <v>Other material</v>
      </c>
      <c r="G1720" s="362" t="s">
        <v>554</v>
      </c>
      <c r="H1720" s="847">
        <v>1</v>
      </c>
      <c r="I1720" s="848">
        <f>J1719</f>
        <v>13038288.425002387</v>
      </c>
      <c r="J1720" s="853">
        <f>I1720*H1720%</f>
        <v>130382.88425002387</v>
      </c>
      <c r="N1720" s="843" t="e">
        <f>SUMIF(#REF!,'8.Dgia'!A1720,#REF!)+SUMIF(#REF!,'8.Dgia'!A1720,#REF!)+SUMIF(#REF!,'8.Dgia'!A1720,#REF!)+SUMIF(#REF!,'8.Dgia'!A1720,#REF!)</f>
        <v>#REF!</v>
      </c>
      <c r="O1720" s="844"/>
      <c r="P1720" s="843" t="e">
        <f t="shared" si="81"/>
        <v>#REF!</v>
      </c>
    </row>
    <row r="1721" spans="1:18" ht="26.25" customHeight="1">
      <c r="A1721" s="657">
        <f>IF(B1721="",MAX($A$8:A1720)+0,MAX($A$8:A1720)+1)</f>
        <v>187</v>
      </c>
      <c r="B1721" s="835">
        <f>IF(C1721="","",COUNTA($C$10:C1722))</f>
        <v>187</v>
      </c>
      <c r="C1721" s="835">
        <f>IF(D1721="","",1776)</f>
        <v>1776</v>
      </c>
      <c r="D1721" s="851" t="s">
        <v>177</v>
      </c>
      <c r="E1721" s="855" t="s">
        <v>5601</v>
      </c>
      <c r="F1721" s="1049" t="s">
        <v>5605</v>
      </c>
      <c r="G1721" s="856" t="s">
        <v>546</v>
      </c>
      <c r="H1721" s="847"/>
      <c r="I1721" s="848"/>
      <c r="J1721" s="853"/>
      <c r="K1721" s="842">
        <f>+J1722</f>
        <v>5845788.4994495036</v>
      </c>
      <c r="N1721" s="843" t="e">
        <f>SUMIF(#REF!,'8.Dgia'!A1721,#REF!)+SUMIF(#REF!,'8.Dgia'!A1721,#REF!)+SUMIF(#REF!,'8.Dgia'!A1721,#REF!)+SUMIF(#REF!,'8.Dgia'!A1721,#REF!)</f>
        <v>#REF!</v>
      </c>
      <c r="O1721" s="844"/>
      <c r="P1721" s="843" t="e">
        <f>$H1721*N1721*(1+O1721%)</f>
        <v>#REF!</v>
      </c>
    </row>
    <row r="1722" spans="1:18" s="658" customFormat="1" ht="15" customHeight="1">
      <c r="A1722" s="657">
        <f>IF(B1722="",MAX($A$8:A1721)+0,MAX($A$8:A1721)+1)</f>
        <v>187</v>
      </c>
      <c r="B1722" s="835" t="str">
        <f>IF(C1722="","",COUNTA($C$10:C1723))</f>
        <v/>
      </c>
      <c r="C1722" s="362"/>
      <c r="D1722" s="845"/>
      <c r="E1722" s="852" t="s">
        <v>2032</v>
      </c>
      <c r="F1722" s="848" t="str">
        <f>VLOOKUP(E1722,DICH!B:C,2,FALSE)</f>
        <v xml:space="preserve">  A - Material</v>
      </c>
      <c r="G1722" s="846"/>
      <c r="H1722" s="847"/>
      <c r="I1722" s="848"/>
      <c r="J1722" s="849">
        <f>SUM(J1723:J1724)</f>
        <v>5845788.4994495036</v>
      </c>
      <c r="K1722" s="850"/>
      <c r="L1722" s="850"/>
      <c r="M1722" s="850"/>
      <c r="N1722" s="843" t="e">
        <f>SUMIF(#REF!,'8.Dgia'!A1722,#REF!)+SUMIF(#REF!,'8.Dgia'!A1722,#REF!)+SUMIF(#REF!,'8.Dgia'!A1722,#REF!)+SUMIF(#REF!,'8.Dgia'!A1722,#REF!)</f>
        <v>#REF!</v>
      </c>
      <c r="O1722" s="844"/>
      <c r="P1722" s="843" t="e">
        <f>$H1722*N1722*(1+O1722%)</f>
        <v>#REF!</v>
      </c>
    </row>
    <row r="1723" spans="1:18" ht="15" customHeight="1">
      <c r="A1723" s="657">
        <f>IF(B1723="",MAX($A$8:A1722)+0,MAX($A$8:A1722)+1)</f>
        <v>187</v>
      </c>
      <c r="B1723" s="835" t="str">
        <f>IF(C1723="","",COUNTA($C$10:C1724))</f>
        <v/>
      </c>
      <c r="C1723" s="362"/>
      <c r="D1723" s="851" t="s">
        <v>2255</v>
      </c>
      <c r="E1723" s="852" t="s">
        <v>5600</v>
      </c>
      <c r="F1723" s="848" t="s">
        <v>5604</v>
      </c>
      <c r="G1723" s="362" t="s">
        <v>628</v>
      </c>
      <c r="H1723" s="847">
        <f>100*(1.17%*1+3.5%)</f>
        <v>4.6700000000000008</v>
      </c>
      <c r="I1723" s="848">
        <f>VLOOKUP(E1723,'11.gia '!$B:$I,8,FALSE)</f>
        <v>1239381.0289926224</v>
      </c>
      <c r="J1723" s="853">
        <f>I1723*H1723</f>
        <v>5787909.4053955479</v>
      </c>
      <c r="N1723" s="843" t="e">
        <f>SUMIF(#REF!,'8.Dgia'!A1723,#REF!)+SUMIF(#REF!,'8.Dgia'!A1723,#REF!)+SUMIF(#REF!,'8.Dgia'!A1723,#REF!)+SUMIF(#REF!,'8.Dgia'!A1723,#REF!)</f>
        <v>#REF!</v>
      </c>
      <c r="O1723" s="844">
        <f>+$H$1720</f>
        <v>1</v>
      </c>
      <c r="P1723" s="843" t="e">
        <f>$H1723*N1723*(1+O1723%)</f>
        <v>#REF!</v>
      </c>
    </row>
    <row r="1724" spans="1:18" ht="15" customHeight="1">
      <c r="A1724" s="657">
        <f>IF(B1724="",MAX($A$8:A1723)+0,MAX($A$8:A1723)+1)</f>
        <v>187</v>
      </c>
      <c r="B1724" s="835" t="str">
        <f>IF(C1724="","",COUNTA($C$10:C1725))</f>
        <v/>
      </c>
      <c r="C1724" s="362"/>
      <c r="D1724" s="851"/>
      <c r="E1724" s="852" t="s">
        <v>555</v>
      </c>
      <c r="F1724" s="848" t="str">
        <f>VLOOKUP(E1724,DICH!B:C,2,FALSE)</f>
        <v>Other material</v>
      </c>
      <c r="G1724" s="362" t="s">
        <v>554</v>
      </c>
      <c r="H1724" s="847">
        <v>1</v>
      </c>
      <c r="I1724" s="848">
        <f>J1723</f>
        <v>5787909.4053955479</v>
      </c>
      <c r="J1724" s="853">
        <f>I1724*H1724%</f>
        <v>57879.094053955479</v>
      </c>
      <c r="N1724" s="843" t="e">
        <f>SUMIF(#REF!,'8.Dgia'!A1724,#REF!)+SUMIF(#REF!,'8.Dgia'!A1724,#REF!)+SUMIF(#REF!,'8.Dgia'!A1724,#REF!)+SUMIF(#REF!,'8.Dgia'!A1724,#REF!)</f>
        <v>#REF!</v>
      </c>
      <c r="O1724" s="844"/>
      <c r="P1724" s="843" t="e">
        <f>$H1724*N1724*(1+O1724%)</f>
        <v>#REF!</v>
      </c>
    </row>
    <row r="1725" spans="1:18" ht="15" customHeight="1">
      <c r="A1725" s="657">
        <f>IF(B1725="",MAX($A$8:A1724)+0,MAX($A$8:A1724)+1)</f>
        <v>188</v>
      </c>
      <c r="B1725" s="835">
        <f>IF(C1725="","",COUNTA($C$10:C1726))</f>
        <v>188</v>
      </c>
      <c r="C1725" s="835">
        <f>IF(D1725="","",1776)</f>
        <v>1776</v>
      </c>
      <c r="D1725" s="851" t="s">
        <v>447</v>
      </c>
      <c r="E1725" s="855" t="s">
        <v>641</v>
      </c>
      <c r="F1725" s="1049" t="str">
        <f>VLOOKUP(E1725,DICH!B:C,2,FALSE)</f>
        <v>Driven steel pile in water, L&gt;10m, soil C1</v>
      </c>
      <c r="G1725" s="856" t="s">
        <v>546</v>
      </c>
      <c r="H1725" s="847"/>
      <c r="I1725" s="848"/>
      <c r="J1725" s="853"/>
      <c r="L1725" s="842">
        <f>+J1726</f>
        <v>3316744.0500000003</v>
      </c>
      <c r="M1725" s="842">
        <f>+J1727</f>
        <v>25307618.720308911</v>
      </c>
      <c r="N1725" s="843" t="e">
        <f>SUMIF(#REF!,'8.Dgia'!A1725,#REF!)+SUMIF(#REF!,'8.Dgia'!A1725,#REF!)+SUMIF(#REF!,'8.Dgia'!A1725,#REF!)+SUMIF(#REF!,'8.Dgia'!A1725,#REF!)</f>
        <v>#REF!</v>
      </c>
      <c r="O1725" s="844"/>
      <c r="P1725" s="843" t="e">
        <f t="shared" si="81"/>
        <v>#REF!</v>
      </c>
    </row>
    <row r="1726" spans="1:18" s="658" customFormat="1" ht="15" customHeight="1">
      <c r="A1726" s="657">
        <f>IF(B1726="",MAX($A$8:A1725)+0,MAX($A$8:A1725)+1)</f>
        <v>188</v>
      </c>
      <c r="B1726" s="835" t="str">
        <f>IF(C1726="","",COUNTA($C$10:C1727))</f>
        <v/>
      </c>
      <c r="C1726" s="362"/>
      <c r="D1726" s="845"/>
      <c r="E1726" s="852" t="s">
        <v>2039</v>
      </c>
      <c r="F1726" s="848" t="str">
        <f>VLOOKUP(E1726,DICH!B:C,2,FALSE)</f>
        <v xml:space="preserve">  B - Labour 4.0/7</v>
      </c>
      <c r="G1726" s="362" t="s">
        <v>4899</v>
      </c>
      <c r="H1726" s="847">
        <v>15.15</v>
      </c>
      <c r="I1726" s="848">
        <f>VLOOKUP(E1726,'16.NC'!$C$11:$F$22,4,FALSE)</f>
        <v>218927</v>
      </c>
      <c r="J1726" s="849">
        <f>I1726*H1726</f>
        <v>3316744.0500000003</v>
      </c>
      <c r="K1726" s="850"/>
      <c r="L1726" s="850"/>
      <c r="M1726" s="850"/>
      <c r="N1726" s="843" t="e">
        <f>SUMIF(#REF!,'8.Dgia'!A1726,#REF!)+SUMIF(#REF!,'8.Dgia'!A1726,#REF!)+SUMIF(#REF!,'8.Dgia'!A1726,#REF!)+SUMIF(#REF!,'8.Dgia'!A1726,#REF!)</f>
        <v>#REF!</v>
      </c>
      <c r="O1726" s="844"/>
      <c r="P1726" s="843" t="e">
        <f t="shared" si="81"/>
        <v>#REF!</v>
      </c>
      <c r="R1726" s="658">
        <v>1</v>
      </c>
    </row>
    <row r="1727" spans="1:18" s="658" customFormat="1" ht="15" customHeight="1">
      <c r="A1727" s="657">
        <f>IF(B1727="",MAX($A$8:A1726)+0,MAX($A$8:A1726)+1)</f>
        <v>188</v>
      </c>
      <c r="B1727" s="835" t="str">
        <f>IF(C1727="","",COUNTA($C$10:C1728))</f>
        <v/>
      </c>
      <c r="C1727" s="362"/>
      <c r="D1727" s="845"/>
      <c r="E1727" s="852" t="s">
        <v>2033</v>
      </c>
      <c r="F1727" s="848" t="str">
        <f>VLOOKUP(E1727,DICH!B:C,2,FALSE)</f>
        <v xml:space="preserve">  C - Machine</v>
      </c>
      <c r="G1727" s="846"/>
      <c r="H1727" s="847"/>
      <c r="I1727" s="848"/>
      <c r="J1727" s="849">
        <f>SUM(J1728:J1732)</f>
        <v>25307618.720308911</v>
      </c>
      <c r="K1727" s="850"/>
      <c r="L1727" s="850"/>
      <c r="M1727" s="850"/>
      <c r="N1727" s="843" t="e">
        <f>SUMIF(#REF!,'8.Dgia'!A1727,#REF!)+SUMIF(#REF!,'8.Dgia'!A1727,#REF!)+SUMIF(#REF!,'8.Dgia'!A1727,#REF!)+SUMIF(#REF!,'8.Dgia'!A1727,#REF!)</f>
        <v>#REF!</v>
      </c>
      <c r="O1727" s="844"/>
      <c r="P1727" s="843" t="e">
        <f t="shared" si="81"/>
        <v>#REF!</v>
      </c>
    </row>
    <row r="1728" spans="1:18" ht="15" customHeight="1">
      <c r="A1728" s="657">
        <f>IF(B1728="",MAX($A$8:A1727)+0,MAX($A$8:A1727)+1)</f>
        <v>188</v>
      </c>
      <c r="B1728" s="835" t="str">
        <f>IF(C1728="","",COUNTA($C$10:C1729))</f>
        <v/>
      </c>
      <c r="C1728" s="362"/>
      <c r="D1728" s="851"/>
      <c r="E1728" s="852" t="s">
        <v>270</v>
      </c>
      <c r="F1728" s="848" t="str">
        <f>VLOOKUP(E1728,'9.may'!E:F,2,FALSE)</f>
        <v>pile driver, diesel hammer 1.2T</v>
      </c>
      <c r="G1728" s="362" t="s">
        <v>4902</v>
      </c>
      <c r="H1728" s="847">
        <v>5.05</v>
      </c>
      <c r="I1728" s="848">
        <f>VLOOKUP(E1728,'9.may'!E:W,12,FALSE)</f>
        <v>1452950.327090909</v>
      </c>
      <c r="J1728" s="853">
        <f>I1728*H1728</f>
        <v>7337399.1518090898</v>
      </c>
      <c r="N1728" s="843" t="e">
        <f>SUMIF(#REF!,'8.Dgia'!A1728,#REF!)+SUMIF(#REF!,'8.Dgia'!A1728,#REF!)+SUMIF(#REF!,'8.Dgia'!A1728,#REF!)+SUMIF(#REF!,'8.Dgia'!A1728,#REF!)</f>
        <v>#REF!</v>
      </c>
      <c r="O1728" s="844"/>
      <c r="P1728" s="843" t="e">
        <f t="shared" si="81"/>
        <v>#REF!</v>
      </c>
    </row>
    <row r="1729" spans="1:18" ht="15" customHeight="1">
      <c r="A1729" s="657">
        <f>IF(B1729="",MAX($A$8:A1728)+0,MAX($A$8:A1728)+1)</f>
        <v>188</v>
      </c>
      <c r="B1729" s="835" t="str">
        <f>IF(C1729="","",COUNTA($C$10:C1730))</f>
        <v/>
      </c>
      <c r="C1729" s="362"/>
      <c r="D1729" s="851"/>
      <c r="E1729" s="852" t="s">
        <v>288</v>
      </c>
      <c r="F1729" s="848" t="str">
        <f>VLOOKUP(E1729,'9.may'!E:F,2,FALSE)</f>
        <v>caterpillar crane 25T</v>
      </c>
      <c r="G1729" s="362" t="s">
        <v>4902</v>
      </c>
      <c r="H1729" s="847">
        <v>5.05</v>
      </c>
      <c r="I1729" s="848">
        <f>VLOOKUP(E1729,'9.may'!E:W,12,FALSE)</f>
        <v>2787996.6736363638</v>
      </c>
      <c r="J1729" s="853">
        <f>I1729*H1729</f>
        <v>14079383.201863637</v>
      </c>
      <c r="N1729" s="843" t="e">
        <f>SUMIF(#REF!,'8.Dgia'!A1729,#REF!)+SUMIF(#REF!,'8.Dgia'!A1729,#REF!)+SUMIF(#REF!,'8.Dgia'!A1729,#REF!)+SUMIF(#REF!,'8.Dgia'!A1729,#REF!)</f>
        <v>#REF!</v>
      </c>
      <c r="O1729" s="844"/>
      <c r="P1729" s="843" t="e">
        <f t="shared" si="81"/>
        <v>#REF!</v>
      </c>
    </row>
    <row r="1730" spans="1:18" ht="15" customHeight="1">
      <c r="A1730" s="657">
        <f>IF(B1730="",MAX($A$8:A1729)+0,MAX($A$8:A1729)+1)</f>
        <v>188</v>
      </c>
      <c r="B1730" s="835" t="str">
        <f>IF(C1730="","",COUNTA($C$10:C1731))</f>
        <v/>
      </c>
      <c r="C1730" s="362"/>
      <c r="D1730" s="851"/>
      <c r="E1730" s="852" t="s">
        <v>611</v>
      </c>
      <c r="F1730" s="848" t="str">
        <f>VLOOKUP(E1730,'9.may'!E:F,2,FALSE)</f>
        <v>tug boat 150CV</v>
      </c>
      <c r="G1730" s="362" t="s">
        <v>4902</v>
      </c>
      <c r="H1730" s="847">
        <v>0.13</v>
      </c>
      <c r="I1730" s="848">
        <f>VLOOKUP(E1730,'9.may'!E:W,12,FALSE)</f>
        <v>3329663.6045454545</v>
      </c>
      <c r="J1730" s="853">
        <f>I1730*H1730</f>
        <v>432856.26859090908</v>
      </c>
      <c r="N1730" s="843" t="e">
        <f>SUMIF(#REF!,'8.Dgia'!A1730,#REF!)+SUMIF(#REF!,'8.Dgia'!A1730,#REF!)+SUMIF(#REF!,'8.Dgia'!A1730,#REF!)+SUMIF(#REF!,'8.Dgia'!A1730,#REF!)</f>
        <v>#REF!</v>
      </c>
      <c r="O1730" s="844"/>
      <c r="P1730" s="843" t="e">
        <f t="shared" si="81"/>
        <v>#REF!</v>
      </c>
    </row>
    <row r="1731" spans="1:18" ht="15" customHeight="1">
      <c r="A1731" s="657">
        <f>IF(B1731="",MAX($A$8:A1730)+0,MAX($A$8:A1730)+1)</f>
        <v>188</v>
      </c>
      <c r="B1731" s="835" t="str">
        <f>IF(C1731="","",COUNTA($C$10:C1732))</f>
        <v/>
      </c>
      <c r="C1731" s="362"/>
      <c r="D1731" s="851"/>
      <c r="E1731" s="852" t="s">
        <v>561</v>
      </c>
      <c r="F1731" s="848" t="str">
        <f>VLOOKUP(E1731,'9.may'!E:F,2,FALSE)</f>
        <v>barge 200Ton</v>
      </c>
      <c r="G1731" s="362" t="s">
        <v>4902</v>
      </c>
      <c r="H1731" s="847">
        <v>5.05</v>
      </c>
      <c r="I1731" s="848">
        <f>VLOOKUP(E1731,'9.may'!E:W,12,FALSE)</f>
        <v>586485.6</v>
      </c>
      <c r="J1731" s="853">
        <f>I1731*H1731</f>
        <v>2961752.28</v>
      </c>
      <c r="N1731" s="843" t="e">
        <f>SUMIF(#REF!,'8.Dgia'!A1731,#REF!)+SUMIF(#REF!,'8.Dgia'!A1731,#REF!)+SUMIF(#REF!,'8.Dgia'!A1731,#REF!)+SUMIF(#REF!,'8.Dgia'!A1731,#REF!)</f>
        <v>#REF!</v>
      </c>
      <c r="O1731" s="844"/>
      <c r="P1731" s="843" t="e">
        <f t="shared" si="81"/>
        <v>#REF!</v>
      </c>
    </row>
    <row r="1732" spans="1:18" ht="15" customHeight="1">
      <c r="A1732" s="657">
        <f>IF(B1732="",MAX($A$8:A1731)+0,MAX($A$8:A1731)+1)</f>
        <v>188</v>
      </c>
      <c r="B1732" s="835" t="str">
        <f>IF(C1732="","",COUNTA($C$10:C1733))</f>
        <v/>
      </c>
      <c r="C1732" s="362"/>
      <c r="D1732" s="851"/>
      <c r="E1732" s="852" t="s">
        <v>553</v>
      </c>
      <c r="F1732" s="848" t="str">
        <f>VLOOKUP(E1732,DICH!B:C,2,FALSE)</f>
        <v>Other machine</v>
      </c>
      <c r="G1732" s="362" t="s">
        <v>554</v>
      </c>
      <c r="H1732" s="847">
        <v>2</v>
      </c>
      <c r="I1732" s="848">
        <f>SUM(J1728:J1731)</f>
        <v>24811390.902263638</v>
      </c>
      <c r="J1732" s="853">
        <f>I1732*H1732%</f>
        <v>496227.81804527278</v>
      </c>
      <c r="N1732" s="843" t="e">
        <f>SUMIF(#REF!,'8.Dgia'!A1732,#REF!)+SUMIF(#REF!,'8.Dgia'!A1732,#REF!)+SUMIF(#REF!,'8.Dgia'!A1732,#REF!)+SUMIF(#REF!,'8.Dgia'!A1732,#REF!)</f>
        <v>#REF!</v>
      </c>
      <c r="O1732" s="844"/>
      <c r="P1732" s="843" t="e">
        <f t="shared" si="81"/>
        <v>#REF!</v>
      </c>
    </row>
    <row r="1733" spans="1:18" ht="15" customHeight="1">
      <c r="A1733" s="657">
        <f>IF(B1733="",MAX($A$8:A1732)+0,MAX($A$8:A1732)+1)</f>
        <v>189</v>
      </c>
      <c r="B1733" s="835">
        <f>IF(C1733="","",COUNTA($C$10:C1734))</f>
        <v>189</v>
      </c>
      <c r="C1733" s="835">
        <f>IF(D1733="","",1776)</f>
        <v>1776</v>
      </c>
      <c r="D1733" s="851" t="s">
        <v>448</v>
      </c>
      <c r="E1733" s="855" t="s">
        <v>642</v>
      </c>
      <c r="F1733" s="1049" t="str">
        <f>VLOOKUP(E1733,DICH!B:C,2,FALSE)</f>
        <v>Removing shaped steel pile/ casing (on water)</v>
      </c>
      <c r="G1733" s="856" t="s">
        <v>546</v>
      </c>
      <c r="H1733" s="847"/>
      <c r="I1733" s="848"/>
      <c r="J1733" s="853"/>
      <c r="L1733" s="842">
        <f>+J1734</f>
        <v>1247883.9000000001</v>
      </c>
      <c r="M1733" s="842">
        <f>+J1735</f>
        <v>6812361.4972876357</v>
      </c>
      <c r="N1733" s="843" t="e">
        <f>SUMIF(#REF!,'8.Dgia'!A1733,#REF!)+SUMIF(#REF!,'8.Dgia'!A1733,#REF!)+SUMIF(#REF!,'8.Dgia'!A1733,#REF!)+SUMIF(#REF!,'8.Dgia'!A1733,#REF!)</f>
        <v>#REF!</v>
      </c>
      <c r="O1733" s="844"/>
      <c r="P1733" s="843" t="e">
        <f t="shared" si="81"/>
        <v>#REF!</v>
      </c>
    </row>
    <row r="1734" spans="1:18" s="658" customFormat="1" ht="15" customHeight="1">
      <c r="A1734" s="657">
        <f>IF(B1734="",MAX($A$8:A1733)+0,MAX($A$8:A1733)+1)</f>
        <v>189</v>
      </c>
      <c r="B1734" s="835" t="str">
        <f>IF(C1734="","",COUNTA($C$10:C1735))</f>
        <v/>
      </c>
      <c r="C1734" s="362"/>
      <c r="D1734" s="845"/>
      <c r="E1734" s="852" t="s">
        <v>2039</v>
      </c>
      <c r="F1734" s="848" t="str">
        <f>VLOOKUP(E1734,DICH!B:C,2,FALSE)</f>
        <v xml:space="preserve">  B - Labour 4.0/7</v>
      </c>
      <c r="G1734" s="362" t="s">
        <v>4899</v>
      </c>
      <c r="H1734" s="847">
        <v>5.7</v>
      </c>
      <c r="I1734" s="848">
        <f>VLOOKUP(E1734,'16.NC'!$C$11:$F$22,4,FALSE)</f>
        <v>218927</v>
      </c>
      <c r="J1734" s="849">
        <f>I1734*H1734</f>
        <v>1247883.9000000001</v>
      </c>
      <c r="K1734" s="850"/>
      <c r="L1734" s="850"/>
      <c r="M1734" s="850"/>
      <c r="N1734" s="843" t="e">
        <f>SUMIF(#REF!,'8.Dgia'!A1734,#REF!)+SUMIF(#REF!,'8.Dgia'!A1734,#REF!)+SUMIF(#REF!,'8.Dgia'!A1734,#REF!)+SUMIF(#REF!,'8.Dgia'!A1734,#REF!)</f>
        <v>#REF!</v>
      </c>
      <c r="O1734" s="844"/>
      <c r="P1734" s="843" t="e">
        <f t="shared" si="81"/>
        <v>#REF!</v>
      </c>
      <c r="R1734" s="658">
        <v>1</v>
      </c>
    </row>
    <row r="1735" spans="1:18" s="658" customFormat="1" ht="15" customHeight="1">
      <c r="A1735" s="657">
        <f>IF(B1735="",MAX($A$8:A1734)+0,MAX($A$8:A1734)+1)</f>
        <v>189</v>
      </c>
      <c r="B1735" s="835" t="str">
        <f>IF(C1735="","",COUNTA($C$10:C1736))</f>
        <v/>
      </c>
      <c r="C1735" s="362"/>
      <c r="D1735" s="845"/>
      <c r="E1735" s="852" t="s">
        <v>2033</v>
      </c>
      <c r="F1735" s="848" t="str">
        <f>VLOOKUP(E1735,DICH!B:C,2,FALSE)</f>
        <v xml:space="preserve">  C - Machine</v>
      </c>
      <c r="G1735" s="846"/>
      <c r="H1735" s="847"/>
      <c r="I1735" s="848"/>
      <c r="J1735" s="849">
        <f>SUM(J1736:J1739)</f>
        <v>6812361.4972876357</v>
      </c>
      <c r="K1735" s="850"/>
      <c r="L1735" s="850"/>
      <c r="M1735" s="850"/>
      <c r="N1735" s="843" t="e">
        <f>SUMIF(#REF!,'8.Dgia'!A1735,#REF!)+SUMIF(#REF!,'8.Dgia'!A1735,#REF!)+SUMIF(#REF!,'8.Dgia'!A1735,#REF!)+SUMIF(#REF!,'8.Dgia'!A1735,#REF!)</f>
        <v>#REF!</v>
      </c>
      <c r="O1735" s="844"/>
      <c r="P1735" s="843" t="e">
        <f t="shared" si="81"/>
        <v>#REF!</v>
      </c>
    </row>
    <row r="1736" spans="1:18" ht="15" customHeight="1">
      <c r="A1736" s="657">
        <f>IF(B1736="",MAX($A$8:A1735)+0,MAX($A$8:A1735)+1)</f>
        <v>189</v>
      </c>
      <c r="B1736" s="835" t="str">
        <f>IF(C1736="","",COUNTA($C$10:C1737))</f>
        <v/>
      </c>
      <c r="C1736" s="362"/>
      <c r="D1736" s="851"/>
      <c r="E1736" s="852" t="s">
        <v>288</v>
      </c>
      <c r="F1736" s="848" t="str">
        <f>VLOOKUP(E1736,'9.may'!E:F,2,FALSE)</f>
        <v>caterpillar crane 25T</v>
      </c>
      <c r="G1736" s="362" t="s">
        <v>4902</v>
      </c>
      <c r="H1736" s="847">
        <v>1.92</v>
      </c>
      <c r="I1736" s="848">
        <f>VLOOKUP(E1736,'9.may'!E:W,12,FALSE)</f>
        <v>2787996.6736363638</v>
      </c>
      <c r="J1736" s="853">
        <f>I1736*H1736</f>
        <v>5352953.6133818179</v>
      </c>
      <c r="N1736" s="843" t="e">
        <f>SUMIF(#REF!,'8.Dgia'!A1736,#REF!)+SUMIF(#REF!,'8.Dgia'!A1736,#REF!)+SUMIF(#REF!,'8.Dgia'!A1736,#REF!)+SUMIF(#REF!,'8.Dgia'!A1736,#REF!)</f>
        <v>#REF!</v>
      </c>
      <c r="O1736" s="844"/>
      <c r="P1736" s="843" t="e">
        <f t="shared" si="81"/>
        <v>#REF!</v>
      </c>
    </row>
    <row r="1737" spans="1:18" ht="15" customHeight="1">
      <c r="A1737" s="657">
        <f>IF(B1737="",MAX($A$8:A1736)+0,MAX($A$8:A1736)+1)</f>
        <v>189</v>
      </c>
      <c r="B1737" s="835" t="str">
        <f>IF(C1737="","",COUNTA($C$10:C1738))</f>
        <v/>
      </c>
      <c r="C1737" s="362"/>
      <c r="D1737" s="851"/>
      <c r="E1737" s="852" t="s">
        <v>611</v>
      </c>
      <c r="F1737" s="848" t="str">
        <f>VLOOKUP(E1737,'9.may'!E:F,2,FALSE)</f>
        <v>tug boat 150CV</v>
      </c>
      <c r="G1737" s="362" t="s">
        <v>4902</v>
      </c>
      <c r="H1737" s="847">
        <v>0.06</v>
      </c>
      <c r="I1737" s="848">
        <f>VLOOKUP(E1737,'9.may'!E:W,12,FALSE)</f>
        <v>3329663.6045454545</v>
      </c>
      <c r="J1737" s="853">
        <f>I1737*H1737</f>
        <v>199779.81627272727</v>
      </c>
      <c r="N1737" s="843" t="e">
        <f>SUMIF(#REF!,'8.Dgia'!A1737,#REF!)+SUMIF(#REF!,'8.Dgia'!A1737,#REF!)+SUMIF(#REF!,'8.Dgia'!A1737,#REF!)+SUMIF(#REF!,'8.Dgia'!A1737,#REF!)</f>
        <v>#REF!</v>
      </c>
      <c r="O1737" s="844"/>
      <c r="P1737" s="843" t="e">
        <f t="shared" si="81"/>
        <v>#REF!</v>
      </c>
    </row>
    <row r="1738" spans="1:18" ht="15" customHeight="1">
      <c r="A1738" s="657">
        <f>IF(B1738="",MAX($A$8:A1737)+0,MAX($A$8:A1737)+1)</f>
        <v>189</v>
      </c>
      <c r="B1738" s="835" t="str">
        <f>IF(C1738="","",COUNTA($C$10:C1739))</f>
        <v/>
      </c>
      <c r="C1738" s="362"/>
      <c r="D1738" s="851"/>
      <c r="E1738" s="852" t="s">
        <v>561</v>
      </c>
      <c r="F1738" s="848" t="str">
        <f>VLOOKUP(E1738,'9.may'!E:F,2,FALSE)</f>
        <v>barge 200Ton</v>
      </c>
      <c r="G1738" s="362" t="s">
        <v>4902</v>
      </c>
      <c r="H1738" s="847">
        <v>1.92</v>
      </c>
      <c r="I1738" s="848">
        <f>VLOOKUP(E1738,'9.may'!E:W,12,FALSE)</f>
        <v>586485.6</v>
      </c>
      <c r="J1738" s="853">
        <f>I1738*H1738</f>
        <v>1126052.352</v>
      </c>
      <c r="N1738" s="843" t="e">
        <f>SUMIF(#REF!,'8.Dgia'!A1738,#REF!)+SUMIF(#REF!,'8.Dgia'!A1738,#REF!)+SUMIF(#REF!,'8.Dgia'!A1738,#REF!)+SUMIF(#REF!,'8.Dgia'!A1738,#REF!)</f>
        <v>#REF!</v>
      </c>
      <c r="O1738" s="844"/>
      <c r="P1738" s="843" t="e">
        <f t="shared" si="81"/>
        <v>#REF!</v>
      </c>
    </row>
    <row r="1739" spans="1:18" ht="15" customHeight="1">
      <c r="A1739" s="657">
        <f>IF(B1739="",MAX($A$8:A1738)+0,MAX($A$8:A1738)+1)</f>
        <v>189</v>
      </c>
      <c r="B1739" s="835" t="str">
        <f>IF(C1739="","",COUNTA($C$10:C1740))</f>
        <v/>
      </c>
      <c r="C1739" s="362"/>
      <c r="D1739" s="851"/>
      <c r="E1739" s="852" t="s">
        <v>553</v>
      </c>
      <c r="F1739" s="848" t="str">
        <f>VLOOKUP(E1739,DICH!B:C,2,FALSE)</f>
        <v>Other machine</v>
      </c>
      <c r="G1739" s="362" t="s">
        <v>554</v>
      </c>
      <c r="H1739" s="847">
        <v>2</v>
      </c>
      <c r="I1739" s="848">
        <f>SUM(J1736:J1738)</f>
        <v>6678785.7816545451</v>
      </c>
      <c r="J1739" s="853">
        <f>I1739*H1739%</f>
        <v>133575.71563309091</v>
      </c>
      <c r="N1739" s="843" t="e">
        <f>SUMIF(#REF!,'8.Dgia'!A1739,#REF!)+SUMIF(#REF!,'8.Dgia'!A1739,#REF!)+SUMIF(#REF!,'8.Dgia'!A1739,#REF!)+SUMIF(#REF!,'8.Dgia'!A1739,#REF!)</f>
        <v>#REF!</v>
      </c>
      <c r="O1739" s="844"/>
      <c r="P1739" s="843" t="e">
        <f t="shared" si="81"/>
        <v>#REF!</v>
      </c>
    </row>
    <row r="1740" spans="1:18" ht="15" customHeight="1">
      <c r="A1740" s="657">
        <f>IF(B1740="",MAX($A$8:A1739)+0,MAX($A$8:A1739)+1)</f>
        <v>190</v>
      </c>
      <c r="B1740" s="835">
        <f>IF(C1740="","",COUNTA($C$10:C1741))</f>
        <v>190</v>
      </c>
      <c r="C1740" s="835">
        <f>IF(D1740="","",1776)</f>
        <v>1776</v>
      </c>
      <c r="D1740" s="851" t="s">
        <v>229</v>
      </c>
      <c r="E1740" s="855" t="s">
        <v>4012</v>
      </c>
      <c r="F1740" s="1049" t="str">
        <f>VLOOKUP(E1740,DICH!B:C,2,FALSE)</f>
        <v>Blinding concrete C20 (stone 4x6) on land</v>
      </c>
      <c r="G1740" s="856" t="s">
        <v>545</v>
      </c>
      <c r="H1740" s="847"/>
      <c r="I1740" s="848"/>
      <c r="J1740" s="853"/>
      <c r="K1740" s="842">
        <f>+J1741</f>
        <v>945223.09024425992</v>
      </c>
      <c r="L1740" s="842">
        <f>+J1745</f>
        <v>355008.5</v>
      </c>
      <c r="M1740" s="842">
        <f>+J1746</f>
        <v>211725.97582500003</v>
      </c>
      <c r="N1740" s="843" t="e">
        <f>SUMIF(#REF!,'8.Dgia'!A1740,#REF!)+SUMIF(#REF!,'8.Dgia'!A1740,#REF!)+SUMIF(#REF!,'8.Dgia'!A1740,#REF!)+SUMIF(#REF!,'8.Dgia'!A1740,#REF!)</f>
        <v>#REF!</v>
      </c>
      <c r="O1740" s="844"/>
      <c r="P1740" s="843" t="e">
        <f t="shared" si="81"/>
        <v>#REF!</v>
      </c>
    </row>
    <row r="1741" spans="1:18" s="658" customFormat="1" ht="15" customHeight="1">
      <c r="A1741" s="657">
        <f>IF(B1741="",MAX($A$8:A1740)+0,MAX($A$8:A1740)+1)</f>
        <v>190</v>
      </c>
      <c r="B1741" s="835" t="str">
        <f>IF(C1741="","",COUNTA($C$10:C1742))</f>
        <v/>
      </c>
      <c r="C1741" s="362"/>
      <c r="D1741" s="845"/>
      <c r="E1741" s="852" t="s">
        <v>2032</v>
      </c>
      <c r="F1741" s="848" t="str">
        <f>VLOOKUP(E1741,DICH!B:C,2,FALSE)</f>
        <v xml:space="preserve">  A - Material</v>
      </c>
      <c r="G1741" s="846"/>
      <c r="H1741" s="847"/>
      <c r="I1741" s="848"/>
      <c r="J1741" s="849">
        <f>SUM(J1742:J1744)</f>
        <v>945223.09024425992</v>
      </c>
      <c r="K1741" s="850"/>
      <c r="L1741" s="850"/>
      <c r="M1741" s="850"/>
      <c r="N1741" s="843" t="e">
        <f>SUMIF(#REF!,'8.Dgia'!A1741,#REF!)+SUMIF(#REF!,'8.Dgia'!A1741,#REF!)+SUMIF(#REF!,'8.Dgia'!A1741,#REF!)+SUMIF(#REF!,'8.Dgia'!A1741,#REF!)</f>
        <v>#REF!</v>
      </c>
      <c r="O1741" s="844"/>
      <c r="P1741" s="843" t="e">
        <f t="shared" si="81"/>
        <v>#REF!</v>
      </c>
    </row>
    <row r="1742" spans="1:18" ht="15" customHeight="1">
      <c r="A1742" s="657">
        <f>IF(B1742="",MAX($A$8:A1741)+0,MAX($A$8:A1741)+1)</f>
        <v>190</v>
      </c>
      <c r="B1742" s="835" t="str">
        <f>IF(C1742="","",COUNTA($C$10:C1743))</f>
        <v/>
      </c>
      <c r="C1742" s="851"/>
      <c r="D1742" s="851" t="str">
        <f>+'10.PLV'!$C$106</f>
        <v>C3344</v>
      </c>
      <c r="E1742" s="852" t="str">
        <f>+'10.PLV'!$D$106</f>
        <v>Vữa Bê tông C20 đá 4x6 (độ sụt 14-17cm)</v>
      </c>
      <c r="F1742" s="848" t="str">
        <f>VLOOKUP(E1742,DICH!B:C,2,FALSE)</f>
        <v>Concrete motar C20 stone 4x6 slump 14-17</v>
      </c>
      <c r="G1742" s="362" t="s">
        <v>545</v>
      </c>
      <c r="H1742" s="847">
        <v>1.03</v>
      </c>
      <c r="I1742" s="848">
        <f>VLOOKUP(E1742,'11.gia '!B:I,8,FALSE)</f>
        <v>901907.22891883098</v>
      </c>
      <c r="J1742" s="853">
        <f>I1742*H1742</f>
        <v>928964.44578639593</v>
      </c>
      <c r="N1742" s="843" t="e">
        <f>SUMIF(#REF!,'8.Dgia'!A1742,#REF!)+SUMIF(#REF!,'8.Dgia'!A1742,#REF!)+SUMIF(#REF!,'8.Dgia'!A1742,#REF!)+SUMIF(#REF!,'8.Dgia'!A1742,#REF!)</f>
        <v>#REF!</v>
      </c>
      <c r="O1742" s="844">
        <f>+$H$1744</f>
        <v>1</v>
      </c>
      <c r="P1742" s="843" t="e">
        <f t="shared" si="81"/>
        <v>#REF!</v>
      </c>
    </row>
    <row r="1743" spans="1:18" ht="15" customHeight="1">
      <c r="A1743" s="657">
        <f>IF(B1743="",MAX($A$8:A1742)+0,MAX($A$8:A1742)+1)</f>
        <v>190</v>
      </c>
      <c r="B1743" s="835" t="str">
        <f>IF(C1743="","",COUNTA($C$10:C1744))</f>
        <v/>
      </c>
      <c r="C1743" s="362"/>
      <c r="D1743" s="851"/>
      <c r="E1743" s="852" t="s">
        <v>669</v>
      </c>
      <c r="F1743" s="848" t="str">
        <f>VLOOKUP(E1743,DICH!B:C,2,FALSE)</f>
        <v>pouring pipe D300</v>
      </c>
      <c r="G1743" s="362" t="s">
        <v>543</v>
      </c>
      <c r="H1743" s="847">
        <v>0.05</v>
      </c>
      <c r="I1743" s="848">
        <f>VLOOKUP(E1743,'11.gia '!$B:$I,8,FALSE)</f>
        <v>138000</v>
      </c>
      <c r="J1743" s="853">
        <f>I1743*H1743</f>
        <v>6900</v>
      </c>
      <c r="N1743" s="843" t="e">
        <f>SUMIF(#REF!,'8.Dgia'!A1743,#REF!)+SUMIF(#REF!,'8.Dgia'!A1743,#REF!)+SUMIF(#REF!,'8.Dgia'!A1743,#REF!)+SUMIF(#REF!,'8.Dgia'!A1743,#REF!)</f>
        <v>#REF!</v>
      </c>
      <c r="O1743" s="844">
        <f>+$H$1744</f>
        <v>1</v>
      </c>
      <c r="P1743" s="843" t="e">
        <f t="shared" si="81"/>
        <v>#REF!</v>
      </c>
    </row>
    <row r="1744" spans="1:18" ht="15" customHeight="1">
      <c r="A1744" s="657">
        <f>IF(B1744="",MAX($A$8:A1743)+0,MAX($A$8:A1743)+1)</f>
        <v>190</v>
      </c>
      <c r="B1744" s="835" t="str">
        <f>IF(C1744="","",COUNTA($C$10:C1745))</f>
        <v/>
      </c>
      <c r="C1744" s="362"/>
      <c r="D1744" s="851"/>
      <c r="E1744" s="852" t="s">
        <v>555</v>
      </c>
      <c r="F1744" s="848" t="str">
        <f>VLOOKUP(E1744,DICH!B:C,2,FALSE)</f>
        <v>Other material</v>
      </c>
      <c r="G1744" s="362" t="s">
        <v>554</v>
      </c>
      <c r="H1744" s="847">
        <v>1</v>
      </c>
      <c r="I1744" s="848">
        <f>SUM(J1742:J1743)</f>
        <v>935864.44578639593</v>
      </c>
      <c r="J1744" s="853">
        <f>I1744*H1744%</f>
        <v>9358.6444578639603</v>
      </c>
      <c r="N1744" s="843" t="e">
        <f>SUMIF(#REF!,'8.Dgia'!A1744,#REF!)+SUMIF(#REF!,'8.Dgia'!A1744,#REF!)+SUMIF(#REF!,'8.Dgia'!A1744,#REF!)+SUMIF(#REF!,'8.Dgia'!A1744,#REF!)</f>
        <v>#REF!</v>
      </c>
      <c r="O1744" s="844"/>
      <c r="P1744" s="843" t="e">
        <f t="shared" si="81"/>
        <v>#REF!</v>
      </c>
    </row>
    <row r="1745" spans="1:18" s="658" customFormat="1" ht="15" customHeight="1">
      <c r="A1745" s="657">
        <f>IF(B1745="",MAX($A$8:A1744)+0,MAX($A$8:A1744)+1)</f>
        <v>190</v>
      </c>
      <c r="B1745" s="835" t="str">
        <f>IF(C1745="","",COUNTA($C$10:C1746))</f>
        <v/>
      </c>
      <c r="C1745" s="362"/>
      <c r="D1745" s="845"/>
      <c r="E1745" s="852" t="s">
        <v>2037</v>
      </c>
      <c r="F1745" s="848" t="str">
        <f>VLOOKUP(E1745,DICH!B:C,2,FALSE)</f>
        <v xml:space="preserve">  B - Labour 3.5/7</v>
      </c>
      <c r="G1745" s="362" t="s">
        <v>4899</v>
      </c>
      <c r="H1745" s="847">
        <v>1.75</v>
      </c>
      <c r="I1745" s="848">
        <f>VLOOKUP(E1745,'16.NC'!$C$11:$F$22,4,FALSE)</f>
        <v>202862</v>
      </c>
      <c r="J1745" s="849">
        <f>I1745*H1745</f>
        <v>355008.5</v>
      </c>
      <c r="K1745" s="850"/>
      <c r="L1745" s="850"/>
      <c r="M1745" s="850"/>
      <c r="N1745" s="843" t="e">
        <f>SUMIF(#REF!,'8.Dgia'!A1745,#REF!)+SUMIF(#REF!,'8.Dgia'!A1745,#REF!)+SUMIF(#REF!,'8.Dgia'!A1745,#REF!)+SUMIF(#REF!,'8.Dgia'!A1745,#REF!)</f>
        <v>#REF!</v>
      </c>
      <c r="O1745" s="844"/>
      <c r="P1745" s="843" t="e">
        <f t="shared" si="81"/>
        <v>#REF!</v>
      </c>
      <c r="R1745" s="658">
        <v>1</v>
      </c>
    </row>
    <row r="1746" spans="1:18" s="658" customFormat="1" ht="15" customHeight="1">
      <c r="A1746" s="657">
        <f>IF(B1746="",MAX($A$8:A1745)+0,MAX($A$8:A1745)+1)</f>
        <v>190</v>
      </c>
      <c r="B1746" s="835" t="str">
        <f>IF(C1746="","",COUNTA($C$10:C1747))</f>
        <v/>
      </c>
      <c r="C1746" s="362"/>
      <c r="D1746" s="845"/>
      <c r="E1746" s="852" t="s">
        <v>2033</v>
      </c>
      <c r="F1746" s="848" t="str">
        <f>VLOOKUP(E1746,DICH!B:C,2,FALSE)</f>
        <v xml:space="preserve">  C - Machine</v>
      </c>
      <c r="G1746" s="846"/>
      <c r="H1746" s="847"/>
      <c r="I1746" s="848"/>
      <c r="J1746" s="849">
        <f>SUM(J1747:J1749)</f>
        <v>211725.97582500003</v>
      </c>
      <c r="K1746" s="850"/>
      <c r="L1746" s="850"/>
      <c r="M1746" s="850"/>
      <c r="N1746" s="843" t="e">
        <f>SUMIF(#REF!,'8.Dgia'!A1746,#REF!)+SUMIF(#REF!,'8.Dgia'!A1746,#REF!)+SUMIF(#REF!,'8.Dgia'!A1746,#REF!)+SUMIF(#REF!,'8.Dgia'!A1746,#REF!)</f>
        <v>#REF!</v>
      </c>
      <c r="O1746" s="844"/>
      <c r="P1746" s="843" t="e">
        <f t="shared" si="81"/>
        <v>#REF!</v>
      </c>
    </row>
    <row r="1747" spans="1:18" ht="15" customHeight="1">
      <c r="A1747" s="657">
        <f>IF(B1747="",MAX($A$8:A1746)+0,MAX($A$8:A1746)+1)</f>
        <v>190</v>
      </c>
      <c r="B1747" s="835" t="str">
        <f>IF(C1747="","",COUNTA($C$10:C1748))</f>
        <v/>
      </c>
      <c r="C1747" s="362"/>
      <c r="D1747" s="851"/>
      <c r="E1747" s="852" t="s">
        <v>1182</v>
      </c>
      <c r="F1747" s="848" t="str">
        <f>VLOOKUP(E1747,'9.may'!E:F,2,FALSE)</f>
        <v>concrete pump truck 50m3/h</v>
      </c>
      <c r="G1747" s="362" t="s">
        <v>4902</v>
      </c>
      <c r="H1747" s="847">
        <v>0.05</v>
      </c>
      <c r="I1747" s="848">
        <f>VLOOKUP(E1747,'9.may'!E:W,12,FALSE)</f>
        <v>3446390.13</v>
      </c>
      <c r="J1747" s="853">
        <f>I1747*H1747</f>
        <v>172319.50650000002</v>
      </c>
      <c r="N1747" s="843" t="e">
        <f>SUMIF(#REF!,'8.Dgia'!A1747,#REF!)+SUMIF(#REF!,'8.Dgia'!A1747,#REF!)+SUMIF(#REF!,'8.Dgia'!A1747,#REF!)+SUMIF(#REF!,'8.Dgia'!A1747,#REF!)</f>
        <v>#REF!</v>
      </c>
      <c r="O1747" s="844">
        <f>+$H$1749</f>
        <v>5</v>
      </c>
      <c r="P1747" s="843" t="e">
        <f t="shared" si="81"/>
        <v>#REF!</v>
      </c>
    </row>
    <row r="1748" spans="1:18" ht="15" customHeight="1">
      <c r="A1748" s="657">
        <f>IF(B1748="",MAX($A$8:A1747)+0,MAX($A$8:A1747)+1)</f>
        <v>190</v>
      </c>
      <c r="B1748" s="835" t="str">
        <f>IF(C1748="","",COUNTA($C$10:C1749))</f>
        <v/>
      </c>
      <c r="C1748" s="362"/>
      <c r="D1748" s="851"/>
      <c r="E1748" s="852" t="s">
        <v>561</v>
      </c>
      <c r="F1748" s="848" t="str">
        <f>VLOOKUP(E1748,'9.may'!E:F,2,FALSE)</f>
        <v>barge 200Ton</v>
      </c>
      <c r="G1748" s="362" t="s">
        <v>4902</v>
      </c>
      <c r="H1748" s="847">
        <v>0.05</v>
      </c>
      <c r="I1748" s="848">
        <f>VLOOKUP(E1748,'9.may'!E:W,12,FALSE)</f>
        <v>586485.6</v>
      </c>
      <c r="J1748" s="853">
        <f>I1748*H1748</f>
        <v>29324.28</v>
      </c>
      <c r="N1748" s="843" t="e">
        <f>SUMIF(#REF!,'8.Dgia'!A1748,#REF!)+SUMIF(#REF!,'8.Dgia'!A1748,#REF!)+SUMIF(#REF!,'8.Dgia'!A1748,#REF!)+SUMIF(#REF!,'8.Dgia'!A1748,#REF!)</f>
        <v>#REF!</v>
      </c>
      <c r="O1748" s="844">
        <f>+$H$1749</f>
        <v>5</v>
      </c>
      <c r="P1748" s="843" t="e">
        <f t="shared" si="81"/>
        <v>#REF!</v>
      </c>
    </row>
    <row r="1749" spans="1:18" ht="16.5" customHeight="1">
      <c r="A1749" s="657">
        <f>IF(B1749="",MAX($A$8:A1748)+0,MAX($A$8:A1748)+1)</f>
        <v>190</v>
      </c>
      <c r="B1749" s="835" t="str">
        <f>IF(C1749="","",COUNTA($C$10:C1750))</f>
        <v/>
      </c>
      <c r="C1749" s="362"/>
      <c r="D1749" s="851"/>
      <c r="E1749" s="852" t="s">
        <v>553</v>
      </c>
      <c r="F1749" s="848" t="str">
        <f>VLOOKUP(E1749,DICH!B:C,2,FALSE)</f>
        <v>Other machine</v>
      </c>
      <c r="G1749" s="362" t="s">
        <v>554</v>
      </c>
      <c r="H1749" s="847">
        <v>5</v>
      </c>
      <c r="I1749" s="848">
        <f>SUM(J1747:J1748)</f>
        <v>201643.78650000002</v>
      </c>
      <c r="J1749" s="853">
        <f>I1749*H1749%</f>
        <v>10082.189325000001</v>
      </c>
      <c r="N1749" s="843" t="e">
        <f>SUMIF(#REF!,'8.Dgia'!A1749,#REF!)+SUMIF(#REF!,'8.Dgia'!A1749,#REF!)+SUMIF(#REF!,'8.Dgia'!A1749,#REF!)+SUMIF(#REF!,'8.Dgia'!A1749,#REF!)</f>
        <v>#REF!</v>
      </c>
      <c r="O1749" s="844"/>
      <c r="P1749" s="843" t="e">
        <f t="shared" si="81"/>
        <v>#REF!</v>
      </c>
    </row>
    <row r="1750" spans="1:18" ht="26.25" customHeight="1">
      <c r="A1750" s="657">
        <f>IF(B1750="",MAX($A$8:A1749)+0,MAX($A$8:A1749)+1)</f>
        <v>191</v>
      </c>
      <c r="B1750" s="835">
        <f>IF(C1750="","",COUNTA($C$10:C1751))</f>
        <v>191</v>
      </c>
      <c r="C1750" s="835">
        <f>IF(D1750="","",1776)</f>
        <v>1776</v>
      </c>
      <c r="D1750" s="851" t="s">
        <v>2053</v>
      </c>
      <c r="E1750" s="855" t="s">
        <v>5966</v>
      </c>
      <c r="F1750" s="1049" t="s">
        <v>5578</v>
      </c>
      <c r="G1750" s="856" t="s">
        <v>4644</v>
      </c>
      <c r="H1750" s="911">
        <f>2%*2.5+7%</f>
        <v>0.12000000000000001</v>
      </c>
      <c r="I1750" s="848"/>
      <c r="J1750" s="857"/>
      <c r="K1750" s="842">
        <f>+J1751</f>
        <v>2769450.5300122732</v>
      </c>
      <c r="L1750" s="842">
        <f>+J1758</f>
        <v>4949939.47</v>
      </c>
      <c r="M1750" s="842">
        <f>+J1759</f>
        <v>1271422.0785818181</v>
      </c>
      <c r="N1750" s="843" t="e">
        <f>SUMIF(#REF!,'8.Dgia'!A1750,#REF!)+SUMIF(#REF!,'8.Dgia'!A1750,#REF!)+SUMIF(#REF!,'8.Dgia'!A1750,#REF!)+SUMIF(#REF!,'8.Dgia'!A1750,#REF!)</f>
        <v>#REF!</v>
      </c>
      <c r="O1750" s="844"/>
      <c r="P1750" s="843" t="e">
        <f t="shared" si="81"/>
        <v>#REF!</v>
      </c>
    </row>
    <row r="1751" spans="1:18" ht="15" customHeight="1">
      <c r="A1751" s="657">
        <f>IF(B1751="",MAX($A$8:A1750)+0,MAX($A$8:A1750)+1)</f>
        <v>191</v>
      </c>
      <c r="B1751" s="835" t="str">
        <f>IF(C1751="","",COUNTA($C$10:C1752))</f>
        <v/>
      </c>
      <c r="C1751" s="362"/>
      <c r="D1751" s="851"/>
      <c r="E1751" s="852" t="s">
        <v>2032</v>
      </c>
      <c r="F1751" s="848" t="str">
        <f>VLOOKUP(E1751,DICH!B:C,2,FALSE)</f>
        <v xml:space="preserve">  A - Material</v>
      </c>
      <c r="G1751" s="856"/>
      <c r="H1751" s="847"/>
      <c r="I1751" s="848"/>
      <c r="J1751" s="849">
        <f>SUM(J1752:J1757)</f>
        <v>2769450.5300122732</v>
      </c>
      <c r="N1751" s="843" t="e">
        <f>SUMIF(#REF!,'8.Dgia'!A1751,#REF!)+SUMIF(#REF!,'8.Dgia'!A1751,#REF!)+SUMIF(#REF!,'8.Dgia'!A1751,#REF!)+SUMIF(#REF!,'8.Dgia'!A1751,#REF!)</f>
        <v>#REF!</v>
      </c>
      <c r="O1751" s="844"/>
      <c r="P1751" s="843" t="e">
        <f t="shared" si="81"/>
        <v>#REF!</v>
      </c>
    </row>
    <row r="1752" spans="1:18" ht="15" customHeight="1">
      <c r="A1752" s="657">
        <f>IF(B1752="",MAX($A$8:A1751)+0,MAX($A$8:A1751)+1)</f>
        <v>191</v>
      </c>
      <c r="B1752" s="835" t="str">
        <f>IF(C1752="","",COUNTA($C$10:C1753))</f>
        <v/>
      </c>
      <c r="C1752" s="362"/>
      <c r="D1752" s="851" t="s">
        <v>2255</v>
      </c>
      <c r="E1752" s="852" t="s">
        <v>563</v>
      </c>
      <c r="F1752" s="848" t="str">
        <f>VLOOKUP(E1752,DICH!B:C,2,FALSE)</f>
        <v>Shaped steel</v>
      </c>
      <c r="G1752" s="362" t="s">
        <v>622</v>
      </c>
      <c r="H1752" s="379">
        <f>697.85*H1750</f>
        <v>83.742000000000004</v>
      </c>
      <c r="I1752" s="848">
        <f>VLOOKUP(E1752,'11.gia '!$B:$I,8,FALSE)</f>
        <v>16703.248369172808</v>
      </c>
      <c r="J1752" s="853">
        <f t="shared" ref="J1752:J1758" si="83">I1752*H1752</f>
        <v>1398763.4249312694</v>
      </c>
      <c r="N1752" s="843" t="e">
        <f>SUMIF(#REF!,'8.Dgia'!A1752,#REF!)+SUMIF(#REF!,'8.Dgia'!A1752,#REF!)+SUMIF(#REF!,'8.Dgia'!A1752,#REF!)+SUMIF(#REF!,'8.Dgia'!A1752,#REF!)</f>
        <v>#REF!</v>
      </c>
      <c r="O1752" s="844">
        <f>+$H$1757</f>
        <v>5</v>
      </c>
      <c r="P1752" s="843" t="e">
        <f t="shared" si="81"/>
        <v>#REF!</v>
      </c>
    </row>
    <row r="1753" spans="1:18" ht="15" customHeight="1">
      <c r="A1753" s="657">
        <f>IF(B1753="",MAX($A$8:A1752)+0,MAX($A$8:A1752)+1)</f>
        <v>191</v>
      </c>
      <c r="B1753" s="835" t="str">
        <f>IF(C1753="","",COUNTA($C$10:C1754))</f>
        <v/>
      </c>
      <c r="C1753" s="362"/>
      <c r="D1753" s="851" t="s">
        <v>2255</v>
      </c>
      <c r="E1753" s="852" t="s">
        <v>562</v>
      </c>
      <c r="F1753" s="848" t="str">
        <f>VLOOKUP(E1753,DICH!B:C,2,FALSE)</f>
        <v>Plate steel</v>
      </c>
      <c r="G1753" s="362" t="s">
        <v>558</v>
      </c>
      <c r="H1753" s="379">
        <f>362.15*H1750</f>
        <v>43.457999999999998</v>
      </c>
      <c r="I1753" s="848">
        <f>VLOOKUP(E1753,'11.gia '!$B:$I,8,FALSE)</f>
        <v>12871.348287272725</v>
      </c>
      <c r="J1753" s="853">
        <f t="shared" si="83"/>
        <v>559363.05386829807</v>
      </c>
      <c r="N1753" s="843" t="e">
        <f>SUMIF(#REF!,'8.Dgia'!A1753,#REF!)+SUMIF(#REF!,'8.Dgia'!A1753,#REF!)+SUMIF(#REF!,'8.Dgia'!A1753,#REF!)+SUMIF(#REF!,'8.Dgia'!A1753,#REF!)</f>
        <v>#REF!</v>
      </c>
      <c r="O1753" s="844">
        <f>+$H$1757</f>
        <v>5</v>
      </c>
      <c r="P1753" s="843" t="e">
        <f t="shared" si="81"/>
        <v>#REF!</v>
      </c>
    </row>
    <row r="1754" spans="1:18" ht="15" customHeight="1">
      <c r="A1754" s="657">
        <f>IF(B1754="",MAX($A$8:A1753)+0,MAX($A$8:A1753)+1)</f>
        <v>191</v>
      </c>
      <c r="B1754" s="835" t="str">
        <f>IF(C1754="","",COUNTA($C$10:C1755))</f>
        <v/>
      </c>
      <c r="C1754" s="362"/>
      <c r="D1754" s="851"/>
      <c r="E1754" s="852" t="s">
        <v>559</v>
      </c>
      <c r="F1754" s="848" t="str">
        <f>VLOOKUP(E1754,DICH!B:C,2,FALSE)</f>
        <v>welding electrode</v>
      </c>
      <c r="G1754" s="362" t="s">
        <v>558</v>
      </c>
      <c r="H1754" s="239">
        <f>24.15</f>
        <v>24.15</v>
      </c>
      <c r="I1754" s="848">
        <f>VLOOKUP(E1754,'11.gia '!$B:$I,8,FALSE)</f>
        <v>19090.909090909088</v>
      </c>
      <c r="J1754" s="853">
        <f t="shared" si="83"/>
        <v>461045.45454545447</v>
      </c>
      <c r="N1754" s="843" t="e">
        <f>SUMIF(#REF!,'8.Dgia'!A1754,#REF!)+SUMIF(#REF!,'8.Dgia'!A1754,#REF!)+SUMIF(#REF!,'8.Dgia'!A1754,#REF!)+SUMIF(#REF!,'8.Dgia'!A1754,#REF!)</f>
        <v>#REF!</v>
      </c>
      <c r="O1754" s="844">
        <f>+$H$1757</f>
        <v>5</v>
      </c>
      <c r="P1754" s="843" t="e">
        <f t="shared" si="81"/>
        <v>#REF!</v>
      </c>
    </row>
    <row r="1755" spans="1:18" ht="15" customHeight="1">
      <c r="A1755" s="657">
        <f>IF(B1755="",MAX($A$8:A1754)+0,MAX($A$8:A1754)+1)</f>
        <v>191</v>
      </c>
      <c r="B1755" s="835" t="str">
        <f>IF(C1755="","",COUNTA($C$10:C1756))</f>
        <v/>
      </c>
      <c r="C1755" s="362"/>
      <c r="D1755" s="851"/>
      <c r="E1755" s="852" t="s">
        <v>564</v>
      </c>
      <c r="F1755" s="848" t="str">
        <f>VLOOKUP(E1755,DICH!B:C,2,FALSE)</f>
        <v>oxygen</v>
      </c>
      <c r="G1755" s="362" t="s">
        <v>4647</v>
      </c>
      <c r="H1755" s="239">
        <f>2.1</f>
        <v>2.1</v>
      </c>
      <c r="I1755" s="848">
        <f>VLOOKUP(E1755,'11.gia '!$B:$I,8,FALSE)</f>
        <v>48000</v>
      </c>
      <c r="J1755" s="853">
        <f t="shared" si="83"/>
        <v>100800</v>
      </c>
      <c r="N1755" s="843" t="e">
        <f>SUMIF(#REF!,'8.Dgia'!A1755,#REF!)+SUMIF(#REF!,'8.Dgia'!A1755,#REF!)+SUMIF(#REF!,'8.Dgia'!A1755,#REF!)+SUMIF(#REF!,'8.Dgia'!A1755,#REF!)</f>
        <v>#REF!</v>
      </c>
      <c r="O1755" s="844">
        <f>+$H$1757</f>
        <v>5</v>
      </c>
      <c r="P1755" s="843" t="e">
        <f t="shared" si="81"/>
        <v>#REF!</v>
      </c>
    </row>
    <row r="1756" spans="1:18" ht="15" customHeight="1">
      <c r="A1756" s="657">
        <f>IF(B1756="",MAX($A$8:A1755)+0,MAX($A$8:A1755)+1)</f>
        <v>191</v>
      </c>
      <c r="B1756" s="835" t="str">
        <f>IF(C1756="","",COUNTA($C$10:C1757))</f>
        <v/>
      </c>
      <c r="C1756" s="362"/>
      <c r="D1756" s="851"/>
      <c r="E1756" s="852" t="s">
        <v>566</v>
      </c>
      <c r="F1756" s="848" t="str">
        <f>VLOOKUP(E1756,DICH!B:C,2,FALSE)</f>
        <v>Calcium carbide</v>
      </c>
      <c r="G1756" s="362" t="s">
        <v>558</v>
      </c>
      <c r="H1756" s="239">
        <f>8.4</f>
        <v>8.4</v>
      </c>
      <c r="I1756" s="848">
        <f>VLOOKUP(E1756,'11.gia '!$B:$I,8,FALSE)</f>
        <v>14000</v>
      </c>
      <c r="J1756" s="853">
        <f t="shared" si="83"/>
        <v>117600</v>
      </c>
      <c r="N1756" s="843" t="e">
        <f>SUMIF(#REF!,'8.Dgia'!A1756,#REF!)+SUMIF(#REF!,'8.Dgia'!A1756,#REF!)+SUMIF(#REF!,'8.Dgia'!A1756,#REF!)+SUMIF(#REF!,'8.Dgia'!A1756,#REF!)</f>
        <v>#REF!</v>
      </c>
      <c r="O1756" s="844">
        <f>+$H$1757</f>
        <v>5</v>
      </c>
      <c r="P1756" s="843" t="e">
        <f t="shared" si="81"/>
        <v>#REF!</v>
      </c>
    </row>
    <row r="1757" spans="1:18" ht="15" customHeight="1">
      <c r="A1757" s="657">
        <f>IF(B1757="",MAX($A$8:A1756)+0,MAX($A$8:A1756)+1)</f>
        <v>191</v>
      </c>
      <c r="B1757" s="835" t="str">
        <f>IF(C1757="","",COUNTA($C$10:C1758))</f>
        <v/>
      </c>
      <c r="C1757" s="362"/>
      <c r="D1757" s="851"/>
      <c r="E1757" s="852" t="s">
        <v>555</v>
      </c>
      <c r="F1757" s="848" t="str">
        <f>VLOOKUP(E1757,DICH!B:C,2,FALSE)</f>
        <v>Other material</v>
      </c>
      <c r="G1757" s="362" t="s">
        <v>554</v>
      </c>
      <c r="H1757" s="239">
        <v>5</v>
      </c>
      <c r="I1757" s="848">
        <f>SUM(J1752:J1756)</f>
        <v>2637571.9333450221</v>
      </c>
      <c r="J1757" s="853">
        <f>I1757*H1757%</f>
        <v>131878.59666725111</v>
      </c>
      <c r="N1757" s="843" t="e">
        <f>SUMIF(#REF!,'8.Dgia'!A1757,#REF!)+SUMIF(#REF!,'8.Dgia'!A1757,#REF!)+SUMIF(#REF!,'8.Dgia'!A1757,#REF!)+SUMIF(#REF!,'8.Dgia'!A1757,#REF!)</f>
        <v>#REF!</v>
      </c>
      <c r="O1757" s="844"/>
      <c r="P1757" s="843" t="e">
        <f t="shared" si="81"/>
        <v>#REF!</v>
      </c>
    </row>
    <row r="1758" spans="1:18" ht="15" customHeight="1">
      <c r="A1758" s="657">
        <f>IF(B1758="",MAX($A$8:A1757)+0,MAX($A$8:A1757)+1)</f>
        <v>191</v>
      </c>
      <c r="B1758" s="835" t="str">
        <f>IF(C1758="","",COUNTA($C$10:C1759))</f>
        <v/>
      </c>
      <c r="C1758" s="362"/>
      <c r="D1758" s="851"/>
      <c r="E1758" s="852" t="s">
        <v>2039</v>
      </c>
      <c r="F1758" s="848" t="str">
        <f>VLOOKUP(E1758,DICH!B:C,2,FALSE)</f>
        <v xml:space="preserve">  B - Labour 4.0/7</v>
      </c>
      <c r="G1758" s="362" t="s">
        <v>4899</v>
      </c>
      <c r="H1758" s="239">
        <f>22.61</f>
        <v>22.61</v>
      </c>
      <c r="I1758" s="848">
        <f>VLOOKUP(E1758,'16.NC'!$C$11:$F$22,4,FALSE)</f>
        <v>218927</v>
      </c>
      <c r="J1758" s="849">
        <f t="shared" si="83"/>
        <v>4949939.47</v>
      </c>
      <c r="N1758" s="843" t="e">
        <f>SUMIF(#REF!,'8.Dgia'!A1758,#REF!)+SUMIF(#REF!,'8.Dgia'!A1758,#REF!)+SUMIF(#REF!,'8.Dgia'!A1758,#REF!)+SUMIF(#REF!,'8.Dgia'!A1758,#REF!)</f>
        <v>#REF!</v>
      </c>
      <c r="O1758" s="844"/>
      <c r="P1758" s="843" t="e">
        <f t="shared" si="81"/>
        <v>#REF!</v>
      </c>
      <c r="R1758" s="658">
        <v>1</v>
      </c>
    </row>
    <row r="1759" spans="1:18" ht="15" customHeight="1">
      <c r="A1759" s="657">
        <f>IF(B1759="",MAX($A$8:A1758)+0,MAX($A$8:A1758)+1)</f>
        <v>191</v>
      </c>
      <c r="B1759" s="835" t="str">
        <f>IF(C1759="","",COUNTA($C$10:C1760))</f>
        <v/>
      </c>
      <c r="C1759" s="362"/>
      <c r="D1759" s="851"/>
      <c r="E1759" s="852" t="s">
        <v>2033</v>
      </c>
      <c r="F1759" s="848" t="str">
        <f>VLOOKUP(E1759,DICH!B:C,2,FALSE)</f>
        <v xml:space="preserve">  C - Machine</v>
      </c>
      <c r="G1759" s="362"/>
      <c r="H1759" s="239"/>
      <c r="I1759" s="848"/>
      <c r="J1759" s="849">
        <f>SUM(J1760:J1762)</f>
        <v>1271422.0785818181</v>
      </c>
      <c r="N1759" s="843" t="e">
        <f>SUMIF(#REF!,'8.Dgia'!A1759,#REF!)+SUMIF(#REF!,'8.Dgia'!A1759,#REF!)+SUMIF(#REF!,'8.Dgia'!A1759,#REF!)+SUMIF(#REF!,'8.Dgia'!A1759,#REF!)</f>
        <v>#REF!</v>
      </c>
      <c r="O1759" s="844"/>
      <c r="P1759" s="843" t="e">
        <f t="shared" si="81"/>
        <v>#REF!</v>
      </c>
    </row>
    <row r="1760" spans="1:18" ht="15" customHeight="1">
      <c r="A1760" s="657">
        <f>IF(B1760="",MAX($A$8:A1759)+0,MAX($A$8:A1759)+1)</f>
        <v>191</v>
      </c>
      <c r="B1760" s="835" t="str">
        <f>IF(C1760="","",COUNTA($C$10:C1761))</f>
        <v/>
      </c>
      <c r="C1760" s="362"/>
      <c r="D1760" s="851"/>
      <c r="E1760" s="852" t="s">
        <v>560</v>
      </c>
      <c r="F1760" s="848" t="str">
        <f>VLOOKUP(E1760,'9.may'!E:F,2,FALSE)</f>
        <v>welding machine 23kW</v>
      </c>
      <c r="G1760" s="362" t="s">
        <v>4902</v>
      </c>
      <c r="H1760" s="239">
        <f>4.6</f>
        <v>4.5999999999999996</v>
      </c>
      <c r="I1760" s="848">
        <f>VLOOKUP(E1760,'9.may'!E:W,12,FALSE)</f>
        <v>171649.155</v>
      </c>
      <c r="J1760" s="853">
        <f>I1760*H1760</f>
        <v>789586.1129999999</v>
      </c>
      <c r="N1760" s="843" t="e">
        <f>SUMIF(#REF!,'8.Dgia'!A1760,#REF!)+SUMIF(#REF!,'8.Dgia'!A1760,#REF!)+SUMIF(#REF!,'8.Dgia'!A1760,#REF!)+SUMIF(#REF!,'8.Dgia'!A1760,#REF!)</f>
        <v>#REF!</v>
      </c>
      <c r="O1760" s="844"/>
      <c r="P1760" s="843" t="e">
        <f t="shared" si="81"/>
        <v>#REF!</v>
      </c>
    </row>
    <row r="1761" spans="1:18" ht="15" customHeight="1">
      <c r="A1761" s="657">
        <f>IF(B1761="",MAX($A$8:A1760)+0,MAX($A$8:A1760)+1)</f>
        <v>191</v>
      </c>
      <c r="B1761" s="835" t="str">
        <f>IF(C1761="","",COUNTA($C$10:C1762))</f>
        <v/>
      </c>
      <c r="C1761" s="362"/>
      <c r="D1761" s="851"/>
      <c r="E1761" s="852" t="s">
        <v>1417</v>
      </c>
      <c r="F1761" s="848" t="str">
        <f>VLOOKUP(E1761,'9.may'!E:F,2,FALSE)</f>
        <v>Cutting machine 15Kw</v>
      </c>
      <c r="G1761" s="362" t="s">
        <v>4902</v>
      </c>
      <c r="H1761" s="239">
        <f>0.4</f>
        <v>0.4</v>
      </c>
      <c r="I1761" s="848">
        <f>VLOOKUP(E1761,'9.may'!E:W,12,FALSE)</f>
        <v>204698.78999999998</v>
      </c>
      <c r="J1761" s="853">
        <f>I1761*H1761</f>
        <v>81879.516000000003</v>
      </c>
      <c r="N1761" s="843" t="e">
        <f>SUMIF(#REF!,'8.Dgia'!A1761,#REF!)+SUMIF(#REF!,'8.Dgia'!A1761,#REF!)+SUMIF(#REF!,'8.Dgia'!A1761,#REF!)+SUMIF(#REF!,'8.Dgia'!A1761,#REF!)</f>
        <v>#REF!</v>
      </c>
      <c r="O1761" s="844"/>
      <c r="P1761" s="843" t="e">
        <f t="shared" si="81"/>
        <v>#REF!</v>
      </c>
    </row>
    <row r="1762" spans="1:18" ht="15" customHeight="1">
      <c r="A1762" s="657">
        <f>IF(B1762="",MAX($A$8:A1761)+0,MAX($A$8:A1761)+1)</f>
        <v>191</v>
      </c>
      <c r="B1762" s="835" t="str">
        <f>IF(C1762="","",COUNTA($C$10:C1763))</f>
        <v/>
      </c>
      <c r="C1762" s="362"/>
      <c r="D1762" s="851"/>
      <c r="E1762" s="852" t="s">
        <v>1038</v>
      </c>
      <c r="F1762" s="848" t="str">
        <f>VLOOKUP(E1762,'9.may'!E:F,2,FALSE)</f>
        <v>caterpillar crane 10T/ crawler crane 10T</v>
      </c>
      <c r="G1762" s="362" t="s">
        <v>4902</v>
      </c>
      <c r="H1762" s="239">
        <f>0.27</f>
        <v>0.27</v>
      </c>
      <c r="I1762" s="848">
        <f>VLOOKUP(E1762,'9.may'!E:W,12,FALSE)</f>
        <v>1481320.1836363636</v>
      </c>
      <c r="J1762" s="853">
        <f>I1762*H1762</f>
        <v>399956.44958181819</v>
      </c>
      <c r="N1762" s="843" t="e">
        <f>SUMIF(#REF!,'8.Dgia'!A1762,#REF!)+SUMIF(#REF!,'8.Dgia'!A1762,#REF!)+SUMIF(#REF!,'8.Dgia'!A1762,#REF!)+SUMIF(#REF!,'8.Dgia'!A1762,#REF!)</f>
        <v>#REF!</v>
      </c>
      <c r="O1762" s="844"/>
      <c r="P1762" s="843" t="e">
        <f t="shared" si="81"/>
        <v>#REF!</v>
      </c>
    </row>
    <row r="1763" spans="1:18" ht="30.75" customHeight="1">
      <c r="A1763" s="657">
        <f>IF(B1763="",MAX($A$8:A1762)+0,MAX($A$8:A1762)+1)</f>
        <v>192</v>
      </c>
      <c r="B1763" s="835">
        <f>IF(C1763="","",COUNTA($C$10:C1764))</f>
        <v>192</v>
      </c>
      <c r="C1763" s="835">
        <f>IF(D1763="","",1776)</f>
        <v>1776</v>
      </c>
      <c r="D1763" s="851" t="s">
        <v>2053</v>
      </c>
      <c r="E1763" s="855" t="s">
        <v>5967</v>
      </c>
      <c r="F1763" s="1049" t="s">
        <v>5581</v>
      </c>
      <c r="G1763" s="856" t="s">
        <v>4644</v>
      </c>
      <c r="H1763" s="911">
        <f>2%*2.67+7%</f>
        <v>0.12340000000000001</v>
      </c>
      <c r="I1763" s="848"/>
      <c r="J1763" s="857"/>
      <c r="K1763" s="842">
        <f>+J1764</f>
        <v>2827704.7927565607</v>
      </c>
      <c r="L1763" s="842">
        <f>+J1771</f>
        <v>4949939.47</v>
      </c>
      <c r="M1763" s="842">
        <f>+J1772</f>
        <v>1271422.0785818181</v>
      </c>
      <c r="N1763" s="843" t="e">
        <f>SUMIF(#REF!,'8.Dgia'!A1763,#REF!)+SUMIF(#REF!,'8.Dgia'!A1763,#REF!)+SUMIF(#REF!,'8.Dgia'!A1763,#REF!)+SUMIF(#REF!,'8.Dgia'!A1763,#REF!)</f>
        <v>#REF!</v>
      </c>
      <c r="O1763" s="844"/>
      <c r="P1763" s="843" t="e">
        <f t="shared" si="81"/>
        <v>#REF!</v>
      </c>
    </row>
    <row r="1764" spans="1:18" ht="15" customHeight="1">
      <c r="A1764" s="657">
        <f>IF(B1764="",MAX($A$8:A1763)+0,MAX($A$8:A1763)+1)</f>
        <v>192</v>
      </c>
      <c r="B1764" s="835" t="str">
        <f>IF(C1764="","",COUNTA($C$10:C1765))</f>
        <v/>
      </c>
      <c r="C1764" s="362"/>
      <c r="D1764" s="851"/>
      <c r="E1764" s="852" t="s">
        <v>2032</v>
      </c>
      <c r="F1764" s="848" t="str">
        <f>VLOOKUP(E1764,DICH!B:C,2,FALSE)</f>
        <v xml:space="preserve">  A - Material</v>
      </c>
      <c r="G1764" s="856"/>
      <c r="H1764" s="847"/>
      <c r="I1764" s="848"/>
      <c r="J1764" s="849">
        <f>SUM(J1765:J1770)</f>
        <v>2827704.7927565607</v>
      </c>
      <c r="N1764" s="843" t="e">
        <f>SUMIF(#REF!,'8.Dgia'!A1764,#REF!)+SUMIF(#REF!,'8.Dgia'!A1764,#REF!)+SUMIF(#REF!,'8.Dgia'!A1764,#REF!)+SUMIF(#REF!,'8.Dgia'!A1764,#REF!)</f>
        <v>#REF!</v>
      </c>
      <c r="O1764" s="844"/>
      <c r="P1764" s="843" t="e">
        <f t="shared" si="81"/>
        <v>#REF!</v>
      </c>
    </row>
    <row r="1765" spans="1:18" ht="15" customHeight="1">
      <c r="A1765" s="657">
        <f>IF(B1765="",MAX($A$8:A1764)+0,MAX($A$8:A1764)+1)</f>
        <v>192</v>
      </c>
      <c r="B1765" s="835" t="str">
        <f>IF(C1765="","",COUNTA($C$10:C1766))</f>
        <v/>
      </c>
      <c r="C1765" s="362"/>
      <c r="D1765" s="851" t="s">
        <v>2255</v>
      </c>
      <c r="E1765" s="852" t="s">
        <v>563</v>
      </c>
      <c r="F1765" s="848" t="str">
        <f>VLOOKUP(E1765,DICH!B:C,2,FALSE)</f>
        <v>Shaped steel</v>
      </c>
      <c r="G1765" s="362" t="s">
        <v>622</v>
      </c>
      <c r="H1765" s="379">
        <f>697.85*H1763</f>
        <v>86.11469000000001</v>
      </c>
      <c r="I1765" s="848">
        <f>VLOOKUP(E1765,'11.gia '!$B:$I,8,FALSE)</f>
        <v>16703.248369172808</v>
      </c>
      <c r="J1765" s="853">
        <f t="shared" ref="J1765:J1771" si="84">I1765*H1765</f>
        <v>1438395.0553043222</v>
      </c>
      <c r="N1765" s="843" t="e">
        <f>SUMIF(#REF!,'8.Dgia'!A1765,#REF!)+SUMIF(#REF!,'8.Dgia'!A1765,#REF!)+SUMIF(#REF!,'8.Dgia'!A1765,#REF!)+SUMIF(#REF!,'8.Dgia'!A1765,#REF!)</f>
        <v>#REF!</v>
      </c>
      <c r="O1765" s="844">
        <f>+$H$1770</f>
        <v>5</v>
      </c>
      <c r="P1765" s="843" t="e">
        <f t="shared" si="81"/>
        <v>#REF!</v>
      </c>
    </row>
    <row r="1766" spans="1:18" ht="15" customHeight="1">
      <c r="A1766" s="657">
        <f>IF(B1766="",MAX($A$8:A1765)+0,MAX($A$8:A1765)+1)</f>
        <v>192</v>
      </c>
      <c r="B1766" s="835" t="str">
        <f>IF(C1766="","",COUNTA($C$10:C1767))</f>
        <v/>
      </c>
      <c r="C1766" s="362"/>
      <c r="D1766" s="851" t="s">
        <v>2255</v>
      </c>
      <c r="E1766" s="852" t="s">
        <v>562</v>
      </c>
      <c r="F1766" s="848" t="str">
        <f>VLOOKUP(E1766,DICH!B:C,2,FALSE)</f>
        <v>Plate steel</v>
      </c>
      <c r="G1766" s="362" t="s">
        <v>558</v>
      </c>
      <c r="H1766" s="379">
        <f>362.15*H1763</f>
        <v>44.689309999999999</v>
      </c>
      <c r="I1766" s="848">
        <f>VLOOKUP(E1766,'11.gia '!$B:$I,8,FALSE)</f>
        <v>12871.348287272725</v>
      </c>
      <c r="J1766" s="853">
        <f t="shared" si="84"/>
        <v>575211.67372789991</v>
      </c>
      <c r="N1766" s="843" t="e">
        <f>SUMIF(#REF!,'8.Dgia'!A1766,#REF!)+SUMIF(#REF!,'8.Dgia'!A1766,#REF!)+SUMIF(#REF!,'8.Dgia'!A1766,#REF!)+SUMIF(#REF!,'8.Dgia'!A1766,#REF!)</f>
        <v>#REF!</v>
      </c>
      <c r="O1766" s="844">
        <f>+$H$1770</f>
        <v>5</v>
      </c>
      <c r="P1766" s="843" t="e">
        <f t="shared" si="81"/>
        <v>#REF!</v>
      </c>
    </row>
    <row r="1767" spans="1:18" ht="15" customHeight="1">
      <c r="A1767" s="657">
        <f>IF(B1767="",MAX($A$8:A1766)+0,MAX($A$8:A1766)+1)</f>
        <v>192</v>
      </c>
      <c r="B1767" s="835" t="str">
        <f>IF(C1767="","",COUNTA($C$10:C1768))</f>
        <v/>
      </c>
      <c r="C1767" s="362"/>
      <c r="D1767" s="851"/>
      <c r="E1767" s="852" t="s">
        <v>559</v>
      </c>
      <c r="F1767" s="848" t="str">
        <f>VLOOKUP(E1767,DICH!B:C,2,FALSE)</f>
        <v>welding electrode</v>
      </c>
      <c r="G1767" s="362" t="s">
        <v>558</v>
      </c>
      <c r="H1767" s="239">
        <f>24.15</f>
        <v>24.15</v>
      </c>
      <c r="I1767" s="848">
        <f>VLOOKUP(E1767,'11.gia '!$B:$I,8,FALSE)</f>
        <v>19090.909090909088</v>
      </c>
      <c r="J1767" s="853">
        <f t="shared" si="84"/>
        <v>461045.45454545447</v>
      </c>
      <c r="N1767" s="843" t="e">
        <f>SUMIF(#REF!,'8.Dgia'!A1767,#REF!)+SUMIF(#REF!,'8.Dgia'!A1767,#REF!)+SUMIF(#REF!,'8.Dgia'!A1767,#REF!)+SUMIF(#REF!,'8.Dgia'!A1767,#REF!)</f>
        <v>#REF!</v>
      </c>
      <c r="O1767" s="844">
        <f>+$H$1770</f>
        <v>5</v>
      </c>
      <c r="P1767" s="843" t="e">
        <f t="shared" si="81"/>
        <v>#REF!</v>
      </c>
    </row>
    <row r="1768" spans="1:18" ht="15" customHeight="1">
      <c r="A1768" s="657">
        <f>IF(B1768="",MAX($A$8:A1767)+0,MAX($A$8:A1767)+1)</f>
        <v>192</v>
      </c>
      <c r="B1768" s="835" t="str">
        <f>IF(C1768="","",COUNTA($C$10:C1769))</f>
        <v/>
      </c>
      <c r="C1768" s="362"/>
      <c r="D1768" s="851"/>
      <c r="E1768" s="852" t="s">
        <v>564</v>
      </c>
      <c r="F1768" s="848" t="str">
        <f>VLOOKUP(E1768,DICH!B:C,2,FALSE)</f>
        <v>oxygen</v>
      </c>
      <c r="G1768" s="362" t="s">
        <v>4647</v>
      </c>
      <c r="H1768" s="239">
        <f>2.1</f>
        <v>2.1</v>
      </c>
      <c r="I1768" s="848">
        <f>VLOOKUP(E1768,'11.gia '!$B:$I,8,FALSE)</f>
        <v>48000</v>
      </c>
      <c r="J1768" s="853">
        <f t="shared" si="84"/>
        <v>100800</v>
      </c>
      <c r="N1768" s="843" t="e">
        <f>SUMIF(#REF!,'8.Dgia'!A1768,#REF!)+SUMIF(#REF!,'8.Dgia'!A1768,#REF!)+SUMIF(#REF!,'8.Dgia'!A1768,#REF!)+SUMIF(#REF!,'8.Dgia'!A1768,#REF!)</f>
        <v>#REF!</v>
      </c>
      <c r="O1768" s="844">
        <f>+$H$1770</f>
        <v>5</v>
      </c>
      <c r="P1768" s="843" t="e">
        <f t="shared" si="81"/>
        <v>#REF!</v>
      </c>
    </row>
    <row r="1769" spans="1:18" ht="15" customHeight="1">
      <c r="A1769" s="657">
        <f>IF(B1769="",MAX($A$8:A1768)+0,MAX($A$8:A1768)+1)</f>
        <v>192</v>
      </c>
      <c r="B1769" s="835" t="str">
        <f>IF(C1769="","",COUNTA($C$10:C1770))</f>
        <v/>
      </c>
      <c r="C1769" s="362"/>
      <c r="D1769" s="851"/>
      <c r="E1769" s="852" t="s">
        <v>566</v>
      </c>
      <c r="F1769" s="848" t="str">
        <f>VLOOKUP(E1769,DICH!B:C,2,FALSE)</f>
        <v>Calcium carbide</v>
      </c>
      <c r="G1769" s="362" t="s">
        <v>558</v>
      </c>
      <c r="H1769" s="239">
        <f>8.4</f>
        <v>8.4</v>
      </c>
      <c r="I1769" s="848">
        <f>VLOOKUP(E1769,'11.gia '!$B:$I,8,FALSE)</f>
        <v>14000</v>
      </c>
      <c r="J1769" s="853">
        <f t="shared" si="84"/>
        <v>117600</v>
      </c>
      <c r="N1769" s="843" t="e">
        <f>SUMIF(#REF!,'8.Dgia'!A1769,#REF!)+SUMIF(#REF!,'8.Dgia'!A1769,#REF!)+SUMIF(#REF!,'8.Dgia'!A1769,#REF!)+SUMIF(#REF!,'8.Dgia'!A1769,#REF!)</f>
        <v>#REF!</v>
      </c>
      <c r="O1769" s="844">
        <f>+$H$1770</f>
        <v>5</v>
      </c>
      <c r="P1769" s="843" t="e">
        <f t="shared" si="81"/>
        <v>#REF!</v>
      </c>
    </row>
    <row r="1770" spans="1:18" ht="15" customHeight="1">
      <c r="A1770" s="657">
        <f>IF(B1770="",MAX($A$8:A1769)+0,MAX($A$8:A1769)+1)</f>
        <v>192</v>
      </c>
      <c r="B1770" s="835" t="str">
        <f>IF(C1770="","",COUNTA($C$10:C1771))</f>
        <v/>
      </c>
      <c r="C1770" s="362"/>
      <c r="D1770" s="851"/>
      <c r="E1770" s="852" t="s">
        <v>555</v>
      </c>
      <c r="F1770" s="848" t="str">
        <f>VLOOKUP(E1770,DICH!B:C,2,FALSE)</f>
        <v>Other material</v>
      </c>
      <c r="G1770" s="362" t="s">
        <v>554</v>
      </c>
      <c r="H1770" s="239">
        <v>5</v>
      </c>
      <c r="I1770" s="848">
        <f>SUM(J1765:J1769)</f>
        <v>2693052.1835776768</v>
      </c>
      <c r="J1770" s="853">
        <f>I1770*H1770%</f>
        <v>134652.60917888384</v>
      </c>
      <c r="N1770" s="843" t="e">
        <f>SUMIF(#REF!,'8.Dgia'!A1770,#REF!)+SUMIF(#REF!,'8.Dgia'!A1770,#REF!)+SUMIF(#REF!,'8.Dgia'!A1770,#REF!)+SUMIF(#REF!,'8.Dgia'!A1770,#REF!)</f>
        <v>#REF!</v>
      </c>
      <c r="O1770" s="844"/>
      <c r="P1770" s="843" t="e">
        <f t="shared" si="81"/>
        <v>#REF!</v>
      </c>
    </row>
    <row r="1771" spans="1:18" ht="15" customHeight="1">
      <c r="A1771" s="657">
        <f>IF(B1771="",MAX($A$8:A1770)+0,MAX($A$8:A1770)+1)</f>
        <v>192</v>
      </c>
      <c r="B1771" s="835" t="str">
        <f>IF(C1771="","",COUNTA($C$10:C1772))</f>
        <v/>
      </c>
      <c r="C1771" s="362"/>
      <c r="D1771" s="851"/>
      <c r="E1771" s="852" t="s">
        <v>2039</v>
      </c>
      <c r="F1771" s="848" t="str">
        <f>VLOOKUP(E1771,DICH!B:C,2,FALSE)</f>
        <v xml:space="preserve">  B - Labour 4.0/7</v>
      </c>
      <c r="G1771" s="362" t="s">
        <v>4899</v>
      </c>
      <c r="H1771" s="239">
        <f>22.61</f>
        <v>22.61</v>
      </c>
      <c r="I1771" s="848">
        <f>VLOOKUP(E1771,'16.NC'!$C$11:$F$22,4,FALSE)</f>
        <v>218927</v>
      </c>
      <c r="J1771" s="849">
        <f t="shared" si="84"/>
        <v>4949939.47</v>
      </c>
      <c r="N1771" s="843" t="e">
        <f>SUMIF(#REF!,'8.Dgia'!A1771,#REF!)+SUMIF(#REF!,'8.Dgia'!A1771,#REF!)+SUMIF(#REF!,'8.Dgia'!A1771,#REF!)+SUMIF(#REF!,'8.Dgia'!A1771,#REF!)</f>
        <v>#REF!</v>
      </c>
      <c r="O1771" s="844"/>
      <c r="P1771" s="843" t="e">
        <f t="shared" si="81"/>
        <v>#REF!</v>
      </c>
      <c r="R1771" s="658">
        <v>1</v>
      </c>
    </row>
    <row r="1772" spans="1:18" ht="15" customHeight="1">
      <c r="A1772" s="657">
        <f>IF(B1772="",MAX($A$8:A1771)+0,MAX($A$8:A1771)+1)</f>
        <v>192</v>
      </c>
      <c r="B1772" s="835" t="str">
        <f>IF(C1772="","",COUNTA($C$10:C1773))</f>
        <v/>
      </c>
      <c r="C1772" s="362"/>
      <c r="D1772" s="851"/>
      <c r="E1772" s="852" t="s">
        <v>2033</v>
      </c>
      <c r="F1772" s="848" t="str">
        <f>VLOOKUP(E1772,DICH!B:C,2,FALSE)</f>
        <v xml:space="preserve">  C - Machine</v>
      </c>
      <c r="G1772" s="362"/>
      <c r="H1772" s="239"/>
      <c r="I1772" s="848"/>
      <c r="J1772" s="849">
        <f>SUM(J1773:J1775)</f>
        <v>1271422.0785818181</v>
      </c>
      <c r="N1772" s="843" t="e">
        <f>SUMIF(#REF!,'8.Dgia'!A1772,#REF!)+SUMIF(#REF!,'8.Dgia'!A1772,#REF!)+SUMIF(#REF!,'8.Dgia'!A1772,#REF!)+SUMIF(#REF!,'8.Dgia'!A1772,#REF!)</f>
        <v>#REF!</v>
      </c>
      <c r="O1772" s="844"/>
      <c r="P1772" s="843" t="e">
        <f t="shared" si="81"/>
        <v>#REF!</v>
      </c>
    </row>
    <row r="1773" spans="1:18" ht="15" customHeight="1">
      <c r="A1773" s="657">
        <f>IF(B1773="",MAX($A$8:A1772)+0,MAX($A$8:A1772)+1)</f>
        <v>192</v>
      </c>
      <c r="B1773" s="835" t="str">
        <f>IF(C1773="","",COUNTA($C$10:C1774))</f>
        <v/>
      </c>
      <c r="C1773" s="362"/>
      <c r="D1773" s="851"/>
      <c r="E1773" s="852" t="s">
        <v>560</v>
      </c>
      <c r="F1773" s="848" t="str">
        <f>VLOOKUP(E1773,'9.may'!E:F,2,FALSE)</f>
        <v>welding machine 23kW</v>
      </c>
      <c r="G1773" s="362" t="s">
        <v>4902</v>
      </c>
      <c r="H1773" s="239">
        <f>4.6</f>
        <v>4.5999999999999996</v>
      </c>
      <c r="I1773" s="848">
        <f>VLOOKUP(E1773,'9.may'!E:W,12,FALSE)</f>
        <v>171649.155</v>
      </c>
      <c r="J1773" s="853">
        <f>I1773*H1773</f>
        <v>789586.1129999999</v>
      </c>
      <c r="N1773" s="843" t="e">
        <f>SUMIF(#REF!,'8.Dgia'!A1773,#REF!)+SUMIF(#REF!,'8.Dgia'!A1773,#REF!)+SUMIF(#REF!,'8.Dgia'!A1773,#REF!)+SUMIF(#REF!,'8.Dgia'!A1773,#REF!)</f>
        <v>#REF!</v>
      </c>
      <c r="O1773" s="844"/>
      <c r="P1773" s="843" t="e">
        <f t="shared" si="81"/>
        <v>#REF!</v>
      </c>
    </row>
    <row r="1774" spans="1:18" ht="15" customHeight="1">
      <c r="A1774" s="657">
        <f>IF(B1774="",MAX($A$8:A1773)+0,MAX($A$8:A1773)+1)</f>
        <v>192</v>
      </c>
      <c r="B1774" s="835" t="str">
        <f>IF(C1774="","",COUNTA($C$10:C1775))</f>
        <v/>
      </c>
      <c r="C1774" s="362"/>
      <c r="D1774" s="851"/>
      <c r="E1774" s="852" t="s">
        <v>1417</v>
      </c>
      <c r="F1774" s="848" t="str">
        <f>VLOOKUP(E1774,'9.may'!E:F,2,FALSE)</f>
        <v>Cutting machine 15Kw</v>
      </c>
      <c r="G1774" s="362" t="s">
        <v>4902</v>
      </c>
      <c r="H1774" s="239">
        <f>0.4</f>
        <v>0.4</v>
      </c>
      <c r="I1774" s="848">
        <f>VLOOKUP(E1774,'9.may'!E:W,12,FALSE)</f>
        <v>204698.78999999998</v>
      </c>
      <c r="J1774" s="853">
        <f>I1774*H1774</f>
        <v>81879.516000000003</v>
      </c>
      <c r="N1774" s="843" t="e">
        <f>SUMIF(#REF!,'8.Dgia'!A1774,#REF!)+SUMIF(#REF!,'8.Dgia'!A1774,#REF!)+SUMIF(#REF!,'8.Dgia'!A1774,#REF!)+SUMIF(#REF!,'8.Dgia'!A1774,#REF!)</f>
        <v>#REF!</v>
      </c>
      <c r="O1774" s="844"/>
      <c r="P1774" s="843" t="e">
        <f t="shared" si="81"/>
        <v>#REF!</v>
      </c>
    </row>
    <row r="1775" spans="1:18" ht="15" customHeight="1">
      <c r="A1775" s="657">
        <f>IF(B1775="",MAX($A$8:A1774)+0,MAX($A$8:A1774)+1)</f>
        <v>192</v>
      </c>
      <c r="B1775" s="835" t="str">
        <f>IF(C1775="","",COUNTA($C$10:C1776))</f>
        <v/>
      </c>
      <c r="C1775" s="362"/>
      <c r="D1775" s="851"/>
      <c r="E1775" s="852" t="s">
        <v>1038</v>
      </c>
      <c r="F1775" s="848" t="str">
        <f>VLOOKUP(E1775,'9.may'!E:F,2,FALSE)</f>
        <v>caterpillar crane 10T/ crawler crane 10T</v>
      </c>
      <c r="G1775" s="362" t="s">
        <v>4902</v>
      </c>
      <c r="H1775" s="239">
        <f>0.27</f>
        <v>0.27</v>
      </c>
      <c r="I1775" s="848">
        <f>VLOOKUP(E1775,'9.may'!E:W,12,FALSE)</f>
        <v>1481320.1836363636</v>
      </c>
      <c r="J1775" s="853">
        <f>I1775*H1775</f>
        <v>399956.44958181819</v>
      </c>
      <c r="N1775" s="843" t="e">
        <f>SUMIF(#REF!,'8.Dgia'!A1775,#REF!)+SUMIF(#REF!,'8.Dgia'!A1775,#REF!)+SUMIF(#REF!,'8.Dgia'!A1775,#REF!)+SUMIF(#REF!,'8.Dgia'!A1775,#REF!)</f>
        <v>#REF!</v>
      </c>
      <c r="O1775" s="844"/>
      <c r="P1775" s="843" t="e">
        <f t="shared" si="81"/>
        <v>#REF!</v>
      </c>
    </row>
    <row r="1776" spans="1:18" ht="15" customHeight="1">
      <c r="A1776" s="657">
        <f>IF(B1776="",MAX($A$8:A1775)+0,MAX($A$8:A1775)+1)</f>
        <v>193</v>
      </c>
      <c r="B1776" s="835">
        <f>IF(C1776="","",COUNTA($C$10:C1777))</f>
        <v>193</v>
      </c>
      <c r="C1776" s="835">
        <f>IF(D1776="","",1776)</f>
        <v>1776</v>
      </c>
      <c r="D1776" s="851" t="s">
        <v>743</v>
      </c>
      <c r="E1776" s="855" t="s">
        <v>4011</v>
      </c>
      <c r="F1776" s="1049" t="str">
        <f>VLOOKUP(E1776,DICH!B:C,2,FALSE)</f>
        <v>Concrete C35 of casting bed</v>
      </c>
      <c r="G1776" s="856" t="s">
        <v>545</v>
      </c>
      <c r="H1776" s="847"/>
      <c r="I1776" s="848"/>
      <c r="J1776" s="853"/>
      <c r="K1776" s="842">
        <f>+J1777</f>
        <v>1196576.2226612167</v>
      </c>
      <c r="L1776" s="842">
        <f>+J1780</f>
        <v>306347.07999999996</v>
      </c>
      <c r="M1776" s="842">
        <f>+J1781</f>
        <v>121589.150240175</v>
      </c>
      <c r="N1776" s="843" t="s">
        <v>457</v>
      </c>
      <c r="O1776" s="844"/>
      <c r="P1776" s="843"/>
      <c r="Q1776" s="657" t="s">
        <v>457</v>
      </c>
    </row>
    <row r="1777" spans="1:18" s="658" customFormat="1" ht="15" customHeight="1">
      <c r="A1777" s="657">
        <f>IF(B1777="",MAX($A$8:A1776)+0,MAX($A$8:A1776)+1)</f>
        <v>193</v>
      </c>
      <c r="B1777" s="835" t="str">
        <f>IF(C1777="","",COUNTA($C$10:C1778))</f>
        <v/>
      </c>
      <c r="C1777" s="362"/>
      <c r="D1777" s="845"/>
      <c r="E1777" s="852" t="s">
        <v>2032</v>
      </c>
      <c r="F1777" s="848" t="str">
        <f>VLOOKUP(E1777,DICH!B:C,2,FALSE)</f>
        <v xml:space="preserve">  A - Material</v>
      </c>
      <c r="G1777" s="846"/>
      <c r="H1777" s="847"/>
      <c r="I1777" s="848"/>
      <c r="J1777" s="849">
        <f>SUM(J1778:J1779)</f>
        <v>1196576.2226612167</v>
      </c>
      <c r="K1777" s="850"/>
      <c r="L1777" s="850"/>
      <c r="M1777" s="850"/>
      <c r="N1777" s="843" t="s">
        <v>457</v>
      </c>
      <c r="O1777" s="844"/>
      <c r="P1777" s="843"/>
      <c r="Q1777" s="657" t="s">
        <v>457</v>
      </c>
    </row>
    <row r="1778" spans="1:18" ht="15" customHeight="1">
      <c r="A1778" s="657">
        <f>IF(B1778="",MAX($A$8:A1777)+0,MAX($A$8:A1777)+1)</f>
        <v>193</v>
      </c>
      <c r="B1778" s="835" t="str">
        <f>IF(C1778="","",COUNTA($C$10:C1779))</f>
        <v/>
      </c>
      <c r="C1778" s="851"/>
      <c r="D1778" s="851" t="str">
        <f>'10.PLV'!$C$100</f>
        <v>C3327</v>
      </c>
      <c r="E1778" s="852" t="str">
        <f>'10.PLV'!$D$100</f>
        <v>Vữa bê tông đá 1x2 C35 (độ sụt 14-17cm)</v>
      </c>
      <c r="F1778" s="848" t="str">
        <f>VLOOKUP(E1778,DICH!B:C,2,FALSE)</f>
        <v>Concrete motar C35 stone 1x2 slump 14-17</v>
      </c>
      <c r="G1778" s="362" t="s">
        <v>662</v>
      </c>
      <c r="H1778" s="847">
        <v>1.0149999999999999</v>
      </c>
      <c r="I1778" s="848">
        <f>VLOOKUP(E1778,'11.gia '!B:I,8,FALSE)</f>
        <v>1167220.6239684112</v>
      </c>
      <c r="J1778" s="853">
        <f>I1778*H1778</f>
        <v>1184728.9333279373</v>
      </c>
      <c r="N1778" s="843" t="s">
        <v>457</v>
      </c>
      <c r="O1778" s="844">
        <f>+$H$1779</f>
        <v>1</v>
      </c>
      <c r="P1778" s="843"/>
      <c r="Q1778" s="657" t="s">
        <v>457</v>
      </c>
    </row>
    <row r="1779" spans="1:18" ht="15" customHeight="1">
      <c r="A1779" s="657">
        <f>IF(B1779="",MAX($A$8:A1778)+0,MAX($A$8:A1778)+1)</f>
        <v>193</v>
      </c>
      <c r="B1779" s="835" t="str">
        <f>IF(C1779="","",COUNTA($C$10:C1780))</f>
        <v/>
      </c>
      <c r="C1779" s="362"/>
      <c r="D1779" s="851"/>
      <c r="E1779" s="852" t="s">
        <v>555</v>
      </c>
      <c r="F1779" s="848" t="str">
        <f>VLOOKUP(E1779,DICH!B:C,2,FALSE)</f>
        <v>Other material</v>
      </c>
      <c r="G1779" s="362" t="s">
        <v>554</v>
      </c>
      <c r="H1779" s="847">
        <v>1</v>
      </c>
      <c r="I1779" s="848">
        <f>+J1778</f>
        <v>1184728.9333279373</v>
      </c>
      <c r="J1779" s="853">
        <f>I1779*H1779%</f>
        <v>11847.289333279374</v>
      </c>
      <c r="N1779" s="843" t="s">
        <v>457</v>
      </c>
      <c r="O1779" s="844"/>
      <c r="P1779" s="843"/>
      <c r="Q1779" s="657" t="s">
        <v>457</v>
      </c>
    </row>
    <row r="1780" spans="1:18" s="658" customFormat="1" ht="15" customHeight="1">
      <c r="A1780" s="657">
        <f>IF(B1780="",MAX($A$8:A1779)+0,MAX($A$8:A1779)+1)</f>
        <v>193</v>
      </c>
      <c r="B1780" s="835" t="str">
        <f>IF(C1780="","",COUNTA($C$10:C1781))</f>
        <v/>
      </c>
      <c r="C1780" s="362"/>
      <c r="D1780" s="845"/>
      <c r="E1780" s="852" t="s">
        <v>2038</v>
      </c>
      <c r="F1780" s="848" t="str">
        <f>VLOOKUP(E1780,DICH!B:C,2,FALSE)</f>
        <v xml:space="preserve">  B - Labour 3.0/7</v>
      </c>
      <c r="G1780" s="362" t="s">
        <v>4899</v>
      </c>
      <c r="H1780" s="847">
        <v>1.64</v>
      </c>
      <c r="I1780" s="848">
        <f>VLOOKUP(E1780,'16.NC'!$C$11:$F$22,4,FALSE)</f>
        <v>186797</v>
      </c>
      <c r="J1780" s="849">
        <f>I1780*H1780</f>
        <v>306347.07999999996</v>
      </c>
      <c r="K1780" s="850"/>
      <c r="L1780" s="850"/>
      <c r="M1780" s="850"/>
      <c r="N1780" s="843" t="s">
        <v>457</v>
      </c>
      <c r="O1780" s="844"/>
      <c r="P1780" s="843"/>
      <c r="Q1780" s="657" t="s">
        <v>457</v>
      </c>
      <c r="R1780" s="658">
        <v>1</v>
      </c>
    </row>
    <row r="1781" spans="1:18" s="658" customFormat="1" ht="15" customHeight="1">
      <c r="A1781" s="657">
        <f>IF(B1781="",MAX($A$8:A1780)+0,MAX($A$8:A1780)+1)</f>
        <v>193</v>
      </c>
      <c r="B1781" s="835" t="str">
        <f>IF(C1781="","",COUNTA($C$10:C1782))</f>
        <v/>
      </c>
      <c r="C1781" s="362"/>
      <c r="D1781" s="845"/>
      <c r="E1781" s="852" t="s">
        <v>2033</v>
      </c>
      <c r="F1781" s="848" t="str">
        <f>VLOOKUP(E1781,DICH!B:C,2,FALSE)</f>
        <v xml:space="preserve">  C - Machine</v>
      </c>
      <c r="G1781" s="362"/>
      <c r="H1781" s="847"/>
      <c r="I1781" s="848"/>
      <c r="J1781" s="849">
        <f>SUM(J1782:J1784)</f>
        <v>121589.150240175</v>
      </c>
      <c r="K1781" s="850"/>
      <c r="L1781" s="850"/>
      <c r="M1781" s="850"/>
      <c r="N1781" s="843" t="s">
        <v>457</v>
      </c>
      <c r="O1781" s="844"/>
      <c r="P1781" s="843"/>
      <c r="Q1781" s="657" t="s">
        <v>457</v>
      </c>
    </row>
    <row r="1782" spans="1:18" s="658" customFormat="1" ht="15" customHeight="1">
      <c r="A1782" s="657">
        <f>IF(B1782="",MAX($A$8:A1781)+0,MAX($A$8:A1781)+1)</f>
        <v>193</v>
      </c>
      <c r="B1782" s="835" t="str">
        <f>IF(C1782="","",COUNTA($C$10:C1783))</f>
        <v/>
      </c>
      <c r="C1782" s="362"/>
      <c r="D1782" s="845"/>
      <c r="E1782" s="852" t="s">
        <v>1182</v>
      </c>
      <c r="F1782" s="848" t="str">
        <f>VLOOKUP(E1782,'9.may'!E:F,2,FALSE)</f>
        <v>concrete pump truck 50m3/h</v>
      </c>
      <c r="G1782" s="362" t="s">
        <v>4902</v>
      </c>
      <c r="H1782" s="847">
        <v>3.3000000000000002E-2</v>
      </c>
      <c r="I1782" s="848">
        <f>VLOOKUP(E1782,'9.may'!E:W,12,FALSE)</f>
        <v>3446390.13</v>
      </c>
      <c r="J1782" s="853">
        <f>I1782*H1782</f>
        <v>113730.87429000001</v>
      </c>
      <c r="K1782" s="850"/>
      <c r="L1782" s="850"/>
      <c r="M1782" s="850"/>
      <c r="N1782" s="843" t="s">
        <v>457</v>
      </c>
      <c r="O1782" s="844">
        <f>+$H$1784</f>
        <v>1</v>
      </c>
      <c r="P1782" s="843"/>
      <c r="Q1782" s="657" t="s">
        <v>457</v>
      </c>
    </row>
    <row r="1783" spans="1:18" s="658" customFormat="1" ht="15" customHeight="1">
      <c r="A1783" s="657">
        <f>IF(B1783="",MAX($A$8:A1782)+0,MAX($A$8:A1782)+1)</f>
        <v>193</v>
      </c>
      <c r="B1783" s="835" t="str">
        <f>IF(C1783="","",COUNTA($C$10:C1784))</f>
        <v/>
      </c>
      <c r="C1783" s="362"/>
      <c r="D1783" s="845"/>
      <c r="E1783" s="852" t="s">
        <v>293</v>
      </c>
      <c r="F1783" s="848" t="str">
        <f>VLOOKUP(E1783,'9.may'!E:F,2,FALSE)</f>
        <v>concrete vibrating compactor 1.5Kw</v>
      </c>
      <c r="G1783" s="362" t="s">
        <v>4902</v>
      </c>
      <c r="H1783" s="847">
        <v>8.8999999999999996E-2</v>
      </c>
      <c r="I1783" s="848">
        <f>VLOOKUP(E1783,'9.may'!E:W,12,FALSE)</f>
        <v>74768.797500000001</v>
      </c>
      <c r="J1783" s="853">
        <f>I1783*H1783</f>
        <v>6654.4229774999994</v>
      </c>
      <c r="K1783" s="850"/>
      <c r="L1783" s="850"/>
      <c r="M1783" s="850"/>
      <c r="N1783" s="843" t="s">
        <v>457</v>
      </c>
      <c r="O1783" s="844">
        <f>+$H$1784</f>
        <v>1</v>
      </c>
      <c r="P1783" s="843"/>
      <c r="Q1783" s="657" t="s">
        <v>457</v>
      </c>
    </row>
    <row r="1784" spans="1:18" s="658" customFormat="1" ht="15" customHeight="1">
      <c r="A1784" s="657">
        <f>IF(B1784="",MAX($A$8:A1783)+0,MAX($A$8:A1783)+1)</f>
        <v>193</v>
      </c>
      <c r="B1784" s="835" t="str">
        <f>IF(C1784="","",COUNTA($C$10:C1785))</f>
        <v/>
      </c>
      <c r="C1784" s="362"/>
      <c r="D1784" s="845"/>
      <c r="E1784" s="852" t="s">
        <v>553</v>
      </c>
      <c r="F1784" s="848" t="str">
        <f>VLOOKUP(E1784,DICH!B:C,2,FALSE)</f>
        <v>Other machine</v>
      </c>
      <c r="G1784" s="362" t="s">
        <v>554</v>
      </c>
      <c r="H1784" s="847">
        <v>1</v>
      </c>
      <c r="I1784" s="848">
        <f>SUM(J1782:J1783)</f>
        <v>120385.29726750001</v>
      </c>
      <c r="J1784" s="853">
        <f>I1784*H1784%</f>
        <v>1203.852972675</v>
      </c>
      <c r="K1784" s="850"/>
      <c r="L1784" s="850"/>
      <c r="M1784" s="850"/>
      <c r="N1784" s="843" t="s">
        <v>457</v>
      </c>
      <c r="O1784" s="844"/>
      <c r="P1784" s="843"/>
      <c r="Q1784" s="657" t="s">
        <v>457</v>
      </c>
    </row>
    <row r="1785" spans="1:18" ht="15" customHeight="1">
      <c r="A1785" s="657">
        <f>IF(B1785="",MAX($A$8:A1784)+0,MAX($A$8:A1784)+1)</f>
        <v>194</v>
      </c>
      <c r="B1785" s="835">
        <f>IF(C1785="","",COUNTA($C$10:C1786))</f>
        <v>194</v>
      </c>
      <c r="C1785" s="835">
        <f>IF(D1785="","",1776)</f>
        <v>1776</v>
      </c>
      <c r="D1785" s="851" t="s">
        <v>735</v>
      </c>
      <c r="E1785" s="855" t="s">
        <v>736</v>
      </c>
      <c r="F1785" s="1049">
        <f>VLOOKUP(E1785,DICH!B:C,2,FALSE)</f>
        <v>0</v>
      </c>
      <c r="G1785" s="856" t="s">
        <v>543</v>
      </c>
      <c r="H1785" s="847"/>
      <c r="I1785" s="848"/>
      <c r="J1785" s="853"/>
      <c r="K1785" s="842">
        <f>+J1786</f>
        <v>127490.72727272726</v>
      </c>
      <c r="L1785" s="842">
        <f>+J1791</f>
        <v>405014.95</v>
      </c>
      <c r="M1785" s="842">
        <f>+J1792</f>
        <v>622962.49462499993</v>
      </c>
      <c r="N1785" s="843" t="e">
        <f>SUMIF(#REF!,'8.Dgia'!A1785,#REF!)+SUMIF(#REF!,'8.Dgia'!A1785,#REF!)+SUMIF(#REF!,'8.Dgia'!A1785,#REF!)+SUMIF(#REF!,'8.Dgia'!A1785,#REF!)</f>
        <v>#REF!</v>
      </c>
      <c r="O1785" s="844"/>
      <c r="P1785" s="843" t="e">
        <f t="shared" ref="P1785:P1854" si="85">$H1785*N1785*(1+O1785%)</f>
        <v>#REF!</v>
      </c>
    </row>
    <row r="1786" spans="1:18" s="658" customFormat="1" ht="15" customHeight="1">
      <c r="A1786" s="657">
        <f>IF(B1786="",MAX($A$8:A1785)+0,MAX($A$8:A1785)+1)</f>
        <v>194</v>
      </c>
      <c r="B1786" s="835" t="str">
        <f>IF(C1786="","",COUNTA($C$10:C1787))</f>
        <v/>
      </c>
      <c r="C1786" s="362"/>
      <c r="D1786" s="845"/>
      <c r="E1786" s="852" t="s">
        <v>2032</v>
      </c>
      <c r="F1786" s="848" t="str">
        <f>VLOOKUP(E1786,DICH!B:C,2,FALSE)</f>
        <v xml:space="preserve">  A - Material</v>
      </c>
      <c r="G1786" s="846"/>
      <c r="H1786" s="847"/>
      <c r="I1786" s="848"/>
      <c r="J1786" s="849">
        <f>SUM(J1787:J1790)</f>
        <v>127490.72727272726</v>
      </c>
      <c r="K1786" s="850"/>
      <c r="L1786" s="850"/>
      <c r="M1786" s="850"/>
      <c r="N1786" s="843" t="e">
        <f>SUMIF(#REF!,'8.Dgia'!A1786,#REF!)+SUMIF(#REF!,'8.Dgia'!A1786,#REF!)+SUMIF(#REF!,'8.Dgia'!A1786,#REF!)+SUMIF(#REF!,'8.Dgia'!A1786,#REF!)</f>
        <v>#REF!</v>
      </c>
      <c r="O1786" s="844"/>
      <c r="P1786" s="843" t="e">
        <f t="shared" si="85"/>
        <v>#REF!</v>
      </c>
    </row>
    <row r="1787" spans="1:18" ht="15" customHeight="1">
      <c r="A1787" s="657">
        <f>IF(B1787="",MAX($A$8:A1786)+0,MAX($A$8:A1786)+1)</f>
        <v>194</v>
      </c>
      <c r="B1787" s="835" t="str">
        <f>IF(C1787="","",COUNTA($C$10:C1788))</f>
        <v/>
      </c>
      <c r="C1787" s="362"/>
      <c r="D1787" s="851"/>
      <c r="E1787" s="852" t="s">
        <v>433</v>
      </c>
      <c r="F1787" s="848" t="str">
        <f>VLOOKUP(E1787,DICH!B:C,2,FALSE)</f>
        <v xml:space="preserve">Bucket of drill </v>
      </c>
      <c r="G1787" s="362" t="s">
        <v>4649</v>
      </c>
      <c r="H1787" s="847">
        <v>1.4E-3</v>
      </c>
      <c r="I1787" s="848">
        <f>VLOOKUP(E1787,'11.gia '!$B:$I,8,FALSE)</f>
        <v>3000000</v>
      </c>
      <c r="J1787" s="853">
        <f>I1787*H1787</f>
        <v>4200</v>
      </c>
      <c r="N1787" s="843" t="e">
        <f>SUMIF(#REF!,'8.Dgia'!A1787,#REF!)+SUMIF(#REF!,'8.Dgia'!A1787,#REF!)+SUMIF(#REF!,'8.Dgia'!A1787,#REF!)+SUMIF(#REF!,'8.Dgia'!A1787,#REF!)</f>
        <v>#REF!</v>
      </c>
      <c r="O1787" s="844"/>
      <c r="P1787" s="843" t="e">
        <f t="shared" si="85"/>
        <v>#REF!</v>
      </c>
    </row>
    <row r="1788" spans="1:18" ht="15" customHeight="1">
      <c r="A1788" s="657">
        <f>IF(B1788="",MAX($A$8:A1787)+0,MAX($A$8:A1787)+1)</f>
        <v>194</v>
      </c>
      <c r="B1788" s="835" t="str">
        <f>IF(C1788="","",COUNTA($C$10:C1789))</f>
        <v/>
      </c>
      <c r="C1788" s="362"/>
      <c r="D1788" s="851"/>
      <c r="E1788" s="852" t="s">
        <v>434</v>
      </c>
      <c r="F1788" s="848" t="str">
        <f>VLOOKUP(E1788,DICH!B:C,2,FALSE)</f>
        <v xml:space="preserve">alloy bucket teeth </v>
      </c>
      <c r="G1788" s="362" t="s">
        <v>4649</v>
      </c>
      <c r="H1788" s="847">
        <v>1.32</v>
      </c>
      <c r="I1788" s="848">
        <f>VLOOKUP(E1788,'11.gia '!$B:$I,8,FALSE)</f>
        <v>85000</v>
      </c>
      <c r="J1788" s="853">
        <f>I1788*H1788</f>
        <v>112200</v>
      </c>
      <c r="N1788" s="843" t="e">
        <f>SUMIF(#REF!,'8.Dgia'!A1788,#REF!)+SUMIF(#REF!,'8.Dgia'!A1788,#REF!)+SUMIF(#REF!,'8.Dgia'!A1788,#REF!)+SUMIF(#REF!,'8.Dgia'!A1788,#REF!)</f>
        <v>#REF!</v>
      </c>
      <c r="O1788" s="844"/>
      <c r="P1788" s="843" t="e">
        <f t="shared" si="85"/>
        <v>#REF!</v>
      </c>
    </row>
    <row r="1789" spans="1:18" ht="15" customHeight="1">
      <c r="A1789" s="657">
        <f>IF(B1789="",MAX($A$8:A1788)+0,MAX($A$8:A1788)+1)</f>
        <v>194</v>
      </c>
      <c r="B1789" s="835" t="str">
        <f>IF(C1789="","",COUNTA($C$10:C1790))</f>
        <v/>
      </c>
      <c r="C1789" s="362"/>
      <c r="D1789" s="851"/>
      <c r="E1789" s="852" t="s">
        <v>559</v>
      </c>
      <c r="F1789" s="848" t="str">
        <f>VLOOKUP(E1789,DICH!B:C,2,FALSE)</f>
        <v>welding electrode</v>
      </c>
      <c r="G1789" s="362" t="s">
        <v>558</v>
      </c>
      <c r="H1789" s="847">
        <v>0.45</v>
      </c>
      <c r="I1789" s="848">
        <f>VLOOKUP(E1789,'11.gia '!$B:$I,8,FALSE)</f>
        <v>19090.909090909088</v>
      </c>
      <c r="J1789" s="853">
        <f>I1789*H1789</f>
        <v>8590.9090909090901</v>
      </c>
      <c r="N1789" s="843" t="e">
        <f>SUMIF(#REF!,'8.Dgia'!A1789,#REF!)+SUMIF(#REF!,'8.Dgia'!A1789,#REF!)+SUMIF(#REF!,'8.Dgia'!A1789,#REF!)+SUMIF(#REF!,'8.Dgia'!A1789,#REF!)</f>
        <v>#REF!</v>
      </c>
      <c r="O1789" s="844"/>
      <c r="P1789" s="843" t="e">
        <f t="shared" si="85"/>
        <v>#REF!</v>
      </c>
    </row>
    <row r="1790" spans="1:18" ht="15" customHeight="1">
      <c r="A1790" s="657">
        <f>IF(B1790="",MAX($A$8:A1789)+0,MAX($A$8:A1789)+1)</f>
        <v>194</v>
      </c>
      <c r="B1790" s="835" t="str">
        <f>IF(C1790="","",COUNTA($C$10:C1791))</f>
        <v/>
      </c>
      <c r="C1790" s="362"/>
      <c r="D1790" s="851"/>
      <c r="E1790" s="852" t="s">
        <v>555</v>
      </c>
      <c r="F1790" s="848" t="str">
        <f>VLOOKUP(E1790,DICH!B:C,2,FALSE)</f>
        <v>Other material</v>
      </c>
      <c r="G1790" s="362" t="s">
        <v>554</v>
      </c>
      <c r="H1790" s="847">
        <v>2</v>
      </c>
      <c r="I1790" s="848">
        <f>SUM(J1787:J1789)</f>
        <v>124990.90909090909</v>
      </c>
      <c r="J1790" s="853">
        <f>I1790*H1790%</f>
        <v>2499.818181818182</v>
      </c>
      <c r="N1790" s="843" t="e">
        <f>SUMIF(#REF!,'8.Dgia'!A1790,#REF!)+SUMIF(#REF!,'8.Dgia'!A1790,#REF!)+SUMIF(#REF!,'8.Dgia'!A1790,#REF!)+SUMIF(#REF!,'8.Dgia'!A1790,#REF!)</f>
        <v>#REF!</v>
      </c>
      <c r="O1790" s="844"/>
      <c r="P1790" s="843" t="e">
        <f t="shared" si="85"/>
        <v>#REF!</v>
      </c>
    </row>
    <row r="1791" spans="1:18" s="658" customFormat="1" ht="15" customHeight="1">
      <c r="A1791" s="657">
        <f>IF(B1791="",MAX($A$8:A1790)+0,MAX($A$8:A1790)+1)</f>
        <v>194</v>
      </c>
      <c r="B1791" s="835" t="str">
        <f>IF(C1791="","",COUNTA($C$10:C1792))</f>
        <v/>
      </c>
      <c r="C1791" s="362"/>
      <c r="D1791" s="845"/>
      <c r="E1791" s="852" t="s">
        <v>2039</v>
      </c>
      <c r="F1791" s="848" t="str">
        <f>VLOOKUP(E1791,DICH!B:C,2,FALSE)</f>
        <v xml:space="preserve">  B - Labour 4.0/7</v>
      </c>
      <c r="G1791" s="362" t="s">
        <v>4899</v>
      </c>
      <c r="H1791" s="847">
        <v>1.85</v>
      </c>
      <c r="I1791" s="848">
        <f>VLOOKUP(E1791,'16.NC'!$C$11:$F$22,4,FALSE)</f>
        <v>218927</v>
      </c>
      <c r="J1791" s="849">
        <f>I1791*H1791</f>
        <v>405014.95</v>
      </c>
      <c r="K1791" s="850"/>
      <c r="L1791" s="850"/>
      <c r="M1791" s="850"/>
      <c r="N1791" s="843" t="e">
        <f>SUMIF(#REF!,'8.Dgia'!A1791,#REF!)+SUMIF(#REF!,'8.Dgia'!A1791,#REF!)+SUMIF(#REF!,'8.Dgia'!A1791,#REF!)+SUMIF(#REF!,'8.Dgia'!A1791,#REF!)</f>
        <v>#REF!</v>
      </c>
      <c r="O1791" s="844"/>
      <c r="P1791" s="843" t="e">
        <f t="shared" si="85"/>
        <v>#REF!</v>
      </c>
      <c r="R1791" s="658">
        <v>1</v>
      </c>
    </row>
    <row r="1792" spans="1:18" s="658" customFormat="1" ht="15" customHeight="1">
      <c r="A1792" s="657">
        <f>IF(B1792="",MAX($A$8:A1791)+0,MAX($A$8:A1791)+1)</f>
        <v>194</v>
      </c>
      <c r="B1792" s="835" t="str">
        <f>IF(C1792="","",COUNTA($C$10:C1793))</f>
        <v/>
      </c>
      <c r="C1792" s="362"/>
      <c r="D1792" s="845"/>
      <c r="E1792" s="852" t="s">
        <v>2033</v>
      </c>
      <c r="F1792" s="848" t="str">
        <f>VLOOKUP(E1792,DICH!B:C,2,FALSE)</f>
        <v xml:space="preserve">  C - Machine</v>
      </c>
      <c r="G1792" s="846"/>
      <c r="H1792" s="847"/>
      <c r="I1792" s="848"/>
      <c r="J1792" s="849">
        <f>SUM(J1793:J1794)</f>
        <v>622962.49462499993</v>
      </c>
      <c r="K1792" s="850"/>
      <c r="L1792" s="850"/>
      <c r="M1792" s="850"/>
      <c r="N1792" s="843" t="e">
        <f>SUMIF(#REF!,'8.Dgia'!A1792,#REF!)+SUMIF(#REF!,'8.Dgia'!A1792,#REF!)+SUMIF(#REF!,'8.Dgia'!A1792,#REF!)+SUMIF(#REF!,'8.Dgia'!A1792,#REF!)</f>
        <v>#REF!</v>
      </c>
      <c r="O1792" s="844"/>
      <c r="P1792" s="843" t="e">
        <f t="shared" si="85"/>
        <v>#REF!</v>
      </c>
    </row>
    <row r="1793" spans="1:18" ht="15" customHeight="1">
      <c r="A1793" s="657">
        <f>IF(B1793="",MAX($A$8:A1792)+0,MAX($A$8:A1792)+1)</f>
        <v>194</v>
      </c>
      <c r="B1793" s="835" t="str">
        <f>IF(C1793="","",COUNTA($C$10:C1794))</f>
        <v/>
      </c>
      <c r="C1793" s="362"/>
      <c r="D1793" s="851"/>
      <c r="E1793" s="852" t="s">
        <v>299</v>
      </c>
      <c r="F1793" s="848" t="str">
        <f>VLOOKUP(E1793,'9.may'!E:F,2,FALSE)</f>
        <v>Earth drill ED</v>
      </c>
      <c r="G1793" s="362" t="s">
        <v>4902</v>
      </c>
      <c r="H1793" s="847">
        <v>0.125</v>
      </c>
      <c r="I1793" s="848">
        <f>VLOOKUP(E1793,'9.may'!E:W,12,FALSE)</f>
        <v>4530636.3245454542</v>
      </c>
      <c r="J1793" s="853">
        <f>I1793*H1793</f>
        <v>566329.54056818178</v>
      </c>
      <c r="N1793" s="843" t="e">
        <f>SUMIF(#REF!,'8.Dgia'!A1793,#REF!)+SUMIF(#REF!,'8.Dgia'!A1793,#REF!)+SUMIF(#REF!,'8.Dgia'!A1793,#REF!)+SUMIF(#REF!,'8.Dgia'!A1793,#REF!)</f>
        <v>#REF!</v>
      </c>
      <c r="O1793" s="844"/>
      <c r="P1793" s="843" t="e">
        <f t="shared" si="85"/>
        <v>#REF!</v>
      </c>
    </row>
    <row r="1794" spans="1:18" ht="15" customHeight="1">
      <c r="A1794" s="657">
        <f>IF(B1794="",MAX($A$8:A1793)+0,MAX($A$8:A1793)+1)</f>
        <v>194</v>
      </c>
      <c r="B1794" s="835" t="str">
        <f>IF(C1794="","",COUNTA($C$10:C1795))</f>
        <v/>
      </c>
      <c r="C1794" s="362"/>
      <c r="D1794" s="851"/>
      <c r="E1794" s="852" t="s">
        <v>553</v>
      </c>
      <c r="F1794" s="848" t="str">
        <f>VLOOKUP(E1794,DICH!B:C,2,FALSE)</f>
        <v>Other machine</v>
      </c>
      <c r="G1794" s="362" t="s">
        <v>554</v>
      </c>
      <c r="H1794" s="847">
        <v>10</v>
      </c>
      <c r="I1794" s="848">
        <f>SUM(J1793:J1793)</f>
        <v>566329.54056818178</v>
      </c>
      <c r="J1794" s="853">
        <f>I1794*H1794%</f>
        <v>56632.954056818184</v>
      </c>
      <c r="N1794" s="843" t="e">
        <f>SUMIF(#REF!,'8.Dgia'!A1794,#REF!)+SUMIF(#REF!,'8.Dgia'!A1794,#REF!)+SUMIF(#REF!,'8.Dgia'!A1794,#REF!)+SUMIF(#REF!,'8.Dgia'!A1794,#REF!)</f>
        <v>#REF!</v>
      </c>
      <c r="O1794" s="844"/>
      <c r="P1794" s="843" t="e">
        <f t="shared" si="85"/>
        <v>#REF!</v>
      </c>
    </row>
    <row r="1795" spans="1:18" ht="30" customHeight="1">
      <c r="A1795" s="657">
        <f>IF(B1795="",MAX($A$8:A1794)+0,MAX($A$8:A1794)+1)</f>
        <v>195</v>
      </c>
      <c r="B1795" s="835">
        <f>IF(C1795="","",COUNTA($C$10:C1796))</f>
        <v>195</v>
      </c>
      <c r="C1795" s="835">
        <f>IF(D1795="","",1776)</f>
        <v>1776</v>
      </c>
      <c r="D1795" s="851" t="s">
        <v>735</v>
      </c>
      <c r="E1795" s="855" t="s">
        <v>320</v>
      </c>
      <c r="F1795" s="1049">
        <f>VLOOKUP(E1795,DICH!B:C,2,FALSE)</f>
        <v>0</v>
      </c>
      <c r="G1795" s="856" t="s">
        <v>543</v>
      </c>
      <c r="H1795" s="847"/>
      <c r="I1795" s="848"/>
      <c r="J1795" s="853"/>
      <c r="K1795" s="842">
        <f>+J1796</f>
        <v>154414.0538181818</v>
      </c>
      <c r="L1795" s="842">
        <f>+J1801</f>
        <v>493308.20909999998</v>
      </c>
      <c r="M1795" s="842">
        <f>+J1802</f>
        <v>758768.31845324975</v>
      </c>
      <c r="N1795" s="843" t="e">
        <f>SUMIF(#REF!,'8.Dgia'!A1795,#REF!)+SUMIF(#REF!,'8.Dgia'!A1795,#REF!)+SUMIF(#REF!,'8.Dgia'!A1795,#REF!)+SUMIF(#REF!,'8.Dgia'!A1795,#REF!)</f>
        <v>#REF!</v>
      </c>
      <c r="O1795" s="844"/>
      <c r="P1795" s="843" t="e">
        <f t="shared" si="85"/>
        <v>#REF!</v>
      </c>
    </row>
    <row r="1796" spans="1:18" s="658" customFormat="1" ht="15" customHeight="1">
      <c r="A1796" s="657">
        <f>IF(B1796="",MAX($A$8:A1795)+0,MAX($A$8:A1795)+1)</f>
        <v>195</v>
      </c>
      <c r="B1796" s="835" t="str">
        <f>IF(C1796="","",COUNTA($C$10:C1797))</f>
        <v/>
      </c>
      <c r="C1796" s="362"/>
      <c r="D1796" s="845"/>
      <c r="E1796" s="852" t="s">
        <v>2032</v>
      </c>
      <c r="F1796" s="848" t="str">
        <f>VLOOKUP(E1796,DICH!B:C,2,FALSE)</f>
        <v xml:space="preserve">  A - Material</v>
      </c>
      <c r="G1796" s="846"/>
      <c r="H1796" s="847"/>
      <c r="I1796" s="848"/>
      <c r="J1796" s="849">
        <f>SUM(J1797:J1800)</f>
        <v>154414.0538181818</v>
      </c>
      <c r="K1796" s="850"/>
      <c r="L1796" s="850"/>
      <c r="M1796" s="850"/>
      <c r="N1796" s="843" t="e">
        <f>SUMIF(#REF!,'8.Dgia'!A1796,#REF!)+SUMIF(#REF!,'8.Dgia'!A1796,#REF!)+SUMIF(#REF!,'8.Dgia'!A1796,#REF!)+SUMIF(#REF!,'8.Dgia'!A1796,#REF!)</f>
        <v>#REF!</v>
      </c>
      <c r="O1796" s="844"/>
      <c r="P1796" s="843" t="e">
        <f t="shared" si="85"/>
        <v>#REF!</v>
      </c>
    </row>
    <row r="1797" spans="1:18" ht="15" customHeight="1">
      <c r="A1797" s="657">
        <f>IF(B1797="",MAX($A$8:A1796)+0,MAX($A$8:A1796)+1)</f>
        <v>195</v>
      </c>
      <c r="B1797" s="835" t="str">
        <f>IF(C1797="","",COUNTA($C$10:C1798))</f>
        <v/>
      </c>
      <c r="C1797" s="362"/>
      <c r="D1797" s="851"/>
      <c r="E1797" s="852" t="s">
        <v>433</v>
      </c>
      <c r="F1797" s="848" t="str">
        <f>VLOOKUP(E1797,DICH!B:C,2,FALSE)</f>
        <v xml:space="preserve">Bucket of drill </v>
      </c>
      <c r="G1797" s="362" t="s">
        <v>4649</v>
      </c>
      <c r="H1797" s="908">
        <f>+H1787*1.015</f>
        <v>1.421E-3</v>
      </c>
      <c r="I1797" s="848">
        <f>VLOOKUP(E1797,'11.gia '!$B:$I,8,FALSE)</f>
        <v>3000000</v>
      </c>
      <c r="J1797" s="853">
        <f>I1797*H1797</f>
        <v>4263</v>
      </c>
      <c r="N1797" s="843" t="e">
        <f>SUMIF(#REF!,'8.Dgia'!A1797,#REF!)+SUMIF(#REF!,'8.Dgia'!A1797,#REF!)+SUMIF(#REF!,'8.Dgia'!A1797,#REF!)+SUMIF(#REF!,'8.Dgia'!A1797,#REF!)</f>
        <v>#REF!</v>
      </c>
      <c r="O1797" s="844"/>
      <c r="P1797" s="843" t="e">
        <f t="shared" si="85"/>
        <v>#REF!</v>
      </c>
    </row>
    <row r="1798" spans="1:18" ht="15" customHeight="1">
      <c r="A1798" s="657">
        <f>IF(B1798="",MAX($A$8:A1797)+0,MAX($A$8:A1797)+1)</f>
        <v>195</v>
      </c>
      <c r="B1798" s="835" t="str">
        <f>IF(C1798="","",COUNTA($C$10:C1799))</f>
        <v/>
      </c>
      <c r="C1798" s="362"/>
      <c r="D1798" s="851"/>
      <c r="E1798" s="852" t="s">
        <v>434</v>
      </c>
      <c r="F1798" s="848" t="str">
        <f>VLOOKUP(E1798,DICH!B:C,2,FALSE)</f>
        <v xml:space="preserve">alloy bucket teeth </v>
      </c>
      <c r="G1798" s="362" t="s">
        <v>4649</v>
      </c>
      <c r="H1798" s="865">
        <f>+H1788*1.2*1.015</f>
        <v>1.6077599999999999</v>
      </c>
      <c r="I1798" s="848">
        <f>VLOOKUP(E1798,'11.gia '!$B:$I,8,FALSE)</f>
        <v>85000</v>
      </c>
      <c r="J1798" s="853">
        <f>I1798*H1798</f>
        <v>136659.59999999998</v>
      </c>
      <c r="N1798" s="843" t="e">
        <f>SUMIF(#REF!,'8.Dgia'!A1798,#REF!)+SUMIF(#REF!,'8.Dgia'!A1798,#REF!)+SUMIF(#REF!,'8.Dgia'!A1798,#REF!)+SUMIF(#REF!,'8.Dgia'!A1798,#REF!)</f>
        <v>#REF!</v>
      </c>
      <c r="O1798" s="844"/>
      <c r="P1798" s="843" t="e">
        <f t="shared" si="85"/>
        <v>#REF!</v>
      </c>
    </row>
    <row r="1799" spans="1:18" ht="15" customHeight="1">
      <c r="A1799" s="657">
        <f>IF(B1799="",MAX($A$8:A1798)+0,MAX($A$8:A1798)+1)</f>
        <v>195</v>
      </c>
      <c r="B1799" s="835" t="str">
        <f>IF(C1799="","",COUNTA($C$10:C1800))</f>
        <v/>
      </c>
      <c r="C1799" s="362"/>
      <c r="D1799" s="851"/>
      <c r="E1799" s="852" t="s">
        <v>559</v>
      </c>
      <c r="F1799" s="848" t="str">
        <f>VLOOKUP(E1799,DICH!B:C,2,FALSE)</f>
        <v>welding electrode</v>
      </c>
      <c r="G1799" s="362" t="s">
        <v>558</v>
      </c>
      <c r="H1799" s="847">
        <f>+H1789*1.2*1.015</f>
        <v>0.54810000000000003</v>
      </c>
      <c r="I1799" s="848">
        <f>VLOOKUP(E1799,'11.gia '!$B:$I,8,FALSE)</f>
        <v>19090.909090909088</v>
      </c>
      <c r="J1799" s="853">
        <f>I1799*H1799</f>
        <v>10463.727272727272</v>
      </c>
      <c r="N1799" s="843" t="e">
        <f>SUMIF(#REF!,'8.Dgia'!A1799,#REF!)+SUMIF(#REF!,'8.Dgia'!A1799,#REF!)+SUMIF(#REF!,'8.Dgia'!A1799,#REF!)+SUMIF(#REF!,'8.Dgia'!A1799,#REF!)</f>
        <v>#REF!</v>
      </c>
      <c r="O1799" s="844"/>
      <c r="P1799" s="843" t="e">
        <f t="shared" si="85"/>
        <v>#REF!</v>
      </c>
    </row>
    <row r="1800" spans="1:18" ht="15" customHeight="1">
      <c r="A1800" s="657">
        <f>IF(B1800="",MAX($A$8:A1799)+0,MAX($A$8:A1799)+1)</f>
        <v>195</v>
      </c>
      <c r="B1800" s="835" t="str">
        <f>IF(C1800="","",COUNTA($C$10:C1801))</f>
        <v/>
      </c>
      <c r="C1800" s="362"/>
      <c r="D1800" s="851"/>
      <c r="E1800" s="852" t="s">
        <v>555</v>
      </c>
      <c r="F1800" s="848" t="str">
        <f>VLOOKUP(E1800,DICH!B:C,2,FALSE)</f>
        <v>Other material</v>
      </c>
      <c r="G1800" s="362" t="s">
        <v>554</v>
      </c>
      <c r="H1800" s="847">
        <v>2</v>
      </c>
      <c r="I1800" s="848">
        <f>SUM(J1797:J1799)</f>
        <v>151386.32727272724</v>
      </c>
      <c r="J1800" s="853">
        <f>I1800*H1800%</f>
        <v>3027.726545454545</v>
      </c>
      <c r="N1800" s="843" t="e">
        <f>SUMIF(#REF!,'8.Dgia'!A1800,#REF!)+SUMIF(#REF!,'8.Dgia'!A1800,#REF!)+SUMIF(#REF!,'8.Dgia'!A1800,#REF!)+SUMIF(#REF!,'8.Dgia'!A1800,#REF!)</f>
        <v>#REF!</v>
      </c>
      <c r="O1800" s="844"/>
      <c r="P1800" s="843" t="e">
        <f t="shared" si="85"/>
        <v>#REF!</v>
      </c>
    </row>
    <row r="1801" spans="1:18" s="658" customFormat="1" ht="15" customHeight="1">
      <c r="A1801" s="657">
        <f>IF(B1801="",MAX($A$8:A1800)+0,MAX($A$8:A1800)+1)</f>
        <v>195</v>
      </c>
      <c r="B1801" s="835" t="str">
        <f>IF(C1801="","",COUNTA($C$10:C1802))</f>
        <v/>
      </c>
      <c r="C1801" s="362"/>
      <c r="D1801" s="845"/>
      <c r="E1801" s="852" t="s">
        <v>2039</v>
      </c>
      <c r="F1801" s="848" t="str">
        <f>VLOOKUP(E1801,DICH!B:C,2,FALSE)</f>
        <v xml:space="preserve">  B - Labour 4.0/7</v>
      </c>
      <c r="G1801" s="362" t="s">
        <v>4899</v>
      </c>
      <c r="H1801" s="847">
        <f>+H1791*1.2*1.015</f>
        <v>2.2532999999999999</v>
      </c>
      <c r="I1801" s="848">
        <f>VLOOKUP(E1801,'16.NC'!$C$11:$F$22,4,FALSE)</f>
        <v>218927</v>
      </c>
      <c r="J1801" s="849">
        <f>I1801*H1801</f>
        <v>493308.20909999998</v>
      </c>
      <c r="K1801" s="850"/>
      <c r="L1801" s="850"/>
      <c r="M1801" s="850"/>
      <c r="N1801" s="843" t="e">
        <f>SUMIF(#REF!,'8.Dgia'!A1801,#REF!)+SUMIF(#REF!,'8.Dgia'!A1801,#REF!)+SUMIF(#REF!,'8.Dgia'!A1801,#REF!)+SUMIF(#REF!,'8.Dgia'!A1801,#REF!)</f>
        <v>#REF!</v>
      </c>
      <c r="O1801" s="844"/>
      <c r="P1801" s="843" t="e">
        <f t="shared" si="85"/>
        <v>#REF!</v>
      </c>
      <c r="R1801" s="658">
        <v>1</v>
      </c>
    </row>
    <row r="1802" spans="1:18" s="658" customFormat="1" ht="15" customHeight="1">
      <c r="A1802" s="657">
        <f>IF(B1802="",MAX($A$8:A1801)+0,MAX($A$8:A1801)+1)</f>
        <v>195</v>
      </c>
      <c r="B1802" s="835" t="str">
        <f>IF(C1802="","",COUNTA($C$10:C1803))</f>
        <v/>
      </c>
      <c r="C1802" s="362"/>
      <c r="D1802" s="845"/>
      <c r="E1802" s="852" t="s">
        <v>2033</v>
      </c>
      <c r="F1802" s="848" t="str">
        <f>VLOOKUP(E1802,DICH!B:C,2,FALSE)</f>
        <v xml:space="preserve">  C - Machine</v>
      </c>
      <c r="G1802" s="846"/>
      <c r="H1802" s="847"/>
      <c r="I1802" s="848"/>
      <c r="J1802" s="849">
        <f>SUM(J1803:J1804)</f>
        <v>758768.31845324975</v>
      </c>
      <c r="K1802" s="850"/>
      <c r="L1802" s="850"/>
      <c r="M1802" s="850"/>
      <c r="N1802" s="843" t="e">
        <f>SUMIF(#REF!,'8.Dgia'!A1802,#REF!)+SUMIF(#REF!,'8.Dgia'!A1802,#REF!)+SUMIF(#REF!,'8.Dgia'!A1802,#REF!)+SUMIF(#REF!,'8.Dgia'!A1802,#REF!)</f>
        <v>#REF!</v>
      </c>
      <c r="O1802" s="844"/>
      <c r="P1802" s="843" t="e">
        <f t="shared" si="85"/>
        <v>#REF!</v>
      </c>
    </row>
    <row r="1803" spans="1:18" ht="15" customHeight="1">
      <c r="A1803" s="657">
        <f>IF(B1803="",MAX($A$8:A1802)+0,MAX($A$8:A1802)+1)</f>
        <v>195</v>
      </c>
      <c r="B1803" s="835" t="str">
        <f>IF(C1803="","",COUNTA($C$10:C1804))</f>
        <v/>
      </c>
      <c r="C1803" s="362"/>
      <c r="D1803" s="851"/>
      <c r="E1803" s="852" t="s">
        <v>299</v>
      </c>
      <c r="F1803" s="848" t="str">
        <f>VLOOKUP(E1803,'9.may'!E:F,2,FALSE)</f>
        <v>Earth drill ED</v>
      </c>
      <c r="G1803" s="362" t="s">
        <v>4902</v>
      </c>
      <c r="H1803" s="847">
        <f>+H1793*1.2*1.015</f>
        <v>0.15224999999999997</v>
      </c>
      <c r="I1803" s="848">
        <f>VLOOKUP(E1803,'9.may'!E:W,12,FALSE)</f>
        <v>4530636.3245454542</v>
      </c>
      <c r="J1803" s="853">
        <f>I1803*H1803</f>
        <v>689789.38041204528</v>
      </c>
      <c r="N1803" s="843" t="e">
        <f>SUMIF(#REF!,'8.Dgia'!A1803,#REF!)+SUMIF(#REF!,'8.Dgia'!A1803,#REF!)+SUMIF(#REF!,'8.Dgia'!A1803,#REF!)+SUMIF(#REF!,'8.Dgia'!A1803,#REF!)</f>
        <v>#REF!</v>
      </c>
      <c r="O1803" s="844"/>
      <c r="P1803" s="843" t="e">
        <f t="shared" si="85"/>
        <v>#REF!</v>
      </c>
    </row>
    <row r="1804" spans="1:18" ht="15" customHeight="1">
      <c r="A1804" s="657">
        <f>IF(B1804="",MAX($A$8:A1803)+0,MAX($A$8:A1803)+1)</f>
        <v>195</v>
      </c>
      <c r="B1804" s="835" t="str">
        <f>IF(C1804="","",COUNTA($C$10:C1805))</f>
        <v/>
      </c>
      <c r="C1804" s="362"/>
      <c r="D1804" s="851"/>
      <c r="E1804" s="852" t="s">
        <v>553</v>
      </c>
      <c r="F1804" s="848" t="str">
        <f>VLOOKUP(E1804,DICH!B:C,2,FALSE)</f>
        <v>Other machine</v>
      </c>
      <c r="G1804" s="362" t="s">
        <v>554</v>
      </c>
      <c r="H1804" s="847">
        <v>10</v>
      </c>
      <c r="I1804" s="848">
        <f>SUM(J1803:J1803)</f>
        <v>689789.38041204528</v>
      </c>
      <c r="J1804" s="853">
        <f>I1804*H1804%</f>
        <v>68978.938041204528</v>
      </c>
      <c r="N1804" s="843" t="e">
        <f>SUMIF(#REF!,'8.Dgia'!A1804,#REF!)+SUMIF(#REF!,'8.Dgia'!A1804,#REF!)+SUMIF(#REF!,'8.Dgia'!A1804,#REF!)+SUMIF(#REF!,'8.Dgia'!A1804,#REF!)</f>
        <v>#REF!</v>
      </c>
      <c r="O1804" s="844"/>
      <c r="P1804" s="843" t="e">
        <f t="shared" si="85"/>
        <v>#REF!</v>
      </c>
    </row>
    <row r="1805" spans="1:18" ht="26.25" customHeight="1">
      <c r="A1805" s="657">
        <f>IF(B1805="",MAX($A$8:A1804)+0,MAX($A$8:A1804)+1)</f>
        <v>196</v>
      </c>
      <c r="B1805" s="835">
        <f>IF(C1805="","",COUNTA($C$10:C1806))</f>
        <v>196</v>
      </c>
      <c r="C1805" s="835">
        <f>IF(D1805="","",1776)</f>
        <v>1776</v>
      </c>
      <c r="D1805" s="362" t="s">
        <v>737</v>
      </c>
      <c r="E1805" s="855" t="s">
        <v>17</v>
      </c>
      <c r="F1805" s="1049" t="str">
        <f>VLOOKUP(E1805,DICH!B:C,2,FALSE)</f>
        <v>Install $ remove casting pipe D&lt;=1000 on land (co=1.6)</v>
      </c>
      <c r="G1805" s="912" t="s">
        <v>543</v>
      </c>
      <c r="H1805" s="847"/>
      <c r="I1805" s="848"/>
      <c r="J1805" s="853"/>
      <c r="K1805" s="842">
        <f>+J1806</f>
        <v>55280.35980913513</v>
      </c>
      <c r="L1805" s="842">
        <f>+J1810</f>
        <v>836301.14</v>
      </c>
      <c r="M1805" s="842">
        <f>+J1811</f>
        <v>301022.04087900004</v>
      </c>
      <c r="N1805" s="843" t="e">
        <f>SUMIF(#REF!,'8.Dgia'!A1805,#REF!)+SUMIF(#REF!,'8.Dgia'!A1805,#REF!)+SUMIF(#REF!,'8.Dgia'!A1805,#REF!)+SUMIF(#REF!,'8.Dgia'!A1805,#REF!)</f>
        <v>#REF!</v>
      </c>
      <c r="O1805" s="844"/>
      <c r="P1805" s="843" t="e">
        <f t="shared" si="85"/>
        <v>#REF!</v>
      </c>
    </row>
    <row r="1806" spans="1:18" ht="15" customHeight="1">
      <c r="A1806" s="657">
        <f>IF(B1806="",MAX($A$8:A1805)+0,MAX($A$8:A1805)+1)</f>
        <v>196</v>
      </c>
      <c r="B1806" s="835" t="str">
        <f>IF(C1806="","",COUNTA($C$10:C1807))</f>
        <v/>
      </c>
      <c r="C1806" s="847"/>
      <c r="D1806" s="362"/>
      <c r="E1806" s="852" t="s">
        <v>2032</v>
      </c>
      <c r="F1806" s="848" t="str">
        <f>VLOOKUP(E1806,DICH!B:C,2,FALSE)</f>
        <v xml:space="preserve">  A - Material</v>
      </c>
      <c r="G1806" s="847"/>
      <c r="H1806" s="847"/>
      <c r="I1806" s="848"/>
      <c r="J1806" s="849">
        <f>SUM(J1807:J1809)</f>
        <v>55280.35980913513</v>
      </c>
      <c r="N1806" s="843" t="e">
        <f>SUMIF(#REF!,'8.Dgia'!A1806,#REF!)+SUMIF(#REF!,'8.Dgia'!A1806,#REF!)+SUMIF(#REF!,'8.Dgia'!A1806,#REF!)+SUMIF(#REF!,'8.Dgia'!A1806,#REF!)</f>
        <v>#REF!</v>
      </c>
      <c r="O1806" s="844"/>
      <c r="P1806" s="843" t="e">
        <f t="shared" si="85"/>
        <v>#REF!</v>
      </c>
    </row>
    <row r="1807" spans="1:18" ht="15" customHeight="1">
      <c r="A1807" s="657">
        <f>IF(B1807="",MAX($A$8:A1806)+0,MAX($A$8:A1806)+1)</f>
        <v>196</v>
      </c>
      <c r="B1807" s="835" t="str">
        <f>IF(C1807="","",COUNTA($C$10:C1808))</f>
        <v/>
      </c>
      <c r="C1807" s="847"/>
      <c r="D1807" s="362"/>
      <c r="E1807" s="852" t="s">
        <v>563</v>
      </c>
      <c r="F1807" s="848" t="str">
        <f>VLOOKUP(E1807,DICH!B:C,2,FALSE)</f>
        <v>Shaped steel</v>
      </c>
      <c r="G1807" s="847" t="s">
        <v>558</v>
      </c>
      <c r="H1807" s="847">
        <f>1.5</f>
        <v>1.5</v>
      </c>
      <c r="I1807" s="848">
        <f>VLOOKUP(E1807,'11.gia '!$B:$I,8,FALSE)</f>
        <v>16703.248369172808</v>
      </c>
      <c r="J1807" s="853">
        <f>I1807*H1807</f>
        <v>25054.872553759211</v>
      </c>
      <c r="N1807" s="843" t="e">
        <f>SUMIF(#REF!,'8.Dgia'!A1807,#REF!)+SUMIF(#REF!,'8.Dgia'!A1807,#REF!)+SUMIF(#REF!,'8.Dgia'!A1807,#REF!)+SUMIF(#REF!,'8.Dgia'!A1807,#REF!)</f>
        <v>#REF!</v>
      </c>
      <c r="O1807" s="844"/>
      <c r="P1807" s="843" t="e">
        <f t="shared" si="85"/>
        <v>#REF!</v>
      </c>
    </row>
    <row r="1808" spans="1:18" ht="15" customHeight="1">
      <c r="A1808" s="657">
        <f>IF(B1808="",MAX($A$8:A1807)+0,MAX($A$8:A1807)+1)</f>
        <v>196</v>
      </c>
      <c r="B1808" s="835" t="str">
        <f>IF(C1808="","",COUNTA($C$10:C1809))</f>
        <v/>
      </c>
      <c r="C1808" s="847"/>
      <c r="D1808" s="362"/>
      <c r="E1808" s="852" t="s">
        <v>559</v>
      </c>
      <c r="F1808" s="848" t="str">
        <f>VLOOKUP(E1808,DICH!B:C,2,FALSE)</f>
        <v>welding electrode</v>
      </c>
      <c r="G1808" s="847" t="s">
        <v>558</v>
      </c>
      <c r="H1808" s="847">
        <f>1.32</f>
        <v>1.32</v>
      </c>
      <c r="I1808" s="848">
        <f>VLOOKUP(E1808,'11.gia '!$B:$I,8,FALSE)</f>
        <v>19090.909090909088</v>
      </c>
      <c r="J1808" s="853">
        <f>I1808*H1808</f>
        <v>25199.999999999996</v>
      </c>
      <c r="N1808" s="843" t="e">
        <f>SUMIF(#REF!,'8.Dgia'!A1808,#REF!)+SUMIF(#REF!,'8.Dgia'!A1808,#REF!)+SUMIF(#REF!,'8.Dgia'!A1808,#REF!)+SUMIF(#REF!,'8.Dgia'!A1808,#REF!)</f>
        <v>#REF!</v>
      </c>
      <c r="O1808" s="844"/>
      <c r="P1808" s="843" t="e">
        <f t="shared" si="85"/>
        <v>#REF!</v>
      </c>
    </row>
    <row r="1809" spans="1:18" ht="15" customHeight="1">
      <c r="A1809" s="657">
        <f>IF(B1809="",MAX($A$8:A1808)+0,MAX($A$8:A1808)+1)</f>
        <v>196</v>
      </c>
      <c r="B1809" s="835" t="str">
        <f>IF(C1809="","",COUNTA($C$10:C1810))</f>
        <v/>
      </c>
      <c r="C1809" s="847"/>
      <c r="D1809" s="362"/>
      <c r="E1809" s="852" t="s">
        <v>555</v>
      </c>
      <c r="F1809" s="848" t="str">
        <f>VLOOKUP(E1809,DICH!B:C,2,FALSE)</f>
        <v>Other material</v>
      </c>
      <c r="G1809" s="362" t="s">
        <v>554</v>
      </c>
      <c r="H1809" s="847">
        <v>10</v>
      </c>
      <c r="I1809" s="848">
        <f>SUM(J1807:J1808)</f>
        <v>50254.872553759211</v>
      </c>
      <c r="J1809" s="853">
        <f>I1809*H1809%</f>
        <v>5025.4872553759214</v>
      </c>
      <c r="N1809" s="843" t="e">
        <f>SUMIF(#REF!,'8.Dgia'!A1809,#REF!)+SUMIF(#REF!,'8.Dgia'!A1809,#REF!)+SUMIF(#REF!,'8.Dgia'!A1809,#REF!)+SUMIF(#REF!,'8.Dgia'!A1809,#REF!)</f>
        <v>#REF!</v>
      </c>
      <c r="O1809" s="844"/>
      <c r="P1809" s="843" t="e">
        <f t="shared" si="85"/>
        <v>#REF!</v>
      </c>
    </row>
    <row r="1810" spans="1:18" ht="15" customHeight="1">
      <c r="A1810" s="657">
        <f>IF(B1810="",MAX($A$8:A1809)+0,MAX($A$8:A1809)+1)</f>
        <v>196</v>
      </c>
      <c r="B1810" s="835" t="str">
        <f>IF(C1810="","",COUNTA($C$10:C1811))</f>
        <v/>
      </c>
      <c r="C1810" s="847"/>
      <c r="D1810" s="362"/>
      <c r="E1810" s="852" t="s">
        <v>2039</v>
      </c>
      <c r="F1810" s="848" t="str">
        <f>VLOOKUP(E1810,DICH!B:C,2,FALSE)</f>
        <v xml:space="preserve">  B - Labour 4.0/7</v>
      </c>
      <c r="G1810" s="883" t="s">
        <v>4899</v>
      </c>
      <c r="H1810" s="847">
        <f>3.82</f>
        <v>3.82</v>
      </c>
      <c r="I1810" s="848">
        <f>VLOOKUP(E1810,'16.NC'!$C$11:$F$22,4,FALSE)</f>
        <v>218927</v>
      </c>
      <c r="J1810" s="849">
        <f>I1810*H1810</f>
        <v>836301.14</v>
      </c>
      <c r="N1810" s="843" t="e">
        <f>SUMIF(#REF!,'8.Dgia'!A1810,#REF!)+SUMIF(#REF!,'8.Dgia'!A1810,#REF!)+SUMIF(#REF!,'8.Dgia'!A1810,#REF!)+SUMIF(#REF!,'8.Dgia'!A1810,#REF!)</f>
        <v>#REF!</v>
      </c>
      <c r="O1810" s="844"/>
      <c r="P1810" s="843" t="e">
        <f t="shared" si="85"/>
        <v>#REF!</v>
      </c>
      <c r="R1810" s="658">
        <v>1</v>
      </c>
    </row>
    <row r="1811" spans="1:18" ht="15" customHeight="1">
      <c r="A1811" s="657">
        <f>IF(B1811="",MAX($A$8:A1810)+0,MAX($A$8:A1810)+1)</f>
        <v>196</v>
      </c>
      <c r="B1811" s="835" t="str">
        <f>IF(C1811="","",COUNTA($C$10:C1812))</f>
        <v/>
      </c>
      <c r="C1811" s="847"/>
      <c r="D1811" s="362"/>
      <c r="E1811" s="852" t="s">
        <v>2033</v>
      </c>
      <c r="F1811" s="848" t="str">
        <f>VLOOKUP(E1811,DICH!B:C,2,FALSE)</f>
        <v xml:space="preserve">  C - Machine</v>
      </c>
      <c r="G1811" s="847"/>
      <c r="H1811" s="847"/>
      <c r="I1811" s="848"/>
      <c r="J1811" s="849">
        <f>SUM(J1812:J1814)</f>
        <v>301022.04087900004</v>
      </c>
      <c r="N1811" s="843" t="e">
        <f>SUMIF(#REF!,'8.Dgia'!A1811,#REF!)+SUMIF(#REF!,'8.Dgia'!A1811,#REF!)+SUMIF(#REF!,'8.Dgia'!A1811,#REF!)+SUMIF(#REF!,'8.Dgia'!A1811,#REF!)</f>
        <v>#REF!</v>
      </c>
      <c r="O1811" s="844"/>
      <c r="P1811" s="843" t="e">
        <f t="shared" si="85"/>
        <v>#REF!</v>
      </c>
    </row>
    <row r="1812" spans="1:18" ht="15" customHeight="1">
      <c r="A1812" s="657">
        <f>IF(B1812="",MAX($A$8:A1811)+0,MAX($A$8:A1811)+1)</f>
        <v>196</v>
      </c>
      <c r="B1812" s="835" t="str">
        <f>IF(C1812="","",COUNTA($C$10:C1813))</f>
        <v/>
      </c>
      <c r="C1812" s="847"/>
      <c r="D1812" s="362"/>
      <c r="E1812" s="852" t="s">
        <v>288</v>
      </c>
      <c r="F1812" s="848" t="str">
        <f>VLOOKUP(E1812,'9.may'!E:F,2,FALSE)</f>
        <v>caterpillar crane 25T</v>
      </c>
      <c r="G1812" s="847" t="s">
        <v>4902</v>
      </c>
      <c r="H1812" s="847">
        <f>0.066</f>
        <v>6.6000000000000003E-2</v>
      </c>
      <c r="I1812" s="848">
        <f>VLOOKUP(E1812,'9.may'!E:W,12,FALSE)</f>
        <v>2787996.6736363638</v>
      </c>
      <c r="J1812" s="853">
        <f>I1812*H1812</f>
        <v>184007.78046000001</v>
      </c>
      <c r="N1812" s="843" t="e">
        <f>SUMIF(#REF!,'8.Dgia'!A1812,#REF!)+SUMIF(#REF!,'8.Dgia'!A1812,#REF!)+SUMIF(#REF!,'8.Dgia'!A1812,#REF!)+SUMIF(#REF!,'8.Dgia'!A1812,#REF!)</f>
        <v>#REF!</v>
      </c>
      <c r="O1812" s="844"/>
      <c r="P1812" s="843" t="e">
        <f t="shared" si="85"/>
        <v>#REF!</v>
      </c>
    </row>
    <row r="1813" spans="1:18" ht="15" customHeight="1">
      <c r="A1813" s="657">
        <f>IF(B1813="",MAX($A$8:A1812)+0,MAX($A$8:A1812)+1)</f>
        <v>196</v>
      </c>
      <c r="B1813" s="835" t="str">
        <f>IF(C1813="","",COUNTA($C$10:C1814))</f>
        <v/>
      </c>
      <c r="C1813" s="847"/>
      <c r="D1813" s="362"/>
      <c r="E1813" s="852" t="s">
        <v>1522</v>
      </c>
      <c r="F1813" s="848" t="str">
        <f>VLOOKUP(E1813,'9.may'!E:F,2,FALSE)</f>
        <v>vibrator hammer 170kW</v>
      </c>
      <c r="G1813" s="847" t="s">
        <v>4902</v>
      </c>
      <c r="H1813" s="847">
        <f>0.066</f>
        <v>6.6000000000000003E-2</v>
      </c>
      <c r="I1813" s="848">
        <f>VLOOKUP(E1813,'9.may'!E:W,12,FALSE)</f>
        <v>1555755.72</v>
      </c>
      <c r="J1813" s="853">
        <f>I1813*H1813</f>
        <v>102679.87752000001</v>
      </c>
      <c r="N1813" s="843" t="e">
        <f>SUMIF(#REF!,'8.Dgia'!A1813,#REF!)+SUMIF(#REF!,'8.Dgia'!A1813,#REF!)+SUMIF(#REF!,'8.Dgia'!A1813,#REF!)+SUMIF(#REF!,'8.Dgia'!A1813,#REF!)</f>
        <v>#REF!</v>
      </c>
      <c r="O1813" s="844"/>
      <c r="P1813" s="843" t="e">
        <f t="shared" si="85"/>
        <v>#REF!</v>
      </c>
    </row>
    <row r="1814" spans="1:18" ht="15" customHeight="1">
      <c r="A1814" s="657">
        <f>IF(B1814="",MAX($A$8:A1813)+0,MAX($A$8:A1813)+1)</f>
        <v>196</v>
      </c>
      <c r="B1814" s="835" t="str">
        <f>IF(C1814="","",COUNTA($C$10:C1815))</f>
        <v/>
      </c>
      <c r="C1814" s="847"/>
      <c r="D1814" s="362"/>
      <c r="E1814" s="852" t="s">
        <v>553</v>
      </c>
      <c r="F1814" s="848" t="str">
        <f>VLOOKUP(E1814,DICH!B:C,2,FALSE)</f>
        <v>Other machine</v>
      </c>
      <c r="G1814" s="362" t="s">
        <v>554</v>
      </c>
      <c r="H1814" s="847">
        <v>5</v>
      </c>
      <c r="I1814" s="848">
        <f>SUM(J1812:J1813)</f>
        <v>286687.65798000002</v>
      </c>
      <c r="J1814" s="853">
        <f>I1814*H1814%</f>
        <v>14334.382899000002</v>
      </c>
      <c r="N1814" s="843" t="e">
        <f>SUMIF(#REF!,'8.Dgia'!A1814,#REF!)+SUMIF(#REF!,'8.Dgia'!A1814,#REF!)+SUMIF(#REF!,'8.Dgia'!A1814,#REF!)+SUMIF(#REF!,'8.Dgia'!A1814,#REF!)</f>
        <v>#REF!</v>
      </c>
      <c r="O1814" s="844"/>
      <c r="P1814" s="843" t="e">
        <f t="shared" si="85"/>
        <v>#REF!</v>
      </c>
    </row>
    <row r="1815" spans="1:18" ht="26.25" customHeight="1">
      <c r="A1815" s="657">
        <f>IF(B1815="",MAX($A$8:A1814)+0,MAX($A$8:A1814)+1)</f>
        <v>197</v>
      </c>
      <c r="B1815" s="835">
        <f>IF(C1815="","",COUNTA($C$10:C1816))</f>
        <v>197</v>
      </c>
      <c r="C1815" s="835">
        <f>IF(D1815="","",1776)</f>
        <v>1776</v>
      </c>
      <c r="D1815" s="851" t="s">
        <v>2053</v>
      </c>
      <c r="E1815" s="855" t="s">
        <v>3482</v>
      </c>
      <c r="F1815" s="1049" t="str">
        <f>VLOOKUP(E1815,DICH!B:C,2,FALSE)</f>
        <v>Producing closure segment lingking system K19</v>
      </c>
      <c r="G1815" s="856" t="s">
        <v>4644</v>
      </c>
      <c r="H1815" s="847"/>
      <c r="I1815" s="848"/>
      <c r="J1815" s="909"/>
      <c r="K1815" s="842">
        <f>+J1816</f>
        <v>17847024.416768938</v>
      </c>
      <c r="L1815" s="842">
        <f>+J1823</f>
        <v>4949939.47</v>
      </c>
      <c r="M1815" s="842">
        <f>+J1824</f>
        <v>1271422.0785818181</v>
      </c>
      <c r="N1815" s="843" t="e">
        <f>SUMIF(#REF!,'8.Dgia'!A1815,#REF!)+SUMIF(#REF!,'8.Dgia'!A1815,#REF!)+SUMIF(#REF!,'8.Dgia'!A1815,#REF!)+SUMIF(#REF!,'8.Dgia'!A1815,#REF!)</f>
        <v>#REF!</v>
      </c>
      <c r="O1815" s="844"/>
      <c r="P1815" s="843" t="e">
        <f t="shared" si="85"/>
        <v>#REF!</v>
      </c>
    </row>
    <row r="1816" spans="1:18" ht="15" customHeight="1">
      <c r="A1816" s="657">
        <f>IF(B1816="",MAX($A$8:A1815)+0,MAX($A$8:A1815)+1)</f>
        <v>197</v>
      </c>
      <c r="B1816" s="835" t="str">
        <f>IF(C1816="","",COUNTA($C$10:C1817))</f>
        <v/>
      </c>
      <c r="C1816" s="362"/>
      <c r="D1816" s="851"/>
      <c r="E1816" s="852" t="s">
        <v>2032</v>
      </c>
      <c r="F1816" s="848" t="str">
        <f>VLOOKUP(E1816,DICH!B:C,2,FALSE)</f>
        <v xml:space="preserve">  A - Material</v>
      </c>
      <c r="G1816" s="856"/>
      <c r="H1816" s="847"/>
      <c r="I1816" s="848"/>
      <c r="J1816" s="849">
        <f>SUM(J1817:J1822)</f>
        <v>17847024.416768938</v>
      </c>
      <c r="N1816" s="843" t="e">
        <f>SUMIF(#REF!,'8.Dgia'!A1816,#REF!)+SUMIF(#REF!,'8.Dgia'!A1816,#REF!)+SUMIF(#REF!,'8.Dgia'!A1816,#REF!)+SUMIF(#REF!,'8.Dgia'!A1816,#REF!)</f>
        <v>#REF!</v>
      </c>
      <c r="O1816" s="844"/>
      <c r="P1816" s="843" t="e">
        <f t="shared" si="85"/>
        <v>#REF!</v>
      </c>
    </row>
    <row r="1817" spans="1:18" ht="15" customHeight="1">
      <c r="A1817" s="657">
        <f>IF(B1817="",MAX($A$8:A1816)+0,MAX($A$8:A1816)+1)</f>
        <v>197</v>
      </c>
      <c r="B1817" s="835" t="str">
        <f>IF(C1817="","",COUNTA($C$10:C1818))</f>
        <v/>
      </c>
      <c r="C1817" s="362"/>
      <c r="D1817" s="851"/>
      <c r="E1817" s="852" t="s">
        <v>563</v>
      </c>
      <c r="F1817" s="848" t="str">
        <f>VLOOKUP(E1817,DICH!B:C,2,FALSE)</f>
        <v>Shaped steel</v>
      </c>
      <c r="G1817" s="362" t="s">
        <v>622</v>
      </c>
      <c r="H1817" s="865">
        <f>697.85</f>
        <v>697.85</v>
      </c>
      <c r="I1817" s="848">
        <f>VLOOKUP(E1817,'11.gia '!$B:$I,8,FALSE)</f>
        <v>16703.248369172808</v>
      </c>
      <c r="J1817" s="853">
        <f t="shared" ref="J1817:J1823" si="86">I1817*H1817</f>
        <v>11656361.874427244</v>
      </c>
      <c r="N1817" s="843" t="e">
        <f>SUMIF(#REF!,'8.Dgia'!A1817,#REF!)+SUMIF(#REF!,'8.Dgia'!A1817,#REF!)+SUMIF(#REF!,'8.Dgia'!A1817,#REF!)+SUMIF(#REF!,'8.Dgia'!A1817,#REF!)</f>
        <v>#REF!</v>
      </c>
      <c r="O1817" s="844">
        <f>+$H$1822</f>
        <v>5</v>
      </c>
      <c r="P1817" s="843" t="e">
        <f t="shared" si="85"/>
        <v>#REF!</v>
      </c>
    </row>
    <row r="1818" spans="1:18" ht="15" customHeight="1">
      <c r="A1818" s="657">
        <f>IF(B1818="",MAX($A$8:A1817)+0,MAX($A$8:A1817)+1)</f>
        <v>197</v>
      </c>
      <c r="B1818" s="835" t="str">
        <f>IF(C1818="","",COUNTA($C$10:C1819))</f>
        <v/>
      </c>
      <c r="C1818" s="362"/>
      <c r="D1818" s="851"/>
      <c r="E1818" s="852" t="s">
        <v>562</v>
      </c>
      <c r="F1818" s="848" t="str">
        <f>VLOOKUP(E1818,DICH!B:C,2,FALSE)</f>
        <v>Plate steel</v>
      </c>
      <c r="G1818" s="362" t="s">
        <v>558</v>
      </c>
      <c r="H1818" s="847">
        <f>362.15</f>
        <v>362.15</v>
      </c>
      <c r="I1818" s="848">
        <f>VLOOKUP(E1818,'11.gia '!$B:$I,8,FALSE)</f>
        <v>12871.348287272725</v>
      </c>
      <c r="J1818" s="853">
        <f t="shared" si="86"/>
        <v>4661358.7822358171</v>
      </c>
      <c r="N1818" s="843" t="e">
        <f>SUMIF(#REF!,'8.Dgia'!A1818,#REF!)+SUMIF(#REF!,'8.Dgia'!A1818,#REF!)+SUMIF(#REF!,'8.Dgia'!A1818,#REF!)+SUMIF(#REF!,'8.Dgia'!A1818,#REF!)</f>
        <v>#REF!</v>
      </c>
      <c r="O1818" s="844">
        <f>+$H$1822</f>
        <v>5</v>
      </c>
      <c r="P1818" s="843" t="e">
        <f t="shared" si="85"/>
        <v>#REF!</v>
      </c>
    </row>
    <row r="1819" spans="1:18" ht="15" customHeight="1">
      <c r="A1819" s="657">
        <f>IF(B1819="",MAX($A$8:A1818)+0,MAX($A$8:A1818)+1)</f>
        <v>197</v>
      </c>
      <c r="B1819" s="835" t="str">
        <f>IF(C1819="","",COUNTA($C$10:C1820))</f>
        <v/>
      </c>
      <c r="C1819" s="362"/>
      <c r="D1819" s="851"/>
      <c r="E1819" s="852" t="s">
        <v>559</v>
      </c>
      <c r="F1819" s="848" t="str">
        <f>VLOOKUP(E1819,DICH!B:C,2,FALSE)</f>
        <v>welding electrode</v>
      </c>
      <c r="G1819" s="362" t="s">
        <v>558</v>
      </c>
      <c r="H1819" s="847">
        <v>24.15</v>
      </c>
      <c r="I1819" s="848">
        <f>VLOOKUP(E1819,'11.gia '!$B:$I,8,FALSE)</f>
        <v>19090.909090909088</v>
      </c>
      <c r="J1819" s="853">
        <f t="shared" si="86"/>
        <v>461045.45454545447</v>
      </c>
      <c r="N1819" s="843" t="e">
        <f>SUMIF(#REF!,'8.Dgia'!A1819,#REF!)+SUMIF(#REF!,'8.Dgia'!A1819,#REF!)+SUMIF(#REF!,'8.Dgia'!A1819,#REF!)+SUMIF(#REF!,'8.Dgia'!A1819,#REF!)</f>
        <v>#REF!</v>
      </c>
      <c r="O1819" s="844">
        <f>+$H$1822</f>
        <v>5</v>
      </c>
      <c r="P1819" s="843" t="e">
        <f t="shared" si="85"/>
        <v>#REF!</v>
      </c>
    </row>
    <row r="1820" spans="1:18" ht="15" customHeight="1">
      <c r="A1820" s="657">
        <f>IF(B1820="",MAX($A$8:A1819)+0,MAX($A$8:A1819)+1)</f>
        <v>197</v>
      </c>
      <c r="B1820" s="835" t="str">
        <f>IF(C1820="","",COUNTA($C$10:C1821))</f>
        <v/>
      </c>
      <c r="C1820" s="362"/>
      <c r="D1820" s="851"/>
      <c r="E1820" s="852" t="s">
        <v>564</v>
      </c>
      <c r="F1820" s="848" t="str">
        <f>VLOOKUP(E1820,DICH!B:C,2,FALSE)</f>
        <v>oxygen</v>
      </c>
      <c r="G1820" s="362" t="s">
        <v>4647</v>
      </c>
      <c r="H1820" s="847">
        <v>2.1</v>
      </c>
      <c r="I1820" s="848">
        <f>VLOOKUP(E1820,'11.gia '!$B:$I,8,FALSE)</f>
        <v>48000</v>
      </c>
      <c r="J1820" s="853">
        <f t="shared" si="86"/>
        <v>100800</v>
      </c>
      <c r="N1820" s="843" t="e">
        <f>SUMIF(#REF!,'8.Dgia'!A1820,#REF!)+SUMIF(#REF!,'8.Dgia'!A1820,#REF!)+SUMIF(#REF!,'8.Dgia'!A1820,#REF!)+SUMIF(#REF!,'8.Dgia'!A1820,#REF!)</f>
        <v>#REF!</v>
      </c>
      <c r="O1820" s="844">
        <f>+$H$1822</f>
        <v>5</v>
      </c>
      <c r="P1820" s="843" t="e">
        <f t="shared" si="85"/>
        <v>#REF!</v>
      </c>
    </row>
    <row r="1821" spans="1:18" ht="15" customHeight="1">
      <c r="A1821" s="657">
        <f>IF(B1821="",MAX($A$8:A1820)+0,MAX($A$8:A1820)+1)</f>
        <v>197</v>
      </c>
      <c r="B1821" s="835" t="str">
        <f>IF(C1821="","",COUNTA($C$10:C1822))</f>
        <v/>
      </c>
      <c r="C1821" s="362"/>
      <c r="D1821" s="851"/>
      <c r="E1821" s="852" t="s">
        <v>566</v>
      </c>
      <c r="F1821" s="848" t="str">
        <f>VLOOKUP(E1821,DICH!B:C,2,FALSE)</f>
        <v>Calcium carbide</v>
      </c>
      <c r="G1821" s="362" t="s">
        <v>558</v>
      </c>
      <c r="H1821" s="847">
        <v>8.4</v>
      </c>
      <c r="I1821" s="848">
        <f>VLOOKUP(E1821,'11.gia '!$B:$I,8,FALSE)</f>
        <v>14000</v>
      </c>
      <c r="J1821" s="853">
        <f t="shared" si="86"/>
        <v>117600</v>
      </c>
      <c r="N1821" s="843" t="e">
        <f>SUMIF(#REF!,'8.Dgia'!A1821,#REF!)+SUMIF(#REF!,'8.Dgia'!A1821,#REF!)+SUMIF(#REF!,'8.Dgia'!A1821,#REF!)+SUMIF(#REF!,'8.Dgia'!A1821,#REF!)</f>
        <v>#REF!</v>
      </c>
      <c r="O1821" s="844">
        <f>+$H$1822</f>
        <v>5</v>
      </c>
      <c r="P1821" s="843" t="e">
        <f t="shared" si="85"/>
        <v>#REF!</v>
      </c>
    </row>
    <row r="1822" spans="1:18" ht="15" customHeight="1">
      <c r="A1822" s="657">
        <f>IF(B1822="",MAX($A$8:A1821)+0,MAX($A$8:A1821)+1)</f>
        <v>197</v>
      </c>
      <c r="B1822" s="835" t="str">
        <f>IF(C1822="","",COUNTA($C$10:C1823))</f>
        <v/>
      </c>
      <c r="C1822" s="362"/>
      <c r="D1822" s="851"/>
      <c r="E1822" s="852" t="s">
        <v>555</v>
      </c>
      <c r="F1822" s="848" t="str">
        <f>VLOOKUP(E1822,DICH!B:C,2,FALSE)</f>
        <v>Other material</v>
      </c>
      <c r="G1822" s="362" t="s">
        <v>554</v>
      </c>
      <c r="H1822" s="847">
        <v>5</v>
      </c>
      <c r="I1822" s="848">
        <f>SUM(J1817:J1821)</f>
        <v>16997166.111208513</v>
      </c>
      <c r="J1822" s="853">
        <f>I1822*H1822%</f>
        <v>849858.30556042574</v>
      </c>
      <c r="N1822" s="843" t="e">
        <f>SUMIF(#REF!,'8.Dgia'!A1822,#REF!)+SUMIF(#REF!,'8.Dgia'!A1822,#REF!)+SUMIF(#REF!,'8.Dgia'!A1822,#REF!)+SUMIF(#REF!,'8.Dgia'!A1822,#REF!)</f>
        <v>#REF!</v>
      </c>
      <c r="O1822" s="844"/>
      <c r="P1822" s="843" t="e">
        <f t="shared" si="85"/>
        <v>#REF!</v>
      </c>
    </row>
    <row r="1823" spans="1:18" ht="15" customHeight="1">
      <c r="A1823" s="657">
        <f>IF(B1823="",MAX($A$8:A1822)+0,MAX($A$8:A1822)+1)</f>
        <v>197</v>
      </c>
      <c r="B1823" s="835" t="str">
        <f>IF(C1823="","",COUNTA($C$10:C1824))</f>
        <v/>
      </c>
      <c r="C1823" s="362"/>
      <c r="D1823" s="851"/>
      <c r="E1823" s="852" t="s">
        <v>2039</v>
      </c>
      <c r="F1823" s="848" t="str">
        <f>VLOOKUP(E1823,DICH!B:C,2,FALSE)</f>
        <v xml:space="preserve">  B - Labour 4.0/7</v>
      </c>
      <c r="G1823" s="362" t="s">
        <v>4899</v>
      </c>
      <c r="H1823" s="847">
        <f>22.61*H1817/697.85</f>
        <v>22.61</v>
      </c>
      <c r="I1823" s="848">
        <f>VLOOKUP(E1823,'16.NC'!$C$11:$F$22,4,FALSE)</f>
        <v>218927</v>
      </c>
      <c r="J1823" s="849">
        <f t="shared" si="86"/>
        <v>4949939.47</v>
      </c>
      <c r="N1823" s="843" t="e">
        <f>SUMIF(#REF!,'8.Dgia'!A1823,#REF!)+SUMIF(#REF!,'8.Dgia'!A1823,#REF!)+SUMIF(#REF!,'8.Dgia'!A1823,#REF!)+SUMIF(#REF!,'8.Dgia'!A1823,#REF!)</f>
        <v>#REF!</v>
      </c>
      <c r="O1823" s="844"/>
      <c r="P1823" s="843" t="e">
        <f t="shared" si="85"/>
        <v>#REF!</v>
      </c>
      <c r="R1823" s="658">
        <v>1</v>
      </c>
    </row>
    <row r="1824" spans="1:18" ht="15" customHeight="1">
      <c r="A1824" s="657">
        <f>IF(B1824="",MAX($A$8:A1823)+0,MAX($A$8:A1823)+1)</f>
        <v>197</v>
      </c>
      <c r="B1824" s="835" t="str">
        <f>IF(C1824="","",COUNTA($C$10:C1825))</f>
        <v/>
      </c>
      <c r="C1824" s="362"/>
      <c r="D1824" s="851"/>
      <c r="E1824" s="852" t="s">
        <v>2033</v>
      </c>
      <c r="F1824" s="848" t="str">
        <f>VLOOKUP(E1824,DICH!B:C,2,FALSE)</f>
        <v xml:space="preserve">  C - Machine</v>
      </c>
      <c r="G1824" s="362"/>
      <c r="H1824" s="847"/>
      <c r="I1824" s="848"/>
      <c r="J1824" s="849">
        <f>SUM(J1825:J1827)</f>
        <v>1271422.0785818181</v>
      </c>
      <c r="N1824" s="843" t="e">
        <f>SUMIF(#REF!,'8.Dgia'!A1824,#REF!)+SUMIF(#REF!,'8.Dgia'!A1824,#REF!)+SUMIF(#REF!,'8.Dgia'!A1824,#REF!)+SUMIF(#REF!,'8.Dgia'!A1824,#REF!)</f>
        <v>#REF!</v>
      </c>
      <c r="O1824" s="844"/>
      <c r="P1824" s="843" t="e">
        <f t="shared" si="85"/>
        <v>#REF!</v>
      </c>
    </row>
    <row r="1825" spans="1:18" ht="15" customHeight="1">
      <c r="A1825" s="657">
        <f>IF(B1825="",MAX($A$8:A1824)+0,MAX($A$8:A1824)+1)</f>
        <v>197</v>
      </c>
      <c r="B1825" s="835" t="str">
        <f>IF(C1825="","",COUNTA($C$10:C1826))</f>
        <v/>
      </c>
      <c r="C1825" s="362"/>
      <c r="D1825" s="851"/>
      <c r="E1825" s="852" t="s">
        <v>560</v>
      </c>
      <c r="F1825" s="848" t="str">
        <f>VLOOKUP(E1825,'9.may'!E:F,2,FALSE)</f>
        <v>welding machine 23kW</v>
      </c>
      <c r="G1825" s="362" t="s">
        <v>4902</v>
      </c>
      <c r="H1825" s="847">
        <f>4.6*H1817/697.85</f>
        <v>4.5999999999999996</v>
      </c>
      <c r="I1825" s="848">
        <f>VLOOKUP(E1825,'9.may'!E:W,12,FALSE)</f>
        <v>171649.155</v>
      </c>
      <c r="J1825" s="853">
        <f>I1825*H1825</f>
        <v>789586.1129999999</v>
      </c>
      <c r="N1825" s="843" t="e">
        <f>SUMIF(#REF!,'8.Dgia'!A1825,#REF!)+SUMIF(#REF!,'8.Dgia'!A1825,#REF!)+SUMIF(#REF!,'8.Dgia'!A1825,#REF!)+SUMIF(#REF!,'8.Dgia'!A1825,#REF!)</f>
        <v>#REF!</v>
      </c>
      <c r="O1825" s="844"/>
      <c r="P1825" s="843" t="e">
        <f t="shared" si="85"/>
        <v>#REF!</v>
      </c>
    </row>
    <row r="1826" spans="1:18" ht="15" customHeight="1">
      <c r="A1826" s="657">
        <f>IF(B1826="",MAX($A$8:A1825)+0,MAX($A$8:A1825)+1)</f>
        <v>197</v>
      </c>
      <c r="B1826" s="835" t="str">
        <f>IF(C1826="","",COUNTA($C$10:C1827))</f>
        <v/>
      </c>
      <c r="C1826" s="362"/>
      <c r="D1826" s="851"/>
      <c r="E1826" s="852" t="s">
        <v>1417</v>
      </c>
      <c r="F1826" s="848" t="str">
        <f>VLOOKUP(E1826,'9.may'!E:F,2,FALSE)</f>
        <v>Cutting machine 15Kw</v>
      </c>
      <c r="G1826" s="362" t="s">
        <v>4902</v>
      </c>
      <c r="H1826" s="847">
        <f>0.4*H1817/697.85</f>
        <v>0.4</v>
      </c>
      <c r="I1826" s="848">
        <f>VLOOKUP(E1826,'9.may'!E:W,12,FALSE)</f>
        <v>204698.78999999998</v>
      </c>
      <c r="J1826" s="853">
        <f>I1826*H1826</f>
        <v>81879.516000000003</v>
      </c>
      <c r="N1826" s="843" t="e">
        <f>SUMIF(#REF!,'8.Dgia'!A1826,#REF!)+SUMIF(#REF!,'8.Dgia'!A1826,#REF!)+SUMIF(#REF!,'8.Dgia'!A1826,#REF!)+SUMIF(#REF!,'8.Dgia'!A1826,#REF!)</f>
        <v>#REF!</v>
      </c>
      <c r="O1826" s="844"/>
      <c r="P1826" s="843" t="e">
        <f t="shared" si="85"/>
        <v>#REF!</v>
      </c>
    </row>
    <row r="1827" spans="1:18" ht="15" customHeight="1">
      <c r="A1827" s="657">
        <f>IF(B1827="",MAX($A$8:A1826)+0,MAX($A$8:A1826)+1)</f>
        <v>197</v>
      </c>
      <c r="B1827" s="835" t="str">
        <f>IF(C1827="","",COUNTA($C$10:C1828))</f>
        <v/>
      </c>
      <c r="C1827" s="362"/>
      <c r="D1827" s="851"/>
      <c r="E1827" s="852" t="s">
        <v>1038</v>
      </c>
      <c r="F1827" s="848" t="str">
        <f>VLOOKUP(E1827,'9.may'!E:F,2,FALSE)</f>
        <v>caterpillar crane 10T/ crawler crane 10T</v>
      </c>
      <c r="G1827" s="362" t="s">
        <v>4902</v>
      </c>
      <c r="H1827" s="847">
        <f>0.27*H1817/697.85</f>
        <v>0.27</v>
      </c>
      <c r="I1827" s="848">
        <f>VLOOKUP(E1827,'9.may'!E:W,12,FALSE)</f>
        <v>1481320.1836363636</v>
      </c>
      <c r="J1827" s="853">
        <f>I1827*H1827</f>
        <v>399956.44958181819</v>
      </c>
      <c r="N1827" s="843" t="e">
        <f>SUMIF(#REF!,'8.Dgia'!A1827,#REF!)+SUMIF(#REF!,'8.Dgia'!A1827,#REF!)+SUMIF(#REF!,'8.Dgia'!A1827,#REF!)+SUMIF(#REF!,'8.Dgia'!A1827,#REF!)</f>
        <v>#REF!</v>
      </c>
      <c r="O1827" s="844"/>
      <c r="P1827" s="843" t="e">
        <f t="shared" si="85"/>
        <v>#REF!</v>
      </c>
    </row>
    <row r="1828" spans="1:18" ht="25.5" customHeight="1">
      <c r="A1828" s="657">
        <f>IF(B1828="",MAX($A$8:A1827)+0,MAX($A$8:A1827)+1)</f>
        <v>198</v>
      </c>
      <c r="B1828" s="835">
        <f>IF(C1828="","",COUNTA($C$10:C1829))</f>
        <v>198</v>
      </c>
      <c r="C1828" s="835">
        <f>IF(D1828="","",1776)</f>
        <v>1776</v>
      </c>
      <c r="D1828" s="851" t="s">
        <v>2053</v>
      </c>
      <c r="E1828" s="855" t="s">
        <v>3483</v>
      </c>
      <c r="F1828" s="1049" t="str">
        <f>VLOOKUP(E1828,DICH!B:C,2,FALSE)</f>
        <v>Producing closure segment lingking system K19, amor=2%*1month+7%</v>
      </c>
      <c r="G1828" s="856" t="s">
        <v>4644</v>
      </c>
      <c r="H1828" s="847">
        <f>2%*1+7%</f>
        <v>9.0000000000000011E-2</v>
      </c>
      <c r="I1828" s="848"/>
      <c r="J1828" s="909"/>
      <c r="K1828" s="842">
        <f>+J1829</f>
        <v>2255442.3293273863</v>
      </c>
      <c r="L1828" s="842">
        <f>+J1836</f>
        <v>445494.55229999998</v>
      </c>
      <c r="M1828" s="842">
        <f>+J1837</f>
        <v>114427.98707236364</v>
      </c>
      <c r="N1828" s="843" t="e">
        <f>SUMIF(#REF!,'8.Dgia'!A1828,#REF!)+SUMIF(#REF!,'8.Dgia'!A1828,#REF!)+SUMIF(#REF!,'8.Dgia'!A1828,#REF!)+SUMIF(#REF!,'8.Dgia'!A1828,#REF!)</f>
        <v>#REF!</v>
      </c>
      <c r="O1828" s="844"/>
      <c r="P1828" s="843" t="e">
        <f t="shared" ref="P1828:P1840" si="87">$H1828*N1828*(1+O1828%)</f>
        <v>#REF!</v>
      </c>
    </row>
    <row r="1829" spans="1:18" ht="15" customHeight="1">
      <c r="A1829" s="657">
        <f>IF(B1829="",MAX($A$8:A1828)+0,MAX($A$8:A1828)+1)</f>
        <v>198</v>
      </c>
      <c r="B1829" s="835" t="str">
        <f>IF(C1829="","",COUNTA($C$10:C1830))</f>
        <v/>
      </c>
      <c r="C1829" s="362"/>
      <c r="D1829" s="851"/>
      <c r="E1829" s="852" t="s">
        <v>2032</v>
      </c>
      <c r="F1829" s="848" t="str">
        <f>VLOOKUP(E1829,DICH!B:C,2,FALSE)</f>
        <v xml:space="preserve">  A - Material</v>
      </c>
      <c r="G1829" s="856"/>
      <c r="H1829" s="847"/>
      <c r="I1829" s="848"/>
      <c r="J1829" s="849">
        <f>SUM(J1830:J1835)</f>
        <v>2255442.3293273863</v>
      </c>
      <c r="N1829" s="843" t="e">
        <f>SUMIF(#REF!,'8.Dgia'!A1829,#REF!)+SUMIF(#REF!,'8.Dgia'!A1829,#REF!)+SUMIF(#REF!,'8.Dgia'!A1829,#REF!)+SUMIF(#REF!,'8.Dgia'!A1829,#REF!)</f>
        <v>#REF!</v>
      </c>
      <c r="O1829" s="844"/>
      <c r="P1829" s="843" t="e">
        <f t="shared" si="87"/>
        <v>#REF!</v>
      </c>
    </row>
    <row r="1830" spans="1:18" ht="15" customHeight="1">
      <c r="A1830" s="657">
        <f>IF(B1830="",MAX($A$8:A1829)+0,MAX($A$8:A1829)+1)</f>
        <v>198</v>
      </c>
      <c r="B1830" s="835" t="str">
        <f>IF(C1830="","",COUNTA($C$10:C1831))</f>
        <v/>
      </c>
      <c r="C1830" s="362"/>
      <c r="D1830" s="851" t="s">
        <v>2255</v>
      </c>
      <c r="E1830" s="852" t="s">
        <v>563</v>
      </c>
      <c r="F1830" s="848" t="str">
        <f>VLOOKUP(E1830,DICH!B:C,2,FALSE)</f>
        <v>Shaped steel</v>
      </c>
      <c r="G1830" s="362" t="s">
        <v>622</v>
      </c>
      <c r="H1830" s="865">
        <f>697.85*H1828</f>
        <v>62.806500000000007</v>
      </c>
      <c r="I1830" s="848">
        <f>VLOOKUP(E1830,'11.gia '!$B:$I,8,FALSE)</f>
        <v>16703.248369172808</v>
      </c>
      <c r="J1830" s="853">
        <f>I1830*H1830</f>
        <v>1049072.5686984521</v>
      </c>
      <c r="N1830" s="843" t="e">
        <f>SUMIF(#REF!,'8.Dgia'!A1830,#REF!)+SUMIF(#REF!,'8.Dgia'!A1830,#REF!)+SUMIF(#REF!,'8.Dgia'!A1830,#REF!)+SUMIF(#REF!,'8.Dgia'!A1830,#REF!)</f>
        <v>#REF!</v>
      </c>
      <c r="O1830" s="844">
        <f>+$H$1822</f>
        <v>5</v>
      </c>
      <c r="P1830" s="843" t="e">
        <f t="shared" si="87"/>
        <v>#REF!</v>
      </c>
    </row>
    <row r="1831" spans="1:18" ht="15" customHeight="1">
      <c r="A1831" s="657">
        <f>IF(B1831="",MAX($A$8:A1830)+0,MAX($A$8:A1830)+1)</f>
        <v>198</v>
      </c>
      <c r="B1831" s="835" t="str">
        <f>IF(C1831="","",COUNTA($C$10:C1832))</f>
        <v/>
      </c>
      <c r="C1831" s="362"/>
      <c r="D1831" s="851" t="s">
        <v>2255</v>
      </c>
      <c r="E1831" s="852" t="s">
        <v>562</v>
      </c>
      <c r="F1831" s="848" t="str">
        <f>VLOOKUP(E1831,DICH!B:C,2,FALSE)</f>
        <v>Plate steel</v>
      </c>
      <c r="G1831" s="362" t="s">
        <v>558</v>
      </c>
      <c r="H1831" s="847">
        <f>362.15*H1828</f>
        <v>32.593499999999999</v>
      </c>
      <c r="I1831" s="848">
        <f>VLOOKUP(E1831,'11.gia '!$B:$I,8,FALSE)</f>
        <v>12871.348287272725</v>
      </c>
      <c r="J1831" s="853">
        <f>I1831*H1831</f>
        <v>419522.29040122358</v>
      </c>
      <c r="N1831" s="843" t="e">
        <f>SUMIF(#REF!,'8.Dgia'!A1831,#REF!)+SUMIF(#REF!,'8.Dgia'!A1831,#REF!)+SUMIF(#REF!,'8.Dgia'!A1831,#REF!)+SUMIF(#REF!,'8.Dgia'!A1831,#REF!)</f>
        <v>#REF!</v>
      </c>
      <c r="O1831" s="844">
        <f>+$H$1822</f>
        <v>5</v>
      </c>
      <c r="P1831" s="843" t="e">
        <f t="shared" si="87"/>
        <v>#REF!</v>
      </c>
    </row>
    <row r="1832" spans="1:18" ht="15" customHeight="1">
      <c r="A1832" s="657">
        <f>IF(B1832="",MAX($A$8:A1831)+0,MAX($A$8:A1831)+1)</f>
        <v>198</v>
      </c>
      <c r="B1832" s="835" t="str">
        <f>IF(C1832="","",COUNTA($C$10:C1833))</f>
        <v/>
      </c>
      <c r="C1832" s="362"/>
      <c r="D1832" s="851"/>
      <c r="E1832" s="852" t="s">
        <v>559</v>
      </c>
      <c r="F1832" s="848" t="str">
        <f>VLOOKUP(E1832,DICH!B:C,2,FALSE)</f>
        <v>welding electrode</v>
      </c>
      <c r="G1832" s="362" t="s">
        <v>558</v>
      </c>
      <c r="H1832" s="847">
        <v>24.15</v>
      </c>
      <c r="I1832" s="848">
        <f>VLOOKUP(E1832,'11.gia '!$B:$I,8,FALSE)</f>
        <v>19090.909090909088</v>
      </c>
      <c r="J1832" s="853">
        <f>I1832*H1832</f>
        <v>461045.45454545447</v>
      </c>
      <c r="N1832" s="843" t="e">
        <f>SUMIF(#REF!,'8.Dgia'!A1832,#REF!)+SUMIF(#REF!,'8.Dgia'!A1832,#REF!)+SUMIF(#REF!,'8.Dgia'!A1832,#REF!)+SUMIF(#REF!,'8.Dgia'!A1832,#REF!)</f>
        <v>#REF!</v>
      </c>
      <c r="O1832" s="844">
        <f>+$H$1822</f>
        <v>5</v>
      </c>
      <c r="P1832" s="843" t="e">
        <f t="shared" si="87"/>
        <v>#REF!</v>
      </c>
    </row>
    <row r="1833" spans="1:18" ht="15" customHeight="1">
      <c r="A1833" s="657">
        <f>IF(B1833="",MAX($A$8:A1832)+0,MAX($A$8:A1832)+1)</f>
        <v>198</v>
      </c>
      <c r="B1833" s="835" t="str">
        <f>IF(C1833="","",COUNTA($C$10:C1834))</f>
        <v/>
      </c>
      <c r="C1833" s="362"/>
      <c r="D1833" s="851"/>
      <c r="E1833" s="852" t="s">
        <v>564</v>
      </c>
      <c r="F1833" s="848" t="str">
        <f>VLOOKUP(E1833,DICH!B:C,2,FALSE)</f>
        <v>oxygen</v>
      </c>
      <c r="G1833" s="362" t="s">
        <v>4647</v>
      </c>
      <c r="H1833" s="847">
        <v>2.1</v>
      </c>
      <c r="I1833" s="848">
        <f>VLOOKUP(E1833,'11.gia '!$B:$I,8,FALSE)</f>
        <v>48000</v>
      </c>
      <c r="J1833" s="853">
        <f>I1833*H1833</f>
        <v>100800</v>
      </c>
      <c r="N1833" s="843" t="e">
        <f>SUMIF(#REF!,'8.Dgia'!A1833,#REF!)+SUMIF(#REF!,'8.Dgia'!A1833,#REF!)+SUMIF(#REF!,'8.Dgia'!A1833,#REF!)+SUMIF(#REF!,'8.Dgia'!A1833,#REF!)</f>
        <v>#REF!</v>
      </c>
      <c r="O1833" s="844">
        <f>+$H$1822</f>
        <v>5</v>
      </c>
      <c r="P1833" s="843" t="e">
        <f t="shared" si="87"/>
        <v>#REF!</v>
      </c>
    </row>
    <row r="1834" spans="1:18" ht="15" customHeight="1">
      <c r="A1834" s="657">
        <f>IF(B1834="",MAX($A$8:A1833)+0,MAX($A$8:A1833)+1)</f>
        <v>198</v>
      </c>
      <c r="B1834" s="835" t="str">
        <f>IF(C1834="","",COUNTA($C$10:C1835))</f>
        <v/>
      </c>
      <c r="C1834" s="362"/>
      <c r="D1834" s="851"/>
      <c r="E1834" s="852" t="s">
        <v>566</v>
      </c>
      <c r="F1834" s="848" t="str">
        <f>VLOOKUP(E1834,DICH!B:C,2,FALSE)</f>
        <v>Calcium carbide</v>
      </c>
      <c r="G1834" s="362" t="s">
        <v>558</v>
      </c>
      <c r="H1834" s="847">
        <v>8.4</v>
      </c>
      <c r="I1834" s="848">
        <f>VLOOKUP(E1834,'11.gia '!$B:$I,8,FALSE)</f>
        <v>14000</v>
      </c>
      <c r="J1834" s="853">
        <f>I1834*H1834</f>
        <v>117600</v>
      </c>
      <c r="N1834" s="843" t="e">
        <f>SUMIF(#REF!,'8.Dgia'!A1834,#REF!)+SUMIF(#REF!,'8.Dgia'!A1834,#REF!)+SUMIF(#REF!,'8.Dgia'!A1834,#REF!)+SUMIF(#REF!,'8.Dgia'!A1834,#REF!)</f>
        <v>#REF!</v>
      </c>
      <c r="O1834" s="844">
        <f>+$H$1822</f>
        <v>5</v>
      </c>
      <c r="P1834" s="843" t="e">
        <f t="shared" si="87"/>
        <v>#REF!</v>
      </c>
    </row>
    <row r="1835" spans="1:18" ht="15" customHeight="1">
      <c r="A1835" s="657">
        <f>IF(B1835="",MAX($A$8:A1834)+0,MAX($A$8:A1834)+1)</f>
        <v>198</v>
      </c>
      <c r="B1835" s="835" t="str">
        <f>IF(C1835="","",COUNTA($C$10:C1836))</f>
        <v/>
      </c>
      <c r="C1835" s="362"/>
      <c r="D1835" s="851"/>
      <c r="E1835" s="852" t="s">
        <v>555</v>
      </c>
      <c r="F1835" s="848" t="str">
        <f>VLOOKUP(E1835,DICH!B:C,2,FALSE)</f>
        <v>Other material</v>
      </c>
      <c r="G1835" s="362" t="s">
        <v>554</v>
      </c>
      <c r="H1835" s="847">
        <v>5</v>
      </c>
      <c r="I1835" s="848">
        <f>SUM(J1830:J1834)</f>
        <v>2148040.31364513</v>
      </c>
      <c r="J1835" s="853">
        <f>I1835*H1835%</f>
        <v>107402.0156822565</v>
      </c>
      <c r="N1835" s="843" t="e">
        <f>SUMIF(#REF!,'8.Dgia'!A1835,#REF!)+SUMIF(#REF!,'8.Dgia'!A1835,#REF!)+SUMIF(#REF!,'8.Dgia'!A1835,#REF!)+SUMIF(#REF!,'8.Dgia'!A1835,#REF!)</f>
        <v>#REF!</v>
      </c>
      <c r="O1835" s="844"/>
      <c r="P1835" s="843" t="e">
        <f t="shared" si="87"/>
        <v>#REF!</v>
      </c>
    </row>
    <row r="1836" spans="1:18" ht="15" customHeight="1">
      <c r="A1836" s="657">
        <f>IF(B1836="",MAX($A$8:A1835)+0,MAX($A$8:A1835)+1)</f>
        <v>198</v>
      </c>
      <c r="B1836" s="835" t="str">
        <f>IF(C1836="","",COUNTA($C$10:C1837))</f>
        <v/>
      </c>
      <c r="C1836" s="362"/>
      <c r="D1836" s="851"/>
      <c r="E1836" s="852" t="s">
        <v>2039</v>
      </c>
      <c r="F1836" s="848" t="str">
        <f>VLOOKUP(E1836,DICH!B:C,2,FALSE)</f>
        <v xml:space="preserve">  B - Labour 4.0/7</v>
      </c>
      <c r="G1836" s="362" t="s">
        <v>4899</v>
      </c>
      <c r="H1836" s="847">
        <f>22.61*H1830/697.85</f>
        <v>2.0348999999999999</v>
      </c>
      <c r="I1836" s="848">
        <f>VLOOKUP(E1836,'16.NC'!$C$11:$F$22,4,FALSE)</f>
        <v>218927</v>
      </c>
      <c r="J1836" s="849">
        <f>I1836*H1836</f>
        <v>445494.55229999998</v>
      </c>
      <c r="N1836" s="843" t="e">
        <f>SUMIF(#REF!,'8.Dgia'!A1836,#REF!)+SUMIF(#REF!,'8.Dgia'!A1836,#REF!)+SUMIF(#REF!,'8.Dgia'!A1836,#REF!)+SUMIF(#REF!,'8.Dgia'!A1836,#REF!)</f>
        <v>#REF!</v>
      </c>
      <c r="O1836" s="844"/>
      <c r="P1836" s="843" t="e">
        <f t="shared" si="87"/>
        <v>#REF!</v>
      </c>
      <c r="R1836" s="658">
        <v>1</v>
      </c>
    </row>
    <row r="1837" spans="1:18" ht="15" customHeight="1">
      <c r="A1837" s="657">
        <f>IF(B1837="",MAX($A$8:A1836)+0,MAX($A$8:A1836)+1)</f>
        <v>198</v>
      </c>
      <c r="B1837" s="835" t="str">
        <f>IF(C1837="","",COUNTA($C$10:C1838))</f>
        <v/>
      </c>
      <c r="C1837" s="362"/>
      <c r="D1837" s="851"/>
      <c r="E1837" s="852" t="s">
        <v>2033</v>
      </c>
      <c r="F1837" s="848" t="str">
        <f>VLOOKUP(E1837,DICH!B:C,2,FALSE)</f>
        <v xml:space="preserve">  C - Machine</v>
      </c>
      <c r="G1837" s="362"/>
      <c r="H1837" s="847"/>
      <c r="I1837" s="848"/>
      <c r="J1837" s="849">
        <f>SUM(J1838:J1840)</f>
        <v>114427.98707236364</v>
      </c>
      <c r="N1837" s="843" t="e">
        <f>SUMIF(#REF!,'8.Dgia'!A1837,#REF!)+SUMIF(#REF!,'8.Dgia'!A1837,#REF!)+SUMIF(#REF!,'8.Dgia'!A1837,#REF!)+SUMIF(#REF!,'8.Dgia'!A1837,#REF!)</f>
        <v>#REF!</v>
      </c>
      <c r="O1837" s="844"/>
      <c r="P1837" s="843" t="e">
        <f t="shared" si="87"/>
        <v>#REF!</v>
      </c>
    </row>
    <row r="1838" spans="1:18" ht="15" customHeight="1">
      <c r="A1838" s="657">
        <f>IF(B1838="",MAX($A$8:A1837)+0,MAX($A$8:A1837)+1)</f>
        <v>198</v>
      </c>
      <c r="B1838" s="835" t="str">
        <f>IF(C1838="","",COUNTA($C$10:C1839))</f>
        <v/>
      </c>
      <c r="C1838" s="362"/>
      <c r="D1838" s="851"/>
      <c r="E1838" s="852" t="s">
        <v>560</v>
      </c>
      <c r="F1838" s="848" t="str">
        <f>VLOOKUP(E1838,'9.may'!E:F,2,FALSE)</f>
        <v>welding machine 23kW</v>
      </c>
      <c r="G1838" s="362" t="s">
        <v>4902</v>
      </c>
      <c r="H1838" s="847">
        <f>4.6*H1830/697.85</f>
        <v>0.41399999999999998</v>
      </c>
      <c r="I1838" s="848">
        <f>VLOOKUP(E1838,'9.may'!E:W,12,FALSE)</f>
        <v>171649.155</v>
      </c>
      <c r="J1838" s="853">
        <f>I1838*H1838</f>
        <v>71062.750169999999</v>
      </c>
      <c r="N1838" s="843" t="e">
        <f>SUMIF(#REF!,'8.Dgia'!A1838,#REF!)+SUMIF(#REF!,'8.Dgia'!A1838,#REF!)+SUMIF(#REF!,'8.Dgia'!A1838,#REF!)+SUMIF(#REF!,'8.Dgia'!A1838,#REF!)</f>
        <v>#REF!</v>
      </c>
      <c r="O1838" s="844"/>
      <c r="P1838" s="843" t="e">
        <f t="shared" si="87"/>
        <v>#REF!</v>
      </c>
    </row>
    <row r="1839" spans="1:18" ht="15" customHeight="1">
      <c r="A1839" s="657">
        <f>IF(B1839="",MAX($A$8:A1838)+0,MAX($A$8:A1838)+1)</f>
        <v>198</v>
      </c>
      <c r="B1839" s="835" t="str">
        <f>IF(C1839="","",COUNTA($C$10:C1840))</f>
        <v/>
      </c>
      <c r="C1839" s="362"/>
      <c r="D1839" s="851"/>
      <c r="E1839" s="852" t="s">
        <v>1417</v>
      </c>
      <c r="F1839" s="848" t="str">
        <f>VLOOKUP(E1839,'9.may'!E:F,2,FALSE)</f>
        <v>Cutting machine 15Kw</v>
      </c>
      <c r="G1839" s="362" t="s">
        <v>4902</v>
      </c>
      <c r="H1839" s="847">
        <f>0.4*H1830/697.85</f>
        <v>3.6000000000000004E-2</v>
      </c>
      <c r="I1839" s="848">
        <f>VLOOKUP(E1839,'9.may'!E:W,12,FALSE)</f>
        <v>204698.78999999998</v>
      </c>
      <c r="J1839" s="853">
        <f>I1839*H1839</f>
        <v>7369.1564399999997</v>
      </c>
      <c r="N1839" s="843" t="e">
        <f>SUMIF(#REF!,'8.Dgia'!A1839,#REF!)+SUMIF(#REF!,'8.Dgia'!A1839,#REF!)+SUMIF(#REF!,'8.Dgia'!A1839,#REF!)+SUMIF(#REF!,'8.Dgia'!A1839,#REF!)</f>
        <v>#REF!</v>
      </c>
      <c r="O1839" s="844"/>
      <c r="P1839" s="843" t="e">
        <f t="shared" si="87"/>
        <v>#REF!</v>
      </c>
    </row>
    <row r="1840" spans="1:18" ht="15" customHeight="1">
      <c r="A1840" s="657">
        <f>IF(B1840="",MAX($A$8:A1839)+0,MAX($A$8:A1839)+1)</f>
        <v>198</v>
      </c>
      <c r="B1840" s="835" t="str">
        <f>IF(C1840="","",COUNTA($C$10:C1841))</f>
        <v/>
      </c>
      <c r="C1840" s="362"/>
      <c r="D1840" s="851"/>
      <c r="E1840" s="852" t="s">
        <v>1038</v>
      </c>
      <c r="F1840" s="848" t="str">
        <f>VLOOKUP(E1840,'9.may'!E:F,2,FALSE)</f>
        <v>caterpillar crane 10T/ crawler crane 10T</v>
      </c>
      <c r="G1840" s="362" t="s">
        <v>4902</v>
      </c>
      <c r="H1840" s="847">
        <f>0.27*H1830/697.85</f>
        <v>2.4300000000000002E-2</v>
      </c>
      <c r="I1840" s="848">
        <f>VLOOKUP(E1840,'9.may'!E:W,12,FALSE)</f>
        <v>1481320.1836363636</v>
      </c>
      <c r="J1840" s="853">
        <f>I1840*H1840</f>
        <v>35996.080462363636</v>
      </c>
      <c r="N1840" s="843" t="e">
        <f>SUMIF(#REF!,'8.Dgia'!A1840,#REF!)+SUMIF(#REF!,'8.Dgia'!A1840,#REF!)+SUMIF(#REF!,'8.Dgia'!A1840,#REF!)+SUMIF(#REF!,'8.Dgia'!A1840,#REF!)</f>
        <v>#REF!</v>
      </c>
      <c r="O1840" s="844"/>
      <c r="P1840" s="843" t="e">
        <f t="shared" si="87"/>
        <v>#REF!</v>
      </c>
    </row>
    <row r="1841" spans="1:18" ht="28.5" customHeight="1">
      <c r="A1841" s="657">
        <f>IF(B1841="",MAX($A$8:A1840)+0,MAX($A$8:A1840)+1)</f>
        <v>199</v>
      </c>
      <c r="B1841" s="835">
        <f>IF(C1841="","",COUNTA($C$10:C1842))</f>
        <v>199</v>
      </c>
      <c r="C1841" s="835">
        <f>IF(D1841="","",1776)</f>
        <v>1776</v>
      </c>
      <c r="D1841" s="851" t="s">
        <v>442</v>
      </c>
      <c r="E1841" s="855" t="s">
        <v>164</v>
      </c>
      <c r="F1841" s="1049" t="str">
        <f>VLOOKUP(E1841,DICH!B:C,2,FALSE)</f>
        <v>Install $ remove scaffolding system of K19 (co=1.6)</v>
      </c>
      <c r="G1841" s="856" t="s">
        <v>4644</v>
      </c>
      <c r="H1841" s="847"/>
      <c r="I1841" s="848"/>
      <c r="J1841" s="853"/>
      <c r="K1841" s="842">
        <f>+J1842</f>
        <v>307892.98909090908</v>
      </c>
      <c r="L1841" s="842">
        <f>+J1847</f>
        <v>4376900.0000000009</v>
      </c>
      <c r="M1841" s="842">
        <f>+J1848</f>
        <v>924150.94436238555</v>
      </c>
      <c r="N1841" s="843" t="e">
        <f>SUMIF(#REF!,'8.Dgia'!A1841,#REF!)+SUMIF(#REF!,'8.Dgia'!A1841,#REF!)+SUMIF(#REF!,'8.Dgia'!A1841,#REF!)+SUMIF(#REF!,'8.Dgia'!A1841,#REF!)</f>
        <v>#REF!</v>
      </c>
      <c r="O1841" s="844"/>
      <c r="P1841" s="843" t="e">
        <f t="shared" si="85"/>
        <v>#REF!</v>
      </c>
    </row>
    <row r="1842" spans="1:18" s="658" customFormat="1" ht="15" customHeight="1">
      <c r="A1842" s="657">
        <f>IF(B1842="",MAX($A$8:A1841)+0,MAX($A$8:A1841)+1)</f>
        <v>199</v>
      </c>
      <c r="B1842" s="835" t="str">
        <f>IF(C1842="","",COUNTA($C$10:C1843))</f>
        <v/>
      </c>
      <c r="C1842" s="362"/>
      <c r="D1842" s="845"/>
      <c r="E1842" s="852" t="s">
        <v>2032</v>
      </c>
      <c r="F1842" s="848" t="str">
        <f>VLOOKUP(E1842,DICH!B:C,2,FALSE)</f>
        <v xml:space="preserve">  A - Material</v>
      </c>
      <c r="G1842" s="846"/>
      <c r="H1842" s="847"/>
      <c r="I1842" s="848"/>
      <c r="J1842" s="849">
        <f>SUM(J1843:J1846)</f>
        <v>307892.98909090908</v>
      </c>
      <c r="K1842" s="850"/>
      <c r="L1842" s="850"/>
      <c r="M1842" s="850"/>
      <c r="N1842" s="843" t="e">
        <f>SUMIF(#REF!,'8.Dgia'!A1842,#REF!)+SUMIF(#REF!,'8.Dgia'!A1842,#REF!)+SUMIF(#REF!,'8.Dgia'!A1842,#REF!)+SUMIF(#REF!,'8.Dgia'!A1842,#REF!)</f>
        <v>#REF!</v>
      </c>
      <c r="O1842" s="844"/>
      <c r="P1842" s="843" t="e">
        <f t="shared" si="85"/>
        <v>#REF!</v>
      </c>
    </row>
    <row r="1843" spans="1:18" ht="15" customHeight="1">
      <c r="A1843" s="657">
        <f>IF(B1843="",MAX($A$8:A1842)+0,MAX($A$8:A1842)+1)</f>
        <v>199</v>
      </c>
      <c r="B1843" s="835" t="str">
        <f>IF(C1843="","",COUNTA($C$10:C1844))</f>
        <v/>
      </c>
      <c r="C1843" s="362"/>
      <c r="D1843" s="851"/>
      <c r="E1843" s="852" t="s">
        <v>616</v>
      </c>
      <c r="F1843" s="848" t="str">
        <f>VLOOKUP(E1843,DICH!B:C,2,FALSE)</f>
        <v>Lubricant grease</v>
      </c>
      <c r="G1843" s="362" t="s">
        <v>622</v>
      </c>
      <c r="H1843" s="847">
        <f>0.1*1.6</f>
        <v>0.16000000000000003</v>
      </c>
      <c r="I1843" s="848">
        <f>VLOOKUP(E1843,'11.gia '!$B:$I,8,FALSE)</f>
        <v>14560</v>
      </c>
      <c r="J1843" s="853">
        <f>I1843*H1843</f>
        <v>2329.6000000000004</v>
      </c>
      <c r="N1843" s="843" t="e">
        <f>SUMIF(#REF!,'8.Dgia'!A1843,#REF!)+SUMIF(#REF!,'8.Dgia'!A1843,#REF!)+SUMIF(#REF!,'8.Dgia'!A1843,#REF!)+SUMIF(#REF!,'8.Dgia'!A1843,#REF!)</f>
        <v>#REF!</v>
      </c>
      <c r="O1843" s="844">
        <f>+$H$1846</f>
        <v>5</v>
      </c>
      <c r="P1843" s="843" t="e">
        <f t="shared" si="85"/>
        <v>#REF!</v>
      </c>
    </row>
    <row r="1844" spans="1:18" ht="15" customHeight="1">
      <c r="A1844" s="657">
        <f>IF(B1844="",MAX($A$8:A1843)+0,MAX($A$8:A1843)+1)</f>
        <v>199</v>
      </c>
      <c r="B1844" s="835" t="str">
        <f>IF(C1844="","",COUNTA($C$10:C1845))</f>
        <v/>
      </c>
      <c r="C1844" s="362"/>
      <c r="D1844" s="851"/>
      <c r="E1844" s="852" t="s">
        <v>626</v>
      </c>
      <c r="F1844" s="848" t="str">
        <f>VLOOKUP(E1844,DICH!B:C,2,FALSE)</f>
        <v>Adhesive tape</v>
      </c>
      <c r="G1844" s="362" t="s">
        <v>627</v>
      </c>
      <c r="H1844" s="847">
        <f>0.15*1.6</f>
        <v>0.24</v>
      </c>
      <c r="I1844" s="848">
        <f>VLOOKUP(E1844,'11.gia '!$B:$I,8,FALSE)</f>
        <v>3000</v>
      </c>
      <c r="J1844" s="853">
        <f>I1844*H1844</f>
        <v>720</v>
      </c>
      <c r="N1844" s="843" t="e">
        <f>SUMIF(#REF!,'8.Dgia'!A1844,#REF!)+SUMIF(#REF!,'8.Dgia'!A1844,#REF!)+SUMIF(#REF!,'8.Dgia'!A1844,#REF!)+SUMIF(#REF!,'8.Dgia'!A1844,#REF!)</f>
        <v>#REF!</v>
      </c>
      <c r="O1844" s="844">
        <f>+$H$1846</f>
        <v>5</v>
      </c>
      <c r="P1844" s="843" t="e">
        <f t="shared" si="85"/>
        <v>#REF!</v>
      </c>
    </row>
    <row r="1845" spans="1:18" ht="15" customHeight="1">
      <c r="A1845" s="657">
        <f>IF(B1845="",MAX($A$8:A1844)+0,MAX($A$8:A1844)+1)</f>
        <v>199</v>
      </c>
      <c r="B1845" s="835" t="str">
        <f>IF(C1845="","",COUNTA($C$10:C1846))</f>
        <v/>
      </c>
      <c r="C1845" s="362"/>
      <c r="D1845" s="851"/>
      <c r="E1845" s="852" t="s">
        <v>559</v>
      </c>
      <c r="F1845" s="848" t="str">
        <f>VLOOKUP(E1845,DICH!B:C,2,FALSE)</f>
        <v>welding electrode</v>
      </c>
      <c r="G1845" s="362" t="s">
        <v>622</v>
      </c>
      <c r="H1845" s="847">
        <f>9.5*1.6</f>
        <v>15.200000000000001</v>
      </c>
      <c r="I1845" s="848">
        <f>VLOOKUP(E1845,'11.gia '!$B:$I,8,FALSE)</f>
        <v>19090.909090909088</v>
      </c>
      <c r="J1845" s="853">
        <f>I1845*H1845</f>
        <v>290181.81818181818</v>
      </c>
      <c r="N1845" s="843" t="e">
        <f>SUMIF(#REF!,'8.Dgia'!A1845,#REF!)+SUMIF(#REF!,'8.Dgia'!A1845,#REF!)+SUMIF(#REF!,'8.Dgia'!A1845,#REF!)+SUMIF(#REF!,'8.Dgia'!A1845,#REF!)</f>
        <v>#REF!</v>
      </c>
      <c r="O1845" s="844">
        <f>+$H$1846</f>
        <v>5</v>
      </c>
      <c r="P1845" s="843" t="e">
        <f t="shared" si="85"/>
        <v>#REF!</v>
      </c>
    </row>
    <row r="1846" spans="1:18" ht="15" customHeight="1">
      <c r="A1846" s="657">
        <f>IF(B1846="",MAX($A$8:A1845)+0,MAX($A$8:A1845)+1)</f>
        <v>199</v>
      </c>
      <c r="B1846" s="835" t="str">
        <f>IF(C1846="","",COUNTA($C$10:C1847))</f>
        <v/>
      </c>
      <c r="C1846" s="362"/>
      <c r="D1846" s="851"/>
      <c r="E1846" s="852" t="s">
        <v>555</v>
      </c>
      <c r="F1846" s="848" t="str">
        <f>VLOOKUP(E1846,DICH!B:C,2,FALSE)</f>
        <v>Other material</v>
      </c>
      <c r="G1846" s="362" t="s">
        <v>554</v>
      </c>
      <c r="H1846" s="847">
        <v>5</v>
      </c>
      <c r="I1846" s="848">
        <f>SUM(J1843:J1845)</f>
        <v>293231.41818181815</v>
      </c>
      <c r="J1846" s="853">
        <f>I1846*H1846%</f>
        <v>14661.570909090908</v>
      </c>
      <c r="N1846" s="843" t="e">
        <f>SUMIF(#REF!,'8.Dgia'!A1846,#REF!)+SUMIF(#REF!,'8.Dgia'!A1846,#REF!)+SUMIF(#REF!,'8.Dgia'!A1846,#REF!)+SUMIF(#REF!,'8.Dgia'!A1846,#REF!)</f>
        <v>#REF!</v>
      </c>
      <c r="O1846" s="844"/>
      <c r="P1846" s="843" t="e">
        <f t="shared" si="85"/>
        <v>#REF!</v>
      </c>
    </row>
    <row r="1847" spans="1:18" s="658" customFormat="1" ht="15" customHeight="1">
      <c r="A1847" s="657">
        <f>IF(B1847="",MAX($A$8:A1846)+0,MAX($A$8:A1846)+1)</f>
        <v>199</v>
      </c>
      <c r="B1847" s="835" t="str">
        <f>IF(C1847="","",COUNTA($C$10:C1848))</f>
        <v/>
      </c>
      <c r="C1847" s="362"/>
      <c r="D1847" s="845"/>
      <c r="E1847" s="852" t="s">
        <v>2040</v>
      </c>
      <c r="F1847" s="848" t="str">
        <f>VLOOKUP(E1847,DICH!B:C,2,FALSE)</f>
        <v xml:space="preserve">  B - Labour 4.5/7</v>
      </c>
      <c r="G1847" s="362" t="s">
        <v>4899</v>
      </c>
      <c r="H1847" s="847">
        <f>11.5*1.6</f>
        <v>18.400000000000002</v>
      </c>
      <c r="I1847" s="848">
        <f>VLOOKUP(E1847,'16.NC'!$C$11:$F$22,4,FALSE)</f>
        <v>237875</v>
      </c>
      <c r="J1847" s="849">
        <f>I1847*H1847</f>
        <v>4376900.0000000009</v>
      </c>
      <c r="K1847" s="850">
        <f>+J1847/1.6</f>
        <v>2735562.5000000005</v>
      </c>
      <c r="L1847" s="850"/>
      <c r="M1847" s="850"/>
      <c r="N1847" s="843" t="e">
        <f>SUMIF(#REF!,'8.Dgia'!A1847,#REF!)+SUMIF(#REF!,'8.Dgia'!A1847,#REF!)+SUMIF(#REF!,'8.Dgia'!A1847,#REF!)+SUMIF(#REF!,'8.Dgia'!A1847,#REF!)</f>
        <v>#REF!</v>
      </c>
      <c r="O1847" s="844"/>
      <c r="P1847" s="843" t="e">
        <f t="shared" si="85"/>
        <v>#REF!</v>
      </c>
      <c r="R1847" s="658">
        <v>1</v>
      </c>
    </row>
    <row r="1848" spans="1:18" s="658" customFormat="1" ht="15" customHeight="1">
      <c r="A1848" s="657">
        <f>IF(B1848="",MAX($A$8:A1847)+0,MAX($A$8:A1847)+1)</f>
        <v>199</v>
      </c>
      <c r="B1848" s="835" t="str">
        <f>IF(C1848="","",COUNTA($C$10:C1849))</f>
        <v/>
      </c>
      <c r="C1848" s="362"/>
      <c r="D1848" s="845"/>
      <c r="E1848" s="852" t="s">
        <v>2033</v>
      </c>
      <c r="F1848" s="848" t="str">
        <f>VLOOKUP(E1848,DICH!B:C,2,FALSE)</f>
        <v xml:space="preserve">  C - Machine</v>
      </c>
      <c r="G1848" s="846"/>
      <c r="H1848" s="847"/>
      <c r="I1848" s="848"/>
      <c r="J1848" s="849">
        <f>SUM(J1849:J1854)</f>
        <v>924150.94436238555</v>
      </c>
      <c r="K1848" s="850">
        <f>+J1848/1.6</f>
        <v>577594.34022649098</v>
      </c>
      <c r="L1848" s="850"/>
      <c r="M1848" s="850"/>
      <c r="N1848" s="843" t="e">
        <f>SUMIF(#REF!,'8.Dgia'!A1848,#REF!)+SUMIF(#REF!,'8.Dgia'!A1848,#REF!)+SUMIF(#REF!,'8.Dgia'!A1848,#REF!)+SUMIF(#REF!,'8.Dgia'!A1848,#REF!)</f>
        <v>#REF!</v>
      </c>
      <c r="O1848" s="844"/>
      <c r="P1848" s="843" t="e">
        <f t="shared" si="85"/>
        <v>#REF!</v>
      </c>
    </row>
    <row r="1849" spans="1:18" ht="15" customHeight="1">
      <c r="A1849" s="657">
        <f>IF(B1849="",MAX($A$8:A1848)+0,MAX($A$8:A1848)+1)</f>
        <v>199</v>
      </c>
      <c r="B1849" s="835" t="str">
        <f>IF(C1849="","",COUNTA($C$10:C1850))</f>
        <v/>
      </c>
      <c r="C1849" s="362"/>
      <c r="D1849" s="851"/>
      <c r="E1849" s="852" t="s">
        <v>630</v>
      </c>
      <c r="F1849" s="848" t="str">
        <f>VLOOKUP(E1849,'9.may'!E:F,2,FALSE)</f>
        <v>tyre crane 25T</v>
      </c>
      <c r="G1849" s="362" t="s">
        <v>4902</v>
      </c>
      <c r="H1849" s="847">
        <f>0.054*1.6</f>
        <v>8.6400000000000005E-2</v>
      </c>
      <c r="I1849" s="848">
        <f>VLOOKUP(E1849,'9.may'!E:W,12,FALSE)</f>
        <v>2658824.4436363634</v>
      </c>
      <c r="J1849" s="853">
        <f>I1849*H1849</f>
        <v>229722.4319301818</v>
      </c>
      <c r="N1849" s="843" t="e">
        <f>SUMIF(#REF!,'8.Dgia'!A1849,#REF!)+SUMIF(#REF!,'8.Dgia'!A1849,#REF!)+SUMIF(#REF!,'8.Dgia'!A1849,#REF!)+SUMIF(#REF!,'8.Dgia'!A1849,#REF!)</f>
        <v>#REF!</v>
      </c>
      <c r="O1849" s="844">
        <f>+$H$1854</f>
        <v>2</v>
      </c>
      <c r="P1849" s="843" t="e">
        <f t="shared" si="85"/>
        <v>#REF!</v>
      </c>
    </row>
    <row r="1850" spans="1:18" ht="15" customHeight="1">
      <c r="A1850" s="657">
        <f>IF(B1850="",MAX($A$8:A1849)+0,MAX($A$8:A1849)+1)</f>
        <v>199</v>
      </c>
      <c r="B1850" s="835" t="str">
        <f>IF(C1850="","",COUNTA($C$10:C1851))</f>
        <v/>
      </c>
      <c r="C1850" s="362"/>
      <c r="D1850" s="851"/>
      <c r="E1850" s="852" t="s">
        <v>1109</v>
      </c>
      <c r="F1850" s="848" t="str">
        <f>VLOOKUP(E1850,'9.may'!E:F,2,FALSE)</f>
        <v>electric winch 5Ton</v>
      </c>
      <c r="G1850" s="362" t="s">
        <v>4902</v>
      </c>
      <c r="H1850" s="847">
        <f>0.04*1.6</f>
        <v>6.4000000000000001E-2</v>
      </c>
      <c r="I1850" s="848">
        <f>VLOOKUP(E1850,'9.may'!E:W,12,FALSE)</f>
        <v>135809.41500000001</v>
      </c>
      <c r="J1850" s="853">
        <f>I1850*H1850</f>
        <v>8691.8025600000001</v>
      </c>
      <c r="N1850" s="843" t="e">
        <f>SUMIF(#REF!,'8.Dgia'!A1850,#REF!)+SUMIF(#REF!,'8.Dgia'!A1850,#REF!)+SUMIF(#REF!,'8.Dgia'!A1850,#REF!)+SUMIF(#REF!,'8.Dgia'!A1850,#REF!)</f>
        <v>#REF!</v>
      </c>
      <c r="O1850" s="844">
        <f>+$H$1854</f>
        <v>2</v>
      </c>
      <c r="P1850" s="843" t="e">
        <f t="shared" si="85"/>
        <v>#REF!</v>
      </c>
    </row>
    <row r="1851" spans="1:18" ht="15" customHeight="1">
      <c r="A1851" s="657">
        <f>IF(B1851="",MAX($A$8:A1850)+0,MAX($A$8:A1850)+1)</f>
        <v>199</v>
      </c>
      <c r="B1851" s="835" t="str">
        <f>IF(C1851="","",COUNTA($C$10:C1852))</f>
        <v/>
      </c>
      <c r="C1851" s="362"/>
      <c r="D1851" s="851"/>
      <c r="E1851" s="852" t="s">
        <v>560</v>
      </c>
      <c r="F1851" s="848" t="str">
        <f>VLOOKUP(E1851,'9.may'!E:F,2,FALSE)</f>
        <v>welding machine 23kW</v>
      </c>
      <c r="G1851" s="362" t="s">
        <v>4902</v>
      </c>
      <c r="H1851" s="847">
        <f>2.37*1.6</f>
        <v>3.7920000000000003</v>
      </c>
      <c r="I1851" s="848">
        <f>VLOOKUP(E1851,'9.may'!E:W,12,FALSE)</f>
        <v>171649.155</v>
      </c>
      <c r="J1851" s="853">
        <f>I1851*H1851</f>
        <v>650893.59576000005</v>
      </c>
      <c r="N1851" s="843" t="e">
        <f>SUMIF(#REF!,'8.Dgia'!A1851,#REF!)+SUMIF(#REF!,'8.Dgia'!A1851,#REF!)+SUMIF(#REF!,'8.Dgia'!A1851,#REF!)+SUMIF(#REF!,'8.Dgia'!A1851,#REF!)</f>
        <v>#REF!</v>
      </c>
      <c r="O1851" s="844">
        <f>+$H$1854</f>
        <v>2</v>
      </c>
      <c r="P1851" s="843" t="e">
        <f t="shared" si="85"/>
        <v>#REF!</v>
      </c>
    </row>
    <row r="1852" spans="1:18" ht="15" customHeight="1">
      <c r="A1852" s="657">
        <f>IF(B1852="",MAX($A$8:A1851)+0,MAX($A$8:A1851)+1)</f>
        <v>199</v>
      </c>
      <c r="B1852" s="835" t="str">
        <f>IF(C1852="","",COUNTA($C$10:C1853))</f>
        <v/>
      </c>
      <c r="C1852" s="362"/>
      <c r="D1852" s="851"/>
      <c r="E1852" s="852" t="s">
        <v>663</v>
      </c>
      <c r="F1852" s="848" t="str">
        <f>VLOOKUP(E1852,'9.may'!E:F,2,FALSE)</f>
        <v>jack 500T</v>
      </c>
      <c r="G1852" s="362" t="s">
        <v>4902</v>
      </c>
      <c r="H1852" s="847">
        <f>0.05*1.6</f>
        <v>8.0000000000000016E-2</v>
      </c>
      <c r="I1852" s="848">
        <f>VLOOKUP(E1852,'9.may'!E:W,12,FALSE)</f>
        <v>132935.79</v>
      </c>
      <c r="J1852" s="853">
        <f>I1852*H1852</f>
        <v>10634.863200000003</v>
      </c>
      <c r="N1852" s="843" t="e">
        <f>SUMIF(#REF!,'8.Dgia'!A1852,#REF!)+SUMIF(#REF!,'8.Dgia'!A1852,#REF!)+SUMIF(#REF!,'8.Dgia'!A1852,#REF!)+SUMIF(#REF!,'8.Dgia'!A1852,#REF!)</f>
        <v>#REF!</v>
      </c>
      <c r="O1852" s="844">
        <f>+$H$1854</f>
        <v>2</v>
      </c>
      <c r="P1852" s="843" t="e">
        <f t="shared" si="85"/>
        <v>#REF!</v>
      </c>
    </row>
    <row r="1853" spans="1:18" ht="15" customHeight="1">
      <c r="A1853" s="657">
        <f>IF(B1853="",MAX($A$8:A1852)+0,MAX($A$8:A1852)+1)</f>
        <v>199</v>
      </c>
      <c r="B1853" s="835" t="str">
        <f>IF(C1853="","",COUNTA($C$10:C1854))</f>
        <v/>
      </c>
      <c r="C1853" s="362"/>
      <c r="D1853" s="851"/>
      <c r="E1853" s="852" t="s">
        <v>619</v>
      </c>
      <c r="F1853" s="848" t="str">
        <f>VLOOKUP(E1853,'9.may'!E:F,2,FALSE)</f>
        <v>jack 250T</v>
      </c>
      <c r="G1853" s="362" t="s">
        <v>4902</v>
      </c>
      <c r="H1853" s="847">
        <f>0.04*1.6</f>
        <v>6.4000000000000001E-2</v>
      </c>
      <c r="I1853" s="848">
        <f>VLOOKUP(E1853,'9.may'!E:W,12,FALSE)</f>
        <v>95119.44</v>
      </c>
      <c r="J1853" s="853">
        <f>I1853*H1853</f>
        <v>6087.6441599999998</v>
      </c>
      <c r="N1853" s="843" t="e">
        <f>SUMIF(#REF!,'8.Dgia'!A1853,#REF!)+SUMIF(#REF!,'8.Dgia'!A1853,#REF!)+SUMIF(#REF!,'8.Dgia'!A1853,#REF!)+SUMIF(#REF!,'8.Dgia'!A1853,#REF!)</f>
        <v>#REF!</v>
      </c>
      <c r="O1853" s="844">
        <f>+$H$1854</f>
        <v>2</v>
      </c>
      <c r="P1853" s="843" t="e">
        <f t="shared" si="85"/>
        <v>#REF!</v>
      </c>
    </row>
    <row r="1854" spans="1:18" ht="15" customHeight="1">
      <c r="A1854" s="657">
        <f>IF(B1854="",MAX($A$8:A1853)+0,MAX($A$8:A1853)+1)</f>
        <v>199</v>
      </c>
      <c r="B1854" s="835" t="str">
        <f>IF(C1854="","",COUNTA($C$10:C1855))</f>
        <v/>
      </c>
      <c r="C1854" s="362"/>
      <c r="D1854" s="851"/>
      <c r="E1854" s="852" t="s">
        <v>553</v>
      </c>
      <c r="F1854" s="848" t="str">
        <f>VLOOKUP(E1854,DICH!B:C,2,FALSE)</f>
        <v>Other machine</v>
      </c>
      <c r="G1854" s="362" t="s">
        <v>554</v>
      </c>
      <c r="H1854" s="847">
        <v>2</v>
      </c>
      <c r="I1854" s="848">
        <f>SUM(J1849:J1853)</f>
        <v>906030.33761018189</v>
      </c>
      <c r="J1854" s="853">
        <f>I1854*H1854%</f>
        <v>18120.606752203639</v>
      </c>
      <c r="N1854" s="843" t="e">
        <f>SUMIF(#REF!,'8.Dgia'!A1854,#REF!)+SUMIF(#REF!,'8.Dgia'!A1854,#REF!)+SUMIF(#REF!,'8.Dgia'!A1854,#REF!)+SUMIF(#REF!,'8.Dgia'!A1854,#REF!)</f>
        <v>#REF!</v>
      </c>
      <c r="O1854" s="844"/>
      <c r="P1854" s="843" t="e">
        <f t="shared" si="85"/>
        <v>#REF!</v>
      </c>
    </row>
    <row r="1855" spans="1:18" ht="15" customHeight="1">
      <c r="A1855" s="657">
        <f>IF(B1855="",MAX($A$8:A1854)+0,MAX($A$8:A1854)+1)</f>
        <v>200</v>
      </c>
      <c r="B1855" s="835">
        <f>IF(C1855="","",COUNTA($C$10:C1856))</f>
        <v>200</v>
      </c>
      <c r="C1855" s="835">
        <f>IF(D1855="","",1776)</f>
        <v>1776</v>
      </c>
      <c r="D1855" s="851" t="s">
        <v>502</v>
      </c>
      <c r="E1855" s="855" t="s">
        <v>2074</v>
      </c>
      <c r="F1855" s="1049" t="str">
        <f>VLOOKUP(E1855,DICH!B:C,2,FALSE)</f>
        <v>Concrete C40 of blister</v>
      </c>
      <c r="G1855" s="856" t="s">
        <v>545</v>
      </c>
      <c r="H1855" s="847"/>
      <c r="I1855" s="848"/>
      <c r="J1855" s="857"/>
      <c r="K1855" s="842">
        <f>+J1856</f>
        <v>1338271.0579902739</v>
      </c>
      <c r="L1855" s="842">
        <f>+J1860</f>
        <v>3642945.2800000003</v>
      </c>
      <c r="M1855" s="842">
        <f>+J1861</f>
        <v>449576.90564400004</v>
      </c>
      <c r="N1855" s="843" t="e">
        <f>SUMIF(#REF!,'8.Dgia'!A1855,#REF!)+SUMIF(#REF!,'8.Dgia'!A1855,#REF!)+SUMIF(#REF!,'8.Dgia'!A1855,#REF!)+SUMIF(#REF!,'8.Dgia'!A1855,#REF!)</f>
        <v>#REF!</v>
      </c>
      <c r="O1855" s="844"/>
      <c r="P1855" s="843" t="e">
        <f t="shared" ref="P1855:P1929" si="88">$H1855*N1855*(1+O1855%)</f>
        <v>#REF!</v>
      </c>
    </row>
    <row r="1856" spans="1:18" s="658" customFormat="1" ht="15" customHeight="1">
      <c r="A1856" s="657">
        <f>IF(B1856="",MAX($A$8:A1855)+0,MAX($A$8:A1855)+1)</f>
        <v>200</v>
      </c>
      <c r="B1856" s="835" t="str">
        <f>IF(C1856="","",COUNTA($C$10:C1857))</f>
        <v/>
      </c>
      <c r="C1856" s="362"/>
      <c r="D1856" s="845"/>
      <c r="E1856" s="852" t="s">
        <v>2032</v>
      </c>
      <c r="F1856" s="848" t="str">
        <f>VLOOKUP(E1856,DICH!B:C,2,FALSE)</f>
        <v xml:space="preserve">  A - Material</v>
      </c>
      <c r="G1856" s="846"/>
      <c r="H1856" s="847"/>
      <c r="I1856" s="848"/>
      <c r="J1856" s="849">
        <f>SUM(J1857:J1859)</f>
        <v>1338271.0579902739</v>
      </c>
      <c r="K1856" s="850"/>
      <c r="L1856" s="850"/>
      <c r="M1856" s="850"/>
      <c r="N1856" s="843" t="e">
        <f>SUMIF(#REF!,'8.Dgia'!A1856,#REF!)+SUMIF(#REF!,'8.Dgia'!A1856,#REF!)+SUMIF(#REF!,'8.Dgia'!A1856,#REF!)+SUMIF(#REF!,'8.Dgia'!A1856,#REF!)</f>
        <v>#REF!</v>
      </c>
      <c r="O1856" s="844"/>
      <c r="P1856" s="843" t="e">
        <f t="shared" si="88"/>
        <v>#REF!</v>
      </c>
    </row>
    <row r="1857" spans="1:18" ht="15" customHeight="1">
      <c r="A1857" s="657">
        <f>IF(B1857="",MAX($A$8:A1856)+0,MAX($A$8:A1856)+1)</f>
        <v>200</v>
      </c>
      <c r="B1857" s="835" t="str">
        <f>IF(C1857="","",COUNTA($C$10:C1858))</f>
        <v/>
      </c>
      <c r="C1857" s="851"/>
      <c r="D1857" s="851" t="str">
        <f>+'10.PLV'!$C$60</f>
        <v>ĐM</v>
      </c>
      <c r="E1857" s="852" t="str">
        <f>+'10.PLV'!$D$60</f>
        <v>Vữa bê tông đá 1x2 C40 (M450, độ sụt 12-16cm)</v>
      </c>
      <c r="F1857" s="848" t="str">
        <f>VLOOKUP(E1857,DICH!B:C,2,FALSE)</f>
        <v>Concrete motar C40 stone 1x2 slump 12-16</v>
      </c>
      <c r="G1857" s="362" t="s">
        <v>545</v>
      </c>
      <c r="H1857" s="847">
        <v>1.0149999999999999</v>
      </c>
      <c r="I1857" s="848">
        <f>VLOOKUP(E1857,'11.gia '!B:I,8,FALSE)</f>
        <v>1233112.4080999186</v>
      </c>
      <c r="J1857" s="853">
        <f>I1857*H1857</f>
        <v>1251609.0942214173</v>
      </c>
      <c r="N1857" s="843" t="e">
        <f>SUMIF(#REF!,'8.Dgia'!A1857,#REF!)+SUMIF(#REF!,'8.Dgia'!A1857,#REF!)+SUMIF(#REF!,'8.Dgia'!A1857,#REF!)+SUMIF(#REF!,'8.Dgia'!A1857,#REF!)</f>
        <v>#REF!</v>
      </c>
      <c r="O1857" s="844">
        <f>+$H$1859</f>
        <v>4</v>
      </c>
      <c r="P1857" s="843" t="e">
        <f t="shared" si="88"/>
        <v>#REF!</v>
      </c>
    </row>
    <row r="1858" spans="1:18" ht="15" customHeight="1">
      <c r="A1858" s="657">
        <f>IF(B1858="",MAX($A$8:A1857)+0,MAX($A$8:A1857)+1)</f>
        <v>200</v>
      </c>
      <c r="B1858" s="835" t="str">
        <f>IF(C1858="","",COUNTA($C$10:C1859))</f>
        <v/>
      </c>
      <c r="C1858" s="362"/>
      <c r="D1858" s="851"/>
      <c r="E1858" s="852" t="s">
        <v>2229</v>
      </c>
      <c r="F1858" s="848" t="str">
        <f>VLOOKUP(E1858,DICH!B:C,2,FALSE)</f>
        <v>Pipe PVC D75</v>
      </c>
      <c r="G1858" s="362" t="s">
        <v>543</v>
      </c>
      <c r="H1858" s="847">
        <v>1.02</v>
      </c>
      <c r="I1858" s="848">
        <f>VLOOKUP(E1858,'11.gia '!$B:$I,8,FALSE)</f>
        <v>34500</v>
      </c>
      <c r="J1858" s="853">
        <f>I1858*H1858</f>
        <v>35190</v>
      </c>
      <c r="N1858" s="843" t="e">
        <f>SUMIF(#REF!,'8.Dgia'!A1858,#REF!)+SUMIF(#REF!,'8.Dgia'!A1858,#REF!)+SUMIF(#REF!,'8.Dgia'!A1858,#REF!)+SUMIF(#REF!,'8.Dgia'!A1858,#REF!)</f>
        <v>#REF!</v>
      </c>
      <c r="O1858" s="844">
        <f>+$H$1859</f>
        <v>4</v>
      </c>
      <c r="P1858" s="843" t="e">
        <f t="shared" si="88"/>
        <v>#REF!</v>
      </c>
    </row>
    <row r="1859" spans="1:18" ht="15" customHeight="1">
      <c r="A1859" s="657">
        <f>IF(B1859="",MAX($A$8:A1858)+0,MAX($A$8:A1858)+1)</f>
        <v>200</v>
      </c>
      <c r="B1859" s="835" t="str">
        <f>IF(C1859="","",COUNTA($C$10:C1860))</f>
        <v/>
      </c>
      <c r="C1859" s="362"/>
      <c r="D1859" s="851"/>
      <c r="E1859" s="852" t="s">
        <v>555</v>
      </c>
      <c r="F1859" s="848" t="str">
        <f>VLOOKUP(E1859,DICH!B:C,2,FALSE)</f>
        <v>Other material</v>
      </c>
      <c r="G1859" s="362" t="s">
        <v>554</v>
      </c>
      <c r="H1859" s="847">
        <v>4</v>
      </c>
      <c r="I1859" s="848">
        <f>SUM(J1857:J1858)</f>
        <v>1286799.0942214173</v>
      </c>
      <c r="J1859" s="853">
        <f>I1859*H1859%</f>
        <v>51471.963768856695</v>
      </c>
      <c r="N1859" s="843" t="e">
        <f>SUMIF(#REF!,'8.Dgia'!A1859,#REF!)+SUMIF(#REF!,'8.Dgia'!A1859,#REF!)+SUMIF(#REF!,'8.Dgia'!A1859,#REF!)+SUMIF(#REF!,'8.Dgia'!A1859,#REF!)</f>
        <v>#REF!</v>
      </c>
      <c r="O1859" s="844"/>
      <c r="P1859" s="843" t="e">
        <f t="shared" si="88"/>
        <v>#REF!</v>
      </c>
    </row>
    <row r="1860" spans="1:18" s="658" customFormat="1" ht="15" customHeight="1">
      <c r="A1860" s="657">
        <f>IF(B1860="",MAX($A$8:A1859)+0,MAX($A$8:A1859)+1)</f>
        <v>200</v>
      </c>
      <c r="B1860" s="835" t="str">
        <f>IF(C1860="","",COUNTA($C$10:C1861))</f>
        <v/>
      </c>
      <c r="C1860" s="362"/>
      <c r="D1860" s="845"/>
      <c r="E1860" s="852" t="s">
        <v>2039</v>
      </c>
      <c r="F1860" s="848" t="str">
        <f>VLOOKUP(E1860,DICH!B:C,2,FALSE)</f>
        <v xml:space="preserve">  B - Labour 4.0/7</v>
      </c>
      <c r="G1860" s="362" t="s">
        <v>4899</v>
      </c>
      <c r="H1860" s="847">
        <v>16.64</v>
      </c>
      <c r="I1860" s="848">
        <f>VLOOKUP(E1860,'16.NC'!$C$11:$F$22,4,FALSE)</f>
        <v>218927</v>
      </c>
      <c r="J1860" s="849">
        <f>I1860*H1860</f>
        <v>3642945.2800000003</v>
      </c>
      <c r="K1860" s="850"/>
      <c r="L1860" s="850"/>
      <c r="M1860" s="850"/>
      <c r="N1860" s="843" t="e">
        <f>SUMIF(#REF!,'8.Dgia'!A1860,#REF!)+SUMIF(#REF!,'8.Dgia'!A1860,#REF!)+SUMIF(#REF!,'8.Dgia'!A1860,#REF!)+SUMIF(#REF!,'8.Dgia'!A1860,#REF!)</f>
        <v>#REF!</v>
      </c>
      <c r="O1860" s="844"/>
      <c r="P1860" s="843" t="e">
        <f t="shared" si="88"/>
        <v>#REF!</v>
      </c>
      <c r="R1860" s="658">
        <v>1</v>
      </c>
    </row>
    <row r="1861" spans="1:18" s="658" customFormat="1" ht="15" customHeight="1">
      <c r="A1861" s="657">
        <f>IF(B1861="",MAX($A$8:A1860)+0,MAX($A$8:A1860)+1)</f>
        <v>200</v>
      </c>
      <c r="B1861" s="835" t="str">
        <f>IF(C1861="","",COUNTA($C$10:C1862))</f>
        <v/>
      </c>
      <c r="C1861" s="362"/>
      <c r="D1861" s="845"/>
      <c r="E1861" s="852" t="s">
        <v>2033</v>
      </c>
      <c r="F1861" s="848" t="str">
        <f>VLOOKUP(E1861,DICH!B:C,2,FALSE)</f>
        <v xml:space="preserve">  C - Machine</v>
      </c>
      <c r="G1861" s="846"/>
      <c r="H1861" s="847"/>
      <c r="I1861" s="848"/>
      <c r="J1861" s="849">
        <f>SUM(J1862:J1865)</f>
        <v>449576.90564400004</v>
      </c>
      <c r="K1861" s="850"/>
      <c r="L1861" s="850"/>
      <c r="M1861" s="850"/>
      <c r="N1861" s="843" t="e">
        <f>SUMIF(#REF!,'8.Dgia'!A1861,#REF!)+SUMIF(#REF!,'8.Dgia'!A1861,#REF!)+SUMIF(#REF!,'8.Dgia'!A1861,#REF!)+SUMIF(#REF!,'8.Dgia'!A1861,#REF!)</f>
        <v>#REF!</v>
      </c>
      <c r="O1861" s="844"/>
      <c r="P1861" s="843" t="e">
        <f t="shared" si="88"/>
        <v>#REF!</v>
      </c>
    </row>
    <row r="1862" spans="1:18" ht="15" customHeight="1">
      <c r="A1862" s="657">
        <f>IF(B1862="",MAX($A$8:A1861)+0,MAX($A$8:A1861)+1)</f>
        <v>200</v>
      </c>
      <c r="B1862" s="835" t="str">
        <f>IF(C1862="","",COUNTA($C$10:C1863))</f>
        <v/>
      </c>
      <c r="C1862" s="362"/>
      <c r="D1862" s="851"/>
      <c r="E1862" s="852" t="s">
        <v>620</v>
      </c>
      <c r="F1862" s="848" t="str">
        <f>VLOOKUP(E1862,'9.may'!E:F,2,FALSE)</f>
        <v>concrete vibrating compactor 1.5Kw</v>
      </c>
      <c r="G1862" s="362" t="s">
        <v>4902</v>
      </c>
      <c r="H1862" s="847">
        <v>0.18</v>
      </c>
      <c r="I1862" s="848">
        <f>VLOOKUP(E1862,'9.may'!E:W,12,FALSE)</f>
        <v>74768.797500000001</v>
      </c>
      <c r="J1862" s="853">
        <f>I1862*H1862</f>
        <v>13458.38355</v>
      </c>
      <c r="N1862" s="843" t="e">
        <f>SUMIF(#REF!,'8.Dgia'!A1862,#REF!)+SUMIF(#REF!,'8.Dgia'!A1862,#REF!)+SUMIF(#REF!,'8.Dgia'!A1862,#REF!)+SUMIF(#REF!,'8.Dgia'!A1862,#REF!)</f>
        <v>#REF!</v>
      </c>
      <c r="O1862" s="844">
        <f>+$H$1865</f>
        <v>2</v>
      </c>
      <c r="P1862" s="843" t="e">
        <f t="shared" si="88"/>
        <v>#REF!</v>
      </c>
    </row>
    <row r="1863" spans="1:18" ht="15" customHeight="1">
      <c r="A1863" s="657">
        <f>IF(B1863="",MAX($A$8:A1862)+0,MAX($A$8:A1862)+1)</f>
        <v>200</v>
      </c>
      <c r="B1863" s="835" t="str">
        <f>IF(C1863="","",COUNTA($C$10:C1864))</f>
        <v/>
      </c>
      <c r="C1863" s="362"/>
      <c r="D1863" s="851"/>
      <c r="E1863" s="852" t="s">
        <v>288</v>
      </c>
      <c r="F1863" s="848" t="str">
        <f>VLOOKUP(E1863,'9.may'!E:F,2,FALSE)</f>
        <v>caterpillar crane 25T</v>
      </c>
      <c r="G1863" s="362" t="s">
        <v>4902</v>
      </c>
      <c r="H1863" s="847">
        <v>0.11</v>
      </c>
      <c r="I1863" s="848">
        <f>VLOOKUP(E1863,'9.may'!E:W,12,FALSE)</f>
        <v>2787996.6736363638</v>
      </c>
      <c r="J1863" s="853">
        <f>I1863*H1863</f>
        <v>306679.63410000002</v>
      </c>
      <c r="N1863" s="843" t="e">
        <f>SUMIF(#REF!,'8.Dgia'!A1863,#REF!)+SUMIF(#REF!,'8.Dgia'!A1863,#REF!)+SUMIF(#REF!,'8.Dgia'!A1863,#REF!)+SUMIF(#REF!,'8.Dgia'!A1863,#REF!)</f>
        <v>#REF!</v>
      </c>
      <c r="O1863" s="844">
        <f>+$H$1865</f>
        <v>2</v>
      </c>
      <c r="P1863" s="843" t="e">
        <f t="shared" si="88"/>
        <v>#REF!</v>
      </c>
    </row>
    <row r="1864" spans="1:18" ht="15" customHeight="1">
      <c r="A1864" s="657">
        <f>IF(B1864="",MAX($A$8:A1863)+0,MAX($A$8:A1863)+1)</f>
        <v>200</v>
      </c>
      <c r="B1864" s="835" t="str">
        <f>IF(C1864="","",COUNTA($C$10:C1865))</f>
        <v/>
      </c>
      <c r="C1864" s="362"/>
      <c r="D1864" s="851"/>
      <c r="E1864" s="852" t="s">
        <v>1182</v>
      </c>
      <c r="F1864" s="848" t="str">
        <f>VLOOKUP(E1864,'9.may'!E:F,2,FALSE)</f>
        <v>concrete pump truck 50m3/h</v>
      </c>
      <c r="G1864" s="362" t="s">
        <v>4902</v>
      </c>
      <c r="H1864" s="847">
        <v>3.5000000000000003E-2</v>
      </c>
      <c r="I1864" s="848">
        <f>VLOOKUP(E1864,'9.may'!E:W,12,FALSE)</f>
        <v>3446390.13</v>
      </c>
      <c r="J1864" s="853">
        <f>I1864*H1864</f>
        <v>120623.65455000001</v>
      </c>
      <c r="N1864" s="843" t="e">
        <f>SUMIF(#REF!,'8.Dgia'!A1864,#REF!)+SUMIF(#REF!,'8.Dgia'!A1864,#REF!)+SUMIF(#REF!,'8.Dgia'!A1864,#REF!)+SUMIF(#REF!,'8.Dgia'!A1864,#REF!)</f>
        <v>#REF!</v>
      </c>
      <c r="O1864" s="844">
        <f>+$H$1865</f>
        <v>2</v>
      </c>
      <c r="P1864" s="843" t="e">
        <f t="shared" si="88"/>
        <v>#REF!</v>
      </c>
    </row>
    <row r="1865" spans="1:18" ht="15" customHeight="1">
      <c r="A1865" s="657">
        <f>IF(B1865="",MAX($A$8:A1864)+0,MAX($A$8:A1864)+1)</f>
        <v>200</v>
      </c>
      <c r="B1865" s="835" t="str">
        <f>IF(C1865="","",COUNTA($C$10:C1866))</f>
        <v/>
      </c>
      <c r="C1865" s="362"/>
      <c r="D1865" s="851"/>
      <c r="E1865" s="852" t="s">
        <v>553</v>
      </c>
      <c r="F1865" s="848" t="str">
        <f>VLOOKUP(E1865,DICH!B:C,2,FALSE)</f>
        <v>Other machine</v>
      </c>
      <c r="G1865" s="362" t="s">
        <v>554</v>
      </c>
      <c r="H1865" s="847">
        <v>2</v>
      </c>
      <c r="I1865" s="848">
        <f>SUM(J1862:J1864)</f>
        <v>440761.67220000003</v>
      </c>
      <c r="J1865" s="853">
        <f>I1865*H1865%</f>
        <v>8815.2334440000013</v>
      </c>
      <c r="N1865" s="843" t="e">
        <f>SUMIF(#REF!,'8.Dgia'!A1865,#REF!)+SUMIF(#REF!,'8.Dgia'!A1865,#REF!)+SUMIF(#REF!,'8.Dgia'!A1865,#REF!)+SUMIF(#REF!,'8.Dgia'!A1865,#REF!)</f>
        <v>#REF!</v>
      </c>
      <c r="O1865" s="844"/>
      <c r="P1865" s="843" t="e">
        <f t="shared" si="88"/>
        <v>#REF!</v>
      </c>
    </row>
    <row r="1866" spans="1:18" ht="29.25" customHeight="1">
      <c r="A1866" s="657">
        <f>IF(B1866="",MAX($A$8:A1865)+0,MAX($A$8:A1865)+1)</f>
        <v>201</v>
      </c>
      <c r="B1866" s="835">
        <f>IF(C1866="","",COUNTA($C$10:C1867))</f>
        <v>201</v>
      </c>
      <c r="C1866" s="835">
        <f>IF(D1866="","",1776)</f>
        <v>1776</v>
      </c>
      <c r="D1866" s="362" t="s">
        <v>744</v>
      </c>
      <c r="E1866" s="855" t="s">
        <v>2150</v>
      </c>
      <c r="F1866" s="1049" t="str">
        <f>VLOOKUP(E1866,DICH!B:C,2,FALSE)</f>
        <v>Product shaped steel, plate steel of beam formwork, co=34/250</v>
      </c>
      <c r="G1866" s="856" t="s">
        <v>4644</v>
      </c>
      <c r="H1866" s="847">
        <f>34/250</f>
        <v>0.13600000000000001</v>
      </c>
      <c r="I1866" s="848"/>
      <c r="J1866" s="889"/>
      <c r="K1866" s="842">
        <f>+J1867</f>
        <v>2644724.9101303685</v>
      </c>
      <c r="L1866" s="842">
        <f>+J1874</f>
        <v>2941499</v>
      </c>
      <c r="M1866" s="842">
        <f>+J1875</f>
        <v>171649.155</v>
      </c>
      <c r="N1866" s="843" t="e">
        <f>SUMIF(#REF!,'8.Dgia'!A1866,#REF!)+SUMIF(#REF!,'8.Dgia'!A1866,#REF!)+SUMIF(#REF!,'8.Dgia'!A1866,#REF!)+SUMIF(#REF!,'8.Dgia'!A1866,#REF!)</f>
        <v>#REF!</v>
      </c>
      <c r="O1866" s="844"/>
      <c r="P1866" s="843" t="e">
        <f t="shared" si="88"/>
        <v>#REF!</v>
      </c>
    </row>
    <row r="1867" spans="1:18" ht="15" customHeight="1">
      <c r="A1867" s="657">
        <f>IF(B1867="",MAX($A$8:A1866)+0,MAX($A$8:A1866)+1)</f>
        <v>201</v>
      </c>
      <c r="B1867" s="835" t="str">
        <f>IF(C1867="","",COUNTA($C$10:C1868))</f>
        <v/>
      </c>
      <c r="C1867" s="362"/>
      <c r="D1867" s="362"/>
      <c r="E1867" s="852" t="s">
        <v>2032</v>
      </c>
      <c r="F1867" s="848" t="str">
        <f>VLOOKUP(E1867,DICH!B:C,2,FALSE)</f>
        <v xml:space="preserve">  A - Material</v>
      </c>
      <c r="G1867" s="362"/>
      <c r="H1867" s="847"/>
      <c r="I1867" s="848"/>
      <c r="J1867" s="849">
        <f>SUM(J1868:J1873)</f>
        <v>2644724.9101303685</v>
      </c>
      <c r="N1867" s="843" t="e">
        <f>SUMIF(#REF!,'8.Dgia'!A1867,#REF!)+SUMIF(#REF!,'8.Dgia'!A1867,#REF!)+SUMIF(#REF!,'8.Dgia'!A1867,#REF!)+SUMIF(#REF!,'8.Dgia'!A1867,#REF!)</f>
        <v>#REF!</v>
      </c>
      <c r="O1867" s="844"/>
      <c r="P1867" s="843" t="e">
        <f t="shared" si="88"/>
        <v>#REF!</v>
      </c>
    </row>
    <row r="1868" spans="1:18" ht="15" customHeight="1">
      <c r="A1868" s="657">
        <f>IF(B1868="",MAX($A$8:A1867)+0,MAX($A$8:A1867)+1)</f>
        <v>201</v>
      </c>
      <c r="B1868" s="835" t="str">
        <f>IF(C1868="","",COUNTA($C$10:C1869))</f>
        <v/>
      </c>
      <c r="C1868" s="362"/>
      <c r="D1868" s="913"/>
      <c r="E1868" s="852" t="s">
        <v>563</v>
      </c>
      <c r="F1868" s="848" t="str">
        <f>VLOOKUP(E1868,DICH!B:C,2,FALSE)</f>
        <v>Shaped steel</v>
      </c>
      <c r="G1868" s="362" t="s">
        <v>558</v>
      </c>
      <c r="H1868" s="847">
        <f>995*H1866</f>
        <v>135.32000000000002</v>
      </c>
      <c r="I1868" s="848">
        <f>VLOOKUP(E1868,'11.gia '!$B:$I,8,FALSE)</f>
        <v>16703.248369172808</v>
      </c>
      <c r="J1868" s="853">
        <f>I1868*H1868</f>
        <v>2260283.5693164649</v>
      </c>
      <c r="N1868" s="843" t="e">
        <f>SUMIF(#REF!,'8.Dgia'!A1868,#REF!)+SUMIF(#REF!,'8.Dgia'!A1868,#REF!)+SUMIF(#REF!,'8.Dgia'!A1868,#REF!)+SUMIF(#REF!,'8.Dgia'!A1868,#REF!)</f>
        <v>#REF!</v>
      </c>
      <c r="O1868" s="844">
        <f>+$H$1873</f>
        <v>5</v>
      </c>
      <c r="P1868" s="843" t="e">
        <f t="shared" si="88"/>
        <v>#REF!</v>
      </c>
    </row>
    <row r="1869" spans="1:18" ht="15" customHeight="1">
      <c r="A1869" s="657">
        <f>IF(B1869="",MAX($A$8:A1868)+0,MAX($A$8:A1868)+1)</f>
        <v>201</v>
      </c>
      <c r="B1869" s="835" t="str">
        <f>IF(C1869="","",COUNTA($C$10:C1870))</f>
        <v/>
      </c>
      <c r="C1869" s="362"/>
      <c r="D1869" s="913"/>
      <c r="E1869" s="852" t="s">
        <v>562</v>
      </c>
      <c r="F1869" s="848" t="str">
        <f>VLOOKUP(E1869,DICH!B:C,2,FALSE)</f>
        <v>Plate steel</v>
      </c>
      <c r="G1869" s="362" t="s">
        <v>558</v>
      </c>
      <c r="H1869" s="847">
        <f>30.73*H1866</f>
        <v>4.1792800000000003</v>
      </c>
      <c r="I1869" s="848">
        <f>VLOOKUP(E1869,'11.gia '!$B:$I,8,FALSE)</f>
        <v>12871.348287272725</v>
      </c>
      <c r="J1869" s="853">
        <f>I1869*H1869</f>
        <v>53792.968470033164</v>
      </c>
      <c r="N1869" s="843" t="e">
        <f>SUMIF(#REF!,'8.Dgia'!A1869,#REF!)+SUMIF(#REF!,'8.Dgia'!A1869,#REF!)+SUMIF(#REF!,'8.Dgia'!A1869,#REF!)+SUMIF(#REF!,'8.Dgia'!A1869,#REF!)</f>
        <v>#REF!</v>
      </c>
      <c r="O1869" s="844">
        <f>+$H$1873</f>
        <v>5</v>
      </c>
      <c r="P1869" s="843" t="e">
        <f t="shared" si="88"/>
        <v>#REF!</v>
      </c>
    </row>
    <row r="1870" spans="1:18" ht="15" customHeight="1">
      <c r="A1870" s="657">
        <f>IF(B1870="",MAX($A$8:A1869)+0,MAX($A$8:A1869)+1)</f>
        <v>201</v>
      </c>
      <c r="B1870" s="835" t="str">
        <f>IF(C1870="","",COUNTA($C$10:C1871))</f>
        <v/>
      </c>
      <c r="C1870" s="362"/>
      <c r="D1870" s="362"/>
      <c r="E1870" s="852" t="s">
        <v>564</v>
      </c>
      <c r="F1870" s="848" t="str">
        <f>VLOOKUP(E1870,DICH!B:C,2,FALSE)</f>
        <v>oxygen</v>
      </c>
      <c r="G1870" s="362" t="s">
        <v>4647</v>
      </c>
      <c r="H1870" s="847">
        <v>0.9</v>
      </c>
      <c r="I1870" s="848">
        <f>VLOOKUP(E1870,'11.gia '!$B:$I,8,FALSE)</f>
        <v>48000</v>
      </c>
      <c r="J1870" s="853">
        <f>I1870*H1870</f>
        <v>43200</v>
      </c>
      <c r="N1870" s="843" t="e">
        <f>SUMIF(#REF!,'8.Dgia'!A1870,#REF!)+SUMIF(#REF!,'8.Dgia'!A1870,#REF!)+SUMIF(#REF!,'8.Dgia'!A1870,#REF!)+SUMIF(#REF!,'8.Dgia'!A1870,#REF!)</f>
        <v>#REF!</v>
      </c>
      <c r="O1870" s="844">
        <f>+$H$1873</f>
        <v>5</v>
      </c>
      <c r="P1870" s="843" t="e">
        <f t="shared" si="88"/>
        <v>#REF!</v>
      </c>
    </row>
    <row r="1871" spans="1:18" ht="15" customHeight="1">
      <c r="A1871" s="657">
        <f>IF(B1871="",MAX($A$8:A1870)+0,MAX($A$8:A1870)+1)</f>
        <v>201</v>
      </c>
      <c r="B1871" s="835" t="str">
        <f>IF(C1871="","",COUNTA($C$10:C1872))</f>
        <v/>
      </c>
      <c r="C1871" s="362"/>
      <c r="D1871" s="362"/>
      <c r="E1871" s="852" t="s">
        <v>566</v>
      </c>
      <c r="F1871" s="848" t="str">
        <f>VLOOKUP(E1871,DICH!B:C,2,FALSE)</f>
        <v>Calcium carbide</v>
      </c>
      <c r="G1871" s="362" t="s">
        <v>558</v>
      </c>
      <c r="H1871" s="847">
        <v>5.4</v>
      </c>
      <c r="I1871" s="848">
        <f>VLOOKUP(E1871,'11.gia '!$B:$I,8,FALSE)</f>
        <v>14000</v>
      </c>
      <c r="J1871" s="853">
        <f>I1871*H1871</f>
        <v>75600</v>
      </c>
      <c r="N1871" s="843" t="e">
        <f>SUMIF(#REF!,'8.Dgia'!A1871,#REF!)+SUMIF(#REF!,'8.Dgia'!A1871,#REF!)+SUMIF(#REF!,'8.Dgia'!A1871,#REF!)+SUMIF(#REF!,'8.Dgia'!A1871,#REF!)</f>
        <v>#REF!</v>
      </c>
      <c r="O1871" s="844">
        <f>+$H$1873</f>
        <v>5</v>
      </c>
      <c r="P1871" s="843" t="e">
        <f t="shared" si="88"/>
        <v>#REF!</v>
      </c>
    </row>
    <row r="1872" spans="1:18" ht="15" customHeight="1">
      <c r="A1872" s="657">
        <f>IF(B1872="",MAX($A$8:A1871)+0,MAX($A$8:A1871)+1)</f>
        <v>201</v>
      </c>
      <c r="B1872" s="835" t="str">
        <f>IF(C1872="","",COUNTA($C$10:C1873))</f>
        <v/>
      </c>
      <c r="C1872" s="362"/>
      <c r="D1872" s="362"/>
      <c r="E1872" s="852" t="s">
        <v>559</v>
      </c>
      <c r="F1872" s="848" t="str">
        <f>VLOOKUP(E1872,DICH!B:C,2,FALSE)</f>
        <v>welding electrode</v>
      </c>
      <c r="G1872" s="362" t="s">
        <v>558</v>
      </c>
      <c r="H1872" s="847">
        <v>4.5</v>
      </c>
      <c r="I1872" s="848">
        <f>VLOOKUP(E1872,'11.gia '!$B:$I,8,FALSE)</f>
        <v>19090.909090909088</v>
      </c>
      <c r="J1872" s="853">
        <f>I1872*H1872</f>
        <v>85909.090909090897</v>
      </c>
      <c r="N1872" s="843" t="e">
        <f>SUMIF(#REF!,'8.Dgia'!A1872,#REF!)+SUMIF(#REF!,'8.Dgia'!A1872,#REF!)+SUMIF(#REF!,'8.Dgia'!A1872,#REF!)+SUMIF(#REF!,'8.Dgia'!A1872,#REF!)</f>
        <v>#REF!</v>
      </c>
      <c r="O1872" s="844">
        <f>+$H$1873</f>
        <v>5</v>
      </c>
      <c r="P1872" s="843" t="e">
        <f t="shared" si="88"/>
        <v>#REF!</v>
      </c>
    </row>
    <row r="1873" spans="1:18" ht="15" customHeight="1">
      <c r="A1873" s="657">
        <f>IF(B1873="",MAX($A$8:A1872)+0,MAX($A$8:A1872)+1)</f>
        <v>201</v>
      </c>
      <c r="B1873" s="835" t="str">
        <f>IF(C1873="","",COUNTA($C$10:C1874))</f>
        <v/>
      </c>
      <c r="C1873" s="362"/>
      <c r="D1873" s="362"/>
      <c r="E1873" s="852" t="s">
        <v>555</v>
      </c>
      <c r="F1873" s="848" t="str">
        <f>VLOOKUP(E1873,DICH!B:C,2,FALSE)</f>
        <v>Other material</v>
      </c>
      <c r="G1873" s="362" t="s">
        <v>554</v>
      </c>
      <c r="H1873" s="847">
        <v>5</v>
      </c>
      <c r="I1873" s="848">
        <f>SUM(J1868:J1872)</f>
        <v>2518785.628695589</v>
      </c>
      <c r="J1873" s="853">
        <f>I1873*H1873%</f>
        <v>125939.28143477946</v>
      </c>
      <c r="N1873" s="843" t="e">
        <f>SUMIF(#REF!,'8.Dgia'!A1873,#REF!)+SUMIF(#REF!,'8.Dgia'!A1873,#REF!)+SUMIF(#REF!,'8.Dgia'!A1873,#REF!)+SUMIF(#REF!,'8.Dgia'!A1873,#REF!)</f>
        <v>#REF!</v>
      </c>
      <c r="O1873" s="844"/>
      <c r="P1873" s="843" t="e">
        <f t="shared" si="88"/>
        <v>#REF!</v>
      </c>
    </row>
    <row r="1874" spans="1:18" ht="15" customHeight="1">
      <c r="A1874" s="657">
        <f>IF(B1874="",MAX($A$8:A1873)+0,MAX($A$8:A1873)+1)</f>
        <v>201</v>
      </c>
      <c r="B1874" s="835" t="str">
        <f>IF(C1874="","",COUNTA($C$10:C1875))</f>
        <v/>
      </c>
      <c r="C1874" s="362"/>
      <c r="D1874" s="362"/>
      <c r="E1874" s="852" t="s">
        <v>2037</v>
      </c>
      <c r="F1874" s="848" t="str">
        <f>VLOOKUP(E1874,DICH!B:C,2,FALSE)</f>
        <v xml:space="preserve">  B - Labour 3.5/7</v>
      </c>
      <c r="G1874" s="362" t="s">
        <v>4899</v>
      </c>
      <c r="H1874" s="847">
        <v>14.5</v>
      </c>
      <c r="I1874" s="848">
        <f>VLOOKUP(E1874,'16.NC'!$C$11:$F$22,4,FALSE)</f>
        <v>202862</v>
      </c>
      <c r="J1874" s="849">
        <f>I1874*H1874</f>
        <v>2941499</v>
      </c>
      <c r="N1874" s="843" t="e">
        <f>SUMIF(#REF!,'8.Dgia'!A1874,#REF!)+SUMIF(#REF!,'8.Dgia'!A1874,#REF!)+SUMIF(#REF!,'8.Dgia'!A1874,#REF!)+SUMIF(#REF!,'8.Dgia'!A1874,#REF!)</f>
        <v>#REF!</v>
      </c>
      <c r="O1874" s="844"/>
      <c r="P1874" s="843" t="e">
        <f t="shared" si="88"/>
        <v>#REF!</v>
      </c>
      <c r="R1874" s="658">
        <v>1</v>
      </c>
    </row>
    <row r="1875" spans="1:18" ht="15" customHeight="1">
      <c r="A1875" s="657">
        <f>IF(B1875="",MAX($A$8:A1874)+0,MAX($A$8:A1874)+1)</f>
        <v>201</v>
      </c>
      <c r="B1875" s="835" t="str">
        <f>IF(C1875="","",COUNTA($C$10:C1876))</f>
        <v/>
      </c>
      <c r="C1875" s="362"/>
      <c r="D1875" s="362"/>
      <c r="E1875" s="852" t="s">
        <v>2033</v>
      </c>
      <c r="F1875" s="848" t="str">
        <f>VLOOKUP(E1875,DICH!B:C,2,FALSE)</f>
        <v xml:space="preserve">  C - Machine</v>
      </c>
      <c r="G1875" s="362"/>
      <c r="H1875" s="847"/>
      <c r="I1875" s="848"/>
      <c r="J1875" s="849">
        <f>+J1876</f>
        <v>171649.155</v>
      </c>
      <c r="N1875" s="843" t="e">
        <f>SUMIF(#REF!,'8.Dgia'!A1875,#REF!)+SUMIF(#REF!,'8.Dgia'!A1875,#REF!)+SUMIF(#REF!,'8.Dgia'!A1875,#REF!)+SUMIF(#REF!,'8.Dgia'!A1875,#REF!)</f>
        <v>#REF!</v>
      </c>
      <c r="O1875" s="844"/>
      <c r="P1875" s="843" t="e">
        <f t="shared" si="88"/>
        <v>#REF!</v>
      </c>
    </row>
    <row r="1876" spans="1:18" ht="15" customHeight="1">
      <c r="A1876" s="657">
        <f>IF(B1876="",MAX($A$8:A1875)+0,MAX($A$8:A1875)+1)</f>
        <v>201</v>
      </c>
      <c r="B1876" s="835" t="str">
        <f>IF(C1876="","",COUNTA($C$10:C1877))</f>
        <v/>
      </c>
      <c r="C1876" s="362"/>
      <c r="D1876" s="362"/>
      <c r="E1876" s="852" t="s">
        <v>560</v>
      </c>
      <c r="F1876" s="848" t="str">
        <f>VLOOKUP(E1876,'9.may'!E:F,2,FALSE)</f>
        <v>welding machine 23kW</v>
      </c>
      <c r="G1876" s="362" t="s">
        <v>4902</v>
      </c>
      <c r="H1876" s="847">
        <v>1</v>
      </c>
      <c r="I1876" s="848">
        <f>VLOOKUP(E1876,'9.may'!E:W,12,FALSE)</f>
        <v>171649.155</v>
      </c>
      <c r="J1876" s="853">
        <f>I1876*H1876</f>
        <v>171649.155</v>
      </c>
      <c r="N1876" s="843" t="e">
        <f>SUMIF(#REF!,'8.Dgia'!A1876,#REF!)+SUMIF(#REF!,'8.Dgia'!A1876,#REF!)+SUMIF(#REF!,'8.Dgia'!A1876,#REF!)+SUMIF(#REF!,'8.Dgia'!A1876,#REF!)</f>
        <v>#REF!</v>
      </c>
      <c r="O1876" s="844"/>
      <c r="P1876" s="843" t="e">
        <f t="shared" si="88"/>
        <v>#REF!</v>
      </c>
    </row>
    <row r="1877" spans="1:18" ht="15" customHeight="1">
      <c r="A1877" s="657">
        <f>IF(B1877="",MAX($A$8:A1876)+0,MAX($A$8:A1876)+1)</f>
        <v>202</v>
      </c>
      <c r="B1877" s="835">
        <f>IF(C1877="","",COUNTA($C$10:C1878))</f>
        <v>202</v>
      </c>
      <c r="C1877" s="835">
        <f>IF(D1877="","",1776)</f>
        <v>1776</v>
      </c>
      <c r="D1877" s="362" t="s">
        <v>744</v>
      </c>
      <c r="E1877" s="855" t="s">
        <v>226</v>
      </c>
      <c r="F1877" s="1049" t="str">
        <f>VLOOKUP(E1877,DICH!B:C,2,FALSE)</f>
        <v>Product shaped steel, amor=2%*2months+7%</v>
      </c>
      <c r="G1877" s="856" t="s">
        <v>4644</v>
      </c>
      <c r="H1877" s="847">
        <f>2%*2+7%*1</f>
        <v>0.11000000000000001</v>
      </c>
      <c r="I1877" s="848"/>
      <c r="J1877" s="889"/>
      <c r="K1877" s="842">
        <f>+J1878</f>
        <v>2180208.0757070491</v>
      </c>
      <c r="L1877" s="842">
        <f>+J1885</f>
        <v>2941499</v>
      </c>
      <c r="M1877" s="842">
        <f>+J1886</f>
        <v>171649.155</v>
      </c>
      <c r="N1877" s="843" t="e">
        <f>SUMIF(#REF!,'8.Dgia'!A1877,#REF!)+SUMIF(#REF!,'8.Dgia'!A1877,#REF!)+SUMIF(#REF!,'8.Dgia'!A1877,#REF!)+SUMIF(#REF!,'8.Dgia'!A1877,#REF!)</f>
        <v>#REF!</v>
      </c>
      <c r="O1877" s="844"/>
      <c r="P1877" s="843" t="e">
        <f t="shared" si="88"/>
        <v>#REF!</v>
      </c>
    </row>
    <row r="1878" spans="1:18" ht="15" customHeight="1">
      <c r="A1878" s="657">
        <f>IF(B1878="",MAX($A$8:A1877)+0,MAX($A$8:A1877)+1)</f>
        <v>202</v>
      </c>
      <c r="B1878" s="835" t="str">
        <f>IF(C1878="","",COUNTA($C$10:C1879))</f>
        <v/>
      </c>
      <c r="C1878" s="362"/>
      <c r="D1878" s="362"/>
      <c r="E1878" s="852" t="s">
        <v>2032</v>
      </c>
      <c r="F1878" s="848" t="str">
        <f>VLOOKUP(E1878,DICH!B:C,2,FALSE)</f>
        <v xml:space="preserve">  A - Material</v>
      </c>
      <c r="G1878" s="362"/>
      <c r="H1878" s="847"/>
      <c r="I1878" s="848"/>
      <c r="J1878" s="849">
        <f>SUM(J1879:J1884)</f>
        <v>2180208.0757070491</v>
      </c>
      <c r="N1878" s="843" t="e">
        <f>SUMIF(#REF!,'8.Dgia'!A1878,#REF!)+SUMIF(#REF!,'8.Dgia'!A1878,#REF!)+SUMIF(#REF!,'8.Dgia'!A1878,#REF!)+SUMIF(#REF!,'8.Dgia'!A1878,#REF!)</f>
        <v>#REF!</v>
      </c>
      <c r="O1878" s="844"/>
      <c r="P1878" s="843" t="e">
        <f t="shared" si="88"/>
        <v>#REF!</v>
      </c>
    </row>
    <row r="1879" spans="1:18" ht="15" customHeight="1">
      <c r="A1879" s="657">
        <f>IF(B1879="",MAX($A$8:A1878)+0,MAX($A$8:A1878)+1)</f>
        <v>202</v>
      </c>
      <c r="B1879" s="835" t="str">
        <f>IF(C1879="","",COUNTA($C$10:C1880))</f>
        <v/>
      </c>
      <c r="C1879" s="362"/>
      <c r="D1879" s="913" t="s">
        <v>423</v>
      </c>
      <c r="E1879" s="852" t="s">
        <v>563</v>
      </c>
      <c r="F1879" s="848" t="str">
        <f>VLOOKUP(E1879,DICH!B:C,2,FALSE)</f>
        <v>Shaped steel</v>
      </c>
      <c r="G1879" s="362" t="s">
        <v>558</v>
      </c>
      <c r="H1879" s="847">
        <f>995*H1877</f>
        <v>109.45000000000002</v>
      </c>
      <c r="I1879" s="848">
        <f>VLOOKUP(E1879,'11.gia '!$B:$I,8,FALSE)</f>
        <v>16703.248369172808</v>
      </c>
      <c r="J1879" s="853">
        <f>I1879*H1879</f>
        <v>1828170.5340059642</v>
      </c>
      <c r="N1879" s="843" t="e">
        <f>SUMIF(#REF!,'8.Dgia'!A1879,#REF!)+SUMIF(#REF!,'8.Dgia'!A1879,#REF!)+SUMIF(#REF!,'8.Dgia'!A1879,#REF!)+SUMIF(#REF!,'8.Dgia'!A1879,#REF!)</f>
        <v>#REF!</v>
      </c>
      <c r="O1879" s="844"/>
      <c r="P1879" s="843" t="e">
        <f t="shared" si="88"/>
        <v>#REF!</v>
      </c>
    </row>
    <row r="1880" spans="1:18" ht="15" customHeight="1">
      <c r="A1880" s="657">
        <f>IF(B1880="",MAX($A$8:A1879)+0,MAX($A$8:A1879)+1)</f>
        <v>202</v>
      </c>
      <c r="B1880" s="835" t="str">
        <f>IF(C1880="","",COUNTA($C$10:C1881))</f>
        <v/>
      </c>
      <c r="C1880" s="362"/>
      <c r="D1880" s="913" t="s">
        <v>423</v>
      </c>
      <c r="E1880" s="852" t="s">
        <v>562</v>
      </c>
      <c r="F1880" s="848" t="str">
        <f>VLOOKUP(E1880,DICH!B:C,2,FALSE)</f>
        <v>Plate steel</v>
      </c>
      <c r="G1880" s="362" t="s">
        <v>558</v>
      </c>
      <c r="H1880" s="847">
        <f>30.73*H1877</f>
        <v>3.3803000000000005</v>
      </c>
      <c r="I1880" s="848">
        <f>VLOOKUP(E1880,'11.gia '!$B:$I,8,FALSE)</f>
        <v>12871.348287272725</v>
      </c>
      <c r="J1880" s="853">
        <f>I1880*H1880</f>
        <v>43509.018615467998</v>
      </c>
      <c r="N1880" s="843" t="e">
        <f>SUMIF(#REF!,'8.Dgia'!A1880,#REF!)+SUMIF(#REF!,'8.Dgia'!A1880,#REF!)+SUMIF(#REF!,'8.Dgia'!A1880,#REF!)+SUMIF(#REF!,'8.Dgia'!A1880,#REF!)</f>
        <v>#REF!</v>
      </c>
      <c r="O1880" s="844"/>
      <c r="P1880" s="843" t="e">
        <f t="shared" si="88"/>
        <v>#REF!</v>
      </c>
    </row>
    <row r="1881" spans="1:18" ht="15" customHeight="1">
      <c r="A1881" s="657">
        <f>IF(B1881="",MAX($A$8:A1880)+0,MAX($A$8:A1880)+1)</f>
        <v>202</v>
      </c>
      <c r="B1881" s="835" t="str">
        <f>IF(C1881="","",COUNTA($C$10:C1882))</f>
        <v/>
      </c>
      <c r="C1881" s="362"/>
      <c r="D1881" s="362"/>
      <c r="E1881" s="852" t="s">
        <v>564</v>
      </c>
      <c r="F1881" s="848" t="str">
        <f>VLOOKUP(E1881,DICH!B:C,2,FALSE)</f>
        <v>oxygen</v>
      </c>
      <c r="G1881" s="362" t="s">
        <v>4647</v>
      </c>
      <c r="H1881" s="847">
        <v>0.9</v>
      </c>
      <c r="I1881" s="848">
        <f>VLOOKUP(E1881,'11.gia '!$B:$I,8,FALSE)</f>
        <v>48000</v>
      </c>
      <c r="J1881" s="853">
        <f>I1881*H1881</f>
        <v>43200</v>
      </c>
      <c r="N1881" s="843" t="e">
        <f>SUMIF(#REF!,'8.Dgia'!A1881,#REF!)+SUMIF(#REF!,'8.Dgia'!A1881,#REF!)+SUMIF(#REF!,'8.Dgia'!A1881,#REF!)+SUMIF(#REF!,'8.Dgia'!A1881,#REF!)</f>
        <v>#REF!</v>
      </c>
      <c r="O1881" s="844"/>
      <c r="P1881" s="843" t="e">
        <f t="shared" si="88"/>
        <v>#REF!</v>
      </c>
    </row>
    <row r="1882" spans="1:18" ht="15" customHeight="1">
      <c r="A1882" s="657">
        <f>IF(B1882="",MAX($A$8:A1881)+0,MAX($A$8:A1881)+1)</f>
        <v>202</v>
      </c>
      <c r="B1882" s="835" t="str">
        <f>IF(C1882="","",COUNTA($C$10:C1883))</f>
        <v/>
      </c>
      <c r="C1882" s="362"/>
      <c r="D1882" s="362"/>
      <c r="E1882" s="852" t="s">
        <v>566</v>
      </c>
      <c r="F1882" s="848" t="str">
        <f>VLOOKUP(E1882,DICH!B:C,2,FALSE)</f>
        <v>Calcium carbide</v>
      </c>
      <c r="G1882" s="362" t="s">
        <v>558</v>
      </c>
      <c r="H1882" s="847">
        <v>5.4</v>
      </c>
      <c r="I1882" s="848">
        <f>VLOOKUP(E1882,'11.gia '!$B:$I,8,FALSE)</f>
        <v>14000</v>
      </c>
      <c r="J1882" s="853">
        <f>I1882*H1882</f>
        <v>75600</v>
      </c>
      <c r="N1882" s="843" t="e">
        <f>SUMIF(#REF!,'8.Dgia'!A1882,#REF!)+SUMIF(#REF!,'8.Dgia'!A1882,#REF!)+SUMIF(#REF!,'8.Dgia'!A1882,#REF!)+SUMIF(#REF!,'8.Dgia'!A1882,#REF!)</f>
        <v>#REF!</v>
      </c>
      <c r="O1882" s="844"/>
      <c r="P1882" s="843" t="e">
        <f t="shared" si="88"/>
        <v>#REF!</v>
      </c>
    </row>
    <row r="1883" spans="1:18" ht="15" customHeight="1">
      <c r="A1883" s="657">
        <f>IF(B1883="",MAX($A$8:A1882)+0,MAX($A$8:A1882)+1)</f>
        <v>202</v>
      </c>
      <c r="B1883" s="835" t="str">
        <f>IF(C1883="","",COUNTA($C$10:C1884))</f>
        <v/>
      </c>
      <c r="C1883" s="362"/>
      <c r="D1883" s="362"/>
      <c r="E1883" s="852" t="s">
        <v>559</v>
      </c>
      <c r="F1883" s="848" t="str">
        <f>VLOOKUP(E1883,DICH!B:C,2,FALSE)</f>
        <v>welding electrode</v>
      </c>
      <c r="G1883" s="362" t="s">
        <v>558</v>
      </c>
      <c r="H1883" s="847">
        <v>4.5</v>
      </c>
      <c r="I1883" s="848">
        <f>VLOOKUP(E1883,'11.gia '!$B:$I,8,FALSE)</f>
        <v>19090.909090909088</v>
      </c>
      <c r="J1883" s="853">
        <f>I1883*H1883</f>
        <v>85909.090909090897</v>
      </c>
      <c r="N1883" s="843" t="e">
        <f>SUMIF(#REF!,'8.Dgia'!A1883,#REF!)+SUMIF(#REF!,'8.Dgia'!A1883,#REF!)+SUMIF(#REF!,'8.Dgia'!A1883,#REF!)+SUMIF(#REF!,'8.Dgia'!A1883,#REF!)</f>
        <v>#REF!</v>
      </c>
      <c r="O1883" s="844"/>
      <c r="P1883" s="843" t="e">
        <f t="shared" si="88"/>
        <v>#REF!</v>
      </c>
    </row>
    <row r="1884" spans="1:18" ht="15" customHeight="1">
      <c r="A1884" s="657">
        <f>IF(B1884="",MAX($A$8:A1883)+0,MAX($A$8:A1883)+1)</f>
        <v>202</v>
      </c>
      <c r="B1884" s="835" t="str">
        <f>IF(C1884="","",COUNTA($C$10:C1885))</f>
        <v/>
      </c>
      <c r="C1884" s="362"/>
      <c r="D1884" s="362"/>
      <c r="E1884" s="852" t="s">
        <v>555</v>
      </c>
      <c r="F1884" s="848" t="str">
        <f>VLOOKUP(E1884,DICH!B:C,2,FALSE)</f>
        <v>Other material</v>
      </c>
      <c r="G1884" s="362" t="s">
        <v>554</v>
      </c>
      <c r="H1884" s="847">
        <v>5</v>
      </c>
      <c r="I1884" s="848">
        <f>SUM(J1879:J1883)</f>
        <v>2076388.6435305229</v>
      </c>
      <c r="J1884" s="853">
        <f>I1884*H1884%</f>
        <v>103819.43217652616</v>
      </c>
      <c r="N1884" s="843" t="e">
        <f>SUMIF(#REF!,'8.Dgia'!A1884,#REF!)+SUMIF(#REF!,'8.Dgia'!A1884,#REF!)+SUMIF(#REF!,'8.Dgia'!A1884,#REF!)+SUMIF(#REF!,'8.Dgia'!A1884,#REF!)</f>
        <v>#REF!</v>
      </c>
      <c r="O1884" s="844"/>
      <c r="P1884" s="843" t="e">
        <f t="shared" si="88"/>
        <v>#REF!</v>
      </c>
    </row>
    <row r="1885" spans="1:18" ht="15" customHeight="1">
      <c r="A1885" s="657">
        <f>IF(B1885="",MAX($A$8:A1884)+0,MAX($A$8:A1884)+1)</f>
        <v>202</v>
      </c>
      <c r="B1885" s="835" t="str">
        <f>IF(C1885="","",COUNTA($C$10:C1886))</f>
        <v/>
      </c>
      <c r="C1885" s="362"/>
      <c r="D1885" s="362"/>
      <c r="E1885" s="852" t="s">
        <v>2037</v>
      </c>
      <c r="F1885" s="848" t="str">
        <f>VLOOKUP(E1885,DICH!B:C,2,FALSE)</f>
        <v xml:space="preserve">  B - Labour 3.5/7</v>
      </c>
      <c r="G1885" s="362" t="s">
        <v>4899</v>
      </c>
      <c r="H1885" s="847">
        <v>14.5</v>
      </c>
      <c r="I1885" s="848">
        <f>VLOOKUP(E1885,'16.NC'!$C$11:$F$22,4,FALSE)</f>
        <v>202862</v>
      </c>
      <c r="J1885" s="849">
        <f>I1885*H1885</f>
        <v>2941499</v>
      </c>
      <c r="N1885" s="843" t="e">
        <f>SUMIF(#REF!,'8.Dgia'!A1885,#REF!)+SUMIF(#REF!,'8.Dgia'!A1885,#REF!)+SUMIF(#REF!,'8.Dgia'!A1885,#REF!)+SUMIF(#REF!,'8.Dgia'!A1885,#REF!)</f>
        <v>#REF!</v>
      </c>
      <c r="O1885" s="844"/>
      <c r="P1885" s="843" t="e">
        <f t="shared" si="88"/>
        <v>#REF!</v>
      </c>
      <c r="R1885" s="658">
        <v>1</v>
      </c>
    </row>
    <row r="1886" spans="1:18" ht="15" customHeight="1">
      <c r="A1886" s="657">
        <f>IF(B1886="",MAX($A$8:A1885)+0,MAX($A$8:A1885)+1)</f>
        <v>202</v>
      </c>
      <c r="B1886" s="835" t="str">
        <f>IF(C1886="","",COUNTA($C$10:C1887))</f>
        <v/>
      </c>
      <c r="C1886" s="362"/>
      <c r="D1886" s="362"/>
      <c r="E1886" s="852" t="s">
        <v>2033</v>
      </c>
      <c r="F1886" s="848" t="str">
        <f>VLOOKUP(E1886,DICH!B:C,2,FALSE)</f>
        <v xml:space="preserve">  C - Machine</v>
      </c>
      <c r="G1886" s="362"/>
      <c r="H1886" s="847"/>
      <c r="I1886" s="848"/>
      <c r="J1886" s="849">
        <f>+J1887</f>
        <v>171649.155</v>
      </c>
      <c r="N1886" s="843" t="e">
        <f>SUMIF(#REF!,'8.Dgia'!A1886,#REF!)+SUMIF(#REF!,'8.Dgia'!A1886,#REF!)+SUMIF(#REF!,'8.Dgia'!A1886,#REF!)+SUMIF(#REF!,'8.Dgia'!A1886,#REF!)</f>
        <v>#REF!</v>
      </c>
      <c r="O1886" s="844"/>
      <c r="P1886" s="843" t="e">
        <f t="shared" si="88"/>
        <v>#REF!</v>
      </c>
    </row>
    <row r="1887" spans="1:18" ht="15" customHeight="1">
      <c r="A1887" s="657">
        <f>IF(B1887="",MAX($A$8:A1886)+0,MAX($A$8:A1886)+1)</f>
        <v>202</v>
      </c>
      <c r="B1887" s="835" t="str">
        <f>IF(C1887="","",COUNTA($C$10:C1888))</f>
        <v/>
      </c>
      <c r="C1887" s="362"/>
      <c r="D1887" s="362"/>
      <c r="E1887" s="852" t="s">
        <v>560</v>
      </c>
      <c r="F1887" s="848" t="str">
        <f>VLOOKUP(E1887,'9.may'!E:F,2,FALSE)</f>
        <v>welding machine 23kW</v>
      </c>
      <c r="G1887" s="362" t="s">
        <v>4902</v>
      </c>
      <c r="H1887" s="847">
        <v>1</v>
      </c>
      <c r="I1887" s="848">
        <f>VLOOKUP(E1887,'9.may'!E:W,12,FALSE)</f>
        <v>171649.155</v>
      </c>
      <c r="J1887" s="853">
        <f>I1887*H1887</f>
        <v>171649.155</v>
      </c>
      <c r="N1887" s="843" t="e">
        <f>SUMIF(#REF!,'8.Dgia'!A1887,#REF!)+SUMIF(#REF!,'8.Dgia'!A1887,#REF!)+SUMIF(#REF!,'8.Dgia'!A1887,#REF!)+SUMIF(#REF!,'8.Dgia'!A1887,#REF!)</f>
        <v>#REF!</v>
      </c>
      <c r="O1887" s="844"/>
      <c r="P1887" s="843" t="e">
        <f t="shared" si="88"/>
        <v>#REF!</v>
      </c>
    </row>
    <row r="1888" spans="1:18" ht="15" customHeight="1">
      <c r="A1888" s="657">
        <f>IF(B1888="",MAX($A$8:A1887)+0,MAX($A$8:A1887)+1)</f>
        <v>203</v>
      </c>
      <c r="B1888" s="835">
        <f>IF(C1888="","",COUNTA($C$10:C1889))</f>
        <v>203</v>
      </c>
      <c r="C1888" s="835">
        <f>IF(D1888="","",1776)</f>
        <v>1776</v>
      </c>
      <c r="D1888" s="362" t="s">
        <v>744</v>
      </c>
      <c r="E1888" s="855" t="s">
        <v>3463</v>
      </c>
      <c r="F1888" s="1049" t="str">
        <f>VLOOKUP(E1888,DICH!B:C,2,FALSE)</f>
        <v>Product shaped steel, amor=2%*8months+7%</v>
      </c>
      <c r="G1888" s="856" t="s">
        <v>4644</v>
      </c>
      <c r="H1888" s="847">
        <f>2%*8+7%*1</f>
        <v>0.23</v>
      </c>
      <c r="I1888" s="848"/>
      <c r="J1888" s="889"/>
      <c r="K1888" s="842">
        <f>+J1889</f>
        <v>4324131.9268915979</v>
      </c>
      <c r="L1888" s="842">
        <f>+J1896</f>
        <v>2941499</v>
      </c>
      <c r="M1888" s="842">
        <f>+J1897</f>
        <v>171649.155</v>
      </c>
      <c r="N1888" s="843" t="e">
        <f>SUMIF(#REF!,'8.Dgia'!A1888,#REF!)+SUMIF(#REF!,'8.Dgia'!A1888,#REF!)+SUMIF(#REF!,'8.Dgia'!A1888,#REF!)+SUMIF(#REF!,'8.Dgia'!A1888,#REF!)</f>
        <v>#REF!</v>
      </c>
      <c r="O1888" s="844"/>
      <c r="P1888" s="843" t="e">
        <f t="shared" ref="P1888:P1898" si="89">$H1888*N1888*(1+O1888%)</f>
        <v>#REF!</v>
      </c>
    </row>
    <row r="1889" spans="1:18" ht="15" customHeight="1">
      <c r="A1889" s="657">
        <f>IF(B1889="",MAX($A$8:A1888)+0,MAX($A$8:A1888)+1)</f>
        <v>203</v>
      </c>
      <c r="B1889" s="835" t="str">
        <f>IF(C1889="","",COUNTA($C$10:C1890))</f>
        <v/>
      </c>
      <c r="C1889" s="362"/>
      <c r="D1889" s="362"/>
      <c r="E1889" s="852" t="s">
        <v>2032</v>
      </c>
      <c r="F1889" s="848" t="str">
        <f>VLOOKUP(E1889,DICH!B:C,2,FALSE)</f>
        <v xml:space="preserve">  A - Material</v>
      </c>
      <c r="G1889" s="362"/>
      <c r="H1889" s="847"/>
      <c r="I1889" s="848"/>
      <c r="J1889" s="849">
        <f>SUM(J1890:J1895)</f>
        <v>4324131.9268915979</v>
      </c>
      <c r="N1889" s="843" t="e">
        <f>SUMIF(#REF!,'8.Dgia'!A1889,#REF!)+SUMIF(#REF!,'8.Dgia'!A1889,#REF!)+SUMIF(#REF!,'8.Dgia'!A1889,#REF!)+SUMIF(#REF!,'8.Dgia'!A1889,#REF!)</f>
        <v>#REF!</v>
      </c>
      <c r="O1889" s="844"/>
      <c r="P1889" s="843" t="e">
        <f t="shared" si="89"/>
        <v>#REF!</v>
      </c>
    </row>
    <row r="1890" spans="1:18" ht="15" customHeight="1">
      <c r="A1890" s="657">
        <f>IF(B1890="",MAX($A$8:A1889)+0,MAX($A$8:A1889)+1)</f>
        <v>203</v>
      </c>
      <c r="B1890" s="835" t="str">
        <f>IF(C1890="","",COUNTA($C$10:C1891))</f>
        <v/>
      </c>
      <c r="C1890" s="362"/>
      <c r="D1890" s="913" t="s">
        <v>423</v>
      </c>
      <c r="E1890" s="852" t="s">
        <v>563</v>
      </c>
      <c r="F1890" s="848" t="str">
        <f>VLOOKUP(E1890,DICH!B:C,2,FALSE)</f>
        <v>Shaped steel</v>
      </c>
      <c r="G1890" s="362" t="s">
        <v>558</v>
      </c>
      <c r="H1890" s="847">
        <f>995*H1888</f>
        <v>228.85000000000002</v>
      </c>
      <c r="I1890" s="848">
        <f>VLOOKUP(E1890,'11.gia '!$B:$I,8,FALSE)</f>
        <v>16703.248369172808</v>
      </c>
      <c r="J1890" s="853">
        <f>I1890*H1890</f>
        <v>3822538.3892851975</v>
      </c>
      <c r="N1890" s="843" t="e">
        <f>SUMIF(#REF!,'8.Dgia'!A1890,#REF!)+SUMIF(#REF!,'8.Dgia'!A1890,#REF!)+SUMIF(#REF!,'8.Dgia'!A1890,#REF!)+SUMIF(#REF!,'8.Dgia'!A1890,#REF!)</f>
        <v>#REF!</v>
      </c>
      <c r="O1890" s="844"/>
      <c r="P1890" s="843" t="e">
        <f t="shared" si="89"/>
        <v>#REF!</v>
      </c>
    </row>
    <row r="1891" spans="1:18" ht="15" customHeight="1">
      <c r="A1891" s="657">
        <f>IF(B1891="",MAX($A$8:A1890)+0,MAX($A$8:A1890)+1)</f>
        <v>203</v>
      </c>
      <c r="B1891" s="835" t="str">
        <f>IF(C1891="","",COUNTA($C$10:C1892))</f>
        <v/>
      </c>
      <c r="C1891" s="362"/>
      <c r="D1891" s="913" t="s">
        <v>423</v>
      </c>
      <c r="E1891" s="852" t="s">
        <v>562</v>
      </c>
      <c r="F1891" s="848" t="str">
        <f>VLOOKUP(E1891,DICH!B:C,2,FALSE)</f>
        <v>Plate steel</v>
      </c>
      <c r="G1891" s="362" t="s">
        <v>558</v>
      </c>
      <c r="H1891" s="847">
        <f>30.73*H1888</f>
        <v>7.0679000000000007</v>
      </c>
      <c r="I1891" s="848">
        <f>VLOOKUP(E1891,'11.gia '!$B:$I,8,FALSE)</f>
        <v>12871.348287272725</v>
      </c>
      <c r="J1891" s="853">
        <f>I1891*H1891</f>
        <v>90973.4025596149</v>
      </c>
      <c r="N1891" s="843" t="e">
        <f>SUMIF(#REF!,'8.Dgia'!A1891,#REF!)+SUMIF(#REF!,'8.Dgia'!A1891,#REF!)+SUMIF(#REF!,'8.Dgia'!A1891,#REF!)+SUMIF(#REF!,'8.Dgia'!A1891,#REF!)</f>
        <v>#REF!</v>
      </c>
      <c r="O1891" s="844"/>
      <c r="P1891" s="843" t="e">
        <f t="shared" si="89"/>
        <v>#REF!</v>
      </c>
    </row>
    <row r="1892" spans="1:18" ht="15" customHeight="1">
      <c r="A1892" s="657">
        <f>IF(B1892="",MAX($A$8:A1891)+0,MAX($A$8:A1891)+1)</f>
        <v>203</v>
      </c>
      <c r="B1892" s="835" t="str">
        <f>IF(C1892="","",COUNTA($C$10:C1893))</f>
        <v/>
      </c>
      <c r="C1892" s="362"/>
      <c r="D1892" s="362"/>
      <c r="E1892" s="852" t="s">
        <v>564</v>
      </c>
      <c r="F1892" s="848" t="str">
        <f>VLOOKUP(E1892,DICH!B:C,2,FALSE)</f>
        <v>oxygen</v>
      </c>
      <c r="G1892" s="362" t="s">
        <v>4647</v>
      </c>
      <c r="H1892" s="847">
        <v>0.9</v>
      </c>
      <c r="I1892" s="848">
        <f>VLOOKUP(E1892,'11.gia '!$B:$I,8,FALSE)</f>
        <v>48000</v>
      </c>
      <c r="J1892" s="853">
        <f>I1892*H1892</f>
        <v>43200</v>
      </c>
      <c r="N1892" s="843" t="e">
        <f>SUMIF(#REF!,'8.Dgia'!A1892,#REF!)+SUMIF(#REF!,'8.Dgia'!A1892,#REF!)+SUMIF(#REF!,'8.Dgia'!A1892,#REF!)+SUMIF(#REF!,'8.Dgia'!A1892,#REF!)</f>
        <v>#REF!</v>
      </c>
      <c r="O1892" s="844"/>
      <c r="P1892" s="843" t="e">
        <f t="shared" si="89"/>
        <v>#REF!</v>
      </c>
    </row>
    <row r="1893" spans="1:18" ht="15" customHeight="1">
      <c r="A1893" s="657">
        <f>IF(B1893="",MAX($A$8:A1892)+0,MAX($A$8:A1892)+1)</f>
        <v>203</v>
      </c>
      <c r="B1893" s="835" t="str">
        <f>IF(C1893="","",COUNTA($C$10:C1894))</f>
        <v/>
      </c>
      <c r="C1893" s="362"/>
      <c r="D1893" s="362"/>
      <c r="E1893" s="852" t="s">
        <v>566</v>
      </c>
      <c r="F1893" s="848" t="str">
        <f>VLOOKUP(E1893,DICH!B:C,2,FALSE)</f>
        <v>Calcium carbide</v>
      </c>
      <c r="G1893" s="362" t="s">
        <v>558</v>
      </c>
      <c r="H1893" s="847">
        <v>5.4</v>
      </c>
      <c r="I1893" s="848">
        <f>VLOOKUP(E1893,'11.gia '!$B:$I,8,FALSE)</f>
        <v>14000</v>
      </c>
      <c r="J1893" s="853">
        <f>I1893*H1893</f>
        <v>75600</v>
      </c>
      <c r="N1893" s="843" t="e">
        <f>SUMIF(#REF!,'8.Dgia'!A1893,#REF!)+SUMIF(#REF!,'8.Dgia'!A1893,#REF!)+SUMIF(#REF!,'8.Dgia'!A1893,#REF!)+SUMIF(#REF!,'8.Dgia'!A1893,#REF!)</f>
        <v>#REF!</v>
      </c>
      <c r="O1893" s="844"/>
      <c r="P1893" s="843" t="e">
        <f t="shared" si="89"/>
        <v>#REF!</v>
      </c>
    </row>
    <row r="1894" spans="1:18" ht="15" customHeight="1">
      <c r="A1894" s="657">
        <f>IF(B1894="",MAX($A$8:A1893)+0,MAX($A$8:A1893)+1)</f>
        <v>203</v>
      </c>
      <c r="B1894" s="835" t="str">
        <f>IF(C1894="","",COUNTA($C$10:C1895))</f>
        <v/>
      </c>
      <c r="C1894" s="362"/>
      <c r="D1894" s="362"/>
      <c r="E1894" s="852" t="s">
        <v>559</v>
      </c>
      <c r="F1894" s="848" t="str">
        <f>VLOOKUP(E1894,DICH!B:C,2,FALSE)</f>
        <v>welding electrode</v>
      </c>
      <c r="G1894" s="362" t="s">
        <v>558</v>
      </c>
      <c r="H1894" s="847">
        <v>4.5</v>
      </c>
      <c r="I1894" s="848">
        <f>VLOOKUP(E1894,'11.gia '!$B:$I,8,FALSE)</f>
        <v>19090.909090909088</v>
      </c>
      <c r="J1894" s="853">
        <f>I1894*H1894</f>
        <v>85909.090909090897</v>
      </c>
      <c r="N1894" s="843" t="e">
        <f>SUMIF(#REF!,'8.Dgia'!A1894,#REF!)+SUMIF(#REF!,'8.Dgia'!A1894,#REF!)+SUMIF(#REF!,'8.Dgia'!A1894,#REF!)+SUMIF(#REF!,'8.Dgia'!A1894,#REF!)</f>
        <v>#REF!</v>
      </c>
      <c r="O1894" s="844"/>
      <c r="P1894" s="843" t="e">
        <f t="shared" si="89"/>
        <v>#REF!</v>
      </c>
    </row>
    <row r="1895" spans="1:18" ht="15" customHeight="1">
      <c r="A1895" s="657">
        <f>IF(B1895="",MAX($A$8:A1894)+0,MAX($A$8:A1894)+1)</f>
        <v>203</v>
      </c>
      <c r="B1895" s="835" t="str">
        <f>IF(C1895="","",COUNTA($C$10:C1896))</f>
        <v/>
      </c>
      <c r="C1895" s="362"/>
      <c r="D1895" s="362"/>
      <c r="E1895" s="852" t="s">
        <v>555</v>
      </c>
      <c r="F1895" s="848" t="str">
        <f>VLOOKUP(E1895,DICH!B:C,2,FALSE)</f>
        <v>Other material</v>
      </c>
      <c r="G1895" s="362" t="s">
        <v>554</v>
      </c>
      <c r="H1895" s="847">
        <v>5</v>
      </c>
      <c r="I1895" s="848">
        <f>SUM(J1890:J1894)</f>
        <v>4118220.882753903</v>
      </c>
      <c r="J1895" s="853">
        <f>I1895*H1895%</f>
        <v>205911.04413769516</v>
      </c>
      <c r="N1895" s="843" t="e">
        <f>SUMIF(#REF!,'8.Dgia'!A1895,#REF!)+SUMIF(#REF!,'8.Dgia'!A1895,#REF!)+SUMIF(#REF!,'8.Dgia'!A1895,#REF!)+SUMIF(#REF!,'8.Dgia'!A1895,#REF!)</f>
        <v>#REF!</v>
      </c>
      <c r="O1895" s="844"/>
      <c r="P1895" s="843" t="e">
        <f t="shared" si="89"/>
        <v>#REF!</v>
      </c>
    </row>
    <row r="1896" spans="1:18" ht="15" customHeight="1">
      <c r="A1896" s="657">
        <f>IF(B1896="",MAX($A$8:A1895)+0,MAX($A$8:A1895)+1)</f>
        <v>203</v>
      </c>
      <c r="B1896" s="835" t="str">
        <f>IF(C1896="","",COUNTA($C$10:C1897))</f>
        <v/>
      </c>
      <c r="C1896" s="362"/>
      <c r="D1896" s="362"/>
      <c r="E1896" s="852" t="s">
        <v>2037</v>
      </c>
      <c r="F1896" s="848" t="str">
        <f>VLOOKUP(E1896,DICH!B:C,2,FALSE)</f>
        <v xml:space="preserve">  B - Labour 3.5/7</v>
      </c>
      <c r="G1896" s="362" t="s">
        <v>4899</v>
      </c>
      <c r="H1896" s="847">
        <v>14.5</v>
      </c>
      <c r="I1896" s="848">
        <f>VLOOKUP(E1896,'16.NC'!$C$11:$F$22,4,FALSE)</f>
        <v>202862</v>
      </c>
      <c r="J1896" s="849">
        <f>I1896*H1896</f>
        <v>2941499</v>
      </c>
      <c r="N1896" s="843" t="e">
        <f>SUMIF(#REF!,'8.Dgia'!A1896,#REF!)+SUMIF(#REF!,'8.Dgia'!A1896,#REF!)+SUMIF(#REF!,'8.Dgia'!A1896,#REF!)+SUMIF(#REF!,'8.Dgia'!A1896,#REF!)</f>
        <v>#REF!</v>
      </c>
      <c r="O1896" s="844"/>
      <c r="P1896" s="843" t="e">
        <f t="shared" si="89"/>
        <v>#REF!</v>
      </c>
      <c r="R1896" s="658">
        <v>1</v>
      </c>
    </row>
    <row r="1897" spans="1:18" ht="15" customHeight="1">
      <c r="A1897" s="657">
        <f>IF(B1897="",MAX($A$8:A1896)+0,MAX($A$8:A1896)+1)</f>
        <v>203</v>
      </c>
      <c r="B1897" s="835" t="str">
        <f>IF(C1897="","",COUNTA($C$10:C1898))</f>
        <v/>
      </c>
      <c r="C1897" s="362"/>
      <c r="D1897" s="362"/>
      <c r="E1897" s="852" t="s">
        <v>2033</v>
      </c>
      <c r="F1897" s="848" t="str">
        <f>VLOOKUP(E1897,DICH!B:C,2,FALSE)</f>
        <v xml:space="preserve">  C - Machine</v>
      </c>
      <c r="G1897" s="362"/>
      <c r="H1897" s="847"/>
      <c r="I1897" s="848"/>
      <c r="J1897" s="849">
        <f>+J1898</f>
        <v>171649.155</v>
      </c>
      <c r="N1897" s="843" t="e">
        <f>SUMIF(#REF!,'8.Dgia'!A1897,#REF!)+SUMIF(#REF!,'8.Dgia'!A1897,#REF!)+SUMIF(#REF!,'8.Dgia'!A1897,#REF!)+SUMIF(#REF!,'8.Dgia'!A1897,#REF!)</f>
        <v>#REF!</v>
      </c>
      <c r="O1897" s="844"/>
      <c r="P1897" s="843" t="e">
        <f t="shared" si="89"/>
        <v>#REF!</v>
      </c>
    </row>
    <row r="1898" spans="1:18" ht="15" customHeight="1">
      <c r="A1898" s="657">
        <f>IF(B1898="",MAX($A$8:A1897)+0,MAX($A$8:A1897)+1)</f>
        <v>203</v>
      </c>
      <c r="B1898" s="835" t="str">
        <f>IF(C1898="","",COUNTA($C$10:C1899))</f>
        <v/>
      </c>
      <c r="C1898" s="362"/>
      <c r="D1898" s="362"/>
      <c r="E1898" s="852" t="s">
        <v>560</v>
      </c>
      <c r="F1898" s="848" t="str">
        <f>VLOOKUP(E1898,'9.may'!E:F,2,FALSE)</f>
        <v>welding machine 23kW</v>
      </c>
      <c r="G1898" s="362" t="s">
        <v>4902</v>
      </c>
      <c r="H1898" s="847">
        <v>1</v>
      </c>
      <c r="I1898" s="848">
        <f>VLOOKUP(E1898,'9.may'!E:W,12,FALSE)</f>
        <v>171649.155</v>
      </c>
      <c r="J1898" s="853">
        <f>I1898*H1898</f>
        <v>171649.155</v>
      </c>
      <c r="N1898" s="843" t="e">
        <f>SUMIF(#REF!,'8.Dgia'!A1898,#REF!)+SUMIF(#REF!,'8.Dgia'!A1898,#REF!)+SUMIF(#REF!,'8.Dgia'!A1898,#REF!)+SUMIF(#REF!,'8.Dgia'!A1898,#REF!)</f>
        <v>#REF!</v>
      </c>
      <c r="O1898" s="844"/>
      <c r="P1898" s="843" t="e">
        <f t="shared" si="89"/>
        <v>#REF!</v>
      </c>
    </row>
    <row r="1899" spans="1:18" ht="33" customHeight="1">
      <c r="A1899" s="657">
        <f>IF(B1899="",MAX($A$8:A1898)+0,MAX($A$8:A1898)+1)</f>
        <v>204</v>
      </c>
      <c r="B1899" s="835">
        <f>IF(C1899="","",COUNTA($C$10:C1900))</f>
        <v>204</v>
      </c>
      <c r="C1899" s="835">
        <f>IF(D1899="","",1776)</f>
        <v>1776</v>
      </c>
      <c r="D1899" s="851" t="s">
        <v>745</v>
      </c>
      <c r="E1899" s="855" t="s">
        <v>131</v>
      </c>
      <c r="F1899" s="1049" t="str">
        <f>VLOOKUP(E1899,DICH!B:C,2,FALSE)</f>
        <v>Install &amp; remove steel structure (co=1.6)</v>
      </c>
      <c r="G1899" s="856" t="s">
        <v>4644</v>
      </c>
      <c r="H1899" s="847"/>
      <c r="I1899" s="848"/>
      <c r="J1899" s="853"/>
      <c r="K1899" s="842">
        <f>+J1900</f>
        <v>855039.85252723563</v>
      </c>
      <c r="L1899" s="842">
        <f>+J1905</f>
        <v>484840.18000000005</v>
      </c>
      <c r="M1899" s="842">
        <f>+J1906</f>
        <v>1015633.6870690909</v>
      </c>
      <c r="N1899" s="843" t="e">
        <f>SUMIF(#REF!,'8.Dgia'!A1899,#REF!)+SUMIF(#REF!,'8.Dgia'!A1899,#REF!)+SUMIF(#REF!,'8.Dgia'!A1899,#REF!)+SUMIF(#REF!,'8.Dgia'!A1899,#REF!)</f>
        <v>#REF!</v>
      </c>
      <c r="O1899" s="844"/>
      <c r="P1899" s="843" t="e">
        <f t="shared" si="88"/>
        <v>#REF!</v>
      </c>
    </row>
    <row r="1900" spans="1:18" s="658" customFormat="1" ht="15" customHeight="1">
      <c r="A1900" s="657">
        <f>IF(B1900="",MAX($A$8:A1899)+0,MAX($A$8:A1899)+1)</f>
        <v>204</v>
      </c>
      <c r="B1900" s="835" t="str">
        <f>IF(C1900="","",COUNTA($C$10:C1901))</f>
        <v/>
      </c>
      <c r="C1900" s="362"/>
      <c r="D1900" s="845"/>
      <c r="E1900" s="852" t="s">
        <v>2032</v>
      </c>
      <c r="F1900" s="848" t="str">
        <f>VLOOKUP(E1900,DICH!B:C,2,FALSE)</f>
        <v xml:space="preserve">  A - Material</v>
      </c>
      <c r="G1900" s="362"/>
      <c r="H1900" s="847"/>
      <c r="I1900" s="848"/>
      <c r="J1900" s="849">
        <f>SUM(J1901:J1904)</f>
        <v>855039.85252723563</v>
      </c>
      <c r="K1900" s="850"/>
      <c r="L1900" s="850"/>
      <c r="M1900" s="850"/>
      <c r="N1900" s="843" t="e">
        <f>SUMIF(#REF!,'8.Dgia'!A1900,#REF!)+SUMIF(#REF!,'8.Dgia'!A1900,#REF!)+SUMIF(#REF!,'8.Dgia'!A1900,#REF!)+SUMIF(#REF!,'8.Dgia'!A1900,#REF!)</f>
        <v>#REF!</v>
      </c>
      <c r="O1900" s="844"/>
      <c r="P1900" s="843" t="e">
        <f t="shared" si="88"/>
        <v>#REF!</v>
      </c>
    </row>
    <row r="1901" spans="1:18" s="658" customFormat="1" ht="15" customHeight="1">
      <c r="A1901" s="657">
        <f>IF(B1901="",MAX($A$8:A1900)+0,MAX($A$8:A1900)+1)</f>
        <v>204</v>
      </c>
      <c r="B1901" s="835" t="str">
        <f>IF(C1901="","",COUNTA($C$10:C1902))</f>
        <v/>
      </c>
      <c r="C1901" s="362"/>
      <c r="D1901" s="845"/>
      <c r="E1901" s="852" t="s">
        <v>623</v>
      </c>
      <c r="F1901" s="848" t="str">
        <f>VLOOKUP(E1901,DICH!B:C,2,FALSE)</f>
        <v>Bbolt M20</v>
      </c>
      <c r="G1901" s="362" t="s">
        <v>4649</v>
      </c>
      <c r="H1901" s="847">
        <v>160</v>
      </c>
      <c r="I1901" s="848">
        <f>VLOOKUP(E1901,'11.gia '!$B:$I,8,FALSE)</f>
        <v>4000</v>
      </c>
      <c r="J1901" s="853">
        <f>I1901*H1901</f>
        <v>640000</v>
      </c>
      <c r="K1901" s="850"/>
      <c r="L1901" s="850"/>
      <c r="M1901" s="850"/>
      <c r="N1901" s="843" t="e">
        <f>SUMIF(#REF!,'8.Dgia'!A1901,#REF!)+SUMIF(#REF!,'8.Dgia'!A1901,#REF!)+SUMIF(#REF!,'8.Dgia'!A1901,#REF!)+SUMIF(#REF!,'8.Dgia'!A1901,#REF!)</f>
        <v>#REF!</v>
      </c>
      <c r="O1901" s="844"/>
      <c r="P1901" s="843" t="e">
        <f t="shared" si="88"/>
        <v>#REF!</v>
      </c>
    </row>
    <row r="1902" spans="1:18" ht="15" customHeight="1">
      <c r="A1902" s="657">
        <f>IF(B1902="",MAX($A$8:A1901)+0,MAX($A$8:A1901)+1)</f>
        <v>204</v>
      </c>
      <c r="B1902" s="835" t="str">
        <f>IF(C1902="","",COUNTA($C$10:C1903))</f>
        <v/>
      </c>
      <c r="C1902" s="362"/>
      <c r="D1902" s="851"/>
      <c r="E1902" s="852" t="s">
        <v>559</v>
      </c>
      <c r="F1902" s="848" t="str">
        <f>VLOOKUP(E1902,DICH!B:C,2,FALSE)</f>
        <v>welding electrode</v>
      </c>
      <c r="G1902" s="362" t="s">
        <v>558</v>
      </c>
      <c r="H1902" s="847">
        <v>9</v>
      </c>
      <c r="I1902" s="848">
        <f>VLOOKUP(E1902,'11.gia '!$B:$I,8,FALSE)</f>
        <v>19090.909090909088</v>
      </c>
      <c r="J1902" s="853">
        <f>I1902*H1902</f>
        <v>171818.18181818179</v>
      </c>
      <c r="N1902" s="843" t="e">
        <f>SUMIF(#REF!,'8.Dgia'!A1902,#REF!)+SUMIF(#REF!,'8.Dgia'!A1902,#REF!)+SUMIF(#REF!,'8.Dgia'!A1902,#REF!)+SUMIF(#REF!,'8.Dgia'!A1902,#REF!)</f>
        <v>#REF!</v>
      </c>
      <c r="O1902" s="844"/>
      <c r="P1902" s="843" t="e">
        <f t="shared" si="88"/>
        <v>#REF!</v>
      </c>
    </row>
    <row r="1903" spans="1:18" ht="15" customHeight="1">
      <c r="A1903" s="657">
        <f>IF(B1903="",MAX($A$8:A1902)+0,MAX($A$8:A1902)+1)</f>
        <v>204</v>
      </c>
      <c r="B1903" s="835" t="str">
        <f>IF(C1903="","",COUNTA($C$10:C1904))</f>
        <v/>
      </c>
      <c r="C1903" s="362"/>
      <c r="D1903" s="851"/>
      <c r="E1903" s="852" t="s">
        <v>563</v>
      </c>
      <c r="F1903" s="848" t="str">
        <f>VLOOKUP(E1903,DICH!B:C,2,FALSE)</f>
        <v>Shaped steel</v>
      </c>
      <c r="G1903" s="362" t="s">
        <v>558</v>
      </c>
      <c r="H1903" s="847">
        <v>0.15</v>
      </c>
      <c r="I1903" s="848">
        <f>VLOOKUP(E1903,'11.gia '!$B:$I,8,FALSE)</f>
        <v>16703.248369172808</v>
      </c>
      <c r="J1903" s="853">
        <f>I1903*H1903</f>
        <v>2505.487255375921</v>
      </c>
      <c r="N1903" s="843" t="e">
        <f>SUMIF(#REF!,'8.Dgia'!A1903,#REF!)+SUMIF(#REF!,'8.Dgia'!A1903,#REF!)+SUMIF(#REF!,'8.Dgia'!A1903,#REF!)+SUMIF(#REF!,'8.Dgia'!A1903,#REF!)</f>
        <v>#REF!</v>
      </c>
      <c r="O1903" s="844"/>
      <c r="P1903" s="843" t="e">
        <f t="shared" si="88"/>
        <v>#REF!</v>
      </c>
    </row>
    <row r="1904" spans="1:18" ht="15" customHeight="1">
      <c r="A1904" s="657">
        <f>IF(B1904="",MAX($A$8:A1903)+0,MAX($A$8:A1903)+1)</f>
        <v>204</v>
      </c>
      <c r="B1904" s="835" t="str">
        <f>IF(C1904="","",COUNTA($C$10:C1905))</f>
        <v/>
      </c>
      <c r="C1904" s="362"/>
      <c r="D1904" s="851"/>
      <c r="E1904" s="852" t="s">
        <v>555</v>
      </c>
      <c r="F1904" s="848" t="str">
        <f>VLOOKUP(E1904,DICH!B:C,2,FALSE)</f>
        <v>Other material</v>
      </c>
      <c r="G1904" s="362" t="s">
        <v>554</v>
      </c>
      <c r="H1904" s="847">
        <v>5</v>
      </c>
      <c r="I1904" s="848">
        <f>SUM(J1901:J1903)</f>
        <v>814323.66907355771</v>
      </c>
      <c r="J1904" s="853">
        <f>I1904*H1904%</f>
        <v>40716.183453677892</v>
      </c>
      <c r="N1904" s="843" t="e">
        <f>SUMIF(#REF!,'8.Dgia'!A1904,#REF!)+SUMIF(#REF!,'8.Dgia'!A1904,#REF!)+SUMIF(#REF!,'8.Dgia'!A1904,#REF!)+SUMIF(#REF!,'8.Dgia'!A1904,#REF!)</f>
        <v>#REF!</v>
      </c>
      <c r="O1904" s="844"/>
      <c r="P1904" s="843" t="e">
        <f t="shared" si="88"/>
        <v>#REF!</v>
      </c>
    </row>
    <row r="1905" spans="1:18" s="658" customFormat="1" ht="15" customHeight="1">
      <c r="A1905" s="657">
        <f>IF(B1905="",MAX($A$8:A1904)+0,MAX($A$8:A1904)+1)</f>
        <v>204</v>
      </c>
      <c r="B1905" s="835" t="str">
        <f>IF(C1905="","",COUNTA($C$10:C1906))</f>
        <v/>
      </c>
      <c r="C1905" s="362"/>
      <c r="D1905" s="845"/>
      <c r="E1905" s="852" t="s">
        <v>2037</v>
      </c>
      <c r="F1905" s="848" t="str">
        <f>VLOOKUP(E1905,DICH!B:C,2,FALSE)</f>
        <v xml:space="preserve">  B - Labour 3.5/7</v>
      </c>
      <c r="G1905" s="362" t="s">
        <v>4899</v>
      </c>
      <c r="H1905" s="847">
        <v>2.39</v>
      </c>
      <c r="I1905" s="848">
        <f>VLOOKUP(E1905,'16.NC'!$C$11:$F$22,4,FALSE)</f>
        <v>202862</v>
      </c>
      <c r="J1905" s="849">
        <f>I1905*H1905</f>
        <v>484840.18000000005</v>
      </c>
      <c r="K1905" s="850"/>
      <c r="L1905" s="850"/>
      <c r="M1905" s="850"/>
      <c r="N1905" s="843" t="e">
        <f>SUMIF(#REF!,'8.Dgia'!A1905,#REF!)+SUMIF(#REF!,'8.Dgia'!A1905,#REF!)+SUMIF(#REF!,'8.Dgia'!A1905,#REF!)+SUMIF(#REF!,'8.Dgia'!A1905,#REF!)</f>
        <v>#REF!</v>
      </c>
      <c r="O1905" s="844"/>
      <c r="P1905" s="843" t="e">
        <f t="shared" si="88"/>
        <v>#REF!</v>
      </c>
      <c r="R1905" s="658">
        <v>1</v>
      </c>
    </row>
    <row r="1906" spans="1:18" s="658" customFormat="1" ht="15" customHeight="1">
      <c r="A1906" s="657">
        <f>IF(B1906="",MAX($A$8:A1905)+0,MAX($A$8:A1905)+1)</f>
        <v>204</v>
      </c>
      <c r="B1906" s="835" t="str">
        <f>IF(C1906="","",COUNTA($C$10:C1907))</f>
        <v/>
      </c>
      <c r="C1906" s="362"/>
      <c r="D1906" s="845"/>
      <c r="E1906" s="852" t="s">
        <v>2033</v>
      </c>
      <c r="F1906" s="848" t="str">
        <f>VLOOKUP(E1906,DICH!B:C,2,FALSE)</f>
        <v xml:space="preserve">  C - Machine</v>
      </c>
      <c r="G1906" s="846"/>
      <c r="H1906" s="847"/>
      <c r="I1906" s="848"/>
      <c r="J1906" s="849">
        <f>SUM(J1907:J1908)</f>
        <v>1015633.6870690909</v>
      </c>
      <c r="K1906" s="850"/>
      <c r="L1906" s="850"/>
      <c r="M1906" s="850"/>
      <c r="N1906" s="843" t="e">
        <f>SUMIF(#REF!,'8.Dgia'!A1906,#REF!)+SUMIF(#REF!,'8.Dgia'!A1906,#REF!)+SUMIF(#REF!,'8.Dgia'!A1906,#REF!)+SUMIF(#REF!,'8.Dgia'!A1906,#REF!)</f>
        <v>#REF!</v>
      </c>
      <c r="O1906" s="844"/>
      <c r="P1906" s="843" t="e">
        <f t="shared" si="88"/>
        <v>#REF!</v>
      </c>
    </row>
    <row r="1907" spans="1:18" ht="15" customHeight="1">
      <c r="A1907" s="657">
        <f>IF(B1907="",MAX($A$8:A1906)+0,MAX($A$8:A1906)+1)</f>
        <v>204</v>
      </c>
      <c r="B1907" s="835" t="str">
        <f>IF(C1907="","",COUNTA($C$10:C1908))</f>
        <v/>
      </c>
      <c r="C1907" s="362"/>
      <c r="D1907" s="851"/>
      <c r="E1907" s="852" t="s">
        <v>1038</v>
      </c>
      <c r="F1907" s="848" t="str">
        <f>VLOOKUP(E1907,'9.may'!E:F,2,FALSE)</f>
        <v>caterpillar crane 10T/ crawler crane 10T</v>
      </c>
      <c r="G1907" s="362" t="s">
        <v>4902</v>
      </c>
      <c r="H1907" s="847">
        <v>0.33800000000000002</v>
      </c>
      <c r="I1907" s="848">
        <f>VLOOKUP(E1907,'9.may'!E:W,12,FALSE)</f>
        <v>1481320.1836363636</v>
      </c>
      <c r="J1907" s="853">
        <f>I1907*H1907</f>
        <v>500686.22206909093</v>
      </c>
      <c r="N1907" s="843" t="e">
        <f>SUMIF(#REF!,'8.Dgia'!A1907,#REF!)+SUMIF(#REF!,'8.Dgia'!A1907,#REF!)+SUMIF(#REF!,'8.Dgia'!A1907,#REF!)+SUMIF(#REF!,'8.Dgia'!A1907,#REF!)</f>
        <v>#REF!</v>
      </c>
      <c r="O1907" s="844"/>
      <c r="P1907" s="843" t="e">
        <f t="shared" si="88"/>
        <v>#REF!</v>
      </c>
    </row>
    <row r="1908" spans="1:18" ht="15" customHeight="1">
      <c r="A1908" s="657">
        <f>IF(B1908="",MAX($A$8:A1907)+0,MAX($A$8:A1907)+1)</f>
        <v>204</v>
      </c>
      <c r="B1908" s="835" t="str">
        <f>IF(C1908="","",COUNTA($C$10:C1909))</f>
        <v/>
      </c>
      <c r="C1908" s="362"/>
      <c r="D1908" s="851"/>
      <c r="E1908" s="852" t="s">
        <v>560</v>
      </c>
      <c r="F1908" s="848" t="str">
        <f>VLOOKUP(E1908,'9.may'!E:F,2,FALSE)</f>
        <v>welding machine 23kW</v>
      </c>
      <c r="G1908" s="362" t="s">
        <v>4902</v>
      </c>
      <c r="H1908" s="847">
        <v>3</v>
      </c>
      <c r="I1908" s="848">
        <f>VLOOKUP(E1908,'9.may'!E:W,12,FALSE)</f>
        <v>171649.155</v>
      </c>
      <c r="J1908" s="853">
        <f>I1908*H1908</f>
        <v>514947.46499999997</v>
      </c>
      <c r="N1908" s="843" t="e">
        <f>SUMIF(#REF!,'8.Dgia'!A1908,#REF!)+SUMIF(#REF!,'8.Dgia'!A1908,#REF!)+SUMIF(#REF!,'8.Dgia'!A1908,#REF!)+SUMIF(#REF!,'8.Dgia'!A1908,#REF!)</f>
        <v>#REF!</v>
      </c>
      <c r="O1908" s="844"/>
      <c r="P1908" s="843" t="e">
        <f t="shared" si="88"/>
        <v>#REF!</v>
      </c>
    </row>
    <row r="1909" spans="1:18" ht="15" customHeight="1">
      <c r="A1909" s="657">
        <f>IF(B1909="",MAX($A$8:A1908)+0,MAX($A$8:A1908)+1)</f>
        <v>205</v>
      </c>
      <c r="B1909" s="835">
        <f>IF(C1909="","",COUNTA($C$10:C1910))</f>
        <v>205</v>
      </c>
      <c r="C1909" s="835">
        <f>IF(D1909="","",1776)</f>
        <v>1776</v>
      </c>
      <c r="D1909" s="362" t="s">
        <v>30</v>
      </c>
      <c r="E1909" s="855" t="s">
        <v>4041</v>
      </c>
      <c r="F1909" s="1049" t="str">
        <f>VLOOKUP(E1909,DICH!B:C,2,FALSE)</f>
        <v>Concrete C30 of R.C driven pile (stone 1x2)</v>
      </c>
      <c r="G1909" s="884" t="s">
        <v>545</v>
      </c>
      <c r="H1909" s="847"/>
      <c r="I1909" s="848"/>
      <c r="J1909" s="889"/>
      <c r="K1909" s="842">
        <f>+J1910</f>
        <v>1042170.1027936651</v>
      </c>
      <c r="L1909" s="842">
        <f>+J1913</f>
        <v>700488.75</v>
      </c>
      <c r="M1909" s="842">
        <f>+J1914</f>
        <v>28726.286820000001</v>
      </c>
      <c r="N1909" s="843" t="e">
        <f>SUMIF(#REF!,'8.Dgia'!A1909,#REF!)+SUMIF(#REF!,'8.Dgia'!A1909,#REF!)+SUMIF(#REF!,'8.Dgia'!A1909,#REF!)+SUMIF(#REF!,'8.Dgia'!A1909,#REF!)</f>
        <v>#REF!</v>
      </c>
      <c r="O1909" s="844"/>
      <c r="P1909" s="843" t="e">
        <f t="shared" si="88"/>
        <v>#REF!</v>
      </c>
    </row>
    <row r="1910" spans="1:18" ht="15" customHeight="1">
      <c r="A1910" s="657">
        <f>IF(B1910="",MAX($A$8:A1909)+0,MAX($A$8:A1909)+1)</f>
        <v>205</v>
      </c>
      <c r="B1910" s="835" t="str">
        <f>IF(C1910="","",COUNTA($C$10:C1911))</f>
        <v/>
      </c>
      <c r="C1910" s="362"/>
      <c r="D1910" s="362"/>
      <c r="E1910" s="852" t="s">
        <v>2032</v>
      </c>
      <c r="F1910" s="848" t="str">
        <f>VLOOKUP(E1910,DICH!B:C,2,FALSE)</f>
        <v xml:space="preserve">  A - Material</v>
      </c>
      <c r="G1910" s="362"/>
      <c r="H1910" s="847"/>
      <c r="I1910" s="848"/>
      <c r="J1910" s="849">
        <f>SUM(J1911:J1912)</f>
        <v>1042170.1027936651</v>
      </c>
      <c r="N1910" s="843" t="e">
        <f>SUMIF(#REF!,'8.Dgia'!A1910,#REF!)+SUMIF(#REF!,'8.Dgia'!A1910,#REF!)+SUMIF(#REF!,'8.Dgia'!A1910,#REF!)+SUMIF(#REF!,'8.Dgia'!A1910,#REF!)</f>
        <v>#REF!</v>
      </c>
      <c r="O1910" s="844"/>
      <c r="P1910" s="843" t="e">
        <f t="shared" si="88"/>
        <v>#REF!</v>
      </c>
    </row>
    <row r="1911" spans="1:18" ht="15" customHeight="1">
      <c r="A1911" s="657">
        <f>IF(B1911="",MAX($A$8:A1910)+0,MAX($A$8:A1910)+1)</f>
        <v>205</v>
      </c>
      <c r="B1911" s="835" t="str">
        <f>IF(C1911="","",COUNTA($C$10:C1912))</f>
        <v/>
      </c>
      <c r="C1911" s="851"/>
      <c r="D1911" s="851" t="str">
        <f>+'10.PLV'!$C$27</f>
        <v>C3126</v>
      </c>
      <c r="E1911" s="852" t="str">
        <f>+'10.PLV'!$D$27</f>
        <v>Vữa bê tông đá 1x2 C30 SN 2-4</v>
      </c>
      <c r="F1911" s="848" t="str">
        <f>VLOOKUP(E1911,DICH!B:C,2,FALSE)</f>
        <v>Concrete motar C30 stone 1x2 slump 2-4</v>
      </c>
      <c r="G1911" s="847" t="s">
        <v>545</v>
      </c>
      <c r="H1911" s="847">
        <v>1.0149999999999999</v>
      </c>
      <c r="I1911" s="848">
        <f>VLOOKUP(E1911,'11.gia '!B:I,8,FALSE)</f>
        <v>1021660.2728168666</v>
      </c>
      <c r="J1911" s="853">
        <f>I1911*H1911</f>
        <v>1036985.1769091196</v>
      </c>
      <c r="N1911" s="843" t="e">
        <f>SUMIF(#REF!,'8.Dgia'!A1911,#REF!)+SUMIF(#REF!,'8.Dgia'!A1911,#REF!)+SUMIF(#REF!,'8.Dgia'!A1911,#REF!)+SUMIF(#REF!,'8.Dgia'!A1911,#REF!)</f>
        <v>#REF!</v>
      </c>
      <c r="O1911" s="844"/>
      <c r="P1911" s="843" t="e">
        <f t="shared" si="88"/>
        <v>#REF!</v>
      </c>
    </row>
    <row r="1912" spans="1:18" ht="15" customHeight="1">
      <c r="A1912" s="657">
        <f>IF(B1912="",MAX($A$8:A1911)+0,MAX($A$8:A1911)+1)</f>
        <v>205</v>
      </c>
      <c r="B1912" s="835" t="str">
        <f>IF(C1912="","",COUNTA($C$10:C1913))</f>
        <v/>
      </c>
      <c r="C1912" s="362"/>
      <c r="D1912" s="362"/>
      <c r="E1912" s="852" t="s">
        <v>555</v>
      </c>
      <c r="F1912" s="848" t="str">
        <f>VLOOKUP(E1912,DICH!B:C,2,FALSE)</f>
        <v>Other material</v>
      </c>
      <c r="G1912" s="362" t="s">
        <v>554</v>
      </c>
      <c r="H1912" s="847">
        <v>0.5</v>
      </c>
      <c r="I1912" s="848">
        <f>+J1911</f>
        <v>1036985.1769091196</v>
      </c>
      <c r="J1912" s="853">
        <f>I1912*H1912%</f>
        <v>5184.9258845455979</v>
      </c>
      <c r="N1912" s="843" t="e">
        <f>SUMIF(#REF!,'8.Dgia'!A1912,#REF!)+SUMIF(#REF!,'8.Dgia'!A1912,#REF!)+SUMIF(#REF!,'8.Dgia'!A1912,#REF!)+SUMIF(#REF!,'8.Dgia'!A1912,#REF!)</f>
        <v>#REF!</v>
      </c>
      <c r="O1912" s="844"/>
      <c r="P1912" s="843" t="e">
        <f t="shared" si="88"/>
        <v>#REF!</v>
      </c>
    </row>
    <row r="1913" spans="1:18" ht="15" customHeight="1">
      <c r="A1913" s="657">
        <f>IF(B1913="",MAX($A$8:A1912)+0,MAX($A$8:A1912)+1)</f>
        <v>205</v>
      </c>
      <c r="B1913" s="835" t="str">
        <f>IF(C1913="","",COUNTA($C$10:C1914))</f>
        <v/>
      </c>
      <c r="C1913" s="362"/>
      <c r="D1913" s="362"/>
      <c r="E1913" s="852" t="s">
        <v>2038</v>
      </c>
      <c r="F1913" s="848" t="str">
        <f>VLOOKUP(E1913,DICH!B:C,2,FALSE)</f>
        <v xml:space="preserve">  B - Labour 3.0/7</v>
      </c>
      <c r="G1913" s="883" t="s">
        <v>4899</v>
      </c>
      <c r="H1913" s="847">
        <v>3.75</v>
      </c>
      <c r="I1913" s="848">
        <f>VLOOKUP(E1913,'16.NC'!$C$11:$F$22,4,FALSE)</f>
        <v>186797</v>
      </c>
      <c r="J1913" s="849">
        <f>I1913*H1913</f>
        <v>700488.75</v>
      </c>
      <c r="N1913" s="843" t="e">
        <f>SUMIF(#REF!,'8.Dgia'!A1913,#REF!)+SUMIF(#REF!,'8.Dgia'!A1913,#REF!)+SUMIF(#REF!,'8.Dgia'!A1913,#REF!)+SUMIF(#REF!,'8.Dgia'!A1913,#REF!)</f>
        <v>#REF!</v>
      </c>
      <c r="O1913" s="844"/>
      <c r="P1913" s="843" t="e">
        <f t="shared" si="88"/>
        <v>#REF!</v>
      </c>
      <c r="R1913" s="658">
        <v>1</v>
      </c>
    </row>
    <row r="1914" spans="1:18" ht="15" customHeight="1">
      <c r="A1914" s="657">
        <f>IF(B1914="",MAX($A$8:A1913)+0,MAX($A$8:A1913)+1)</f>
        <v>205</v>
      </c>
      <c r="B1914" s="835" t="str">
        <f>IF(C1914="","",COUNTA($C$10:C1915))</f>
        <v/>
      </c>
      <c r="C1914" s="362"/>
      <c r="D1914" s="362"/>
      <c r="E1914" s="852" t="s">
        <v>2033</v>
      </c>
      <c r="F1914" s="848" t="str">
        <f>VLOOKUP(E1914,DICH!B:C,2,FALSE)</f>
        <v xml:space="preserve">  C - Machine</v>
      </c>
      <c r="G1914" s="883"/>
      <c r="H1914" s="847"/>
      <c r="I1914" s="848"/>
      <c r="J1914" s="849">
        <f>SUM(J1915:J1917)</f>
        <v>28726.286820000001</v>
      </c>
      <c r="N1914" s="843" t="e">
        <f>SUMIF(#REF!,'8.Dgia'!A1914,#REF!)+SUMIF(#REF!,'8.Dgia'!A1914,#REF!)+SUMIF(#REF!,'8.Dgia'!A1914,#REF!)+SUMIF(#REF!,'8.Dgia'!A1914,#REF!)</f>
        <v>#REF!</v>
      </c>
      <c r="O1914" s="844"/>
      <c r="P1914" s="843" t="e">
        <f t="shared" si="88"/>
        <v>#REF!</v>
      </c>
    </row>
    <row r="1915" spans="1:18" ht="15" customHeight="1">
      <c r="A1915" s="657">
        <f>IF(B1915="",MAX($A$8:A1914)+0,MAX($A$8:A1914)+1)</f>
        <v>205</v>
      </c>
      <c r="B1915" s="835" t="str">
        <f>IF(C1915="","",COUNTA($C$10:C1916))</f>
        <v/>
      </c>
      <c r="C1915" s="362"/>
      <c r="D1915" s="362"/>
      <c r="E1915" s="852" t="s">
        <v>582</v>
      </c>
      <c r="F1915" s="848" t="str">
        <f>VLOOKUP(E1915,'9.may'!E:F,2,FALSE)</f>
        <v>concrete mixer 250L</v>
      </c>
      <c r="G1915" s="883" t="s">
        <v>4902</v>
      </c>
      <c r="H1915" s="847">
        <v>9.5000000000000001E-2</v>
      </c>
      <c r="I1915" s="848">
        <f>VLOOKUP(E1915,'9.may'!E:W,12,FALSE)</f>
        <v>180447.90000000002</v>
      </c>
      <c r="J1915" s="853">
        <f>I1915*H1915</f>
        <v>17142.550500000001</v>
      </c>
      <c r="N1915" s="843" t="e">
        <f>SUMIF(#REF!,'8.Dgia'!A1915,#REF!)+SUMIF(#REF!,'8.Dgia'!A1915,#REF!)+SUMIF(#REF!,'8.Dgia'!A1915,#REF!)+SUMIF(#REF!,'8.Dgia'!A1915,#REF!)</f>
        <v>#REF!</v>
      </c>
      <c r="O1915" s="844"/>
      <c r="P1915" s="843" t="e">
        <f t="shared" si="88"/>
        <v>#REF!</v>
      </c>
    </row>
    <row r="1916" spans="1:18" ht="15" customHeight="1">
      <c r="A1916" s="657">
        <f>IF(B1916="",MAX($A$8:A1915)+0,MAX($A$8:A1915)+1)</f>
        <v>205</v>
      </c>
      <c r="B1916" s="835" t="str">
        <f>IF(C1916="","",COUNTA($C$10:C1917))</f>
        <v/>
      </c>
      <c r="C1916" s="362"/>
      <c r="D1916" s="362"/>
      <c r="E1916" s="852" t="s">
        <v>620</v>
      </c>
      <c r="F1916" s="848" t="str">
        <f>VLOOKUP(E1916,'9.may'!E:F,2,FALSE)</f>
        <v>concrete vibrating compactor 1.5Kw</v>
      </c>
      <c r="G1916" s="883" t="s">
        <v>4902</v>
      </c>
      <c r="H1916" s="847">
        <v>0.12</v>
      </c>
      <c r="I1916" s="848">
        <f>VLOOKUP(E1916,'9.may'!E:W,12,FALSE)</f>
        <v>74768.797500000001</v>
      </c>
      <c r="J1916" s="853">
        <f>I1916*H1916</f>
        <v>8972.2556999999997</v>
      </c>
      <c r="N1916" s="843" t="e">
        <f>SUMIF(#REF!,'8.Dgia'!A1916,#REF!)+SUMIF(#REF!,'8.Dgia'!A1916,#REF!)+SUMIF(#REF!,'8.Dgia'!A1916,#REF!)+SUMIF(#REF!,'8.Dgia'!A1916,#REF!)</f>
        <v>#REF!</v>
      </c>
      <c r="O1916" s="844"/>
      <c r="P1916" s="843" t="e">
        <f t="shared" si="88"/>
        <v>#REF!</v>
      </c>
    </row>
    <row r="1917" spans="1:18" ht="15" customHeight="1">
      <c r="A1917" s="657">
        <f>IF(B1917="",MAX($A$8:A1916)+0,MAX($A$8:A1916)+1)</f>
        <v>205</v>
      </c>
      <c r="B1917" s="835" t="str">
        <f>IF(C1917="","",COUNTA($C$10:C1918))</f>
        <v/>
      </c>
      <c r="C1917" s="362"/>
      <c r="D1917" s="362"/>
      <c r="E1917" s="852" t="s">
        <v>553</v>
      </c>
      <c r="F1917" s="848" t="str">
        <f>VLOOKUP(E1917,DICH!B:C,2,FALSE)</f>
        <v>Other machine</v>
      </c>
      <c r="G1917" s="362" t="s">
        <v>554</v>
      </c>
      <c r="H1917" s="847">
        <v>10</v>
      </c>
      <c r="I1917" s="848">
        <f>SUM(J1915:J1916)</f>
        <v>26114.806199999999</v>
      </c>
      <c r="J1917" s="853">
        <f>I1917*H1917%</f>
        <v>2611.4806200000003</v>
      </c>
      <c r="N1917" s="843" t="e">
        <f>SUMIF(#REF!,'8.Dgia'!A1917,#REF!)+SUMIF(#REF!,'8.Dgia'!A1917,#REF!)+SUMIF(#REF!,'8.Dgia'!A1917,#REF!)+SUMIF(#REF!,'8.Dgia'!A1917,#REF!)</f>
        <v>#REF!</v>
      </c>
      <c r="O1917" s="844"/>
      <c r="P1917" s="843" t="e">
        <f t="shared" si="88"/>
        <v>#REF!</v>
      </c>
    </row>
    <row r="1918" spans="1:18" ht="15" customHeight="1">
      <c r="A1918" s="657">
        <f>IF(B1918="",MAX($A$8:A1917)+0,MAX($A$8:A1917)+1)</f>
        <v>206</v>
      </c>
      <c r="B1918" s="835">
        <f>IF(C1918="","",COUNTA($C$10:C1919))</f>
        <v>206</v>
      </c>
      <c r="C1918" s="835">
        <f>IF(D1918="","",1776)</f>
        <v>1776</v>
      </c>
      <c r="D1918" s="362" t="s">
        <v>30</v>
      </c>
      <c r="E1918" s="855" t="s">
        <v>4042</v>
      </c>
      <c r="F1918" s="1049" t="str">
        <f>VLOOKUP(E1918,DICH!B:C,2,FALSE)</f>
        <v>Concrete C30 of R.C driven pile (stone 1x2)</v>
      </c>
      <c r="G1918" s="884" t="s">
        <v>545</v>
      </c>
      <c r="H1918" s="847"/>
      <c r="I1918" s="848"/>
      <c r="J1918" s="889"/>
      <c r="K1918" s="842">
        <f>+J1919</f>
        <v>1042170.1027936651</v>
      </c>
      <c r="L1918" s="842">
        <f>+J1922</f>
        <v>700488.75</v>
      </c>
      <c r="M1918" s="842">
        <f>+J1923</f>
        <v>28726.286820000001</v>
      </c>
      <c r="N1918" s="843" t="e">
        <f>SUMIF(#REF!,'8.Dgia'!A1918,#REF!)+SUMIF(#REF!,'8.Dgia'!A1918,#REF!)+SUMIF(#REF!,'8.Dgia'!A1918,#REF!)+SUMIF(#REF!,'8.Dgia'!A1918,#REF!)</f>
        <v>#REF!</v>
      </c>
      <c r="O1918" s="844"/>
      <c r="P1918" s="843" t="e">
        <f t="shared" si="88"/>
        <v>#REF!</v>
      </c>
    </row>
    <row r="1919" spans="1:18" ht="15" customHeight="1">
      <c r="A1919" s="657">
        <f>IF(B1919="",MAX($A$8:A1918)+0,MAX($A$8:A1918)+1)</f>
        <v>206</v>
      </c>
      <c r="B1919" s="835" t="str">
        <f>IF(C1919="","",COUNTA($C$10:C1920))</f>
        <v/>
      </c>
      <c r="C1919" s="362"/>
      <c r="D1919" s="362"/>
      <c r="E1919" s="852" t="s">
        <v>2032</v>
      </c>
      <c r="F1919" s="848" t="str">
        <f>VLOOKUP(E1919,DICH!B:C,2,FALSE)</f>
        <v xml:space="preserve">  A - Material</v>
      </c>
      <c r="G1919" s="362"/>
      <c r="H1919" s="847"/>
      <c r="I1919" s="848"/>
      <c r="J1919" s="849">
        <f>SUM(J1920:J1921)</f>
        <v>1042170.1027936651</v>
      </c>
      <c r="N1919" s="843" t="e">
        <f>SUMIF(#REF!,'8.Dgia'!A1919,#REF!)+SUMIF(#REF!,'8.Dgia'!A1919,#REF!)+SUMIF(#REF!,'8.Dgia'!A1919,#REF!)+SUMIF(#REF!,'8.Dgia'!A1919,#REF!)</f>
        <v>#REF!</v>
      </c>
      <c r="O1919" s="844"/>
      <c r="P1919" s="843" t="e">
        <f t="shared" si="88"/>
        <v>#REF!</v>
      </c>
    </row>
    <row r="1920" spans="1:18" ht="15" customHeight="1">
      <c r="A1920" s="657">
        <f>IF(B1920="",MAX($A$8:A1919)+0,MAX($A$8:A1919)+1)</f>
        <v>206</v>
      </c>
      <c r="B1920" s="835" t="str">
        <f>IF(C1920="","",COUNTA($C$10:C1921))</f>
        <v/>
      </c>
      <c r="C1920" s="851"/>
      <c r="D1920" s="851" t="str">
        <f>+'10.PLV'!$C$27</f>
        <v>C3126</v>
      </c>
      <c r="E1920" s="852" t="str">
        <f>+'10.PLV'!$D$27</f>
        <v>Vữa bê tông đá 1x2 C30 SN 2-4</v>
      </c>
      <c r="F1920" s="848" t="str">
        <f>VLOOKUP(E1920,DICH!B:C,2,FALSE)</f>
        <v>Concrete motar C30 stone 1x2 slump 2-4</v>
      </c>
      <c r="G1920" s="847" t="s">
        <v>545</v>
      </c>
      <c r="H1920" s="847">
        <v>1.0149999999999999</v>
      </c>
      <c r="I1920" s="848">
        <f>VLOOKUP(E1920,'11.gia '!B:I,8,FALSE)</f>
        <v>1021660.2728168666</v>
      </c>
      <c r="J1920" s="853">
        <f>I1920*H1920</f>
        <v>1036985.1769091196</v>
      </c>
      <c r="N1920" s="843" t="e">
        <f>SUMIF(#REF!,'8.Dgia'!A1920,#REF!)+SUMIF(#REF!,'8.Dgia'!A1920,#REF!)+SUMIF(#REF!,'8.Dgia'!A1920,#REF!)+SUMIF(#REF!,'8.Dgia'!A1920,#REF!)</f>
        <v>#REF!</v>
      </c>
      <c r="O1920" s="844"/>
      <c r="P1920" s="843" t="e">
        <f t="shared" si="88"/>
        <v>#REF!</v>
      </c>
    </row>
    <row r="1921" spans="1:18" ht="15" customHeight="1">
      <c r="A1921" s="657">
        <f>IF(B1921="",MAX($A$8:A1920)+0,MAX($A$8:A1920)+1)</f>
        <v>206</v>
      </c>
      <c r="B1921" s="835" t="str">
        <f>IF(C1921="","",COUNTA($C$10:C1922))</f>
        <v/>
      </c>
      <c r="C1921" s="362"/>
      <c r="D1921" s="362"/>
      <c r="E1921" s="852" t="s">
        <v>555</v>
      </c>
      <c r="F1921" s="848" t="str">
        <f>VLOOKUP(E1921,DICH!B:C,2,FALSE)</f>
        <v>Other material</v>
      </c>
      <c r="G1921" s="362" t="s">
        <v>554</v>
      </c>
      <c r="H1921" s="847">
        <v>0.5</v>
      </c>
      <c r="I1921" s="848">
        <f>+J1920</f>
        <v>1036985.1769091196</v>
      </c>
      <c r="J1921" s="853">
        <f>I1921*H1921%</f>
        <v>5184.9258845455979</v>
      </c>
      <c r="N1921" s="843" t="e">
        <f>SUMIF(#REF!,'8.Dgia'!A1921,#REF!)+SUMIF(#REF!,'8.Dgia'!A1921,#REF!)+SUMIF(#REF!,'8.Dgia'!A1921,#REF!)+SUMIF(#REF!,'8.Dgia'!A1921,#REF!)</f>
        <v>#REF!</v>
      </c>
      <c r="O1921" s="844"/>
      <c r="P1921" s="843" t="e">
        <f t="shared" si="88"/>
        <v>#REF!</v>
      </c>
    </row>
    <row r="1922" spans="1:18" ht="15" customHeight="1">
      <c r="A1922" s="657">
        <f>IF(B1922="",MAX($A$8:A1921)+0,MAX($A$8:A1921)+1)</f>
        <v>206</v>
      </c>
      <c r="B1922" s="835" t="str">
        <f>IF(C1922="","",COUNTA($C$10:C1923))</f>
        <v/>
      </c>
      <c r="C1922" s="362"/>
      <c r="D1922" s="362"/>
      <c r="E1922" s="852" t="s">
        <v>2038</v>
      </c>
      <c r="F1922" s="848" t="str">
        <f>VLOOKUP(E1922,DICH!B:C,2,FALSE)</f>
        <v xml:space="preserve">  B - Labour 3.0/7</v>
      </c>
      <c r="G1922" s="883" t="s">
        <v>4899</v>
      </c>
      <c r="H1922" s="847">
        <v>3.75</v>
      </c>
      <c r="I1922" s="848">
        <f>VLOOKUP(E1922,'16.NC'!$C$11:$F$22,4,FALSE)</f>
        <v>186797</v>
      </c>
      <c r="J1922" s="849">
        <f>I1922*H1922</f>
        <v>700488.75</v>
      </c>
      <c r="N1922" s="843" t="e">
        <f>SUMIF(#REF!,'8.Dgia'!A1922,#REF!)+SUMIF(#REF!,'8.Dgia'!A1922,#REF!)+SUMIF(#REF!,'8.Dgia'!A1922,#REF!)+SUMIF(#REF!,'8.Dgia'!A1922,#REF!)</f>
        <v>#REF!</v>
      </c>
      <c r="O1922" s="844"/>
      <c r="P1922" s="843" t="e">
        <f t="shared" si="88"/>
        <v>#REF!</v>
      </c>
      <c r="R1922" s="658">
        <v>1</v>
      </c>
    </row>
    <row r="1923" spans="1:18" ht="15" customHeight="1">
      <c r="A1923" s="657">
        <f>IF(B1923="",MAX($A$8:A1922)+0,MAX($A$8:A1922)+1)</f>
        <v>206</v>
      </c>
      <c r="B1923" s="835" t="str">
        <f>IF(C1923="","",COUNTA($C$10:C1924))</f>
        <v/>
      </c>
      <c r="C1923" s="362"/>
      <c r="D1923" s="362"/>
      <c r="E1923" s="852" t="s">
        <v>2033</v>
      </c>
      <c r="F1923" s="848" t="str">
        <f>VLOOKUP(E1923,DICH!B:C,2,FALSE)</f>
        <v xml:space="preserve">  C - Machine</v>
      </c>
      <c r="G1923" s="883"/>
      <c r="H1923" s="847"/>
      <c r="I1923" s="848"/>
      <c r="J1923" s="849">
        <f>SUM(J1924:J1926)</f>
        <v>28726.286820000001</v>
      </c>
      <c r="N1923" s="843" t="e">
        <f>SUMIF(#REF!,'8.Dgia'!A1923,#REF!)+SUMIF(#REF!,'8.Dgia'!A1923,#REF!)+SUMIF(#REF!,'8.Dgia'!A1923,#REF!)+SUMIF(#REF!,'8.Dgia'!A1923,#REF!)</f>
        <v>#REF!</v>
      </c>
      <c r="O1923" s="844"/>
      <c r="P1923" s="843" t="e">
        <f t="shared" si="88"/>
        <v>#REF!</v>
      </c>
    </row>
    <row r="1924" spans="1:18" ht="15" customHeight="1">
      <c r="A1924" s="657">
        <f>IF(B1924="",MAX($A$8:A1923)+0,MAX($A$8:A1923)+1)</f>
        <v>206</v>
      </c>
      <c r="B1924" s="835" t="str">
        <f>IF(C1924="","",COUNTA($C$10:C1925))</f>
        <v/>
      </c>
      <c r="C1924" s="362"/>
      <c r="D1924" s="362"/>
      <c r="E1924" s="852" t="s">
        <v>582</v>
      </c>
      <c r="F1924" s="848" t="str">
        <f>VLOOKUP(E1924,'9.may'!E:F,2,FALSE)</f>
        <v>concrete mixer 250L</v>
      </c>
      <c r="G1924" s="883" t="s">
        <v>4902</v>
      </c>
      <c r="H1924" s="847">
        <v>9.5000000000000001E-2</v>
      </c>
      <c r="I1924" s="848">
        <f>VLOOKUP(E1924,'9.may'!E:W,12,FALSE)</f>
        <v>180447.90000000002</v>
      </c>
      <c r="J1924" s="853">
        <f>I1924*H1924</f>
        <v>17142.550500000001</v>
      </c>
      <c r="N1924" s="843" t="e">
        <f>SUMIF(#REF!,'8.Dgia'!A1924,#REF!)+SUMIF(#REF!,'8.Dgia'!A1924,#REF!)+SUMIF(#REF!,'8.Dgia'!A1924,#REF!)+SUMIF(#REF!,'8.Dgia'!A1924,#REF!)</f>
        <v>#REF!</v>
      </c>
      <c r="O1924" s="844"/>
      <c r="P1924" s="843" t="e">
        <f t="shared" si="88"/>
        <v>#REF!</v>
      </c>
    </row>
    <row r="1925" spans="1:18" ht="15" customHeight="1">
      <c r="A1925" s="657">
        <f>IF(B1925="",MAX($A$8:A1924)+0,MAX($A$8:A1924)+1)</f>
        <v>206</v>
      </c>
      <c r="B1925" s="835" t="str">
        <f>IF(C1925="","",COUNTA($C$10:C1926))</f>
        <v/>
      </c>
      <c r="C1925" s="362"/>
      <c r="D1925" s="362"/>
      <c r="E1925" s="852" t="s">
        <v>620</v>
      </c>
      <c r="F1925" s="848" t="str">
        <f>VLOOKUP(E1925,'9.may'!E:F,2,FALSE)</f>
        <v>concrete vibrating compactor 1.5Kw</v>
      </c>
      <c r="G1925" s="883" t="s">
        <v>4902</v>
      </c>
      <c r="H1925" s="847">
        <v>0.12</v>
      </c>
      <c r="I1925" s="848">
        <f>VLOOKUP(E1925,'9.may'!E:W,12,FALSE)</f>
        <v>74768.797500000001</v>
      </c>
      <c r="J1925" s="853">
        <f>I1925*H1925</f>
        <v>8972.2556999999997</v>
      </c>
      <c r="N1925" s="843" t="e">
        <f>SUMIF(#REF!,'8.Dgia'!A1925,#REF!)+SUMIF(#REF!,'8.Dgia'!A1925,#REF!)+SUMIF(#REF!,'8.Dgia'!A1925,#REF!)+SUMIF(#REF!,'8.Dgia'!A1925,#REF!)</f>
        <v>#REF!</v>
      </c>
      <c r="O1925" s="844"/>
      <c r="P1925" s="843" t="e">
        <f t="shared" si="88"/>
        <v>#REF!</v>
      </c>
    </row>
    <row r="1926" spans="1:18" ht="15" customHeight="1">
      <c r="A1926" s="657">
        <f>IF(B1926="",MAX($A$8:A1925)+0,MAX($A$8:A1925)+1)</f>
        <v>206</v>
      </c>
      <c r="B1926" s="835" t="str">
        <f>IF(C1926="","",COUNTA($C$10:C1927))</f>
        <v/>
      </c>
      <c r="C1926" s="362"/>
      <c r="D1926" s="362"/>
      <c r="E1926" s="852" t="s">
        <v>553</v>
      </c>
      <c r="F1926" s="848" t="str">
        <f>VLOOKUP(E1926,DICH!B:C,2,FALSE)</f>
        <v>Other machine</v>
      </c>
      <c r="G1926" s="362" t="s">
        <v>554</v>
      </c>
      <c r="H1926" s="847">
        <v>10</v>
      </c>
      <c r="I1926" s="848">
        <f>SUM(J1924:J1925)</f>
        <v>26114.806199999999</v>
      </c>
      <c r="J1926" s="853">
        <f>I1926*H1926%</f>
        <v>2611.4806200000003</v>
      </c>
      <c r="N1926" s="843" t="e">
        <f>SUMIF(#REF!,'8.Dgia'!A1926,#REF!)+SUMIF(#REF!,'8.Dgia'!A1926,#REF!)+SUMIF(#REF!,'8.Dgia'!A1926,#REF!)+SUMIF(#REF!,'8.Dgia'!A1926,#REF!)</f>
        <v>#REF!</v>
      </c>
      <c r="O1926" s="844"/>
      <c r="P1926" s="843" t="e">
        <f t="shared" si="88"/>
        <v>#REF!</v>
      </c>
    </row>
    <row r="1927" spans="1:18" ht="15" customHeight="1">
      <c r="A1927" s="657">
        <f>IF(B1927="",MAX($A$8:A1926)+0,MAX($A$8:A1926)+1)</f>
        <v>207</v>
      </c>
      <c r="B1927" s="835">
        <f>IF(C1927="","",COUNTA($C$10:C1928))</f>
        <v>207</v>
      </c>
      <c r="C1927" s="835">
        <f>IF(D1927="","",1776)</f>
        <v>1776</v>
      </c>
      <c r="D1927" s="362" t="s">
        <v>53</v>
      </c>
      <c r="E1927" s="855" t="s">
        <v>31</v>
      </c>
      <c r="F1927" s="1049" t="str">
        <f>VLOOKUP(E1927,DICH!B:C,2,FALSE)</f>
        <v>Reinforcement of R.C pile</v>
      </c>
      <c r="G1927" s="884" t="s">
        <v>4644</v>
      </c>
      <c r="H1927" s="847"/>
      <c r="I1927" s="848"/>
      <c r="J1927" s="889"/>
      <c r="K1927" s="842">
        <f>+J1928</f>
        <v>17270686.383927274</v>
      </c>
      <c r="L1927" s="842">
        <f>+J1932</f>
        <v>1586380.84</v>
      </c>
      <c r="M1927" s="842">
        <f>+J1933</f>
        <v>220171.88461499999</v>
      </c>
      <c r="N1927" s="843" t="e">
        <f>SUMIF(#REF!,'8.Dgia'!A1927,#REF!)+SUMIF(#REF!,'8.Dgia'!A1927,#REF!)+SUMIF(#REF!,'8.Dgia'!A1927,#REF!)+SUMIF(#REF!,'8.Dgia'!A1927,#REF!)</f>
        <v>#REF!</v>
      </c>
      <c r="O1927" s="844"/>
      <c r="P1927" s="843" t="e">
        <f t="shared" si="88"/>
        <v>#REF!</v>
      </c>
    </row>
    <row r="1928" spans="1:18" ht="15" customHeight="1">
      <c r="A1928" s="657">
        <f>IF(B1928="",MAX($A$8:A1927)+0,MAX($A$8:A1927)+1)</f>
        <v>207</v>
      </c>
      <c r="B1928" s="835" t="str">
        <f>IF(C1928="","",COUNTA($C$10:C1929))</f>
        <v/>
      </c>
      <c r="C1928" s="362"/>
      <c r="D1928" s="362"/>
      <c r="E1928" s="852" t="s">
        <v>2032</v>
      </c>
      <c r="F1928" s="848" t="str">
        <f>VLOOKUP(E1928,DICH!B:C,2,FALSE)</f>
        <v xml:space="preserve">  A - Material</v>
      </c>
      <c r="G1928" s="883"/>
      <c r="H1928" s="847"/>
      <c r="I1928" s="848"/>
      <c r="J1928" s="849">
        <f>SUM(J1929:J1931)</f>
        <v>17270686.383927274</v>
      </c>
      <c r="N1928" s="843" t="e">
        <f>SUMIF(#REF!,'8.Dgia'!A1928,#REF!)+SUMIF(#REF!,'8.Dgia'!A1928,#REF!)+SUMIF(#REF!,'8.Dgia'!A1928,#REF!)+SUMIF(#REF!,'8.Dgia'!A1928,#REF!)</f>
        <v>#REF!</v>
      </c>
      <c r="O1928" s="844"/>
      <c r="P1928" s="843" t="e">
        <f t="shared" si="88"/>
        <v>#REF!</v>
      </c>
    </row>
    <row r="1929" spans="1:18" ht="15" customHeight="1">
      <c r="A1929" s="657">
        <f>IF(B1929="",MAX($A$8:A1928)+0,MAX($A$8:A1928)+1)</f>
        <v>207</v>
      </c>
      <c r="B1929" s="835" t="str">
        <f>IF(C1929="","",COUNTA($C$10:C1930))</f>
        <v/>
      </c>
      <c r="C1929" s="362"/>
      <c r="D1929" s="362"/>
      <c r="E1929" s="852" t="s">
        <v>671</v>
      </c>
      <c r="F1929" s="848" t="str">
        <f>VLOOKUP(E1929,DICH!B:C,2,FALSE)</f>
        <v>steel bar D&lt;=18</v>
      </c>
      <c r="G1929" s="883" t="s">
        <v>558</v>
      </c>
      <c r="H1929" s="847">
        <v>1020</v>
      </c>
      <c r="I1929" s="848">
        <f>VLOOKUP(E1929,'11.gia '!$B:$I,8,FALSE)</f>
        <v>16604.075560000001</v>
      </c>
      <c r="J1929" s="853">
        <f>I1929*H1929</f>
        <v>16936157.071200002</v>
      </c>
      <c r="N1929" s="843" t="e">
        <f>SUMIF(#REF!,'8.Dgia'!A1929,#REF!)+SUMIF(#REF!,'8.Dgia'!A1929,#REF!)+SUMIF(#REF!,'8.Dgia'!A1929,#REF!)+SUMIF(#REF!,'8.Dgia'!A1929,#REF!)</f>
        <v>#REF!</v>
      </c>
      <c r="O1929" s="844"/>
      <c r="P1929" s="843" t="e">
        <f t="shared" si="88"/>
        <v>#REF!</v>
      </c>
    </row>
    <row r="1930" spans="1:18" ht="15" customHeight="1">
      <c r="A1930" s="657">
        <f>IF(B1930="",MAX($A$8:A1929)+0,MAX($A$8:A1929)+1)</f>
        <v>207</v>
      </c>
      <c r="B1930" s="835" t="str">
        <f>IF(C1930="","",COUNTA($C$10:C1931))</f>
        <v/>
      </c>
      <c r="C1930" s="362"/>
      <c r="D1930" s="362"/>
      <c r="E1930" s="852" t="s">
        <v>459</v>
      </c>
      <c r="F1930" s="848" t="str">
        <f>VLOOKUP(E1930,DICH!B:C,2,FALSE)</f>
        <v>Steel ware</v>
      </c>
      <c r="G1930" s="883" t="s">
        <v>558</v>
      </c>
      <c r="H1930" s="847">
        <v>14.28</v>
      </c>
      <c r="I1930" s="848">
        <f>VLOOKUP(E1930,'11.gia '!$B:$I,8,FALSE)</f>
        <v>17143</v>
      </c>
      <c r="J1930" s="853">
        <f>I1930*H1930</f>
        <v>244802.03999999998</v>
      </c>
      <c r="N1930" s="843" t="e">
        <f>SUMIF(#REF!,'8.Dgia'!A1930,#REF!)+SUMIF(#REF!,'8.Dgia'!A1930,#REF!)+SUMIF(#REF!,'8.Dgia'!A1930,#REF!)+SUMIF(#REF!,'8.Dgia'!A1930,#REF!)</f>
        <v>#REF!</v>
      </c>
      <c r="O1930" s="844"/>
      <c r="P1930" s="843" t="e">
        <f t="shared" ref="P1930:P2006" si="90">$H1930*N1930*(1+O1930%)</f>
        <v>#REF!</v>
      </c>
    </row>
    <row r="1931" spans="1:18" ht="15" customHeight="1">
      <c r="A1931" s="657">
        <f>IF(B1931="",MAX($A$8:A1930)+0,MAX($A$8:A1930)+1)</f>
        <v>207</v>
      </c>
      <c r="B1931" s="835" t="str">
        <f>IF(C1931="","",COUNTA($C$10:C1932))</f>
        <v/>
      </c>
      <c r="C1931" s="362"/>
      <c r="D1931" s="362"/>
      <c r="E1931" s="852" t="s">
        <v>559</v>
      </c>
      <c r="F1931" s="848" t="str">
        <f>VLOOKUP(E1931,DICH!B:C,2,FALSE)</f>
        <v>welding electrode</v>
      </c>
      <c r="G1931" s="883" t="s">
        <v>558</v>
      </c>
      <c r="H1931" s="847">
        <v>4.7</v>
      </c>
      <c r="I1931" s="848">
        <f>VLOOKUP(E1931,'11.gia '!$B:$I,8,FALSE)</f>
        <v>19090.909090909088</v>
      </c>
      <c r="J1931" s="853">
        <f>I1931*H1931</f>
        <v>89727.272727272721</v>
      </c>
      <c r="N1931" s="843" t="e">
        <f>SUMIF(#REF!,'8.Dgia'!A1931,#REF!)+SUMIF(#REF!,'8.Dgia'!A1931,#REF!)+SUMIF(#REF!,'8.Dgia'!A1931,#REF!)+SUMIF(#REF!,'8.Dgia'!A1931,#REF!)</f>
        <v>#REF!</v>
      </c>
      <c r="O1931" s="844"/>
      <c r="P1931" s="843" t="e">
        <f t="shared" si="90"/>
        <v>#REF!</v>
      </c>
    </row>
    <row r="1932" spans="1:18" ht="15" customHeight="1">
      <c r="A1932" s="657">
        <f>IF(B1932="",MAX($A$8:A1931)+0,MAX($A$8:A1931)+1)</f>
        <v>207</v>
      </c>
      <c r="B1932" s="835" t="str">
        <f>IF(C1932="","",COUNTA($C$10:C1933))</f>
        <v/>
      </c>
      <c r="C1932" s="362"/>
      <c r="D1932" s="362"/>
      <c r="E1932" s="852" t="s">
        <v>2037</v>
      </c>
      <c r="F1932" s="848" t="str">
        <f>VLOOKUP(E1932,DICH!B:C,2,FALSE)</f>
        <v xml:space="preserve">  B - Labour 3.5/7</v>
      </c>
      <c r="G1932" s="883" t="s">
        <v>4899</v>
      </c>
      <c r="H1932" s="847">
        <v>7.82</v>
      </c>
      <c r="I1932" s="848">
        <f>VLOOKUP(E1932,'16.NC'!$C$11:$F$22,4,FALSE)</f>
        <v>202862</v>
      </c>
      <c r="J1932" s="849">
        <f>I1932*H1932</f>
        <v>1586380.84</v>
      </c>
      <c r="N1932" s="843" t="e">
        <f>SUMIF(#REF!,'8.Dgia'!A1932,#REF!)+SUMIF(#REF!,'8.Dgia'!A1932,#REF!)+SUMIF(#REF!,'8.Dgia'!A1932,#REF!)+SUMIF(#REF!,'8.Dgia'!A1932,#REF!)</f>
        <v>#REF!</v>
      </c>
      <c r="O1932" s="844"/>
      <c r="P1932" s="843" t="e">
        <f t="shared" si="90"/>
        <v>#REF!</v>
      </c>
      <c r="R1932" s="658">
        <v>1</v>
      </c>
    </row>
    <row r="1933" spans="1:18" ht="15" customHeight="1">
      <c r="A1933" s="657">
        <f>IF(B1933="",MAX($A$8:A1932)+0,MAX($A$8:A1932)+1)</f>
        <v>207</v>
      </c>
      <c r="B1933" s="835" t="str">
        <f>IF(C1933="","",COUNTA($C$10:C1934))</f>
        <v/>
      </c>
      <c r="C1933" s="362"/>
      <c r="D1933" s="362"/>
      <c r="E1933" s="852" t="s">
        <v>2033</v>
      </c>
      <c r="F1933" s="848" t="str">
        <f>VLOOKUP(E1933,DICH!B:C,2,FALSE)</f>
        <v xml:space="preserve">  C - Machine</v>
      </c>
      <c r="G1933" s="883"/>
      <c r="H1933" s="847"/>
      <c r="I1933" s="848"/>
      <c r="J1933" s="849">
        <f>SUM(J1934:J1935)</f>
        <v>220171.88461499999</v>
      </c>
      <c r="N1933" s="843" t="e">
        <f>SUMIF(#REF!,'8.Dgia'!A1933,#REF!)+SUMIF(#REF!,'8.Dgia'!A1933,#REF!)+SUMIF(#REF!,'8.Dgia'!A1933,#REF!)+SUMIF(#REF!,'8.Dgia'!A1933,#REF!)</f>
        <v>#REF!</v>
      </c>
      <c r="O1933" s="844"/>
      <c r="P1933" s="843" t="e">
        <f t="shared" si="90"/>
        <v>#REF!</v>
      </c>
    </row>
    <row r="1934" spans="1:18" ht="15" customHeight="1">
      <c r="A1934" s="657">
        <f>IF(B1934="",MAX($A$8:A1933)+0,MAX($A$8:A1933)+1)</f>
        <v>207</v>
      </c>
      <c r="B1934" s="835" t="str">
        <f>IF(C1934="","",COUNTA($C$10:C1935))</f>
        <v/>
      </c>
      <c r="C1934" s="362"/>
      <c r="D1934" s="362"/>
      <c r="E1934" s="852" t="s">
        <v>560</v>
      </c>
      <c r="F1934" s="848" t="str">
        <f>VLOOKUP(E1934,'9.may'!E:F,2,FALSE)</f>
        <v>welding machine 23kW</v>
      </c>
      <c r="G1934" s="883" t="s">
        <v>4902</v>
      </c>
      <c r="H1934" s="847">
        <v>1.133</v>
      </c>
      <c r="I1934" s="853">
        <f>VLOOKUP(E1934,'9.may'!E:W,12,FALSE)</f>
        <v>171649.155</v>
      </c>
      <c r="J1934" s="853">
        <f>I1934*H1934</f>
        <v>194478.492615</v>
      </c>
      <c r="N1934" s="843" t="e">
        <f>SUMIF(#REF!,'8.Dgia'!A1934,#REF!)+SUMIF(#REF!,'8.Dgia'!A1934,#REF!)+SUMIF(#REF!,'8.Dgia'!A1934,#REF!)+SUMIF(#REF!,'8.Dgia'!A1934,#REF!)</f>
        <v>#REF!</v>
      </c>
      <c r="O1934" s="844"/>
      <c r="P1934" s="843" t="e">
        <f t="shared" si="90"/>
        <v>#REF!</v>
      </c>
    </row>
    <row r="1935" spans="1:18" ht="15" customHeight="1">
      <c r="A1935" s="657">
        <f>IF(B1935="",MAX($A$8:A1934)+0,MAX($A$8:A1934)+1)</f>
        <v>207</v>
      </c>
      <c r="B1935" s="835" t="str">
        <f>IF(C1935="","",COUNTA($C$10:C1936))</f>
        <v/>
      </c>
      <c r="C1935" s="362"/>
      <c r="D1935" s="362"/>
      <c r="E1935" s="852" t="s">
        <v>1424</v>
      </c>
      <c r="F1935" s="848" t="str">
        <f>VLOOKUP(E1935,'9.may'!E:F,2,FALSE)</f>
        <v>bender cutter 5Kw</v>
      </c>
      <c r="G1935" s="883" t="s">
        <v>4902</v>
      </c>
      <c r="H1935" s="847">
        <v>0.32</v>
      </c>
      <c r="I1935" s="853">
        <f>VLOOKUP(E1935,'9.may'!E:W,12,FALSE)</f>
        <v>80291.850000000006</v>
      </c>
      <c r="J1935" s="853">
        <f>I1935*H1935</f>
        <v>25693.392000000003</v>
      </c>
      <c r="N1935" s="843" t="e">
        <f>SUMIF(#REF!,'8.Dgia'!A1935,#REF!)+SUMIF(#REF!,'8.Dgia'!A1935,#REF!)+SUMIF(#REF!,'8.Dgia'!A1935,#REF!)+SUMIF(#REF!,'8.Dgia'!A1935,#REF!)</f>
        <v>#REF!</v>
      </c>
      <c r="O1935" s="844"/>
      <c r="P1935" s="843" t="e">
        <f t="shared" si="90"/>
        <v>#REF!</v>
      </c>
    </row>
    <row r="1936" spans="1:18" ht="15" customHeight="1">
      <c r="A1936" s="657">
        <f>IF(B1936="",MAX($A$8:A1935)+0,MAX($A$8:A1935)+1)</f>
        <v>208</v>
      </c>
      <c r="B1936" s="835">
        <f>IF(C1936="","",COUNTA($C$10:C1937))</f>
        <v>208</v>
      </c>
      <c r="C1936" s="835">
        <f>IF(D1936="","",1776)</f>
        <v>1776</v>
      </c>
      <c r="D1936" s="362" t="s">
        <v>3839</v>
      </c>
      <c r="E1936" s="855" t="s">
        <v>3838</v>
      </c>
      <c r="F1936" s="1049" t="str">
        <f>VLOOKUP(E1936,DICH!B:C,2,FALSE)</f>
        <v>Stell of pole</v>
      </c>
      <c r="G1936" s="884" t="s">
        <v>4644</v>
      </c>
      <c r="H1936" s="847"/>
      <c r="I1936" s="848"/>
      <c r="J1936" s="889"/>
      <c r="K1936" s="842">
        <f>+J1937</f>
        <v>17054298.9978</v>
      </c>
      <c r="L1936" s="842">
        <f>+J1941</f>
        <v>2890783.5</v>
      </c>
      <c r="M1936" s="842">
        <f>+J1942</f>
        <v>32116.740000000005</v>
      </c>
      <c r="N1936" s="843" t="e">
        <f>SUMIF(#REF!,'8.Dgia'!A1936,#REF!)+SUMIF(#REF!,'8.Dgia'!A1936,#REF!)+SUMIF(#REF!,'8.Dgia'!A1936,#REF!)+SUMIF(#REF!,'8.Dgia'!A1936,#REF!)</f>
        <v>#REF!</v>
      </c>
      <c r="O1936" s="844"/>
      <c r="P1936" s="843" t="e">
        <f t="shared" si="90"/>
        <v>#REF!</v>
      </c>
    </row>
    <row r="1937" spans="1:18" ht="15" customHeight="1">
      <c r="A1937" s="657">
        <f>IF(B1937="",MAX($A$8:A1936)+0,MAX($A$8:A1936)+1)</f>
        <v>208</v>
      </c>
      <c r="B1937" s="835" t="str">
        <f>IF(C1937="","",COUNTA($C$10:C1938))</f>
        <v/>
      </c>
      <c r="C1937" s="362"/>
      <c r="D1937" s="362"/>
      <c r="E1937" s="852" t="s">
        <v>2032</v>
      </c>
      <c r="F1937" s="848" t="str">
        <f>VLOOKUP(E1937,DICH!B:C,2,FALSE)</f>
        <v xml:space="preserve">  A - Material</v>
      </c>
      <c r="G1937" s="883"/>
      <c r="H1937" s="847"/>
      <c r="I1937" s="848"/>
      <c r="J1937" s="849">
        <f>SUM(J1938:J1940)</f>
        <v>17054298.9978</v>
      </c>
      <c r="N1937" s="843" t="e">
        <f>SUMIF(#REF!,'8.Dgia'!A1937,#REF!)+SUMIF(#REF!,'8.Dgia'!A1937,#REF!)+SUMIF(#REF!,'8.Dgia'!A1937,#REF!)+SUMIF(#REF!,'8.Dgia'!A1937,#REF!)</f>
        <v>#REF!</v>
      </c>
      <c r="O1937" s="844"/>
      <c r="P1937" s="843" t="e">
        <f t="shared" si="90"/>
        <v>#REF!</v>
      </c>
    </row>
    <row r="1938" spans="1:18" ht="15" customHeight="1">
      <c r="A1938" s="657">
        <f>IF(B1938="",MAX($A$8:A1937)+0,MAX($A$8:A1937)+1)</f>
        <v>208</v>
      </c>
      <c r="B1938" s="835" t="str">
        <f>IF(C1938="","",COUNTA($C$10:C1939))</f>
        <v/>
      </c>
      <c r="C1938" s="362"/>
      <c r="D1938" s="362"/>
      <c r="E1938" s="852" t="s">
        <v>671</v>
      </c>
      <c r="F1938" s="848" t="str">
        <f>VLOOKUP(E1938,DICH!B:C,2,FALSE)</f>
        <v>steel bar D&lt;=18</v>
      </c>
      <c r="G1938" s="883" t="s">
        <v>558</v>
      </c>
      <c r="H1938" s="847">
        <v>1005</v>
      </c>
      <c r="I1938" s="848">
        <f>VLOOKUP(E1938,'11.gia '!$B:$I,8,FALSE)</f>
        <v>16604.075560000001</v>
      </c>
      <c r="J1938" s="853">
        <f>I1938*H1938</f>
        <v>16687095.937800001</v>
      </c>
      <c r="N1938" s="843" t="e">
        <f>SUMIF(#REF!,'8.Dgia'!A1938,#REF!)+SUMIF(#REF!,'8.Dgia'!A1938,#REF!)+SUMIF(#REF!,'8.Dgia'!A1938,#REF!)+SUMIF(#REF!,'8.Dgia'!A1938,#REF!)</f>
        <v>#REF!</v>
      </c>
      <c r="O1938" s="844"/>
      <c r="P1938" s="843" t="e">
        <f t="shared" si="90"/>
        <v>#REF!</v>
      </c>
    </row>
    <row r="1939" spans="1:18" ht="15" customHeight="1">
      <c r="A1939" s="657">
        <f>IF(B1939="",MAX($A$8:A1938)+0,MAX($A$8:A1938)+1)</f>
        <v>208</v>
      </c>
      <c r="B1939" s="835" t="str">
        <f>IF(C1939="","",COUNTA($C$10:C1940))</f>
        <v/>
      </c>
      <c r="C1939" s="362"/>
      <c r="D1939" s="362"/>
      <c r="E1939" s="852" t="s">
        <v>459</v>
      </c>
      <c r="F1939" s="848" t="str">
        <f>VLOOKUP(E1939,DICH!B:C,2,FALSE)</f>
        <v>Steel ware</v>
      </c>
      <c r="G1939" s="883" t="s">
        <v>558</v>
      </c>
      <c r="H1939" s="847">
        <v>21.42</v>
      </c>
      <c r="I1939" s="848">
        <f>VLOOKUP(E1939,'11.gia '!$B:$I,8,FALSE)</f>
        <v>17143</v>
      </c>
      <c r="J1939" s="853">
        <f>I1939*H1939</f>
        <v>367203.06000000006</v>
      </c>
      <c r="N1939" s="843" t="e">
        <f>SUMIF(#REF!,'8.Dgia'!A1939,#REF!)+SUMIF(#REF!,'8.Dgia'!A1939,#REF!)+SUMIF(#REF!,'8.Dgia'!A1939,#REF!)+SUMIF(#REF!,'8.Dgia'!A1939,#REF!)</f>
        <v>#REF!</v>
      </c>
      <c r="O1939" s="844"/>
      <c r="P1939" s="843" t="e">
        <f t="shared" ref="P1939:P1944" si="91">$H1939*N1939*(1+O1939%)</f>
        <v>#REF!</v>
      </c>
    </row>
    <row r="1940" spans="1:18" ht="15" customHeight="1">
      <c r="A1940" s="657">
        <f>IF(B1940="",MAX($A$8:A1939)+0,MAX($A$8:A1939)+1)</f>
        <v>208</v>
      </c>
      <c r="B1940" s="835" t="str">
        <f>IF(C1940="","",COUNTA($C$10:C1941))</f>
        <v/>
      </c>
      <c r="C1940" s="362"/>
      <c r="D1940" s="362"/>
      <c r="E1940" s="852" t="s">
        <v>559</v>
      </c>
      <c r="F1940" s="848" t="str">
        <f>VLOOKUP(E1940,DICH!B:C,2,FALSE)</f>
        <v>welding electrode</v>
      </c>
      <c r="G1940" s="883" t="s">
        <v>558</v>
      </c>
      <c r="H1940" s="847">
        <v>0</v>
      </c>
      <c r="I1940" s="848">
        <f>VLOOKUP(E1940,'11.gia '!$B:$I,8,FALSE)</f>
        <v>19090.909090909088</v>
      </c>
      <c r="J1940" s="853">
        <f>I1940*H1940</f>
        <v>0</v>
      </c>
      <c r="N1940" s="843" t="e">
        <f>SUMIF(#REF!,'8.Dgia'!A1940,#REF!)+SUMIF(#REF!,'8.Dgia'!A1940,#REF!)+SUMIF(#REF!,'8.Dgia'!A1940,#REF!)+SUMIF(#REF!,'8.Dgia'!A1940,#REF!)</f>
        <v>#REF!</v>
      </c>
      <c r="O1940" s="844"/>
      <c r="P1940" s="843" t="e">
        <f t="shared" si="91"/>
        <v>#REF!</v>
      </c>
    </row>
    <row r="1941" spans="1:18" ht="15" customHeight="1">
      <c r="A1941" s="657">
        <f>IF(B1941="",MAX($A$8:A1940)+0,MAX($A$8:A1940)+1)</f>
        <v>208</v>
      </c>
      <c r="B1941" s="835" t="str">
        <f>IF(C1941="","",COUNTA($C$10:C1942))</f>
        <v/>
      </c>
      <c r="C1941" s="362"/>
      <c r="D1941" s="362"/>
      <c r="E1941" s="852" t="s">
        <v>2037</v>
      </c>
      <c r="F1941" s="848" t="str">
        <f>VLOOKUP(E1941,DICH!B:C,2,FALSE)</f>
        <v xml:space="preserve">  B - Labour 3.5/7</v>
      </c>
      <c r="G1941" s="883" t="s">
        <v>4899</v>
      </c>
      <c r="H1941" s="847">
        <v>14.25</v>
      </c>
      <c r="I1941" s="848">
        <f>VLOOKUP(E1941,'16.NC'!$C$11:$F$22,4,FALSE)</f>
        <v>202862</v>
      </c>
      <c r="J1941" s="849">
        <f>I1941*H1941</f>
        <v>2890783.5</v>
      </c>
      <c r="N1941" s="843" t="e">
        <f>SUMIF(#REF!,'8.Dgia'!A1941,#REF!)+SUMIF(#REF!,'8.Dgia'!A1941,#REF!)+SUMIF(#REF!,'8.Dgia'!A1941,#REF!)+SUMIF(#REF!,'8.Dgia'!A1941,#REF!)</f>
        <v>#REF!</v>
      </c>
      <c r="O1941" s="844"/>
      <c r="P1941" s="843" t="e">
        <f t="shared" si="91"/>
        <v>#REF!</v>
      </c>
      <c r="R1941" s="658">
        <v>1</v>
      </c>
    </row>
    <row r="1942" spans="1:18" ht="15" customHeight="1">
      <c r="A1942" s="657">
        <f>IF(B1942="",MAX($A$8:A1941)+0,MAX($A$8:A1941)+1)</f>
        <v>208</v>
      </c>
      <c r="B1942" s="835" t="str">
        <f>IF(C1942="","",COUNTA($C$10:C1943))</f>
        <v/>
      </c>
      <c r="C1942" s="362"/>
      <c r="D1942" s="362"/>
      <c r="E1942" s="852" t="s">
        <v>2033</v>
      </c>
      <c r="F1942" s="848" t="str">
        <f>VLOOKUP(E1942,DICH!B:C,2,FALSE)</f>
        <v xml:space="preserve">  C - Machine</v>
      </c>
      <c r="G1942" s="883"/>
      <c r="H1942" s="847"/>
      <c r="I1942" s="848"/>
      <c r="J1942" s="849">
        <f>SUM(J1943:J1944)</f>
        <v>32116.740000000005</v>
      </c>
      <c r="N1942" s="843" t="e">
        <f>SUMIF(#REF!,'8.Dgia'!A1942,#REF!)+SUMIF(#REF!,'8.Dgia'!A1942,#REF!)+SUMIF(#REF!,'8.Dgia'!A1942,#REF!)+SUMIF(#REF!,'8.Dgia'!A1942,#REF!)</f>
        <v>#REF!</v>
      </c>
      <c r="O1942" s="844"/>
      <c r="P1942" s="843" t="e">
        <f t="shared" si="91"/>
        <v>#REF!</v>
      </c>
    </row>
    <row r="1943" spans="1:18" ht="15" customHeight="1">
      <c r="A1943" s="657">
        <f>IF(B1943="",MAX($A$8:A1942)+0,MAX($A$8:A1942)+1)</f>
        <v>208</v>
      </c>
      <c r="B1943" s="835" t="str">
        <f>IF(C1943="","",COUNTA($C$10:C1944))</f>
        <v/>
      </c>
      <c r="C1943" s="362"/>
      <c r="D1943" s="362"/>
      <c r="E1943" s="852" t="s">
        <v>560</v>
      </c>
      <c r="F1943" s="848" t="str">
        <f>VLOOKUP(E1943,'9.may'!E:F,2,FALSE)</f>
        <v>welding machine 23kW</v>
      </c>
      <c r="G1943" s="883" t="s">
        <v>4902</v>
      </c>
      <c r="H1943" s="847"/>
      <c r="I1943" s="853">
        <f>VLOOKUP(E1943,'9.may'!E:W,12,FALSE)</f>
        <v>171649.155</v>
      </c>
      <c r="J1943" s="853">
        <f>I1943*H1943</f>
        <v>0</v>
      </c>
      <c r="N1943" s="843" t="e">
        <f>SUMIF(#REF!,'8.Dgia'!A1943,#REF!)+SUMIF(#REF!,'8.Dgia'!A1943,#REF!)+SUMIF(#REF!,'8.Dgia'!A1943,#REF!)+SUMIF(#REF!,'8.Dgia'!A1943,#REF!)</f>
        <v>#REF!</v>
      </c>
      <c r="O1943" s="844"/>
      <c r="P1943" s="843" t="e">
        <f t="shared" si="91"/>
        <v>#REF!</v>
      </c>
    </row>
    <row r="1944" spans="1:18" ht="15" customHeight="1">
      <c r="A1944" s="657">
        <f>IF(B1944="",MAX($A$8:A1943)+0,MAX($A$8:A1943)+1)</f>
        <v>208</v>
      </c>
      <c r="B1944" s="835" t="str">
        <f>IF(C1944="","",COUNTA($C$10:C1945))</f>
        <v/>
      </c>
      <c r="C1944" s="362"/>
      <c r="D1944" s="362"/>
      <c r="E1944" s="852" t="s">
        <v>1424</v>
      </c>
      <c r="F1944" s="848" t="str">
        <f>VLOOKUP(E1944,'9.may'!E:F,2,FALSE)</f>
        <v>bender cutter 5Kw</v>
      </c>
      <c r="G1944" s="883" t="s">
        <v>4902</v>
      </c>
      <c r="H1944" s="847">
        <v>0.4</v>
      </c>
      <c r="I1944" s="853">
        <f>VLOOKUP(E1944,'9.may'!E:W,12,FALSE)</f>
        <v>80291.850000000006</v>
      </c>
      <c r="J1944" s="853">
        <f>I1944*H1944</f>
        <v>32116.740000000005</v>
      </c>
      <c r="N1944" s="843" t="e">
        <f>SUMIF(#REF!,'8.Dgia'!A1944,#REF!)+SUMIF(#REF!,'8.Dgia'!A1944,#REF!)+SUMIF(#REF!,'8.Dgia'!A1944,#REF!)+SUMIF(#REF!,'8.Dgia'!A1944,#REF!)</f>
        <v>#REF!</v>
      </c>
      <c r="O1944" s="844"/>
      <c r="P1944" s="843" t="e">
        <f t="shared" si="91"/>
        <v>#REF!</v>
      </c>
    </row>
    <row r="1945" spans="1:18" ht="15" customHeight="1">
      <c r="A1945" s="657">
        <f>IF(B1945="",MAX($A$8:A1944)+0,MAX($A$8:A1944)+1)</f>
        <v>209</v>
      </c>
      <c r="B1945" s="835">
        <f>IF(C1945="","",COUNTA($C$10:C1946))</f>
        <v>209</v>
      </c>
      <c r="C1945" s="835">
        <f>IF(D1945="","",1776)</f>
        <v>1776</v>
      </c>
      <c r="D1945" s="362" t="s">
        <v>32</v>
      </c>
      <c r="E1945" s="855" t="s">
        <v>33</v>
      </c>
      <c r="F1945" s="1049" t="str">
        <f>VLOOKUP(E1945,DICH!B:C,2,FALSE)</f>
        <v>Joint for R.C pile</v>
      </c>
      <c r="G1945" s="884" t="s">
        <v>34</v>
      </c>
      <c r="H1945" s="900"/>
      <c r="I1945" s="848"/>
      <c r="J1945" s="853"/>
      <c r="K1945" s="842">
        <f>+J1946</f>
        <v>1591460.9002487655</v>
      </c>
      <c r="L1945" s="842">
        <f>+J1950</f>
        <v>505721.37</v>
      </c>
      <c r="M1945" s="842">
        <f>+J1951</f>
        <v>79559.383342500005</v>
      </c>
      <c r="N1945" s="843" t="e">
        <f>SUMIF(#REF!,'8.Dgia'!A1945,#REF!)+SUMIF(#REF!,'8.Dgia'!A1945,#REF!)+SUMIF(#REF!,'8.Dgia'!A1945,#REF!)+SUMIF(#REF!,'8.Dgia'!A1945,#REF!)</f>
        <v>#REF!</v>
      </c>
      <c r="O1945" s="844"/>
      <c r="P1945" s="843" t="e">
        <f t="shared" si="90"/>
        <v>#REF!</v>
      </c>
    </row>
    <row r="1946" spans="1:18" ht="15" customHeight="1">
      <c r="A1946" s="657">
        <f>IF(B1946="",MAX($A$8:A1945)+0,MAX($A$8:A1945)+1)</f>
        <v>209</v>
      </c>
      <c r="B1946" s="835" t="str">
        <f>IF(C1946="","",COUNTA($C$10:C1947))</f>
        <v/>
      </c>
      <c r="C1946" s="914"/>
      <c r="D1946" s="914" t="s">
        <v>18</v>
      </c>
      <c r="E1946" s="852" t="s">
        <v>2032</v>
      </c>
      <c r="F1946" s="848" t="str">
        <f>VLOOKUP(E1946,DICH!B:C,2,FALSE)</f>
        <v xml:space="preserve">  A - Material</v>
      </c>
      <c r="G1946" s="883"/>
      <c r="H1946" s="847"/>
      <c r="I1946" s="848"/>
      <c r="J1946" s="849">
        <f>SUM(J1947:J1949)</f>
        <v>1591460.9002487655</v>
      </c>
      <c r="N1946" s="843" t="e">
        <f>SUMIF(#REF!,'8.Dgia'!A1946,#REF!)+SUMIF(#REF!,'8.Dgia'!A1946,#REF!)+SUMIF(#REF!,'8.Dgia'!A1946,#REF!)+SUMIF(#REF!,'8.Dgia'!A1946,#REF!)</f>
        <v>#REF!</v>
      </c>
      <c r="O1946" s="844"/>
      <c r="P1946" s="843" t="e">
        <f t="shared" si="90"/>
        <v>#REF!</v>
      </c>
    </row>
    <row r="1947" spans="1:18" ht="15" customHeight="1">
      <c r="A1947" s="657">
        <f>IF(B1947="",MAX($A$8:A1946)+0,MAX($A$8:A1946)+1)</f>
        <v>209</v>
      </c>
      <c r="B1947" s="835" t="str">
        <f>IF(C1947="","",COUNTA($C$10:C1948))</f>
        <v/>
      </c>
      <c r="C1947" s="915"/>
      <c r="D1947" s="915" t="s">
        <v>21</v>
      </c>
      <c r="E1947" s="852" t="s">
        <v>563</v>
      </c>
      <c r="F1947" s="848" t="str">
        <f>VLOOKUP(E1947,DICH!B:C,2,FALSE)</f>
        <v>Shaped steel</v>
      </c>
      <c r="G1947" s="883" t="s">
        <v>558</v>
      </c>
      <c r="H1947" s="847">
        <f>85.2</f>
        <v>85.2</v>
      </c>
      <c r="I1947" s="848">
        <f>VLOOKUP(E1947,'11.gia '!$B:$I,8,FALSE)</f>
        <v>16703.248369172808</v>
      </c>
      <c r="J1947" s="853">
        <f>I1947*H1947</f>
        <v>1423116.7610535233</v>
      </c>
      <c r="N1947" s="843" t="e">
        <f>SUMIF(#REF!,'8.Dgia'!A1947,#REF!)+SUMIF(#REF!,'8.Dgia'!A1947,#REF!)+SUMIF(#REF!,'8.Dgia'!A1947,#REF!)+SUMIF(#REF!,'8.Dgia'!A1947,#REF!)</f>
        <v>#REF!</v>
      </c>
      <c r="O1947" s="844"/>
      <c r="P1947" s="843" t="e">
        <f t="shared" si="90"/>
        <v>#REF!</v>
      </c>
    </row>
    <row r="1948" spans="1:18" ht="15" customHeight="1">
      <c r="A1948" s="657">
        <f>IF(B1948="",MAX($A$8:A1947)+0,MAX($A$8:A1947)+1)</f>
        <v>209</v>
      </c>
      <c r="B1948" s="835" t="str">
        <f>IF(C1948="","",COUNTA($C$10:C1949))</f>
        <v/>
      </c>
      <c r="C1948" s="362"/>
      <c r="D1948" s="362" t="s">
        <v>103</v>
      </c>
      <c r="E1948" s="852" t="s">
        <v>559</v>
      </c>
      <c r="F1948" s="848" t="str">
        <f>VLOOKUP(E1948,DICH!B:C,2,FALSE)</f>
        <v>welding electrode</v>
      </c>
      <c r="G1948" s="883" t="s">
        <v>558</v>
      </c>
      <c r="H1948" s="859">
        <f>2.13*3</f>
        <v>6.39</v>
      </c>
      <c r="I1948" s="848">
        <f>VLOOKUP(E1948,'11.gia '!$B:$I,8,FALSE)</f>
        <v>19090.909090909088</v>
      </c>
      <c r="J1948" s="853">
        <f>I1948*H1948</f>
        <v>121990.90909090907</v>
      </c>
      <c r="N1948" s="843" t="e">
        <f>SUMIF(#REF!,'8.Dgia'!A1948,#REF!)+SUMIF(#REF!,'8.Dgia'!A1948,#REF!)+SUMIF(#REF!,'8.Dgia'!A1948,#REF!)+SUMIF(#REF!,'8.Dgia'!A1948,#REF!)</f>
        <v>#REF!</v>
      </c>
      <c r="O1948" s="844"/>
      <c r="P1948" s="843" t="e">
        <f t="shared" si="90"/>
        <v>#REF!</v>
      </c>
    </row>
    <row r="1949" spans="1:18" ht="15" customHeight="1">
      <c r="A1949" s="657">
        <f>IF(B1949="",MAX($A$8:A1948)+0,MAX($A$8:A1948)+1)</f>
        <v>209</v>
      </c>
      <c r="B1949" s="835" t="str">
        <f>IF(C1949="","",COUNTA($C$10:C1950))</f>
        <v/>
      </c>
      <c r="C1949" s="362"/>
      <c r="D1949" s="362"/>
      <c r="E1949" s="852" t="s">
        <v>555</v>
      </c>
      <c r="F1949" s="848" t="str">
        <f>VLOOKUP(E1949,DICH!B:C,2,FALSE)</f>
        <v>Other material</v>
      </c>
      <c r="G1949" s="362" t="s">
        <v>554</v>
      </c>
      <c r="H1949" s="847">
        <v>3</v>
      </c>
      <c r="I1949" s="848">
        <f>SUM(J1947:J1948)</f>
        <v>1545107.6701444325</v>
      </c>
      <c r="J1949" s="853">
        <f>I1949*H1949%</f>
        <v>46353.230104332972</v>
      </c>
      <c r="N1949" s="843" t="e">
        <f>SUMIF(#REF!,'8.Dgia'!A1949,#REF!)+SUMIF(#REF!,'8.Dgia'!A1949,#REF!)+SUMIF(#REF!,'8.Dgia'!A1949,#REF!)+SUMIF(#REF!,'8.Dgia'!A1949,#REF!)</f>
        <v>#REF!</v>
      </c>
      <c r="O1949" s="844"/>
      <c r="P1949" s="843" t="e">
        <f t="shared" si="90"/>
        <v>#REF!</v>
      </c>
    </row>
    <row r="1950" spans="1:18" ht="15" customHeight="1">
      <c r="A1950" s="657">
        <f>IF(B1950="",MAX($A$8:A1949)+0,MAX($A$8:A1949)+1)</f>
        <v>209</v>
      </c>
      <c r="B1950" s="835" t="str">
        <f>IF(C1950="","",COUNTA($C$10:C1951))</f>
        <v/>
      </c>
      <c r="C1950" s="362"/>
      <c r="D1950" s="362" t="s">
        <v>103</v>
      </c>
      <c r="E1950" s="852" t="s">
        <v>2039</v>
      </c>
      <c r="F1950" s="848" t="str">
        <f>VLOOKUP(E1950,DICH!B:C,2,FALSE)</f>
        <v xml:space="preserve">  B - Labour 4.0/7</v>
      </c>
      <c r="G1950" s="883" t="s">
        <v>4899</v>
      </c>
      <c r="H1950" s="865">
        <f>0.77*3</f>
        <v>2.31</v>
      </c>
      <c r="I1950" s="848">
        <f>VLOOKUP(E1950,'16.NC'!$C$11:$F$22,4,FALSE)</f>
        <v>218927</v>
      </c>
      <c r="J1950" s="849">
        <f>I1950*H1950</f>
        <v>505721.37</v>
      </c>
      <c r="N1950" s="843" t="e">
        <f>SUMIF(#REF!,'8.Dgia'!A1950,#REF!)+SUMIF(#REF!,'8.Dgia'!A1950,#REF!)+SUMIF(#REF!,'8.Dgia'!A1950,#REF!)+SUMIF(#REF!,'8.Dgia'!A1950,#REF!)</f>
        <v>#REF!</v>
      </c>
      <c r="O1950" s="844"/>
      <c r="P1950" s="843" t="e">
        <f t="shared" si="90"/>
        <v>#REF!</v>
      </c>
      <c r="R1950" s="658">
        <v>1</v>
      </c>
    </row>
    <row r="1951" spans="1:18" ht="15" customHeight="1">
      <c r="A1951" s="657">
        <f>IF(B1951="",MAX($A$8:A1950)+0,MAX($A$8:A1950)+1)</f>
        <v>209</v>
      </c>
      <c r="B1951" s="835" t="str">
        <f>IF(C1951="","",COUNTA($C$10:C1952))</f>
        <v/>
      </c>
      <c r="C1951" s="362"/>
      <c r="D1951" s="362" t="s">
        <v>103</v>
      </c>
      <c r="E1951" s="852" t="s">
        <v>2033</v>
      </c>
      <c r="F1951" s="848" t="str">
        <f>VLOOKUP(E1951,DICH!B:C,2,FALSE)</f>
        <v xml:space="preserve">  C - Machine</v>
      </c>
      <c r="G1951" s="883"/>
      <c r="H1951" s="847"/>
      <c r="I1951" s="848"/>
      <c r="J1951" s="849">
        <f>SUM(J1952:J1953)</f>
        <v>79559.383342500005</v>
      </c>
      <c r="N1951" s="843" t="e">
        <f>SUMIF(#REF!,'8.Dgia'!A1951,#REF!)+SUMIF(#REF!,'8.Dgia'!A1951,#REF!)+SUMIF(#REF!,'8.Dgia'!A1951,#REF!)+SUMIF(#REF!,'8.Dgia'!A1951,#REF!)</f>
        <v>#REF!</v>
      </c>
      <c r="O1951" s="844"/>
      <c r="P1951" s="843" t="e">
        <f t="shared" si="90"/>
        <v>#REF!</v>
      </c>
    </row>
    <row r="1952" spans="1:18" ht="15" customHeight="1">
      <c r="A1952" s="657">
        <f>IF(B1952="",MAX($A$8:A1951)+0,MAX($A$8:A1951)+1)</f>
        <v>209</v>
      </c>
      <c r="B1952" s="835" t="str">
        <f>IF(C1952="","",COUNTA($C$10:C1953))</f>
        <v/>
      </c>
      <c r="C1952" s="362"/>
      <c r="D1952" s="362"/>
      <c r="E1952" s="852" t="s">
        <v>560</v>
      </c>
      <c r="F1952" s="848" t="str">
        <f>VLOOKUP(E1952,'9.may'!E:F,2,FALSE)</f>
        <v>welding machine 23kW</v>
      </c>
      <c r="G1952" s="883" t="s">
        <v>4902</v>
      </c>
      <c r="H1952" s="859">
        <f>0.15*3</f>
        <v>0.44999999999999996</v>
      </c>
      <c r="I1952" s="853">
        <f>VLOOKUP(E1952,'9.may'!E:W,12,FALSE)</f>
        <v>171649.155</v>
      </c>
      <c r="J1952" s="853">
        <f>I1952*H1952</f>
        <v>77242.119749999998</v>
      </c>
      <c r="N1952" s="843" t="e">
        <f>SUMIF(#REF!,'8.Dgia'!A1952,#REF!)+SUMIF(#REF!,'8.Dgia'!A1952,#REF!)+SUMIF(#REF!,'8.Dgia'!A1952,#REF!)+SUMIF(#REF!,'8.Dgia'!A1952,#REF!)</f>
        <v>#REF!</v>
      </c>
      <c r="O1952" s="844"/>
      <c r="P1952" s="843" t="e">
        <f t="shared" si="90"/>
        <v>#REF!</v>
      </c>
    </row>
    <row r="1953" spans="1:18" ht="15" customHeight="1">
      <c r="A1953" s="657">
        <f>IF(B1953="",MAX($A$8:A1952)+0,MAX($A$8:A1952)+1)</f>
        <v>209</v>
      </c>
      <c r="B1953" s="835" t="str">
        <f>IF(C1953="","",COUNTA($C$10:C1954))</f>
        <v/>
      </c>
      <c r="C1953" s="362"/>
      <c r="D1953" s="362"/>
      <c r="E1953" s="852" t="s">
        <v>553</v>
      </c>
      <c r="F1953" s="848" t="str">
        <f>VLOOKUP(E1953,DICH!B:C,2,FALSE)</f>
        <v>Other machine</v>
      </c>
      <c r="G1953" s="362" t="s">
        <v>554</v>
      </c>
      <c r="H1953" s="847">
        <v>3</v>
      </c>
      <c r="I1953" s="848">
        <f>+J1952</f>
        <v>77242.119749999998</v>
      </c>
      <c r="J1953" s="853">
        <f>I1953*H1953%</f>
        <v>2317.2635925</v>
      </c>
      <c r="N1953" s="843" t="e">
        <f>SUMIF(#REF!,'8.Dgia'!A1953,#REF!)+SUMIF(#REF!,'8.Dgia'!A1953,#REF!)+SUMIF(#REF!,'8.Dgia'!A1953,#REF!)+SUMIF(#REF!,'8.Dgia'!A1953,#REF!)</f>
        <v>#REF!</v>
      </c>
      <c r="O1953" s="844"/>
      <c r="P1953" s="843" t="e">
        <f t="shared" si="90"/>
        <v>#REF!</v>
      </c>
    </row>
    <row r="1954" spans="1:18" ht="27.75" customHeight="1">
      <c r="A1954" s="657">
        <f>IF(B1954="",MAX($A$8:A1953)+0,MAX($A$8:A1953)+1)</f>
        <v>210</v>
      </c>
      <c r="B1954" s="835">
        <f>IF(C1954="","",COUNTA($C$10:C1955))</f>
        <v>210</v>
      </c>
      <c r="C1954" s="835">
        <f>IF(D1954="","",1776)</f>
        <v>1776</v>
      </c>
      <c r="D1954" s="362" t="s">
        <v>350</v>
      </c>
      <c r="E1954" s="855" t="s">
        <v>39</v>
      </c>
      <c r="F1954" s="1049" t="str">
        <f>VLOOKUP(E1954,DICH!B:C,2,FALSE)</f>
        <v>Pilling vertical testing RC pile 30x30, L&gt;24m, C1 (land)</v>
      </c>
      <c r="G1954" s="884" t="s">
        <v>546</v>
      </c>
      <c r="H1954" s="847"/>
      <c r="I1954" s="853"/>
      <c r="J1954" s="857"/>
      <c r="L1954" s="842">
        <f>+J1955</f>
        <v>941279.67999999993</v>
      </c>
      <c r="M1954" s="842">
        <f>+J1959</f>
        <v>5630096.221727726</v>
      </c>
      <c r="N1954" s="843" t="e">
        <f>SUMIF(#REF!,'8.Dgia'!A1954,#REF!)+SUMIF(#REF!,'8.Dgia'!A1954,#REF!)+SUMIF(#REF!,'8.Dgia'!A1954,#REF!)+SUMIF(#REF!,'8.Dgia'!A1954,#REF!)</f>
        <v>#REF!</v>
      </c>
      <c r="O1954" s="844"/>
      <c r="P1954" s="843" t="e">
        <f t="shared" si="90"/>
        <v>#REF!</v>
      </c>
      <c r="R1954" s="700"/>
    </row>
    <row r="1955" spans="1:18" ht="15" customHeight="1">
      <c r="A1955" s="657">
        <f>IF(B1955="",MAX($A$8:A1954)+0,MAX($A$8:A1954)+1)</f>
        <v>210</v>
      </c>
      <c r="B1955" s="835" t="str">
        <f>IF(C1955="","",COUNTA($C$10:C1956))</f>
        <v/>
      </c>
      <c r="C1955" s="362"/>
      <c r="D1955" s="362"/>
      <c r="E1955" s="852" t="s">
        <v>5684</v>
      </c>
      <c r="F1955" s="848" t="e">
        <f>VLOOKUP(E1955,DICH!B:C,2,FALSE)</f>
        <v>#N/A</v>
      </c>
      <c r="G1955" s="883"/>
      <c r="H1955" s="847"/>
      <c r="I1955" s="848"/>
      <c r="J1955" s="909">
        <f>SUM(J1956:J1957)</f>
        <v>941279.67999999993</v>
      </c>
      <c r="N1955" s="843" t="e">
        <f>SUMIF(#REF!,'8.Dgia'!A1955,#REF!)+SUMIF(#REF!,'8.Dgia'!A1955,#REF!)+SUMIF(#REF!,'8.Dgia'!A1955,#REF!)+SUMIF(#REF!,'8.Dgia'!A1955,#REF!)</f>
        <v>#REF!</v>
      </c>
      <c r="O1955" s="844"/>
      <c r="P1955" s="843" t="e">
        <f t="shared" si="90"/>
        <v>#REF!</v>
      </c>
      <c r="R1955" s="700"/>
    </row>
    <row r="1956" spans="1:18" ht="15" customHeight="1">
      <c r="A1956" s="657">
        <f>IF(B1956="",MAX($A$8:A1955)+0,MAX($A$8:A1955)+1)</f>
        <v>210</v>
      </c>
      <c r="B1956" s="835" t="str">
        <f>IF(C1956="","",COUNTA($C$10:C1957))</f>
        <v/>
      </c>
      <c r="C1956" s="362"/>
      <c r="D1956" s="362"/>
      <c r="E1956" s="852" t="s">
        <v>2037</v>
      </c>
      <c r="F1956" s="848" t="str">
        <f>VLOOKUP(E1956,DICH!B:C,2,FALSE)</f>
        <v xml:space="preserve">  B - Labour 3.5/7</v>
      </c>
      <c r="G1956" s="883" t="s">
        <v>4899</v>
      </c>
      <c r="H1956" s="847">
        <v>4.6399999999999997</v>
      </c>
      <c r="I1956" s="848">
        <f>VLOOKUP(E1956,'16.NC'!$C$11:$F$22,4,FALSE)</f>
        <v>202862</v>
      </c>
      <c r="J1956" s="916">
        <f>I1956*H1956</f>
        <v>941279.67999999993</v>
      </c>
      <c r="N1956" s="843" t="e">
        <f>SUMIF(#REF!,'8.Dgia'!A1956,#REF!)+SUMIF(#REF!,'8.Dgia'!A1956,#REF!)+SUMIF(#REF!,'8.Dgia'!A1956,#REF!)+SUMIF(#REF!,'8.Dgia'!A1956,#REF!)</f>
        <v>#REF!</v>
      </c>
      <c r="O1956" s="844"/>
      <c r="P1956" s="843" t="e">
        <f t="shared" si="90"/>
        <v>#REF!</v>
      </c>
      <c r="R1956" s="658">
        <v>1</v>
      </c>
    </row>
    <row r="1957" spans="1:18" ht="15" customHeight="1">
      <c r="A1957" s="657">
        <f>IF(B1957="",MAX($A$8:A1956)+0,MAX($A$8:A1956)+1)</f>
        <v>210</v>
      </c>
      <c r="B1957" s="835" t="str">
        <f>IF(C1957="","",COUNTA($C$10:C1958))</f>
        <v/>
      </c>
      <c r="C1957" s="362"/>
      <c r="D1957" s="362"/>
      <c r="E1957" s="852" t="s">
        <v>35</v>
      </c>
      <c r="F1957" s="848" t="str">
        <f>VLOOKUP(E1957,DICH!B:C,2,FALSE)</f>
        <v>Labour waiting 7 days</v>
      </c>
      <c r="G1957" s="883" t="s">
        <v>4899</v>
      </c>
      <c r="H1957" s="847">
        <f>7*0.7</f>
        <v>4.8999999999999995</v>
      </c>
      <c r="I1957" s="853"/>
      <c r="J1957" s="853">
        <f>I1957*H1957</f>
        <v>0</v>
      </c>
      <c r="N1957" s="843" t="e">
        <f>SUMIF(#REF!,'8.Dgia'!A1957,#REF!)+SUMIF(#REF!,'8.Dgia'!A1957,#REF!)+SUMIF(#REF!,'8.Dgia'!A1957,#REF!)+SUMIF(#REF!,'8.Dgia'!A1957,#REF!)</f>
        <v>#REF!</v>
      </c>
      <c r="O1957" s="844"/>
      <c r="P1957" s="843" t="e">
        <f t="shared" si="90"/>
        <v>#REF!</v>
      </c>
      <c r="R1957" s="700"/>
    </row>
    <row r="1958" spans="1:18" ht="15" customHeight="1">
      <c r="A1958" s="657">
        <f>IF(B1958="",MAX($A$8:A1957)+0,MAX($A$8:A1957)+1)</f>
        <v>210</v>
      </c>
      <c r="B1958" s="835" t="str">
        <f>IF(C1958="","",COUNTA($C$10:C1959))</f>
        <v/>
      </c>
      <c r="C1958" s="362"/>
      <c r="D1958" s="362"/>
      <c r="E1958" s="852" t="s">
        <v>36</v>
      </c>
      <c r="F1958" s="848" t="str">
        <f>VLOOKUP(E1958,DICH!B:C,2,FALSE)</f>
        <v>(calculating 70% salary)</v>
      </c>
      <c r="G1958" s="883"/>
      <c r="H1958" s="847"/>
      <c r="I1958" s="853"/>
      <c r="J1958" s="853"/>
      <c r="N1958" s="843" t="e">
        <f>SUMIF(#REF!,'8.Dgia'!A1958,#REF!)+SUMIF(#REF!,'8.Dgia'!A1958,#REF!)+SUMIF(#REF!,'8.Dgia'!A1958,#REF!)+SUMIF(#REF!,'8.Dgia'!A1958,#REF!)</f>
        <v>#REF!</v>
      </c>
      <c r="O1958" s="844"/>
      <c r="P1958" s="843" t="e">
        <f t="shared" si="90"/>
        <v>#REF!</v>
      </c>
      <c r="R1958" s="700"/>
    </row>
    <row r="1959" spans="1:18" ht="15" customHeight="1">
      <c r="A1959" s="657">
        <f>IF(B1959="",MAX($A$8:A1958)+0,MAX($A$8:A1958)+1)</f>
        <v>210</v>
      </c>
      <c r="B1959" s="835" t="str">
        <f>IF(C1959="","",COUNTA($C$10:C1960))</f>
        <v/>
      </c>
      <c r="C1959" s="362"/>
      <c r="D1959" s="362"/>
      <c r="E1959" s="852" t="s">
        <v>2033</v>
      </c>
      <c r="F1959" s="848" t="str">
        <f>VLOOKUP(E1959,DICH!B:C,2,FALSE)</f>
        <v xml:space="preserve">  C - Machine</v>
      </c>
      <c r="G1959" s="883"/>
      <c r="H1959" s="847"/>
      <c r="I1959" s="853"/>
      <c r="J1959" s="885">
        <f>SUM(J1960:J1963)</f>
        <v>5630096.221727726</v>
      </c>
      <c r="N1959" s="843" t="e">
        <f>SUMIF(#REF!,'8.Dgia'!A1959,#REF!)+SUMIF(#REF!,'8.Dgia'!A1959,#REF!)+SUMIF(#REF!,'8.Dgia'!A1959,#REF!)+SUMIF(#REF!,'8.Dgia'!A1959,#REF!)</f>
        <v>#REF!</v>
      </c>
      <c r="O1959" s="844"/>
      <c r="P1959" s="843" t="e">
        <f t="shared" si="90"/>
        <v>#REF!</v>
      </c>
      <c r="R1959" s="700"/>
    </row>
    <row r="1960" spans="1:18" ht="15" customHeight="1">
      <c r="A1960" s="657">
        <f>IF(B1960="",MAX($A$8:A1959)+0,MAX($A$8:A1959)+1)</f>
        <v>210</v>
      </c>
      <c r="B1960" s="835" t="str">
        <f>IF(C1960="","",COUNTA($C$10:C1961))</f>
        <v/>
      </c>
      <c r="C1960" s="362"/>
      <c r="D1960" s="362"/>
      <c r="E1960" s="852" t="s">
        <v>272</v>
      </c>
      <c r="F1960" s="848" t="str">
        <f>VLOOKUP(E1960,'9.may'!E:F,2,FALSE)</f>
        <v>pile driver, diesel hammer 2.5T</v>
      </c>
      <c r="G1960" s="883" t="s">
        <v>4902</v>
      </c>
      <c r="H1960" s="847">
        <v>2.25</v>
      </c>
      <c r="I1960" s="853">
        <f>VLOOKUP(E1960,'9.may'!E:W,12,FALSE)</f>
        <v>2360627.3466363633</v>
      </c>
      <c r="J1960" s="853">
        <f>I1960*H1960</f>
        <v>5311411.5299318172</v>
      </c>
      <c r="N1960" s="843" t="e">
        <f>SUMIF(#REF!,'8.Dgia'!A1960,#REF!)+SUMIF(#REF!,'8.Dgia'!A1960,#REF!)+SUMIF(#REF!,'8.Dgia'!A1960,#REF!)+SUMIF(#REF!,'8.Dgia'!A1960,#REF!)</f>
        <v>#REF!</v>
      </c>
      <c r="O1960" s="844"/>
      <c r="P1960" s="843" t="e">
        <f t="shared" si="90"/>
        <v>#REF!</v>
      </c>
      <c r="R1960" s="700"/>
    </row>
    <row r="1961" spans="1:18" ht="15" customHeight="1">
      <c r="A1961" s="657">
        <f>IF(B1961="",MAX($A$8:A1960)+0,MAX($A$8:A1960)+1)</f>
        <v>210</v>
      </c>
      <c r="B1961" s="835" t="str">
        <f>IF(C1961="","",COUNTA($C$10:C1962))</f>
        <v/>
      </c>
      <c r="C1961" s="362"/>
      <c r="D1961" s="362"/>
      <c r="E1961" s="852" t="s">
        <v>553</v>
      </c>
      <c r="F1961" s="848" t="str">
        <f>VLOOKUP(E1961,DICH!B:C,2,FALSE)</f>
        <v>Other machine</v>
      </c>
      <c r="G1961" s="362" t="s">
        <v>554</v>
      </c>
      <c r="H1961" s="847">
        <v>6</v>
      </c>
      <c r="I1961" s="853">
        <f>+J1960</f>
        <v>5311411.5299318172</v>
      </c>
      <c r="J1961" s="853">
        <f>I1961*H1961%</f>
        <v>318684.69179590902</v>
      </c>
      <c r="N1961" s="843" t="e">
        <f>SUMIF(#REF!,'8.Dgia'!A1961,#REF!)+SUMIF(#REF!,'8.Dgia'!A1961,#REF!)+SUMIF(#REF!,'8.Dgia'!A1961,#REF!)+SUMIF(#REF!,'8.Dgia'!A1961,#REF!)</f>
        <v>#REF!</v>
      </c>
      <c r="O1961" s="844"/>
      <c r="P1961" s="843" t="e">
        <f t="shared" si="90"/>
        <v>#REF!</v>
      </c>
      <c r="R1961" s="700"/>
    </row>
    <row r="1962" spans="1:18" ht="15" customHeight="1">
      <c r="A1962" s="657">
        <f>IF(B1962="",MAX($A$8:A1961)+0,MAX($A$8:A1961)+1)</f>
        <v>210</v>
      </c>
      <c r="B1962" s="835" t="str">
        <f>IF(C1962="","",COUNTA($C$10:C1963))</f>
        <v/>
      </c>
      <c r="C1962" s="362"/>
      <c r="D1962" s="362"/>
      <c r="E1962" s="852" t="s">
        <v>37</v>
      </c>
      <c r="F1962" s="848" t="str">
        <f>VLOOKUP(E1962,DICH!B:C,2,FALSE)</f>
        <v>Waiting 7 days</v>
      </c>
      <c r="G1962" s="883"/>
      <c r="H1962" s="847"/>
      <c r="I1962" s="853"/>
      <c r="J1962" s="853"/>
      <c r="N1962" s="843" t="e">
        <f>SUMIF(#REF!,'8.Dgia'!A1962,#REF!)+SUMIF(#REF!,'8.Dgia'!A1962,#REF!)+SUMIF(#REF!,'8.Dgia'!A1962,#REF!)+SUMIF(#REF!,'8.Dgia'!A1962,#REF!)</f>
        <v>#REF!</v>
      </c>
      <c r="O1962" s="844"/>
      <c r="P1962" s="843" t="e">
        <f t="shared" si="90"/>
        <v>#REF!</v>
      </c>
      <c r="R1962" s="700"/>
    </row>
    <row r="1963" spans="1:18" ht="15" customHeight="1">
      <c r="A1963" s="657">
        <f>IF(B1963="",MAX($A$8:A1962)+0,MAX($A$8:A1962)+1)</f>
        <v>210</v>
      </c>
      <c r="B1963" s="835" t="str">
        <f>IF(C1963="","",COUNTA($C$10:C1964))</f>
        <v/>
      </c>
      <c r="C1963" s="362"/>
      <c r="D1963" s="362"/>
      <c r="E1963" s="852" t="s">
        <v>272</v>
      </c>
      <c r="F1963" s="848" t="str">
        <f>VLOOKUP(E1963,'9.may'!E:F,2,FALSE)</f>
        <v>pile driver, diesel hammer 2.5T</v>
      </c>
      <c r="G1963" s="883" t="s">
        <v>4902</v>
      </c>
      <c r="H1963" s="847">
        <f>7*0.7</f>
        <v>4.8999999999999995</v>
      </c>
      <c r="I1963" s="853"/>
      <c r="J1963" s="853">
        <f>I1963*H1963</f>
        <v>0</v>
      </c>
      <c r="N1963" s="843" t="e">
        <f>SUMIF(#REF!,'8.Dgia'!A1963,#REF!)+SUMIF(#REF!,'8.Dgia'!A1963,#REF!)+SUMIF(#REF!,'8.Dgia'!A1963,#REF!)+SUMIF(#REF!,'8.Dgia'!A1963,#REF!)</f>
        <v>#REF!</v>
      </c>
      <c r="O1963" s="844"/>
      <c r="P1963" s="843" t="e">
        <f t="shared" si="90"/>
        <v>#REF!</v>
      </c>
      <c r="R1963" s="700"/>
    </row>
    <row r="1964" spans="1:18" ht="15" customHeight="1">
      <c r="A1964" s="657">
        <f>IF(B1964="",MAX($A$8:A1963)+0,MAX($A$8:A1963)+1)</f>
        <v>210</v>
      </c>
      <c r="B1964" s="835" t="str">
        <f>IF(C1964="","",COUNTA($C$10:C1965))</f>
        <v/>
      </c>
      <c r="C1964" s="362"/>
      <c r="D1964" s="362"/>
      <c r="E1964" s="852" t="s">
        <v>38</v>
      </c>
      <c r="F1964" s="848" t="str">
        <f>VLOOKUP(E1964,DICH!B:C,2,FALSE)</f>
        <v xml:space="preserve">(=1709776 -46,64kg diezel *7818/0,87đ-18Kwh electric*1000đ) </v>
      </c>
      <c r="G1964" s="883"/>
      <c r="H1964" s="847"/>
      <c r="I1964" s="853"/>
      <c r="J1964" s="853"/>
      <c r="N1964" s="843" t="e">
        <f>SUMIF(#REF!,'8.Dgia'!A1964,#REF!)+SUMIF(#REF!,'8.Dgia'!A1964,#REF!)+SUMIF(#REF!,'8.Dgia'!A1964,#REF!)+SUMIF(#REF!,'8.Dgia'!A1964,#REF!)</f>
        <v>#REF!</v>
      </c>
      <c r="O1964" s="844"/>
      <c r="P1964" s="843" t="e">
        <f t="shared" si="90"/>
        <v>#REF!</v>
      </c>
      <c r="R1964" s="700"/>
    </row>
    <row r="1965" spans="1:18" ht="28.5" customHeight="1">
      <c r="A1965" s="657">
        <f>IF(B1965="",MAX($A$8:A1964)+0,MAX($A$8:A1964)+1)</f>
        <v>211</v>
      </c>
      <c r="B1965" s="835">
        <f>IF(C1965="","",COUNTA($C$10:C1966))</f>
        <v>211</v>
      </c>
      <c r="C1965" s="835">
        <f>IF(D1965="","",1776)</f>
        <v>1776</v>
      </c>
      <c r="D1965" s="362" t="s">
        <v>350</v>
      </c>
      <c r="E1965" s="855" t="s">
        <v>40</v>
      </c>
      <c r="F1965" s="1049" t="str">
        <f>VLOOKUP(E1965,DICH!B:C,2,FALSE)</f>
        <v>Pilling vertical RC pile 30x30, L&gt;24m (land)</v>
      </c>
      <c r="G1965" s="884" t="s">
        <v>546</v>
      </c>
      <c r="H1965" s="847"/>
      <c r="I1965" s="853"/>
      <c r="J1965" s="857"/>
      <c r="L1965" s="842">
        <f>+J1966</f>
        <v>941279.67999999993</v>
      </c>
      <c r="M1965" s="842">
        <f>+J1967</f>
        <v>5630096.221727726</v>
      </c>
      <c r="N1965" s="843" t="e">
        <f>SUMIF(#REF!,'8.Dgia'!A1965,#REF!)+SUMIF(#REF!,'8.Dgia'!A1965,#REF!)+SUMIF(#REF!,'8.Dgia'!A1965,#REF!)+SUMIF(#REF!,'8.Dgia'!A1965,#REF!)</f>
        <v>#REF!</v>
      </c>
      <c r="O1965" s="844"/>
      <c r="P1965" s="843" t="e">
        <f t="shared" si="90"/>
        <v>#REF!</v>
      </c>
      <c r="R1965" s="700"/>
    </row>
    <row r="1966" spans="1:18" ht="15" customHeight="1">
      <c r="A1966" s="657">
        <f>IF(B1966="",MAX($A$8:A1965)+0,MAX($A$8:A1965)+1)</f>
        <v>211</v>
      </c>
      <c r="B1966" s="835" t="str">
        <f>IF(C1966="","",COUNTA($C$10:C1967))</f>
        <v/>
      </c>
      <c r="C1966" s="362"/>
      <c r="D1966" s="362"/>
      <c r="E1966" s="852" t="s">
        <v>2037</v>
      </c>
      <c r="F1966" s="848" t="str">
        <f>VLOOKUP(E1966,DICH!B:C,2,FALSE)</f>
        <v xml:space="preserve">  B - Labour 3.5/7</v>
      </c>
      <c r="G1966" s="883" t="s">
        <v>4899</v>
      </c>
      <c r="H1966" s="847">
        <v>4.6399999999999997</v>
      </c>
      <c r="I1966" s="848">
        <f>VLOOKUP(E1966,'16.NC'!$C$11:$F$22,4,FALSE)</f>
        <v>202862</v>
      </c>
      <c r="J1966" s="849">
        <f>I1966*H1966</f>
        <v>941279.67999999993</v>
      </c>
      <c r="N1966" s="843" t="e">
        <f>SUMIF(#REF!,'8.Dgia'!A1966,#REF!)+SUMIF(#REF!,'8.Dgia'!A1966,#REF!)+SUMIF(#REF!,'8.Dgia'!A1966,#REF!)+SUMIF(#REF!,'8.Dgia'!A1966,#REF!)</f>
        <v>#REF!</v>
      </c>
      <c r="O1966" s="844"/>
      <c r="P1966" s="843" t="e">
        <f t="shared" si="90"/>
        <v>#REF!</v>
      </c>
      <c r="R1966" s="658">
        <v>1</v>
      </c>
    </row>
    <row r="1967" spans="1:18" ht="15" customHeight="1">
      <c r="A1967" s="657">
        <f>IF(B1967="",MAX($A$8:A1966)+0,MAX($A$8:A1966)+1)</f>
        <v>211</v>
      </c>
      <c r="B1967" s="835" t="str">
        <f>IF(C1967="","",COUNTA($C$10:C1968))</f>
        <v/>
      </c>
      <c r="C1967" s="891"/>
      <c r="D1967" s="847"/>
      <c r="E1967" s="852" t="s">
        <v>2033</v>
      </c>
      <c r="F1967" s="848" t="str">
        <f>VLOOKUP(E1967,DICH!B:C,2,FALSE)</f>
        <v xml:space="preserve">  C - Machine</v>
      </c>
      <c r="G1967" s="883"/>
      <c r="H1967" s="847"/>
      <c r="I1967" s="853"/>
      <c r="J1967" s="885">
        <f>SUM(J1968:J1969)</f>
        <v>5630096.221727726</v>
      </c>
      <c r="N1967" s="843" t="e">
        <f>SUMIF(#REF!,'8.Dgia'!A1967,#REF!)+SUMIF(#REF!,'8.Dgia'!A1967,#REF!)+SUMIF(#REF!,'8.Dgia'!A1967,#REF!)+SUMIF(#REF!,'8.Dgia'!A1967,#REF!)</f>
        <v>#REF!</v>
      </c>
      <c r="O1967" s="844"/>
      <c r="P1967" s="843" t="e">
        <f t="shared" si="90"/>
        <v>#REF!</v>
      </c>
      <c r="R1967" s="990"/>
    </row>
    <row r="1968" spans="1:18" ht="15" customHeight="1">
      <c r="A1968" s="657">
        <f>IF(B1968="",MAX($A$8:A1967)+0,MAX($A$8:A1967)+1)</f>
        <v>211</v>
      </c>
      <c r="B1968" s="835" t="str">
        <f>IF(C1968="","",COUNTA($C$10:C1969))</f>
        <v/>
      </c>
      <c r="C1968" s="891"/>
      <c r="D1968" s="847"/>
      <c r="E1968" s="852" t="s">
        <v>272</v>
      </c>
      <c r="F1968" s="848" t="str">
        <f>VLOOKUP(E1968,'9.may'!E:F,2,FALSE)</f>
        <v>pile driver, diesel hammer 2.5T</v>
      </c>
      <c r="G1968" s="883" t="s">
        <v>4902</v>
      </c>
      <c r="H1968" s="847">
        <v>2.25</v>
      </c>
      <c r="I1968" s="853">
        <f>VLOOKUP(E1968,'9.may'!E:W,12,FALSE)</f>
        <v>2360627.3466363633</v>
      </c>
      <c r="J1968" s="853">
        <f>I1968*H1968</f>
        <v>5311411.5299318172</v>
      </c>
      <c r="N1968" s="843" t="e">
        <f>SUMIF(#REF!,'8.Dgia'!A1968,#REF!)+SUMIF(#REF!,'8.Dgia'!A1968,#REF!)+SUMIF(#REF!,'8.Dgia'!A1968,#REF!)+SUMIF(#REF!,'8.Dgia'!A1968,#REF!)</f>
        <v>#REF!</v>
      </c>
      <c r="O1968" s="844"/>
      <c r="P1968" s="843" t="e">
        <f t="shared" si="90"/>
        <v>#REF!</v>
      </c>
      <c r="R1968" s="990"/>
    </row>
    <row r="1969" spans="1:18" ht="15" customHeight="1">
      <c r="A1969" s="657">
        <f>IF(B1969="",MAX($A$8:A1968)+0,MAX($A$8:A1968)+1)</f>
        <v>211</v>
      </c>
      <c r="B1969" s="835" t="str">
        <f>IF(C1969="","",COUNTA($C$10:C1970))</f>
        <v/>
      </c>
      <c r="C1969" s="891"/>
      <c r="D1969" s="847"/>
      <c r="E1969" s="852" t="s">
        <v>553</v>
      </c>
      <c r="F1969" s="848" t="str">
        <f>VLOOKUP(E1969,DICH!B:C,2,FALSE)</f>
        <v>Other machine</v>
      </c>
      <c r="G1969" s="362" t="s">
        <v>554</v>
      </c>
      <c r="H1969" s="847">
        <v>6</v>
      </c>
      <c r="I1969" s="853">
        <f>J1968</f>
        <v>5311411.5299318172</v>
      </c>
      <c r="J1969" s="853">
        <f>I1969*H1969%</f>
        <v>318684.69179590902</v>
      </c>
      <c r="N1969" s="843" t="e">
        <f>SUMIF(#REF!,'8.Dgia'!A1969,#REF!)+SUMIF(#REF!,'8.Dgia'!A1969,#REF!)+SUMIF(#REF!,'8.Dgia'!A1969,#REF!)+SUMIF(#REF!,'8.Dgia'!A1969,#REF!)</f>
        <v>#REF!</v>
      </c>
      <c r="O1969" s="844"/>
      <c r="P1969" s="843" t="e">
        <f t="shared" si="90"/>
        <v>#REF!</v>
      </c>
      <c r="R1969" s="990"/>
    </row>
    <row r="1970" spans="1:18" ht="15" customHeight="1">
      <c r="A1970" s="657">
        <f>IF(B1970="",MAX($A$8:A1969)+0,MAX($A$8:A1969)+1)</f>
        <v>212</v>
      </c>
      <c r="B1970" s="835">
        <f>IF(C1970="","",COUNTA($C$10:C1971))</f>
        <v>212</v>
      </c>
      <c r="C1970" s="835">
        <f>IF(D1970="","",1776)</f>
        <v>1776</v>
      </c>
      <c r="D1970" s="917" t="s">
        <v>142</v>
      </c>
      <c r="E1970" s="855" t="s">
        <v>143</v>
      </c>
      <c r="F1970" s="1049" t="str">
        <f>VLOOKUP(E1970,DICH!B:C,2,FALSE)</f>
        <v>Making and droping stone cage in water (1cage=1m3)</v>
      </c>
      <c r="G1970" s="918" t="s">
        <v>545</v>
      </c>
      <c r="H1970" s="892"/>
      <c r="I1970" s="848"/>
      <c r="J1970" s="853"/>
      <c r="K1970" s="842">
        <f>+J1971</f>
        <v>429607.06179963052</v>
      </c>
      <c r="L1970" s="842">
        <f>+J1974</f>
        <v>515269.48</v>
      </c>
      <c r="N1970" s="843" t="e">
        <f>SUMIF(#REF!,'8.Dgia'!A1970,#REF!)+SUMIF(#REF!,'8.Dgia'!A1970,#REF!)+SUMIF(#REF!,'8.Dgia'!A1970,#REF!)+SUMIF(#REF!,'8.Dgia'!A1970,#REF!)</f>
        <v>#REF!</v>
      </c>
      <c r="O1970" s="844"/>
      <c r="P1970" s="843" t="e">
        <f t="shared" si="90"/>
        <v>#REF!</v>
      </c>
    </row>
    <row r="1971" spans="1:18" ht="15" customHeight="1">
      <c r="A1971" s="657">
        <f>IF(B1971="",MAX($A$8:A1970)+0,MAX($A$8:A1970)+1)</f>
        <v>212</v>
      </c>
      <c r="B1971" s="835" t="str">
        <f>IF(C1971="","",COUNTA($C$10:C1972))</f>
        <v/>
      </c>
      <c r="C1971" s="362"/>
      <c r="D1971" s="324"/>
      <c r="E1971" s="852" t="s">
        <v>2032</v>
      </c>
      <c r="F1971" s="848" t="str">
        <f>VLOOKUP(E1971,DICH!B:C,2,FALSE)</f>
        <v xml:space="preserve">  A - Material</v>
      </c>
      <c r="G1971" s="362"/>
      <c r="H1971" s="362"/>
      <c r="I1971" s="858"/>
      <c r="J1971" s="849">
        <f>SUM(J1972:J1973)</f>
        <v>429607.06179963052</v>
      </c>
      <c r="N1971" s="843" t="e">
        <f>SUMIF(#REF!,'8.Dgia'!A1971,#REF!)+SUMIF(#REF!,'8.Dgia'!A1971,#REF!)+SUMIF(#REF!,'8.Dgia'!A1971,#REF!)+SUMIF(#REF!,'8.Dgia'!A1971,#REF!)</f>
        <v>#REF!</v>
      </c>
      <c r="O1971" s="844"/>
      <c r="P1971" s="843" t="e">
        <f t="shared" si="90"/>
        <v>#REF!</v>
      </c>
    </row>
    <row r="1972" spans="1:18" ht="15" customHeight="1">
      <c r="A1972" s="657">
        <f>IF(B1972="",MAX($A$8:A1971)+0,MAX($A$8:A1971)+1)</f>
        <v>212</v>
      </c>
      <c r="B1972" s="835" t="str">
        <f>IF(C1972="","",COUNTA($C$10:C1973))</f>
        <v/>
      </c>
      <c r="C1972" s="362"/>
      <c r="D1972" s="847"/>
      <c r="E1972" s="852" t="s">
        <v>459</v>
      </c>
      <c r="F1972" s="848" t="str">
        <f>VLOOKUP(E1972,DICH!B:C,2,FALSE)</f>
        <v>Steel ware</v>
      </c>
      <c r="G1972" s="362" t="s">
        <v>558</v>
      </c>
      <c r="H1972" s="847">
        <v>11</v>
      </c>
      <c r="I1972" s="848">
        <f>VLOOKUP(E1972,'11.gia '!$B:$I,8,FALSE)</f>
        <v>17143</v>
      </c>
      <c r="J1972" s="853">
        <f>I1972*H1972</f>
        <v>188573</v>
      </c>
      <c r="N1972" s="843" t="e">
        <f>SUMIF(#REF!,'8.Dgia'!A1972,#REF!)+SUMIF(#REF!,'8.Dgia'!A1972,#REF!)+SUMIF(#REF!,'8.Dgia'!A1972,#REF!)+SUMIF(#REF!,'8.Dgia'!A1972,#REF!)</f>
        <v>#REF!</v>
      </c>
      <c r="O1972" s="844"/>
      <c r="P1972" s="843" t="e">
        <f t="shared" si="90"/>
        <v>#REF!</v>
      </c>
    </row>
    <row r="1973" spans="1:18" ht="15" customHeight="1">
      <c r="A1973" s="657">
        <f>IF(B1973="",MAX($A$8:A1972)+0,MAX($A$8:A1972)+1)</f>
        <v>212</v>
      </c>
      <c r="B1973" s="835" t="str">
        <f>IF(C1973="","",COUNTA($C$10:C1974))</f>
        <v/>
      </c>
      <c r="C1973" s="362"/>
      <c r="D1973" s="847"/>
      <c r="E1973" s="852" t="s">
        <v>599</v>
      </c>
      <c r="F1973" s="848" t="str">
        <f>VLOOKUP(E1973,DICH!B:C,2,FALSE)</f>
        <v>Masory</v>
      </c>
      <c r="G1973" s="362" t="s">
        <v>545</v>
      </c>
      <c r="H1973" s="847">
        <v>0.8</v>
      </c>
      <c r="I1973" s="848">
        <f>VLOOKUP(E1973,'11.gia '!$B:$I,8,FALSE)</f>
        <v>301292.57724953815</v>
      </c>
      <c r="J1973" s="853">
        <f>I1973*H1973</f>
        <v>241034.06179963052</v>
      </c>
      <c r="N1973" s="843" t="e">
        <f>SUMIF(#REF!,'8.Dgia'!A1973,#REF!)+SUMIF(#REF!,'8.Dgia'!A1973,#REF!)+SUMIF(#REF!,'8.Dgia'!A1973,#REF!)+SUMIF(#REF!,'8.Dgia'!A1973,#REF!)</f>
        <v>#REF!</v>
      </c>
      <c r="O1973" s="844"/>
      <c r="P1973" s="843" t="e">
        <f t="shared" si="90"/>
        <v>#REF!</v>
      </c>
    </row>
    <row r="1974" spans="1:18" ht="15" customHeight="1">
      <c r="A1974" s="657">
        <f>IF(B1974="",MAX($A$8:A1973)+0,MAX($A$8:A1973)+1)</f>
        <v>212</v>
      </c>
      <c r="B1974" s="835" t="str">
        <f>IF(C1974="","",COUNTA($C$10:C1975))</f>
        <v/>
      </c>
      <c r="C1974" s="362"/>
      <c r="D1974" s="847"/>
      <c r="E1974" s="852" t="s">
        <v>2037</v>
      </c>
      <c r="F1974" s="848" t="str">
        <f>VLOOKUP(E1974,DICH!B:C,2,FALSE)</f>
        <v xml:space="preserve">  B - Labour 3.5/7</v>
      </c>
      <c r="G1974" s="847" t="s">
        <v>4899</v>
      </c>
      <c r="H1974" s="847">
        <v>2.54</v>
      </c>
      <c r="I1974" s="848">
        <f>VLOOKUP(E1974,'16.NC'!$C$11:$F$22,4,FALSE)</f>
        <v>202862</v>
      </c>
      <c r="J1974" s="849">
        <f>I1974*H1974</f>
        <v>515269.48</v>
      </c>
      <c r="N1974" s="843" t="e">
        <f>SUMIF(#REF!,'8.Dgia'!A1974,#REF!)+SUMIF(#REF!,'8.Dgia'!A1974,#REF!)+SUMIF(#REF!,'8.Dgia'!A1974,#REF!)+SUMIF(#REF!,'8.Dgia'!A1974,#REF!)</f>
        <v>#REF!</v>
      </c>
      <c r="O1974" s="844"/>
      <c r="P1974" s="843" t="e">
        <f t="shared" si="90"/>
        <v>#REF!</v>
      </c>
      <c r="R1974" s="658">
        <v>1</v>
      </c>
    </row>
    <row r="1975" spans="1:18" ht="15" customHeight="1">
      <c r="A1975" s="657">
        <f>IF(B1975="",MAX($A$8:A1974)+0,MAX($A$8:A1974)+1)</f>
        <v>213</v>
      </c>
      <c r="B1975" s="835">
        <f>IF(C1975="","",COUNTA($C$10:C1976))</f>
        <v>213</v>
      </c>
      <c r="C1975" s="835">
        <f>IF(D1975="","",1776)</f>
        <v>1776</v>
      </c>
      <c r="D1975" s="917" t="s">
        <v>22</v>
      </c>
      <c r="E1975" s="855" t="s">
        <v>23</v>
      </c>
      <c r="F1975" s="1049" t="str">
        <f>VLOOKUP(E1975,DICH!B:C,2,FALSE)</f>
        <v>Bituminous coat  4.5kg/m2</v>
      </c>
      <c r="G1975" s="918" t="s">
        <v>547</v>
      </c>
      <c r="H1975" s="892"/>
      <c r="I1975" s="848"/>
      <c r="J1975" s="853"/>
      <c r="K1975" s="842">
        <f>+J1976</f>
        <v>9601607.9122424051</v>
      </c>
      <c r="L1975" s="842">
        <f>+J1981</f>
        <v>1460606.4000000001</v>
      </c>
      <c r="M1975" s="842">
        <f>+J1982</f>
        <v>855943.55991818162</v>
      </c>
      <c r="N1975" s="843" t="e">
        <f>SUMIF(#REF!,'8.Dgia'!A1975,#REF!)+SUMIF(#REF!,'8.Dgia'!A1975,#REF!)+SUMIF(#REF!,'8.Dgia'!A1975,#REF!)+SUMIF(#REF!,'8.Dgia'!A1975,#REF!)</f>
        <v>#REF!</v>
      </c>
      <c r="O1975" s="844"/>
      <c r="P1975" s="843" t="e">
        <f t="shared" si="90"/>
        <v>#REF!</v>
      </c>
    </row>
    <row r="1976" spans="1:18" ht="15" customHeight="1">
      <c r="A1976" s="657">
        <f>IF(B1976="",MAX($A$8:A1975)+0,MAX($A$8:A1975)+1)</f>
        <v>213</v>
      </c>
      <c r="B1976" s="835" t="str">
        <f>IF(C1976="","",COUNTA($C$10:C1977))</f>
        <v/>
      </c>
      <c r="C1976" s="362"/>
      <c r="D1976" s="917"/>
      <c r="E1976" s="852" t="s">
        <v>2032</v>
      </c>
      <c r="F1976" s="848" t="str">
        <f>VLOOKUP(E1976,DICH!B:C,2,FALSE)</f>
        <v xml:space="preserve">  A - Material</v>
      </c>
      <c r="G1976" s="892"/>
      <c r="H1976" s="892"/>
      <c r="I1976" s="848"/>
      <c r="J1976" s="849">
        <f>SUM(J1977:J1980)</f>
        <v>9601607.9122424051</v>
      </c>
      <c r="N1976" s="843" t="e">
        <f>SUMIF(#REF!,'8.Dgia'!A1976,#REF!)+SUMIF(#REF!,'8.Dgia'!A1976,#REF!)+SUMIF(#REF!,'8.Dgia'!A1976,#REF!)+SUMIF(#REF!,'8.Dgia'!A1976,#REF!)</f>
        <v>#REF!</v>
      </c>
      <c r="O1976" s="844"/>
      <c r="P1976" s="843" t="e">
        <f t="shared" si="90"/>
        <v>#REF!</v>
      </c>
    </row>
    <row r="1977" spans="1:18" ht="15" customHeight="1">
      <c r="A1977" s="657">
        <f>IF(B1977="",MAX($A$8:A1976)+0,MAX($A$8:A1976)+1)</f>
        <v>213</v>
      </c>
      <c r="B1977" s="835" t="str">
        <f>IF(C1977="","",COUNTA($C$10:C1978))</f>
        <v/>
      </c>
      <c r="C1977" s="362"/>
      <c r="D1977" s="917"/>
      <c r="E1977" s="852" t="s">
        <v>590</v>
      </c>
      <c r="F1977" s="848" t="str">
        <f>VLOOKUP(E1977,DICH!B:C,2,FALSE)</f>
        <v>bitumen</v>
      </c>
      <c r="G1977" s="892" t="s">
        <v>558</v>
      </c>
      <c r="H1977" s="892">
        <v>481</v>
      </c>
      <c r="I1977" s="858">
        <f>VLOOKUP(E1977,'11.gia '!$B:$I,8,FALSE)</f>
        <v>15823.463400000001</v>
      </c>
      <c r="J1977" s="853">
        <f>I1977*H1977</f>
        <v>7611085.8953999998</v>
      </c>
      <c r="N1977" s="843" t="e">
        <f>SUMIF(#REF!,'8.Dgia'!A1977,#REF!)+SUMIF(#REF!,'8.Dgia'!A1977,#REF!)+SUMIF(#REF!,'8.Dgia'!A1977,#REF!)+SUMIF(#REF!,'8.Dgia'!A1977,#REF!)</f>
        <v>#REF!</v>
      </c>
      <c r="O1977" s="844"/>
      <c r="P1977" s="843" t="e">
        <f t="shared" si="90"/>
        <v>#REF!</v>
      </c>
    </row>
    <row r="1978" spans="1:18" ht="15" customHeight="1">
      <c r="A1978" s="657">
        <f>IF(B1978="",MAX($A$8:A1977)+0,MAX($A$8:A1977)+1)</f>
        <v>213</v>
      </c>
      <c r="B1978" s="835" t="str">
        <f>IF(C1978="","",COUNTA($C$10:C1979))</f>
        <v/>
      </c>
      <c r="C1978" s="361"/>
      <c r="D1978" s="361"/>
      <c r="E1978" s="852" t="s">
        <v>24</v>
      </c>
      <c r="F1978" s="848" t="str">
        <f>VLOOKUP(E1978,DICH!B:C,2,FALSE)</f>
        <v>Stone 0.5-2</v>
      </c>
      <c r="G1978" s="847" t="s">
        <v>545</v>
      </c>
      <c r="H1978" s="892">
        <v>2.99</v>
      </c>
      <c r="I1978" s="848">
        <f>VLOOKUP(E1978,'11.gia '!$B:$I,8,FALSE)</f>
        <v>354185.41224953817</v>
      </c>
      <c r="J1978" s="853">
        <f>I1978*H1978</f>
        <v>1059014.3826261193</v>
      </c>
      <c r="N1978" s="843" t="e">
        <f>SUMIF(#REF!,'8.Dgia'!A1978,#REF!)+SUMIF(#REF!,'8.Dgia'!A1978,#REF!)+SUMIF(#REF!,'8.Dgia'!A1978,#REF!)+SUMIF(#REF!,'8.Dgia'!A1978,#REF!)</f>
        <v>#REF!</v>
      </c>
      <c r="O1978" s="844"/>
      <c r="P1978" s="843" t="e">
        <f t="shared" si="90"/>
        <v>#REF!</v>
      </c>
    </row>
    <row r="1979" spans="1:18" ht="15" customHeight="1">
      <c r="A1979" s="657">
        <f>IF(B1979="",MAX($A$8:A1978)+0,MAX($A$8:A1978)+1)</f>
        <v>213</v>
      </c>
      <c r="B1979" s="835" t="str">
        <f>IF(C1979="","",COUNTA($C$10:C1980))</f>
        <v/>
      </c>
      <c r="C1979" s="361"/>
      <c r="D1979" s="361"/>
      <c r="E1979" s="852" t="s">
        <v>25</v>
      </c>
      <c r="F1979" s="848" t="str">
        <f>VLOOKUP(E1979,DICH!B:C,2,FALSE)</f>
        <v>Stone 0.5-1.6</v>
      </c>
      <c r="G1979" s="847" t="s">
        <v>545</v>
      </c>
      <c r="H1979" s="892">
        <v>1.58</v>
      </c>
      <c r="I1979" s="848">
        <f>VLOOKUP(E1979,'11.gia '!$B:$I,8,FALSE)</f>
        <v>354185.41224953817</v>
      </c>
      <c r="J1979" s="853">
        <f>I1979*H1979</f>
        <v>559612.95135427034</v>
      </c>
      <c r="N1979" s="843" t="e">
        <f>SUMIF(#REF!,'8.Dgia'!A1979,#REF!)+SUMIF(#REF!,'8.Dgia'!A1979,#REF!)+SUMIF(#REF!,'8.Dgia'!A1979,#REF!)+SUMIF(#REF!,'8.Dgia'!A1979,#REF!)</f>
        <v>#REF!</v>
      </c>
      <c r="O1979" s="844"/>
      <c r="P1979" s="843" t="e">
        <f t="shared" si="90"/>
        <v>#REF!</v>
      </c>
    </row>
    <row r="1980" spans="1:18" ht="15" customHeight="1">
      <c r="A1980" s="657">
        <f>IF(B1980="",MAX($A$8:A1979)+0,MAX($A$8:A1979)+1)</f>
        <v>213</v>
      </c>
      <c r="B1980" s="835" t="str">
        <f>IF(C1980="","",COUNTA($C$10:C1981))</f>
        <v/>
      </c>
      <c r="C1980" s="361"/>
      <c r="D1980" s="361"/>
      <c r="E1980" s="852" t="s">
        <v>26</v>
      </c>
      <c r="F1980" s="848" t="str">
        <f>VLOOKUP(E1980,DICH!B:C,2,FALSE)</f>
        <v>Stone 0.5-1.0</v>
      </c>
      <c r="G1980" s="847" t="s">
        <v>545</v>
      </c>
      <c r="H1980" s="892">
        <v>1.05</v>
      </c>
      <c r="I1980" s="848">
        <f>VLOOKUP(E1980,'11.gia '!$B:$I,8,FALSE)</f>
        <v>354185.41224953817</v>
      </c>
      <c r="J1980" s="853">
        <f>I1980*H1980</f>
        <v>371894.68286201509</v>
      </c>
      <c r="N1980" s="843" t="e">
        <f>SUMIF(#REF!,'8.Dgia'!A1980,#REF!)+SUMIF(#REF!,'8.Dgia'!A1980,#REF!)+SUMIF(#REF!,'8.Dgia'!A1980,#REF!)+SUMIF(#REF!,'8.Dgia'!A1980,#REF!)</f>
        <v>#REF!</v>
      </c>
      <c r="O1980" s="844"/>
      <c r="P1980" s="843" t="e">
        <f t="shared" si="90"/>
        <v>#REF!</v>
      </c>
    </row>
    <row r="1981" spans="1:18" ht="15" customHeight="1">
      <c r="A1981" s="657">
        <f>IF(B1981="",MAX($A$8:A1980)+0,MAX($A$8:A1980)+1)</f>
        <v>213</v>
      </c>
      <c r="B1981" s="835" t="str">
        <f>IF(C1981="","",COUNTA($C$10:C1982))</f>
        <v/>
      </c>
      <c r="C1981" s="362"/>
      <c r="D1981" s="917"/>
      <c r="E1981" s="852" t="s">
        <v>2037</v>
      </c>
      <c r="F1981" s="848" t="str">
        <f>VLOOKUP(E1981,DICH!B:C,2,FALSE)</f>
        <v xml:space="preserve">  B - Labour 3.5/7</v>
      </c>
      <c r="G1981" s="892" t="s">
        <v>4899</v>
      </c>
      <c r="H1981" s="892">
        <v>7.2</v>
      </c>
      <c r="I1981" s="848">
        <f>VLOOKUP(E1981,'16.NC'!$C$11:$F$22,4,FALSE)</f>
        <v>202862</v>
      </c>
      <c r="J1981" s="849">
        <f>I1981*H1981</f>
        <v>1460606.4000000001</v>
      </c>
      <c r="N1981" s="843" t="e">
        <f>SUMIF(#REF!,'8.Dgia'!A1981,#REF!)+SUMIF(#REF!,'8.Dgia'!A1981,#REF!)+SUMIF(#REF!,'8.Dgia'!A1981,#REF!)+SUMIF(#REF!,'8.Dgia'!A1981,#REF!)</f>
        <v>#REF!</v>
      </c>
      <c r="O1981" s="844"/>
      <c r="P1981" s="843" t="e">
        <f t="shared" si="90"/>
        <v>#REF!</v>
      </c>
      <c r="R1981" s="658">
        <v>1</v>
      </c>
    </row>
    <row r="1982" spans="1:18" ht="15" customHeight="1">
      <c r="A1982" s="657">
        <f>IF(B1982="",MAX($A$8:A1981)+0,MAX($A$8:A1981)+1)</f>
        <v>213</v>
      </c>
      <c r="B1982" s="835" t="str">
        <f>IF(C1982="","",COUNTA($C$10:C1983))</f>
        <v/>
      </c>
      <c r="C1982" s="362"/>
      <c r="D1982" s="917"/>
      <c r="E1982" s="852" t="s">
        <v>2033</v>
      </c>
      <c r="F1982" s="848" t="str">
        <f>VLOOKUP(E1982,DICH!B:C,2,FALSE)</f>
        <v xml:space="preserve">  C - Machine</v>
      </c>
      <c r="G1982" s="892"/>
      <c r="H1982" s="892"/>
      <c r="I1982" s="848"/>
      <c r="J1982" s="849">
        <f>SUM(J1983:J1985)</f>
        <v>855943.55991818162</v>
      </c>
      <c r="N1982" s="843" t="e">
        <f>SUMIF(#REF!,'8.Dgia'!A1982,#REF!)+SUMIF(#REF!,'8.Dgia'!A1982,#REF!)+SUMIF(#REF!,'8.Dgia'!A1982,#REF!)+SUMIF(#REF!,'8.Dgia'!A1982,#REF!)</f>
        <v>#REF!</v>
      </c>
      <c r="O1982" s="844"/>
      <c r="P1982" s="843" t="e">
        <f t="shared" si="90"/>
        <v>#REF!</v>
      </c>
    </row>
    <row r="1983" spans="1:18" ht="15" customHeight="1">
      <c r="A1983" s="657">
        <f>IF(B1983="",MAX($A$8:A1982)+0,MAX($A$8:A1982)+1)</f>
        <v>213</v>
      </c>
      <c r="B1983" s="835" t="str">
        <f>IF(C1983="","",COUNTA($C$10:C1984))</f>
        <v/>
      </c>
      <c r="C1983" s="362"/>
      <c r="D1983" s="917"/>
      <c r="E1983" s="852" t="s">
        <v>890</v>
      </c>
      <c r="F1983" s="848" t="str">
        <f>VLOOKUP(E1983,'9.may'!E:F,2,FALSE)</f>
        <v>Steel roller 9T</v>
      </c>
      <c r="G1983" s="892" t="s">
        <v>4902</v>
      </c>
      <c r="H1983" s="892">
        <v>0.43</v>
      </c>
      <c r="I1983" s="848">
        <f>VLOOKUP(E1983,'9.may'!E:W,12,FALSE)</f>
        <v>846515.38909090904</v>
      </c>
      <c r="J1983" s="853">
        <f>I1983*H1983</f>
        <v>364001.61730909086</v>
      </c>
      <c r="N1983" s="843" t="e">
        <f>SUMIF(#REF!,'8.Dgia'!A1983,#REF!)+SUMIF(#REF!,'8.Dgia'!A1983,#REF!)+SUMIF(#REF!,'8.Dgia'!A1983,#REF!)+SUMIF(#REF!,'8.Dgia'!A1983,#REF!)</f>
        <v>#REF!</v>
      </c>
      <c r="O1983" s="844"/>
      <c r="P1983" s="843" t="e">
        <f t="shared" si="90"/>
        <v>#REF!</v>
      </c>
    </row>
    <row r="1984" spans="1:18" ht="15" customHeight="1">
      <c r="A1984" s="657">
        <f>IF(B1984="",MAX($A$8:A1983)+0,MAX($A$8:A1983)+1)</f>
        <v>213</v>
      </c>
      <c r="B1984" s="835" t="str">
        <f>IF(C1984="","",COUNTA($C$10:C1985))</f>
        <v/>
      </c>
      <c r="C1984" s="362"/>
      <c r="D1984" s="917"/>
      <c r="E1984" s="852" t="s">
        <v>1232</v>
      </c>
      <c r="F1984" s="848" t="str">
        <f>VLOOKUP(E1984,'9.may'!E:F,2,FALSE)</f>
        <v>asphalt distributor truct 7T</v>
      </c>
      <c r="G1984" s="892" t="s">
        <v>4902</v>
      </c>
      <c r="H1984" s="892">
        <v>0.21</v>
      </c>
      <c r="I1984" s="848">
        <f>VLOOKUP(E1984,'9.may'!E:W,12,FALSE)</f>
        <v>2271696.4690909088</v>
      </c>
      <c r="J1984" s="853">
        <f>I1984*H1984</f>
        <v>477056.25850909081</v>
      </c>
      <c r="N1984" s="843" t="e">
        <f>SUMIF(#REF!,'8.Dgia'!A1984,#REF!)+SUMIF(#REF!,'8.Dgia'!A1984,#REF!)+SUMIF(#REF!,'8.Dgia'!A1984,#REF!)+SUMIF(#REF!,'8.Dgia'!A1984,#REF!)</f>
        <v>#REF!</v>
      </c>
      <c r="O1984" s="844"/>
      <c r="P1984" s="843" t="e">
        <f t="shared" si="90"/>
        <v>#REF!</v>
      </c>
    </row>
    <row r="1985" spans="1:18" ht="15" customHeight="1">
      <c r="A1985" s="657">
        <f>IF(B1985="",MAX($A$8:A1984)+0,MAX($A$8:A1984)+1)</f>
        <v>213</v>
      </c>
      <c r="B1985" s="835" t="str">
        <f>IF(C1985="","",COUNTA($C$10:C1986))</f>
        <v/>
      </c>
      <c r="C1985" s="362"/>
      <c r="D1985" s="917"/>
      <c r="E1985" s="852" t="s">
        <v>451</v>
      </c>
      <c r="F1985" s="848" t="str">
        <f>VLOOKUP(E1985,'9.may'!E:F,2,FALSE)</f>
        <v>Bitumen-cook equipment</v>
      </c>
      <c r="G1985" s="892" t="s">
        <v>4902</v>
      </c>
      <c r="H1985" s="892">
        <v>0.21</v>
      </c>
      <c r="I1985" s="848">
        <f>VLOOKUP(E1985,'9.may'!E:W,12,FALSE)</f>
        <v>70884.210000000006</v>
      </c>
      <c r="J1985" s="853">
        <f>I1985*H1985</f>
        <v>14885.6841</v>
      </c>
      <c r="N1985" s="843" t="e">
        <f>SUMIF(#REF!,'8.Dgia'!A1985,#REF!)+SUMIF(#REF!,'8.Dgia'!A1985,#REF!)+SUMIF(#REF!,'8.Dgia'!A1985,#REF!)+SUMIF(#REF!,'8.Dgia'!A1985,#REF!)</f>
        <v>#REF!</v>
      </c>
      <c r="O1985" s="844"/>
      <c r="P1985" s="843" t="e">
        <f t="shared" si="90"/>
        <v>#REF!</v>
      </c>
    </row>
    <row r="1986" spans="1:18" ht="15" customHeight="1">
      <c r="A1986" s="657">
        <f>IF(B1986="",MAX($A$8:A1985)+0,MAX($A$8:A1985)+1)</f>
        <v>214</v>
      </c>
      <c r="B1986" s="835">
        <f>IF(C1986="","",COUNTA($C$10:C1987))</f>
        <v>214</v>
      </c>
      <c r="C1986" s="835">
        <f>IF(D1986="","",1776)</f>
        <v>1776</v>
      </c>
      <c r="D1986" s="362" t="s">
        <v>43</v>
      </c>
      <c r="E1986" s="855" t="s">
        <v>353</v>
      </c>
      <c r="F1986" s="1049" t="str">
        <f>VLOOKUP(E1986,DICH!B:C,2,FALSE)</f>
        <v>Sand pile D40cm, L&gt;7m, soil C1</v>
      </c>
      <c r="G1986" s="912" t="s">
        <v>546</v>
      </c>
      <c r="H1986" s="847"/>
      <c r="I1986" s="848"/>
      <c r="J1986" s="889"/>
      <c r="K1986" s="842">
        <f>+J1987</f>
        <v>2118431.7334461189</v>
      </c>
      <c r="L1986" s="842">
        <f>+J1990</f>
        <v>3268106.82</v>
      </c>
      <c r="M1986" s="842">
        <f>+J1991</f>
        <v>5260210.1381528992</v>
      </c>
      <c r="N1986" s="843" t="e">
        <f>SUMIF(#REF!,'8.Dgia'!A1986,#REF!)+SUMIF(#REF!,'8.Dgia'!A1986,#REF!)+SUMIF(#REF!,'8.Dgia'!A1986,#REF!)+SUMIF(#REF!,'8.Dgia'!A1986,#REF!)</f>
        <v>#REF!</v>
      </c>
      <c r="O1986" s="844"/>
      <c r="P1986" s="843" t="e">
        <f t="shared" si="90"/>
        <v>#REF!</v>
      </c>
    </row>
    <row r="1987" spans="1:18" ht="15" customHeight="1">
      <c r="A1987" s="657">
        <f>IF(B1987="",MAX($A$8:A1986)+0,MAX($A$8:A1986)+1)</f>
        <v>214</v>
      </c>
      <c r="B1987" s="835" t="str">
        <f>IF(C1987="","",COUNTA($C$10:C1988))</f>
        <v/>
      </c>
      <c r="C1987" s="361"/>
      <c r="D1987" s="361" t="s">
        <v>373</v>
      </c>
      <c r="E1987" s="852" t="s">
        <v>2032</v>
      </c>
      <c r="F1987" s="848" t="str">
        <f>VLOOKUP(E1987,DICH!B:C,2,FALSE)</f>
        <v xml:space="preserve">  A - Material</v>
      </c>
      <c r="G1987" s="919"/>
      <c r="H1987" s="847"/>
      <c r="I1987" s="848"/>
      <c r="J1987" s="849">
        <f>SUM(J1988:J1989)</f>
        <v>2118431.7334461189</v>
      </c>
      <c r="N1987" s="843" t="e">
        <f>SUMIF(#REF!,'8.Dgia'!A1987,#REF!)+SUMIF(#REF!,'8.Dgia'!A1987,#REF!)+SUMIF(#REF!,'8.Dgia'!A1987,#REF!)+SUMIF(#REF!,'8.Dgia'!A1987,#REF!)</f>
        <v>#REF!</v>
      </c>
      <c r="O1987" s="844"/>
      <c r="P1987" s="843" t="e">
        <f t="shared" si="90"/>
        <v>#REF!</v>
      </c>
    </row>
    <row r="1988" spans="1:18" ht="15" customHeight="1">
      <c r="A1988" s="657">
        <f>IF(B1988="",MAX($A$8:A1987)+0,MAX($A$8:A1987)+1)</f>
        <v>214</v>
      </c>
      <c r="B1988" s="835" t="str">
        <f>IF(C1988="","",COUNTA($C$10:C1989))</f>
        <v/>
      </c>
      <c r="C1988" s="362"/>
      <c r="D1988" s="362"/>
      <c r="E1988" s="852" t="s">
        <v>588</v>
      </c>
      <c r="F1988" s="848" t="str">
        <f>VLOOKUP(E1988,DICH!B:C,2,FALSE)</f>
        <v>Medium sand</v>
      </c>
      <c r="G1988" s="847" t="s">
        <v>545</v>
      </c>
      <c r="H1988" s="886">
        <f>10.72*0.4^2/0.33^2</f>
        <v>15.75022956841139</v>
      </c>
      <c r="I1988" s="848">
        <f>VLOOKUP(E1988,'11.gia '!$B:$I,8,FALSE)</f>
        <v>128096.80157931453</v>
      </c>
      <c r="J1988" s="853">
        <f>I1988*H1988</f>
        <v>2017554.0318534465</v>
      </c>
      <c r="N1988" s="843" t="e">
        <f>SUMIF(#REF!,'8.Dgia'!A1988,#REF!)+SUMIF(#REF!,'8.Dgia'!A1988,#REF!)+SUMIF(#REF!,'8.Dgia'!A1988,#REF!)+SUMIF(#REF!,'8.Dgia'!A1988,#REF!)</f>
        <v>#REF!</v>
      </c>
      <c r="O1988" s="844"/>
      <c r="P1988" s="843" t="e">
        <f t="shared" si="90"/>
        <v>#REF!</v>
      </c>
    </row>
    <row r="1989" spans="1:18" ht="15" customHeight="1">
      <c r="A1989" s="657">
        <f>IF(B1989="",MAX($A$8:A1988)+0,MAX($A$8:A1988)+1)</f>
        <v>214</v>
      </c>
      <c r="B1989" s="835" t="str">
        <f>IF(C1989="","",COUNTA($C$10:C1990))</f>
        <v/>
      </c>
      <c r="C1989" s="362"/>
      <c r="D1989" s="362"/>
      <c r="E1989" s="852" t="s">
        <v>555</v>
      </c>
      <c r="F1989" s="848" t="str">
        <f>VLOOKUP(E1989,DICH!B:C,2,FALSE)</f>
        <v>Other material</v>
      </c>
      <c r="G1989" s="362" t="s">
        <v>554</v>
      </c>
      <c r="H1989" s="847">
        <v>5</v>
      </c>
      <c r="I1989" s="848">
        <f>+J1988</f>
        <v>2017554.0318534465</v>
      </c>
      <c r="J1989" s="853">
        <f>I1989*H1989%</f>
        <v>100877.70159267233</v>
      </c>
      <c r="N1989" s="843" t="e">
        <f>SUMIF(#REF!,'8.Dgia'!A1989,#REF!)+SUMIF(#REF!,'8.Dgia'!A1989,#REF!)+SUMIF(#REF!,'8.Dgia'!A1989,#REF!)+SUMIF(#REF!,'8.Dgia'!A1989,#REF!)</f>
        <v>#REF!</v>
      </c>
      <c r="O1989" s="844"/>
      <c r="P1989" s="843" t="e">
        <f t="shared" si="90"/>
        <v>#REF!</v>
      </c>
    </row>
    <row r="1990" spans="1:18" ht="15" customHeight="1">
      <c r="A1990" s="657">
        <f>IF(B1990="",MAX($A$8:A1989)+0,MAX($A$8:A1989)+1)</f>
        <v>214</v>
      </c>
      <c r="B1990" s="835" t="str">
        <f>IF(C1990="","",COUNTA($C$10:C1991))</f>
        <v/>
      </c>
      <c r="C1990" s="362"/>
      <c r="D1990" s="362"/>
      <c r="E1990" s="852" t="s">
        <v>2037</v>
      </c>
      <c r="F1990" s="848" t="str">
        <f>VLOOKUP(E1990,DICH!B:C,2,FALSE)</f>
        <v xml:space="preserve">  B - Labour 3.5/7</v>
      </c>
      <c r="G1990" s="919" t="s">
        <v>4899</v>
      </c>
      <c r="H1990" s="886">
        <v>16.11</v>
      </c>
      <c r="I1990" s="848">
        <f>VLOOKUP(E1990,'16.NC'!$C$11:$F$22,4,FALSE)</f>
        <v>202862</v>
      </c>
      <c r="J1990" s="849">
        <f>I1990*H1990</f>
        <v>3268106.82</v>
      </c>
      <c r="N1990" s="843" t="e">
        <f>SUMIF(#REF!,'8.Dgia'!A1990,#REF!)+SUMIF(#REF!,'8.Dgia'!A1990,#REF!)+SUMIF(#REF!,'8.Dgia'!A1990,#REF!)+SUMIF(#REF!,'8.Dgia'!A1990,#REF!)</f>
        <v>#REF!</v>
      </c>
      <c r="O1990" s="844"/>
      <c r="P1990" s="843" t="e">
        <f t="shared" si="90"/>
        <v>#REF!</v>
      </c>
      <c r="R1990" s="658">
        <v>1</v>
      </c>
    </row>
    <row r="1991" spans="1:18" ht="15" customHeight="1">
      <c r="A1991" s="657">
        <f>IF(B1991="",MAX($A$8:A1990)+0,MAX($A$8:A1990)+1)</f>
        <v>214</v>
      </c>
      <c r="B1991" s="835" t="str">
        <f>IF(C1991="","",COUNTA($C$10:C1992))</f>
        <v/>
      </c>
      <c r="C1991" s="362"/>
      <c r="D1991" s="362"/>
      <c r="E1991" s="852" t="s">
        <v>2033</v>
      </c>
      <c r="F1991" s="848" t="str">
        <f>VLOOKUP(E1991,DICH!B:C,2,FALSE)</f>
        <v xml:space="preserve">  C - Machine</v>
      </c>
      <c r="G1991" s="892"/>
      <c r="H1991" s="892"/>
      <c r="I1991" s="848"/>
      <c r="J1991" s="849">
        <f>SUM(J1992:J1994)</f>
        <v>5260210.1381528992</v>
      </c>
      <c r="N1991" s="843" t="e">
        <f>SUMIF(#REF!,'8.Dgia'!A1991,#REF!)+SUMIF(#REF!,'8.Dgia'!A1991,#REF!)+SUMIF(#REF!,'8.Dgia'!A1991,#REF!)+SUMIF(#REF!,'8.Dgia'!A1991,#REF!)</f>
        <v>#REF!</v>
      </c>
      <c r="O1991" s="844"/>
      <c r="P1991" s="843" t="e">
        <f t="shared" si="90"/>
        <v>#REF!</v>
      </c>
    </row>
    <row r="1992" spans="1:18" ht="15" customHeight="1">
      <c r="A1992" s="657">
        <f>IF(B1992="",MAX($A$8:A1991)+0,MAX($A$8:A1991)+1)</f>
        <v>214</v>
      </c>
      <c r="B1992" s="835" t="str">
        <f>IF(C1992="","",COUNTA($C$10:C1993))</f>
        <v/>
      </c>
      <c r="C1992" s="362"/>
      <c r="D1992" s="362"/>
      <c r="E1992" s="852" t="s">
        <v>1516</v>
      </c>
      <c r="F1992" s="848" t="str">
        <f>VLOOKUP(E1992,'9.may'!E:F,2,FALSE)</f>
        <v>vibrator hammer 60kW for sand pile</v>
      </c>
      <c r="G1992" s="919" t="s">
        <v>4902</v>
      </c>
      <c r="H1992" s="886">
        <v>2.59</v>
      </c>
      <c r="I1992" s="848">
        <f>VLOOKUP(E1992,'9.may'!E:W,12,FALSE)</f>
        <v>1928687.31</v>
      </c>
      <c r="J1992" s="853">
        <f>I1992*H1992</f>
        <v>4995300.1328999996</v>
      </c>
      <c r="N1992" s="843" t="e">
        <f>SUMIF(#REF!,'8.Dgia'!A1992,#REF!)+SUMIF(#REF!,'8.Dgia'!A1992,#REF!)+SUMIF(#REF!,'8.Dgia'!A1992,#REF!)+SUMIF(#REF!,'8.Dgia'!A1992,#REF!)</f>
        <v>#REF!</v>
      </c>
      <c r="O1992" s="844"/>
      <c r="P1992" s="843" t="e">
        <f t="shared" si="90"/>
        <v>#REF!</v>
      </c>
    </row>
    <row r="1993" spans="1:18" ht="15" customHeight="1">
      <c r="A1993" s="657">
        <f>IF(B1993="",MAX($A$8:A1992)+0,MAX($A$8:A1992)+1)</f>
        <v>214</v>
      </c>
      <c r="B1993" s="835" t="str">
        <f>IF(C1993="","",COUNTA($C$10:C1994))</f>
        <v/>
      </c>
      <c r="C1993" s="362"/>
      <c r="D1993" s="362"/>
      <c r="E1993" s="852" t="s">
        <v>1248</v>
      </c>
      <c r="F1993" s="848" t="str">
        <f>VLOOKUP(E1993,'9.may'!E:F,2,FALSE)</f>
        <v>water pump 1.1kW</v>
      </c>
      <c r="G1993" s="919" t="s">
        <v>4902</v>
      </c>
      <c r="H1993" s="886">
        <v>2.59</v>
      </c>
      <c r="I1993" s="848">
        <f>VLOOKUP(E1993,'9.may'!E:W,12,FALSE)</f>
        <v>62458.930500000002</v>
      </c>
      <c r="J1993" s="853">
        <f>I1993*H1993</f>
        <v>161768.629995</v>
      </c>
      <c r="N1993" s="843" t="e">
        <f>SUMIF(#REF!,'8.Dgia'!A1993,#REF!)+SUMIF(#REF!,'8.Dgia'!A1993,#REF!)+SUMIF(#REF!,'8.Dgia'!A1993,#REF!)+SUMIF(#REF!,'8.Dgia'!A1993,#REF!)</f>
        <v>#REF!</v>
      </c>
      <c r="O1993" s="844"/>
      <c r="P1993" s="843" t="e">
        <f t="shared" si="90"/>
        <v>#REF!</v>
      </c>
    </row>
    <row r="1994" spans="1:18" ht="15" customHeight="1">
      <c r="A1994" s="657">
        <f>IF(B1994="",MAX($A$8:A1993)+0,MAX($A$8:A1993)+1)</f>
        <v>214</v>
      </c>
      <c r="B1994" s="835" t="str">
        <f>IF(C1994="","",COUNTA($C$10:C1995))</f>
        <v/>
      </c>
      <c r="C1994" s="362"/>
      <c r="D1994" s="362"/>
      <c r="E1994" s="852" t="s">
        <v>553</v>
      </c>
      <c r="F1994" s="848" t="str">
        <f>VLOOKUP(E1994,DICH!B:C,2,FALSE)</f>
        <v>Other machine</v>
      </c>
      <c r="G1994" s="362" t="s">
        <v>554</v>
      </c>
      <c r="H1994" s="847">
        <v>2</v>
      </c>
      <c r="I1994" s="848">
        <f>SUM(J1992:J1993)</f>
        <v>5157068.7628949992</v>
      </c>
      <c r="J1994" s="853">
        <f>I1994*H1994%</f>
        <v>103141.37525789998</v>
      </c>
      <c r="N1994" s="843" t="e">
        <f>SUMIF(#REF!,'8.Dgia'!A1994,#REF!)+SUMIF(#REF!,'8.Dgia'!A1994,#REF!)+SUMIF(#REF!,'8.Dgia'!A1994,#REF!)+SUMIF(#REF!,'8.Dgia'!A1994,#REF!)</f>
        <v>#REF!</v>
      </c>
      <c r="O1994" s="844"/>
      <c r="P1994" s="843" t="e">
        <f t="shared" si="90"/>
        <v>#REF!</v>
      </c>
    </row>
    <row r="1995" spans="1:18" ht="15" customHeight="1">
      <c r="A1995" s="657">
        <f>IF(B1995="",MAX($A$8:A1994)+0,MAX($A$8:A1994)+1)</f>
        <v>215</v>
      </c>
      <c r="B1995" s="835">
        <f>IF(C1995="","",COUNTA($C$10:C1996))</f>
        <v>215</v>
      </c>
      <c r="C1995" s="835">
        <f>IF(D1995="","",1776)</f>
        <v>1776</v>
      </c>
      <c r="D1995" s="362" t="s">
        <v>3484</v>
      </c>
      <c r="E1995" s="855" t="s">
        <v>0</v>
      </c>
      <c r="F1995" s="1049" t="str">
        <f>VLOOKUP(E1995,DICH!B:C,2,FALSE)</f>
        <v>Excavating</v>
      </c>
      <c r="G1995" s="882" t="s">
        <v>544</v>
      </c>
      <c r="H1995" s="847"/>
      <c r="I1995" s="848"/>
      <c r="J1995" s="903"/>
      <c r="L1995" s="842">
        <f>+J1996</f>
        <v>887285.75</v>
      </c>
      <c r="M1995" s="842">
        <f>+J1997</f>
        <v>848412.10622127261</v>
      </c>
      <c r="N1995" s="843" t="e">
        <f>SUMIF(#REF!,'8.Dgia'!A1995,#REF!)+SUMIF(#REF!,'8.Dgia'!A1995,#REF!)+SUMIF(#REF!,'8.Dgia'!A1995,#REF!)+SUMIF(#REF!,'8.Dgia'!A1995,#REF!)</f>
        <v>#REF!</v>
      </c>
      <c r="O1995" s="844"/>
      <c r="P1995" s="843" t="e">
        <f t="shared" si="90"/>
        <v>#REF!</v>
      </c>
    </row>
    <row r="1996" spans="1:18" ht="15" customHeight="1">
      <c r="A1996" s="657">
        <f>IF(B1996="",MAX($A$8:A1995)+0,MAX($A$8:A1995)+1)</f>
        <v>215</v>
      </c>
      <c r="B1996" s="835" t="str">
        <f>IF(C1996="","",COUNTA($C$10:C1997))</f>
        <v/>
      </c>
      <c r="C1996" s="362"/>
      <c r="D1996" s="362"/>
      <c r="E1996" s="852" t="s">
        <v>2038</v>
      </c>
      <c r="F1996" s="848" t="str">
        <f>VLOOKUP(E1996,DICH!B:C,2,FALSE)</f>
        <v xml:space="preserve">  B - Labour 3.0/7</v>
      </c>
      <c r="G1996" s="847" t="s">
        <v>4899</v>
      </c>
      <c r="H1996" s="847">
        <v>4.75</v>
      </c>
      <c r="I1996" s="848">
        <f>VLOOKUP(E1996,'16.NC'!$C$11:$F$22,4,FALSE)</f>
        <v>186797</v>
      </c>
      <c r="J1996" s="849">
        <f>I1996*H1996</f>
        <v>887285.75</v>
      </c>
      <c r="N1996" s="843" t="e">
        <f>SUMIF(#REF!,'8.Dgia'!A1996,#REF!)+SUMIF(#REF!,'8.Dgia'!A1996,#REF!)+SUMIF(#REF!,'8.Dgia'!A1996,#REF!)+SUMIF(#REF!,'8.Dgia'!A1996,#REF!)</f>
        <v>#REF!</v>
      </c>
      <c r="O1996" s="844"/>
      <c r="P1996" s="843" t="e">
        <f t="shared" si="90"/>
        <v>#REF!</v>
      </c>
      <c r="R1996" s="658">
        <v>1</v>
      </c>
    </row>
    <row r="1997" spans="1:18" ht="15" customHeight="1">
      <c r="A1997" s="657">
        <f>IF(B1997="",MAX($A$8:A1996)+0,MAX($A$8:A1996)+1)</f>
        <v>215</v>
      </c>
      <c r="B1997" s="835" t="str">
        <f>IF(C1997="","",COUNTA($C$10:C1998))</f>
        <v/>
      </c>
      <c r="C1997" s="362"/>
      <c r="D1997" s="362"/>
      <c r="E1997" s="852" t="s">
        <v>2033</v>
      </c>
      <c r="F1997" s="848" t="str">
        <f>VLOOKUP(E1997,DICH!B:C,2,FALSE)</f>
        <v xml:space="preserve">  C - Machine</v>
      </c>
      <c r="G1997" s="905"/>
      <c r="H1997" s="905"/>
      <c r="I1997" s="858"/>
      <c r="J1997" s="849">
        <f>+J1998</f>
        <v>848412.10622127261</v>
      </c>
      <c r="N1997" s="843" t="e">
        <f>SUMIF(#REF!,'8.Dgia'!A1997,#REF!)+SUMIF(#REF!,'8.Dgia'!A1997,#REF!)+SUMIF(#REF!,'8.Dgia'!A1997,#REF!)+SUMIF(#REF!,'8.Dgia'!A1997,#REF!)</f>
        <v>#REF!</v>
      </c>
      <c r="O1997" s="844"/>
      <c r="P1997" s="843" t="e">
        <f t="shared" si="90"/>
        <v>#REF!</v>
      </c>
    </row>
    <row r="1998" spans="1:18" ht="15" customHeight="1">
      <c r="A1998" s="657">
        <f>IF(B1998="",MAX($A$8:A1997)+0,MAX($A$8:A1997)+1)</f>
        <v>215</v>
      </c>
      <c r="B1998" s="835" t="str">
        <f>IF(C1998="","",COUNTA($C$10:C1999))</f>
        <v/>
      </c>
      <c r="C1998" s="362"/>
      <c r="D1998" s="362"/>
      <c r="E1998" s="852" t="s">
        <v>294</v>
      </c>
      <c r="F1998" s="848" t="str">
        <f>VLOOKUP(E1998,'9.may'!E:F,2,FALSE)</f>
        <v>avulsion excavator 1.25m3</v>
      </c>
      <c r="G1998" s="905" t="s">
        <v>4902</v>
      </c>
      <c r="H1998" s="905">
        <v>0.23699999999999999</v>
      </c>
      <c r="I1998" s="848">
        <f>VLOOKUP(E1998,'9.may'!E:W,12,FALSE)</f>
        <v>3579797.9165454544</v>
      </c>
      <c r="J1998" s="853">
        <f>I1998*H1998</f>
        <v>848412.10622127261</v>
      </c>
      <c r="N1998" s="843" t="e">
        <f>SUMIF(#REF!,'8.Dgia'!A1998,#REF!)+SUMIF(#REF!,'8.Dgia'!A1998,#REF!)+SUMIF(#REF!,'8.Dgia'!A1998,#REF!)+SUMIF(#REF!,'8.Dgia'!A1998,#REF!)</f>
        <v>#REF!</v>
      </c>
      <c r="O1998" s="844"/>
      <c r="P1998" s="843" t="e">
        <f t="shared" si="90"/>
        <v>#REF!</v>
      </c>
    </row>
    <row r="1999" spans="1:18" ht="15" customHeight="1">
      <c r="A1999" s="657">
        <f>IF(B1999="",MAX($A$8:A1998)+0,MAX($A$8:A1998)+1)</f>
        <v>216</v>
      </c>
      <c r="B1999" s="835">
        <f>IF(C1999="","",COUNTA($C$10:C2000))</f>
        <v>216</v>
      </c>
      <c r="C1999" s="835">
        <f>IF(D1999="","",1776)</f>
        <v>1776</v>
      </c>
      <c r="D1999" s="362" t="s">
        <v>3484</v>
      </c>
      <c r="E1999" s="855" t="s">
        <v>2026</v>
      </c>
      <c r="F1999" s="1049" t="str">
        <f>VLOOKUP(E1999,DICH!B:C,2,FALSE)</f>
        <v>Excavating soil</v>
      </c>
      <c r="G1999" s="882" t="s">
        <v>544</v>
      </c>
      <c r="H1999" s="847"/>
      <c r="I1999" s="848"/>
      <c r="J1999" s="903"/>
      <c r="L1999" s="842">
        <f>+J2000</f>
        <v>887285.75</v>
      </c>
      <c r="M1999" s="842">
        <f>+J2001</f>
        <v>848412.10622127261</v>
      </c>
      <c r="N1999" s="843" t="e">
        <f>SUMIF(#REF!,'8.Dgia'!A1999,#REF!)+SUMIF(#REF!,'8.Dgia'!A1999,#REF!)+SUMIF(#REF!,'8.Dgia'!A1999,#REF!)+SUMIF(#REF!,'8.Dgia'!A1999,#REF!)</f>
        <v>#REF!</v>
      </c>
      <c r="O1999" s="844"/>
      <c r="P1999" s="843" t="e">
        <f>$H1999*N1999*(1+O1999%)</f>
        <v>#REF!</v>
      </c>
    </row>
    <row r="2000" spans="1:18" ht="15" customHeight="1">
      <c r="A2000" s="657">
        <f>IF(B2000="",MAX($A$8:A1999)+0,MAX($A$8:A1999)+1)</f>
        <v>216</v>
      </c>
      <c r="B2000" s="835" t="str">
        <f>IF(C2000="","",COUNTA($C$10:C2001))</f>
        <v/>
      </c>
      <c r="C2000" s="362"/>
      <c r="D2000" s="362"/>
      <c r="E2000" s="852" t="s">
        <v>2038</v>
      </c>
      <c r="F2000" s="848" t="str">
        <f>VLOOKUP(E2000,DICH!B:C,2,FALSE)</f>
        <v xml:space="preserve">  B - Labour 3.0/7</v>
      </c>
      <c r="G2000" s="847" t="s">
        <v>4899</v>
      </c>
      <c r="H2000" s="847">
        <v>4.75</v>
      </c>
      <c r="I2000" s="848">
        <f>VLOOKUP(E2000,'16.NC'!$C$11:$F$22,4,FALSE)</f>
        <v>186797</v>
      </c>
      <c r="J2000" s="849">
        <f>I2000*H2000</f>
        <v>887285.75</v>
      </c>
      <c r="N2000" s="843" t="e">
        <f>SUMIF(#REF!,'8.Dgia'!A2000,#REF!)+SUMIF(#REF!,'8.Dgia'!A2000,#REF!)+SUMIF(#REF!,'8.Dgia'!A2000,#REF!)+SUMIF(#REF!,'8.Dgia'!A2000,#REF!)</f>
        <v>#REF!</v>
      </c>
      <c r="O2000" s="844"/>
      <c r="P2000" s="843" t="e">
        <f>$H2000*N2000*(1+O2000%)</f>
        <v>#REF!</v>
      </c>
      <c r="R2000" s="658">
        <v>1</v>
      </c>
    </row>
    <row r="2001" spans="1:18" ht="15" customHeight="1">
      <c r="A2001" s="657">
        <f>IF(B2001="",MAX($A$8:A2000)+0,MAX($A$8:A2000)+1)</f>
        <v>216</v>
      </c>
      <c r="B2001" s="835" t="str">
        <f>IF(C2001="","",COUNTA($C$10:C2002))</f>
        <v/>
      </c>
      <c r="C2001" s="362"/>
      <c r="D2001" s="362"/>
      <c r="E2001" s="852" t="s">
        <v>2033</v>
      </c>
      <c r="F2001" s="848" t="str">
        <f>VLOOKUP(E2001,DICH!B:C,2,FALSE)</f>
        <v xml:space="preserve">  C - Machine</v>
      </c>
      <c r="G2001" s="905"/>
      <c r="H2001" s="905"/>
      <c r="I2001" s="858"/>
      <c r="J2001" s="849">
        <f>+J2002</f>
        <v>848412.10622127261</v>
      </c>
      <c r="N2001" s="843" t="e">
        <f>SUMIF(#REF!,'8.Dgia'!A2001,#REF!)+SUMIF(#REF!,'8.Dgia'!A2001,#REF!)+SUMIF(#REF!,'8.Dgia'!A2001,#REF!)+SUMIF(#REF!,'8.Dgia'!A2001,#REF!)</f>
        <v>#REF!</v>
      </c>
      <c r="O2001" s="844"/>
      <c r="P2001" s="843" t="e">
        <f>$H2001*N2001*(1+O2001%)</f>
        <v>#REF!</v>
      </c>
    </row>
    <row r="2002" spans="1:18" ht="15" customHeight="1">
      <c r="A2002" s="657">
        <f>IF(B2002="",MAX($A$8:A2001)+0,MAX($A$8:A2001)+1)</f>
        <v>216</v>
      </c>
      <c r="B2002" s="835" t="str">
        <f>IF(C2002="","",COUNTA($C$10:C2003))</f>
        <v/>
      </c>
      <c r="C2002" s="362"/>
      <c r="D2002" s="362"/>
      <c r="E2002" s="852" t="s">
        <v>294</v>
      </c>
      <c r="F2002" s="848" t="str">
        <f>VLOOKUP(E2002,'9.may'!E:F,2,FALSE)</f>
        <v>avulsion excavator 1.25m3</v>
      </c>
      <c r="G2002" s="905" t="s">
        <v>4902</v>
      </c>
      <c r="H2002" s="905">
        <v>0.23699999999999999</v>
      </c>
      <c r="I2002" s="848">
        <f>VLOOKUP(E2002,'9.may'!E:W,12,FALSE)</f>
        <v>3579797.9165454544</v>
      </c>
      <c r="J2002" s="853">
        <f>I2002*H2002</f>
        <v>848412.10622127261</v>
      </c>
      <c r="N2002" s="843" t="e">
        <f>SUMIF(#REF!,'8.Dgia'!A2002,#REF!)+SUMIF(#REF!,'8.Dgia'!A2002,#REF!)+SUMIF(#REF!,'8.Dgia'!A2002,#REF!)+SUMIF(#REF!,'8.Dgia'!A2002,#REF!)</f>
        <v>#REF!</v>
      </c>
      <c r="O2002" s="844"/>
      <c r="P2002" s="843" t="e">
        <f>$H2002*N2002*(1+O2002%)</f>
        <v>#REF!</v>
      </c>
    </row>
    <row r="2003" spans="1:18" ht="15" customHeight="1">
      <c r="A2003" s="657">
        <f>IF(B2003="",MAX($A$8:A2002)+0,MAX($A$8:A2002)+1)</f>
        <v>217</v>
      </c>
      <c r="B2003" s="835">
        <f>IF(C2003="","",COUNTA($C$10:C2004))</f>
        <v>217</v>
      </c>
      <c r="C2003" s="835">
        <f>IF(D2003="","",1776)</f>
        <v>1776</v>
      </c>
      <c r="D2003" s="362" t="s">
        <v>689</v>
      </c>
      <c r="E2003" s="855" t="s">
        <v>1</v>
      </c>
      <c r="F2003" s="1049" t="str">
        <f>VLOOKUP(E2003,DICH!B:C,2,FALSE)</f>
        <v>Embanking soil (by hand)</v>
      </c>
      <c r="G2003" s="882" t="s">
        <v>545</v>
      </c>
      <c r="H2003" s="847"/>
      <c r="I2003" s="858"/>
      <c r="J2003" s="903"/>
      <c r="L2003" s="842">
        <f>+J2004</f>
        <v>138229.78</v>
      </c>
      <c r="N2003" s="843" t="e">
        <f>SUMIF(#REF!,'8.Dgia'!A2003,#REF!)+SUMIF(#REF!,'8.Dgia'!A2003,#REF!)+SUMIF(#REF!,'8.Dgia'!A2003,#REF!)+SUMIF(#REF!,'8.Dgia'!A2003,#REF!)</f>
        <v>#REF!</v>
      </c>
      <c r="O2003" s="844"/>
      <c r="P2003" s="843" t="e">
        <f t="shared" si="90"/>
        <v>#REF!</v>
      </c>
    </row>
    <row r="2004" spans="1:18" ht="15" customHeight="1">
      <c r="A2004" s="657">
        <f>IF(B2004="",MAX($A$8:A2003)+0,MAX($A$8:A2003)+1)</f>
        <v>217</v>
      </c>
      <c r="B2004" s="835" t="str">
        <f>IF(C2004="","",COUNTA($C$10:C2005))</f>
        <v/>
      </c>
      <c r="C2004" s="362"/>
      <c r="D2004" s="362"/>
      <c r="E2004" s="852" t="s">
        <v>2038</v>
      </c>
      <c r="F2004" s="848" t="str">
        <f>VLOOKUP(E2004,DICH!B:C,2,FALSE)</f>
        <v xml:space="preserve">  B - Labour 3.0/7</v>
      </c>
      <c r="G2004" s="883" t="s">
        <v>4899</v>
      </c>
      <c r="H2004" s="900">
        <v>0.74</v>
      </c>
      <c r="I2004" s="848">
        <f>VLOOKUP(E2004,'16.NC'!$C$11:$F$22,4,FALSE)</f>
        <v>186797</v>
      </c>
      <c r="J2004" s="849">
        <f>I2004*H2004</f>
        <v>138229.78</v>
      </c>
      <c r="N2004" s="843" t="e">
        <f>SUMIF(#REF!,'8.Dgia'!A2004,#REF!)+SUMIF(#REF!,'8.Dgia'!A2004,#REF!)+SUMIF(#REF!,'8.Dgia'!A2004,#REF!)+SUMIF(#REF!,'8.Dgia'!A2004,#REF!)</f>
        <v>#REF!</v>
      </c>
      <c r="O2004" s="844"/>
      <c r="P2004" s="843" t="e">
        <f t="shared" si="90"/>
        <v>#REF!</v>
      </c>
      <c r="R2004" s="658">
        <v>1</v>
      </c>
    </row>
    <row r="2005" spans="1:18" ht="15" customHeight="1">
      <c r="A2005" s="657">
        <f>IF(B2005="",MAX($A$8:A2004)+0,MAX($A$8:A2004)+1)</f>
        <v>218</v>
      </c>
      <c r="B2005" s="835">
        <f>IF(C2005="","",COUNTA($C$10:C2006))</f>
        <v>218</v>
      </c>
      <c r="C2005" s="835">
        <f>IF(D2005="","",1776)</f>
        <v>1776</v>
      </c>
      <c r="D2005" s="362" t="s">
        <v>5598</v>
      </c>
      <c r="E2005" s="855" t="s">
        <v>5593</v>
      </c>
      <c r="F2005" s="1049" t="s">
        <v>5594</v>
      </c>
      <c r="G2005" s="882" t="s">
        <v>544</v>
      </c>
      <c r="H2005" s="847"/>
      <c r="I2005" s="848"/>
      <c r="J2005" s="903"/>
      <c r="K2005" s="842">
        <f>+J2006</f>
        <v>11372062.387221828</v>
      </c>
      <c r="L2005" s="842">
        <f>+J2008</f>
        <v>280195.5</v>
      </c>
      <c r="M2005" s="842">
        <f>+J2009</f>
        <v>747018.03693634085</v>
      </c>
      <c r="N2005" s="843" t="e">
        <f>SUMIF(#REF!,'8.Dgia'!A2005,#REF!)+SUMIF(#REF!,'8.Dgia'!A2005,#REF!)+SUMIF(#REF!,'8.Dgia'!A2005,#REF!)+SUMIF(#REF!,'8.Dgia'!A2005,#REF!)</f>
        <v>#REF!</v>
      </c>
      <c r="O2005" s="844"/>
      <c r="P2005" s="843" t="e">
        <f t="shared" si="90"/>
        <v>#REF!</v>
      </c>
    </row>
    <row r="2006" spans="1:18" ht="15" customHeight="1">
      <c r="A2006" s="657">
        <f>IF(B2006="",MAX($A$8:A2005)+0,MAX($A$8:A2005)+1)</f>
        <v>218</v>
      </c>
      <c r="B2006" s="835" t="str">
        <f>IF(C2006="","",COUNTA($C$10:C2007))</f>
        <v/>
      </c>
      <c r="C2006" s="362"/>
      <c r="D2006" s="362"/>
      <c r="E2006" s="852" t="s">
        <v>2032</v>
      </c>
      <c r="F2006" s="848" t="str">
        <f>VLOOKUP(E2006,DICH!B:C,2,FALSE)</f>
        <v xml:space="preserve">  A - Material</v>
      </c>
      <c r="G2006" s="884"/>
      <c r="H2006" s="847"/>
      <c r="I2006" s="848"/>
      <c r="J2006" s="904">
        <f>J2007</f>
        <v>11372062.387221828</v>
      </c>
      <c r="N2006" s="843" t="e">
        <f>SUMIF(#REF!,'8.Dgia'!A2006,#REF!)+SUMIF(#REF!,'8.Dgia'!A2006,#REF!)+SUMIF(#REF!,'8.Dgia'!A2006,#REF!)+SUMIF(#REF!,'8.Dgia'!A2006,#REF!)</f>
        <v>#REF!</v>
      </c>
      <c r="O2006" s="844"/>
      <c r="P2006" s="843" t="e">
        <f t="shared" si="90"/>
        <v>#REF!</v>
      </c>
    </row>
    <row r="2007" spans="1:18" ht="15" customHeight="1">
      <c r="A2007" s="657">
        <f>IF(B2007="",MAX($A$8:A2006)+0,MAX($A$8:A2006)+1)</f>
        <v>218</v>
      </c>
      <c r="B2007" s="835" t="str">
        <f>IF(C2007="","",COUNTA($C$10:C2008))</f>
        <v/>
      </c>
      <c r="C2007" s="362"/>
      <c r="D2007" s="362"/>
      <c r="E2007" s="852" t="s">
        <v>602</v>
      </c>
      <c r="F2007" s="848" t="str">
        <f>VLOOKUP(E2007,DICH!B:C,2,FALSE)</f>
        <v>Find sand</v>
      </c>
      <c r="G2007" s="847" t="s">
        <v>545</v>
      </c>
      <c r="H2007" s="847" t="s">
        <v>687</v>
      </c>
      <c r="I2007" s="848">
        <f>VLOOKUP(E2007,'11.gia '!$B:$I,8,FALSE)</f>
        <v>93213.626124769085</v>
      </c>
      <c r="J2007" s="853">
        <f>I2007*H2007</f>
        <v>11372062.387221828</v>
      </c>
      <c r="N2007" s="843" t="e">
        <f>SUMIF(#REF!,'8.Dgia'!A2007,#REF!)+SUMIF(#REF!,'8.Dgia'!A2007,#REF!)+SUMIF(#REF!,'8.Dgia'!A2007,#REF!)+SUMIF(#REF!,'8.Dgia'!A2007,#REF!)</f>
        <v>#REF!</v>
      </c>
      <c r="O2007" s="844"/>
      <c r="P2007" s="843" t="e">
        <f t="shared" ref="P2007:P2021" si="92">$H2007*N2007*(1+O2007%)</f>
        <v>#REF!</v>
      </c>
    </row>
    <row r="2008" spans="1:18" ht="15" customHeight="1">
      <c r="A2008" s="657">
        <f>IF(B2008="",MAX($A$8:A2007)+0,MAX($A$8:A2007)+1)</f>
        <v>218</v>
      </c>
      <c r="B2008" s="835" t="str">
        <f>IF(C2008="","",COUNTA($C$10:C2009))</f>
        <v/>
      </c>
      <c r="C2008" s="362"/>
      <c r="D2008" s="362"/>
      <c r="E2008" s="852" t="s">
        <v>2038</v>
      </c>
      <c r="F2008" s="848" t="str">
        <f>VLOOKUP(E2008,DICH!B:C,2,FALSE)</f>
        <v xml:space="preserve">  B - Labour 3.0/7</v>
      </c>
      <c r="G2008" s="883" t="s">
        <v>4899</v>
      </c>
      <c r="H2008" s="847">
        <f>1.5</f>
        <v>1.5</v>
      </c>
      <c r="I2008" s="848">
        <f>VLOOKUP(E2008,'16.NC'!$C$11:$F$22,4,FALSE)</f>
        <v>186797</v>
      </c>
      <c r="J2008" s="849">
        <f>I2008*H2008</f>
        <v>280195.5</v>
      </c>
      <c r="N2008" s="843" t="e">
        <f>SUMIF(#REF!,'8.Dgia'!A2008,#REF!)+SUMIF(#REF!,'8.Dgia'!A2008,#REF!)+SUMIF(#REF!,'8.Dgia'!A2008,#REF!)+SUMIF(#REF!,'8.Dgia'!A2008,#REF!)</f>
        <v>#REF!</v>
      </c>
      <c r="O2008" s="844"/>
      <c r="P2008" s="843" t="e">
        <f t="shared" si="92"/>
        <v>#REF!</v>
      </c>
      <c r="R2008" s="658">
        <v>1</v>
      </c>
    </row>
    <row r="2009" spans="1:18" ht="15" customHeight="1">
      <c r="A2009" s="657">
        <f>IF(B2009="",MAX($A$8:A2008)+0,MAX($A$8:A2008)+1)</f>
        <v>218</v>
      </c>
      <c r="B2009" s="835" t="str">
        <f>IF(C2009="","",COUNTA($C$10:C2010))</f>
        <v/>
      </c>
      <c r="C2009" s="362"/>
      <c r="D2009" s="362"/>
      <c r="E2009" s="852" t="s">
        <v>2033</v>
      </c>
      <c r="F2009" s="848" t="str">
        <f>VLOOKUP(E2009,DICH!B:C,2,FALSE)</f>
        <v xml:space="preserve">  C - Machine</v>
      </c>
      <c r="G2009" s="883"/>
      <c r="H2009" s="847"/>
      <c r="I2009" s="848"/>
      <c r="J2009" s="904">
        <f>SUM(J2010:J2012)</f>
        <v>747018.03693634085</v>
      </c>
      <c r="N2009" s="843" t="e">
        <f>SUMIF(#REF!,'8.Dgia'!A2009,#REF!)+SUMIF(#REF!,'8.Dgia'!A2009,#REF!)+SUMIF(#REF!,'8.Dgia'!A2009,#REF!)+SUMIF(#REF!,'8.Dgia'!A2009,#REF!)</f>
        <v>#REF!</v>
      </c>
      <c r="O2009" s="844"/>
      <c r="P2009" s="843" t="e">
        <f t="shared" si="92"/>
        <v>#REF!</v>
      </c>
    </row>
    <row r="2010" spans="1:18" ht="15" customHeight="1">
      <c r="A2010" s="657">
        <f>IF(B2010="",MAX($A$8:A2009)+0,MAX($A$8:A2009)+1)</f>
        <v>218</v>
      </c>
      <c r="B2010" s="835" t="str">
        <f>IF(C2010="","",COUNTA($C$10:C2011))</f>
        <v/>
      </c>
      <c r="C2010" s="362"/>
      <c r="D2010" s="362"/>
      <c r="E2010" s="852" t="s">
        <v>875</v>
      </c>
      <c r="F2010" s="848" t="str">
        <f>VLOOKUP(E2010,'9.may'!E:F,2,FALSE)</f>
        <v>Pneumatic roller 16T</v>
      </c>
      <c r="G2010" s="883" t="s">
        <v>4902</v>
      </c>
      <c r="H2010" s="920">
        <v>0.31</v>
      </c>
      <c r="I2010" s="848">
        <f>VLOOKUP(E2010,'9.may'!E:W,12,FALSE)</f>
        <v>1394407.2218181817</v>
      </c>
      <c r="J2010" s="853">
        <f>I2010*H2010</f>
        <v>432266.23876363633</v>
      </c>
      <c r="N2010" s="843" t="e">
        <f>SUMIF(#REF!,'8.Dgia'!A2010,#REF!)+SUMIF(#REF!,'8.Dgia'!A2010,#REF!)+SUMIF(#REF!,'8.Dgia'!A2010,#REF!)+SUMIF(#REF!,'8.Dgia'!A2010,#REF!)</f>
        <v>#REF!</v>
      </c>
      <c r="O2010" s="844">
        <f>+$H$2012</f>
        <v>1.5</v>
      </c>
      <c r="P2010" s="843" t="e">
        <f t="shared" si="92"/>
        <v>#REF!</v>
      </c>
    </row>
    <row r="2011" spans="1:18" ht="15" customHeight="1">
      <c r="A2011" s="657">
        <f>IF(B2011="",MAX($A$8:A2010)+0,MAX($A$8:A2010)+1)</f>
        <v>218</v>
      </c>
      <c r="B2011" s="835" t="str">
        <f>IF(C2011="","",COUNTA($C$10:C2012))</f>
        <v/>
      </c>
      <c r="C2011" s="362"/>
      <c r="D2011" s="362"/>
      <c r="E2011" s="852" t="s">
        <v>624</v>
      </c>
      <c r="F2011" s="848" t="str">
        <f>VLOOKUP(E2011,'9.may'!E:F,2,FALSE)</f>
        <v>bulldozer 108CV</v>
      </c>
      <c r="G2011" s="883" t="s">
        <v>4902</v>
      </c>
      <c r="H2011" s="920">
        <v>0.155</v>
      </c>
      <c r="I2011" s="858">
        <f>VLOOKUP(E2011,'9.may'!E:W,12,FALSE)</f>
        <v>1959433.0499999998</v>
      </c>
      <c r="J2011" s="853">
        <f>I2011*H2011</f>
        <v>303712.12274999998</v>
      </c>
      <c r="N2011" s="843" t="e">
        <f>SUMIF(#REF!,'8.Dgia'!A2011,#REF!)+SUMIF(#REF!,'8.Dgia'!A2011,#REF!)+SUMIF(#REF!,'8.Dgia'!A2011,#REF!)+SUMIF(#REF!,'8.Dgia'!A2011,#REF!)</f>
        <v>#REF!</v>
      </c>
      <c r="O2011" s="844">
        <f>+$H$2012</f>
        <v>1.5</v>
      </c>
      <c r="P2011" s="843" t="e">
        <f t="shared" si="92"/>
        <v>#REF!</v>
      </c>
    </row>
    <row r="2012" spans="1:18" ht="15" customHeight="1">
      <c r="A2012" s="657">
        <f>IF(B2012="",MAX($A$8:A2011)+0,MAX($A$8:A2011)+1)</f>
        <v>218</v>
      </c>
      <c r="B2012" s="835" t="str">
        <f>IF(C2012="","",COUNTA($C$10:C2013))</f>
        <v/>
      </c>
      <c r="C2012" s="362"/>
      <c r="D2012" s="362"/>
      <c r="E2012" s="852" t="s">
        <v>553</v>
      </c>
      <c r="F2012" s="848" t="str">
        <f>VLOOKUP(E2012,DICH!B:C,2,FALSE)</f>
        <v>Other machine</v>
      </c>
      <c r="G2012" s="362" t="s">
        <v>554</v>
      </c>
      <c r="H2012" s="847">
        <v>1.5</v>
      </c>
      <c r="I2012" s="848">
        <f>SUM(J2010:J2011)</f>
        <v>735978.36151363631</v>
      </c>
      <c r="J2012" s="853">
        <f>I2012*H2012%</f>
        <v>11039.675422704544</v>
      </c>
      <c r="N2012" s="843" t="e">
        <f>SUMIF(#REF!,'8.Dgia'!A2012,#REF!)+SUMIF(#REF!,'8.Dgia'!A2012,#REF!)+SUMIF(#REF!,'8.Dgia'!A2012,#REF!)+SUMIF(#REF!,'8.Dgia'!A2012,#REF!)</f>
        <v>#REF!</v>
      </c>
      <c r="O2012" s="844"/>
      <c r="P2012" s="843" t="e">
        <f t="shared" si="92"/>
        <v>#REF!</v>
      </c>
    </row>
    <row r="2013" spans="1:18" ht="15" customHeight="1">
      <c r="A2013" s="657">
        <f>IF(B2013="",MAX($A$8:A2012)+0,MAX($A$8:A2012)+1)</f>
        <v>219</v>
      </c>
      <c r="B2013" s="835">
        <f>IF(C2013="","",COUNTA($C$10:C2014))</f>
        <v>219</v>
      </c>
      <c r="C2013" s="835">
        <f>IF(D2013="","",1776)</f>
        <v>1776</v>
      </c>
      <c r="D2013" s="362" t="s">
        <v>5598</v>
      </c>
      <c r="E2013" s="855" t="s">
        <v>5595</v>
      </c>
      <c r="F2013" s="1049" t="s">
        <v>5596</v>
      </c>
      <c r="G2013" s="882" t="s">
        <v>544</v>
      </c>
      <c r="H2013" s="847"/>
      <c r="I2013" s="848"/>
      <c r="J2013" s="903"/>
      <c r="K2013" s="842">
        <f>+J2014</f>
        <v>15627809.792676372</v>
      </c>
      <c r="L2013" s="842">
        <f>+J2016</f>
        <v>280195.5</v>
      </c>
      <c r="M2013" s="842">
        <f>+J2017</f>
        <v>747018.03693634085</v>
      </c>
      <c r="N2013" s="843" t="e">
        <f>SUMIF(#REF!,'8.Dgia'!A2013,#REF!)+SUMIF(#REF!,'8.Dgia'!A2013,#REF!)+SUMIF(#REF!,'8.Dgia'!A2013,#REF!)+SUMIF(#REF!,'8.Dgia'!A2013,#REF!)</f>
        <v>#REF!</v>
      </c>
      <c r="O2013" s="844"/>
      <c r="P2013" s="843" t="e">
        <f t="shared" si="92"/>
        <v>#REF!</v>
      </c>
    </row>
    <row r="2014" spans="1:18" ht="15" customHeight="1">
      <c r="A2014" s="657">
        <f>IF(B2014="",MAX($A$8:A2013)+0,MAX($A$8:A2013)+1)</f>
        <v>219</v>
      </c>
      <c r="B2014" s="835" t="str">
        <f>IF(C2014="","",COUNTA($C$10:C2015))</f>
        <v/>
      </c>
      <c r="C2014" s="362"/>
      <c r="D2014" s="362"/>
      <c r="E2014" s="852" t="s">
        <v>2032</v>
      </c>
      <c r="F2014" s="848" t="str">
        <f>VLOOKUP(E2014,DICH!B:C,2,FALSE)</f>
        <v xml:space="preserve">  A - Material</v>
      </c>
      <c r="G2014" s="884"/>
      <c r="H2014" s="847"/>
      <c r="I2014" s="848"/>
      <c r="J2014" s="904">
        <f>J2015</f>
        <v>15627809.792676372</v>
      </c>
      <c r="N2014" s="843" t="e">
        <f>SUMIF(#REF!,'8.Dgia'!A2014,#REF!)+SUMIF(#REF!,'8.Dgia'!A2014,#REF!)+SUMIF(#REF!,'8.Dgia'!A2014,#REF!)+SUMIF(#REF!,'8.Dgia'!A2014,#REF!)</f>
        <v>#REF!</v>
      </c>
      <c r="O2014" s="844"/>
      <c r="P2014" s="843" t="e">
        <f t="shared" si="92"/>
        <v>#REF!</v>
      </c>
    </row>
    <row r="2015" spans="1:18" ht="15" customHeight="1">
      <c r="A2015" s="657">
        <f>IF(B2015="",MAX($A$8:A2014)+0,MAX($A$8:A2014)+1)</f>
        <v>219</v>
      </c>
      <c r="B2015" s="835" t="str">
        <f>IF(C2015="","",COUNTA($C$10:C2016))</f>
        <v/>
      </c>
      <c r="C2015" s="362"/>
      <c r="D2015" s="362"/>
      <c r="E2015" s="852" t="s">
        <v>588</v>
      </c>
      <c r="F2015" s="848" t="str">
        <f>VLOOKUP(E2015,DICH!B:C,2,FALSE)</f>
        <v>Medium sand</v>
      </c>
      <c r="G2015" s="847" t="s">
        <v>545</v>
      </c>
      <c r="H2015" s="847" t="s">
        <v>687</v>
      </c>
      <c r="I2015" s="848">
        <f>VLOOKUP(E2015,'11.gia '!$B:$I,8,FALSE)</f>
        <v>128096.80157931453</v>
      </c>
      <c r="J2015" s="853">
        <f>I2015*H2015</f>
        <v>15627809.792676372</v>
      </c>
      <c r="N2015" s="843" t="e">
        <f>SUMIF(#REF!,'8.Dgia'!A2015,#REF!)+SUMIF(#REF!,'8.Dgia'!A2015,#REF!)+SUMIF(#REF!,'8.Dgia'!A2015,#REF!)+SUMIF(#REF!,'8.Dgia'!A2015,#REF!)</f>
        <v>#REF!</v>
      </c>
      <c r="O2015" s="844"/>
      <c r="P2015" s="843" t="e">
        <f t="shared" ref="P2015:P2020" si="93">$H2015*N2015*(1+O2015%)</f>
        <v>#REF!</v>
      </c>
    </row>
    <row r="2016" spans="1:18" ht="15" customHeight="1">
      <c r="A2016" s="657">
        <f>IF(B2016="",MAX($A$8:A2015)+0,MAX($A$8:A2015)+1)</f>
        <v>219</v>
      </c>
      <c r="B2016" s="835" t="str">
        <f>IF(C2016="","",COUNTA($C$10:C2017))</f>
        <v/>
      </c>
      <c r="C2016" s="362"/>
      <c r="D2016" s="362"/>
      <c r="E2016" s="852" t="s">
        <v>2038</v>
      </c>
      <c r="F2016" s="848" t="str">
        <f>VLOOKUP(E2016,DICH!B:C,2,FALSE)</f>
        <v xml:space="preserve">  B - Labour 3.0/7</v>
      </c>
      <c r="G2016" s="883" t="s">
        <v>4899</v>
      </c>
      <c r="H2016" s="847">
        <f>1.5</f>
        <v>1.5</v>
      </c>
      <c r="I2016" s="848">
        <f>VLOOKUP(E2016,'16.NC'!$C$11:$F$22,4,FALSE)</f>
        <v>186797</v>
      </c>
      <c r="J2016" s="849">
        <f>I2016*H2016</f>
        <v>280195.5</v>
      </c>
      <c r="N2016" s="843" t="e">
        <f>SUMIF(#REF!,'8.Dgia'!A2016,#REF!)+SUMIF(#REF!,'8.Dgia'!A2016,#REF!)+SUMIF(#REF!,'8.Dgia'!A2016,#REF!)+SUMIF(#REF!,'8.Dgia'!A2016,#REF!)</f>
        <v>#REF!</v>
      </c>
      <c r="O2016" s="844"/>
      <c r="P2016" s="843" t="e">
        <f t="shared" si="93"/>
        <v>#REF!</v>
      </c>
      <c r="R2016" s="658">
        <v>1</v>
      </c>
    </row>
    <row r="2017" spans="1:18" ht="15" customHeight="1">
      <c r="A2017" s="657">
        <f>IF(B2017="",MAX($A$8:A2016)+0,MAX($A$8:A2016)+1)</f>
        <v>219</v>
      </c>
      <c r="B2017" s="835" t="str">
        <f>IF(C2017="","",COUNTA($C$10:C2018))</f>
        <v/>
      </c>
      <c r="C2017" s="362"/>
      <c r="D2017" s="362"/>
      <c r="E2017" s="852" t="s">
        <v>2033</v>
      </c>
      <c r="F2017" s="848" t="str">
        <f>VLOOKUP(E2017,DICH!B:C,2,FALSE)</f>
        <v xml:space="preserve">  C - Machine</v>
      </c>
      <c r="G2017" s="883"/>
      <c r="H2017" s="847"/>
      <c r="I2017" s="848"/>
      <c r="J2017" s="904">
        <f>SUM(J2018:J2020)</f>
        <v>747018.03693634085</v>
      </c>
      <c r="N2017" s="843" t="e">
        <f>SUMIF(#REF!,'8.Dgia'!A2017,#REF!)+SUMIF(#REF!,'8.Dgia'!A2017,#REF!)+SUMIF(#REF!,'8.Dgia'!A2017,#REF!)+SUMIF(#REF!,'8.Dgia'!A2017,#REF!)</f>
        <v>#REF!</v>
      </c>
      <c r="O2017" s="844"/>
      <c r="P2017" s="843" t="e">
        <f t="shared" si="93"/>
        <v>#REF!</v>
      </c>
    </row>
    <row r="2018" spans="1:18" ht="15" customHeight="1">
      <c r="A2018" s="657">
        <f>IF(B2018="",MAX($A$8:A2017)+0,MAX($A$8:A2017)+1)</f>
        <v>219</v>
      </c>
      <c r="B2018" s="835" t="str">
        <f>IF(C2018="","",COUNTA($C$10:C2019))</f>
        <v/>
      </c>
      <c r="C2018" s="362"/>
      <c r="D2018" s="362"/>
      <c r="E2018" s="852" t="s">
        <v>875</v>
      </c>
      <c r="F2018" s="848" t="str">
        <f>VLOOKUP(E2018,'9.may'!E:F,2,FALSE)</f>
        <v>Pneumatic roller 16T</v>
      </c>
      <c r="G2018" s="883" t="s">
        <v>4902</v>
      </c>
      <c r="H2018" s="920">
        <v>0.31</v>
      </c>
      <c r="I2018" s="848">
        <f>VLOOKUP(E2018,'9.may'!E:W,12,FALSE)</f>
        <v>1394407.2218181817</v>
      </c>
      <c r="J2018" s="853">
        <f>I2018*H2018</f>
        <v>432266.23876363633</v>
      </c>
      <c r="N2018" s="843" t="e">
        <f>SUMIF(#REF!,'8.Dgia'!A2018,#REF!)+SUMIF(#REF!,'8.Dgia'!A2018,#REF!)+SUMIF(#REF!,'8.Dgia'!A2018,#REF!)+SUMIF(#REF!,'8.Dgia'!A2018,#REF!)</f>
        <v>#REF!</v>
      </c>
      <c r="O2018" s="844">
        <f>+$H$2012</f>
        <v>1.5</v>
      </c>
      <c r="P2018" s="843" t="e">
        <f t="shared" si="93"/>
        <v>#REF!</v>
      </c>
    </row>
    <row r="2019" spans="1:18" ht="15" customHeight="1">
      <c r="A2019" s="657">
        <f>IF(B2019="",MAX($A$8:A2018)+0,MAX($A$8:A2018)+1)</f>
        <v>219</v>
      </c>
      <c r="B2019" s="835" t="str">
        <f>IF(C2019="","",COUNTA($C$10:C2020))</f>
        <v/>
      </c>
      <c r="C2019" s="362"/>
      <c r="D2019" s="362"/>
      <c r="E2019" s="852" t="s">
        <v>624</v>
      </c>
      <c r="F2019" s="848" t="str">
        <f>VLOOKUP(E2019,'9.may'!E:F,2,FALSE)</f>
        <v>bulldozer 108CV</v>
      </c>
      <c r="G2019" s="883" t="s">
        <v>4902</v>
      </c>
      <c r="H2019" s="920">
        <v>0.155</v>
      </c>
      <c r="I2019" s="858">
        <f>VLOOKUP(E2019,'9.may'!E:W,12,FALSE)</f>
        <v>1959433.0499999998</v>
      </c>
      <c r="J2019" s="853">
        <f>I2019*H2019</f>
        <v>303712.12274999998</v>
      </c>
      <c r="N2019" s="843" t="e">
        <f>SUMIF(#REF!,'8.Dgia'!A2019,#REF!)+SUMIF(#REF!,'8.Dgia'!A2019,#REF!)+SUMIF(#REF!,'8.Dgia'!A2019,#REF!)+SUMIF(#REF!,'8.Dgia'!A2019,#REF!)</f>
        <v>#REF!</v>
      </c>
      <c r="O2019" s="844">
        <f>+$H$2012</f>
        <v>1.5</v>
      </c>
      <c r="P2019" s="843" t="e">
        <f t="shared" si="93"/>
        <v>#REF!</v>
      </c>
    </row>
    <row r="2020" spans="1:18" ht="15" customHeight="1">
      <c r="A2020" s="657">
        <f>IF(B2020="",MAX($A$8:A2019)+0,MAX($A$8:A2019)+1)</f>
        <v>219</v>
      </c>
      <c r="B2020" s="835" t="str">
        <f>IF(C2020="","",COUNTA($C$10:C2021))</f>
        <v/>
      </c>
      <c r="C2020" s="362"/>
      <c r="D2020" s="362"/>
      <c r="E2020" s="852" t="s">
        <v>553</v>
      </c>
      <c r="F2020" s="848" t="str">
        <f>VLOOKUP(E2020,DICH!B:C,2,FALSE)</f>
        <v>Other machine</v>
      </c>
      <c r="G2020" s="362" t="s">
        <v>554</v>
      </c>
      <c r="H2020" s="847">
        <v>1.5</v>
      </c>
      <c r="I2020" s="848">
        <f>SUM(J2018:J2019)</f>
        <v>735978.36151363631</v>
      </c>
      <c r="J2020" s="853">
        <f>I2020*H2020%</f>
        <v>11039.675422704544</v>
      </c>
      <c r="N2020" s="843" t="e">
        <f>SUMIF(#REF!,'8.Dgia'!A2020,#REF!)+SUMIF(#REF!,'8.Dgia'!A2020,#REF!)+SUMIF(#REF!,'8.Dgia'!A2020,#REF!)+SUMIF(#REF!,'8.Dgia'!A2020,#REF!)</f>
        <v>#REF!</v>
      </c>
      <c r="O2020" s="844"/>
      <c r="P2020" s="843" t="e">
        <f t="shared" si="93"/>
        <v>#REF!</v>
      </c>
    </row>
    <row r="2021" spans="1:18" ht="15" customHeight="1">
      <c r="A2021" s="657">
        <f>IF(B2021="",MAX($A$8:A2020)+0,MAX($A$8:A2020)+1)</f>
        <v>220</v>
      </c>
      <c r="B2021" s="835">
        <f>IF(C2021="","",COUNTA($C$10:C2022))</f>
        <v>220</v>
      </c>
      <c r="C2021" s="835">
        <f>IF(D2021="","",1776)</f>
        <v>1776</v>
      </c>
      <c r="D2021" s="362" t="s">
        <v>135</v>
      </c>
      <c r="E2021" s="855" t="s">
        <v>117</v>
      </c>
      <c r="F2021" s="1049" t="str">
        <f>VLOOKUP(E2021,DICH!B:C,2,FALSE)</f>
        <v>Embankment backfill by medium sand, K=0.95</v>
      </c>
      <c r="G2021" s="882" t="s">
        <v>544</v>
      </c>
      <c r="H2021" s="847"/>
      <c r="I2021" s="848"/>
      <c r="J2021" s="903"/>
      <c r="K2021" s="842">
        <f>+J2022</f>
        <v>15627809.792676372</v>
      </c>
      <c r="L2021" s="842">
        <f>+J2024</f>
        <v>280195.5</v>
      </c>
      <c r="M2021" s="842">
        <f>+J2025</f>
        <v>660267.55522760458</v>
      </c>
      <c r="N2021" s="843" t="e">
        <f>SUMIF(#REF!,'8.Dgia'!A2021,#REF!)+SUMIF(#REF!,'8.Dgia'!A2021,#REF!)+SUMIF(#REF!,'8.Dgia'!A2021,#REF!)+SUMIF(#REF!,'8.Dgia'!A2021,#REF!)</f>
        <v>#REF!</v>
      </c>
      <c r="O2021" s="844"/>
      <c r="P2021" s="843" t="e">
        <f t="shared" si="92"/>
        <v>#REF!</v>
      </c>
    </row>
    <row r="2022" spans="1:18" ht="15" customHeight="1">
      <c r="A2022" s="657">
        <f>IF(B2022="",MAX($A$8:A2021)+0,MAX($A$8:A2021)+1)</f>
        <v>220</v>
      </c>
      <c r="B2022" s="835" t="str">
        <f>IF(C2022="","",COUNTA($C$10:C2023))</f>
        <v/>
      </c>
      <c r="C2022" s="362"/>
      <c r="D2022" s="362"/>
      <c r="E2022" s="852" t="s">
        <v>2032</v>
      </c>
      <c r="F2022" s="848" t="str">
        <f>VLOOKUP(E2022,DICH!B:C,2,FALSE)</f>
        <v xml:space="preserve">  A - Material</v>
      </c>
      <c r="G2022" s="884"/>
      <c r="H2022" s="847"/>
      <c r="I2022" s="848"/>
      <c r="J2022" s="904">
        <f>J2023</f>
        <v>15627809.792676372</v>
      </c>
      <c r="N2022" s="843" t="e">
        <f>SUMIF(#REF!,'8.Dgia'!A2022,#REF!)+SUMIF(#REF!,'8.Dgia'!A2022,#REF!)+SUMIF(#REF!,'8.Dgia'!A2022,#REF!)+SUMIF(#REF!,'8.Dgia'!A2022,#REF!)</f>
        <v>#REF!</v>
      </c>
      <c r="O2022" s="844"/>
      <c r="P2022" s="843" t="e">
        <f t="shared" ref="P2022:P2100" si="94">$H2022*N2022*(1+O2022%)</f>
        <v>#REF!</v>
      </c>
    </row>
    <row r="2023" spans="1:18" ht="15" customHeight="1">
      <c r="A2023" s="657">
        <f>IF(B2023="",MAX($A$8:A2022)+0,MAX($A$8:A2022)+1)</f>
        <v>220</v>
      </c>
      <c r="B2023" s="835" t="str">
        <f>IF(C2023="","",COUNTA($C$10:C2024))</f>
        <v/>
      </c>
      <c r="C2023" s="362"/>
      <c r="D2023" s="362"/>
      <c r="E2023" s="852" t="s">
        <v>588</v>
      </c>
      <c r="F2023" s="848" t="str">
        <f>VLOOKUP(E2023,DICH!B:C,2,FALSE)</f>
        <v>Medium sand</v>
      </c>
      <c r="G2023" s="847" t="s">
        <v>545</v>
      </c>
      <c r="H2023" s="847" t="s">
        <v>687</v>
      </c>
      <c r="I2023" s="848">
        <f>VLOOKUP(E2023,'11.gia '!$B:$I,8,FALSE)</f>
        <v>128096.80157931453</v>
      </c>
      <c r="J2023" s="853">
        <f>I2023*H2023</f>
        <v>15627809.792676372</v>
      </c>
      <c r="N2023" s="843" t="e">
        <f>SUMIF(#REF!,'8.Dgia'!A2023,#REF!)+SUMIF(#REF!,'8.Dgia'!A2023,#REF!)+SUMIF(#REF!,'8.Dgia'!A2023,#REF!)+SUMIF(#REF!,'8.Dgia'!A2023,#REF!)</f>
        <v>#REF!</v>
      </c>
      <c r="O2023" s="844"/>
      <c r="P2023" s="843" t="e">
        <f t="shared" si="94"/>
        <v>#REF!</v>
      </c>
    </row>
    <row r="2024" spans="1:18" ht="15" customHeight="1">
      <c r="A2024" s="657">
        <f>IF(B2024="",MAX($A$8:A2023)+0,MAX($A$8:A2023)+1)</f>
        <v>220</v>
      </c>
      <c r="B2024" s="835" t="str">
        <f>IF(C2024="","",COUNTA($C$10:C2025))</f>
        <v/>
      </c>
      <c r="C2024" s="362"/>
      <c r="D2024" s="362"/>
      <c r="E2024" s="852" t="s">
        <v>2038</v>
      </c>
      <c r="F2024" s="848" t="str">
        <f>VLOOKUP(E2024,DICH!B:C,2,FALSE)</f>
        <v xml:space="preserve">  B - Labour 3.0/7</v>
      </c>
      <c r="G2024" s="883" t="s">
        <v>4899</v>
      </c>
      <c r="H2024" s="847">
        <f>1.5</f>
        <v>1.5</v>
      </c>
      <c r="I2024" s="848">
        <f>VLOOKUP(E2024,'16.NC'!$C$11:$F$22,4,FALSE)</f>
        <v>186797</v>
      </c>
      <c r="J2024" s="849">
        <f>I2024*H2024</f>
        <v>280195.5</v>
      </c>
      <c r="N2024" s="843" t="e">
        <f>SUMIF(#REF!,'8.Dgia'!A2024,#REF!)+SUMIF(#REF!,'8.Dgia'!A2024,#REF!)+SUMIF(#REF!,'8.Dgia'!A2024,#REF!)+SUMIF(#REF!,'8.Dgia'!A2024,#REF!)</f>
        <v>#REF!</v>
      </c>
      <c r="O2024" s="844"/>
      <c r="P2024" s="843" t="e">
        <f t="shared" si="94"/>
        <v>#REF!</v>
      </c>
      <c r="R2024" s="658">
        <v>1</v>
      </c>
    </row>
    <row r="2025" spans="1:18" ht="15" customHeight="1">
      <c r="A2025" s="657">
        <f>IF(B2025="",MAX($A$8:A2024)+0,MAX($A$8:A2024)+1)</f>
        <v>220</v>
      </c>
      <c r="B2025" s="835" t="str">
        <f>IF(C2025="","",COUNTA($C$10:C2026))</f>
        <v/>
      </c>
      <c r="C2025" s="362"/>
      <c r="D2025" s="362"/>
      <c r="E2025" s="852" t="s">
        <v>2033</v>
      </c>
      <c r="F2025" s="848" t="str">
        <f>VLOOKUP(E2025,DICH!B:C,2,FALSE)</f>
        <v xml:space="preserve">  C - Machine</v>
      </c>
      <c r="G2025" s="883"/>
      <c r="H2025" s="847"/>
      <c r="I2025" s="848"/>
      <c r="J2025" s="904">
        <f>SUM(J2026:J2028)</f>
        <v>660267.55522760458</v>
      </c>
      <c r="N2025" s="843" t="e">
        <f>SUMIF(#REF!,'8.Dgia'!A2025,#REF!)+SUMIF(#REF!,'8.Dgia'!A2025,#REF!)+SUMIF(#REF!,'8.Dgia'!A2025,#REF!)+SUMIF(#REF!,'8.Dgia'!A2025,#REF!)</f>
        <v>#REF!</v>
      </c>
      <c r="O2025" s="844"/>
      <c r="P2025" s="843" t="e">
        <f t="shared" si="94"/>
        <v>#REF!</v>
      </c>
    </row>
    <row r="2026" spans="1:18" ht="15" customHeight="1">
      <c r="A2026" s="657">
        <f>IF(B2026="",MAX($A$8:A2025)+0,MAX($A$8:A2025)+1)</f>
        <v>220</v>
      </c>
      <c r="B2026" s="835" t="str">
        <f>IF(C2026="","",COUNTA($C$10:C2027))</f>
        <v/>
      </c>
      <c r="C2026" s="362"/>
      <c r="D2026" s="362"/>
      <c r="E2026" s="852" t="s">
        <v>875</v>
      </c>
      <c r="F2026" s="848" t="str">
        <f>VLOOKUP(E2026,'9.may'!E:F,2,FALSE)</f>
        <v>Pneumatic roller 16T</v>
      </c>
      <c r="G2026" s="883" t="s">
        <v>4902</v>
      </c>
      <c r="H2026" s="920">
        <v>0.27400000000000002</v>
      </c>
      <c r="I2026" s="848">
        <f>VLOOKUP(E2026,'9.may'!E:W,12,FALSE)</f>
        <v>1394407.2218181817</v>
      </c>
      <c r="J2026" s="853">
        <f>I2026*H2026</f>
        <v>382067.57877818181</v>
      </c>
      <c r="N2026" s="843" t="e">
        <f>SUMIF(#REF!,'8.Dgia'!A2026,#REF!)+SUMIF(#REF!,'8.Dgia'!A2026,#REF!)+SUMIF(#REF!,'8.Dgia'!A2026,#REF!)+SUMIF(#REF!,'8.Dgia'!A2026,#REF!)</f>
        <v>#REF!</v>
      </c>
      <c r="O2026" s="844"/>
      <c r="P2026" s="843" t="e">
        <f t="shared" si="94"/>
        <v>#REF!</v>
      </c>
    </row>
    <row r="2027" spans="1:18" ht="15" customHeight="1">
      <c r="A2027" s="657">
        <f>IF(B2027="",MAX($A$8:A2026)+0,MAX($A$8:A2026)+1)</f>
        <v>220</v>
      </c>
      <c r="B2027" s="835" t="str">
        <f>IF(C2027="","",COUNTA($C$10:C2028))</f>
        <v/>
      </c>
      <c r="C2027" s="362"/>
      <c r="D2027" s="362"/>
      <c r="E2027" s="852" t="s">
        <v>624</v>
      </c>
      <c r="F2027" s="848" t="str">
        <f>VLOOKUP(E2027,'9.may'!E:F,2,FALSE)</f>
        <v>bulldozer 108CV</v>
      </c>
      <c r="G2027" s="883" t="s">
        <v>4902</v>
      </c>
      <c r="H2027" s="920">
        <v>0.13700000000000001</v>
      </c>
      <c r="I2027" s="858">
        <f>VLOOKUP(E2027,'9.may'!E:W,12,FALSE)</f>
        <v>1959433.0499999998</v>
      </c>
      <c r="J2027" s="853">
        <f>I2027*H2027</f>
        <v>268442.32785</v>
      </c>
      <c r="N2027" s="843" t="e">
        <f>SUMIF(#REF!,'8.Dgia'!A2027,#REF!)+SUMIF(#REF!,'8.Dgia'!A2027,#REF!)+SUMIF(#REF!,'8.Dgia'!A2027,#REF!)+SUMIF(#REF!,'8.Dgia'!A2027,#REF!)</f>
        <v>#REF!</v>
      </c>
      <c r="O2027" s="844"/>
      <c r="P2027" s="843" t="e">
        <f t="shared" si="94"/>
        <v>#REF!</v>
      </c>
    </row>
    <row r="2028" spans="1:18" ht="15" customHeight="1">
      <c r="A2028" s="657">
        <f>IF(B2028="",MAX($A$8:A2027)+0,MAX($A$8:A2027)+1)</f>
        <v>220</v>
      </c>
      <c r="B2028" s="835" t="str">
        <f>IF(C2028="","",COUNTA($C$10:C2029))</f>
        <v/>
      </c>
      <c r="C2028" s="362"/>
      <c r="D2028" s="362"/>
      <c r="E2028" s="852" t="s">
        <v>553</v>
      </c>
      <c r="F2028" s="848" t="str">
        <f>VLOOKUP(E2028,DICH!B:C,2,FALSE)</f>
        <v>Other machine</v>
      </c>
      <c r="G2028" s="362" t="s">
        <v>554</v>
      </c>
      <c r="H2028" s="847">
        <v>1.5</v>
      </c>
      <c r="I2028" s="848">
        <f>SUM(J2026:J2027)</f>
        <v>650509.90662818181</v>
      </c>
      <c r="J2028" s="853">
        <f>I2028*H2028%</f>
        <v>9757.648599422726</v>
      </c>
      <c r="N2028" s="843" t="e">
        <f>SUMIF(#REF!,'8.Dgia'!A2028,#REF!)+SUMIF(#REF!,'8.Dgia'!A2028,#REF!)+SUMIF(#REF!,'8.Dgia'!A2028,#REF!)+SUMIF(#REF!,'8.Dgia'!A2028,#REF!)</f>
        <v>#REF!</v>
      </c>
      <c r="O2028" s="844"/>
      <c r="P2028" s="843" t="e">
        <f t="shared" si="94"/>
        <v>#REF!</v>
      </c>
    </row>
    <row r="2029" spans="1:18" ht="15" customHeight="1">
      <c r="A2029" s="657">
        <f>IF(B2029="",MAX($A$8:A2028)+0,MAX($A$8:A2028)+1)</f>
        <v>221</v>
      </c>
      <c r="B2029" s="835">
        <f>IF(C2029="","",COUNTA($C$10:C2030))</f>
        <v>221</v>
      </c>
      <c r="C2029" s="835">
        <f>IF(D2029="","",1776)</f>
        <v>1776</v>
      </c>
      <c r="D2029" s="362" t="s">
        <v>690</v>
      </c>
      <c r="E2029" s="855" t="s">
        <v>2</v>
      </c>
      <c r="F2029" s="1049" t="str">
        <f>VLOOKUP(E2029,DICH!B:C,2,FALSE)</f>
        <v>Pilling wooden pile L&gt;2.5m, C1</v>
      </c>
      <c r="G2029" s="884" t="s">
        <v>546</v>
      </c>
      <c r="H2029" s="847"/>
      <c r="I2029" s="848"/>
      <c r="J2029" s="853"/>
      <c r="K2029" s="842">
        <f>+J2030</f>
        <v>483273.15106382978</v>
      </c>
      <c r="L2029" s="842">
        <f>+J2035</f>
        <v>663358.74</v>
      </c>
      <c r="N2029" s="843" t="e">
        <f>SUMIF(#REF!,'8.Dgia'!A2029,#REF!)+SUMIF(#REF!,'8.Dgia'!A2029,#REF!)+SUMIF(#REF!,'8.Dgia'!A2029,#REF!)+SUMIF(#REF!,'8.Dgia'!A2029,#REF!)</f>
        <v>#REF!</v>
      </c>
      <c r="O2029" s="844"/>
      <c r="P2029" s="843" t="e">
        <f t="shared" si="94"/>
        <v>#REF!</v>
      </c>
      <c r="Q2029" s="657" t="s">
        <v>457</v>
      </c>
    </row>
    <row r="2030" spans="1:18" ht="15" customHeight="1">
      <c r="A2030" s="657">
        <f>IF(B2030="",MAX($A$8:A2029)+0,MAX($A$8:A2029)+1)</f>
        <v>221</v>
      </c>
      <c r="B2030" s="835" t="str">
        <f>IF(C2030="","",COUNTA($C$10:C2031))</f>
        <v/>
      </c>
      <c r="C2030" s="362"/>
      <c r="D2030" s="362"/>
      <c r="E2030" s="852" t="s">
        <v>2032</v>
      </c>
      <c r="F2030" s="848" t="str">
        <f>VLOOKUP(E2030,DICH!B:C,2,FALSE)</f>
        <v xml:space="preserve">  A - Material</v>
      </c>
      <c r="G2030" s="883"/>
      <c r="H2030" s="847"/>
      <c r="I2030" s="848"/>
      <c r="J2030" s="849">
        <f>SUM(J2031:J2034)</f>
        <v>483273.15106382978</v>
      </c>
      <c r="N2030" s="843" t="e">
        <f>SUMIF(#REF!,'8.Dgia'!A2030,#REF!)+SUMIF(#REF!,'8.Dgia'!A2030,#REF!)+SUMIF(#REF!,'8.Dgia'!A2030,#REF!)+SUMIF(#REF!,'8.Dgia'!A2030,#REF!)</f>
        <v>#REF!</v>
      </c>
      <c r="O2030" s="844"/>
      <c r="P2030" s="843" t="e">
        <f t="shared" si="94"/>
        <v>#REF!</v>
      </c>
      <c r="Q2030" s="657" t="s">
        <v>457</v>
      </c>
    </row>
    <row r="2031" spans="1:18" ht="15" customHeight="1">
      <c r="A2031" s="657">
        <f>IF(B2031="",MAX($A$8:A2030)+0,MAX($A$8:A2030)+1)</f>
        <v>221</v>
      </c>
      <c r="B2031" s="835" t="str">
        <f>IF(C2031="","",COUNTA($C$10:C2032))</f>
        <v/>
      </c>
      <c r="C2031" s="362"/>
      <c r="D2031" s="362"/>
      <c r="E2031" s="852" t="s">
        <v>463</v>
      </c>
      <c r="F2031" s="848" t="str">
        <f>VLOOKUP(E2031,DICH!B:C,2,FALSE)</f>
        <v>Wooden pile</v>
      </c>
      <c r="G2031" s="883" t="s">
        <v>543</v>
      </c>
      <c r="H2031" s="847">
        <v>105</v>
      </c>
      <c r="I2031" s="848">
        <f>VLOOKUP(E2031,'11.gia '!$B:$I,8,FALSE)</f>
        <v>3617.0212765957444</v>
      </c>
      <c r="J2031" s="853">
        <f>I2031*H2031</f>
        <v>379787.23404255317</v>
      </c>
      <c r="N2031" s="843" t="e">
        <f>SUMIF(#REF!,'8.Dgia'!A2031,#REF!)+SUMIF(#REF!,'8.Dgia'!A2031,#REF!)+SUMIF(#REF!,'8.Dgia'!A2031,#REF!)+SUMIF(#REF!,'8.Dgia'!A2031,#REF!)</f>
        <v>#REF!</v>
      </c>
      <c r="O2031" s="844">
        <f>+$H$2034</f>
        <v>3</v>
      </c>
      <c r="P2031" s="843" t="e">
        <f t="shared" si="94"/>
        <v>#REF!</v>
      </c>
      <c r="Q2031" s="657" t="s">
        <v>457</v>
      </c>
    </row>
    <row r="2032" spans="1:18" ht="15" customHeight="1">
      <c r="A2032" s="657">
        <f>IF(B2032="",MAX($A$8:A2031)+0,MAX($A$8:A2031)+1)</f>
        <v>221</v>
      </c>
      <c r="B2032" s="835" t="str">
        <f>IF(C2032="","",COUNTA($C$10:C2033))</f>
        <v/>
      </c>
      <c r="C2032" s="362"/>
      <c r="D2032" s="362"/>
      <c r="E2032" s="852" t="s">
        <v>273</v>
      </c>
      <c r="F2032" s="848" t="str">
        <f>VLOOKUP(E2032,DICH!B:C,2,FALSE)</f>
        <v>Strut</v>
      </c>
      <c r="G2032" s="883" t="s">
        <v>462</v>
      </c>
      <c r="H2032" s="847">
        <v>1.73</v>
      </c>
      <c r="I2032" s="848">
        <f>VLOOKUP(E2032,'11.gia '!$B:$I,8,FALSE)</f>
        <v>17000</v>
      </c>
      <c r="J2032" s="853">
        <f>I2032*H2032</f>
        <v>29410</v>
      </c>
      <c r="M2032" s="872"/>
      <c r="N2032" s="843" t="e">
        <f>SUMIF(#REF!,'8.Dgia'!A2032,#REF!)+SUMIF(#REF!,'8.Dgia'!A2032,#REF!)+SUMIF(#REF!,'8.Dgia'!A2032,#REF!)+SUMIF(#REF!,'8.Dgia'!A2032,#REF!)</f>
        <v>#REF!</v>
      </c>
      <c r="O2032" s="844">
        <f>+$H$2034</f>
        <v>3</v>
      </c>
      <c r="P2032" s="843" t="e">
        <f t="shared" si="94"/>
        <v>#REF!</v>
      </c>
      <c r="Q2032" s="657" t="s">
        <v>457</v>
      </c>
    </row>
    <row r="2033" spans="1:18" ht="15" customHeight="1">
      <c r="A2033" s="657">
        <f>IF(B2033="",MAX($A$8:A2032)+0,MAX($A$8:A2032)+1)</f>
        <v>221</v>
      </c>
      <c r="B2033" s="835" t="str">
        <f>IF(C2033="","",COUNTA($C$10:C2034))</f>
        <v/>
      </c>
      <c r="C2033" s="362"/>
      <c r="D2033" s="362"/>
      <c r="E2033" s="852" t="s">
        <v>134</v>
      </c>
      <c r="F2033" s="848" t="str">
        <f>VLOOKUP(E2033,DICH!B:C,2,FALSE)</f>
        <v>Wooden</v>
      </c>
      <c r="G2033" s="847" t="s">
        <v>545</v>
      </c>
      <c r="H2033" s="847">
        <v>1.2E-2</v>
      </c>
      <c r="I2033" s="848">
        <f>VLOOKUP(E2033,'11.gia '!$B:$I,8,FALSE)</f>
        <v>5000000</v>
      </c>
      <c r="J2033" s="853">
        <f>I2033*H2033</f>
        <v>60000</v>
      </c>
      <c r="M2033" s="872"/>
      <c r="N2033" s="843" t="e">
        <f>SUMIF(#REF!,'8.Dgia'!A2033,#REF!)+SUMIF(#REF!,'8.Dgia'!A2033,#REF!)+SUMIF(#REF!,'8.Dgia'!A2033,#REF!)+SUMIF(#REF!,'8.Dgia'!A2033,#REF!)</f>
        <v>#REF!</v>
      </c>
      <c r="O2033" s="844">
        <f>+$H$2034</f>
        <v>3</v>
      </c>
      <c r="P2033" s="843" t="e">
        <f t="shared" si="94"/>
        <v>#REF!</v>
      </c>
      <c r="Q2033" s="657" t="s">
        <v>457</v>
      </c>
    </row>
    <row r="2034" spans="1:18" ht="15" customHeight="1">
      <c r="A2034" s="657">
        <f>IF(B2034="",MAX($A$8:A2033)+0,MAX($A$8:A2033)+1)</f>
        <v>221</v>
      </c>
      <c r="B2034" s="835" t="str">
        <f>IF(C2034="","",COUNTA($C$10:C2035))</f>
        <v/>
      </c>
      <c r="C2034" s="362"/>
      <c r="D2034" s="362"/>
      <c r="E2034" s="852" t="s">
        <v>555</v>
      </c>
      <c r="F2034" s="848" t="str">
        <f>VLOOKUP(E2034,DICH!B:C,2,FALSE)</f>
        <v>Other material</v>
      </c>
      <c r="G2034" s="362" t="s">
        <v>554</v>
      </c>
      <c r="H2034" s="847">
        <v>3</v>
      </c>
      <c r="I2034" s="848">
        <f>SUM(J2031:J2033)</f>
        <v>469197.23404255317</v>
      </c>
      <c r="J2034" s="853">
        <f>I2034*H2034%</f>
        <v>14075.917021276595</v>
      </c>
      <c r="M2034" s="872"/>
      <c r="N2034" s="843" t="e">
        <f>SUMIF(#REF!,'8.Dgia'!A2034,#REF!)+SUMIF(#REF!,'8.Dgia'!A2034,#REF!)+SUMIF(#REF!,'8.Dgia'!A2034,#REF!)+SUMIF(#REF!,'8.Dgia'!A2034,#REF!)</f>
        <v>#REF!</v>
      </c>
      <c r="O2034" s="844"/>
      <c r="P2034" s="843" t="e">
        <f t="shared" si="94"/>
        <v>#REF!</v>
      </c>
      <c r="Q2034" s="657" t="s">
        <v>457</v>
      </c>
    </row>
    <row r="2035" spans="1:18" ht="15" customHeight="1">
      <c r="A2035" s="657">
        <f>IF(B2035="",MAX($A$8:A2034)+0,MAX($A$8:A2034)+1)</f>
        <v>221</v>
      </c>
      <c r="B2035" s="835" t="str">
        <f>IF(C2035="","",COUNTA($C$10:C2036))</f>
        <v/>
      </c>
      <c r="C2035" s="362"/>
      <c r="D2035" s="362"/>
      <c r="E2035" s="852" t="s">
        <v>2037</v>
      </c>
      <c r="F2035" s="848" t="str">
        <f>VLOOKUP(E2035,DICH!B:C,2,FALSE)</f>
        <v xml:space="preserve">  B - Labour 3.5/7</v>
      </c>
      <c r="G2035" s="883" t="s">
        <v>4899</v>
      </c>
      <c r="H2035" s="847">
        <v>3.27</v>
      </c>
      <c r="I2035" s="848">
        <f>VLOOKUP(E2035,'16.NC'!$C$11:$F$22,4,FALSE)</f>
        <v>202862</v>
      </c>
      <c r="J2035" s="849">
        <f>I2035*H2035</f>
        <v>663358.74</v>
      </c>
      <c r="M2035" s="872"/>
      <c r="N2035" s="843" t="e">
        <f>SUMIF(#REF!,'8.Dgia'!A2035,#REF!)+SUMIF(#REF!,'8.Dgia'!A2035,#REF!)+SUMIF(#REF!,'8.Dgia'!A2035,#REF!)+SUMIF(#REF!,'8.Dgia'!A2035,#REF!)</f>
        <v>#REF!</v>
      </c>
      <c r="O2035" s="844"/>
      <c r="P2035" s="843" t="e">
        <f t="shared" si="94"/>
        <v>#REF!</v>
      </c>
      <c r="Q2035" s="657" t="s">
        <v>457</v>
      </c>
      <c r="R2035" s="658">
        <v>1</v>
      </c>
    </row>
    <row r="2036" spans="1:18" ht="15" customHeight="1">
      <c r="A2036" s="657">
        <f>IF(B2036="",MAX($A$8:A2035)+0,MAX($A$8:A2035)+1)</f>
        <v>222</v>
      </c>
      <c r="B2036" s="835">
        <f>IF(C2036="","",COUNTA($C$10:C2037))</f>
        <v>222</v>
      </c>
      <c r="C2036" s="835">
        <f>IF(D2036="","",1776)</f>
        <v>1776</v>
      </c>
      <c r="D2036" s="362" t="s">
        <v>50</v>
      </c>
      <c r="E2036" s="855" t="s">
        <v>374</v>
      </c>
      <c r="F2036" s="1049" t="str">
        <f>VLOOKUP(E2036,DICH!B:C,2,FALSE)</f>
        <v>Installing PVC D80</v>
      </c>
      <c r="G2036" s="882" t="s">
        <v>546</v>
      </c>
      <c r="H2036" s="847"/>
      <c r="I2036" s="848"/>
      <c r="J2036" s="853"/>
      <c r="K2036" s="842">
        <f>+J2037</f>
        <v>3494836.8644719101</v>
      </c>
      <c r="L2036" s="842">
        <f>+J2042</f>
        <v>2022237.8247191012</v>
      </c>
      <c r="M2036" s="872"/>
      <c r="N2036" s="843" t="e">
        <f>SUMIF(#REF!,'8.Dgia'!A2036,#REF!)+SUMIF(#REF!,'8.Dgia'!A2036,#REF!)+SUMIF(#REF!,'8.Dgia'!A2036,#REF!)+SUMIF(#REF!,'8.Dgia'!A2036,#REF!)</f>
        <v>#REF!</v>
      </c>
      <c r="O2036" s="844"/>
      <c r="P2036" s="843" t="e">
        <f t="shared" si="94"/>
        <v>#REF!</v>
      </c>
    </row>
    <row r="2037" spans="1:18" ht="15" customHeight="1">
      <c r="A2037" s="657">
        <f>IF(B2037="",MAX($A$8:A2036)+0,MAX($A$8:A2036)+1)</f>
        <v>222</v>
      </c>
      <c r="B2037" s="835" t="str">
        <f>IF(C2037="","",COUNTA($C$10:C2038))</f>
        <v/>
      </c>
      <c r="C2037" s="361"/>
      <c r="D2037" s="361" t="s">
        <v>52</v>
      </c>
      <c r="E2037" s="852" t="s">
        <v>2032</v>
      </c>
      <c r="F2037" s="848" t="str">
        <f>VLOOKUP(E2037,DICH!B:C,2,FALSE)</f>
        <v xml:space="preserve">  A - Material</v>
      </c>
      <c r="G2037" s="921"/>
      <c r="H2037" s="847"/>
      <c r="I2037" s="848"/>
      <c r="J2037" s="849">
        <f>SUM(J2038:J2041)</f>
        <v>3494836.8644719101</v>
      </c>
      <c r="M2037" s="872"/>
      <c r="N2037" s="843" t="e">
        <f>SUMIF(#REF!,'8.Dgia'!A2037,#REF!)+SUMIF(#REF!,'8.Dgia'!A2037,#REF!)+SUMIF(#REF!,'8.Dgia'!A2037,#REF!)+SUMIF(#REF!,'8.Dgia'!A2037,#REF!)</f>
        <v>#REF!</v>
      </c>
      <c r="O2037" s="844"/>
      <c r="P2037" s="843" t="e">
        <f t="shared" si="94"/>
        <v>#REF!</v>
      </c>
    </row>
    <row r="2038" spans="1:18" ht="15" customHeight="1">
      <c r="A2038" s="657">
        <f>IF(B2038="",MAX($A$8:A2037)+0,MAX($A$8:A2037)+1)</f>
        <v>222</v>
      </c>
      <c r="B2038" s="835" t="str">
        <f>IF(C2038="","",COUNTA($C$10:C2039))</f>
        <v/>
      </c>
      <c r="C2038" s="362"/>
      <c r="D2038" s="362"/>
      <c r="E2038" s="852" t="s">
        <v>51</v>
      </c>
      <c r="F2038" s="848" t="str">
        <f>VLOOKUP(E2038,DICH!B:C,2,FALSE)</f>
        <v>Pipe PVC D80</v>
      </c>
      <c r="G2038" s="847" t="s">
        <v>543</v>
      </c>
      <c r="H2038" s="847">
        <v>101</v>
      </c>
      <c r="I2038" s="848">
        <f>VLOOKUP(E2038,'11.gia '!$B:$I,8,FALSE)</f>
        <v>34500</v>
      </c>
      <c r="J2038" s="853">
        <f>I2038*H2038</f>
        <v>3484500</v>
      </c>
      <c r="M2038" s="872"/>
      <c r="N2038" s="843" t="e">
        <f>SUMIF(#REF!,'8.Dgia'!A2038,#REF!)+SUMIF(#REF!,'8.Dgia'!A2038,#REF!)+SUMIF(#REF!,'8.Dgia'!A2038,#REF!)+SUMIF(#REF!,'8.Dgia'!A2038,#REF!)</f>
        <v>#REF!</v>
      </c>
      <c r="O2038" s="844"/>
      <c r="P2038" s="843" t="e">
        <f t="shared" si="94"/>
        <v>#REF!</v>
      </c>
    </row>
    <row r="2039" spans="1:18" ht="15" customHeight="1">
      <c r="A2039" s="657">
        <f>IF(B2039="",MAX($A$8:A2038)+0,MAX($A$8:A2038)+1)</f>
        <v>222</v>
      </c>
      <c r="B2039" s="835" t="str">
        <f>IF(C2039="","",COUNTA($C$10:C2040))</f>
        <v/>
      </c>
      <c r="C2039" s="362"/>
      <c r="D2039" s="362"/>
      <c r="E2039" s="852" t="s">
        <v>476</v>
      </c>
      <c r="F2039" s="848" t="str">
        <f>VLOOKUP(E2039,DICH!B:C,2,FALSE)</f>
        <v>Alcohol for washing</v>
      </c>
      <c r="G2039" s="847" t="s">
        <v>558</v>
      </c>
      <c r="H2039" s="859">
        <f>0.29*80/89</f>
        <v>0.26067415730337079</v>
      </c>
      <c r="I2039" s="848">
        <f>VLOOKUP(E2039,'11.gia '!$B:$I,8,FALSE)</f>
        <v>7000</v>
      </c>
      <c r="J2039" s="853">
        <f>I2039*H2039</f>
        <v>1824.7191011235955</v>
      </c>
      <c r="M2039" s="872"/>
      <c r="N2039" s="843" t="e">
        <f>SUMIF(#REF!,'8.Dgia'!A2039,#REF!)+SUMIF(#REF!,'8.Dgia'!A2039,#REF!)+SUMIF(#REF!,'8.Dgia'!A2039,#REF!)+SUMIF(#REF!,'8.Dgia'!A2039,#REF!)</f>
        <v>#REF!</v>
      </c>
      <c r="O2039" s="844"/>
      <c r="P2039" s="843" t="e">
        <f t="shared" si="94"/>
        <v>#REF!</v>
      </c>
    </row>
    <row r="2040" spans="1:18" ht="15" customHeight="1">
      <c r="A2040" s="657">
        <f>IF(B2040="",MAX($A$8:A2039)+0,MAX($A$8:A2039)+1)</f>
        <v>222</v>
      </c>
      <c r="B2040" s="835" t="str">
        <f>IF(C2040="","",COUNTA($C$10:C2041))</f>
        <v/>
      </c>
      <c r="C2040" s="362"/>
      <c r="D2040" s="362"/>
      <c r="E2040" s="852" t="s">
        <v>360</v>
      </c>
      <c r="F2040" s="848" t="str">
        <f>VLOOKUP(E2040,DICH!B:C,2,FALSE)</f>
        <v>glue</v>
      </c>
      <c r="G2040" s="847" t="s">
        <v>558</v>
      </c>
      <c r="H2040" s="859">
        <f>0.09*80/89</f>
        <v>8.0898876404494377E-2</v>
      </c>
      <c r="I2040" s="848">
        <f>VLOOKUP(E2040,'11.gia '!$B:$I,8,FALSE)</f>
        <v>100900</v>
      </c>
      <c r="J2040" s="853">
        <f>I2040*H2040</f>
        <v>8162.696629213483</v>
      </c>
      <c r="M2040" s="872"/>
      <c r="N2040" s="843" t="e">
        <f>SUMIF(#REF!,'8.Dgia'!A2040,#REF!)+SUMIF(#REF!,'8.Dgia'!A2040,#REF!)+SUMIF(#REF!,'8.Dgia'!A2040,#REF!)+SUMIF(#REF!,'8.Dgia'!A2040,#REF!)</f>
        <v>#REF!</v>
      </c>
      <c r="O2040" s="844"/>
      <c r="P2040" s="843" t="e">
        <f t="shared" si="94"/>
        <v>#REF!</v>
      </c>
    </row>
    <row r="2041" spans="1:18" ht="15" customHeight="1">
      <c r="A2041" s="657">
        <f>IF(B2041="",MAX($A$8:A2040)+0,MAX($A$8:A2040)+1)</f>
        <v>222</v>
      </c>
      <c r="B2041" s="835" t="str">
        <f>IF(C2041="","",COUNTA($C$10:C2042))</f>
        <v/>
      </c>
      <c r="C2041" s="362"/>
      <c r="D2041" s="362"/>
      <c r="E2041" s="852" t="s">
        <v>555</v>
      </c>
      <c r="F2041" s="848" t="str">
        <f>VLOOKUP(E2041,DICH!B:C,2,FALSE)</f>
        <v>Other material</v>
      </c>
      <c r="G2041" s="362" t="s">
        <v>554</v>
      </c>
      <c r="H2041" s="847">
        <v>0.01</v>
      </c>
      <c r="I2041" s="848">
        <f>SUM(J2038:J2040)</f>
        <v>3494487.4157303371</v>
      </c>
      <c r="J2041" s="853">
        <f>I2041*H2041%</f>
        <v>349.44874157303371</v>
      </c>
      <c r="M2041" s="872"/>
      <c r="N2041" s="843" t="e">
        <f>SUMIF(#REF!,'8.Dgia'!A2041,#REF!)+SUMIF(#REF!,'8.Dgia'!A2041,#REF!)+SUMIF(#REF!,'8.Dgia'!A2041,#REF!)+SUMIF(#REF!,'8.Dgia'!A2041,#REF!)</f>
        <v>#REF!</v>
      </c>
      <c r="O2041" s="844"/>
      <c r="P2041" s="843" t="e">
        <f t="shared" si="94"/>
        <v>#REF!</v>
      </c>
    </row>
    <row r="2042" spans="1:18" ht="15" customHeight="1">
      <c r="A2042" s="657">
        <f>IF(B2042="",MAX($A$8:A2041)+0,MAX($A$8:A2041)+1)</f>
        <v>222</v>
      </c>
      <c r="B2042" s="835" t="str">
        <f>IF(C2042="","",COUNTA($C$10:C2043))</f>
        <v/>
      </c>
      <c r="C2042" s="362"/>
      <c r="D2042" s="362"/>
      <c r="E2042" s="852" t="s">
        <v>2037</v>
      </c>
      <c r="F2042" s="848" t="str">
        <f>VLOOKUP(E2042,DICH!B:C,2,FALSE)</f>
        <v xml:space="preserve">  B - Labour 3.5/7</v>
      </c>
      <c r="G2042" s="847" t="s">
        <v>4899</v>
      </c>
      <c r="H2042" s="865">
        <f>11.09*80/89</f>
        <v>9.9685393258426966</v>
      </c>
      <c r="I2042" s="848">
        <f>VLOOKUP(E2042,'16.NC'!$C$11:$F$22,4,FALSE)</f>
        <v>202862</v>
      </c>
      <c r="J2042" s="849">
        <f>I2042*H2042</f>
        <v>2022237.8247191012</v>
      </c>
      <c r="M2042" s="872"/>
      <c r="N2042" s="843" t="e">
        <f>SUMIF(#REF!,'8.Dgia'!A2042,#REF!)+SUMIF(#REF!,'8.Dgia'!A2042,#REF!)+SUMIF(#REF!,'8.Dgia'!A2042,#REF!)+SUMIF(#REF!,'8.Dgia'!A2042,#REF!)</f>
        <v>#REF!</v>
      </c>
      <c r="O2042" s="844"/>
      <c r="P2042" s="843" t="e">
        <f t="shared" si="94"/>
        <v>#REF!</v>
      </c>
      <c r="R2042" s="658">
        <v>1</v>
      </c>
    </row>
    <row r="2043" spans="1:18" ht="15" customHeight="1">
      <c r="A2043" s="657">
        <f>IF(B2043="",MAX($A$8:A2042)+0,MAX($A$8:A2042)+1)</f>
        <v>223</v>
      </c>
      <c r="B2043" s="835">
        <f>IF(C2043="","",COUNTA($C$10:C2044))</f>
        <v>223</v>
      </c>
      <c r="C2043" s="835">
        <f>IF(D2043="","",1776)</f>
        <v>1776</v>
      </c>
      <c r="D2043" s="362" t="s">
        <v>2055</v>
      </c>
      <c r="E2043" s="855" t="s">
        <v>11</v>
      </c>
      <c r="F2043" s="1049" t="str">
        <f>VLOOKUP(E2043,DICH!B:C,2,FALSE)</f>
        <v>Bedding stone 4x6</v>
      </c>
      <c r="G2043" s="882" t="s">
        <v>545</v>
      </c>
      <c r="H2043" s="882"/>
      <c r="I2043" s="848"/>
      <c r="J2043" s="853"/>
      <c r="K2043" s="842">
        <f>+J2044</f>
        <v>388141.6305368765</v>
      </c>
      <c r="L2043" s="842">
        <f>+J2047</f>
        <v>324011.96000000002</v>
      </c>
      <c r="M2043" s="872"/>
      <c r="N2043" s="843" t="e">
        <f>SUMIF(#REF!,'8.Dgia'!A2043,#REF!)+SUMIF(#REF!,'8.Dgia'!A2043,#REF!)+SUMIF(#REF!,'8.Dgia'!A2043,#REF!)+SUMIF(#REF!,'8.Dgia'!A2043,#REF!)</f>
        <v>#REF!</v>
      </c>
      <c r="O2043" s="844"/>
      <c r="P2043" s="843" t="e">
        <f t="shared" si="94"/>
        <v>#REF!</v>
      </c>
    </row>
    <row r="2044" spans="1:18" ht="15" customHeight="1">
      <c r="A2044" s="657">
        <f>IF(B2044="",MAX($A$8:A2043)+0,MAX($A$8:A2043)+1)</f>
        <v>223</v>
      </c>
      <c r="B2044" s="835" t="str">
        <f>IF(C2044="","",COUNTA($C$10:C2045))</f>
        <v/>
      </c>
      <c r="C2044" s="362"/>
      <c r="D2044" s="362"/>
      <c r="E2044" s="852" t="s">
        <v>2032</v>
      </c>
      <c r="F2044" s="848" t="str">
        <f>VLOOKUP(E2044,DICH!B:C,2,FALSE)</f>
        <v xml:space="preserve">  A - Material</v>
      </c>
      <c r="G2044" s="847"/>
      <c r="H2044" s="847"/>
      <c r="I2044" s="848"/>
      <c r="J2044" s="849">
        <f>SUM(J2045:J2046)</f>
        <v>388141.6305368765</v>
      </c>
      <c r="M2044" s="872"/>
      <c r="N2044" s="843" t="e">
        <f>SUMIF(#REF!,'8.Dgia'!A2044,#REF!)+SUMIF(#REF!,'8.Dgia'!A2044,#REF!)+SUMIF(#REF!,'8.Dgia'!A2044,#REF!)+SUMIF(#REF!,'8.Dgia'!A2044,#REF!)</f>
        <v>#REF!</v>
      </c>
      <c r="O2044" s="844"/>
      <c r="P2044" s="843" t="e">
        <f t="shared" si="94"/>
        <v>#REF!</v>
      </c>
    </row>
    <row r="2045" spans="1:18" ht="15" customHeight="1">
      <c r="A2045" s="657">
        <f>IF(B2045="",MAX($A$8:A2044)+0,MAX($A$8:A2044)+1)</f>
        <v>223</v>
      </c>
      <c r="B2045" s="835" t="str">
        <f>IF(C2045="","",COUNTA($C$10:C2046))</f>
        <v/>
      </c>
      <c r="C2045" s="362"/>
      <c r="D2045" s="362"/>
      <c r="E2045" s="852" t="s">
        <v>4</v>
      </c>
      <c r="F2045" s="848" t="str">
        <f>VLOOKUP(E2045,DICH!B:C,2,FALSE)</f>
        <v>Stone 4x6</v>
      </c>
      <c r="G2045" s="847" t="s">
        <v>545</v>
      </c>
      <c r="H2045" s="847">
        <v>1.2</v>
      </c>
      <c r="I2045" s="848">
        <f>VLOOKUP(E2045,'11.gia '!$B:$I,8,FALSE)</f>
        <v>300147.95224953815</v>
      </c>
      <c r="J2045" s="853">
        <f>I2045*H2045</f>
        <v>360177.5426994458</v>
      </c>
      <c r="M2045" s="872"/>
      <c r="N2045" s="843" t="e">
        <f>SUMIF(#REF!,'8.Dgia'!A2045,#REF!)+SUMIF(#REF!,'8.Dgia'!A2045,#REF!)+SUMIF(#REF!,'8.Dgia'!A2045,#REF!)+SUMIF(#REF!,'8.Dgia'!A2045,#REF!)</f>
        <v>#REF!</v>
      </c>
      <c r="O2045" s="844"/>
      <c r="P2045" s="843" t="e">
        <f t="shared" si="94"/>
        <v>#REF!</v>
      </c>
    </row>
    <row r="2046" spans="1:18" ht="15" customHeight="1">
      <c r="A2046" s="657">
        <f>IF(B2046="",MAX($A$8:A2045)+0,MAX($A$8:A2045)+1)</f>
        <v>223</v>
      </c>
      <c r="B2046" s="835" t="str">
        <f>IF(C2046="","",COUNTA($C$10:C2047))</f>
        <v/>
      </c>
      <c r="C2046" s="362"/>
      <c r="D2046" s="362"/>
      <c r="E2046" s="852" t="s">
        <v>602</v>
      </c>
      <c r="F2046" s="848" t="str">
        <f>VLOOKUP(E2046,DICH!B:C,2,FALSE)</f>
        <v>Find sand</v>
      </c>
      <c r="G2046" s="847" t="s">
        <v>545</v>
      </c>
      <c r="H2046" s="847">
        <v>0.3</v>
      </c>
      <c r="I2046" s="848">
        <f>VLOOKUP(E2046,'11.gia '!$B:$I,8,FALSE)</f>
        <v>93213.626124769085</v>
      </c>
      <c r="J2046" s="853">
        <f>I2046*H2046</f>
        <v>27964.087837430725</v>
      </c>
      <c r="M2046" s="872"/>
      <c r="N2046" s="843" t="e">
        <f>SUMIF(#REF!,'8.Dgia'!A2046,#REF!)+SUMIF(#REF!,'8.Dgia'!A2046,#REF!)+SUMIF(#REF!,'8.Dgia'!A2046,#REF!)+SUMIF(#REF!,'8.Dgia'!A2046,#REF!)</f>
        <v>#REF!</v>
      </c>
      <c r="O2046" s="844"/>
      <c r="P2046" s="843" t="e">
        <f t="shared" si="94"/>
        <v>#REF!</v>
      </c>
    </row>
    <row r="2047" spans="1:18" ht="15" customHeight="1">
      <c r="A2047" s="657">
        <f>IF(B2047="",MAX($A$8:A2046)+0,MAX($A$8:A2046)+1)</f>
        <v>223</v>
      </c>
      <c r="B2047" s="835" t="str">
        <f>IF(C2047="","",COUNTA($C$10:C2048))</f>
        <v/>
      </c>
      <c r="C2047" s="362"/>
      <c r="D2047" s="362"/>
      <c r="E2047" s="852" t="s">
        <v>2039</v>
      </c>
      <c r="F2047" s="848" t="str">
        <f>VLOOKUP(E2047,DICH!B:C,2,FALSE)</f>
        <v xml:space="preserve">  B - Labour 4.0/7</v>
      </c>
      <c r="G2047" s="847" t="s">
        <v>4899</v>
      </c>
      <c r="H2047" s="847">
        <v>1.48</v>
      </c>
      <c r="I2047" s="848">
        <f>VLOOKUP(E2047,'16.NC'!$C$11:$F$22,4,FALSE)</f>
        <v>218927</v>
      </c>
      <c r="J2047" s="849">
        <f>I2047*H2047</f>
        <v>324011.96000000002</v>
      </c>
      <c r="M2047" s="872"/>
      <c r="N2047" s="843" t="e">
        <f>SUMIF(#REF!,'8.Dgia'!A2047,#REF!)+SUMIF(#REF!,'8.Dgia'!A2047,#REF!)+SUMIF(#REF!,'8.Dgia'!A2047,#REF!)+SUMIF(#REF!,'8.Dgia'!A2047,#REF!)</f>
        <v>#REF!</v>
      </c>
      <c r="O2047" s="844"/>
      <c r="P2047" s="843" t="e">
        <f t="shared" si="94"/>
        <v>#REF!</v>
      </c>
      <c r="R2047" s="658">
        <v>1</v>
      </c>
    </row>
    <row r="2048" spans="1:18" ht="15" customHeight="1">
      <c r="A2048" s="657">
        <f>IF(B2048="",MAX($A$8:A2047)+0,MAX($A$8:A2047)+1)</f>
        <v>224</v>
      </c>
      <c r="B2048" s="835">
        <f>IF(C2048="","",COUNTA($C$10:C2049))</f>
        <v>224</v>
      </c>
      <c r="C2048" s="835">
        <f>IF(D2048="","",1776)</f>
        <v>1776</v>
      </c>
      <c r="D2048" s="362" t="s">
        <v>352</v>
      </c>
      <c r="E2048" s="855" t="s">
        <v>3</v>
      </c>
      <c r="F2048" s="1049" t="str">
        <f>VLOOKUP(E2048,DICH!B:C,2,FALSE)</f>
        <v>Paving brick</v>
      </c>
      <c r="G2048" s="884" t="s">
        <v>548</v>
      </c>
      <c r="H2048" s="847"/>
      <c r="I2048" s="848"/>
      <c r="J2048" s="889"/>
      <c r="K2048" s="842">
        <f>+J2049</f>
        <v>0</v>
      </c>
      <c r="L2048" s="842">
        <f>+J2051</f>
        <v>35028.32</v>
      </c>
      <c r="M2048" s="872"/>
      <c r="N2048" s="843" t="e">
        <f>SUMIF(#REF!,'8.Dgia'!A2048,#REF!)+SUMIF(#REF!,'8.Dgia'!A2048,#REF!)+SUMIF(#REF!,'8.Dgia'!A2048,#REF!)+SUMIF(#REF!,'8.Dgia'!A2048,#REF!)</f>
        <v>#REF!</v>
      </c>
      <c r="O2048" s="844"/>
      <c r="P2048" s="843" t="e">
        <f t="shared" si="94"/>
        <v>#REF!</v>
      </c>
    </row>
    <row r="2049" spans="1:18" ht="15" customHeight="1">
      <c r="A2049" s="657">
        <f>IF(B2049="",MAX($A$8:A2048)+0,MAX($A$8:A2048)+1)</f>
        <v>224</v>
      </c>
      <c r="B2049" s="835" t="str">
        <f>IF(C2049="","",COUNTA($C$10:C2050))</f>
        <v/>
      </c>
      <c r="C2049" s="362"/>
      <c r="D2049" s="362"/>
      <c r="E2049" s="852" t="s">
        <v>2032</v>
      </c>
      <c r="F2049" s="848" t="str">
        <f>VLOOKUP(E2049,DICH!B:C,2,FALSE)</f>
        <v xml:space="preserve">  A - Material</v>
      </c>
      <c r="G2049" s="884"/>
      <c r="H2049" s="847"/>
      <c r="I2049" s="848"/>
      <c r="J2049" s="849">
        <f>+J2050</f>
        <v>0</v>
      </c>
      <c r="N2049" s="843" t="e">
        <f>SUMIF(#REF!,'8.Dgia'!A2049,#REF!)+SUMIF(#REF!,'8.Dgia'!A2049,#REF!)+SUMIF(#REF!,'8.Dgia'!A2049,#REF!)+SUMIF(#REF!,'8.Dgia'!A2049,#REF!)</f>
        <v>#REF!</v>
      </c>
      <c r="O2049" s="844"/>
      <c r="P2049" s="843" t="e">
        <f t="shared" si="94"/>
        <v>#REF!</v>
      </c>
    </row>
    <row r="2050" spans="1:18" ht="15" customHeight="1">
      <c r="A2050" s="657">
        <f>IF(B2050="",MAX($A$8:A2049)+0,MAX($A$8:A2049)+1)</f>
        <v>224</v>
      </c>
      <c r="B2050" s="835" t="str">
        <f>IF(C2050="","",COUNTA($C$10:C2051))</f>
        <v/>
      </c>
      <c r="C2050" s="362"/>
      <c r="D2050" s="362"/>
      <c r="E2050" s="852" t="s">
        <v>351</v>
      </c>
      <c r="F2050" s="848" t="str">
        <f>VLOOKUP(E2050,DICH!B:C,2,FALSE)</f>
        <v>Concrete of brick</v>
      </c>
      <c r="G2050" s="883" t="s">
        <v>548</v>
      </c>
      <c r="H2050" s="847"/>
      <c r="I2050" s="848">
        <f>VLOOKUP(E2050,'11.gia '!$B:$I,8,FALSE)</f>
        <v>0</v>
      </c>
      <c r="J2050" s="853">
        <f>I2050*H2050</f>
        <v>0</v>
      </c>
      <c r="N2050" s="843" t="e">
        <f>SUMIF(#REF!,'8.Dgia'!A2050,#REF!)+SUMIF(#REF!,'8.Dgia'!A2050,#REF!)+SUMIF(#REF!,'8.Dgia'!A2050,#REF!)+SUMIF(#REF!,'8.Dgia'!A2050,#REF!)</f>
        <v>#REF!</v>
      </c>
      <c r="O2050" s="844"/>
      <c r="P2050" s="843" t="e">
        <f t="shared" si="94"/>
        <v>#REF!</v>
      </c>
    </row>
    <row r="2051" spans="1:18" ht="15" customHeight="1">
      <c r="A2051" s="657">
        <f>IF(B2051="",MAX($A$8:A2050)+0,MAX($A$8:A2050)+1)</f>
        <v>224</v>
      </c>
      <c r="B2051" s="835" t="str">
        <f>IF(C2051="","",COUNTA($C$10:C2052))</f>
        <v/>
      </c>
      <c r="C2051" s="362"/>
      <c r="D2051" s="362"/>
      <c r="E2051" s="852" t="s">
        <v>2039</v>
      </c>
      <c r="F2051" s="848" t="str">
        <f>VLOOKUP(E2051,DICH!B:C,2,FALSE)</f>
        <v xml:space="preserve">  B - Labour 4.0/7</v>
      </c>
      <c r="G2051" s="883" t="s">
        <v>4899</v>
      </c>
      <c r="H2051" s="847">
        <v>0.16</v>
      </c>
      <c r="I2051" s="848">
        <f>VLOOKUP(E2051,'16.NC'!$C$11:$F$22,4,FALSE)</f>
        <v>218927</v>
      </c>
      <c r="J2051" s="849">
        <f>I2051*H2051</f>
        <v>35028.32</v>
      </c>
      <c r="N2051" s="843" t="e">
        <f>SUMIF(#REF!,'8.Dgia'!A2051,#REF!)+SUMIF(#REF!,'8.Dgia'!A2051,#REF!)+SUMIF(#REF!,'8.Dgia'!A2051,#REF!)+SUMIF(#REF!,'8.Dgia'!A2051,#REF!)</f>
        <v>#REF!</v>
      </c>
      <c r="O2051" s="844"/>
      <c r="P2051" s="843" t="e">
        <f t="shared" si="94"/>
        <v>#REF!</v>
      </c>
      <c r="R2051" s="658">
        <v>1</v>
      </c>
    </row>
    <row r="2052" spans="1:18" ht="15" customHeight="1">
      <c r="A2052" s="657">
        <f>IF(B2052="",MAX($A$8:A2051)+0,MAX($A$8:A2051)+1)</f>
        <v>225</v>
      </c>
      <c r="B2052" s="835">
        <f>IF(C2052="","",COUNTA($C$10:C2053))</f>
        <v>225</v>
      </c>
      <c r="C2052" s="835">
        <f>IF(D2052="","",1776)</f>
        <v>1776</v>
      </c>
      <c r="D2052" s="362" t="s">
        <v>3908</v>
      </c>
      <c r="E2052" s="855" t="s">
        <v>4008</v>
      </c>
      <c r="F2052" s="1049" t="str">
        <f>VLOOKUP(E2052,DICH!B:C,2,FALSE)</f>
        <v>Embanking clay to protect talus (excavation soil)</v>
      </c>
      <c r="G2052" s="882" t="s">
        <v>544</v>
      </c>
      <c r="H2052" s="847"/>
      <c r="I2052" s="848"/>
      <c r="J2052" s="853"/>
      <c r="K2052" s="842">
        <f>J2053</f>
        <v>7181168.8370184023</v>
      </c>
      <c r="L2052" s="842">
        <f>+J2055</f>
        <v>325026.77999999997</v>
      </c>
      <c r="M2052" s="842">
        <f>+J2056</f>
        <v>799224.98960659083</v>
      </c>
      <c r="N2052" s="843" t="e">
        <f>SUMIF(#REF!,'8.Dgia'!A2052,#REF!)+SUMIF(#REF!,'8.Dgia'!A2052,#REF!)+SUMIF(#REF!,'8.Dgia'!A2052,#REF!)+SUMIF(#REF!,'8.Dgia'!A2052,#REF!)</f>
        <v>#REF!</v>
      </c>
      <c r="O2052" s="844"/>
      <c r="P2052" s="843" t="e">
        <f t="shared" si="94"/>
        <v>#REF!</v>
      </c>
    </row>
    <row r="2053" spans="1:18" ht="15" customHeight="1">
      <c r="A2053" s="657">
        <f>IF(B2053="",MAX($A$8:A2052)+0,MAX($A$8:A2052)+1)</f>
        <v>225</v>
      </c>
      <c r="B2053" s="835" t="str">
        <f>IF(C2053="","",COUNTA($C$10:C2054))</f>
        <v/>
      </c>
      <c r="C2053" s="362"/>
      <c r="D2053" s="362"/>
      <c r="E2053" s="852" t="s">
        <v>2032</v>
      </c>
      <c r="F2053" s="848" t="str">
        <f>VLOOKUP(E2053,DICH!B:C,2,FALSE)</f>
        <v xml:space="preserve">  A - Material</v>
      </c>
      <c r="G2053" s="882"/>
      <c r="H2053" s="847"/>
      <c r="I2053" s="848"/>
      <c r="J2053" s="849">
        <f>+J2054</f>
        <v>7181168.8370184023</v>
      </c>
      <c r="N2053" s="843" t="e">
        <f>SUMIF(#REF!,'8.Dgia'!A2053,#REF!)+SUMIF(#REF!,'8.Dgia'!A2053,#REF!)+SUMIF(#REF!,'8.Dgia'!A2053,#REF!)+SUMIF(#REF!,'8.Dgia'!A2053,#REF!)</f>
        <v>#REF!</v>
      </c>
      <c r="O2053" s="844"/>
      <c r="P2053" s="843" t="e">
        <f t="shared" si="94"/>
        <v>#REF!</v>
      </c>
    </row>
    <row r="2054" spans="1:18" ht="15" customHeight="1">
      <c r="A2054" s="657">
        <f>IF(B2054="",MAX($A$8:A2053)+0,MAX($A$8:A2053)+1)</f>
        <v>225</v>
      </c>
      <c r="B2054" s="835" t="str">
        <f>IF(C2054="","",COUNTA($C$10:C2055))</f>
        <v/>
      </c>
      <c r="C2054" s="362"/>
      <c r="D2054" s="1011"/>
      <c r="E2054" s="852" t="s">
        <v>383</v>
      </c>
      <c r="F2054" s="848" t="str">
        <f>VLOOKUP(E2054,DICH!B:C,2,FALSE)</f>
        <v>Clay</v>
      </c>
      <c r="G2054" s="883" t="s">
        <v>545</v>
      </c>
      <c r="H2054" s="1001">
        <f>100*1.1</f>
        <v>110.00000000000001</v>
      </c>
      <c r="I2054" s="848">
        <f>VLOOKUP(E2054,'11.gia '!$B:$I,8,FALSE)</f>
        <v>65283.353063803646</v>
      </c>
      <c r="J2054" s="853">
        <f>I2054*H2054</f>
        <v>7181168.8370184023</v>
      </c>
      <c r="N2054" s="843" t="e">
        <f>SUMIF(#REF!,'8.Dgia'!A2054,#REF!)+SUMIF(#REF!,'8.Dgia'!A2054,#REF!)+SUMIF(#REF!,'8.Dgia'!A2054,#REF!)+SUMIF(#REF!,'8.Dgia'!A2054,#REF!)</f>
        <v>#REF!</v>
      </c>
      <c r="O2054" s="844"/>
      <c r="P2054" s="843" t="e">
        <f t="shared" si="94"/>
        <v>#REF!</v>
      </c>
    </row>
    <row r="2055" spans="1:18" ht="15" customHeight="1">
      <c r="A2055" s="657">
        <f>IF(B2055="",MAX($A$8:A2054)+0,MAX($A$8:A2054)+1)</f>
        <v>225</v>
      </c>
      <c r="B2055" s="835" t="str">
        <f>IF(C2055="","",COUNTA($C$10:C2056))</f>
        <v/>
      </c>
      <c r="C2055" s="362"/>
      <c r="D2055" s="362"/>
      <c r="E2055" s="852" t="s">
        <v>2038</v>
      </c>
      <c r="F2055" s="848" t="str">
        <f>VLOOKUP(E2055,DICH!B:C,2,FALSE)</f>
        <v xml:space="preserve">  B - Labour 3.0/7</v>
      </c>
      <c r="G2055" s="883" t="s">
        <v>4899</v>
      </c>
      <c r="H2055" s="847">
        <v>1.74</v>
      </c>
      <c r="I2055" s="848">
        <f>VLOOKUP(E2055,'16.NC'!$C$11:$F$22,4,FALSE)</f>
        <v>186797</v>
      </c>
      <c r="J2055" s="849">
        <f>I2055*H2055</f>
        <v>325026.77999999997</v>
      </c>
      <c r="N2055" s="843" t="e">
        <f>SUMIF(#REF!,'8.Dgia'!A2055,#REF!)+SUMIF(#REF!,'8.Dgia'!A2055,#REF!)+SUMIF(#REF!,'8.Dgia'!A2055,#REF!)+SUMIF(#REF!,'8.Dgia'!A2055,#REF!)</f>
        <v>#REF!</v>
      </c>
      <c r="O2055" s="844"/>
      <c r="P2055" s="843" t="e">
        <f t="shared" si="94"/>
        <v>#REF!</v>
      </c>
      <c r="R2055" s="658">
        <v>1</v>
      </c>
    </row>
    <row r="2056" spans="1:18" ht="15" customHeight="1">
      <c r="A2056" s="657">
        <f>IF(B2056="",MAX($A$8:A2055)+0,MAX($A$8:A2055)+1)</f>
        <v>225</v>
      </c>
      <c r="B2056" s="835" t="str">
        <f>IF(C2056="","",COUNTA($C$10:C2057))</f>
        <v/>
      </c>
      <c r="C2056" s="362"/>
      <c r="D2056" s="362"/>
      <c r="E2056" s="852" t="s">
        <v>2033</v>
      </c>
      <c r="F2056" s="848" t="str">
        <f>VLOOKUP(E2056,DICH!B:C,2,FALSE)</f>
        <v xml:space="preserve">  C - Machine</v>
      </c>
      <c r="G2056" s="883"/>
      <c r="H2056" s="847"/>
      <c r="I2056" s="848"/>
      <c r="J2056" s="849">
        <f>SUM(J2057:J2059)</f>
        <v>799224.98960659083</v>
      </c>
      <c r="N2056" s="843" t="e">
        <f>SUMIF(#REF!,'8.Dgia'!A2056,#REF!)+SUMIF(#REF!,'8.Dgia'!A2056,#REF!)+SUMIF(#REF!,'8.Dgia'!A2056,#REF!)+SUMIF(#REF!,'8.Dgia'!A2056,#REF!)</f>
        <v>#REF!</v>
      </c>
      <c r="O2056" s="844"/>
      <c r="P2056" s="843" t="e">
        <f t="shared" si="94"/>
        <v>#REF!</v>
      </c>
    </row>
    <row r="2057" spans="1:18" ht="15" customHeight="1">
      <c r="A2057" s="657">
        <f>IF(B2057="",MAX($A$8:A2056)+0,MAX($A$8:A2056)+1)</f>
        <v>225</v>
      </c>
      <c r="B2057" s="835" t="str">
        <f>IF(C2057="","",COUNTA($C$10:C2058))</f>
        <v/>
      </c>
      <c r="C2057" s="362"/>
      <c r="D2057" s="362"/>
      <c r="E2057" s="852" t="s">
        <v>449</v>
      </c>
      <c r="F2057" s="848" t="str">
        <f>VLOOKUP(E2057,'9.may'!E:F,2,FALSE)</f>
        <v>pneumatic roller 9T</v>
      </c>
      <c r="G2057" s="883" t="s">
        <v>4902</v>
      </c>
      <c r="H2057" s="847">
        <v>0.3</v>
      </c>
      <c r="I2057" s="848">
        <f>VLOOKUP(E2057,'9.may'!E:W,12,FALSE)</f>
        <v>1644996.0845454545</v>
      </c>
      <c r="J2057" s="853">
        <f>I2057*H2057</f>
        <v>493498.82536363631</v>
      </c>
      <c r="N2057" s="843" t="e">
        <f>SUMIF(#REF!,'8.Dgia'!A2057,#REF!)+SUMIF(#REF!,'8.Dgia'!A2057,#REF!)+SUMIF(#REF!,'8.Dgia'!A2057,#REF!)+SUMIF(#REF!,'8.Dgia'!A2057,#REF!)</f>
        <v>#REF!</v>
      </c>
      <c r="O2057" s="844">
        <v>1.5</v>
      </c>
      <c r="P2057" s="843" t="e">
        <f t="shared" si="94"/>
        <v>#REF!</v>
      </c>
    </row>
    <row r="2058" spans="1:18" ht="15" customHeight="1">
      <c r="A2058" s="657">
        <f>IF(B2058="",MAX($A$8:A2057)+0,MAX($A$8:A2057)+1)</f>
        <v>225</v>
      </c>
      <c r="B2058" s="835" t="str">
        <f>IF(C2058="","",COUNTA($C$10:C2059))</f>
        <v/>
      </c>
      <c r="C2058" s="362"/>
      <c r="D2058" s="362"/>
      <c r="E2058" s="852" t="s">
        <v>624</v>
      </c>
      <c r="F2058" s="848" t="str">
        <f>VLOOKUP(E2058,'9.may'!E:F,2,FALSE)</f>
        <v>bulldozer 108CV</v>
      </c>
      <c r="G2058" s="883" t="s">
        <v>4902</v>
      </c>
      <c r="H2058" s="847">
        <v>0.15</v>
      </c>
      <c r="I2058" s="848">
        <f>VLOOKUP(E2058,'9.may'!E:W,12,FALSE)</f>
        <v>1959433.0499999998</v>
      </c>
      <c r="J2058" s="853">
        <f>I2058*H2058</f>
        <v>293914.95749999996</v>
      </c>
      <c r="N2058" s="843" t="e">
        <f>SUMIF(#REF!,'8.Dgia'!A2058,#REF!)+SUMIF(#REF!,'8.Dgia'!A2058,#REF!)+SUMIF(#REF!,'8.Dgia'!A2058,#REF!)+SUMIF(#REF!,'8.Dgia'!A2058,#REF!)</f>
        <v>#REF!</v>
      </c>
      <c r="O2058" s="844">
        <v>1.5</v>
      </c>
      <c r="P2058" s="843" t="e">
        <f t="shared" si="94"/>
        <v>#REF!</v>
      </c>
    </row>
    <row r="2059" spans="1:18" ht="15" customHeight="1">
      <c r="A2059" s="657">
        <f>IF(B2059="",MAX($A$8:A2058)+0,MAX($A$8:A2058)+1)</f>
        <v>225</v>
      </c>
      <c r="B2059" s="835" t="str">
        <f>IF(C2059="","",COUNTA($C$10:C2060))</f>
        <v/>
      </c>
      <c r="C2059" s="362"/>
      <c r="D2059" s="362"/>
      <c r="E2059" s="852" t="s">
        <v>553</v>
      </c>
      <c r="F2059" s="848" t="str">
        <f>VLOOKUP(E2059,DICH!B:C,2,FALSE)</f>
        <v>Other machine</v>
      </c>
      <c r="G2059" s="362" t="s">
        <v>554</v>
      </c>
      <c r="H2059" s="847">
        <v>1.5</v>
      </c>
      <c r="I2059" s="848">
        <f>SUM(J2057:J2058)</f>
        <v>787413.78286363627</v>
      </c>
      <c r="J2059" s="853">
        <f>I2059*H2059%</f>
        <v>11811.206742954544</v>
      </c>
      <c r="N2059" s="843" t="e">
        <f>SUMIF(#REF!,'8.Dgia'!A2059,#REF!)+SUMIF(#REF!,'8.Dgia'!A2059,#REF!)+SUMIF(#REF!,'8.Dgia'!A2059,#REF!)+SUMIF(#REF!,'8.Dgia'!A2059,#REF!)</f>
        <v>#REF!</v>
      </c>
      <c r="O2059" s="844"/>
      <c r="P2059" s="843" t="e">
        <f t="shared" si="94"/>
        <v>#REF!</v>
      </c>
    </row>
    <row r="2060" spans="1:18" ht="15" customHeight="1">
      <c r="A2060" s="657">
        <f>IF(B2060="",MAX($A$8:A2059)+0,MAX($A$8:A2059)+1)</f>
        <v>226</v>
      </c>
      <c r="B2060" s="835">
        <f>IF(C2060="","",COUNTA($C$10:C2061))</f>
        <v>226</v>
      </c>
      <c r="C2060" s="835">
        <f>IF(D2060="","",1776)</f>
        <v>1776</v>
      </c>
      <c r="D2060" s="362" t="s">
        <v>3908</v>
      </c>
      <c r="E2060" s="855" t="s">
        <v>4007</v>
      </c>
      <c r="F2060" s="1049" t="str">
        <f>VLOOKUP(E2060,DICH!B:C,2,FALSE)</f>
        <v>Embanking clay to protect talus (take advantage of 80% excavation soil of treatment))</v>
      </c>
      <c r="G2060" s="882" t="s">
        <v>544</v>
      </c>
      <c r="H2060" s="847"/>
      <c r="I2060" s="848"/>
      <c r="J2060" s="853"/>
      <c r="L2060" s="842">
        <f>+J2061</f>
        <v>325026.77999999997</v>
      </c>
      <c r="M2060" s="842">
        <f>+J2062</f>
        <v>799224.98960659083</v>
      </c>
      <c r="N2060" s="843" t="e">
        <f>SUMIF(#REF!,'8.Dgia'!A2060,#REF!)+SUMIF(#REF!,'8.Dgia'!A2060,#REF!)+SUMIF(#REF!,'8.Dgia'!A2060,#REF!)+SUMIF(#REF!,'8.Dgia'!A2060,#REF!)</f>
        <v>#REF!</v>
      </c>
      <c r="O2060" s="844"/>
      <c r="P2060" s="843" t="e">
        <f t="shared" ref="P2060:P2065" si="95">$H2060*N2060*(1+O2060%)</f>
        <v>#REF!</v>
      </c>
    </row>
    <row r="2061" spans="1:18" ht="15" customHeight="1">
      <c r="A2061" s="657">
        <f>IF(B2061="",MAX($A$8:A2060)+0,MAX($A$8:A2060)+1)</f>
        <v>226</v>
      </c>
      <c r="B2061" s="835" t="str">
        <f>IF(C2061="","",COUNTA($C$10:C2062))</f>
        <v/>
      </c>
      <c r="C2061" s="362"/>
      <c r="D2061" s="362"/>
      <c r="E2061" s="852" t="s">
        <v>2038</v>
      </c>
      <c r="F2061" s="848" t="str">
        <f>VLOOKUP(E2061,DICH!B:C,2,FALSE)</f>
        <v xml:space="preserve">  B - Labour 3.0/7</v>
      </c>
      <c r="G2061" s="883" t="s">
        <v>4899</v>
      </c>
      <c r="H2061" s="847">
        <v>1.74</v>
      </c>
      <c r="I2061" s="848">
        <f>VLOOKUP(E2061,'16.NC'!$C$11:$F$22,4,FALSE)</f>
        <v>186797</v>
      </c>
      <c r="J2061" s="849">
        <f>I2061*H2061</f>
        <v>325026.77999999997</v>
      </c>
      <c r="N2061" s="843" t="e">
        <f>SUMIF(#REF!,'8.Dgia'!A2061,#REF!)+SUMIF(#REF!,'8.Dgia'!A2061,#REF!)+SUMIF(#REF!,'8.Dgia'!A2061,#REF!)+SUMIF(#REF!,'8.Dgia'!A2061,#REF!)</f>
        <v>#REF!</v>
      </c>
      <c r="O2061" s="844"/>
      <c r="P2061" s="843" t="e">
        <f t="shared" si="95"/>
        <v>#REF!</v>
      </c>
      <c r="R2061" s="658">
        <v>1</v>
      </c>
    </row>
    <row r="2062" spans="1:18" ht="14.25" customHeight="1">
      <c r="A2062" s="657">
        <f>IF(B2062="",MAX($A$8:A2061)+0,MAX($A$8:A2061)+1)</f>
        <v>226</v>
      </c>
      <c r="B2062" s="835" t="str">
        <f>IF(C2062="","",COUNTA($C$10:C2063))</f>
        <v/>
      </c>
      <c r="C2062" s="362"/>
      <c r="D2062" s="362"/>
      <c r="E2062" s="852" t="s">
        <v>2033</v>
      </c>
      <c r="F2062" s="848" t="str">
        <f>VLOOKUP(E2062,DICH!B:C,2,FALSE)</f>
        <v xml:space="preserve">  C - Machine</v>
      </c>
      <c r="G2062" s="883"/>
      <c r="H2062" s="847"/>
      <c r="I2062" s="848"/>
      <c r="J2062" s="849">
        <f>SUM(J2063:J2065)</f>
        <v>799224.98960659083</v>
      </c>
      <c r="N2062" s="843" t="e">
        <f>SUMIF(#REF!,'8.Dgia'!A2062,#REF!)+SUMIF(#REF!,'8.Dgia'!A2062,#REF!)+SUMIF(#REF!,'8.Dgia'!A2062,#REF!)+SUMIF(#REF!,'8.Dgia'!A2062,#REF!)</f>
        <v>#REF!</v>
      </c>
      <c r="O2062" s="844"/>
      <c r="P2062" s="843" t="e">
        <f t="shared" si="95"/>
        <v>#REF!</v>
      </c>
    </row>
    <row r="2063" spans="1:18" ht="15" customHeight="1">
      <c r="A2063" s="657">
        <f>IF(B2063="",MAX($A$8:A2062)+0,MAX($A$8:A2062)+1)</f>
        <v>226</v>
      </c>
      <c r="B2063" s="835" t="str">
        <f>IF(C2063="","",COUNTA($C$10:C2064))</f>
        <v/>
      </c>
      <c r="C2063" s="362"/>
      <c r="D2063" s="362"/>
      <c r="E2063" s="852" t="s">
        <v>449</v>
      </c>
      <c r="F2063" s="848" t="str">
        <f>VLOOKUP(E2063,'9.may'!E:F,2,FALSE)</f>
        <v>pneumatic roller 9T</v>
      </c>
      <c r="G2063" s="883" t="s">
        <v>4902</v>
      </c>
      <c r="H2063" s="847">
        <v>0.3</v>
      </c>
      <c r="I2063" s="848">
        <f>VLOOKUP(E2063,'9.may'!E:W,12,FALSE)</f>
        <v>1644996.0845454545</v>
      </c>
      <c r="J2063" s="853">
        <f>I2063*H2063</f>
        <v>493498.82536363631</v>
      </c>
      <c r="N2063" s="843" t="e">
        <f>SUMIF(#REF!,'8.Dgia'!A2063,#REF!)+SUMIF(#REF!,'8.Dgia'!A2063,#REF!)+SUMIF(#REF!,'8.Dgia'!A2063,#REF!)+SUMIF(#REF!,'8.Dgia'!A2063,#REF!)</f>
        <v>#REF!</v>
      </c>
      <c r="O2063" s="844"/>
      <c r="P2063" s="843" t="e">
        <f t="shared" si="95"/>
        <v>#REF!</v>
      </c>
    </row>
    <row r="2064" spans="1:18" ht="15" customHeight="1">
      <c r="A2064" s="657">
        <f>IF(B2064="",MAX($A$8:A2063)+0,MAX($A$8:A2063)+1)</f>
        <v>226</v>
      </c>
      <c r="B2064" s="835" t="str">
        <f>IF(C2064="","",COUNTA($C$10:C2065))</f>
        <v/>
      </c>
      <c r="C2064" s="362"/>
      <c r="D2064" s="362"/>
      <c r="E2064" s="852" t="s">
        <v>624</v>
      </c>
      <c r="F2064" s="848" t="str">
        <f>VLOOKUP(E2064,'9.may'!E:F,2,FALSE)</f>
        <v>bulldozer 108CV</v>
      </c>
      <c r="G2064" s="883" t="s">
        <v>4902</v>
      </c>
      <c r="H2064" s="847">
        <v>0.15</v>
      </c>
      <c r="I2064" s="848">
        <f>VLOOKUP(E2064,'9.may'!E:W,12,FALSE)</f>
        <v>1959433.0499999998</v>
      </c>
      <c r="J2064" s="853">
        <f>I2064*H2064</f>
        <v>293914.95749999996</v>
      </c>
      <c r="N2064" s="843" t="e">
        <f>SUMIF(#REF!,'8.Dgia'!A2064,#REF!)+SUMIF(#REF!,'8.Dgia'!A2064,#REF!)+SUMIF(#REF!,'8.Dgia'!A2064,#REF!)+SUMIF(#REF!,'8.Dgia'!A2064,#REF!)</f>
        <v>#REF!</v>
      </c>
      <c r="O2064" s="844"/>
      <c r="P2064" s="843" t="e">
        <f t="shared" si="95"/>
        <v>#REF!</v>
      </c>
    </row>
    <row r="2065" spans="1:18" ht="15" customHeight="1">
      <c r="A2065" s="657">
        <f>IF(B2065="",MAX($A$8:A2064)+0,MAX($A$8:A2064)+1)</f>
        <v>226</v>
      </c>
      <c r="B2065" s="835" t="str">
        <f>IF(C2065="","",COUNTA($C$10:C2066))</f>
        <v/>
      </c>
      <c r="C2065" s="362"/>
      <c r="D2065" s="362"/>
      <c r="E2065" s="852" t="s">
        <v>553</v>
      </c>
      <c r="F2065" s="848" t="str">
        <f>VLOOKUP(E2065,DICH!B:C,2,FALSE)</f>
        <v>Other machine</v>
      </c>
      <c r="G2065" s="362" t="s">
        <v>554</v>
      </c>
      <c r="H2065" s="847">
        <v>1.5</v>
      </c>
      <c r="I2065" s="848">
        <f>SUM(J2063:J2064)</f>
        <v>787413.78286363627</v>
      </c>
      <c r="J2065" s="853">
        <f>I2065*H2065%</f>
        <v>11811.206742954544</v>
      </c>
      <c r="N2065" s="843" t="e">
        <f>SUMIF(#REF!,'8.Dgia'!A2065,#REF!)+SUMIF(#REF!,'8.Dgia'!A2065,#REF!)+SUMIF(#REF!,'8.Dgia'!A2065,#REF!)+SUMIF(#REF!,'8.Dgia'!A2065,#REF!)</f>
        <v>#REF!</v>
      </c>
      <c r="O2065" s="844"/>
      <c r="P2065" s="843" t="e">
        <f t="shared" si="95"/>
        <v>#REF!</v>
      </c>
    </row>
    <row r="2066" spans="1:18" ht="15" customHeight="1">
      <c r="A2066" s="657">
        <f>IF(B2066="",MAX($A$8:A2065)+0,MAX($A$8:A2065)+1)</f>
        <v>227</v>
      </c>
      <c r="B2066" s="835">
        <f>IF(C2066="","",COUNTA($C$10:C2067))</f>
        <v>227</v>
      </c>
      <c r="C2066" s="835">
        <f>IF(D2066="","",1776)</f>
        <v>1776</v>
      </c>
      <c r="D2066" s="362" t="s">
        <v>2169</v>
      </c>
      <c r="E2066" s="855" t="s">
        <v>2170</v>
      </c>
      <c r="F2066" s="1049" t="str">
        <f>VLOOKUP(E2066,DICH!B:C,2,FALSE)</f>
        <v>Embanking soil to grassing (use capability)</v>
      </c>
      <c r="G2066" s="882" t="s">
        <v>545</v>
      </c>
      <c r="H2066" s="847"/>
      <c r="I2066" s="848"/>
      <c r="J2066" s="853"/>
      <c r="L2066" s="842">
        <f>+J2067</f>
        <v>104606.32</v>
      </c>
      <c r="N2066" s="843" t="e">
        <f>SUMIF(#REF!,'8.Dgia'!A2066,#REF!)+SUMIF(#REF!,'8.Dgia'!A2066,#REF!)+SUMIF(#REF!,'8.Dgia'!A2066,#REF!)+SUMIF(#REF!,'8.Dgia'!A2066,#REF!)</f>
        <v>#REF!</v>
      </c>
      <c r="O2066" s="844"/>
      <c r="P2066" s="843" t="e">
        <f t="shared" si="94"/>
        <v>#REF!</v>
      </c>
    </row>
    <row r="2067" spans="1:18" ht="15" customHeight="1">
      <c r="A2067" s="657">
        <f>IF(B2067="",MAX($A$8:A2066)+0,MAX($A$8:A2066)+1)</f>
        <v>227</v>
      </c>
      <c r="B2067" s="835" t="str">
        <f>IF(C2067="","",COUNTA($C$10:C2068))</f>
        <v/>
      </c>
      <c r="C2067" s="362"/>
      <c r="D2067" s="362"/>
      <c r="E2067" s="852" t="s">
        <v>2038</v>
      </c>
      <c r="F2067" s="848" t="str">
        <f>VLOOKUP(E2067,DICH!B:C,2,FALSE)</f>
        <v xml:space="preserve">  B - Labour 3.0/7</v>
      </c>
      <c r="G2067" s="883" t="s">
        <v>4899</v>
      </c>
      <c r="H2067" s="847">
        <v>0.56000000000000005</v>
      </c>
      <c r="I2067" s="848">
        <f>VLOOKUP(E2067,'16.NC'!$C$11:$F$22,4,FALSE)</f>
        <v>186797</v>
      </c>
      <c r="J2067" s="849">
        <f>I2067*H2067</f>
        <v>104606.32</v>
      </c>
      <c r="N2067" s="843" t="e">
        <f>SUMIF(#REF!,'8.Dgia'!A2067,#REF!)+SUMIF(#REF!,'8.Dgia'!A2067,#REF!)+SUMIF(#REF!,'8.Dgia'!A2067,#REF!)+SUMIF(#REF!,'8.Dgia'!A2067,#REF!)</f>
        <v>#REF!</v>
      </c>
      <c r="O2067" s="844"/>
      <c r="P2067" s="843" t="e">
        <f t="shared" si="94"/>
        <v>#REF!</v>
      </c>
      <c r="R2067" s="658">
        <v>1</v>
      </c>
    </row>
    <row r="2068" spans="1:18" ht="15" customHeight="1">
      <c r="A2068" s="657">
        <f>IF(B2068="",MAX($A$8:A2067)+0,MAX($A$8:A2067)+1)</f>
        <v>228</v>
      </c>
      <c r="B2068" s="835">
        <f>IF(C2068="","",COUNTA($C$10:C2069))</f>
        <v>228</v>
      </c>
      <c r="C2068" s="835">
        <f>IF(D2068="","",1776)</f>
        <v>1776</v>
      </c>
      <c r="D2068" s="362" t="s">
        <v>707</v>
      </c>
      <c r="E2068" s="855" t="s">
        <v>708</v>
      </c>
      <c r="F2068" s="1049" t="str">
        <f>VLOOKUP(E2068,DICH!B:C,2,FALSE)</f>
        <v>Glass</v>
      </c>
      <c r="G2068" s="882" t="s">
        <v>547</v>
      </c>
      <c r="H2068" s="847"/>
      <c r="I2068" s="848"/>
      <c r="J2068" s="853"/>
      <c r="K2068" s="842">
        <f>+J2069</f>
        <v>500000</v>
      </c>
      <c r="L2068" s="842">
        <f>+J2071</f>
        <v>155882.70000000001</v>
      </c>
      <c r="N2068" s="843" t="e">
        <f>SUMIF(#REF!,'8.Dgia'!A2068,#REF!)+SUMIF(#REF!,'8.Dgia'!A2068,#REF!)+SUMIF(#REF!,'8.Dgia'!A2068,#REF!)+SUMIF(#REF!,'8.Dgia'!A2068,#REF!)</f>
        <v>#REF!</v>
      </c>
      <c r="O2068" s="844"/>
      <c r="P2068" s="843" t="e">
        <f t="shared" si="94"/>
        <v>#REF!</v>
      </c>
    </row>
    <row r="2069" spans="1:18" ht="15" customHeight="1">
      <c r="A2069" s="657">
        <f>IF(B2069="",MAX($A$8:A2068)+0,MAX($A$8:A2068)+1)</f>
        <v>228</v>
      </c>
      <c r="B2069" s="835" t="str">
        <f>IF(C2069="","",COUNTA($C$10:C2070))</f>
        <v/>
      </c>
      <c r="C2069" s="362"/>
      <c r="D2069" s="362"/>
      <c r="E2069" s="852" t="s">
        <v>2032</v>
      </c>
      <c r="F2069" s="848" t="str">
        <f>VLOOKUP(E2069,DICH!B:C,2,FALSE)</f>
        <v xml:space="preserve">  A - Material</v>
      </c>
      <c r="G2069" s="884"/>
      <c r="H2069" s="847"/>
      <c r="I2069" s="848"/>
      <c r="J2069" s="904">
        <f>J2070</f>
        <v>500000</v>
      </c>
      <c r="N2069" s="843" t="e">
        <f>SUMIF(#REF!,'8.Dgia'!A2069,#REF!)+SUMIF(#REF!,'8.Dgia'!A2069,#REF!)+SUMIF(#REF!,'8.Dgia'!A2069,#REF!)+SUMIF(#REF!,'8.Dgia'!A2069,#REF!)</f>
        <v>#REF!</v>
      </c>
      <c r="O2069" s="844"/>
      <c r="P2069" s="843" t="e">
        <f t="shared" si="94"/>
        <v>#REF!</v>
      </c>
    </row>
    <row r="2070" spans="1:18" ht="15" customHeight="1">
      <c r="A2070" s="657">
        <f>IF(B2070="",MAX($A$8:A2069)+0,MAX($A$8:A2069)+1)</f>
        <v>228</v>
      </c>
      <c r="B2070" s="835" t="str">
        <f>IF(C2070="","",COUNTA($C$10:C2071))</f>
        <v/>
      </c>
      <c r="C2070" s="362"/>
      <c r="D2070" s="362"/>
      <c r="E2070" s="852" t="s">
        <v>2094</v>
      </c>
      <c r="F2070" s="848" t="str">
        <f>VLOOKUP(E2070,DICH!B:C,2,FALSE)</f>
        <v>Grass</v>
      </c>
      <c r="G2070" s="847" t="s">
        <v>545</v>
      </c>
      <c r="H2070" s="847">
        <v>100</v>
      </c>
      <c r="I2070" s="848">
        <f>VLOOKUP(E2070,'11.gia '!$B:$I,8,FALSE)</f>
        <v>5000</v>
      </c>
      <c r="J2070" s="853">
        <f>I2070*H2070</f>
        <v>500000</v>
      </c>
      <c r="N2070" s="843" t="e">
        <f>SUMIF(#REF!,'8.Dgia'!A2070,#REF!)+SUMIF(#REF!,'8.Dgia'!A2070,#REF!)+SUMIF(#REF!,'8.Dgia'!A2070,#REF!)+SUMIF(#REF!,'8.Dgia'!A2070,#REF!)</f>
        <v>#REF!</v>
      </c>
      <c r="O2070" s="844"/>
      <c r="P2070" s="843" t="e">
        <f t="shared" si="94"/>
        <v>#REF!</v>
      </c>
    </row>
    <row r="2071" spans="1:18" ht="15" customHeight="1">
      <c r="A2071" s="657">
        <f>IF(B2071="",MAX($A$8:A2070)+0,MAX($A$8:A2070)+1)</f>
        <v>228</v>
      </c>
      <c r="B2071" s="835" t="str">
        <f>IF(C2071="","",COUNTA($C$10:C2072))</f>
        <v/>
      </c>
      <c r="C2071" s="362"/>
      <c r="D2071" s="362"/>
      <c r="E2071" s="852" t="s">
        <v>2046</v>
      </c>
      <c r="F2071" s="848" t="str">
        <f>VLOOKUP(E2071,DICH!B:C,2,FALSE)</f>
        <v xml:space="preserve">  B - Labour 2.5/7</v>
      </c>
      <c r="G2071" s="883" t="s">
        <v>4899</v>
      </c>
      <c r="H2071" s="847">
        <v>0.9</v>
      </c>
      <c r="I2071" s="848">
        <f>VLOOKUP(E2071,'16.NC'!$C$11:$F$22,4,FALSE)</f>
        <v>173203</v>
      </c>
      <c r="J2071" s="849">
        <f>I2071*H2071</f>
        <v>155882.70000000001</v>
      </c>
      <c r="N2071" s="843" t="e">
        <f>SUMIF(#REF!,'8.Dgia'!A2071,#REF!)+SUMIF(#REF!,'8.Dgia'!A2071,#REF!)+SUMIF(#REF!,'8.Dgia'!A2071,#REF!)+SUMIF(#REF!,'8.Dgia'!A2071,#REF!)</f>
        <v>#REF!</v>
      </c>
      <c r="O2071" s="844"/>
      <c r="P2071" s="843" t="e">
        <f t="shared" si="94"/>
        <v>#REF!</v>
      </c>
      <c r="R2071" s="658">
        <v>1</v>
      </c>
    </row>
    <row r="2072" spans="1:18" ht="15" customHeight="1">
      <c r="A2072" s="657">
        <f>IF(B2072="",MAX($A$8:A2071)+0,MAX($A$8:A2071)+1)</f>
        <v>229</v>
      </c>
      <c r="B2072" s="835">
        <f>IF(C2072="","",COUNTA($C$10:C2073))</f>
        <v>229</v>
      </c>
      <c r="C2072" s="835">
        <f>IF(D2072="","",1776)</f>
        <v>1776</v>
      </c>
      <c r="D2072" s="362" t="s">
        <v>695</v>
      </c>
      <c r="E2072" s="855" t="s">
        <v>15</v>
      </c>
      <c r="F2072" s="1049">
        <f>VLOOKUP(E2072,DICH!B:C,2,FALSE)</f>
        <v>0</v>
      </c>
      <c r="G2072" s="882" t="s">
        <v>544</v>
      </c>
      <c r="H2072" s="847"/>
      <c r="I2072" s="848"/>
      <c r="J2072" s="853"/>
      <c r="L2072" s="842">
        <f>+J2073</f>
        <v>93398.5</v>
      </c>
      <c r="M2072" s="842">
        <f>+J2074</f>
        <v>710859.86408672726</v>
      </c>
      <c r="N2072" s="843" t="e">
        <f>SUMIF(#REF!,'8.Dgia'!A2072,#REF!)+SUMIF(#REF!,'8.Dgia'!A2072,#REF!)+SUMIF(#REF!,'8.Dgia'!A2072,#REF!)+SUMIF(#REF!,'8.Dgia'!A2072,#REF!)</f>
        <v>#REF!</v>
      </c>
      <c r="O2072" s="844"/>
      <c r="P2072" s="843" t="e">
        <f t="shared" si="94"/>
        <v>#REF!</v>
      </c>
    </row>
    <row r="2073" spans="1:18" ht="15" customHeight="1">
      <c r="A2073" s="657">
        <f>IF(B2073="",MAX($A$8:A2072)+0,MAX($A$8:A2072)+1)</f>
        <v>229</v>
      </c>
      <c r="B2073" s="835" t="str">
        <f>IF(C2073="","",COUNTA($C$10:C2074))</f>
        <v/>
      </c>
      <c r="C2073" s="362"/>
      <c r="D2073" s="362"/>
      <c r="E2073" s="852" t="s">
        <v>2038</v>
      </c>
      <c r="F2073" s="848" t="str">
        <f>VLOOKUP(E2073,DICH!B:C,2,FALSE)</f>
        <v xml:space="preserve">  B - Labour 3.0/7</v>
      </c>
      <c r="G2073" s="883" t="s">
        <v>4899</v>
      </c>
      <c r="H2073" s="847">
        <v>0.5</v>
      </c>
      <c r="I2073" s="848">
        <f>VLOOKUP(E2073,'16.NC'!$C$11:$F$22,4,FALSE)</f>
        <v>186797</v>
      </c>
      <c r="J2073" s="849">
        <f>I2073*H2073</f>
        <v>93398.5</v>
      </c>
      <c r="N2073" s="843" t="e">
        <f>SUMIF(#REF!,'8.Dgia'!A2073,#REF!)+SUMIF(#REF!,'8.Dgia'!A2073,#REF!)+SUMIF(#REF!,'8.Dgia'!A2073,#REF!)+SUMIF(#REF!,'8.Dgia'!A2073,#REF!)</f>
        <v>#REF!</v>
      </c>
      <c r="O2073" s="844"/>
      <c r="P2073" s="843" t="e">
        <f t="shared" si="94"/>
        <v>#REF!</v>
      </c>
      <c r="R2073" s="658">
        <v>1</v>
      </c>
    </row>
    <row r="2074" spans="1:18" ht="15" customHeight="1">
      <c r="A2074" s="657">
        <f>IF(B2074="",MAX($A$8:A2073)+0,MAX($A$8:A2073)+1)</f>
        <v>229</v>
      </c>
      <c r="B2074" s="835" t="str">
        <f>IF(C2074="","",COUNTA($C$10:C2075))</f>
        <v/>
      </c>
      <c r="C2074" s="362"/>
      <c r="D2074" s="362"/>
      <c r="E2074" s="852" t="s">
        <v>2033</v>
      </c>
      <c r="F2074" s="848" t="str">
        <f>VLOOKUP(E2074,DICH!B:C,2,FALSE)</f>
        <v xml:space="preserve">  C - Machine</v>
      </c>
      <c r="G2074" s="883"/>
      <c r="H2074" s="847"/>
      <c r="I2074" s="848"/>
      <c r="J2074" s="849">
        <f>SUM(J2075:J2076)</f>
        <v>710859.86408672726</v>
      </c>
      <c r="N2074" s="843" t="e">
        <f>SUMIF(#REF!,'8.Dgia'!A2074,#REF!)+SUMIF(#REF!,'8.Dgia'!A2074,#REF!)+SUMIF(#REF!,'8.Dgia'!A2074,#REF!)+SUMIF(#REF!,'8.Dgia'!A2074,#REF!)</f>
        <v>#REF!</v>
      </c>
      <c r="O2074" s="844"/>
      <c r="P2074" s="843" t="e">
        <f t="shared" si="94"/>
        <v>#REF!</v>
      </c>
    </row>
    <row r="2075" spans="1:18" ht="15" customHeight="1">
      <c r="A2075" s="657">
        <f>IF(B2075="",MAX($A$8:A2074)+0,MAX($A$8:A2074)+1)</f>
        <v>229</v>
      </c>
      <c r="B2075" s="835" t="str">
        <f>IF(C2075="","",COUNTA($C$10:C2076))</f>
        <v/>
      </c>
      <c r="C2075" s="362"/>
      <c r="D2075" s="362"/>
      <c r="E2075" s="852" t="s">
        <v>780</v>
      </c>
      <c r="F2075" s="848" t="str">
        <f>VLOOKUP(E2075,'9.may'!E:F,2,FALSE)</f>
        <v>avulsion excavator 1.6m3</v>
      </c>
      <c r="G2075" s="883" t="s">
        <v>4902</v>
      </c>
      <c r="H2075" s="847">
        <v>0.152</v>
      </c>
      <c r="I2075" s="848">
        <f>VLOOKUP(E2075,'9.may'!E:W,12,FALSE)</f>
        <v>4328652.4456363637</v>
      </c>
      <c r="J2075" s="853">
        <f>I2075*H2075</f>
        <v>657955.17173672724</v>
      </c>
      <c r="N2075" s="843" t="e">
        <f>SUMIF(#REF!,'8.Dgia'!A2075,#REF!)+SUMIF(#REF!,'8.Dgia'!A2075,#REF!)+SUMIF(#REF!,'8.Dgia'!A2075,#REF!)+SUMIF(#REF!,'8.Dgia'!A2075,#REF!)</f>
        <v>#REF!</v>
      </c>
      <c r="O2075" s="844"/>
      <c r="P2075" s="843" t="e">
        <f t="shared" si="94"/>
        <v>#REF!</v>
      </c>
    </row>
    <row r="2076" spans="1:18" ht="15" customHeight="1">
      <c r="A2076" s="657">
        <f>IF(B2076="",MAX($A$8:A2075)+0,MAX($A$8:A2075)+1)</f>
        <v>229</v>
      </c>
      <c r="B2076" s="835" t="str">
        <f>IF(C2076="","",COUNTA($C$10:C2077))</f>
        <v/>
      </c>
      <c r="C2076" s="362"/>
      <c r="D2076" s="362"/>
      <c r="E2076" s="852" t="s">
        <v>624</v>
      </c>
      <c r="F2076" s="848" t="str">
        <f>VLOOKUP(E2076,'9.may'!E:F,2,FALSE)</f>
        <v>bulldozer 108CV</v>
      </c>
      <c r="G2076" s="883" t="s">
        <v>4902</v>
      </c>
      <c r="H2076" s="847">
        <v>2.7E-2</v>
      </c>
      <c r="I2076" s="848">
        <f>VLOOKUP(E2076,'9.may'!E:W,12,FALSE)</f>
        <v>1959433.0499999998</v>
      </c>
      <c r="J2076" s="853">
        <f>I2076*H2076</f>
        <v>52904.692349999998</v>
      </c>
      <c r="N2076" s="843" t="e">
        <f>SUMIF(#REF!,'8.Dgia'!A2076,#REF!)+SUMIF(#REF!,'8.Dgia'!A2076,#REF!)+SUMIF(#REF!,'8.Dgia'!A2076,#REF!)+SUMIF(#REF!,'8.Dgia'!A2076,#REF!)</f>
        <v>#REF!</v>
      </c>
      <c r="O2076" s="844"/>
      <c r="P2076" s="843" t="e">
        <f t="shared" si="94"/>
        <v>#REF!</v>
      </c>
    </row>
    <row r="2077" spans="1:18" ht="15" customHeight="1">
      <c r="A2077" s="657">
        <f>IF(B2077="",MAX($A$8:A2076)+0,MAX($A$8:A2076)+1)</f>
        <v>230</v>
      </c>
      <c r="B2077" s="835">
        <f>IF(C2077="","",COUNTA($C$10:C2078))</f>
        <v>230</v>
      </c>
      <c r="C2077" s="835">
        <f>IF(D2077="","",1776)</f>
        <v>1776</v>
      </c>
      <c r="D2077" s="362" t="s">
        <v>695</v>
      </c>
      <c r="E2077" s="855" t="s">
        <v>3995</v>
      </c>
      <c r="F2077" s="1049" t="str">
        <f>VLOOKUP(E2077,DICH!B:C,2,FALSE)</f>
        <v>Excavating soild</v>
      </c>
      <c r="G2077" s="882" t="s">
        <v>544</v>
      </c>
      <c r="H2077" s="847"/>
      <c r="I2077" s="848"/>
      <c r="J2077" s="853"/>
      <c r="K2077" s="842">
        <f>J2078</f>
        <v>200000</v>
      </c>
      <c r="L2077" s="842">
        <f>+J2080</f>
        <v>93398.5</v>
      </c>
      <c r="M2077" s="842">
        <f>+J2081</f>
        <v>710859.86408672726</v>
      </c>
      <c r="N2077" s="843" t="s">
        <v>457</v>
      </c>
      <c r="O2077" s="844"/>
      <c r="P2077" s="843" t="s">
        <v>457</v>
      </c>
    </row>
    <row r="2078" spans="1:18" ht="15" customHeight="1">
      <c r="A2078" s="657">
        <f>IF(B2078="",MAX($A$8:A2077)+0,MAX($A$8:A2077)+1)</f>
        <v>230</v>
      </c>
      <c r="B2078" s="835" t="str">
        <f>IF(C2078="","",COUNTA($C$10:C2079))</f>
        <v/>
      </c>
      <c r="C2078" s="362"/>
      <c r="D2078" s="362"/>
      <c r="E2078" s="852" t="s">
        <v>2032</v>
      </c>
      <c r="F2078" s="848" t="str">
        <f>VLOOKUP(E2078,DICH!B:C,2,FALSE)</f>
        <v xml:space="preserve">  A - Material</v>
      </c>
      <c r="G2078" s="884"/>
      <c r="H2078" s="847"/>
      <c r="I2078" s="848"/>
      <c r="J2078" s="904">
        <f>J2079</f>
        <v>200000</v>
      </c>
      <c r="N2078" s="843" t="s">
        <v>457</v>
      </c>
      <c r="O2078" s="844"/>
      <c r="P2078" s="843" t="s">
        <v>457</v>
      </c>
    </row>
    <row r="2079" spans="1:18" ht="15" customHeight="1">
      <c r="A2079" s="657">
        <f>IF(B2079="",MAX($A$8:A2078)+0,MAX($A$8:A2078)+1)</f>
        <v>230</v>
      </c>
      <c r="B2079" s="835" t="str">
        <f>IF(C2079="","",COUNTA($C$10:C2080))</f>
        <v/>
      </c>
      <c r="C2079" s="362"/>
      <c r="D2079" s="362"/>
      <c r="E2079" s="852" t="s">
        <v>3994</v>
      </c>
      <c r="F2079" s="848" t="str">
        <f>VLOOKUP(E2079,DICH!B:C,2,FALSE)</f>
        <v>Compensation resources</v>
      </c>
      <c r="G2079" s="847" t="s">
        <v>545</v>
      </c>
      <c r="H2079" s="847">
        <v>100</v>
      </c>
      <c r="I2079" s="848">
        <f>VLOOKUP(E2079,'11.gia '!$B:$I,8,FALSE)</f>
        <v>2000</v>
      </c>
      <c r="J2079" s="853">
        <f>I2079*H2079</f>
        <v>200000</v>
      </c>
      <c r="N2079" s="843" t="s">
        <v>457</v>
      </c>
      <c r="O2079" s="844"/>
      <c r="P2079" s="843" t="s">
        <v>457</v>
      </c>
    </row>
    <row r="2080" spans="1:18" ht="15" customHeight="1">
      <c r="A2080" s="657">
        <f>IF(B2080="",MAX($A$8:A2079)+0,MAX($A$8:A2079)+1)</f>
        <v>230</v>
      </c>
      <c r="B2080" s="835" t="str">
        <f>IF(C2080="","",COUNTA($C$10:C2081))</f>
        <v/>
      </c>
      <c r="C2080" s="362"/>
      <c r="D2080" s="362"/>
      <c r="E2080" s="852" t="s">
        <v>2038</v>
      </c>
      <c r="F2080" s="848" t="str">
        <f>VLOOKUP(E2080,DICH!B:C,2,FALSE)</f>
        <v xml:space="preserve">  B - Labour 3.0/7</v>
      </c>
      <c r="G2080" s="883" t="s">
        <v>4899</v>
      </c>
      <c r="H2080" s="847">
        <v>0.5</v>
      </c>
      <c r="I2080" s="848">
        <f>VLOOKUP(E2080,'16.NC'!$C$11:$F$22,4,FALSE)</f>
        <v>186797</v>
      </c>
      <c r="J2080" s="849">
        <f>I2080*H2080</f>
        <v>93398.5</v>
      </c>
      <c r="N2080" s="843" t="s">
        <v>457</v>
      </c>
      <c r="O2080" s="844"/>
      <c r="P2080" s="843" t="s">
        <v>457</v>
      </c>
      <c r="R2080" s="658">
        <v>1</v>
      </c>
    </row>
    <row r="2081" spans="1:18" ht="15" customHeight="1">
      <c r="A2081" s="657">
        <f>IF(B2081="",MAX($A$8:A2080)+0,MAX($A$8:A2080)+1)</f>
        <v>230</v>
      </c>
      <c r="B2081" s="835" t="str">
        <f>IF(C2081="","",COUNTA($C$10:C2082))</f>
        <v/>
      </c>
      <c r="C2081" s="362"/>
      <c r="D2081" s="362"/>
      <c r="E2081" s="852" t="s">
        <v>2033</v>
      </c>
      <c r="F2081" s="848" t="str">
        <f>VLOOKUP(E2081,DICH!B:C,2,FALSE)</f>
        <v xml:space="preserve">  C - Machine</v>
      </c>
      <c r="G2081" s="883"/>
      <c r="H2081" s="847"/>
      <c r="I2081" s="848"/>
      <c r="J2081" s="849">
        <f>SUM(J2082:J2083)</f>
        <v>710859.86408672726</v>
      </c>
      <c r="N2081" s="843" t="s">
        <v>457</v>
      </c>
      <c r="O2081" s="844"/>
      <c r="P2081" s="843" t="s">
        <v>457</v>
      </c>
    </row>
    <row r="2082" spans="1:18" ht="15" customHeight="1">
      <c r="A2082" s="657">
        <f>IF(B2082="",MAX($A$8:A2081)+0,MAX($A$8:A2081)+1)</f>
        <v>230</v>
      </c>
      <c r="B2082" s="835" t="str">
        <f>IF(C2082="","",COUNTA($C$10:C2083))</f>
        <v/>
      </c>
      <c r="C2082" s="362"/>
      <c r="D2082" s="362"/>
      <c r="E2082" s="852" t="s">
        <v>780</v>
      </c>
      <c r="F2082" s="848" t="str">
        <f>VLOOKUP(E2082,'9.may'!E:F,2,FALSE)</f>
        <v>avulsion excavator 1.6m3</v>
      </c>
      <c r="G2082" s="883" t="s">
        <v>4902</v>
      </c>
      <c r="H2082" s="847">
        <v>0.152</v>
      </c>
      <c r="I2082" s="848">
        <f>VLOOKUP(E2082,'9.may'!E:W,12,FALSE)</f>
        <v>4328652.4456363637</v>
      </c>
      <c r="J2082" s="853">
        <f>I2082*H2082</f>
        <v>657955.17173672724</v>
      </c>
      <c r="N2082" s="843" t="s">
        <v>457</v>
      </c>
      <c r="O2082" s="844"/>
      <c r="P2082" s="843" t="s">
        <v>457</v>
      </c>
    </row>
    <row r="2083" spans="1:18" ht="15" customHeight="1">
      <c r="A2083" s="657">
        <f>IF(B2083="",MAX($A$8:A2082)+0,MAX($A$8:A2082)+1)</f>
        <v>230</v>
      </c>
      <c r="B2083" s="835" t="str">
        <f>IF(C2083="","",COUNTA($C$10:C2084))</f>
        <v/>
      </c>
      <c r="C2083" s="362"/>
      <c r="D2083" s="362"/>
      <c r="E2083" s="852" t="s">
        <v>624</v>
      </c>
      <c r="F2083" s="848" t="str">
        <f>VLOOKUP(E2083,'9.may'!E:F,2,FALSE)</f>
        <v>bulldozer 108CV</v>
      </c>
      <c r="G2083" s="883" t="s">
        <v>4902</v>
      </c>
      <c r="H2083" s="847">
        <v>2.7E-2</v>
      </c>
      <c r="I2083" s="848">
        <f>VLOOKUP(E2083,'9.may'!E:W,12,FALSE)</f>
        <v>1959433.0499999998</v>
      </c>
      <c r="J2083" s="853">
        <f>I2083*H2083</f>
        <v>52904.692349999998</v>
      </c>
      <c r="N2083" s="843" t="s">
        <v>457</v>
      </c>
      <c r="O2083" s="844"/>
      <c r="P2083" s="843" t="s">
        <v>457</v>
      </c>
    </row>
    <row r="2084" spans="1:18" ht="15" customHeight="1">
      <c r="A2084" s="657">
        <f>IF(B2084="",MAX($A$8:A2083)+0,MAX($A$8:A2083)+1)</f>
        <v>231</v>
      </c>
      <c r="B2084" s="835">
        <f>IF(C2084="","",COUNTA($C$10:C2085))</f>
        <v>231</v>
      </c>
      <c r="C2084" s="835">
        <f>IF(D2084="","",1776)</f>
        <v>1776</v>
      </c>
      <c r="D2084" s="362" t="s">
        <v>135</v>
      </c>
      <c r="E2084" s="855" t="s">
        <v>3473</v>
      </c>
      <c r="F2084" s="1049" t="str">
        <f>VLOOKUP(E2084,DICH!B:C,2,FALSE)</f>
        <v>Embankment backfill by fine sand, K=0.95</v>
      </c>
      <c r="G2084" s="882" t="s">
        <v>544</v>
      </c>
      <c r="H2084" s="847"/>
      <c r="I2084" s="848"/>
      <c r="J2084" s="903"/>
      <c r="K2084" s="842">
        <f>+J2085</f>
        <v>11372062.387221828</v>
      </c>
      <c r="L2084" s="842">
        <f>+J2087</f>
        <v>280195.5</v>
      </c>
      <c r="M2084" s="842">
        <f>+J2088</f>
        <v>660267.55522760458</v>
      </c>
      <c r="N2084" s="843" t="e">
        <f>SUMIF(#REF!,'8.Dgia'!A2084,#REF!)+SUMIF(#REF!,'8.Dgia'!A2084,#REF!)+SUMIF(#REF!,'8.Dgia'!A2084,#REF!)+SUMIF(#REF!,'8.Dgia'!A2084,#REF!)</f>
        <v>#REF!</v>
      </c>
      <c r="O2084" s="844"/>
      <c r="P2084" s="843" t="e">
        <f t="shared" si="94"/>
        <v>#REF!</v>
      </c>
    </row>
    <row r="2085" spans="1:18" ht="15" customHeight="1">
      <c r="A2085" s="657">
        <f>IF(B2085="",MAX($A$8:A2084)+0,MAX($A$8:A2084)+1)</f>
        <v>231</v>
      </c>
      <c r="B2085" s="835" t="str">
        <f>IF(C2085="","",COUNTA($C$10:C2086))</f>
        <v/>
      </c>
      <c r="C2085" s="362"/>
      <c r="D2085" s="362"/>
      <c r="E2085" s="852" t="s">
        <v>2032</v>
      </c>
      <c r="F2085" s="848" t="str">
        <f>VLOOKUP(E2085,DICH!B:C,2,FALSE)</f>
        <v xml:space="preserve">  A - Material</v>
      </c>
      <c r="G2085" s="884"/>
      <c r="H2085" s="847"/>
      <c r="I2085" s="848"/>
      <c r="J2085" s="904">
        <f>J2086</f>
        <v>11372062.387221828</v>
      </c>
      <c r="N2085" s="843" t="e">
        <f>SUMIF(#REF!,'8.Dgia'!A2085,#REF!)+SUMIF(#REF!,'8.Dgia'!A2085,#REF!)+SUMIF(#REF!,'8.Dgia'!A2085,#REF!)+SUMIF(#REF!,'8.Dgia'!A2085,#REF!)</f>
        <v>#REF!</v>
      </c>
      <c r="O2085" s="844"/>
      <c r="P2085" s="843" t="e">
        <f t="shared" si="94"/>
        <v>#REF!</v>
      </c>
    </row>
    <row r="2086" spans="1:18" ht="15" customHeight="1">
      <c r="A2086" s="657">
        <f>IF(B2086="",MAX($A$8:A2085)+0,MAX($A$8:A2085)+1)</f>
        <v>231</v>
      </c>
      <c r="B2086" s="835" t="str">
        <f>IF(C2086="","",COUNTA($C$10:C2087))</f>
        <v/>
      </c>
      <c r="C2086" s="362"/>
      <c r="D2086" s="362"/>
      <c r="E2086" s="852" t="s">
        <v>602</v>
      </c>
      <c r="F2086" s="848" t="str">
        <f>VLOOKUP(E2086,DICH!B:C,2,FALSE)</f>
        <v>Find sand</v>
      </c>
      <c r="G2086" s="847" t="s">
        <v>545</v>
      </c>
      <c r="H2086" s="847" t="s">
        <v>687</v>
      </c>
      <c r="I2086" s="848">
        <f>VLOOKUP(E2086,'11.gia '!$B:$I,8,FALSE)</f>
        <v>93213.626124769085</v>
      </c>
      <c r="J2086" s="853">
        <f>I2086*H2086</f>
        <v>11372062.387221828</v>
      </c>
      <c r="N2086" s="843" t="e">
        <f>SUMIF(#REF!,'8.Dgia'!A2086,#REF!)+SUMIF(#REF!,'8.Dgia'!A2086,#REF!)+SUMIF(#REF!,'8.Dgia'!A2086,#REF!)+SUMIF(#REF!,'8.Dgia'!A2086,#REF!)</f>
        <v>#REF!</v>
      </c>
      <c r="O2086" s="844"/>
      <c r="P2086" s="843" t="e">
        <f t="shared" si="94"/>
        <v>#REF!</v>
      </c>
    </row>
    <row r="2087" spans="1:18" ht="15" customHeight="1">
      <c r="A2087" s="657">
        <f>IF(B2087="",MAX($A$8:A2086)+0,MAX($A$8:A2086)+1)</f>
        <v>231</v>
      </c>
      <c r="B2087" s="835" t="str">
        <f>IF(C2087="","",COUNTA($C$10:C2088))</f>
        <v/>
      </c>
      <c r="C2087" s="362"/>
      <c r="D2087" s="362"/>
      <c r="E2087" s="852" t="s">
        <v>2038</v>
      </c>
      <c r="F2087" s="848" t="str">
        <f>VLOOKUP(E2087,DICH!B:C,2,FALSE)</f>
        <v xml:space="preserve">  B - Labour 3.0/7</v>
      </c>
      <c r="G2087" s="883" t="s">
        <v>4899</v>
      </c>
      <c r="H2087" s="847">
        <f>1.5</f>
        <v>1.5</v>
      </c>
      <c r="I2087" s="848">
        <f>VLOOKUP(E2087,'16.NC'!$C$11:$F$22,4,FALSE)</f>
        <v>186797</v>
      </c>
      <c r="J2087" s="849">
        <f>I2087*H2087</f>
        <v>280195.5</v>
      </c>
      <c r="N2087" s="843" t="e">
        <f>SUMIF(#REF!,'8.Dgia'!A2087,#REF!)+SUMIF(#REF!,'8.Dgia'!A2087,#REF!)+SUMIF(#REF!,'8.Dgia'!A2087,#REF!)+SUMIF(#REF!,'8.Dgia'!A2087,#REF!)</f>
        <v>#REF!</v>
      </c>
      <c r="O2087" s="844"/>
      <c r="P2087" s="843" t="e">
        <f t="shared" si="94"/>
        <v>#REF!</v>
      </c>
      <c r="R2087" s="658">
        <v>1</v>
      </c>
    </row>
    <row r="2088" spans="1:18" ht="15" customHeight="1">
      <c r="A2088" s="657">
        <f>IF(B2088="",MAX($A$8:A2087)+0,MAX($A$8:A2087)+1)</f>
        <v>231</v>
      </c>
      <c r="B2088" s="835" t="str">
        <f>IF(C2088="","",COUNTA($C$10:C2089))</f>
        <v/>
      </c>
      <c r="C2088" s="362"/>
      <c r="D2088" s="362"/>
      <c r="E2088" s="852" t="s">
        <v>2033</v>
      </c>
      <c r="F2088" s="848" t="str">
        <f>VLOOKUP(E2088,DICH!B:C,2,FALSE)</f>
        <v xml:space="preserve">  C - Machine</v>
      </c>
      <c r="G2088" s="883"/>
      <c r="H2088" s="847"/>
      <c r="I2088" s="848"/>
      <c r="J2088" s="904">
        <f>SUM(J2089:J2091)</f>
        <v>660267.55522760458</v>
      </c>
      <c r="N2088" s="843" t="e">
        <f>SUMIF(#REF!,'8.Dgia'!A2088,#REF!)+SUMIF(#REF!,'8.Dgia'!A2088,#REF!)+SUMIF(#REF!,'8.Dgia'!A2088,#REF!)+SUMIF(#REF!,'8.Dgia'!A2088,#REF!)</f>
        <v>#REF!</v>
      </c>
      <c r="O2088" s="844"/>
      <c r="P2088" s="843" t="e">
        <f t="shared" si="94"/>
        <v>#REF!</v>
      </c>
    </row>
    <row r="2089" spans="1:18" ht="15" customHeight="1">
      <c r="A2089" s="657">
        <f>IF(B2089="",MAX($A$8:A2088)+0,MAX($A$8:A2088)+1)</f>
        <v>231</v>
      </c>
      <c r="B2089" s="835" t="str">
        <f>IF(C2089="","",COUNTA($C$10:C2090))</f>
        <v/>
      </c>
      <c r="C2089" s="362"/>
      <c r="D2089" s="362"/>
      <c r="E2089" s="852" t="s">
        <v>875</v>
      </c>
      <c r="F2089" s="848" t="str">
        <f>VLOOKUP(E2089,'9.may'!E:F,2,FALSE)</f>
        <v>Pneumatic roller 16T</v>
      </c>
      <c r="G2089" s="883" t="s">
        <v>4902</v>
      </c>
      <c r="H2089" s="847">
        <v>0.27400000000000002</v>
      </c>
      <c r="I2089" s="848">
        <f>VLOOKUP(E2089,'9.may'!E:W,12,FALSE)</f>
        <v>1394407.2218181817</v>
      </c>
      <c r="J2089" s="853">
        <f>I2089*H2089</f>
        <v>382067.57877818181</v>
      </c>
      <c r="N2089" s="843" t="e">
        <f>SUMIF(#REF!,'8.Dgia'!A2089,#REF!)+SUMIF(#REF!,'8.Dgia'!A2089,#REF!)+SUMIF(#REF!,'8.Dgia'!A2089,#REF!)+SUMIF(#REF!,'8.Dgia'!A2089,#REF!)</f>
        <v>#REF!</v>
      </c>
      <c r="O2089" s="844">
        <f>+$H$2091</f>
        <v>1.5</v>
      </c>
      <c r="P2089" s="843" t="e">
        <f t="shared" si="94"/>
        <v>#REF!</v>
      </c>
    </row>
    <row r="2090" spans="1:18" ht="15" customHeight="1">
      <c r="A2090" s="657">
        <f>IF(B2090="",MAX($A$8:A2089)+0,MAX($A$8:A2089)+1)</f>
        <v>231</v>
      </c>
      <c r="B2090" s="835" t="str">
        <f>IF(C2090="","",COUNTA($C$10:C2091))</f>
        <v/>
      </c>
      <c r="C2090" s="362"/>
      <c r="D2090" s="362"/>
      <c r="E2090" s="852" t="s">
        <v>624</v>
      </c>
      <c r="F2090" s="848" t="str">
        <f>VLOOKUP(E2090,'9.may'!E:F,2,FALSE)</f>
        <v>bulldozer 108CV</v>
      </c>
      <c r="G2090" s="883" t="s">
        <v>4902</v>
      </c>
      <c r="H2090" s="847">
        <v>0.13700000000000001</v>
      </c>
      <c r="I2090" s="848">
        <f>VLOOKUP(E2090,'9.may'!E:W,12,FALSE)</f>
        <v>1959433.0499999998</v>
      </c>
      <c r="J2090" s="853">
        <f>I2090*H2090</f>
        <v>268442.32785</v>
      </c>
      <c r="N2090" s="843" t="e">
        <f>SUMIF(#REF!,'8.Dgia'!A2090,#REF!)+SUMIF(#REF!,'8.Dgia'!A2090,#REF!)+SUMIF(#REF!,'8.Dgia'!A2090,#REF!)+SUMIF(#REF!,'8.Dgia'!A2090,#REF!)</f>
        <v>#REF!</v>
      </c>
      <c r="O2090" s="844">
        <f>+$H$2091</f>
        <v>1.5</v>
      </c>
      <c r="P2090" s="843" t="e">
        <f t="shared" si="94"/>
        <v>#REF!</v>
      </c>
    </row>
    <row r="2091" spans="1:18" ht="15" customHeight="1">
      <c r="A2091" s="657">
        <f>IF(B2091="",MAX($A$8:A2090)+0,MAX($A$8:A2090)+1)</f>
        <v>231</v>
      </c>
      <c r="B2091" s="835" t="str">
        <f>IF(C2091="","",COUNTA($C$10:C2092))</f>
        <v/>
      </c>
      <c r="C2091" s="362"/>
      <c r="D2091" s="362"/>
      <c r="E2091" s="852" t="s">
        <v>553</v>
      </c>
      <c r="F2091" s="848" t="str">
        <f>VLOOKUP(E2091,DICH!B:C,2,FALSE)</f>
        <v>Other machine</v>
      </c>
      <c r="G2091" s="362" t="s">
        <v>554</v>
      </c>
      <c r="H2091" s="847">
        <v>1.5</v>
      </c>
      <c r="I2091" s="848">
        <f>SUM(J2089:J2090)</f>
        <v>650509.90662818181</v>
      </c>
      <c r="J2091" s="853">
        <f>I2091*H2091%</f>
        <v>9757.648599422726</v>
      </c>
      <c r="N2091" s="843" t="e">
        <f>SUMIF(#REF!,'8.Dgia'!A2091,#REF!)+SUMIF(#REF!,'8.Dgia'!A2091,#REF!)+SUMIF(#REF!,'8.Dgia'!A2091,#REF!)+SUMIF(#REF!,'8.Dgia'!A2091,#REF!)</f>
        <v>#REF!</v>
      </c>
      <c r="O2091" s="844"/>
      <c r="P2091" s="843" t="e">
        <f t="shared" si="94"/>
        <v>#REF!</v>
      </c>
    </row>
    <row r="2092" spans="1:18" ht="15" customHeight="1">
      <c r="A2092" s="657">
        <f>IF(B2092="",MAX($A$8:A2091)+0,MAX($A$8:A2091)+1)</f>
        <v>232</v>
      </c>
      <c r="B2092" s="835">
        <f>IF(C2092="","",COUNTA($C$10:C2093))</f>
        <v>232</v>
      </c>
      <c r="C2092" s="835">
        <f>IF(D2092="","",1776)</f>
        <v>1776</v>
      </c>
      <c r="D2092" s="362" t="s">
        <v>135</v>
      </c>
      <c r="E2092" s="855" t="s">
        <v>5395</v>
      </c>
      <c r="F2092" s="1049" t="str">
        <f>VLOOKUP(E2092,DICH!B:C,2,FALSE)</f>
        <v>Embankment backfill by medium sand, K=0.95</v>
      </c>
      <c r="G2092" s="882" t="s">
        <v>544</v>
      </c>
      <c r="H2092" s="847"/>
      <c r="I2092" s="848"/>
      <c r="J2092" s="903"/>
      <c r="K2092" s="842">
        <f>+J2093</f>
        <v>15627809.792676372</v>
      </c>
      <c r="L2092" s="842">
        <f>+J2095</f>
        <v>280195.5</v>
      </c>
      <c r="M2092" s="842">
        <f>+J2096</f>
        <v>660267.55522760458</v>
      </c>
      <c r="N2092" s="843" t="e">
        <f>SUMIF(#REF!,'8.Dgia'!A2092,#REF!)+SUMIF(#REF!,'8.Dgia'!A2092,#REF!)+SUMIF(#REF!,'8.Dgia'!A2092,#REF!)+SUMIF(#REF!,'8.Dgia'!A2092,#REF!)</f>
        <v>#REF!</v>
      </c>
      <c r="O2092" s="844"/>
      <c r="P2092" s="843" t="e">
        <f t="shared" ref="P2092:P2099" si="96">$H2092*N2092*(1+O2092%)</f>
        <v>#REF!</v>
      </c>
    </row>
    <row r="2093" spans="1:18" ht="15" customHeight="1">
      <c r="A2093" s="657">
        <f>IF(B2093="",MAX($A$8:A2092)+0,MAX($A$8:A2092)+1)</f>
        <v>232</v>
      </c>
      <c r="B2093" s="835" t="str">
        <f>IF(C2093="","",COUNTA($C$10:C2094))</f>
        <v/>
      </c>
      <c r="C2093" s="362"/>
      <c r="D2093" s="362"/>
      <c r="E2093" s="852" t="s">
        <v>2032</v>
      </c>
      <c r="F2093" s="848" t="str">
        <f>VLOOKUP(E2093,DICH!B:C,2,FALSE)</f>
        <v xml:space="preserve">  A - Material</v>
      </c>
      <c r="G2093" s="884"/>
      <c r="H2093" s="847"/>
      <c r="I2093" s="848"/>
      <c r="J2093" s="904">
        <f>J2094</f>
        <v>15627809.792676372</v>
      </c>
      <c r="N2093" s="843" t="e">
        <f>SUMIF(#REF!,'8.Dgia'!A2093,#REF!)+SUMIF(#REF!,'8.Dgia'!A2093,#REF!)+SUMIF(#REF!,'8.Dgia'!A2093,#REF!)+SUMIF(#REF!,'8.Dgia'!A2093,#REF!)</f>
        <v>#REF!</v>
      </c>
      <c r="O2093" s="844"/>
      <c r="P2093" s="843" t="e">
        <f t="shared" si="96"/>
        <v>#REF!</v>
      </c>
    </row>
    <row r="2094" spans="1:18" ht="15" customHeight="1">
      <c r="A2094" s="657">
        <f>IF(B2094="",MAX($A$8:A2093)+0,MAX($A$8:A2093)+1)</f>
        <v>232</v>
      </c>
      <c r="B2094" s="835" t="str">
        <f>IF(C2094="","",COUNTA($C$10:C2095))</f>
        <v/>
      </c>
      <c r="C2094" s="362"/>
      <c r="D2094" s="362"/>
      <c r="E2094" s="852" t="s">
        <v>588</v>
      </c>
      <c r="F2094" s="848" t="str">
        <f>VLOOKUP(E2094,DICH!B:C,2,FALSE)</f>
        <v>Medium sand</v>
      </c>
      <c r="G2094" s="847" t="s">
        <v>545</v>
      </c>
      <c r="H2094" s="847" t="s">
        <v>687</v>
      </c>
      <c r="I2094" s="848">
        <f>VLOOKUP(E2094,'11.gia '!$B:$I,8,FALSE)</f>
        <v>128096.80157931453</v>
      </c>
      <c r="J2094" s="853">
        <f>I2094*H2094</f>
        <v>15627809.792676372</v>
      </c>
      <c r="N2094" s="843" t="e">
        <f>SUMIF(#REF!,'8.Dgia'!A2094,#REF!)+SUMIF(#REF!,'8.Dgia'!A2094,#REF!)+SUMIF(#REF!,'8.Dgia'!A2094,#REF!)+SUMIF(#REF!,'8.Dgia'!A2094,#REF!)</f>
        <v>#REF!</v>
      </c>
      <c r="O2094" s="844"/>
      <c r="P2094" s="843" t="e">
        <f t="shared" si="96"/>
        <v>#REF!</v>
      </c>
    </row>
    <row r="2095" spans="1:18" ht="15" customHeight="1">
      <c r="A2095" s="657">
        <f>IF(B2095="",MAX($A$8:A2094)+0,MAX($A$8:A2094)+1)</f>
        <v>232</v>
      </c>
      <c r="B2095" s="835" t="str">
        <f>IF(C2095="","",COUNTA($C$10:C2096))</f>
        <v/>
      </c>
      <c r="C2095" s="362"/>
      <c r="D2095" s="362"/>
      <c r="E2095" s="852" t="s">
        <v>2038</v>
      </c>
      <c r="F2095" s="848" t="str">
        <f>VLOOKUP(E2095,DICH!B:C,2,FALSE)</f>
        <v xml:space="preserve">  B - Labour 3.0/7</v>
      </c>
      <c r="G2095" s="883" t="s">
        <v>4899</v>
      </c>
      <c r="H2095" s="847">
        <f>1.5</f>
        <v>1.5</v>
      </c>
      <c r="I2095" s="848">
        <f>VLOOKUP(E2095,'16.NC'!$C$11:$F$22,4,FALSE)</f>
        <v>186797</v>
      </c>
      <c r="J2095" s="849">
        <f>I2095*H2095</f>
        <v>280195.5</v>
      </c>
      <c r="N2095" s="843" t="e">
        <f>SUMIF(#REF!,'8.Dgia'!A2095,#REF!)+SUMIF(#REF!,'8.Dgia'!A2095,#REF!)+SUMIF(#REF!,'8.Dgia'!A2095,#REF!)+SUMIF(#REF!,'8.Dgia'!A2095,#REF!)</f>
        <v>#REF!</v>
      </c>
      <c r="O2095" s="844"/>
      <c r="P2095" s="843" t="e">
        <f t="shared" si="96"/>
        <v>#REF!</v>
      </c>
      <c r="R2095" s="658">
        <v>1</v>
      </c>
    </row>
    <row r="2096" spans="1:18" ht="15" customHeight="1">
      <c r="A2096" s="657">
        <f>IF(B2096="",MAX($A$8:A2095)+0,MAX($A$8:A2095)+1)</f>
        <v>232</v>
      </c>
      <c r="B2096" s="835" t="str">
        <f>IF(C2096="","",COUNTA($C$10:C2097))</f>
        <v/>
      </c>
      <c r="C2096" s="362"/>
      <c r="D2096" s="362"/>
      <c r="E2096" s="852" t="s">
        <v>2033</v>
      </c>
      <c r="F2096" s="848" t="str">
        <f>VLOOKUP(E2096,DICH!B:C,2,FALSE)</f>
        <v xml:space="preserve">  C - Machine</v>
      </c>
      <c r="G2096" s="883"/>
      <c r="H2096" s="847"/>
      <c r="I2096" s="848"/>
      <c r="J2096" s="904">
        <f>SUM(J2097:J2099)</f>
        <v>660267.55522760458</v>
      </c>
      <c r="N2096" s="843" t="e">
        <f>SUMIF(#REF!,'8.Dgia'!A2096,#REF!)+SUMIF(#REF!,'8.Dgia'!A2096,#REF!)+SUMIF(#REF!,'8.Dgia'!A2096,#REF!)+SUMIF(#REF!,'8.Dgia'!A2096,#REF!)</f>
        <v>#REF!</v>
      </c>
      <c r="O2096" s="844"/>
      <c r="P2096" s="843" t="e">
        <f t="shared" si="96"/>
        <v>#REF!</v>
      </c>
    </row>
    <row r="2097" spans="1:18" ht="15" customHeight="1">
      <c r="A2097" s="657">
        <f>IF(B2097="",MAX($A$8:A2096)+0,MAX($A$8:A2096)+1)</f>
        <v>232</v>
      </c>
      <c r="B2097" s="835" t="str">
        <f>IF(C2097="","",COUNTA($C$10:C2098))</f>
        <v/>
      </c>
      <c r="C2097" s="362"/>
      <c r="D2097" s="362"/>
      <c r="E2097" s="852" t="s">
        <v>875</v>
      </c>
      <c r="F2097" s="848" t="str">
        <f>VLOOKUP(E2097,'9.may'!E:F,2,FALSE)</f>
        <v>Pneumatic roller 16T</v>
      </c>
      <c r="G2097" s="883" t="s">
        <v>4902</v>
      </c>
      <c r="H2097" s="847">
        <v>0.27400000000000002</v>
      </c>
      <c r="I2097" s="848">
        <f>VLOOKUP(E2097,'9.may'!E:W,12,FALSE)</f>
        <v>1394407.2218181817</v>
      </c>
      <c r="J2097" s="853">
        <f>I2097*H2097</f>
        <v>382067.57877818181</v>
      </c>
      <c r="N2097" s="843" t="e">
        <f>SUMIF(#REF!,'8.Dgia'!A2097,#REF!)+SUMIF(#REF!,'8.Dgia'!A2097,#REF!)+SUMIF(#REF!,'8.Dgia'!A2097,#REF!)+SUMIF(#REF!,'8.Dgia'!A2097,#REF!)</f>
        <v>#REF!</v>
      </c>
      <c r="O2097" s="844">
        <f>+$H$2091</f>
        <v>1.5</v>
      </c>
      <c r="P2097" s="843" t="e">
        <f t="shared" si="96"/>
        <v>#REF!</v>
      </c>
    </row>
    <row r="2098" spans="1:18" ht="15" customHeight="1">
      <c r="A2098" s="657">
        <f>IF(B2098="",MAX($A$8:A2097)+0,MAX($A$8:A2097)+1)</f>
        <v>232</v>
      </c>
      <c r="B2098" s="835" t="str">
        <f>IF(C2098="","",COUNTA($C$10:C2099))</f>
        <v/>
      </c>
      <c r="C2098" s="362"/>
      <c r="D2098" s="362"/>
      <c r="E2098" s="852" t="s">
        <v>624</v>
      </c>
      <c r="F2098" s="848" t="str">
        <f>VLOOKUP(E2098,'9.may'!E:F,2,FALSE)</f>
        <v>bulldozer 108CV</v>
      </c>
      <c r="G2098" s="883" t="s">
        <v>4902</v>
      </c>
      <c r="H2098" s="847">
        <v>0.13700000000000001</v>
      </c>
      <c r="I2098" s="848">
        <f>VLOOKUP(E2098,'9.may'!E:W,12,FALSE)</f>
        <v>1959433.0499999998</v>
      </c>
      <c r="J2098" s="853">
        <f>I2098*H2098</f>
        <v>268442.32785</v>
      </c>
      <c r="N2098" s="843" t="e">
        <f>SUMIF(#REF!,'8.Dgia'!A2098,#REF!)+SUMIF(#REF!,'8.Dgia'!A2098,#REF!)+SUMIF(#REF!,'8.Dgia'!A2098,#REF!)+SUMIF(#REF!,'8.Dgia'!A2098,#REF!)</f>
        <v>#REF!</v>
      </c>
      <c r="O2098" s="844">
        <f>+$H$2091</f>
        <v>1.5</v>
      </c>
      <c r="P2098" s="843" t="e">
        <f t="shared" si="96"/>
        <v>#REF!</v>
      </c>
    </row>
    <row r="2099" spans="1:18" ht="15" customHeight="1">
      <c r="A2099" s="657">
        <f>IF(B2099="",MAX($A$8:A2098)+0,MAX($A$8:A2098)+1)</f>
        <v>232</v>
      </c>
      <c r="B2099" s="835" t="str">
        <f>IF(C2099="","",COUNTA($C$10:C2100))</f>
        <v/>
      </c>
      <c r="C2099" s="362"/>
      <c r="D2099" s="362"/>
      <c r="E2099" s="852" t="s">
        <v>553</v>
      </c>
      <c r="F2099" s="848" t="str">
        <f>VLOOKUP(E2099,DICH!B:C,2,FALSE)</f>
        <v>Other machine</v>
      </c>
      <c r="G2099" s="362" t="s">
        <v>554</v>
      </c>
      <c r="H2099" s="847">
        <v>1.5</v>
      </c>
      <c r="I2099" s="848">
        <f>SUM(J2097:J2098)</f>
        <v>650509.90662818181</v>
      </c>
      <c r="J2099" s="853">
        <f>I2099*H2099%</f>
        <v>9757.648599422726</v>
      </c>
      <c r="N2099" s="843" t="e">
        <f>SUMIF(#REF!,'8.Dgia'!A2099,#REF!)+SUMIF(#REF!,'8.Dgia'!A2099,#REF!)+SUMIF(#REF!,'8.Dgia'!A2099,#REF!)+SUMIF(#REF!,'8.Dgia'!A2099,#REF!)</f>
        <v>#REF!</v>
      </c>
      <c r="O2099" s="844"/>
      <c r="P2099" s="843" t="e">
        <f t="shared" si="96"/>
        <v>#REF!</v>
      </c>
    </row>
    <row r="2100" spans="1:18" ht="15" customHeight="1">
      <c r="A2100" s="657">
        <f>IF(B2100="",MAX($A$8:A2099)+0,MAX($A$8:A2099)+1)</f>
        <v>233</v>
      </c>
      <c r="B2100" s="835">
        <f>IF(C2100="","",COUNTA($C$10:C2101))</f>
        <v>233</v>
      </c>
      <c r="C2100" s="835">
        <f>IF(D2100="","",1776)</f>
        <v>1776</v>
      </c>
      <c r="D2100" s="362" t="s">
        <v>696</v>
      </c>
      <c r="E2100" s="855" t="s">
        <v>96</v>
      </c>
      <c r="F2100" s="1049" t="str">
        <f>VLOOKUP(E2100,DICH!B:C,2,FALSE)</f>
        <v xml:space="preserve"> Paving geotextile 12KN/m</v>
      </c>
      <c r="G2100" s="884" t="s">
        <v>547</v>
      </c>
      <c r="H2100" s="900"/>
      <c r="I2100" s="848"/>
      <c r="J2100" s="853"/>
      <c r="K2100" s="842">
        <f>+J2101</f>
        <v>1402799.9999999998</v>
      </c>
      <c r="L2100" s="842">
        <f>+J2104</f>
        <v>239377.15999999997</v>
      </c>
      <c r="N2100" s="843" t="e">
        <f>SUMIF(#REF!,'8.Dgia'!A2100,#REF!)+SUMIF(#REF!,'8.Dgia'!A2100,#REF!)+SUMIF(#REF!,'8.Dgia'!A2100,#REF!)+SUMIF(#REF!,'8.Dgia'!A2100,#REF!)</f>
        <v>#REF!</v>
      </c>
      <c r="O2100" s="844"/>
      <c r="P2100" s="843" t="e">
        <f t="shared" si="94"/>
        <v>#REF!</v>
      </c>
    </row>
    <row r="2101" spans="1:18" ht="15" customHeight="1">
      <c r="A2101" s="657">
        <f>IF(B2101="",MAX($A$8:A2100)+0,MAX($A$8:A2100)+1)</f>
        <v>233</v>
      </c>
      <c r="B2101" s="835" t="str">
        <f>IF(C2101="","",COUNTA($C$10:C2102))</f>
        <v/>
      </c>
      <c r="C2101" s="362"/>
      <c r="D2101" s="362"/>
      <c r="E2101" s="852" t="s">
        <v>2032</v>
      </c>
      <c r="F2101" s="848" t="str">
        <f>VLOOKUP(E2101,DICH!B:C,2,FALSE)</f>
        <v xml:space="preserve">  A - Material</v>
      </c>
      <c r="G2101" s="883"/>
      <c r="H2101" s="847"/>
      <c r="I2101" s="848"/>
      <c r="J2101" s="849">
        <f>SUM(J2102:J2103)</f>
        <v>1402799.9999999998</v>
      </c>
      <c r="N2101" s="843" t="e">
        <f>SUMIF(#REF!,'8.Dgia'!A2101,#REF!)+SUMIF(#REF!,'8.Dgia'!A2101,#REF!)+SUMIF(#REF!,'8.Dgia'!A2101,#REF!)+SUMIF(#REF!,'8.Dgia'!A2101,#REF!)</f>
        <v>#REF!</v>
      </c>
      <c r="O2101" s="844"/>
      <c r="P2101" s="843" t="e">
        <f t="shared" ref="P2101:P2164" si="97">$H2101*N2101*(1+O2101%)</f>
        <v>#REF!</v>
      </c>
    </row>
    <row r="2102" spans="1:18" ht="15" customHeight="1">
      <c r="A2102" s="657">
        <f>IF(B2102="",MAX($A$8:A2101)+0,MAX($A$8:A2101)+1)</f>
        <v>233</v>
      </c>
      <c r="B2102" s="835" t="str">
        <f>IF(C2102="","",COUNTA($C$10:C2103))</f>
        <v/>
      </c>
      <c r="C2102" s="362"/>
      <c r="D2102" s="362"/>
      <c r="E2102" s="852" t="s">
        <v>97</v>
      </c>
      <c r="F2102" s="848" t="str">
        <f>VLOOKUP(E2102,DICH!B:C,2,FALSE)</f>
        <v>geotextile 12KN/m</v>
      </c>
      <c r="G2102" s="883" t="s">
        <v>548</v>
      </c>
      <c r="H2102" s="847">
        <v>110</v>
      </c>
      <c r="I2102" s="848">
        <f>VLOOKUP(E2102,'11.gia '!$B:$I,8,FALSE)</f>
        <v>12727.272727272726</v>
      </c>
      <c r="J2102" s="853">
        <f>I2102*H2102</f>
        <v>1399999.9999999998</v>
      </c>
      <c r="N2102" s="843" t="e">
        <f>SUMIF(#REF!,'8.Dgia'!A2102,#REF!)+SUMIF(#REF!,'8.Dgia'!A2102,#REF!)+SUMIF(#REF!,'8.Dgia'!A2102,#REF!)+SUMIF(#REF!,'8.Dgia'!A2102,#REF!)</f>
        <v>#REF!</v>
      </c>
      <c r="O2102" s="844">
        <f>+$H$2103</f>
        <v>0.2</v>
      </c>
      <c r="P2102" s="843" t="e">
        <f t="shared" si="97"/>
        <v>#REF!</v>
      </c>
    </row>
    <row r="2103" spans="1:18" ht="15" customHeight="1">
      <c r="A2103" s="657">
        <f>IF(B2103="",MAX($A$8:A2102)+0,MAX($A$8:A2102)+1)</f>
        <v>233</v>
      </c>
      <c r="B2103" s="835" t="str">
        <f>IF(C2103="","",COUNTA($C$10:C2104))</f>
        <v/>
      </c>
      <c r="C2103" s="362"/>
      <c r="D2103" s="362"/>
      <c r="E2103" s="852" t="s">
        <v>555</v>
      </c>
      <c r="F2103" s="848" t="str">
        <f>VLOOKUP(E2103,DICH!B:C,2,FALSE)</f>
        <v>Other material</v>
      </c>
      <c r="G2103" s="362" t="s">
        <v>554</v>
      </c>
      <c r="H2103" s="847">
        <v>0.2</v>
      </c>
      <c r="I2103" s="848">
        <f>+J2102</f>
        <v>1399999.9999999998</v>
      </c>
      <c r="J2103" s="853">
        <f>I2103*H2103%</f>
        <v>2799.9999999999995</v>
      </c>
      <c r="N2103" s="843" t="e">
        <f>SUMIF(#REF!,'8.Dgia'!A2103,#REF!)+SUMIF(#REF!,'8.Dgia'!A2103,#REF!)+SUMIF(#REF!,'8.Dgia'!A2103,#REF!)+SUMIF(#REF!,'8.Dgia'!A2103,#REF!)</f>
        <v>#REF!</v>
      </c>
      <c r="O2103" s="844"/>
      <c r="P2103" s="843" t="e">
        <f t="shared" si="97"/>
        <v>#REF!</v>
      </c>
    </row>
    <row r="2104" spans="1:18" ht="15" customHeight="1">
      <c r="A2104" s="657">
        <f>IF(B2104="",MAX($A$8:A2103)+0,MAX($A$8:A2103)+1)</f>
        <v>233</v>
      </c>
      <c r="B2104" s="835" t="str">
        <f>IF(C2104="","",COUNTA($C$10:C2105))</f>
        <v/>
      </c>
      <c r="C2104" s="362"/>
      <c r="D2104" s="362"/>
      <c r="E2104" s="852" t="s">
        <v>2037</v>
      </c>
      <c r="F2104" s="848" t="str">
        <f>VLOOKUP(E2104,DICH!B:C,2,FALSE)</f>
        <v xml:space="preserve">  B - Labour 3.5/7</v>
      </c>
      <c r="G2104" s="883" t="s">
        <v>4899</v>
      </c>
      <c r="H2104" s="847">
        <v>1.18</v>
      </c>
      <c r="I2104" s="848">
        <f>VLOOKUP(E2104,'16.NC'!$C$11:$F$22,4,FALSE)</f>
        <v>202862</v>
      </c>
      <c r="J2104" s="849">
        <f>I2104*H2104</f>
        <v>239377.15999999997</v>
      </c>
      <c r="N2104" s="843" t="e">
        <f>SUMIF(#REF!,'8.Dgia'!A2104,#REF!)+SUMIF(#REF!,'8.Dgia'!A2104,#REF!)+SUMIF(#REF!,'8.Dgia'!A2104,#REF!)+SUMIF(#REF!,'8.Dgia'!A2104,#REF!)</f>
        <v>#REF!</v>
      </c>
      <c r="O2104" s="844"/>
      <c r="P2104" s="843" t="e">
        <f t="shared" si="97"/>
        <v>#REF!</v>
      </c>
      <c r="R2104" s="658">
        <v>1</v>
      </c>
    </row>
    <row r="2105" spans="1:18" ht="15" customHeight="1">
      <c r="A2105" s="657">
        <f>IF(B2105="",MAX($A$8:A2104)+0,MAX($A$8:A2104)+1)</f>
        <v>234</v>
      </c>
      <c r="B2105" s="835">
        <f>IF(C2105="","",COUNTA($C$10:C2106))</f>
        <v>234</v>
      </c>
      <c r="C2105" s="835">
        <f>IF(D2105="","",1776)</f>
        <v>1776</v>
      </c>
      <c r="D2105" s="362" t="s">
        <v>696</v>
      </c>
      <c r="E2105" s="855" t="s">
        <v>95</v>
      </c>
      <c r="F2105" s="1049" t="str">
        <f>VLOOKUP(E2105,DICH!B:C,2,FALSE)</f>
        <v xml:space="preserve"> Paving geotextile 200KN/m</v>
      </c>
      <c r="G2105" s="884" t="s">
        <v>547</v>
      </c>
      <c r="H2105" s="900"/>
      <c r="I2105" s="848"/>
      <c r="J2105" s="853"/>
      <c r="K2105" s="842">
        <f>+J2106</f>
        <v>4007999.9999999995</v>
      </c>
      <c r="L2105" s="842">
        <f>+J2109</f>
        <v>239377.15999999997</v>
      </c>
      <c r="N2105" s="843" t="e">
        <f>SUMIF(#REF!,'8.Dgia'!A2105,#REF!)+SUMIF(#REF!,'8.Dgia'!A2105,#REF!)+SUMIF(#REF!,'8.Dgia'!A2105,#REF!)+SUMIF(#REF!,'8.Dgia'!A2105,#REF!)</f>
        <v>#REF!</v>
      </c>
      <c r="O2105" s="844"/>
      <c r="P2105" s="843" t="e">
        <f t="shared" si="97"/>
        <v>#REF!</v>
      </c>
    </row>
    <row r="2106" spans="1:18" ht="15" customHeight="1">
      <c r="A2106" s="657">
        <f>IF(B2106="",MAX($A$8:A2105)+0,MAX($A$8:A2105)+1)</f>
        <v>234</v>
      </c>
      <c r="B2106" s="835" t="str">
        <f>IF(C2106="","",COUNTA($C$10:C2107))</f>
        <v/>
      </c>
      <c r="C2106" s="362"/>
      <c r="D2106" s="362"/>
      <c r="E2106" s="852" t="s">
        <v>2032</v>
      </c>
      <c r="F2106" s="848" t="str">
        <f>VLOOKUP(E2106,DICH!B:C,2,FALSE)</f>
        <v xml:space="preserve">  A - Material</v>
      </c>
      <c r="G2106" s="883"/>
      <c r="H2106" s="847"/>
      <c r="I2106" s="848"/>
      <c r="J2106" s="849">
        <f>SUM(J2107:J2108)</f>
        <v>4007999.9999999995</v>
      </c>
      <c r="N2106" s="843" t="e">
        <f>SUMIF(#REF!,'8.Dgia'!A2106,#REF!)+SUMIF(#REF!,'8.Dgia'!A2106,#REF!)+SUMIF(#REF!,'8.Dgia'!A2106,#REF!)+SUMIF(#REF!,'8.Dgia'!A2106,#REF!)</f>
        <v>#REF!</v>
      </c>
      <c r="O2106" s="844"/>
      <c r="P2106" s="843" t="e">
        <f t="shared" si="97"/>
        <v>#REF!</v>
      </c>
    </row>
    <row r="2107" spans="1:18" ht="15" customHeight="1">
      <c r="A2107" s="657">
        <f>IF(B2107="",MAX($A$8:A2106)+0,MAX($A$8:A2106)+1)</f>
        <v>234</v>
      </c>
      <c r="B2107" s="835" t="str">
        <f>IF(C2107="","",COUNTA($C$10:C2108))</f>
        <v/>
      </c>
      <c r="C2107" s="362"/>
      <c r="D2107" s="362"/>
      <c r="E2107" s="852" t="s">
        <v>98</v>
      </c>
      <c r="F2107" s="848" t="str">
        <f>VLOOKUP(E2107,DICH!B:C,2,FALSE)</f>
        <v>geotextile 200KN/m</v>
      </c>
      <c r="G2107" s="883" t="s">
        <v>548</v>
      </c>
      <c r="H2107" s="847">
        <v>110</v>
      </c>
      <c r="I2107" s="848">
        <f>VLOOKUP(E2107,'11.gia '!$B:$I,8,FALSE)</f>
        <v>36363.63636363636</v>
      </c>
      <c r="J2107" s="853">
        <f>I2107*H2107</f>
        <v>3999999.9999999995</v>
      </c>
      <c r="N2107" s="843" t="e">
        <f>SUMIF(#REF!,'8.Dgia'!A2107,#REF!)+SUMIF(#REF!,'8.Dgia'!A2107,#REF!)+SUMIF(#REF!,'8.Dgia'!A2107,#REF!)+SUMIF(#REF!,'8.Dgia'!A2107,#REF!)</f>
        <v>#REF!</v>
      </c>
      <c r="O2107" s="844"/>
      <c r="P2107" s="843" t="e">
        <f t="shared" si="97"/>
        <v>#REF!</v>
      </c>
    </row>
    <row r="2108" spans="1:18" ht="15" customHeight="1">
      <c r="A2108" s="657">
        <f>IF(B2108="",MAX($A$8:A2107)+0,MAX($A$8:A2107)+1)</f>
        <v>234</v>
      </c>
      <c r="B2108" s="835" t="str">
        <f>IF(C2108="","",COUNTA($C$10:C2109))</f>
        <v/>
      </c>
      <c r="C2108" s="362"/>
      <c r="D2108" s="362"/>
      <c r="E2108" s="852" t="s">
        <v>555</v>
      </c>
      <c r="F2108" s="848" t="str">
        <f>VLOOKUP(E2108,DICH!B:C,2,FALSE)</f>
        <v>Other material</v>
      </c>
      <c r="G2108" s="362" t="s">
        <v>554</v>
      </c>
      <c r="H2108" s="847">
        <v>0.2</v>
      </c>
      <c r="I2108" s="848">
        <f>+J2107</f>
        <v>3999999.9999999995</v>
      </c>
      <c r="J2108" s="853">
        <f>I2108*H2108%</f>
        <v>7999.9999999999991</v>
      </c>
      <c r="N2108" s="843" t="e">
        <f>SUMIF(#REF!,'8.Dgia'!A2108,#REF!)+SUMIF(#REF!,'8.Dgia'!A2108,#REF!)+SUMIF(#REF!,'8.Dgia'!A2108,#REF!)+SUMIF(#REF!,'8.Dgia'!A2108,#REF!)</f>
        <v>#REF!</v>
      </c>
      <c r="O2108" s="844"/>
      <c r="P2108" s="843" t="e">
        <f t="shared" si="97"/>
        <v>#REF!</v>
      </c>
    </row>
    <row r="2109" spans="1:18" ht="15" customHeight="1">
      <c r="A2109" s="657">
        <f>IF(B2109="",MAX($A$8:A2108)+0,MAX($A$8:A2108)+1)</f>
        <v>234</v>
      </c>
      <c r="B2109" s="835" t="str">
        <f>IF(C2109="","",COUNTA($C$10:C2110))</f>
        <v/>
      </c>
      <c r="C2109" s="362"/>
      <c r="D2109" s="362"/>
      <c r="E2109" s="852" t="s">
        <v>2037</v>
      </c>
      <c r="F2109" s="848" t="str">
        <f>VLOOKUP(E2109,DICH!B:C,2,FALSE)</f>
        <v xml:space="preserve">  B - Labour 3.5/7</v>
      </c>
      <c r="G2109" s="883" t="s">
        <v>4899</v>
      </c>
      <c r="H2109" s="847">
        <v>1.18</v>
      </c>
      <c r="I2109" s="848">
        <f>VLOOKUP(E2109,'16.NC'!$C$11:$F$22,4,FALSE)</f>
        <v>202862</v>
      </c>
      <c r="J2109" s="849">
        <f>I2109*H2109</f>
        <v>239377.15999999997</v>
      </c>
      <c r="N2109" s="843" t="e">
        <f>SUMIF(#REF!,'8.Dgia'!A2109,#REF!)+SUMIF(#REF!,'8.Dgia'!A2109,#REF!)+SUMIF(#REF!,'8.Dgia'!A2109,#REF!)+SUMIF(#REF!,'8.Dgia'!A2109,#REF!)</f>
        <v>#REF!</v>
      </c>
      <c r="O2109" s="844"/>
      <c r="P2109" s="843" t="e">
        <f t="shared" si="97"/>
        <v>#REF!</v>
      </c>
      <c r="R2109" s="658">
        <v>1</v>
      </c>
    </row>
    <row r="2110" spans="1:18" ht="15" customHeight="1">
      <c r="A2110" s="657">
        <f>IF(B2110="",MAX($A$8:A2109)+0,MAX($A$8:A2109)+1)</f>
        <v>235</v>
      </c>
      <c r="B2110" s="835">
        <f>IF(C2110="","",COUNTA($C$10:C2111))</f>
        <v>235</v>
      </c>
      <c r="C2110" s="835">
        <f>IF(D2110="","",1776)</f>
        <v>1776</v>
      </c>
      <c r="D2110" s="362" t="s">
        <v>5599</v>
      </c>
      <c r="E2110" s="855" t="s">
        <v>5591</v>
      </c>
      <c r="F2110" s="1049" t="s">
        <v>5592</v>
      </c>
      <c r="G2110" s="882" t="s">
        <v>544</v>
      </c>
      <c r="H2110" s="847"/>
      <c r="I2110" s="848"/>
      <c r="J2110" s="903"/>
      <c r="K2110" s="842">
        <f>+J2111</f>
        <v>25276439.704739463</v>
      </c>
      <c r="L2110" s="842">
        <f>+J2113</f>
        <v>325026.77999999997</v>
      </c>
      <c r="M2110" s="842">
        <f>+J2114</f>
        <v>1012088.9532685908</v>
      </c>
      <c r="N2110" s="843" t="e">
        <f>SUMIF(#REF!,'8.Dgia'!A2110,#REF!)+SUMIF(#REF!,'8.Dgia'!A2110,#REF!)+SUMIF(#REF!,'8.Dgia'!A2110,#REF!)+SUMIF(#REF!,'8.Dgia'!A2110,#REF!)</f>
        <v>#REF!</v>
      </c>
      <c r="O2110" s="844"/>
      <c r="P2110" s="843" t="e">
        <f t="shared" si="97"/>
        <v>#REF!</v>
      </c>
    </row>
    <row r="2111" spans="1:18" ht="15" customHeight="1">
      <c r="A2111" s="657">
        <f>IF(B2111="",MAX($A$8:A2110)+0,MAX($A$8:A2110)+1)</f>
        <v>235</v>
      </c>
      <c r="B2111" s="835" t="str">
        <f>IF(C2111="","",COUNTA($C$10:C2112))</f>
        <v/>
      </c>
      <c r="C2111" s="362"/>
      <c r="D2111" s="847"/>
      <c r="E2111" s="852" t="s">
        <v>2032</v>
      </c>
      <c r="F2111" s="848" t="str">
        <f>VLOOKUP(E2111,DICH!B:C,2,FALSE)</f>
        <v xml:space="preserve">  A - Material</v>
      </c>
      <c r="G2111" s="883"/>
      <c r="H2111" s="847"/>
      <c r="I2111" s="848"/>
      <c r="J2111" s="849">
        <f>SUM(J2112:J2112)</f>
        <v>25276439.704739463</v>
      </c>
      <c r="N2111" s="843" t="e">
        <f>SUMIF(#REF!,'8.Dgia'!A2111,#REF!)+SUMIF(#REF!,'8.Dgia'!A2111,#REF!)+SUMIF(#REF!,'8.Dgia'!A2111,#REF!)+SUMIF(#REF!,'8.Dgia'!A2111,#REF!)</f>
        <v>#REF!</v>
      </c>
      <c r="O2111" s="844"/>
      <c r="P2111" s="843" t="e">
        <f t="shared" si="97"/>
        <v>#REF!</v>
      </c>
    </row>
    <row r="2112" spans="1:18" ht="15" customHeight="1">
      <c r="A2112" s="657">
        <f>IF(B2112="",MAX($A$8:A2111)+0,MAX($A$8:A2111)+1)</f>
        <v>235</v>
      </c>
      <c r="B2112" s="835" t="str">
        <f>IF(C2112="","",COUNTA($C$10:C2113))</f>
        <v/>
      </c>
      <c r="C2112" s="362"/>
      <c r="D2112" s="1011" t="s">
        <v>3911</v>
      </c>
      <c r="E2112" s="852" t="s">
        <v>191</v>
      </c>
      <c r="F2112" s="848" t="str">
        <f>VLOOKUP(E2112,DICH!B:C,2,FALSE)</f>
        <v>Selective aggregate</v>
      </c>
      <c r="G2112" s="847" t="s">
        <v>545</v>
      </c>
      <c r="H2112" s="1001">
        <f>116*1.14</f>
        <v>132.23999999999998</v>
      </c>
      <c r="I2112" s="848">
        <f>VLOOKUP(E2112,'11.gia '!$B:$I,8,FALSE)</f>
        <v>191140.65112476909</v>
      </c>
      <c r="J2112" s="853">
        <f>I2112*H2112</f>
        <v>25276439.704739463</v>
      </c>
      <c r="N2112" s="843" t="e">
        <f>SUMIF(#REF!,'8.Dgia'!A2112,#REF!)+SUMIF(#REF!,'8.Dgia'!A2112,#REF!)+SUMIF(#REF!,'8.Dgia'!A2112,#REF!)+SUMIF(#REF!,'8.Dgia'!A2112,#REF!)</f>
        <v>#REF!</v>
      </c>
      <c r="O2112" s="844"/>
      <c r="P2112" s="843" t="e">
        <f t="shared" si="97"/>
        <v>#REF!</v>
      </c>
    </row>
    <row r="2113" spans="1:18" ht="15" customHeight="1">
      <c r="A2113" s="657">
        <f>IF(B2113="",MAX($A$8:A2112)+0,MAX($A$8:A2112)+1)</f>
        <v>235</v>
      </c>
      <c r="B2113" s="835" t="str">
        <f>IF(C2113="","",COUNTA($C$10:C2114))</f>
        <v/>
      </c>
      <c r="C2113" s="362"/>
      <c r="D2113" s="362"/>
      <c r="E2113" s="852" t="s">
        <v>2038</v>
      </c>
      <c r="F2113" s="848" t="str">
        <f>VLOOKUP(E2113,DICH!B:C,2,FALSE)</f>
        <v xml:space="preserve">  B - Labour 3.0/7</v>
      </c>
      <c r="G2113" s="847" t="s">
        <v>4899</v>
      </c>
      <c r="H2113" s="847">
        <v>1.74</v>
      </c>
      <c r="I2113" s="848">
        <f>VLOOKUP(E2113,'16.NC'!$C$11:$F$22,4,FALSE)</f>
        <v>186797</v>
      </c>
      <c r="J2113" s="849">
        <f>I2113*H2113</f>
        <v>325026.77999999997</v>
      </c>
      <c r="N2113" s="843" t="e">
        <f>SUMIF(#REF!,'8.Dgia'!A2113,#REF!)+SUMIF(#REF!,'8.Dgia'!A2113,#REF!)+SUMIF(#REF!,'8.Dgia'!A2113,#REF!)+SUMIF(#REF!,'8.Dgia'!A2113,#REF!)</f>
        <v>#REF!</v>
      </c>
      <c r="O2113" s="844"/>
      <c r="P2113" s="843" t="e">
        <f t="shared" si="97"/>
        <v>#REF!</v>
      </c>
      <c r="R2113" s="658">
        <v>1</v>
      </c>
    </row>
    <row r="2114" spans="1:18" ht="15" customHeight="1">
      <c r="A2114" s="657">
        <f>IF(B2114="",MAX($A$8:A2113)+0,MAX($A$8:A2113)+1)</f>
        <v>235</v>
      </c>
      <c r="B2114" s="835" t="str">
        <f>IF(C2114="","",COUNTA($C$10:C2115))</f>
        <v/>
      </c>
      <c r="C2114" s="362"/>
      <c r="D2114" s="362"/>
      <c r="E2114" s="852" t="s">
        <v>2033</v>
      </c>
      <c r="F2114" s="848" t="str">
        <f>VLOOKUP(E2114,DICH!B:C,2,FALSE)</f>
        <v xml:space="preserve">  C - Machine</v>
      </c>
      <c r="G2114" s="905"/>
      <c r="H2114" s="905"/>
      <c r="I2114" s="858"/>
      <c r="J2114" s="849">
        <f>SUM(J2115:J2117)</f>
        <v>1012088.9532685908</v>
      </c>
      <c r="N2114" s="843" t="e">
        <f>SUMIF(#REF!,'8.Dgia'!A2114,#REF!)+SUMIF(#REF!,'8.Dgia'!A2114,#REF!)+SUMIF(#REF!,'8.Dgia'!A2114,#REF!)+SUMIF(#REF!,'8.Dgia'!A2114,#REF!)</f>
        <v>#REF!</v>
      </c>
      <c r="O2114" s="844"/>
      <c r="P2114" s="843" t="e">
        <f t="shared" si="97"/>
        <v>#REF!</v>
      </c>
    </row>
    <row r="2115" spans="1:18" ht="15" customHeight="1">
      <c r="A2115" s="657">
        <f>IF(B2115="",MAX($A$8:A2114)+0,MAX($A$8:A2114)+1)</f>
        <v>235</v>
      </c>
      <c r="B2115" s="835" t="str">
        <f>IF(C2115="","",COUNTA($C$10:C2116))</f>
        <v/>
      </c>
      <c r="C2115" s="362"/>
      <c r="D2115" s="362"/>
      <c r="E2115" s="852" t="s">
        <v>875</v>
      </c>
      <c r="F2115" s="848" t="str">
        <f>VLOOKUP(E2115,'9.may'!E:F,2,FALSE)</f>
        <v>Pneumatic roller 16T</v>
      </c>
      <c r="G2115" s="905" t="s">
        <v>4902</v>
      </c>
      <c r="H2115" s="905">
        <v>0.42</v>
      </c>
      <c r="I2115" s="848">
        <f>VLOOKUP(E2115,'9.may'!E:W,12,FALSE)</f>
        <v>1394407.2218181817</v>
      </c>
      <c r="J2115" s="853">
        <f>I2115*H2115</f>
        <v>585651.03316363634</v>
      </c>
      <c r="N2115" s="843" t="e">
        <f>SUMIF(#REF!,'8.Dgia'!A2115,#REF!)+SUMIF(#REF!,'8.Dgia'!A2115,#REF!)+SUMIF(#REF!,'8.Dgia'!A2115,#REF!)+SUMIF(#REF!,'8.Dgia'!A2115,#REF!)</f>
        <v>#REF!</v>
      </c>
      <c r="O2115" s="844">
        <f>+$H$2117</f>
        <v>1.5</v>
      </c>
      <c r="P2115" s="843" t="e">
        <f t="shared" si="97"/>
        <v>#REF!</v>
      </c>
    </row>
    <row r="2116" spans="1:18" ht="15" customHeight="1">
      <c r="A2116" s="657">
        <f>IF(B2116="",MAX($A$8:A2115)+0,MAX($A$8:A2115)+1)</f>
        <v>235</v>
      </c>
      <c r="B2116" s="835" t="str">
        <f>IF(C2116="","",COUNTA($C$10:C2117))</f>
        <v/>
      </c>
      <c r="C2116" s="362"/>
      <c r="D2116" s="362"/>
      <c r="E2116" s="852" t="s">
        <v>624</v>
      </c>
      <c r="F2116" s="848" t="str">
        <f>VLOOKUP(E2116,'9.may'!E:F,2,FALSE)</f>
        <v>bulldozer 108CV</v>
      </c>
      <c r="G2116" s="905" t="s">
        <v>4902</v>
      </c>
      <c r="H2116" s="905">
        <v>0.21</v>
      </c>
      <c r="I2116" s="848">
        <f>VLOOKUP(E2116,'9.may'!E:W,12,FALSE)</f>
        <v>1959433.0499999998</v>
      </c>
      <c r="J2116" s="853">
        <f>I2116*H2116</f>
        <v>411480.94049999997</v>
      </c>
      <c r="N2116" s="843" t="e">
        <f>SUMIF(#REF!,'8.Dgia'!A2116,#REF!)+SUMIF(#REF!,'8.Dgia'!A2116,#REF!)+SUMIF(#REF!,'8.Dgia'!A2116,#REF!)+SUMIF(#REF!,'8.Dgia'!A2116,#REF!)</f>
        <v>#REF!</v>
      </c>
      <c r="O2116" s="844">
        <f>+$H$2117</f>
        <v>1.5</v>
      </c>
      <c r="P2116" s="843" t="e">
        <f t="shared" si="97"/>
        <v>#REF!</v>
      </c>
    </row>
    <row r="2117" spans="1:18" ht="15" customHeight="1">
      <c r="A2117" s="657">
        <f>IF(B2117="",MAX($A$8:A2116)+0,MAX($A$8:A2116)+1)</f>
        <v>235</v>
      </c>
      <c r="B2117" s="835" t="str">
        <f>IF(C2117="","",COUNTA($C$10:C2118))</f>
        <v/>
      </c>
      <c r="C2117" s="362"/>
      <c r="D2117" s="362"/>
      <c r="E2117" s="852" t="s">
        <v>553</v>
      </c>
      <c r="F2117" s="848" t="str">
        <f>VLOOKUP(E2117,DICH!B:C,2,FALSE)</f>
        <v>Other machine</v>
      </c>
      <c r="G2117" s="362" t="s">
        <v>554</v>
      </c>
      <c r="H2117" s="905">
        <v>1.5</v>
      </c>
      <c r="I2117" s="848">
        <f>SUM(J2115:J2116)</f>
        <v>997131.97366363625</v>
      </c>
      <c r="J2117" s="853">
        <f>I2117*H2117%</f>
        <v>14956.979604954544</v>
      </c>
      <c r="N2117" s="843" t="e">
        <f>SUMIF(#REF!,'8.Dgia'!A2117,#REF!)+SUMIF(#REF!,'8.Dgia'!A2117,#REF!)+SUMIF(#REF!,'8.Dgia'!A2117,#REF!)+SUMIF(#REF!,'8.Dgia'!A2117,#REF!)</f>
        <v>#REF!</v>
      </c>
      <c r="O2117" s="844"/>
      <c r="P2117" s="843" t="e">
        <f t="shared" si="97"/>
        <v>#REF!</v>
      </c>
    </row>
    <row r="2118" spans="1:18" s="1336" customFormat="1" ht="15" customHeight="1">
      <c r="A2118" s="1336">
        <f>IF(B2118="",MAX($A$8:A2117)+0,MAX($A$8:A2117)+1)</f>
        <v>236</v>
      </c>
      <c r="B2118" s="1337">
        <f>IF(C2118="","",COUNTA($C$10:C2119))</f>
        <v>236</v>
      </c>
      <c r="C2118" s="1337">
        <f>IF(D2118="","",1776)</f>
        <v>1776</v>
      </c>
      <c r="D2118" s="1144" t="s">
        <v>697</v>
      </c>
      <c r="E2118" s="1419" t="s">
        <v>113</v>
      </c>
      <c r="F2118" s="1420" t="str">
        <f>VLOOKUP(E2118,DICH!B:C,2,FALSE)</f>
        <v>stone aggregate 0x4 (type 2)</v>
      </c>
      <c r="G2118" s="1421" t="s">
        <v>544</v>
      </c>
      <c r="H2118" s="1422"/>
      <c r="I2118" s="1423"/>
      <c r="J2118" s="1424"/>
      <c r="K2118" s="1425">
        <f>+J2119</f>
        <v>40538928.539434418</v>
      </c>
      <c r="L2118" s="1425">
        <f>+J2121</f>
        <v>853815.29999999993</v>
      </c>
      <c r="M2118" s="1425">
        <f>+J2122</f>
        <v>2483501.941903336</v>
      </c>
      <c r="N2118" s="1343" t="e">
        <f>SUMIF(#REF!,'8.Dgia'!A2118,#REF!)+SUMIF(#REF!,'8.Dgia'!A2118,#REF!)+SUMIF(#REF!,'8.Dgia'!A2118,#REF!)+SUMIF(#REF!,'8.Dgia'!A2118,#REF!)</f>
        <v>#REF!</v>
      </c>
      <c r="O2118" s="1426"/>
      <c r="P2118" s="1343" t="e">
        <f t="shared" si="97"/>
        <v>#REF!</v>
      </c>
    </row>
    <row r="2119" spans="1:18" ht="15" customHeight="1">
      <c r="A2119" s="657">
        <f>IF(B2119="",MAX($A$8:A2118)+0,MAX($A$8:A2118)+1)</f>
        <v>236</v>
      </c>
      <c r="B2119" s="835" t="str">
        <f>IF(C2119="","",COUNTA($C$10:C2120))</f>
        <v/>
      </c>
      <c r="C2119" s="362"/>
      <c r="D2119" s="362"/>
      <c r="E2119" s="852" t="s">
        <v>2032</v>
      </c>
      <c r="F2119" s="848" t="str">
        <f>VLOOKUP(E2119,DICH!B:C,2,FALSE)</f>
        <v xml:space="preserve">  A - Material</v>
      </c>
      <c r="G2119" s="883"/>
      <c r="H2119" s="906"/>
      <c r="I2119" s="895"/>
      <c r="J2119" s="904">
        <f>J2120</f>
        <v>40538928.539434418</v>
      </c>
      <c r="N2119" s="843" t="e">
        <f>SUMIF(#REF!,'8.Dgia'!A2119,#REF!)+SUMIF(#REF!,'8.Dgia'!A2119,#REF!)+SUMIF(#REF!,'8.Dgia'!A2119,#REF!)+SUMIF(#REF!,'8.Dgia'!A2119,#REF!)</f>
        <v>#REF!</v>
      </c>
      <c r="O2119" s="844"/>
      <c r="P2119" s="843" t="e">
        <f t="shared" si="97"/>
        <v>#REF!</v>
      </c>
    </row>
    <row r="2120" spans="1:18" ht="15" customHeight="1">
      <c r="A2120" s="657">
        <f>IF(B2120="",MAX($A$8:A2119)+0,MAX($A$8:A2119)+1)</f>
        <v>236</v>
      </c>
      <c r="B2120" s="835" t="str">
        <f>IF(C2120="","",COUNTA($C$10:C2121))</f>
        <v/>
      </c>
      <c r="C2120" s="362"/>
      <c r="D2120" s="362"/>
      <c r="E2120" s="852" t="s">
        <v>3571</v>
      </c>
      <c r="F2120" s="848" t="str">
        <f>VLOOKUP(E2120,DICH!B:C,2,FALSE)</f>
        <v>Stone aggregate 0x4 type 2</v>
      </c>
      <c r="G2120" s="847" t="s">
        <v>545</v>
      </c>
      <c r="H2120" s="847">
        <v>142</v>
      </c>
      <c r="I2120" s="848">
        <f>VLOOKUP(E2120,'11.gia '!$B:$I,8,FALSE)</f>
        <v>285485.41224953817</v>
      </c>
      <c r="J2120" s="853">
        <f>I2120*H2120</f>
        <v>40538928.539434418</v>
      </c>
      <c r="N2120" s="843" t="e">
        <f>SUMIF(#REF!,'8.Dgia'!A2120,#REF!)+SUMIF(#REF!,'8.Dgia'!A2120,#REF!)+SUMIF(#REF!,'8.Dgia'!A2120,#REF!)+SUMIF(#REF!,'8.Dgia'!A2120,#REF!)</f>
        <v>#REF!</v>
      </c>
      <c r="O2120" s="844"/>
      <c r="P2120" s="843" t="e">
        <f t="shared" si="97"/>
        <v>#REF!</v>
      </c>
    </row>
    <row r="2121" spans="1:18" ht="15" customHeight="1">
      <c r="A2121" s="657">
        <f>IF(B2121="",MAX($A$8:A2120)+0,MAX($A$8:A2120)+1)</f>
        <v>236</v>
      </c>
      <c r="B2121" s="835" t="str">
        <f>IF(C2121="","",COUNTA($C$10:C2122))</f>
        <v/>
      </c>
      <c r="C2121" s="362"/>
      <c r="D2121" s="362"/>
      <c r="E2121" s="852" t="s">
        <v>2039</v>
      </c>
      <c r="F2121" s="848" t="str">
        <f>VLOOKUP(E2121,DICH!B:C,2,FALSE)</f>
        <v xml:space="preserve">  B - Labour 4.0/7</v>
      </c>
      <c r="G2121" s="883" t="s">
        <v>4899</v>
      </c>
      <c r="H2121" s="847">
        <v>3.9</v>
      </c>
      <c r="I2121" s="848">
        <f>VLOOKUP(E2121,'16.NC'!$C$11:$F$22,4,FALSE)</f>
        <v>218927</v>
      </c>
      <c r="J2121" s="849">
        <f>I2121*H2121</f>
        <v>853815.29999999993</v>
      </c>
      <c r="N2121" s="843" t="e">
        <f>SUMIF(#REF!,'8.Dgia'!A2121,#REF!)+SUMIF(#REF!,'8.Dgia'!A2121,#REF!)+SUMIF(#REF!,'8.Dgia'!A2121,#REF!)+SUMIF(#REF!,'8.Dgia'!A2121,#REF!)</f>
        <v>#REF!</v>
      </c>
      <c r="O2121" s="844"/>
      <c r="P2121" s="843" t="e">
        <f t="shared" si="97"/>
        <v>#REF!</v>
      </c>
      <c r="R2121" s="658">
        <v>1</v>
      </c>
    </row>
    <row r="2122" spans="1:18" ht="15" customHeight="1">
      <c r="A2122" s="657">
        <f>IF(B2122="",MAX($A$8:A2121)+0,MAX($A$8:A2121)+1)</f>
        <v>236</v>
      </c>
      <c r="B2122" s="835" t="str">
        <f>IF(C2122="","",COUNTA($C$10:C2123))</f>
        <v/>
      </c>
      <c r="C2122" s="362"/>
      <c r="D2122" s="362"/>
      <c r="E2122" s="852" t="s">
        <v>2033</v>
      </c>
      <c r="F2122" s="848" t="str">
        <f>VLOOKUP(E2122,DICH!B:C,2,FALSE)</f>
        <v xml:space="preserve">  C - Machine</v>
      </c>
      <c r="G2122" s="883"/>
      <c r="H2122" s="847"/>
      <c r="I2122" s="858"/>
      <c r="J2122" s="904">
        <f>SUM(J2123:J2129)</f>
        <v>2483501.941903336</v>
      </c>
      <c r="N2122" s="843" t="e">
        <f>SUMIF(#REF!,'8.Dgia'!A2122,#REF!)+SUMIF(#REF!,'8.Dgia'!A2122,#REF!)+SUMIF(#REF!,'8.Dgia'!A2122,#REF!)+SUMIF(#REF!,'8.Dgia'!A2122,#REF!)</f>
        <v>#REF!</v>
      </c>
      <c r="O2122" s="844"/>
      <c r="P2122" s="843" t="e">
        <f t="shared" si="97"/>
        <v>#REF!</v>
      </c>
    </row>
    <row r="2123" spans="1:18" ht="15" customHeight="1">
      <c r="A2123" s="657">
        <f>IF(B2123="",MAX($A$8:A2122)+0,MAX($A$8:A2122)+1)</f>
        <v>236</v>
      </c>
      <c r="B2123" s="835" t="str">
        <f>IF(C2123="","",COUNTA($C$10:C2124))</f>
        <v/>
      </c>
      <c r="C2123" s="362"/>
      <c r="D2123" s="362"/>
      <c r="E2123" s="852" t="s">
        <v>624</v>
      </c>
      <c r="F2123" s="848" t="str">
        <f>VLOOKUP(E2123,'9.may'!E:F,2,FALSE)</f>
        <v>bulldozer 108CV</v>
      </c>
      <c r="G2123" s="883" t="s">
        <v>4902</v>
      </c>
      <c r="H2123" s="847">
        <v>0.42</v>
      </c>
      <c r="I2123" s="848">
        <f>VLOOKUP(E2123,'9.may'!E:W,12,FALSE)</f>
        <v>1959433.0499999998</v>
      </c>
      <c r="J2123" s="853">
        <f t="shared" ref="J2123:J2128" si="98">I2123*H2123</f>
        <v>822961.88099999994</v>
      </c>
      <c r="N2123" s="843" t="e">
        <f>SUMIF(#REF!,'8.Dgia'!A2123,#REF!)+SUMIF(#REF!,'8.Dgia'!A2123,#REF!)+SUMIF(#REF!,'8.Dgia'!A2123,#REF!)+SUMIF(#REF!,'8.Dgia'!A2123,#REF!)</f>
        <v>#REF!</v>
      </c>
      <c r="O2123" s="844">
        <f t="shared" ref="O2123:O2128" si="99">+$H$2129</f>
        <v>0.5</v>
      </c>
      <c r="P2123" s="843" t="e">
        <f t="shared" si="97"/>
        <v>#REF!</v>
      </c>
    </row>
    <row r="2124" spans="1:18" ht="15" customHeight="1">
      <c r="A2124" s="657">
        <f>IF(B2124="",MAX($A$8:A2123)+0,MAX($A$8:A2123)+1)</f>
        <v>236</v>
      </c>
      <c r="B2124" s="835" t="str">
        <f>IF(C2124="","",COUNTA($C$10:C2125))</f>
        <v/>
      </c>
      <c r="C2124" s="362"/>
      <c r="D2124" s="362"/>
      <c r="E2124" s="852" t="s">
        <v>296</v>
      </c>
      <c r="F2124" s="848" t="str">
        <f>VLOOKUP(E2124,'9.may'!E:F,2,FALSE)</f>
        <v>Motor grader 180CV</v>
      </c>
      <c r="G2124" s="883" t="s">
        <v>4902</v>
      </c>
      <c r="H2124" s="847">
        <v>0.08</v>
      </c>
      <c r="I2124" s="848">
        <f>VLOOKUP(E2124,'9.may'!E:W,12,FALSE)</f>
        <v>1686858.9507272728</v>
      </c>
      <c r="J2124" s="853">
        <f t="shared" si="98"/>
        <v>134948.71605818183</v>
      </c>
      <c r="N2124" s="843" t="e">
        <f>SUMIF(#REF!,'8.Dgia'!A2124,#REF!)+SUMIF(#REF!,'8.Dgia'!A2124,#REF!)+SUMIF(#REF!,'8.Dgia'!A2124,#REF!)+SUMIF(#REF!,'8.Dgia'!A2124,#REF!)</f>
        <v>#REF!</v>
      </c>
      <c r="O2124" s="844">
        <f t="shared" si="99"/>
        <v>0.5</v>
      </c>
      <c r="P2124" s="843" t="e">
        <f t="shared" si="97"/>
        <v>#REF!</v>
      </c>
    </row>
    <row r="2125" spans="1:18" ht="15" customHeight="1">
      <c r="A2125" s="657">
        <f>IF(B2125="",MAX($A$8:A2124)+0,MAX($A$8:A2124)+1)</f>
        <v>236</v>
      </c>
      <c r="B2125" s="835" t="str">
        <f>IF(C2125="","",COUNTA($C$10:C2126))</f>
        <v/>
      </c>
      <c r="C2125" s="362"/>
      <c r="D2125" s="362"/>
      <c r="E2125" s="852" t="s">
        <v>365</v>
      </c>
      <c r="F2125" s="848" t="str">
        <f>VLOOKUP(E2125,'9.may'!E:F,2,FALSE)</f>
        <v>Vibrating roller 25T</v>
      </c>
      <c r="G2125" s="883" t="s">
        <v>4902</v>
      </c>
      <c r="H2125" s="847">
        <v>0.21</v>
      </c>
      <c r="I2125" s="848">
        <f>VLOOKUP(E2125,'9.may'!E:W,12,FALSE)</f>
        <v>3012470.1054545455</v>
      </c>
      <c r="J2125" s="853">
        <f t="shared" si="98"/>
        <v>632618.72214545449</v>
      </c>
      <c r="N2125" s="843" t="e">
        <f>SUMIF(#REF!,'8.Dgia'!A2125,#REF!)+SUMIF(#REF!,'8.Dgia'!A2125,#REF!)+SUMIF(#REF!,'8.Dgia'!A2125,#REF!)+SUMIF(#REF!,'8.Dgia'!A2125,#REF!)</f>
        <v>#REF!</v>
      </c>
      <c r="O2125" s="844">
        <f t="shared" si="99"/>
        <v>0.5</v>
      </c>
      <c r="P2125" s="843" t="e">
        <f t="shared" si="97"/>
        <v>#REF!</v>
      </c>
    </row>
    <row r="2126" spans="1:18" ht="15" customHeight="1">
      <c r="A2126" s="657">
        <f>IF(B2126="",MAX($A$8:A2125)+0,MAX($A$8:A2125)+1)</f>
        <v>236</v>
      </c>
      <c r="B2126" s="835" t="str">
        <f>IF(C2126="","",COUNTA($C$10:C2127))</f>
        <v/>
      </c>
      <c r="C2126" s="362"/>
      <c r="D2126" s="362"/>
      <c r="E2126" s="852" t="s">
        <v>875</v>
      </c>
      <c r="F2126" s="848" t="str">
        <f>VLOOKUP(E2126,'9.may'!E:F,2,FALSE)</f>
        <v>Pneumatic roller 16T</v>
      </c>
      <c r="G2126" s="883" t="s">
        <v>4902</v>
      </c>
      <c r="H2126" s="847">
        <v>0.34</v>
      </c>
      <c r="I2126" s="848">
        <f>VLOOKUP(E2126,'9.may'!E:W,12,FALSE)</f>
        <v>1394407.2218181817</v>
      </c>
      <c r="J2126" s="853">
        <f t="shared" si="98"/>
        <v>474098.45541818178</v>
      </c>
      <c r="N2126" s="843" t="e">
        <f>SUMIF(#REF!,'8.Dgia'!A2126,#REF!)+SUMIF(#REF!,'8.Dgia'!A2126,#REF!)+SUMIF(#REF!,'8.Dgia'!A2126,#REF!)+SUMIF(#REF!,'8.Dgia'!A2126,#REF!)</f>
        <v>#REF!</v>
      </c>
      <c r="O2126" s="844">
        <f t="shared" si="99"/>
        <v>0.5</v>
      </c>
      <c r="P2126" s="843" t="e">
        <f t="shared" si="97"/>
        <v>#REF!</v>
      </c>
    </row>
    <row r="2127" spans="1:18" ht="15" customHeight="1">
      <c r="A2127" s="657">
        <f>IF(B2127="",MAX($A$8:A2126)+0,MAX($A$8:A2126)+1)</f>
        <v>236</v>
      </c>
      <c r="B2127" s="835" t="str">
        <f>IF(C2127="","",COUNTA($C$10:C2128))</f>
        <v/>
      </c>
      <c r="C2127" s="362"/>
      <c r="D2127" s="362"/>
      <c r="E2127" s="852" t="s">
        <v>893</v>
      </c>
      <c r="F2127" s="848" t="str">
        <f>VLOOKUP(E2127,'9.may'!E:F,2,FALSE)</f>
        <v>Steel roller 10T</v>
      </c>
      <c r="G2127" s="883" t="s">
        <v>4902</v>
      </c>
      <c r="H2127" s="847">
        <v>0.21</v>
      </c>
      <c r="I2127" s="848">
        <f>VLOOKUP(E2127,'9.may'!E:W,12,FALSE)</f>
        <v>950702.42999999993</v>
      </c>
      <c r="J2127" s="853">
        <f t="shared" si="98"/>
        <v>199647.51029999997</v>
      </c>
      <c r="N2127" s="843" t="e">
        <f>SUMIF(#REF!,'8.Dgia'!A2127,#REF!)+SUMIF(#REF!,'8.Dgia'!A2127,#REF!)+SUMIF(#REF!,'8.Dgia'!A2127,#REF!)+SUMIF(#REF!,'8.Dgia'!A2127,#REF!)</f>
        <v>#REF!</v>
      </c>
      <c r="O2127" s="844">
        <f t="shared" si="99"/>
        <v>0.5</v>
      </c>
      <c r="P2127" s="843" t="e">
        <f t="shared" si="97"/>
        <v>#REF!</v>
      </c>
    </row>
    <row r="2128" spans="1:18" ht="15" customHeight="1">
      <c r="A2128" s="657">
        <f>IF(B2128="",MAX($A$8:A2127)+0,MAX($A$8:A2127)+1)</f>
        <v>236</v>
      </c>
      <c r="B2128" s="835" t="str">
        <f>IF(C2128="","",COUNTA($C$10:C2129))</f>
        <v/>
      </c>
      <c r="C2128" s="362"/>
      <c r="D2128" s="362"/>
      <c r="E2128" s="852" t="s">
        <v>962</v>
      </c>
      <c r="F2128" s="848" t="str">
        <f>VLOOKUP(E2128,'9.may'!E:F,2,FALSE)</f>
        <v>water truck 5m3</v>
      </c>
      <c r="G2128" s="883" t="s">
        <v>4902</v>
      </c>
      <c r="H2128" s="847">
        <v>0.21</v>
      </c>
      <c r="I2128" s="848">
        <f>VLOOKUP(E2128,'9.may'!E:W,12,FALSE)</f>
        <v>985099.64727272722</v>
      </c>
      <c r="J2128" s="853">
        <f t="shared" si="98"/>
        <v>206870.92592727271</v>
      </c>
      <c r="N2128" s="843" t="e">
        <f>SUMIF(#REF!,'8.Dgia'!A2128,#REF!)+SUMIF(#REF!,'8.Dgia'!A2128,#REF!)+SUMIF(#REF!,'8.Dgia'!A2128,#REF!)+SUMIF(#REF!,'8.Dgia'!A2128,#REF!)</f>
        <v>#REF!</v>
      </c>
      <c r="O2128" s="844">
        <f t="shared" si="99"/>
        <v>0.5</v>
      </c>
      <c r="P2128" s="843" t="e">
        <f t="shared" si="97"/>
        <v>#REF!</v>
      </c>
    </row>
    <row r="2129" spans="1:18" ht="15" customHeight="1">
      <c r="A2129" s="657">
        <f>IF(B2129="",MAX($A$8:A2128)+0,MAX($A$8:A2128)+1)</f>
        <v>236</v>
      </c>
      <c r="B2129" s="835" t="str">
        <f>IF(C2129="","",COUNTA($C$10:C2130))</f>
        <v/>
      </c>
      <c r="C2129" s="362"/>
      <c r="D2129" s="362"/>
      <c r="E2129" s="852" t="s">
        <v>553</v>
      </c>
      <c r="F2129" s="848" t="str">
        <f>VLOOKUP(E2129,DICH!B:C,2,FALSE)</f>
        <v>Other machine</v>
      </c>
      <c r="G2129" s="362" t="s">
        <v>554</v>
      </c>
      <c r="H2129" s="847">
        <v>0.5</v>
      </c>
      <c r="I2129" s="848">
        <f>SUM(J2123:J2128)</f>
        <v>2471146.2108490905</v>
      </c>
      <c r="J2129" s="853">
        <f>I2129*H2129%</f>
        <v>12355.731054245452</v>
      </c>
      <c r="N2129" s="843" t="e">
        <f>SUMIF(#REF!,'8.Dgia'!A2129,#REF!)+SUMIF(#REF!,'8.Dgia'!A2129,#REF!)+SUMIF(#REF!,'8.Dgia'!A2129,#REF!)+SUMIF(#REF!,'8.Dgia'!A2129,#REF!)</f>
        <v>#REF!</v>
      </c>
      <c r="O2129" s="844"/>
      <c r="P2129" s="843" t="e">
        <f t="shared" si="97"/>
        <v>#REF!</v>
      </c>
    </row>
    <row r="2130" spans="1:18" ht="15" customHeight="1">
      <c r="A2130" s="657">
        <f>IF(B2130="",MAX($A$8:A2129)+0,MAX($A$8:A2129)+1)</f>
        <v>237</v>
      </c>
      <c r="B2130" s="835">
        <f>IF(C2130="","",COUNTA($C$10:C2131))</f>
        <v>237</v>
      </c>
      <c r="C2130" s="835">
        <f>IF(D2130="","",1776)</f>
        <v>1776</v>
      </c>
      <c r="D2130" s="362" t="s">
        <v>129</v>
      </c>
      <c r="E2130" s="855" t="s">
        <v>5</v>
      </c>
      <c r="F2130" s="1049" t="str">
        <f>VLOOKUP(E2130,DICH!B:C,2,FALSE)</f>
        <v>Embankment backfill by fine sand</v>
      </c>
      <c r="G2130" s="882" t="s">
        <v>544</v>
      </c>
      <c r="H2130" s="900"/>
      <c r="I2130" s="848"/>
      <c r="J2130" s="853"/>
      <c r="K2130" s="842">
        <f>+J2131</f>
        <v>11372062.387221828</v>
      </c>
      <c r="L2130" s="842">
        <f>+J2133</f>
        <v>238166.17499999999</v>
      </c>
      <c r="M2130" s="842">
        <f>+J2134</f>
        <v>307241.28938510793</v>
      </c>
      <c r="N2130" s="843" t="e">
        <f>SUMIF(#REF!,'8.Dgia'!A2130,#REF!)+SUMIF(#REF!,'8.Dgia'!A2130,#REF!)+SUMIF(#REF!,'8.Dgia'!A2130,#REF!)+SUMIF(#REF!,'8.Dgia'!A2130,#REF!)</f>
        <v>#REF!</v>
      </c>
      <c r="O2130" s="844"/>
      <c r="P2130" s="843" t="e">
        <f t="shared" si="97"/>
        <v>#REF!</v>
      </c>
    </row>
    <row r="2131" spans="1:18" ht="15" customHeight="1">
      <c r="A2131" s="657">
        <f>IF(B2131="",MAX($A$8:A2130)+0,MAX($A$8:A2130)+1)</f>
        <v>237</v>
      </c>
      <c r="B2131" s="835" t="str">
        <f>IF(C2131="","",COUNTA($C$10:C2132))</f>
        <v/>
      </c>
      <c r="C2131" s="362"/>
      <c r="D2131" s="362"/>
      <c r="E2131" s="852" t="s">
        <v>2032</v>
      </c>
      <c r="F2131" s="848" t="str">
        <f>VLOOKUP(E2131,DICH!B:C,2,FALSE)</f>
        <v xml:space="preserve">  A - Material</v>
      </c>
      <c r="G2131" s="884"/>
      <c r="H2131" s="847"/>
      <c r="I2131" s="848"/>
      <c r="J2131" s="904">
        <f>J2132</f>
        <v>11372062.387221828</v>
      </c>
      <c r="N2131" s="843" t="e">
        <f>SUMIF(#REF!,'8.Dgia'!A2131,#REF!)+SUMIF(#REF!,'8.Dgia'!A2131,#REF!)+SUMIF(#REF!,'8.Dgia'!A2131,#REF!)+SUMIF(#REF!,'8.Dgia'!A2131,#REF!)</f>
        <v>#REF!</v>
      </c>
      <c r="O2131" s="844"/>
      <c r="P2131" s="843" t="e">
        <f t="shared" si="97"/>
        <v>#REF!</v>
      </c>
    </row>
    <row r="2132" spans="1:18" ht="15" customHeight="1">
      <c r="A2132" s="657">
        <f>IF(B2132="",MAX($A$8:A2131)+0,MAX($A$8:A2131)+1)</f>
        <v>237</v>
      </c>
      <c r="B2132" s="835" t="str">
        <f>IF(C2132="","",COUNTA($C$10:C2133))</f>
        <v/>
      </c>
      <c r="C2132" s="362"/>
      <c r="D2132" s="362"/>
      <c r="E2132" s="852" t="s">
        <v>602</v>
      </c>
      <c r="F2132" s="848" t="str">
        <f>VLOOKUP(E2132,DICH!B:C,2,FALSE)</f>
        <v>Find sand</v>
      </c>
      <c r="G2132" s="847" t="s">
        <v>545</v>
      </c>
      <c r="H2132" s="847" t="s">
        <v>687</v>
      </c>
      <c r="I2132" s="848">
        <f>VLOOKUP(E2132,'11.gia '!$B:$I,8,FALSE)</f>
        <v>93213.626124769085</v>
      </c>
      <c r="J2132" s="853">
        <f>I2132*H2132</f>
        <v>11372062.387221828</v>
      </c>
      <c r="N2132" s="843" t="e">
        <f>SUMIF(#REF!,'8.Dgia'!A2132,#REF!)+SUMIF(#REF!,'8.Dgia'!A2132,#REF!)+SUMIF(#REF!,'8.Dgia'!A2132,#REF!)+SUMIF(#REF!,'8.Dgia'!A2132,#REF!)</f>
        <v>#REF!</v>
      </c>
      <c r="O2132" s="844"/>
      <c r="P2132" s="843" t="e">
        <f t="shared" si="97"/>
        <v>#REF!</v>
      </c>
    </row>
    <row r="2133" spans="1:18" ht="15" customHeight="1">
      <c r="A2133" s="657">
        <f>IF(B2133="",MAX($A$8:A2132)+0,MAX($A$8:A2132)+1)</f>
        <v>237</v>
      </c>
      <c r="B2133" s="835" t="str">
        <f>IF(C2133="","",COUNTA($C$10:C2134))</f>
        <v/>
      </c>
      <c r="C2133" s="361"/>
      <c r="D2133" s="361" t="s">
        <v>367</v>
      </c>
      <c r="E2133" s="852" t="s">
        <v>2038</v>
      </c>
      <c r="F2133" s="848" t="str">
        <f>VLOOKUP(E2133,DICH!B:C,2,FALSE)</f>
        <v xml:space="preserve">  B - Labour 3.0/7</v>
      </c>
      <c r="G2133" s="883" t="s">
        <v>4899</v>
      </c>
      <c r="H2133" s="900">
        <f>1.5*0.85</f>
        <v>1.2749999999999999</v>
      </c>
      <c r="I2133" s="848">
        <f>VLOOKUP(E2133,'16.NC'!$C$11:$F$22,4,FALSE)</f>
        <v>186797</v>
      </c>
      <c r="J2133" s="849">
        <f>I2133*H2133</f>
        <v>238166.17499999999</v>
      </c>
      <c r="K2133" s="842">
        <f>+J2133/0.85</f>
        <v>280195.5</v>
      </c>
      <c r="N2133" s="843" t="e">
        <f>SUMIF(#REF!,'8.Dgia'!A2133,#REF!)+SUMIF(#REF!,'8.Dgia'!A2133,#REF!)+SUMIF(#REF!,'8.Dgia'!A2133,#REF!)+SUMIF(#REF!,'8.Dgia'!A2133,#REF!)</f>
        <v>#REF!</v>
      </c>
      <c r="O2133" s="844"/>
      <c r="P2133" s="843" t="e">
        <f t="shared" si="97"/>
        <v>#REF!</v>
      </c>
      <c r="R2133" s="658">
        <v>1</v>
      </c>
    </row>
    <row r="2134" spans="1:18" ht="15" customHeight="1">
      <c r="A2134" s="657">
        <f>IF(B2134="",MAX($A$8:A2133)+0,MAX($A$8:A2133)+1)</f>
        <v>237</v>
      </c>
      <c r="B2134" s="835" t="str">
        <f>IF(C2134="","",COUNTA($C$10:C2135))</f>
        <v/>
      </c>
      <c r="C2134" s="361"/>
      <c r="D2134" s="361" t="s">
        <v>321</v>
      </c>
      <c r="E2134" s="852" t="s">
        <v>2033</v>
      </c>
      <c r="F2134" s="848" t="str">
        <f>VLOOKUP(E2134,DICH!B:C,2,FALSE)</f>
        <v xml:space="preserve">  C - Machine</v>
      </c>
      <c r="G2134" s="883"/>
      <c r="H2134" s="900"/>
      <c r="I2134" s="848"/>
      <c r="J2134" s="849">
        <f>SUM(J2135:J2137)</f>
        <v>307241.28938510793</v>
      </c>
      <c r="K2134" s="842">
        <f>+J2134/0.85</f>
        <v>361460.34045306814</v>
      </c>
      <c r="N2134" s="843" t="e">
        <f>SUMIF(#REF!,'8.Dgia'!A2134,#REF!)+SUMIF(#REF!,'8.Dgia'!A2134,#REF!)+SUMIF(#REF!,'8.Dgia'!A2134,#REF!)+SUMIF(#REF!,'8.Dgia'!A2134,#REF!)</f>
        <v>#REF!</v>
      </c>
      <c r="O2134" s="844"/>
      <c r="P2134" s="843" t="e">
        <f t="shared" si="97"/>
        <v>#REF!</v>
      </c>
    </row>
    <row r="2135" spans="1:18" ht="15" customHeight="1">
      <c r="A2135" s="657">
        <f>IF(B2135="",MAX($A$8:A2134)+0,MAX($A$8:A2134)+1)</f>
        <v>237</v>
      </c>
      <c r="B2135" s="835" t="str">
        <f>IF(C2135="","",COUNTA($C$10:C2136))</f>
        <v/>
      </c>
      <c r="C2135" s="362"/>
      <c r="D2135" s="362"/>
      <c r="E2135" s="852" t="s">
        <v>875</v>
      </c>
      <c r="F2135" s="848" t="str">
        <f>VLOOKUP(E2135,'9.may'!E:F,2,FALSE)</f>
        <v>Pneumatic roller 16T</v>
      </c>
      <c r="G2135" s="883" t="s">
        <v>4902</v>
      </c>
      <c r="H2135" s="900">
        <f>0.15*0.85</f>
        <v>0.1275</v>
      </c>
      <c r="I2135" s="848">
        <f>VLOOKUP(E2135,'9.may'!E:W,12,FALSE)</f>
        <v>1394407.2218181817</v>
      </c>
      <c r="J2135" s="853">
        <f>I2135*H2135</f>
        <v>177786.92078181816</v>
      </c>
      <c r="N2135" s="843" t="e">
        <f>SUMIF(#REF!,'8.Dgia'!A2135,#REF!)+SUMIF(#REF!,'8.Dgia'!A2135,#REF!)+SUMIF(#REF!,'8.Dgia'!A2135,#REF!)+SUMIF(#REF!,'8.Dgia'!A2135,#REF!)</f>
        <v>#REF!</v>
      </c>
      <c r="O2135" s="844"/>
      <c r="P2135" s="843" t="e">
        <f t="shared" si="97"/>
        <v>#REF!</v>
      </c>
    </row>
    <row r="2136" spans="1:18" ht="15" customHeight="1">
      <c r="A2136" s="657">
        <f>IF(B2136="",MAX($A$8:A2135)+0,MAX($A$8:A2135)+1)</f>
        <v>237</v>
      </c>
      <c r="B2136" s="835" t="str">
        <f>IF(C2136="","",COUNTA($C$10:C2137))</f>
        <v/>
      </c>
      <c r="C2136" s="362"/>
      <c r="D2136" s="362"/>
      <c r="E2136" s="852" t="s">
        <v>624</v>
      </c>
      <c r="F2136" s="848" t="str">
        <f>VLOOKUP(E2136,'9.may'!E:F,2,FALSE)</f>
        <v>bulldozer 108CV</v>
      </c>
      <c r="G2136" s="883" t="s">
        <v>4902</v>
      </c>
      <c r="H2136" s="900">
        <f>0.075*0.85</f>
        <v>6.3750000000000001E-2</v>
      </c>
      <c r="I2136" s="848">
        <f>VLOOKUP(E2136,'9.may'!E:W,12,FALSE)</f>
        <v>1959433.0499999998</v>
      </c>
      <c r="J2136" s="853">
        <f>I2136*H2136</f>
        <v>124913.85693749999</v>
      </c>
      <c r="N2136" s="843" t="e">
        <f>SUMIF(#REF!,'8.Dgia'!A2136,#REF!)+SUMIF(#REF!,'8.Dgia'!A2136,#REF!)+SUMIF(#REF!,'8.Dgia'!A2136,#REF!)+SUMIF(#REF!,'8.Dgia'!A2136,#REF!)</f>
        <v>#REF!</v>
      </c>
      <c r="O2136" s="844"/>
      <c r="P2136" s="843" t="e">
        <f t="shared" si="97"/>
        <v>#REF!</v>
      </c>
    </row>
    <row r="2137" spans="1:18" ht="15" customHeight="1">
      <c r="A2137" s="657">
        <f>IF(B2137="",MAX($A$8:A2136)+0,MAX($A$8:A2136)+1)</f>
        <v>237</v>
      </c>
      <c r="B2137" s="835" t="str">
        <f>IF(C2137="","",COUNTA($C$10:C2138))</f>
        <v/>
      </c>
      <c r="C2137" s="362"/>
      <c r="D2137" s="362"/>
      <c r="E2137" s="852" t="s">
        <v>553</v>
      </c>
      <c r="F2137" s="848" t="str">
        <f>VLOOKUP(E2137,DICH!B:C,2,FALSE)</f>
        <v>Other machine</v>
      </c>
      <c r="G2137" s="362" t="s">
        <v>554</v>
      </c>
      <c r="H2137" s="900">
        <v>1.5</v>
      </c>
      <c r="I2137" s="848">
        <f>SUM(J2135:J2136)</f>
        <v>302700.77771931817</v>
      </c>
      <c r="J2137" s="853">
        <f>I2137*H2137%</f>
        <v>4540.5116657897725</v>
      </c>
      <c r="N2137" s="843" t="e">
        <f>SUMIF(#REF!,'8.Dgia'!A2137,#REF!)+SUMIF(#REF!,'8.Dgia'!A2137,#REF!)+SUMIF(#REF!,'8.Dgia'!A2137,#REF!)+SUMIF(#REF!,'8.Dgia'!A2137,#REF!)</f>
        <v>#REF!</v>
      </c>
      <c r="O2137" s="844"/>
      <c r="P2137" s="843" t="e">
        <f t="shared" si="97"/>
        <v>#REF!</v>
      </c>
    </row>
    <row r="2138" spans="1:18" ht="15" customHeight="1">
      <c r="A2138" s="657">
        <f>IF(B2138="",MAX($A$8:A2137)+0,MAX($A$8:A2137)+1)</f>
        <v>238</v>
      </c>
      <c r="B2138" s="835">
        <f>IF(C2138="","",COUNTA($C$10:C2139))</f>
        <v>238</v>
      </c>
      <c r="C2138" s="835">
        <f>IF(D2138="","",1776)</f>
        <v>1776</v>
      </c>
      <c r="D2138" s="239" t="s">
        <v>2253</v>
      </c>
      <c r="E2138" s="855" t="s">
        <v>2252</v>
      </c>
      <c r="F2138" s="1049" t="str">
        <f>VLOOKUP(E2138,DICH!B:C,2,FALSE)</f>
        <v>Excavating foundation (organic soil)</v>
      </c>
      <c r="G2138" s="882" t="s">
        <v>544</v>
      </c>
      <c r="H2138" s="900"/>
      <c r="I2138" s="848"/>
      <c r="J2138" s="853"/>
      <c r="L2138" s="842">
        <f>+J2139</f>
        <v>93398.5</v>
      </c>
      <c r="M2138" s="842">
        <f>+J2140</f>
        <v>735364.79772709089</v>
      </c>
      <c r="N2138" s="843" t="e">
        <f>SUMIF(#REF!,'8.Dgia'!A2138,#REF!)+SUMIF(#REF!,'8.Dgia'!A2138,#REF!)+SUMIF(#REF!,'8.Dgia'!A2138,#REF!)+SUMIF(#REF!,'8.Dgia'!A2138,#REF!)</f>
        <v>#REF!</v>
      </c>
      <c r="O2138" s="844"/>
      <c r="P2138" s="843" t="e">
        <f t="shared" si="97"/>
        <v>#REF!</v>
      </c>
    </row>
    <row r="2139" spans="1:18" ht="15" customHeight="1">
      <c r="A2139" s="657">
        <f>IF(B2139="",MAX($A$8:A2138)+0,MAX($A$8:A2138)+1)</f>
        <v>238</v>
      </c>
      <c r="B2139" s="835" t="str">
        <f>IF(C2139="","",COUNTA($C$10:C2140))</f>
        <v/>
      </c>
      <c r="C2139" s="362"/>
      <c r="D2139" s="324"/>
      <c r="E2139" s="852" t="s">
        <v>2038</v>
      </c>
      <c r="F2139" s="848" t="str">
        <f>VLOOKUP(E2139,DICH!B:C,2,FALSE)</f>
        <v xml:space="preserve">  B - Labour 3.0/7</v>
      </c>
      <c r="G2139" s="883" t="s">
        <v>4899</v>
      </c>
      <c r="H2139" s="239">
        <v>0.5</v>
      </c>
      <c r="I2139" s="848">
        <f>VLOOKUP(E2139,'16.NC'!$C$11:$F$22,4,FALSE)</f>
        <v>186797</v>
      </c>
      <c r="J2139" s="849">
        <f>I2139*H2139</f>
        <v>93398.5</v>
      </c>
      <c r="N2139" s="843" t="e">
        <f>SUMIF(#REF!,'8.Dgia'!A2139,#REF!)+SUMIF(#REF!,'8.Dgia'!A2139,#REF!)+SUMIF(#REF!,'8.Dgia'!A2139,#REF!)+SUMIF(#REF!,'8.Dgia'!A2139,#REF!)</f>
        <v>#REF!</v>
      </c>
      <c r="O2139" s="844"/>
      <c r="P2139" s="843" t="e">
        <f t="shared" si="97"/>
        <v>#REF!</v>
      </c>
      <c r="R2139" s="658">
        <v>1</v>
      </c>
    </row>
    <row r="2140" spans="1:18" ht="15" customHeight="1">
      <c r="A2140" s="657">
        <f>IF(B2140="",MAX($A$8:A2139)+0,MAX($A$8:A2139)+1)</f>
        <v>238</v>
      </c>
      <c r="B2140" s="835" t="str">
        <f>IF(C2140="","",COUNTA($C$10:C2141))</f>
        <v/>
      </c>
      <c r="C2140" s="362"/>
      <c r="D2140" s="362"/>
      <c r="E2140" s="852" t="s">
        <v>2033</v>
      </c>
      <c r="F2140" s="848" t="str">
        <f>VLOOKUP(E2140,DICH!B:C,2,FALSE)</f>
        <v xml:space="preserve">  C - Machine</v>
      </c>
      <c r="G2140" s="883"/>
      <c r="H2140" s="900"/>
      <c r="I2140" s="848"/>
      <c r="J2140" s="849">
        <f>SUM(J2141:J2142)</f>
        <v>735364.79772709089</v>
      </c>
      <c r="N2140" s="843" t="e">
        <f>SUMIF(#REF!,'8.Dgia'!A2140,#REF!)+SUMIF(#REF!,'8.Dgia'!A2140,#REF!)+SUMIF(#REF!,'8.Dgia'!A2140,#REF!)+SUMIF(#REF!,'8.Dgia'!A2140,#REF!)</f>
        <v>#REF!</v>
      </c>
      <c r="O2140" s="844"/>
      <c r="P2140" s="843" t="e">
        <f t="shared" si="97"/>
        <v>#REF!</v>
      </c>
    </row>
    <row r="2141" spans="1:18" ht="15" customHeight="1">
      <c r="A2141" s="657">
        <f>IF(B2141="",MAX($A$8:A2140)+0,MAX($A$8:A2140)+1)</f>
        <v>238</v>
      </c>
      <c r="B2141" s="835" t="str">
        <f>IF(C2141="","",COUNTA($C$10:C2142))</f>
        <v/>
      </c>
      <c r="C2141" s="362"/>
      <c r="D2141" s="362"/>
      <c r="E2141" s="819" t="s">
        <v>294</v>
      </c>
      <c r="F2141" s="848" t="str">
        <f>VLOOKUP(E2141,'9.may'!E:F,2,FALSE)</f>
        <v>avulsion excavator 1.25m3</v>
      </c>
      <c r="G2141" s="704" t="s">
        <v>4902</v>
      </c>
      <c r="H2141" s="922">
        <v>0.189</v>
      </c>
      <c r="I2141" s="848">
        <f>VLOOKUP(E2141,'9.may'!E:W,12,FALSE)</f>
        <v>3579797.9165454544</v>
      </c>
      <c r="J2141" s="853">
        <f>I2141*H2141</f>
        <v>676581.80622709088</v>
      </c>
      <c r="N2141" s="843" t="e">
        <f>SUMIF(#REF!,'8.Dgia'!A2141,#REF!)+SUMIF(#REF!,'8.Dgia'!A2141,#REF!)+SUMIF(#REF!,'8.Dgia'!A2141,#REF!)+SUMIF(#REF!,'8.Dgia'!A2141,#REF!)</f>
        <v>#REF!</v>
      </c>
      <c r="O2141" s="844"/>
      <c r="P2141" s="843" t="e">
        <f t="shared" si="97"/>
        <v>#REF!</v>
      </c>
    </row>
    <row r="2142" spans="1:18" ht="15" customHeight="1">
      <c r="A2142" s="657">
        <f>IF(B2142="",MAX($A$8:A2141)+0,MAX($A$8:A2141)+1)</f>
        <v>238</v>
      </c>
      <c r="B2142" s="835" t="str">
        <f>IF(C2142="","",COUNTA($C$10:C2143))</f>
        <v/>
      </c>
      <c r="C2142" s="362"/>
      <c r="D2142" s="362"/>
      <c r="E2142" s="819" t="s">
        <v>2254</v>
      </c>
      <c r="F2142" s="848" t="str">
        <f>VLOOKUP(E2142,'9.may'!E:F,2,FALSE)</f>
        <v>bulldozer 108CV</v>
      </c>
      <c r="G2142" s="704" t="s">
        <v>4902</v>
      </c>
      <c r="H2142" s="922">
        <v>0.03</v>
      </c>
      <c r="I2142" s="848">
        <f>VLOOKUP(E2142,'9.may'!E:W,12,FALSE)</f>
        <v>1959433.0499999998</v>
      </c>
      <c r="J2142" s="853">
        <f>I2142*H2142</f>
        <v>58782.991499999989</v>
      </c>
      <c r="N2142" s="843" t="e">
        <f>SUMIF(#REF!,'8.Dgia'!A2142,#REF!)+SUMIF(#REF!,'8.Dgia'!A2142,#REF!)+SUMIF(#REF!,'8.Dgia'!A2142,#REF!)+SUMIF(#REF!,'8.Dgia'!A2142,#REF!)</f>
        <v>#REF!</v>
      </c>
      <c r="O2142" s="844"/>
      <c r="P2142" s="843" t="e">
        <f t="shared" si="97"/>
        <v>#REF!</v>
      </c>
    </row>
    <row r="2143" spans="1:18" ht="15" customHeight="1">
      <c r="A2143" s="657">
        <f>IF(B2143="",MAX($A$8:A2142)+0,MAX($A$8:A2142)+1)</f>
        <v>239</v>
      </c>
      <c r="B2143" s="835">
        <f>IF(C2143="","",COUNTA($C$10:C2144))</f>
        <v>239</v>
      </c>
      <c r="C2143" s="835">
        <f>IF(D2143="","",1776)</f>
        <v>1776</v>
      </c>
      <c r="D2143" s="362" t="s">
        <v>499</v>
      </c>
      <c r="E2143" s="855" t="s">
        <v>138</v>
      </c>
      <c r="F2143" s="1049" t="str">
        <f>VLOOKUP(E2143,DICH!B:C,2,FALSE)</f>
        <v>Bituminous prime coat 1.0kg/m2</v>
      </c>
      <c r="G2143" s="882" t="s">
        <v>547</v>
      </c>
      <c r="H2143" s="905"/>
      <c r="I2143" s="858"/>
      <c r="J2143" s="903"/>
      <c r="K2143" s="842">
        <f>+J2144</f>
        <v>1997875.8979773982</v>
      </c>
      <c r="L2143" s="842">
        <f>+J2147</f>
        <v>63698.667999999998</v>
      </c>
      <c r="M2143" s="842">
        <f>+J2148</f>
        <v>290939.91583363636</v>
      </c>
      <c r="N2143" s="843" t="e">
        <f>SUMIF(#REF!,'8.Dgia'!A2143,#REF!)+SUMIF(#REF!,'8.Dgia'!A2143,#REF!)+SUMIF(#REF!,'8.Dgia'!A2143,#REF!)+SUMIF(#REF!,'8.Dgia'!A2143,#REF!)</f>
        <v>#REF!</v>
      </c>
      <c r="O2143" s="844"/>
      <c r="P2143" s="843" t="e">
        <f t="shared" si="97"/>
        <v>#REF!</v>
      </c>
    </row>
    <row r="2144" spans="1:18" ht="15" customHeight="1">
      <c r="A2144" s="657">
        <f>IF(B2144="",MAX($A$8:A2143)+0,MAX($A$8:A2143)+1)</f>
        <v>239</v>
      </c>
      <c r="B2144" s="835" t="str">
        <f>IF(C2144="","",COUNTA($C$10:C2145))</f>
        <v/>
      </c>
      <c r="C2144" s="362"/>
      <c r="D2144" s="362"/>
      <c r="E2144" s="852" t="s">
        <v>2032</v>
      </c>
      <c r="F2144" s="848" t="str">
        <f>VLOOKUP(E2144,DICH!B:C,2,FALSE)</f>
        <v xml:space="preserve">  A - Material</v>
      </c>
      <c r="G2144" s="847"/>
      <c r="H2144" s="905"/>
      <c r="I2144" s="858"/>
      <c r="J2144" s="849">
        <f>SUM(J2145:J2146)</f>
        <v>1997875.8979773982</v>
      </c>
      <c r="N2144" s="843" t="e">
        <f>SUMIF(#REF!,'8.Dgia'!A2144,#REF!)+SUMIF(#REF!,'8.Dgia'!A2144,#REF!)+SUMIF(#REF!,'8.Dgia'!A2144,#REF!)+SUMIF(#REF!,'8.Dgia'!A2144,#REF!)</f>
        <v>#REF!</v>
      </c>
      <c r="O2144" s="844"/>
      <c r="P2144" s="843" t="e">
        <f t="shared" si="97"/>
        <v>#REF!</v>
      </c>
    </row>
    <row r="2145" spans="1:18" ht="15" customHeight="1">
      <c r="A2145" s="657">
        <f>IF(B2145="",MAX($A$8:A2144)+0,MAX($A$8:A2144)+1)</f>
        <v>239</v>
      </c>
      <c r="B2145" s="835" t="str">
        <f>IF(C2145="","",COUNTA($C$10:C2146))</f>
        <v/>
      </c>
      <c r="C2145" s="362"/>
      <c r="D2145" s="362"/>
      <c r="E2145" s="852" t="s">
        <v>660</v>
      </c>
      <c r="F2145" s="848" t="str">
        <f>VLOOKUP(E2145,DICH!B:C,2,FALSE)</f>
        <v>bitumen</v>
      </c>
      <c r="G2145" s="847" t="s">
        <v>558</v>
      </c>
      <c r="H2145" s="905">
        <v>78.650000000000006</v>
      </c>
      <c r="I2145" s="858">
        <f>VLOOKUP(E2145,'11.gia '!$B:$I,8,FALSE)</f>
        <v>15823.463400000001</v>
      </c>
      <c r="J2145" s="853">
        <f>I2145*H2145</f>
        <v>1244515.39641</v>
      </c>
      <c r="N2145" s="843" t="e">
        <f>SUMIF(#REF!,'8.Dgia'!A2145,#REF!)+SUMIF(#REF!,'8.Dgia'!A2145,#REF!)+SUMIF(#REF!,'8.Dgia'!A2145,#REF!)+SUMIF(#REF!,'8.Dgia'!A2145,#REF!)</f>
        <v>#REF!</v>
      </c>
      <c r="O2145" s="844"/>
      <c r="P2145" s="843" t="e">
        <f t="shared" si="97"/>
        <v>#REF!</v>
      </c>
    </row>
    <row r="2146" spans="1:18" ht="15" customHeight="1">
      <c r="A2146" s="657">
        <f>IF(B2146="",MAX($A$8:A2145)+0,MAX($A$8:A2145)+1)</f>
        <v>239</v>
      </c>
      <c r="B2146" s="835" t="str">
        <f>IF(C2146="","",COUNTA($C$10:C2147))</f>
        <v/>
      </c>
      <c r="C2146" s="362"/>
      <c r="D2146" s="362"/>
      <c r="E2146" s="852" t="s">
        <v>661</v>
      </c>
      <c r="F2146" s="848" t="str">
        <f>VLOOKUP(E2146,DICH!B:C,2,FALSE)</f>
        <v>Petroleum</v>
      </c>
      <c r="G2146" s="847" t="s">
        <v>558</v>
      </c>
      <c r="H2146" s="905">
        <v>32.1</v>
      </c>
      <c r="I2146" s="848">
        <f>VLOOKUP(E2146,'11.gia '!$B:$I,8,FALSE)</f>
        <v>23469.174503657261</v>
      </c>
      <c r="J2146" s="853">
        <f>I2146*H2146</f>
        <v>753360.50156739808</v>
      </c>
      <c r="N2146" s="843" t="e">
        <f>SUMIF(#REF!,'8.Dgia'!A2146,#REF!)+SUMIF(#REF!,'8.Dgia'!A2146,#REF!)+SUMIF(#REF!,'8.Dgia'!A2146,#REF!)+SUMIF(#REF!,'8.Dgia'!A2146,#REF!)</f>
        <v>#REF!</v>
      </c>
      <c r="O2146" s="844"/>
      <c r="P2146" s="843" t="e">
        <f t="shared" si="97"/>
        <v>#REF!</v>
      </c>
    </row>
    <row r="2147" spans="1:18" ht="15" customHeight="1">
      <c r="A2147" s="657">
        <f>IF(B2147="",MAX($A$8:A2146)+0,MAX($A$8:A2146)+1)</f>
        <v>239</v>
      </c>
      <c r="B2147" s="835" t="str">
        <f>IF(C2147="","",COUNTA($C$10:C2148))</f>
        <v/>
      </c>
      <c r="C2147" s="362"/>
      <c r="D2147" s="362"/>
      <c r="E2147" s="852" t="s">
        <v>2037</v>
      </c>
      <c r="F2147" s="848" t="str">
        <f>VLOOKUP(E2147,DICH!B:C,2,FALSE)</f>
        <v xml:space="preserve">  B - Labour 3.5/7</v>
      </c>
      <c r="G2147" s="847" t="s">
        <v>4899</v>
      </c>
      <c r="H2147" s="847">
        <v>0.314</v>
      </c>
      <c r="I2147" s="848">
        <f>VLOOKUP(E2147,'16.NC'!$C$11:$F$22,4,FALSE)</f>
        <v>202862</v>
      </c>
      <c r="J2147" s="849">
        <f>I2147*H2147</f>
        <v>63698.667999999998</v>
      </c>
      <c r="N2147" s="843" t="e">
        <f>SUMIF(#REF!,'8.Dgia'!A2147,#REF!)+SUMIF(#REF!,'8.Dgia'!A2147,#REF!)+SUMIF(#REF!,'8.Dgia'!A2147,#REF!)+SUMIF(#REF!,'8.Dgia'!A2147,#REF!)</f>
        <v>#REF!</v>
      </c>
      <c r="O2147" s="844"/>
      <c r="P2147" s="843" t="e">
        <f t="shared" si="97"/>
        <v>#REF!</v>
      </c>
      <c r="R2147" s="658">
        <v>1</v>
      </c>
    </row>
    <row r="2148" spans="1:18" ht="15" customHeight="1">
      <c r="A2148" s="657">
        <f>IF(B2148="",MAX($A$8:A2147)+0,MAX($A$8:A2147)+1)</f>
        <v>239</v>
      </c>
      <c r="B2148" s="835" t="str">
        <f>IF(C2148="","",COUNTA($C$10:C2149))</f>
        <v/>
      </c>
      <c r="C2148" s="362"/>
      <c r="D2148" s="362"/>
      <c r="E2148" s="852" t="s">
        <v>2033</v>
      </c>
      <c r="F2148" s="848" t="str">
        <f>VLOOKUP(E2148,DICH!B:C,2,FALSE)</f>
        <v xml:space="preserve">  C - Machine</v>
      </c>
      <c r="G2148" s="921"/>
      <c r="H2148" s="847"/>
      <c r="I2148" s="848"/>
      <c r="J2148" s="849">
        <f>SUM(J2149:J2151)</f>
        <v>290939.91583363636</v>
      </c>
      <c r="N2148" s="843" t="e">
        <f>SUMIF(#REF!,'8.Dgia'!A2148,#REF!)+SUMIF(#REF!,'8.Dgia'!A2148,#REF!)+SUMIF(#REF!,'8.Dgia'!A2148,#REF!)+SUMIF(#REF!,'8.Dgia'!A2148,#REF!)</f>
        <v>#REF!</v>
      </c>
      <c r="O2148" s="844"/>
      <c r="P2148" s="843" t="e">
        <f t="shared" si="97"/>
        <v>#REF!</v>
      </c>
    </row>
    <row r="2149" spans="1:18" ht="15" customHeight="1">
      <c r="A2149" s="657">
        <f>IF(B2149="",MAX($A$8:A2148)+0,MAX($A$8:A2148)+1)</f>
        <v>239</v>
      </c>
      <c r="B2149" s="835" t="str">
        <f>IF(C2149="","",COUNTA($C$10:C2150))</f>
        <v/>
      </c>
      <c r="C2149" s="362"/>
      <c r="D2149" s="851"/>
      <c r="E2149" s="852" t="s">
        <v>451</v>
      </c>
      <c r="F2149" s="848" t="str">
        <f>VLOOKUP(E2149,'9.may'!E:F,2,FALSE)</f>
        <v>Bitumen-cook equipment</v>
      </c>
      <c r="G2149" s="362" t="s">
        <v>4902</v>
      </c>
      <c r="H2149" s="847">
        <v>4.9000000000000002E-2</v>
      </c>
      <c r="I2149" s="848">
        <f>VLOOKUP(E2149,'9.may'!E:W,12,FALSE)</f>
        <v>70884.210000000006</v>
      </c>
      <c r="J2149" s="853">
        <f>I2149*H2149</f>
        <v>3473.3262900000004</v>
      </c>
      <c r="N2149" s="843" t="e">
        <f>SUMIF(#REF!,'8.Dgia'!A2149,#REF!)+SUMIF(#REF!,'8.Dgia'!A2149,#REF!)+SUMIF(#REF!,'8.Dgia'!A2149,#REF!)+SUMIF(#REF!,'8.Dgia'!A2149,#REF!)</f>
        <v>#REF!</v>
      </c>
      <c r="O2149" s="844"/>
      <c r="P2149" s="843" t="e">
        <f t="shared" si="97"/>
        <v>#REF!</v>
      </c>
    </row>
    <row r="2150" spans="1:18" ht="15" customHeight="1">
      <c r="A2150" s="657">
        <f>IF(B2150="",MAX($A$8:A2149)+0,MAX($A$8:A2149)+1)</f>
        <v>239</v>
      </c>
      <c r="B2150" s="835" t="str">
        <f>IF(C2150="","",COUNTA($C$10:C2151))</f>
        <v/>
      </c>
      <c r="C2150" s="362"/>
      <c r="D2150" s="851"/>
      <c r="E2150" s="852" t="s">
        <v>1232</v>
      </c>
      <c r="F2150" s="848" t="str">
        <f>VLOOKUP(E2150,'9.may'!E:F,2,FALSE)</f>
        <v>asphalt distributor truct 7T</v>
      </c>
      <c r="G2150" s="362" t="s">
        <v>4902</v>
      </c>
      <c r="H2150" s="847">
        <v>9.8000000000000004E-2</v>
      </c>
      <c r="I2150" s="848">
        <f>VLOOKUP(E2150,'9.may'!E:W,12,FALSE)</f>
        <v>2271696.4690909088</v>
      </c>
      <c r="J2150" s="853">
        <f>I2150*H2150</f>
        <v>222626.25397090908</v>
      </c>
      <c r="N2150" s="843" t="e">
        <f>SUMIF(#REF!,'8.Dgia'!A2150,#REF!)+SUMIF(#REF!,'8.Dgia'!A2150,#REF!)+SUMIF(#REF!,'8.Dgia'!A2150,#REF!)+SUMIF(#REF!,'8.Dgia'!A2150,#REF!)</f>
        <v>#REF!</v>
      </c>
      <c r="O2150" s="844"/>
      <c r="P2150" s="843" t="e">
        <f t="shared" si="97"/>
        <v>#REF!</v>
      </c>
    </row>
    <row r="2151" spans="1:18" ht="15" customHeight="1">
      <c r="A2151" s="657">
        <f>IF(B2151="",MAX($A$8:A2150)+0,MAX($A$8:A2150)+1)</f>
        <v>239</v>
      </c>
      <c r="B2151" s="835" t="str">
        <f>IF(C2151="","",COUNTA($C$10:C2152))</f>
        <v/>
      </c>
      <c r="C2151" s="362"/>
      <c r="D2151" s="851"/>
      <c r="E2151" s="852" t="s">
        <v>610</v>
      </c>
      <c r="F2151" s="848" t="str">
        <f>VLOOKUP(E2151,'9.may'!E:F,2,FALSE)</f>
        <v>diesel air compressor 600m3/h</v>
      </c>
      <c r="G2151" s="362" t="s">
        <v>4902</v>
      </c>
      <c r="H2151" s="847">
        <v>4.9000000000000002E-2</v>
      </c>
      <c r="I2151" s="848">
        <f>VLOOKUP(E2151,'9.may'!E:W,12,FALSE)</f>
        <v>1323272.1545454543</v>
      </c>
      <c r="J2151" s="853">
        <f>I2151*H2151</f>
        <v>64840.335572727265</v>
      </c>
      <c r="N2151" s="843" t="e">
        <f>SUMIF(#REF!,'8.Dgia'!A2151,#REF!)+SUMIF(#REF!,'8.Dgia'!A2151,#REF!)+SUMIF(#REF!,'8.Dgia'!A2151,#REF!)+SUMIF(#REF!,'8.Dgia'!A2151,#REF!)</f>
        <v>#REF!</v>
      </c>
      <c r="O2151" s="844"/>
      <c r="P2151" s="843" t="e">
        <f t="shared" si="97"/>
        <v>#REF!</v>
      </c>
    </row>
    <row r="2152" spans="1:18" ht="15" customHeight="1">
      <c r="A2152" s="657">
        <f>IF(B2152="",MAX($A$8:A2151)+0,MAX($A$8:A2151)+1)</f>
        <v>240</v>
      </c>
      <c r="B2152" s="835">
        <f>IF(C2152="","",COUNTA($C$10:C2153))</f>
        <v>240</v>
      </c>
      <c r="C2152" s="835">
        <f>IF(D2152="","",1776)</f>
        <v>1776</v>
      </c>
      <c r="D2152" s="362" t="s">
        <v>698</v>
      </c>
      <c r="E2152" s="855" t="s">
        <v>6</v>
      </c>
      <c r="F2152" s="1049" t="str">
        <f>VLOOKUP(E2152,DICH!B:C,2,FALSE)</f>
        <v>Paving coarse asphanlt concrete, thicknees 7cm</v>
      </c>
      <c r="G2152" s="884" t="s">
        <v>547</v>
      </c>
      <c r="H2152" s="847"/>
      <c r="I2152" s="848"/>
      <c r="J2152" s="889"/>
      <c r="L2152" s="842">
        <f>+J2153</f>
        <v>558263.85</v>
      </c>
      <c r="M2152" s="842">
        <f>+J2154</f>
        <v>477328.99112613819</v>
      </c>
      <c r="N2152" s="843" t="e">
        <f>SUMIF(#REF!,'8.Dgia'!A2152,#REF!)+SUMIF(#REF!,'8.Dgia'!A2152,#REF!)+SUMIF(#REF!,'8.Dgia'!A2152,#REF!)+SUMIF(#REF!,'8.Dgia'!A2152,#REF!)</f>
        <v>#REF!</v>
      </c>
      <c r="O2152" s="844"/>
      <c r="P2152" s="843" t="e">
        <f t="shared" si="97"/>
        <v>#REF!</v>
      </c>
    </row>
    <row r="2153" spans="1:18" ht="15" customHeight="1">
      <c r="A2153" s="657">
        <f>IF(B2153="",MAX($A$8:A2152)+0,MAX($A$8:A2152)+1)</f>
        <v>240</v>
      </c>
      <c r="B2153" s="835" t="str">
        <f>IF(C2153="","",COUNTA($C$10:C2154))</f>
        <v/>
      </c>
      <c r="C2153" s="362"/>
      <c r="D2153" s="362"/>
      <c r="E2153" s="852" t="s">
        <v>2039</v>
      </c>
      <c r="F2153" s="848" t="str">
        <f>VLOOKUP(E2153,DICH!B:C,2,FALSE)</f>
        <v xml:space="preserve">  B - Labour 4.0/7</v>
      </c>
      <c r="G2153" s="883" t="s">
        <v>4899</v>
      </c>
      <c r="H2153" s="847">
        <v>2.5499999999999998</v>
      </c>
      <c r="I2153" s="848">
        <f>VLOOKUP(E2153,'16.NC'!$C$11:$F$22,4,FALSE)</f>
        <v>218927</v>
      </c>
      <c r="J2153" s="849">
        <f>I2153*H2153</f>
        <v>558263.85</v>
      </c>
      <c r="N2153" s="843" t="e">
        <f>SUMIF(#REF!,'8.Dgia'!A2153,#REF!)+SUMIF(#REF!,'8.Dgia'!A2153,#REF!)+SUMIF(#REF!,'8.Dgia'!A2153,#REF!)+SUMIF(#REF!,'8.Dgia'!A2153,#REF!)</f>
        <v>#REF!</v>
      </c>
      <c r="O2153" s="844"/>
      <c r="P2153" s="843" t="e">
        <f t="shared" si="97"/>
        <v>#REF!</v>
      </c>
      <c r="R2153" s="658">
        <v>1</v>
      </c>
    </row>
    <row r="2154" spans="1:18" ht="15" customHeight="1">
      <c r="A2154" s="657">
        <f>IF(B2154="",MAX($A$8:A2153)+0,MAX($A$8:A2153)+1)</f>
        <v>240</v>
      </c>
      <c r="B2154" s="835" t="str">
        <f>IF(C2154="","",COUNTA($C$10:C2155))</f>
        <v/>
      </c>
      <c r="C2154" s="362"/>
      <c r="D2154" s="362"/>
      <c r="E2154" s="852" t="s">
        <v>2033</v>
      </c>
      <c r="F2154" s="848" t="str">
        <f>VLOOKUP(E2154,DICH!B:C,2,FALSE)</f>
        <v xml:space="preserve">  C - Machine</v>
      </c>
      <c r="G2154" s="883"/>
      <c r="H2154" s="847"/>
      <c r="I2154" s="848"/>
      <c r="J2154" s="849">
        <f>SUM(J2155:J2158)</f>
        <v>477328.99112613819</v>
      </c>
      <c r="N2154" s="843" t="e">
        <f>SUMIF(#REF!,'8.Dgia'!A2154,#REF!)+SUMIF(#REF!,'8.Dgia'!A2154,#REF!)+SUMIF(#REF!,'8.Dgia'!A2154,#REF!)+SUMIF(#REF!,'8.Dgia'!A2154,#REF!)</f>
        <v>#REF!</v>
      </c>
      <c r="O2154" s="844"/>
      <c r="P2154" s="843" t="e">
        <f t="shared" si="97"/>
        <v>#REF!</v>
      </c>
    </row>
    <row r="2155" spans="1:18" ht="15" customHeight="1">
      <c r="A2155" s="657">
        <f>IF(B2155="",MAX($A$8:A2154)+0,MAX($A$8:A2154)+1)</f>
        <v>240</v>
      </c>
      <c r="B2155" s="835" t="str">
        <f>IF(C2155="","",COUNTA($C$10:C2156))</f>
        <v/>
      </c>
      <c r="C2155" s="362"/>
      <c r="D2155" s="362"/>
      <c r="E2155" s="852" t="s">
        <v>295</v>
      </c>
      <c r="F2155" s="848" t="str">
        <f>VLOOKUP(E2155,'9.may'!E:F,2,FALSE)</f>
        <v>asphalt paver 130-140CV</v>
      </c>
      <c r="G2155" s="883" t="s">
        <v>4902</v>
      </c>
      <c r="H2155" s="847">
        <v>6.08E-2</v>
      </c>
      <c r="I2155" s="848">
        <f>VLOOKUP(E2155,'9.may'!E:W,12,FALSE)</f>
        <v>4352684.9563636361</v>
      </c>
      <c r="J2155" s="853">
        <f>I2155*H2155</f>
        <v>264643.2453469091</v>
      </c>
      <c r="N2155" s="843" t="e">
        <f>SUMIF(#REF!,'8.Dgia'!A2155,#REF!)+SUMIF(#REF!,'8.Dgia'!A2155,#REF!)+SUMIF(#REF!,'8.Dgia'!A2155,#REF!)+SUMIF(#REF!,'8.Dgia'!A2155,#REF!)</f>
        <v>#REF!</v>
      </c>
      <c r="O2155" s="844">
        <f>+$H$2158</f>
        <v>2</v>
      </c>
      <c r="P2155" s="843" t="e">
        <f t="shared" si="97"/>
        <v>#REF!</v>
      </c>
    </row>
    <row r="2156" spans="1:18" ht="15" customHeight="1">
      <c r="A2156" s="657">
        <f>IF(B2156="",MAX($A$8:A2155)+0,MAX($A$8:A2155)+1)</f>
        <v>240</v>
      </c>
      <c r="B2156" s="835" t="str">
        <f>IF(C2156="","",COUNTA($C$10:C2157))</f>
        <v/>
      </c>
      <c r="C2156" s="362"/>
      <c r="D2156" s="362"/>
      <c r="E2156" s="852" t="s">
        <v>893</v>
      </c>
      <c r="F2156" s="848" t="str">
        <f>VLOOKUP(E2156,'9.may'!E:F,2,FALSE)</f>
        <v>Steel roller 10T</v>
      </c>
      <c r="G2156" s="883" t="s">
        <v>4902</v>
      </c>
      <c r="H2156" s="847">
        <v>0.12</v>
      </c>
      <c r="I2156" s="848">
        <f>VLOOKUP(E2156,'9.may'!E:W,12,FALSE)</f>
        <v>950702.42999999993</v>
      </c>
      <c r="J2156" s="853">
        <f>I2156*H2156</f>
        <v>114084.29159999998</v>
      </c>
      <c r="N2156" s="843" t="e">
        <f>SUMIF(#REF!,'8.Dgia'!A2156,#REF!)+SUMIF(#REF!,'8.Dgia'!A2156,#REF!)+SUMIF(#REF!,'8.Dgia'!A2156,#REF!)+SUMIF(#REF!,'8.Dgia'!A2156,#REF!)</f>
        <v>#REF!</v>
      </c>
      <c r="O2156" s="844">
        <f>+$H$2158</f>
        <v>2</v>
      </c>
      <c r="P2156" s="843" t="e">
        <f t="shared" si="97"/>
        <v>#REF!</v>
      </c>
    </row>
    <row r="2157" spans="1:18" ht="15" customHeight="1">
      <c r="A2157" s="657">
        <f>IF(B2157="",MAX($A$8:A2156)+0,MAX($A$8:A2156)+1)</f>
        <v>240</v>
      </c>
      <c r="B2157" s="835" t="str">
        <f>IF(C2157="","",COUNTA($C$10:C2158))</f>
        <v/>
      </c>
      <c r="C2157" s="362"/>
      <c r="D2157" s="362"/>
      <c r="E2157" s="852" t="s">
        <v>875</v>
      </c>
      <c r="F2157" s="848" t="str">
        <f>VLOOKUP(E2157,'9.may'!E:F,2,FALSE)</f>
        <v>Pneumatic roller 16T</v>
      </c>
      <c r="G2157" s="883" t="s">
        <v>4902</v>
      </c>
      <c r="H2157" s="847">
        <v>6.4000000000000001E-2</v>
      </c>
      <c r="I2157" s="848">
        <f>VLOOKUP(E2157,'9.may'!E:W,12,FALSE)</f>
        <v>1394407.2218181817</v>
      </c>
      <c r="J2157" s="853">
        <f>I2157*H2157</f>
        <v>89242.062196363637</v>
      </c>
      <c r="N2157" s="843" t="e">
        <f>SUMIF(#REF!,'8.Dgia'!A2157,#REF!)+SUMIF(#REF!,'8.Dgia'!A2157,#REF!)+SUMIF(#REF!,'8.Dgia'!A2157,#REF!)+SUMIF(#REF!,'8.Dgia'!A2157,#REF!)</f>
        <v>#REF!</v>
      </c>
      <c r="O2157" s="844">
        <f>+$H$2158</f>
        <v>2</v>
      </c>
      <c r="P2157" s="843" t="e">
        <f t="shared" si="97"/>
        <v>#REF!</v>
      </c>
    </row>
    <row r="2158" spans="1:18" ht="15" customHeight="1">
      <c r="A2158" s="657">
        <f>IF(B2158="",MAX($A$8:A2157)+0,MAX($A$8:A2157)+1)</f>
        <v>240</v>
      </c>
      <c r="B2158" s="835" t="str">
        <f>IF(C2158="","",COUNTA($C$10:C2159))</f>
        <v/>
      </c>
      <c r="C2158" s="362"/>
      <c r="D2158" s="362"/>
      <c r="E2158" s="852" t="s">
        <v>553</v>
      </c>
      <c r="F2158" s="848" t="str">
        <f>VLOOKUP(E2158,DICH!B:C,2,FALSE)</f>
        <v>Other machine</v>
      </c>
      <c r="G2158" s="362" t="s">
        <v>554</v>
      </c>
      <c r="H2158" s="847">
        <v>2</v>
      </c>
      <c r="I2158" s="848">
        <f>+SUM(J2155:J2157)</f>
        <v>467969.59914327273</v>
      </c>
      <c r="J2158" s="853">
        <f>I2158*H2158%</f>
        <v>9359.3919828654543</v>
      </c>
      <c r="N2158" s="843" t="e">
        <f>SUMIF(#REF!,'8.Dgia'!A2158,#REF!)+SUMIF(#REF!,'8.Dgia'!A2158,#REF!)+SUMIF(#REF!,'8.Dgia'!A2158,#REF!)+SUMIF(#REF!,'8.Dgia'!A2158,#REF!)</f>
        <v>#REF!</v>
      </c>
      <c r="O2158" s="844"/>
      <c r="P2158" s="843" t="e">
        <f t="shared" si="97"/>
        <v>#REF!</v>
      </c>
    </row>
    <row r="2159" spans="1:18" ht="15" customHeight="1">
      <c r="A2159" s="657">
        <f>IF(B2159="",MAX($A$8:A2158)+0,MAX($A$8:A2158)+1)</f>
        <v>241</v>
      </c>
      <c r="B2159" s="835">
        <f>IF(C2159="","",COUNTA($C$10:C2160))</f>
        <v>241</v>
      </c>
      <c r="C2159" s="835">
        <f>IF(D2159="","",1776)</f>
        <v>1776</v>
      </c>
      <c r="D2159" s="362" t="s">
        <v>3485</v>
      </c>
      <c r="E2159" s="855" t="s">
        <v>5176</v>
      </c>
      <c r="F2159" s="1049" t="str">
        <f>VLOOKUP(E2159,DICH!B:C,2,FALSE)</f>
        <v>Producting coarse asphanlt concrete C19</v>
      </c>
      <c r="G2159" s="856" t="s">
        <v>4644</v>
      </c>
      <c r="H2159" s="895"/>
      <c r="I2159" s="848"/>
      <c r="J2159" s="853"/>
      <c r="K2159" s="842">
        <f>+J2160</f>
        <v>1272583.069781262</v>
      </c>
      <c r="L2159" s="842">
        <f>+J2176</f>
        <v>11988.9</v>
      </c>
      <c r="M2159" s="842">
        <f>+J2177</f>
        <v>133434.75326335529</v>
      </c>
      <c r="N2159" s="843" t="e">
        <f>SUMIF(#REF!,'8.Dgia'!A2159,#REF!)+SUMIF(#REF!,'8.Dgia'!A2159,#REF!)+SUMIF(#REF!,'8.Dgia'!A2159,#REF!)+SUMIF(#REF!,'8.Dgia'!A2159,#REF!)</f>
        <v>#REF!</v>
      </c>
      <c r="O2159" s="844"/>
      <c r="P2159" s="843" t="e">
        <f t="shared" si="97"/>
        <v>#REF!</v>
      </c>
    </row>
    <row r="2160" spans="1:18" ht="15" customHeight="1">
      <c r="A2160" s="657">
        <f>IF(B2160="",MAX($A$8:A2159)+0,MAX($A$8:A2159)+1)</f>
        <v>241</v>
      </c>
      <c r="B2160" s="835" t="str">
        <f>IF(C2160="","",COUNTA($C$10:C2161))</f>
        <v/>
      </c>
      <c r="C2160" s="362"/>
      <c r="D2160" s="894" t="s">
        <v>2208</v>
      </c>
      <c r="E2160" s="852" t="s">
        <v>2032</v>
      </c>
      <c r="F2160" s="848" t="str">
        <f>VLOOKUP(E2160,DICH!B:C,2,FALSE)</f>
        <v xml:space="preserve">  A - Material</v>
      </c>
      <c r="G2160" s="895"/>
      <c r="H2160" s="896"/>
      <c r="I2160" s="848"/>
      <c r="J2160" s="849">
        <f>SUM(J2161:J2175)</f>
        <v>1272583.069781262</v>
      </c>
      <c r="N2160" s="843" t="e">
        <f>SUMIF(#REF!,'8.Dgia'!A2160,#REF!)+SUMIF(#REF!,'8.Dgia'!A2160,#REF!)+SUMIF(#REF!,'8.Dgia'!A2160,#REF!)+SUMIF(#REF!,'8.Dgia'!A2160,#REF!)</f>
        <v>#REF!</v>
      </c>
      <c r="O2160" s="844"/>
      <c r="P2160" s="843" t="e">
        <f t="shared" si="97"/>
        <v>#REF!</v>
      </c>
    </row>
    <row r="2161" spans="1:18" ht="15" customHeight="1">
      <c r="A2161" s="657">
        <f>IF(B2161="",MAX($A$8:A2160)+0,MAX($A$8:A2160)+1)</f>
        <v>241</v>
      </c>
      <c r="B2161" s="835" t="str">
        <f>IF(C2161="","",COUNTA($C$10:C2162))</f>
        <v/>
      </c>
      <c r="C2161" s="923"/>
      <c r="D2161" s="923" t="s">
        <v>5178</v>
      </c>
      <c r="E2161" s="852" t="s">
        <v>590</v>
      </c>
      <c r="F2161" s="848" t="str">
        <f>VLOOKUP(E2161,DICH!B:C,2,FALSE)</f>
        <v>bitumen</v>
      </c>
      <c r="G2161" s="362" t="s">
        <v>558</v>
      </c>
      <c r="H2161" s="900">
        <f>(5.1-5)/(5.5-5)*(55.79-50.953)+50.953</f>
        <v>51.920400000000001</v>
      </c>
      <c r="I2161" s="858">
        <f>VLOOKUP(E2161,'11.gia '!$B:$I,8,FALSE)</f>
        <v>15823.463400000001</v>
      </c>
      <c r="J2161" s="853">
        <f>I2161*H2161</f>
        <v>821560.54911336</v>
      </c>
      <c r="N2161" s="843" t="e">
        <f>SUMIF(#REF!,'8.Dgia'!A2161,#REF!)+SUMIF(#REF!,'8.Dgia'!A2161,#REF!)+SUMIF(#REF!,'8.Dgia'!A2161,#REF!)+SUMIF(#REF!,'8.Dgia'!A2161,#REF!)</f>
        <v>#REF!</v>
      </c>
      <c r="O2161" s="844"/>
      <c r="P2161" s="843" t="e">
        <f t="shared" si="97"/>
        <v>#REF!</v>
      </c>
    </row>
    <row r="2162" spans="1:18" ht="15" customHeight="1">
      <c r="A2162" s="657">
        <f>IF(B2162="",MAX($A$8:A2161)+0,MAX($A$8:A2161)+1)</f>
        <v>241</v>
      </c>
      <c r="B2162" s="835" t="str">
        <f>IF(C2162="","",COUNTA($C$10:C2163))</f>
        <v/>
      </c>
      <c r="C2162" s="923"/>
      <c r="D2162" s="923"/>
      <c r="E2162" s="899" t="s">
        <v>5179</v>
      </c>
      <c r="F2162" s="848"/>
      <c r="G2162" s="362"/>
      <c r="H2162" s="900"/>
      <c r="I2162" s="858"/>
      <c r="J2162" s="853"/>
      <c r="N2162" s="843" t="e">
        <f>SUMIF(#REF!,'8.Dgia'!A2162,#REF!)+SUMIF(#REF!,'8.Dgia'!A2162,#REF!)+SUMIF(#REF!,'8.Dgia'!A2162,#REF!)+SUMIF(#REF!,'8.Dgia'!A2162,#REF!)</f>
        <v>#REF!</v>
      </c>
      <c r="O2162" s="844"/>
      <c r="P2162" s="843" t="e">
        <f t="shared" si="97"/>
        <v>#REF!</v>
      </c>
    </row>
    <row r="2163" spans="1:18" ht="15" customHeight="1">
      <c r="A2163" s="657">
        <f>IF(B2163="",MAX($A$8:A2162)+0,MAX($A$8:A2162)+1)</f>
        <v>241</v>
      </c>
      <c r="B2163" s="835" t="str">
        <f>IF(C2163="","",COUNTA($C$10:C2164))</f>
        <v/>
      </c>
      <c r="C2163" s="362"/>
      <c r="D2163" s="923" t="s">
        <v>2211</v>
      </c>
      <c r="E2163" s="852" t="s">
        <v>5180</v>
      </c>
      <c r="F2163" s="848" t="str">
        <f>VLOOKUP(E2163,DICH!B:C,2,FALSE)</f>
        <v>Stone 1.6x1.9 asphalt concrete</v>
      </c>
      <c r="G2163" s="847" t="s">
        <v>545</v>
      </c>
      <c r="H2163" s="900">
        <f>16*0.128/20</f>
        <v>0.1024</v>
      </c>
      <c r="I2163" s="858">
        <f>VLOOKUP(E2163,'11.gia '!$B:$I,8,FALSE)</f>
        <v>354185.41224953817</v>
      </c>
      <c r="J2163" s="853">
        <f>I2163*H2163</f>
        <v>36268.586214352712</v>
      </c>
      <c r="N2163" s="843" t="e">
        <f>SUMIF(#REF!,'8.Dgia'!A2163,#REF!)+SUMIF(#REF!,'8.Dgia'!A2163,#REF!)+SUMIF(#REF!,'8.Dgia'!A2163,#REF!)+SUMIF(#REF!,'8.Dgia'!A2163,#REF!)</f>
        <v>#REF!</v>
      </c>
      <c r="O2163" s="844"/>
      <c r="P2163" s="843" t="e">
        <f t="shared" si="97"/>
        <v>#REF!</v>
      </c>
    </row>
    <row r="2164" spans="1:18" ht="15" customHeight="1">
      <c r="A2164" s="657">
        <f>IF(B2164="",MAX($A$8:A2163)+0,MAX($A$8:A2163)+1)</f>
        <v>241</v>
      </c>
      <c r="B2164" s="835" t="str">
        <f>IF(C2164="","",COUNTA($C$10:C2165))</f>
        <v/>
      </c>
      <c r="C2164" s="362"/>
      <c r="D2164" s="923"/>
      <c r="E2164" s="899" t="s">
        <v>2213</v>
      </c>
      <c r="F2164" s="848" t="str">
        <f>VLOOKUP(E2164,DICH!B:C,2,FALSE)</f>
        <v>=16*0,128/20</v>
      </c>
      <c r="G2164" s="847"/>
      <c r="H2164" s="900"/>
      <c r="I2164" s="858"/>
      <c r="J2164" s="853"/>
      <c r="N2164" s="843" t="e">
        <f>SUMIF(#REF!,'8.Dgia'!A2164,#REF!)+SUMIF(#REF!,'8.Dgia'!A2164,#REF!)+SUMIF(#REF!,'8.Dgia'!A2164,#REF!)+SUMIF(#REF!,'8.Dgia'!A2164,#REF!)</f>
        <v>#REF!</v>
      </c>
      <c r="O2164" s="844"/>
      <c r="P2164" s="843" t="e">
        <f t="shared" si="97"/>
        <v>#REF!</v>
      </c>
    </row>
    <row r="2165" spans="1:18" ht="15" customHeight="1">
      <c r="A2165" s="657">
        <f>IF(B2165="",MAX($A$8:A2164)+0,MAX($A$8:A2164)+1)</f>
        <v>241</v>
      </c>
      <c r="B2165" s="835" t="str">
        <f>IF(C2165="","",COUNTA($C$10:C2166))</f>
        <v/>
      </c>
      <c r="C2165" s="362"/>
      <c r="D2165" s="923" t="s">
        <v>5181</v>
      </c>
      <c r="E2165" s="852" t="s">
        <v>2210</v>
      </c>
      <c r="F2165" s="848" t="str">
        <f>VLOOKUP(E2165,DICH!B:C,2,FALSE)</f>
        <v>Stone 1x1.6 asphalt concrete</v>
      </c>
      <c r="G2165" s="847" t="s">
        <v>545</v>
      </c>
      <c r="H2165" s="900">
        <f>17*0.128/20</f>
        <v>0.10880000000000001</v>
      </c>
      <c r="I2165" s="858">
        <f>VLOOKUP(E2165,'11.gia '!$B:$I,8,FALSE)</f>
        <v>354185.41224953817</v>
      </c>
      <c r="J2165" s="853">
        <f>I2165*H2165</f>
        <v>38535.372852749759</v>
      </c>
      <c r="N2165" s="843" t="e">
        <f>SUMIF(#REF!,'8.Dgia'!A2165,#REF!)+SUMIF(#REF!,'8.Dgia'!A2165,#REF!)+SUMIF(#REF!,'8.Dgia'!A2165,#REF!)+SUMIF(#REF!,'8.Dgia'!A2165,#REF!)</f>
        <v>#REF!</v>
      </c>
      <c r="O2165" s="844"/>
      <c r="P2165" s="843" t="e">
        <f t="shared" ref="P2165:P2236" si="100">$H2165*N2165*(1+O2165%)</f>
        <v>#REF!</v>
      </c>
    </row>
    <row r="2166" spans="1:18" ht="15" customHeight="1">
      <c r="A2166" s="657">
        <f>IF(B2166="",MAX($A$8:A2165)+0,MAX($A$8:A2165)+1)</f>
        <v>241</v>
      </c>
      <c r="B2166" s="835" t="str">
        <f>IF(C2166="","",COUNTA($C$10:C2167))</f>
        <v/>
      </c>
      <c r="C2166" s="362"/>
      <c r="D2166" s="923"/>
      <c r="E2166" s="899" t="s">
        <v>5182</v>
      </c>
      <c r="F2166" s="848"/>
      <c r="G2166" s="847"/>
      <c r="H2166" s="900"/>
      <c r="I2166" s="858"/>
      <c r="J2166" s="853"/>
      <c r="N2166" s="843" t="e">
        <f>SUMIF(#REF!,'8.Dgia'!A2166,#REF!)+SUMIF(#REF!,'8.Dgia'!A2166,#REF!)+SUMIF(#REF!,'8.Dgia'!A2166,#REF!)+SUMIF(#REF!,'8.Dgia'!A2166,#REF!)</f>
        <v>#REF!</v>
      </c>
      <c r="O2166" s="844"/>
      <c r="P2166" s="843" t="e">
        <f t="shared" si="100"/>
        <v>#REF!</v>
      </c>
    </row>
    <row r="2167" spans="1:18" ht="15" customHeight="1">
      <c r="A2167" s="657">
        <f>IF(B2167="",MAX($A$8:A2166)+0,MAX($A$8:A2166)+1)</f>
        <v>241</v>
      </c>
      <c r="B2167" s="835" t="str">
        <f>IF(C2167="","",COUNTA($C$10:C2168))</f>
        <v/>
      </c>
      <c r="C2167" s="362"/>
      <c r="D2167" s="923" t="s">
        <v>5183</v>
      </c>
      <c r="E2167" s="852" t="s">
        <v>2209</v>
      </c>
      <c r="F2167" s="848" t="str">
        <f>VLOOKUP(E2167,DICH!B:C,2,FALSE)</f>
        <v>Stone 0x0.5 asphalt concrete</v>
      </c>
      <c r="G2167" s="847" t="s">
        <v>545</v>
      </c>
      <c r="H2167" s="924">
        <v>0.31900000000000001</v>
      </c>
      <c r="I2167" s="858">
        <f>VLOOKUP(E2167,'11.gia '!$B:$I,8,FALSE)</f>
        <v>289185.41224953817</v>
      </c>
      <c r="J2167" s="853">
        <f>I2167*H2167</f>
        <v>92250.14650760268</v>
      </c>
      <c r="N2167" s="843" t="e">
        <f>SUMIF(#REF!,'8.Dgia'!A2167,#REF!)+SUMIF(#REF!,'8.Dgia'!A2167,#REF!)+SUMIF(#REF!,'8.Dgia'!A2167,#REF!)+SUMIF(#REF!,'8.Dgia'!A2167,#REF!)</f>
        <v>#REF!</v>
      </c>
      <c r="O2167" s="844"/>
      <c r="P2167" s="843" t="e">
        <f t="shared" si="100"/>
        <v>#REF!</v>
      </c>
    </row>
    <row r="2168" spans="1:18" ht="15" customHeight="1">
      <c r="A2168" s="657">
        <f>IF(B2168="",MAX($A$8:A2167)+0,MAX($A$8:A2167)+1)</f>
        <v>241</v>
      </c>
      <c r="B2168" s="835" t="str">
        <f>IF(C2168="","",COUNTA($C$10:C2169))</f>
        <v/>
      </c>
      <c r="C2168" s="362"/>
      <c r="D2168" s="901" t="s">
        <v>5184</v>
      </c>
      <c r="E2168" s="852" t="s">
        <v>86</v>
      </c>
      <c r="F2168" s="848" t="str">
        <f>VLOOKUP(E2168,DICH!B:C,2,FALSE)</f>
        <v>Stone 0.5x1 asphalt concrete</v>
      </c>
      <c r="G2168" s="847" t="s">
        <v>545</v>
      </c>
      <c r="H2168" s="900">
        <f>15*0.128/20</f>
        <v>9.6000000000000002E-2</v>
      </c>
      <c r="I2168" s="858">
        <f>VLOOKUP(E2168,'11.gia '!$B:$I,8,FALSE)</f>
        <v>354185.41224953817</v>
      </c>
      <c r="J2168" s="853">
        <f>I2168*H2168</f>
        <v>34001.799575955665</v>
      </c>
      <c r="N2168" s="843" t="e">
        <f>SUMIF(#REF!,'8.Dgia'!A2168,#REF!)+SUMIF(#REF!,'8.Dgia'!A2168,#REF!)+SUMIF(#REF!,'8.Dgia'!A2168,#REF!)+SUMIF(#REF!,'8.Dgia'!A2168,#REF!)</f>
        <v>#REF!</v>
      </c>
      <c r="O2168" s="844"/>
      <c r="P2168" s="843" t="e">
        <f t="shared" si="100"/>
        <v>#REF!</v>
      </c>
    </row>
    <row r="2169" spans="1:18" ht="15" customHeight="1">
      <c r="A2169" s="657">
        <f>IF(B2169="",MAX($A$8:A2168)+0,MAX($A$8:A2168)+1)</f>
        <v>241</v>
      </c>
      <c r="B2169" s="835" t="str">
        <f>IF(C2169="","",COUNTA($C$10:C2170))</f>
        <v/>
      </c>
      <c r="C2169" s="362"/>
      <c r="D2169" s="923"/>
      <c r="E2169" s="899" t="s">
        <v>5185</v>
      </c>
      <c r="F2169" s="848"/>
      <c r="G2169" s="847"/>
      <c r="H2169" s="924"/>
      <c r="I2169" s="858"/>
      <c r="J2169" s="853"/>
      <c r="N2169" s="843" t="e">
        <f>SUMIF(#REF!,'8.Dgia'!A2169,#REF!)+SUMIF(#REF!,'8.Dgia'!A2169,#REF!)+SUMIF(#REF!,'8.Dgia'!A2169,#REF!)+SUMIF(#REF!,'8.Dgia'!A2169,#REF!)</f>
        <v>#REF!</v>
      </c>
      <c r="O2169" s="844"/>
      <c r="P2169" s="843"/>
    </row>
    <row r="2170" spans="1:18" ht="15" customHeight="1">
      <c r="A2170" s="657">
        <f>IF(B2170="",MAX($A$8:A2169)+0,MAX($A$8:A2169)+1)</f>
        <v>241</v>
      </c>
      <c r="B2170" s="835" t="str">
        <f>IF(C2170="","",COUNTA($C$10:C2171))</f>
        <v/>
      </c>
      <c r="C2170" s="901"/>
      <c r="D2170" s="901" t="s">
        <v>5178</v>
      </c>
      <c r="E2170" s="852" t="s">
        <v>592</v>
      </c>
      <c r="F2170" s="848" t="str">
        <f>VLOOKUP(E2170,DICH!B:C,2,FALSE)</f>
        <v>Stone powder</v>
      </c>
      <c r="G2170" s="362" t="s">
        <v>558</v>
      </c>
      <c r="H2170" s="900">
        <f>(5.1-5)/(10-5)*(94.47-47.235)+47.235</f>
        <v>48.179699999999997</v>
      </c>
      <c r="I2170" s="848">
        <f>VLOOKUP(E2170,'11.gia '!$B:$I,8,FALSE)</f>
        <v>1000</v>
      </c>
      <c r="J2170" s="853">
        <f>I2170*H2170</f>
        <v>48179.7</v>
      </c>
      <c r="N2170" s="843" t="e">
        <f>SUMIF(#REF!,'8.Dgia'!A2170,#REF!)+SUMIF(#REF!,'8.Dgia'!A2170,#REF!)+SUMIF(#REF!,'8.Dgia'!A2170,#REF!)+SUMIF(#REF!,'8.Dgia'!A2170,#REF!)</f>
        <v>#REF!</v>
      </c>
      <c r="O2170" s="844"/>
      <c r="P2170" s="843" t="e">
        <f t="shared" si="100"/>
        <v>#REF!</v>
      </c>
    </row>
    <row r="2171" spans="1:18" ht="15" customHeight="1">
      <c r="A2171" s="657">
        <f>IF(B2171="",MAX($A$8:A2170)+0,MAX($A$8:A2170)+1)</f>
        <v>241</v>
      </c>
      <c r="B2171" s="835" t="str">
        <f>IF(C2171="","",COUNTA($C$10:C2172))</f>
        <v/>
      </c>
      <c r="C2171" s="901"/>
      <c r="D2171" s="901"/>
      <c r="E2171" s="899" t="s">
        <v>5186</v>
      </c>
      <c r="F2171" s="848"/>
      <c r="G2171" s="362"/>
      <c r="H2171" s="900"/>
      <c r="I2171" s="848"/>
      <c r="J2171" s="853"/>
      <c r="N2171" s="843" t="e">
        <f>SUMIF(#REF!,'8.Dgia'!A2171,#REF!)+SUMIF(#REF!,'8.Dgia'!A2171,#REF!)+SUMIF(#REF!,'8.Dgia'!A2171,#REF!)+SUMIF(#REF!,'8.Dgia'!A2171,#REF!)</f>
        <v>#REF!</v>
      </c>
      <c r="O2171" s="844"/>
      <c r="P2171" s="843" t="e">
        <f t="shared" si="100"/>
        <v>#REF!</v>
      </c>
    </row>
    <row r="2172" spans="1:18" ht="15" customHeight="1">
      <c r="A2172" s="657">
        <f>IF(B2172="",MAX($A$8:A2171)+0,MAX($A$8:A2171)+1)</f>
        <v>241</v>
      </c>
      <c r="B2172" s="835" t="str">
        <f>IF(C2172="","",COUNTA($C$10:C2173))</f>
        <v/>
      </c>
      <c r="C2172" s="362"/>
      <c r="D2172" s="362"/>
      <c r="E2172" s="855" t="s">
        <v>2035</v>
      </c>
      <c r="F2172" s="848" t="str">
        <f>VLOOKUP(E2172,DICH!B:C,2,FALSE)</f>
        <v>Secondary material</v>
      </c>
      <c r="G2172" s="362"/>
      <c r="H2172" s="900"/>
      <c r="I2172" s="848"/>
      <c r="J2172" s="853"/>
      <c r="N2172" s="843" t="e">
        <f>SUMIF(#REF!,'8.Dgia'!A2172,#REF!)+SUMIF(#REF!,'8.Dgia'!A2172,#REF!)+SUMIF(#REF!,'8.Dgia'!A2172,#REF!)+SUMIF(#REF!,'8.Dgia'!A2172,#REF!)</f>
        <v>#REF!</v>
      </c>
      <c r="O2172" s="844"/>
      <c r="P2172" s="843" t="e">
        <f t="shared" si="100"/>
        <v>#REF!</v>
      </c>
    </row>
    <row r="2173" spans="1:18" ht="15" customHeight="1">
      <c r="A2173" s="657">
        <f>IF(B2173="",MAX($A$8:A2172)+0,MAX($A$8:A2172)+1)</f>
        <v>241</v>
      </c>
      <c r="B2173" s="835" t="str">
        <f>IF(C2173="","",COUNTA($C$10:C2174))</f>
        <v/>
      </c>
      <c r="C2173" s="362"/>
      <c r="D2173" s="362"/>
      <c r="E2173" s="852" t="s">
        <v>653</v>
      </c>
      <c r="F2173" s="848" t="str">
        <f>VLOOKUP(E2173,DICH!B:C,2,FALSE)</f>
        <v>Diesel</v>
      </c>
      <c r="G2173" s="362" t="s">
        <v>558</v>
      </c>
      <c r="H2173" s="900">
        <f>150/100</f>
        <v>1.5</v>
      </c>
      <c r="I2173" s="848">
        <f>VLOOKUP(E2173,'11.gia '!$B:$I,8,FALSE)</f>
        <v>25621.734587251827</v>
      </c>
      <c r="J2173" s="853">
        <f>I2173*H2173</f>
        <v>38432.601880877744</v>
      </c>
      <c r="N2173" s="843" t="e">
        <f>SUMIF(#REF!,'8.Dgia'!A2173,#REF!)+SUMIF(#REF!,'8.Dgia'!A2173,#REF!)+SUMIF(#REF!,'8.Dgia'!A2173,#REF!)+SUMIF(#REF!,'8.Dgia'!A2173,#REF!)</f>
        <v>#REF!</v>
      </c>
      <c r="O2173" s="844"/>
      <c r="P2173" s="843" t="e">
        <f t="shared" si="100"/>
        <v>#REF!</v>
      </c>
    </row>
    <row r="2174" spans="1:18" ht="15" customHeight="1">
      <c r="A2174" s="657">
        <f>IF(B2174="",MAX($A$8:A2173)+0,MAX($A$8:A2173)+1)</f>
        <v>241</v>
      </c>
      <c r="B2174" s="835" t="str">
        <f>IF(C2174="","",COUNTA($C$10:C2175))</f>
        <v/>
      </c>
      <c r="C2174" s="362"/>
      <c r="D2174" s="362"/>
      <c r="E2174" s="852" t="s">
        <v>474</v>
      </c>
      <c r="F2174" s="848" t="str">
        <f>VLOOKUP(E2174,DICH!B:C,2,FALSE)</f>
        <v>Mazut</v>
      </c>
      <c r="G2174" s="362" t="s">
        <v>558</v>
      </c>
      <c r="H2174" s="900">
        <f>850/100</f>
        <v>8.5</v>
      </c>
      <c r="I2174" s="848">
        <f>VLOOKUP(E2174,'11.gia '!$B:$I,8,FALSE)</f>
        <v>18345.454545454544</v>
      </c>
      <c r="J2174" s="853">
        <f>I2174*H2174</f>
        <v>155936.36363636362</v>
      </c>
      <c r="N2174" s="843" t="e">
        <f>SUMIF(#REF!,'8.Dgia'!A2174,#REF!)+SUMIF(#REF!,'8.Dgia'!A2174,#REF!)+SUMIF(#REF!,'8.Dgia'!A2174,#REF!)+SUMIF(#REF!,'8.Dgia'!A2174,#REF!)</f>
        <v>#REF!</v>
      </c>
      <c r="O2174" s="844"/>
      <c r="P2174" s="843" t="e">
        <f t="shared" si="100"/>
        <v>#REF!</v>
      </c>
    </row>
    <row r="2175" spans="1:18" ht="15" customHeight="1">
      <c r="A2175" s="657">
        <f>IF(B2175="",MAX($A$8:A2174)+0,MAX($A$8:A2174)+1)</f>
        <v>241</v>
      </c>
      <c r="B2175" s="835" t="str">
        <f>IF(C2175="","",COUNTA($C$10:C2176))</f>
        <v/>
      </c>
      <c r="C2175" s="362"/>
      <c r="D2175" s="362"/>
      <c r="E2175" s="852" t="s">
        <v>408</v>
      </c>
      <c r="F2175" s="848" t="str">
        <f>VLOOKUP(E2175,DICH!B:C,2,FALSE)</f>
        <v xml:space="preserve">Safe oil </v>
      </c>
      <c r="G2175" s="362" t="s">
        <v>558</v>
      </c>
      <c r="H2175" s="900">
        <f>42.5/100</f>
        <v>0.42499999999999999</v>
      </c>
      <c r="I2175" s="848">
        <f>VLOOKUP(E2175,'11.gia '!$B:$I,8,FALSE)</f>
        <v>17454</v>
      </c>
      <c r="J2175" s="853">
        <f>I2175*H2175</f>
        <v>7417.95</v>
      </c>
      <c r="N2175" s="843" t="e">
        <f>SUMIF(#REF!,'8.Dgia'!A2175,#REF!)+SUMIF(#REF!,'8.Dgia'!A2175,#REF!)+SUMIF(#REF!,'8.Dgia'!A2175,#REF!)+SUMIF(#REF!,'8.Dgia'!A2175,#REF!)</f>
        <v>#REF!</v>
      </c>
      <c r="O2175" s="844"/>
      <c r="P2175" s="843" t="e">
        <f t="shared" si="100"/>
        <v>#REF!</v>
      </c>
    </row>
    <row r="2176" spans="1:18" ht="15" customHeight="1">
      <c r="A2176" s="657">
        <f>IF(B2176="",MAX($A$8:A2175)+0,MAX($A$8:A2175)+1)</f>
        <v>241</v>
      </c>
      <c r="B2176" s="835" t="str">
        <f>IF(C2176="","",COUNTA($C$10:C2177))</f>
        <v/>
      </c>
      <c r="C2176" s="362"/>
      <c r="D2176" s="362"/>
      <c r="E2176" s="852" t="s">
        <v>2040</v>
      </c>
      <c r="F2176" s="848" t="str">
        <f>VLOOKUP(E2176,DICH!B:C,2,FALSE)</f>
        <v xml:space="preserve">  B - Labour 4.5/7</v>
      </c>
      <c r="G2176" s="883" t="s">
        <v>4899</v>
      </c>
      <c r="H2176" s="847">
        <f>5.04/100</f>
        <v>5.04E-2</v>
      </c>
      <c r="I2176" s="848">
        <f>VLOOKUP(E2176,'16.NC'!$C$11:$F$22,4,FALSE)</f>
        <v>237875</v>
      </c>
      <c r="J2176" s="849">
        <f>I2176*H2176</f>
        <v>11988.9</v>
      </c>
      <c r="N2176" s="843" t="e">
        <f>SUMIF(#REF!,'8.Dgia'!A2176,#REF!)+SUMIF(#REF!,'8.Dgia'!A2176,#REF!)+SUMIF(#REF!,'8.Dgia'!A2176,#REF!)+SUMIF(#REF!,'8.Dgia'!A2176,#REF!)</f>
        <v>#REF!</v>
      </c>
      <c r="O2176" s="844"/>
      <c r="P2176" s="843" t="e">
        <f t="shared" si="100"/>
        <v>#REF!</v>
      </c>
      <c r="R2176" s="658">
        <v>1</v>
      </c>
    </row>
    <row r="2177" spans="1:18" ht="15" customHeight="1">
      <c r="A2177" s="657">
        <f>IF(B2177="",MAX($A$8:A2176)+0,MAX($A$8:A2176)+1)</f>
        <v>241</v>
      </c>
      <c r="B2177" s="835" t="str">
        <f>IF(C2177="","",COUNTA($C$10:C2178))</f>
        <v/>
      </c>
      <c r="C2177" s="362"/>
      <c r="D2177" s="362"/>
      <c r="E2177" s="852" t="s">
        <v>2033</v>
      </c>
      <c r="F2177" s="848" t="str">
        <f>VLOOKUP(E2177,DICH!B:C,2,FALSE)</f>
        <v xml:space="preserve">  C - Machine</v>
      </c>
      <c r="G2177" s="362"/>
      <c r="H2177" s="900"/>
      <c r="I2177" s="848"/>
      <c r="J2177" s="849">
        <f>SUM(J2178:J2181)</f>
        <v>133434.75326335529</v>
      </c>
      <c r="N2177" s="843" t="e">
        <f>SUMIF(#REF!,'8.Dgia'!A2177,#REF!)+SUMIF(#REF!,'8.Dgia'!A2177,#REF!)+SUMIF(#REF!,'8.Dgia'!A2177,#REF!)+SUMIF(#REF!,'8.Dgia'!A2177,#REF!)</f>
        <v>#REF!</v>
      </c>
      <c r="O2177" s="844"/>
      <c r="P2177" s="843" t="e">
        <f t="shared" si="100"/>
        <v>#REF!</v>
      </c>
    </row>
    <row r="2178" spans="1:18" ht="15" customHeight="1">
      <c r="A2178" s="657">
        <f>IF(B2178="",MAX($A$8:A2177)+0,MAX($A$8:A2177)+1)</f>
        <v>241</v>
      </c>
      <c r="B2178" s="835" t="str">
        <f>IF(C2178="","",COUNTA($C$10:C2179))</f>
        <v/>
      </c>
      <c r="C2178" s="362"/>
      <c r="D2178" s="851"/>
      <c r="E2178" s="852" t="s">
        <v>1226</v>
      </c>
      <c r="F2178" s="848" t="str">
        <f>VLOOKUP(E2178,'9.may'!E:F,2,FALSE)</f>
        <v>asphalt batch mix plant 60T/h</v>
      </c>
      <c r="G2178" s="362" t="s">
        <v>4902</v>
      </c>
      <c r="H2178" s="847">
        <f>0.463/100</f>
        <v>4.6300000000000004E-3</v>
      </c>
      <c r="I2178" s="848">
        <f>VLOOKUP(E2178,'9.may'!E:W,12,FALSE)</f>
        <v>21355788.48</v>
      </c>
      <c r="J2178" s="853">
        <f>I2178*H2178</f>
        <v>98877.300662400012</v>
      </c>
      <c r="N2178" s="843" t="e">
        <f>SUMIF(#REF!,'8.Dgia'!A2178,#REF!)+SUMIF(#REF!,'8.Dgia'!A2178,#REF!)+SUMIF(#REF!,'8.Dgia'!A2178,#REF!)+SUMIF(#REF!,'8.Dgia'!A2178,#REF!)</f>
        <v>#REF!</v>
      </c>
      <c r="O2178" s="844">
        <f>+$H$2181</f>
        <v>2</v>
      </c>
      <c r="P2178" s="843" t="e">
        <f t="shared" si="100"/>
        <v>#REF!</v>
      </c>
    </row>
    <row r="2179" spans="1:18" ht="15" customHeight="1">
      <c r="A2179" s="657">
        <f>IF(B2179="",MAX($A$8:A2178)+0,MAX($A$8:A2178)+1)</f>
        <v>241</v>
      </c>
      <c r="B2179" s="835" t="str">
        <f>IF(C2179="","",COUNTA($C$10:C2180))</f>
        <v/>
      </c>
      <c r="C2179" s="362"/>
      <c r="D2179" s="851"/>
      <c r="E2179" s="852" t="s">
        <v>784</v>
      </c>
      <c r="F2179" s="848" t="str">
        <f>VLOOKUP(E2179,'9.may'!E:F,2,FALSE)</f>
        <v>avulsion excavator 2.3m3</v>
      </c>
      <c r="G2179" s="362" t="s">
        <v>4902</v>
      </c>
      <c r="H2179" s="847">
        <f>H2178</f>
        <v>4.6300000000000004E-3</v>
      </c>
      <c r="I2179" s="848">
        <f>VLOOKUP(E2179,'9.may'!E:W,12,FALSE)</f>
        <v>5629111.3909090906</v>
      </c>
      <c r="J2179" s="853">
        <f>I2179*H2179</f>
        <v>26062.785739909094</v>
      </c>
      <c r="N2179" s="843" t="e">
        <f>SUMIF(#REF!,'8.Dgia'!A2179,#REF!)+SUMIF(#REF!,'8.Dgia'!A2179,#REF!)+SUMIF(#REF!,'8.Dgia'!A2179,#REF!)+SUMIF(#REF!,'8.Dgia'!A2179,#REF!)</f>
        <v>#REF!</v>
      </c>
      <c r="O2179" s="844">
        <f>+$H$2181</f>
        <v>2</v>
      </c>
      <c r="P2179" s="843" t="e">
        <f t="shared" si="100"/>
        <v>#REF!</v>
      </c>
    </row>
    <row r="2180" spans="1:18" ht="15" customHeight="1">
      <c r="A2180" s="657">
        <f>IF(B2180="",MAX($A$8:A2179)+0,MAX($A$8:A2179)+1)</f>
        <v>241</v>
      </c>
      <c r="B2180" s="835" t="str">
        <f>IF(C2180="","",COUNTA($C$10:C2181))</f>
        <v/>
      </c>
      <c r="C2180" s="362"/>
      <c r="D2180" s="851"/>
      <c r="E2180" s="852" t="s">
        <v>624</v>
      </c>
      <c r="F2180" s="848" t="str">
        <f>VLOOKUP(E2180,'9.may'!E:F,2,FALSE)</f>
        <v>bulldozer 108CV</v>
      </c>
      <c r="G2180" s="362" t="s">
        <v>4902</v>
      </c>
      <c r="H2180" s="847">
        <f>0.3/100</f>
        <v>3.0000000000000001E-3</v>
      </c>
      <c r="I2180" s="848">
        <f>VLOOKUP(E2180,'9.may'!E:W,12,FALSE)</f>
        <v>1959433.0499999998</v>
      </c>
      <c r="J2180" s="853">
        <f>I2180*H2180</f>
        <v>5878.2991499999998</v>
      </c>
      <c r="N2180" s="843" t="e">
        <f>SUMIF(#REF!,'8.Dgia'!A2180,#REF!)+SUMIF(#REF!,'8.Dgia'!A2180,#REF!)+SUMIF(#REF!,'8.Dgia'!A2180,#REF!)+SUMIF(#REF!,'8.Dgia'!A2180,#REF!)</f>
        <v>#REF!</v>
      </c>
      <c r="O2180" s="844">
        <f>+$H$2181</f>
        <v>2</v>
      </c>
      <c r="P2180" s="843" t="e">
        <f t="shared" si="100"/>
        <v>#REF!</v>
      </c>
    </row>
    <row r="2181" spans="1:18" ht="15" customHeight="1">
      <c r="A2181" s="657">
        <f>IF(B2181="",MAX($A$8:A2180)+0,MAX($A$8:A2180)+1)</f>
        <v>241</v>
      </c>
      <c r="B2181" s="835" t="str">
        <f>IF(C2181="","",COUNTA($C$10:C2182))</f>
        <v/>
      </c>
      <c r="C2181" s="362"/>
      <c r="D2181" s="851"/>
      <c r="E2181" s="852" t="s">
        <v>553</v>
      </c>
      <c r="F2181" s="848" t="str">
        <f>VLOOKUP(E2181,DICH!B:C,2,FALSE)</f>
        <v>Other machine</v>
      </c>
      <c r="G2181" s="362" t="s">
        <v>554</v>
      </c>
      <c r="H2181" s="847">
        <v>2</v>
      </c>
      <c r="I2181" s="848">
        <f>SUM(J2178:J2180)</f>
        <v>130818.3855523091</v>
      </c>
      <c r="J2181" s="853">
        <f>I2181*H2181%</f>
        <v>2616.3677110461822</v>
      </c>
      <c r="N2181" s="843" t="e">
        <f>SUMIF(#REF!,'8.Dgia'!A2181,#REF!)+SUMIF(#REF!,'8.Dgia'!A2181,#REF!)+SUMIF(#REF!,'8.Dgia'!A2181,#REF!)+SUMIF(#REF!,'8.Dgia'!A2181,#REF!)</f>
        <v>#REF!</v>
      </c>
      <c r="O2181" s="844"/>
      <c r="P2181" s="843" t="e">
        <f t="shared" si="100"/>
        <v>#REF!</v>
      </c>
    </row>
    <row r="2182" spans="1:18" ht="15" customHeight="1">
      <c r="A2182" s="657">
        <f>IF(B2182="",MAX($A$8:A2181)+0,MAX($A$8:A2181)+1)</f>
        <v>242</v>
      </c>
      <c r="B2182" s="835">
        <f>IF(C2182="","",COUNTA($C$10:C2183))</f>
        <v>242</v>
      </c>
      <c r="C2182" s="835">
        <f>IF(D2182="","",1776)</f>
        <v>1776</v>
      </c>
      <c r="D2182" s="362" t="s">
        <v>699</v>
      </c>
      <c r="E2182" s="855" t="s">
        <v>7</v>
      </c>
      <c r="F2182" s="1049" t="str">
        <f>VLOOKUP(E2182,DICH!B:C,2,FALSE)</f>
        <v>Ploughing the old pavement</v>
      </c>
      <c r="G2182" s="882" t="s">
        <v>547</v>
      </c>
      <c r="H2182" s="900"/>
      <c r="I2182" s="848"/>
      <c r="J2182" s="853"/>
      <c r="L2182" s="842">
        <f>+J2183</f>
        <v>58018.531999999992</v>
      </c>
      <c r="M2182" s="842">
        <f>+J2184</f>
        <v>154441.15135776001</v>
      </c>
      <c r="N2182" s="843" t="e">
        <f>SUMIF(#REF!,'8.Dgia'!A2182,#REF!)+SUMIF(#REF!,'8.Dgia'!A2182,#REF!)+SUMIF(#REF!,'8.Dgia'!A2182,#REF!)+SUMIF(#REF!,'8.Dgia'!A2182,#REF!)</f>
        <v>#REF!</v>
      </c>
      <c r="O2182" s="844"/>
      <c r="P2182" s="843" t="e">
        <f t="shared" si="100"/>
        <v>#REF!</v>
      </c>
    </row>
    <row r="2183" spans="1:18" ht="15" customHeight="1">
      <c r="A2183" s="657">
        <f>IF(B2183="",MAX($A$8:A2182)+0,MAX($A$8:A2182)+1)</f>
        <v>242</v>
      </c>
      <c r="B2183" s="835" t="str">
        <f>IF(C2183="","",COUNTA($C$10:C2184))</f>
        <v/>
      </c>
      <c r="C2183" s="362"/>
      <c r="D2183" s="362"/>
      <c r="E2183" s="852" t="s">
        <v>2037</v>
      </c>
      <c r="F2183" s="848" t="str">
        <f>VLOOKUP(E2183,DICH!B:C,2,FALSE)</f>
        <v xml:space="preserve">  B - Labour 3.5/7</v>
      </c>
      <c r="G2183" s="883" t="s">
        <v>4899</v>
      </c>
      <c r="H2183" s="900">
        <v>0.28599999999999998</v>
      </c>
      <c r="I2183" s="848">
        <f>VLOOKUP(E2183,'16.NC'!$C$11:$F$22,4,FALSE)</f>
        <v>202862</v>
      </c>
      <c r="J2183" s="849">
        <f>I2183*H2183</f>
        <v>58018.531999999992</v>
      </c>
      <c r="N2183" s="843" t="e">
        <f>SUMIF(#REF!,'8.Dgia'!A2183,#REF!)+SUMIF(#REF!,'8.Dgia'!A2183,#REF!)+SUMIF(#REF!,'8.Dgia'!A2183,#REF!)+SUMIF(#REF!,'8.Dgia'!A2183,#REF!)</f>
        <v>#REF!</v>
      </c>
      <c r="O2183" s="844"/>
      <c r="P2183" s="843" t="e">
        <f t="shared" si="100"/>
        <v>#REF!</v>
      </c>
      <c r="R2183" s="658">
        <v>1</v>
      </c>
    </row>
    <row r="2184" spans="1:18" ht="15" customHeight="1">
      <c r="A2184" s="657">
        <f>IF(B2184="",MAX($A$8:A2183)+0,MAX($A$8:A2183)+1)</f>
        <v>242</v>
      </c>
      <c r="B2184" s="835" t="str">
        <f>IF(C2184="","",COUNTA($C$10:C2185))</f>
        <v/>
      </c>
      <c r="C2184" s="362"/>
      <c r="D2184" s="362"/>
      <c r="E2184" s="852" t="s">
        <v>2033</v>
      </c>
      <c r="F2184" s="848" t="str">
        <f>VLOOKUP(E2184,DICH!B:C,2,FALSE)</f>
        <v xml:space="preserve">  C - Machine</v>
      </c>
      <c r="G2184" s="883"/>
      <c r="H2184" s="900"/>
      <c r="I2184" s="848"/>
      <c r="J2184" s="849">
        <f>SUM(J2185:J2187)</f>
        <v>154441.15135776001</v>
      </c>
      <c r="N2184" s="843" t="e">
        <f>SUMIF(#REF!,'8.Dgia'!A2184,#REF!)+SUMIF(#REF!,'8.Dgia'!A2184,#REF!)+SUMIF(#REF!,'8.Dgia'!A2184,#REF!)+SUMIF(#REF!,'8.Dgia'!A2184,#REF!)</f>
        <v>#REF!</v>
      </c>
      <c r="O2184" s="844"/>
      <c r="P2184" s="843" t="e">
        <f t="shared" si="100"/>
        <v>#REF!</v>
      </c>
    </row>
    <row r="2185" spans="1:18" ht="15" customHeight="1">
      <c r="A2185" s="657">
        <f>IF(B2185="",MAX($A$8:A2184)+0,MAX($A$8:A2184)+1)</f>
        <v>242</v>
      </c>
      <c r="B2185" s="835" t="str">
        <f>IF(C2185="","",COUNTA($C$10:C2186))</f>
        <v/>
      </c>
      <c r="C2185" s="362"/>
      <c r="D2185" s="362"/>
      <c r="E2185" s="852" t="s">
        <v>296</v>
      </c>
      <c r="F2185" s="848" t="str">
        <f>VLOOKUP(E2185,'9.may'!E:F,2,FALSE)</f>
        <v>Motor grader 180CV</v>
      </c>
      <c r="G2185" s="883" t="s">
        <v>4902</v>
      </c>
      <c r="H2185" s="900">
        <v>3.5999999999999997E-2</v>
      </c>
      <c r="I2185" s="848">
        <f>VLOOKUP(E2185,'9.may'!E:W,12,FALSE)</f>
        <v>1686858.9507272728</v>
      </c>
      <c r="J2185" s="853">
        <f>I2185*H2185</f>
        <v>60726.922226181814</v>
      </c>
      <c r="N2185" s="843" t="e">
        <f>SUMIF(#REF!,'8.Dgia'!A2185,#REF!)+SUMIF(#REF!,'8.Dgia'!A2185,#REF!)+SUMIF(#REF!,'8.Dgia'!A2185,#REF!)+SUMIF(#REF!,'8.Dgia'!A2185,#REF!)</f>
        <v>#REF!</v>
      </c>
      <c r="O2185" s="844">
        <f>+$H$2187</f>
        <v>2</v>
      </c>
      <c r="P2185" s="843" t="e">
        <f t="shared" si="100"/>
        <v>#REF!</v>
      </c>
    </row>
    <row r="2186" spans="1:18" ht="15" customHeight="1">
      <c r="A2186" s="657">
        <f>IF(B2186="",MAX($A$8:A2185)+0,MAX($A$8:A2185)+1)</f>
        <v>242</v>
      </c>
      <c r="B2186" s="835" t="str">
        <f>IF(C2186="","",COUNTA($C$10:C2187))</f>
        <v/>
      </c>
      <c r="C2186" s="362"/>
      <c r="D2186" s="362"/>
      <c r="E2186" s="852" t="s">
        <v>368</v>
      </c>
      <c r="F2186" s="848" t="str">
        <f>VLOOKUP(E2186,'9.may'!E:F,2,FALSE)</f>
        <v>bulldozer 140CV</v>
      </c>
      <c r="G2186" s="883" t="s">
        <v>4902</v>
      </c>
      <c r="H2186" s="900">
        <v>3.5999999999999997E-2</v>
      </c>
      <c r="I2186" s="848">
        <f>VLOOKUP(E2186,'9.may'!E:W,12,FALSE)</f>
        <v>2519054.7572727273</v>
      </c>
      <c r="J2186" s="853">
        <f>I2186*H2186</f>
        <v>90685.97126181818</v>
      </c>
      <c r="N2186" s="843" t="e">
        <f>SUMIF(#REF!,'8.Dgia'!A2186,#REF!)+SUMIF(#REF!,'8.Dgia'!A2186,#REF!)+SUMIF(#REF!,'8.Dgia'!A2186,#REF!)+SUMIF(#REF!,'8.Dgia'!A2186,#REF!)</f>
        <v>#REF!</v>
      </c>
      <c r="O2186" s="844">
        <f>+$H$2187</f>
        <v>2</v>
      </c>
      <c r="P2186" s="843" t="e">
        <f t="shared" si="100"/>
        <v>#REF!</v>
      </c>
    </row>
    <row r="2187" spans="1:18" ht="15" customHeight="1">
      <c r="A2187" s="657">
        <f>IF(B2187="",MAX($A$8:A2186)+0,MAX($A$8:A2186)+1)</f>
        <v>242</v>
      </c>
      <c r="B2187" s="835" t="str">
        <f>IF(C2187="","",COUNTA($C$10:C2188))</f>
        <v/>
      </c>
      <c r="C2187" s="362"/>
      <c r="D2187" s="362"/>
      <c r="E2187" s="852" t="s">
        <v>553</v>
      </c>
      <c r="F2187" s="848" t="str">
        <f>VLOOKUP(E2187,DICH!B:C,2,FALSE)</f>
        <v>Other machine</v>
      </c>
      <c r="G2187" s="362" t="s">
        <v>554</v>
      </c>
      <c r="H2187" s="900">
        <v>2</v>
      </c>
      <c r="I2187" s="848">
        <f>SUM(J2185:J2186)</f>
        <v>151412.893488</v>
      </c>
      <c r="J2187" s="853">
        <f>I2187*H2187%</f>
        <v>3028.2578697600002</v>
      </c>
      <c r="N2187" s="843" t="e">
        <f>SUMIF(#REF!,'8.Dgia'!A2187,#REF!)+SUMIF(#REF!,'8.Dgia'!A2187,#REF!)+SUMIF(#REF!,'8.Dgia'!A2187,#REF!)+SUMIF(#REF!,'8.Dgia'!A2187,#REF!)</f>
        <v>#REF!</v>
      </c>
      <c r="O2187" s="844"/>
      <c r="P2187" s="843" t="e">
        <f t="shared" si="100"/>
        <v>#REF!</v>
      </c>
    </row>
    <row r="2188" spans="1:18" ht="15" customHeight="1">
      <c r="A2188" s="657">
        <f>IF(B2188="",MAX($A$8:A2187)+0,MAX($A$8:A2187)+1)</f>
        <v>243</v>
      </c>
      <c r="B2188" s="835">
        <f>IF(C2188="","",COUNTA($C$10:C2189))</f>
        <v>243</v>
      </c>
      <c r="C2188" s="855" t="s">
        <v>5630</v>
      </c>
      <c r="D2188" s="855" t="s">
        <v>5628</v>
      </c>
      <c r="E2188" s="855" t="s">
        <v>5631</v>
      </c>
      <c r="F2188" s="848"/>
      <c r="G2188" s="882" t="s">
        <v>548</v>
      </c>
      <c r="H2188" s="900"/>
      <c r="I2188" s="848"/>
      <c r="J2188" s="853"/>
      <c r="L2188" s="842">
        <f>+J2189</f>
        <v>2411.6534999999999</v>
      </c>
      <c r="M2188" s="842">
        <f>+J2190</f>
        <v>10113.092722498908</v>
      </c>
      <c r="N2188" s="843" t="e">
        <f>SUMIF(#REF!,'8.Dgia'!A2188,#REF!)+SUMIF(#REF!,'8.Dgia'!A2188,#REF!)+SUMIF(#REF!,'8.Dgia'!A2188,#REF!)+SUMIF(#REF!,'8.Dgia'!A2188,#REF!)</f>
        <v>#REF!</v>
      </c>
      <c r="O2188" s="844"/>
      <c r="P2188" s="843" t="e">
        <f t="shared" ref="P2188:P2195" si="101">$H2188*N2188*(1+O2188%)</f>
        <v>#REF!</v>
      </c>
    </row>
    <row r="2189" spans="1:18" ht="15" customHeight="1">
      <c r="A2189" s="657">
        <f>IF(B2189="",MAX($A$8:A2188)+0,MAX($A$8:A2188)+1)</f>
        <v>243</v>
      </c>
      <c r="B2189" s="835" t="str">
        <f>IF(C2189="","",COUNTA($C$10:C2190))</f>
        <v/>
      </c>
      <c r="C2189" s="852"/>
      <c r="D2189" s="852" t="s">
        <v>5629</v>
      </c>
      <c r="E2189" s="852" t="s">
        <v>2042</v>
      </c>
      <c r="F2189" s="848"/>
      <c r="G2189" s="883" t="s">
        <v>4899</v>
      </c>
      <c r="H2189" s="900">
        <v>1.35E-2</v>
      </c>
      <c r="I2189" s="848">
        <f>VLOOKUP(E2189,'16.NC'!$C$11:$F$22,4,FALSE)</f>
        <v>178641</v>
      </c>
      <c r="J2189" s="849">
        <f>I2189*H2189</f>
        <v>2411.6534999999999</v>
      </c>
      <c r="N2189" s="843" t="e">
        <f>SUMIF(#REF!,'8.Dgia'!A2189,#REF!)+SUMIF(#REF!,'8.Dgia'!A2189,#REF!)+SUMIF(#REF!,'8.Dgia'!A2189,#REF!)+SUMIF(#REF!,'8.Dgia'!A2189,#REF!)</f>
        <v>#REF!</v>
      </c>
      <c r="O2189" s="844"/>
      <c r="P2189" s="843" t="e">
        <f t="shared" si="101"/>
        <v>#REF!</v>
      </c>
    </row>
    <row r="2190" spans="1:18" ht="15" customHeight="1">
      <c r="A2190" s="657">
        <f>IF(B2190="",MAX($A$8:A2189)+0,MAX($A$8:A2189)+1)</f>
        <v>243</v>
      </c>
      <c r="B2190" s="835" t="str">
        <f>IF(C2190="","",COUNTA($C$10:C2191))</f>
        <v/>
      </c>
      <c r="C2190" s="852"/>
      <c r="D2190" s="852"/>
      <c r="E2190" s="852" t="s">
        <v>2033</v>
      </c>
      <c r="F2190" s="848"/>
      <c r="G2190" s="883"/>
      <c r="H2190" s="900"/>
      <c r="I2190" s="848"/>
      <c r="J2190" s="849">
        <f>SUM(J2191:J2194)</f>
        <v>10113.092722498908</v>
      </c>
      <c r="N2190" s="843" t="e">
        <f>SUMIF(#REF!,'8.Dgia'!A2190,#REF!)+SUMIF(#REF!,'8.Dgia'!A2190,#REF!)+SUMIF(#REF!,'8.Dgia'!A2190,#REF!)+SUMIF(#REF!,'8.Dgia'!A2190,#REF!)</f>
        <v>#REF!</v>
      </c>
      <c r="O2190" s="844"/>
      <c r="P2190" s="843" t="e">
        <f t="shared" si="101"/>
        <v>#REF!</v>
      </c>
    </row>
    <row r="2191" spans="1:18" ht="15" customHeight="1">
      <c r="A2191" s="657">
        <f>IF(B2191="",MAX($A$8:A2190)+0,MAX($A$8:A2190)+1)</f>
        <v>243</v>
      </c>
      <c r="B2191" s="835" t="str">
        <f>IF(C2191="","",COUNTA($C$10:C2192))</f>
        <v/>
      </c>
      <c r="C2191" s="852"/>
      <c r="D2191" s="852"/>
      <c r="E2191" s="852" t="s">
        <v>296</v>
      </c>
      <c r="F2191" s="848"/>
      <c r="G2191" s="883" t="s">
        <v>4902</v>
      </c>
      <c r="H2191" s="900">
        <v>1.8E-3</v>
      </c>
      <c r="I2191" s="848">
        <f>VLOOKUP(E2191,'9.may'!E:W,12,FALSE)</f>
        <v>1686858.9507272728</v>
      </c>
      <c r="J2191" s="853">
        <f>I2191*H2191</f>
        <v>3036.3461113090907</v>
      </c>
      <c r="N2191" s="843" t="e">
        <f>SUMIF(#REF!,'8.Dgia'!A2191,#REF!)+SUMIF(#REF!,'8.Dgia'!A2191,#REF!)+SUMIF(#REF!,'8.Dgia'!A2191,#REF!)+SUMIF(#REF!,'8.Dgia'!A2191,#REF!)</f>
        <v>#REF!</v>
      </c>
      <c r="O2191" s="844">
        <v>2</v>
      </c>
      <c r="P2191" s="843" t="e">
        <f t="shared" si="101"/>
        <v>#REF!</v>
      </c>
    </row>
    <row r="2192" spans="1:18" ht="15" customHeight="1">
      <c r="A2192" s="657">
        <f>IF(B2192="",MAX($A$8:A2191)+0,MAX($A$8:A2191)+1)</f>
        <v>243</v>
      </c>
      <c r="B2192" s="835" t="str">
        <f>IF(C2192="","",COUNTA($C$10:C2193))</f>
        <v/>
      </c>
      <c r="C2192" s="852"/>
      <c r="D2192" s="852"/>
      <c r="E2192" s="852" t="s">
        <v>962</v>
      </c>
      <c r="F2192" s="848"/>
      <c r="G2192" s="883" t="s">
        <v>4902</v>
      </c>
      <c r="H2192" s="900">
        <v>1.5E-3</v>
      </c>
      <c r="I2192" s="848">
        <f>VLOOKUP(E2192,'9.may'!E:W,12,FALSE)</f>
        <v>985099.64727272722</v>
      </c>
      <c r="J2192" s="853">
        <f>I2192*H2192</f>
        <v>1477.649470909091</v>
      </c>
      <c r="N2192" s="843" t="e">
        <f>SUMIF(#REF!,'8.Dgia'!A2192,#REF!)+SUMIF(#REF!,'8.Dgia'!A2192,#REF!)+SUMIF(#REF!,'8.Dgia'!A2192,#REF!)+SUMIF(#REF!,'8.Dgia'!A2192,#REF!)</f>
        <v>#REF!</v>
      </c>
      <c r="O2192" s="844">
        <v>2</v>
      </c>
      <c r="P2192" s="843" t="e">
        <f t="shared" si="101"/>
        <v>#REF!</v>
      </c>
    </row>
    <row r="2193" spans="1:18" ht="15" customHeight="1">
      <c r="A2193" s="657">
        <f>IF(B2193="",MAX($A$8:A2192)+0,MAX($A$8:A2192)+1)</f>
        <v>243</v>
      </c>
      <c r="B2193" s="835" t="str">
        <f>IF(C2193="","",COUNTA($C$10:C2194))</f>
        <v/>
      </c>
      <c r="C2193" s="852"/>
      <c r="D2193" s="852"/>
      <c r="E2193" s="852" t="s">
        <v>878</v>
      </c>
      <c r="F2193" s="848"/>
      <c r="G2193" s="883" t="s">
        <v>4902</v>
      </c>
      <c r="H2193" s="900">
        <v>3.0000000000000001E-3</v>
      </c>
      <c r="I2193" s="848">
        <f>VLOOKUP(E2193,'9.may'!E:W,12,FALSE)</f>
        <v>1800267.0681818181</v>
      </c>
      <c r="J2193" s="853">
        <f>I2193*H2193</f>
        <v>5400.8012045454543</v>
      </c>
      <c r="N2193" s="843" t="e">
        <f>SUMIF(#REF!,'8.Dgia'!A2193,#REF!)+SUMIF(#REF!,'8.Dgia'!A2193,#REF!)+SUMIF(#REF!,'8.Dgia'!A2193,#REF!)+SUMIF(#REF!,'8.Dgia'!A2193,#REF!)</f>
        <v>#REF!</v>
      </c>
      <c r="O2193" s="844">
        <v>2</v>
      </c>
      <c r="P2193" s="843" t="e">
        <f t="shared" si="101"/>
        <v>#REF!</v>
      </c>
    </row>
    <row r="2194" spans="1:18" ht="15" customHeight="1">
      <c r="A2194" s="657">
        <f>IF(B2194="",MAX($A$8:A2193)+0,MAX($A$8:A2193)+1)</f>
        <v>243</v>
      </c>
      <c r="B2194" s="835" t="str">
        <f>IF(C2194="","",COUNTA($C$10:C2195))</f>
        <v/>
      </c>
      <c r="C2194" s="855"/>
      <c r="D2194" s="855"/>
      <c r="E2194" s="852" t="s">
        <v>553</v>
      </c>
      <c r="F2194" s="848"/>
      <c r="G2194" s="362" t="s">
        <v>554</v>
      </c>
      <c r="H2194" s="900">
        <v>2</v>
      </c>
      <c r="I2194" s="848">
        <f>SUM(J2191:J2193)</f>
        <v>9914.7967867636362</v>
      </c>
      <c r="J2194" s="853">
        <f>+I2194*H2194%</f>
        <v>198.29593573527274</v>
      </c>
      <c r="N2194" s="843" t="e">
        <f>SUMIF(#REF!,'8.Dgia'!A2194,#REF!)+SUMIF(#REF!,'8.Dgia'!A2194,#REF!)+SUMIF(#REF!,'8.Dgia'!A2194,#REF!)+SUMIF(#REF!,'8.Dgia'!A2194,#REF!)</f>
        <v>#REF!</v>
      </c>
      <c r="O2194" s="844"/>
      <c r="P2194" s="843" t="e">
        <f t="shared" si="101"/>
        <v>#REF!</v>
      </c>
    </row>
    <row r="2195" spans="1:18" ht="15" customHeight="1">
      <c r="A2195" s="657">
        <f>IF(B2195="",MAX($A$8:A2194)+0,MAX($A$8:A2194)+1)</f>
        <v>244</v>
      </c>
      <c r="B2195" s="835">
        <f>IF(C2195="","",COUNTA($C$10:C2196))</f>
        <v>244</v>
      </c>
      <c r="C2195" s="835">
        <f>IF(D2195="","",1776)</f>
        <v>1776</v>
      </c>
      <c r="D2195" s="362" t="s">
        <v>700</v>
      </c>
      <c r="E2195" s="855" t="s">
        <v>8</v>
      </c>
      <c r="F2195" s="1049" t="str">
        <f>VLOOKUP(E2195,DICH!B:C,2,FALSE)</f>
        <v>Installing corrugated sheet iron</v>
      </c>
      <c r="G2195" s="884" t="s">
        <v>543</v>
      </c>
      <c r="H2195" s="847"/>
      <c r="I2195" s="848"/>
      <c r="J2195" s="853"/>
      <c r="K2195" s="842">
        <f>+J2196</f>
        <v>668419.66575013392</v>
      </c>
      <c r="L2195" s="842">
        <f>+J2202</f>
        <v>14230.255000000001</v>
      </c>
      <c r="N2195" s="843" t="e">
        <f>SUMIF(#REF!,'8.Dgia'!A2195,#REF!)+SUMIF(#REF!,'8.Dgia'!A2195,#REF!)+SUMIF(#REF!,'8.Dgia'!A2195,#REF!)+SUMIF(#REF!,'8.Dgia'!A2195,#REF!)</f>
        <v>#REF!</v>
      </c>
      <c r="O2195" s="844"/>
      <c r="P2195" s="843" t="e">
        <f t="shared" si="101"/>
        <v>#REF!</v>
      </c>
    </row>
    <row r="2196" spans="1:18" ht="15" customHeight="1">
      <c r="A2196" s="657">
        <f>IF(B2196="",MAX($A$8:A2195)+0,MAX($A$8:A2195)+1)</f>
        <v>244</v>
      </c>
      <c r="B2196" s="835" t="str">
        <f>IF(C2196="","",COUNTA($C$10:C2197))</f>
        <v/>
      </c>
      <c r="C2196" s="362"/>
      <c r="D2196" s="362"/>
      <c r="E2196" s="852" t="s">
        <v>2032</v>
      </c>
      <c r="F2196" s="848" t="str">
        <f>VLOOKUP(E2196,DICH!B:C,2,FALSE)</f>
        <v xml:space="preserve">  A - Material</v>
      </c>
      <c r="G2196" s="883"/>
      <c r="H2196" s="847"/>
      <c r="I2196" s="848"/>
      <c r="J2196" s="849">
        <f>SUM(J2197:J2201)</f>
        <v>668419.66575013392</v>
      </c>
      <c r="N2196" s="843" t="e">
        <f>SUMIF(#REF!,'8.Dgia'!A2196,#REF!)+SUMIF(#REF!,'8.Dgia'!A2196,#REF!)+SUMIF(#REF!,'8.Dgia'!A2196,#REF!)+SUMIF(#REF!,'8.Dgia'!A2196,#REF!)</f>
        <v>#REF!</v>
      </c>
      <c r="O2196" s="844"/>
      <c r="P2196" s="843" t="e">
        <f t="shared" si="100"/>
        <v>#REF!</v>
      </c>
    </row>
    <row r="2197" spans="1:18" ht="15" customHeight="1">
      <c r="A2197" s="657">
        <f>IF(B2197="",MAX($A$8:A2196)+0,MAX($A$8:A2196)+1)</f>
        <v>244</v>
      </c>
      <c r="B2197" s="835" t="str">
        <f>IF(C2197="","",COUNTA($C$10:C2198))</f>
        <v/>
      </c>
      <c r="C2197" s="362"/>
      <c r="D2197" s="362"/>
      <c r="E2197" s="852" t="s">
        <v>9</v>
      </c>
      <c r="F2197" s="848" t="str">
        <f>VLOOKUP(E2197,DICH!B:C,2,FALSE)</f>
        <v>Corrugated sheet iron</v>
      </c>
      <c r="G2197" s="883" t="s">
        <v>543</v>
      </c>
      <c r="H2197" s="910">
        <v>1</v>
      </c>
      <c r="I2197" s="848">
        <f>VLOOKUP(E2197,'11.gia '!$B:$I,8,FALSE)</f>
        <v>314655.1724137931</v>
      </c>
      <c r="J2197" s="853">
        <f>I2197*H2197</f>
        <v>314655.1724137931</v>
      </c>
      <c r="N2197" s="843" t="e">
        <f>SUMIF(#REF!,'8.Dgia'!A2197,#REF!)+SUMIF(#REF!,'8.Dgia'!A2197,#REF!)+SUMIF(#REF!,'8.Dgia'!A2197,#REF!)+SUMIF(#REF!,'8.Dgia'!A2197,#REF!)</f>
        <v>#REF!</v>
      </c>
      <c r="O2197" s="844">
        <f>+$H$2201</f>
        <v>1.5</v>
      </c>
      <c r="P2197" s="843" t="e">
        <f t="shared" si="100"/>
        <v>#REF!</v>
      </c>
    </row>
    <row r="2198" spans="1:18" ht="15" customHeight="1">
      <c r="A2198" s="657">
        <f>IF(B2198="",MAX($A$8:A2197)+0,MAX($A$8:A2197)+1)</f>
        <v>244</v>
      </c>
      <c r="B2198" s="835" t="str">
        <f>IF(C2198="","",COUNTA($C$10:C2199))</f>
        <v/>
      </c>
      <c r="C2198" s="362"/>
      <c r="D2198" s="362"/>
      <c r="E2198" s="852" t="s">
        <v>10</v>
      </c>
      <c r="F2198" s="848" t="str">
        <f>VLOOKUP(E2198,DICH!B:C,2,FALSE)</f>
        <v>Column of corrugated sheet iron</v>
      </c>
      <c r="G2198" s="883" t="s">
        <v>45</v>
      </c>
      <c r="H2198" s="910"/>
      <c r="I2198" s="848"/>
      <c r="J2198" s="863" t="s">
        <v>2106</v>
      </c>
      <c r="N2198" s="843" t="e">
        <f>SUMIF(#REF!,'8.Dgia'!A2198,#REF!)+SUMIF(#REF!,'8.Dgia'!A2198,#REF!)+SUMIF(#REF!,'8.Dgia'!A2198,#REF!)+SUMIF(#REF!,'8.Dgia'!A2198,#REF!)</f>
        <v>#REF!</v>
      </c>
      <c r="O2198" s="844">
        <f>+$H$2201</f>
        <v>1.5</v>
      </c>
      <c r="P2198" s="843" t="e">
        <f t="shared" si="100"/>
        <v>#REF!</v>
      </c>
    </row>
    <row r="2199" spans="1:18" ht="15" customHeight="1">
      <c r="A2199" s="657">
        <f>IF(B2199="",MAX($A$8:A2198)+0,MAX($A$8:A2198)+1)</f>
        <v>244</v>
      </c>
      <c r="B2199" s="835" t="str">
        <f>IF(C2199="","",COUNTA($C$10:C2200))</f>
        <v/>
      </c>
      <c r="C2199" s="362"/>
      <c r="D2199" s="362"/>
      <c r="E2199" s="852" t="s">
        <v>623</v>
      </c>
      <c r="F2199" s="848" t="str">
        <f>VLOOKUP(E2199,DICH!B:C,2,FALSE)</f>
        <v>Bbolt M20</v>
      </c>
      <c r="G2199" s="362" t="s">
        <v>4649</v>
      </c>
      <c r="H2199" s="910">
        <f>12/3</f>
        <v>4</v>
      </c>
      <c r="I2199" s="848">
        <f>VLOOKUP(E2199,'11.gia '!$B:$I,8,FALSE)</f>
        <v>4000</v>
      </c>
      <c r="J2199" s="853">
        <f>I2199*H2199</f>
        <v>16000</v>
      </c>
      <c r="N2199" s="843" t="e">
        <f>SUMIF(#REF!,'8.Dgia'!A2199,#REF!)+SUMIF(#REF!,'8.Dgia'!A2199,#REF!)+SUMIF(#REF!,'8.Dgia'!A2199,#REF!)+SUMIF(#REF!,'8.Dgia'!A2199,#REF!)</f>
        <v>#REF!</v>
      </c>
      <c r="O2199" s="844">
        <f>+$H$2201</f>
        <v>1.5</v>
      </c>
      <c r="P2199" s="843" t="e">
        <f t="shared" si="100"/>
        <v>#REF!</v>
      </c>
    </row>
    <row r="2200" spans="1:18" ht="15" customHeight="1">
      <c r="A2200" s="657">
        <f>IF(B2200="",MAX($A$8:A2199)+0,MAX($A$8:A2199)+1)</f>
        <v>244</v>
      </c>
      <c r="B2200" s="835" t="str">
        <f>IF(C2200="","",COUNTA($C$10:C2201))</f>
        <v/>
      </c>
      <c r="C2200" s="362"/>
      <c r="D2200" s="362" t="str">
        <f>+'10.PLV'!$C$12</f>
        <v>C3123</v>
      </c>
      <c r="E2200" s="852" t="str">
        <f>+'10.PLV'!$D$12</f>
        <v>Vữa bê tông đá 1x2 C15 SN 2-4</v>
      </c>
      <c r="F2200" s="848" t="str">
        <f>VLOOKUP(E2200,DICH!B:C,2,FALSE)</f>
        <v>Concrete motar C15 stone 1x2 slump 2-4</v>
      </c>
      <c r="G2200" s="362" t="s">
        <v>545</v>
      </c>
      <c r="H2200" s="847">
        <v>0.4</v>
      </c>
      <c r="I2200" s="848">
        <f>VLOOKUP(E2200,'11.gia '!$B:$I,8,FALSE)</f>
        <v>819715.92549294059</v>
      </c>
      <c r="J2200" s="853">
        <f>I2200*H2200</f>
        <v>327886.37019717623</v>
      </c>
      <c r="N2200" s="843" t="e">
        <f>SUMIF(#REF!,'8.Dgia'!A2200,#REF!)+SUMIF(#REF!,'8.Dgia'!A2200,#REF!)+SUMIF(#REF!,'8.Dgia'!A2200,#REF!)+SUMIF(#REF!,'8.Dgia'!A2200,#REF!)</f>
        <v>#REF!</v>
      </c>
      <c r="O2200" s="844">
        <f>+$H$2201</f>
        <v>1.5</v>
      </c>
      <c r="P2200" s="843" t="e">
        <f t="shared" si="100"/>
        <v>#REF!</v>
      </c>
    </row>
    <row r="2201" spans="1:18" ht="15" customHeight="1">
      <c r="A2201" s="657">
        <f>IF(B2201="",MAX($A$8:A2200)+0,MAX($A$8:A2200)+1)</f>
        <v>244</v>
      </c>
      <c r="B2201" s="835" t="str">
        <f>IF(C2201="","",COUNTA($C$10:C2202))</f>
        <v/>
      </c>
      <c r="C2201" s="362"/>
      <c r="D2201" s="362"/>
      <c r="E2201" s="852" t="s">
        <v>555</v>
      </c>
      <c r="F2201" s="848" t="str">
        <f>VLOOKUP(E2201,DICH!B:C,2,FALSE)</f>
        <v>Other material</v>
      </c>
      <c r="G2201" s="362" t="s">
        <v>554</v>
      </c>
      <c r="H2201" s="847">
        <v>1.5</v>
      </c>
      <c r="I2201" s="848">
        <f>SUM(J2197:J2200)</f>
        <v>658541.54261096939</v>
      </c>
      <c r="J2201" s="853">
        <f>I2201*H2201%</f>
        <v>9878.1231391645397</v>
      </c>
      <c r="N2201" s="843" t="e">
        <f>SUMIF(#REF!,'8.Dgia'!A2201,#REF!)+SUMIF(#REF!,'8.Dgia'!A2201,#REF!)+SUMIF(#REF!,'8.Dgia'!A2201,#REF!)+SUMIF(#REF!,'8.Dgia'!A2201,#REF!)</f>
        <v>#REF!</v>
      </c>
      <c r="O2201" s="844"/>
      <c r="P2201" s="843" t="e">
        <f t="shared" si="100"/>
        <v>#REF!</v>
      </c>
    </row>
    <row r="2202" spans="1:18" ht="15" customHeight="1">
      <c r="A2202" s="657">
        <f>IF(B2202="",MAX($A$8:A2201)+0,MAX($A$8:A2201)+1)</f>
        <v>244</v>
      </c>
      <c r="B2202" s="835" t="str">
        <f>IF(C2202="","",COUNTA($C$10:C2203))</f>
        <v/>
      </c>
      <c r="C2202" s="362"/>
      <c r="D2202" s="362"/>
      <c r="E2202" s="852" t="s">
        <v>2039</v>
      </c>
      <c r="F2202" s="848" t="str">
        <f>VLOOKUP(E2202,DICH!B:C,2,FALSE)</f>
        <v xml:space="preserve">  B - Labour 4.0/7</v>
      </c>
      <c r="G2202" s="883" t="s">
        <v>4899</v>
      </c>
      <c r="H2202" s="847">
        <f>0.065</f>
        <v>6.5000000000000002E-2</v>
      </c>
      <c r="I2202" s="848">
        <f>VLOOKUP(E2202,'16.NC'!$C$11:$F$22,4,FALSE)</f>
        <v>218927</v>
      </c>
      <c r="J2202" s="849">
        <f>I2202*H2202</f>
        <v>14230.255000000001</v>
      </c>
      <c r="N2202" s="843" t="e">
        <f>SUMIF(#REF!,'8.Dgia'!A2202,#REF!)+SUMIF(#REF!,'8.Dgia'!A2202,#REF!)+SUMIF(#REF!,'8.Dgia'!A2202,#REF!)+SUMIF(#REF!,'8.Dgia'!A2202,#REF!)</f>
        <v>#REF!</v>
      </c>
      <c r="O2202" s="844"/>
      <c r="P2202" s="843" t="e">
        <f t="shared" si="100"/>
        <v>#REF!</v>
      </c>
      <c r="R2202" s="658">
        <v>1</v>
      </c>
    </row>
    <row r="2203" spans="1:18" ht="15" customHeight="1">
      <c r="A2203" s="657">
        <f>IF(B2203="",MAX($A$8:A2202)+0,MAX($A$8:A2202)+1)</f>
        <v>245</v>
      </c>
      <c r="B2203" s="835">
        <f>IF(C2203="","",COUNTA($C$10:C2204))</f>
        <v>245</v>
      </c>
      <c r="C2203" s="835">
        <f>IF(D2203="","",1776)</f>
        <v>1776</v>
      </c>
      <c r="D2203" s="362" t="s">
        <v>2054</v>
      </c>
      <c r="E2203" s="855" t="s">
        <v>11</v>
      </c>
      <c r="F2203" s="1049" t="str">
        <f>VLOOKUP(E2203,DICH!B:C,2,FALSE)</f>
        <v>Bedding stone 4x6</v>
      </c>
      <c r="G2203" s="882" t="s">
        <v>545</v>
      </c>
      <c r="H2203" s="882"/>
      <c r="I2203" s="848"/>
      <c r="J2203" s="853"/>
      <c r="K2203" s="842">
        <f>+J2204</f>
        <v>360177.5426994458</v>
      </c>
      <c r="L2203" s="842">
        <f>+J2207</f>
        <v>306497.8</v>
      </c>
      <c r="N2203" s="843" t="e">
        <f>SUMIF(#REF!,'8.Dgia'!A2203,#REF!)+SUMIF(#REF!,'8.Dgia'!A2203,#REF!)+SUMIF(#REF!,'8.Dgia'!A2203,#REF!)+SUMIF(#REF!,'8.Dgia'!A2203,#REF!)</f>
        <v>#REF!</v>
      </c>
      <c r="O2203" s="844"/>
      <c r="P2203" s="843" t="e">
        <f t="shared" si="100"/>
        <v>#REF!</v>
      </c>
    </row>
    <row r="2204" spans="1:18" ht="15" customHeight="1">
      <c r="A2204" s="657">
        <f>IF(B2204="",MAX($A$8:A2203)+0,MAX($A$8:A2203)+1)</f>
        <v>245</v>
      </c>
      <c r="B2204" s="835" t="str">
        <f>IF(C2204="","",COUNTA($C$10:C2205))</f>
        <v/>
      </c>
      <c r="C2204" s="362"/>
      <c r="D2204" s="362"/>
      <c r="E2204" s="852" t="s">
        <v>2032</v>
      </c>
      <c r="F2204" s="848" t="str">
        <f>VLOOKUP(E2204,DICH!B:C,2,FALSE)</f>
        <v xml:space="preserve">  A - Material</v>
      </c>
      <c r="G2204" s="847"/>
      <c r="H2204" s="847"/>
      <c r="I2204" s="848"/>
      <c r="J2204" s="849">
        <f>J2205</f>
        <v>360177.5426994458</v>
      </c>
      <c r="N2204" s="843" t="e">
        <f>SUMIF(#REF!,'8.Dgia'!A2204,#REF!)+SUMIF(#REF!,'8.Dgia'!A2204,#REF!)+SUMIF(#REF!,'8.Dgia'!A2204,#REF!)+SUMIF(#REF!,'8.Dgia'!A2204,#REF!)</f>
        <v>#REF!</v>
      </c>
      <c r="O2204" s="844"/>
      <c r="P2204" s="843" t="e">
        <f t="shared" si="100"/>
        <v>#REF!</v>
      </c>
    </row>
    <row r="2205" spans="1:18" ht="15" customHeight="1">
      <c r="A2205" s="657">
        <f>IF(B2205="",MAX($A$8:A2204)+0,MAX($A$8:A2204)+1)</f>
        <v>245</v>
      </c>
      <c r="B2205" s="835" t="str">
        <f>IF(C2205="","",COUNTA($C$10:C2206))</f>
        <v/>
      </c>
      <c r="C2205" s="362"/>
      <c r="D2205" s="362"/>
      <c r="E2205" s="852" t="s">
        <v>4</v>
      </c>
      <c r="F2205" s="848" t="str">
        <f>VLOOKUP(E2205,DICH!B:C,2,FALSE)</f>
        <v>Stone 4x6</v>
      </c>
      <c r="G2205" s="847" t="s">
        <v>545</v>
      </c>
      <c r="H2205" s="847">
        <v>1.2</v>
      </c>
      <c r="I2205" s="848">
        <f>VLOOKUP(E2205,'11.gia '!$B:$I,8,FALSE)</f>
        <v>300147.95224953815</v>
      </c>
      <c r="J2205" s="853">
        <f>I2205*H2205</f>
        <v>360177.5426994458</v>
      </c>
      <c r="N2205" s="843" t="e">
        <f>SUMIF(#REF!,'8.Dgia'!A2205,#REF!)+SUMIF(#REF!,'8.Dgia'!A2205,#REF!)+SUMIF(#REF!,'8.Dgia'!A2205,#REF!)+SUMIF(#REF!,'8.Dgia'!A2205,#REF!)</f>
        <v>#REF!</v>
      </c>
      <c r="O2205" s="844"/>
      <c r="P2205" s="843" t="e">
        <f t="shared" si="100"/>
        <v>#REF!</v>
      </c>
    </row>
    <row r="2206" spans="1:18" ht="15" customHeight="1">
      <c r="A2206" s="657">
        <f>IF(B2206="",MAX($A$8:A2205)+0,MAX($A$8:A2205)+1)</f>
        <v>245</v>
      </c>
      <c r="B2206" s="835" t="str">
        <f>IF(C2206="","",COUNTA($C$10:C2207))</f>
        <v/>
      </c>
      <c r="C2206" s="362"/>
      <c r="D2206" s="362"/>
      <c r="E2206" s="852" t="s">
        <v>602</v>
      </c>
      <c r="F2206" s="848" t="str">
        <f>VLOOKUP(E2206,DICH!B:C,2,FALSE)</f>
        <v>Find sand</v>
      </c>
      <c r="G2206" s="847" t="s">
        <v>545</v>
      </c>
      <c r="H2206" s="847">
        <v>0.3</v>
      </c>
      <c r="I2206" s="848">
        <f>VLOOKUP(E2206,'11.gia '!$B:$I,8,FALSE)</f>
        <v>93213.626124769085</v>
      </c>
      <c r="J2206" s="853">
        <f>I2206*H2206</f>
        <v>27964.087837430725</v>
      </c>
      <c r="N2206" s="843" t="e">
        <f>SUMIF(#REF!,'8.Dgia'!A2206,#REF!)+SUMIF(#REF!,'8.Dgia'!A2206,#REF!)+SUMIF(#REF!,'8.Dgia'!A2206,#REF!)+SUMIF(#REF!,'8.Dgia'!A2206,#REF!)</f>
        <v>#REF!</v>
      </c>
      <c r="O2206" s="844"/>
      <c r="P2206" s="843" t="e">
        <f t="shared" si="100"/>
        <v>#REF!</v>
      </c>
    </row>
    <row r="2207" spans="1:18" ht="15" customHeight="1">
      <c r="A2207" s="657">
        <f>IF(B2207="",MAX($A$8:A2206)+0,MAX($A$8:A2206)+1)</f>
        <v>245</v>
      </c>
      <c r="B2207" s="835" t="str">
        <f>IF(C2207="","",COUNTA($C$10:C2208))</f>
        <v/>
      </c>
      <c r="C2207" s="362"/>
      <c r="D2207" s="362"/>
      <c r="E2207" s="852" t="s">
        <v>2039</v>
      </c>
      <c r="F2207" s="848" t="str">
        <f>VLOOKUP(E2207,DICH!B:C,2,FALSE)</f>
        <v xml:space="preserve">  B - Labour 4.0/7</v>
      </c>
      <c r="G2207" s="847" t="s">
        <v>4899</v>
      </c>
      <c r="H2207" s="847">
        <v>1.4</v>
      </c>
      <c r="I2207" s="848">
        <f>VLOOKUP(E2207,'16.NC'!$C$11:$F$22,4,FALSE)</f>
        <v>218927</v>
      </c>
      <c r="J2207" s="849">
        <f>I2207*H2207</f>
        <v>306497.8</v>
      </c>
      <c r="N2207" s="843" t="e">
        <f>SUMIF(#REF!,'8.Dgia'!A2207,#REF!)+SUMIF(#REF!,'8.Dgia'!A2207,#REF!)+SUMIF(#REF!,'8.Dgia'!A2207,#REF!)+SUMIF(#REF!,'8.Dgia'!A2207,#REF!)</f>
        <v>#REF!</v>
      </c>
      <c r="O2207" s="844"/>
      <c r="P2207" s="843" t="e">
        <f t="shared" si="100"/>
        <v>#REF!</v>
      </c>
      <c r="R2207" s="658">
        <v>1</v>
      </c>
    </row>
    <row r="2208" spans="1:18" ht="15" customHeight="1">
      <c r="A2208" s="657">
        <f>IF(B2208="",MAX($A$8:A2207)+0,MAX($A$8:A2207)+1)</f>
        <v>246</v>
      </c>
      <c r="B2208" s="835">
        <f>IF(C2208="","",COUNTA($C$10:C2209))</f>
        <v>246</v>
      </c>
      <c r="C2208" s="835">
        <f>IF(D2208="","",1776)</f>
        <v>1776</v>
      </c>
      <c r="D2208" s="847" t="s">
        <v>702</v>
      </c>
      <c r="E2208" s="855" t="s">
        <v>141</v>
      </c>
      <c r="F2208" s="1049" t="str">
        <f>VLOOKUP(E2208,DICH!B:C,2,FALSE)</f>
        <v>Road marking, thick 1.5mm</v>
      </c>
      <c r="G2208" s="882" t="s">
        <v>548</v>
      </c>
      <c r="H2208" s="847"/>
      <c r="I2208" s="848"/>
      <c r="J2208" s="853"/>
      <c r="K2208" s="842">
        <f>+J2209</f>
        <v>104518.96242424243</v>
      </c>
      <c r="L2208" s="842">
        <f>+J2214</f>
        <v>40438.75</v>
      </c>
      <c r="M2208" s="842">
        <f>+J2215</f>
        <v>34246.454831157316</v>
      </c>
      <c r="N2208" s="843" t="e">
        <f>SUMIF(#REF!,'8.Dgia'!A2208,#REF!)+SUMIF(#REF!,'8.Dgia'!A2208,#REF!)+SUMIF(#REF!,'8.Dgia'!A2208,#REF!)+SUMIF(#REF!,'8.Dgia'!A2208,#REF!)</f>
        <v>#REF!</v>
      </c>
      <c r="O2208" s="844"/>
      <c r="P2208" s="843" t="e">
        <f t="shared" si="100"/>
        <v>#REF!</v>
      </c>
      <c r="Q2208" s="657" t="s">
        <v>457</v>
      </c>
    </row>
    <row r="2209" spans="1:18" ht="15" customHeight="1">
      <c r="A2209" s="657">
        <f>IF(B2209="",MAX($A$8:A2208)+0,MAX($A$8:A2208)+1)</f>
        <v>246</v>
      </c>
      <c r="B2209" s="835" t="str">
        <f>IF(C2209="","",COUNTA($C$10:C2210))</f>
        <v/>
      </c>
      <c r="C2209" s="362"/>
      <c r="D2209" s="847"/>
      <c r="E2209" s="852" t="s">
        <v>2032</v>
      </c>
      <c r="F2209" s="848" t="str">
        <f>VLOOKUP(E2209,DICH!B:C,2,FALSE)</f>
        <v xml:space="preserve">  A - Material</v>
      </c>
      <c r="G2209" s="847"/>
      <c r="H2209" s="847"/>
      <c r="I2209" s="848"/>
      <c r="J2209" s="849">
        <f>SUM(J2210:J2213)</f>
        <v>104518.96242424243</v>
      </c>
      <c r="N2209" s="843" t="e">
        <f>SUMIF(#REF!,'8.Dgia'!A2209,#REF!)+SUMIF(#REF!,'8.Dgia'!A2209,#REF!)+SUMIF(#REF!,'8.Dgia'!A2209,#REF!)+SUMIF(#REF!,'8.Dgia'!A2209,#REF!)</f>
        <v>#REF!</v>
      </c>
      <c r="O2209" s="844"/>
      <c r="P2209" s="843" t="e">
        <f t="shared" si="100"/>
        <v>#REF!</v>
      </c>
    </row>
    <row r="2210" spans="1:18" ht="15" customHeight="1">
      <c r="A2210" s="657">
        <f>IF(B2210="",MAX($A$8:A2209)+0,MAX($A$8:A2209)+1)</f>
        <v>246</v>
      </c>
      <c r="B2210" s="835" t="str">
        <f>IF(C2210="","",COUNTA($C$10:C2211))</f>
        <v/>
      </c>
      <c r="C2210" s="362"/>
      <c r="D2210" s="847"/>
      <c r="E2210" s="852" t="s">
        <v>106</v>
      </c>
      <c r="F2210" s="848" t="str">
        <f>VLOOKUP(E2210,DICH!B:C,2,FALSE)</f>
        <v xml:space="preserve">Heat viscid paint </v>
      </c>
      <c r="G2210" s="847" t="s">
        <v>558</v>
      </c>
      <c r="H2210" s="847">
        <v>3.94</v>
      </c>
      <c r="I2210" s="848">
        <f>VLOOKUP(E2210,'11.gia '!$B:$I,8,FALSE)</f>
        <v>19800</v>
      </c>
      <c r="J2210" s="853">
        <f>I2210*H2210</f>
        <v>78012</v>
      </c>
      <c r="N2210" s="843" t="e">
        <f>SUMIF(#REF!,'8.Dgia'!A2210,#REF!)+SUMIF(#REF!,'8.Dgia'!A2210,#REF!)+SUMIF(#REF!,'8.Dgia'!A2210,#REF!)+SUMIF(#REF!,'8.Dgia'!A2210,#REF!)</f>
        <v>#REF!</v>
      </c>
      <c r="O2210" s="844">
        <f>+$H$2213</f>
        <v>1</v>
      </c>
      <c r="P2210" s="843" t="e">
        <f t="shared" si="100"/>
        <v>#REF!</v>
      </c>
    </row>
    <row r="2211" spans="1:18" ht="15" customHeight="1">
      <c r="A2211" s="657">
        <f>IF(B2211="",MAX($A$8:A2210)+0,MAX($A$8:A2210)+1)</f>
        <v>246</v>
      </c>
      <c r="B2211" s="835" t="str">
        <f>IF(C2211="","",COUNTA($C$10:C2212))</f>
        <v/>
      </c>
      <c r="C2211" s="362"/>
      <c r="D2211" s="847"/>
      <c r="E2211" s="852" t="s">
        <v>126</v>
      </c>
      <c r="F2211" s="848" t="str">
        <f>VLOOKUP(E2211,DICH!B:C,2,FALSE)</f>
        <v>Paint</v>
      </c>
      <c r="G2211" s="847" t="s">
        <v>558</v>
      </c>
      <c r="H2211" s="847">
        <v>0.25</v>
      </c>
      <c r="I2211" s="848">
        <f>VLOOKUP(E2211,'11.gia '!$B:$I,8,FALSE)</f>
        <v>86666.666666666672</v>
      </c>
      <c r="J2211" s="853">
        <f>I2211*H2211</f>
        <v>21666.666666666668</v>
      </c>
      <c r="N2211" s="843" t="e">
        <f>SUMIF(#REF!,'8.Dgia'!A2211,#REF!)+SUMIF(#REF!,'8.Dgia'!A2211,#REF!)+SUMIF(#REF!,'8.Dgia'!A2211,#REF!)+SUMIF(#REF!,'8.Dgia'!A2211,#REF!)</f>
        <v>#REF!</v>
      </c>
      <c r="O2211" s="844">
        <f>+$H$2213</f>
        <v>1</v>
      </c>
      <c r="P2211" s="843" t="e">
        <f t="shared" si="100"/>
        <v>#REF!</v>
      </c>
    </row>
    <row r="2212" spans="1:18" ht="15" customHeight="1">
      <c r="A2212" s="657">
        <f>IF(B2212="",MAX($A$8:A2211)+0,MAX($A$8:A2211)+1)</f>
        <v>246</v>
      </c>
      <c r="B2212" s="835" t="str">
        <f>IF(C2212="","",COUNTA($C$10:C2213))</f>
        <v/>
      </c>
      <c r="C2212" s="362"/>
      <c r="D2212" s="847"/>
      <c r="E2212" s="852" t="s">
        <v>419</v>
      </c>
      <c r="F2212" s="848" t="str">
        <f>VLOOKUP(E2212,DICH!B:C,2,FALSE)</f>
        <v>Gas</v>
      </c>
      <c r="G2212" s="847" t="s">
        <v>558</v>
      </c>
      <c r="H2212" s="847">
        <v>0.13800000000000001</v>
      </c>
      <c r="I2212" s="848">
        <f>VLOOKUP(E2212,'11.gia '!$B:$I,8,FALSE)</f>
        <v>27575.757575757572</v>
      </c>
      <c r="J2212" s="853">
        <f>I2212*H2212</f>
        <v>3805.4545454545455</v>
      </c>
      <c r="N2212" s="843" t="e">
        <f>SUMIF(#REF!,'8.Dgia'!A2212,#REF!)+SUMIF(#REF!,'8.Dgia'!A2212,#REF!)+SUMIF(#REF!,'8.Dgia'!A2212,#REF!)+SUMIF(#REF!,'8.Dgia'!A2212,#REF!)</f>
        <v>#REF!</v>
      </c>
      <c r="O2212" s="844">
        <f>+$H$2213</f>
        <v>1</v>
      </c>
      <c r="P2212" s="843" t="e">
        <f t="shared" si="100"/>
        <v>#REF!</v>
      </c>
    </row>
    <row r="2213" spans="1:18" ht="15" customHeight="1">
      <c r="A2213" s="657">
        <f>IF(B2213="",MAX($A$8:A2212)+0,MAX($A$8:A2212)+1)</f>
        <v>246</v>
      </c>
      <c r="B2213" s="835" t="str">
        <f>IF(C2213="","",COUNTA($C$10:C2214))</f>
        <v/>
      </c>
      <c r="C2213" s="362"/>
      <c r="D2213" s="847"/>
      <c r="E2213" s="852" t="s">
        <v>555</v>
      </c>
      <c r="F2213" s="848" t="str">
        <f>VLOOKUP(E2213,DICH!B:C,2,FALSE)</f>
        <v>Other material</v>
      </c>
      <c r="G2213" s="362" t="s">
        <v>554</v>
      </c>
      <c r="H2213" s="847">
        <v>1</v>
      </c>
      <c r="I2213" s="848">
        <f>SUM(J2210:J2212)</f>
        <v>103484.12121212122</v>
      </c>
      <c r="J2213" s="853">
        <f>I2213*H2213%</f>
        <v>1034.8412121212123</v>
      </c>
      <c r="N2213" s="843" t="e">
        <f>SUMIF(#REF!,'8.Dgia'!A2213,#REF!)+SUMIF(#REF!,'8.Dgia'!A2213,#REF!)+SUMIF(#REF!,'8.Dgia'!A2213,#REF!)+SUMIF(#REF!,'8.Dgia'!A2213,#REF!)</f>
        <v>#REF!</v>
      </c>
      <c r="O2213" s="844"/>
      <c r="P2213" s="843" t="e">
        <f t="shared" si="100"/>
        <v>#REF!</v>
      </c>
    </row>
    <row r="2214" spans="1:18" ht="15" customHeight="1">
      <c r="A2214" s="657">
        <f>IF(B2214="",MAX($A$8:A2213)+0,MAX($A$8:A2213)+1)</f>
        <v>246</v>
      </c>
      <c r="B2214" s="835" t="str">
        <f>IF(C2214="","",COUNTA($C$10:C2215))</f>
        <v/>
      </c>
      <c r="C2214" s="362"/>
      <c r="D2214" s="847"/>
      <c r="E2214" s="852" t="s">
        <v>2040</v>
      </c>
      <c r="F2214" s="848" t="str">
        <f>VLOOKUP(E2214,DICH!B:C,2,FALSE)</f>
        <v xml:space="preserve">  B - Labour 4.5/7</v>
      </c>
      <c r="G2214" s="892" t="s">
        <v>4899</v>
      </c>
      <c r="H2214" s="847">
        <v>0.17</v>
      </c>
      <c r="I2214" s="848">
        <f>VLOOKUP(E2214,'16.NC'!$C$11:$F$22,4,FALSE)</f>
        <v>237875</v>
      </c>
      <c r="J2214" s="849">
        <f>I2214*H2214</f>
        <v>40438.75</v>
      </c>
      <c r="N2214" s="843" t="e">
        <f>SUMIF(#REF!,'8.Dgia'!A2214,#REF!)+SUMIF(#REF!,'8.Dgia'!A2214,#REF!)+SUMIF(#REF!,'8.Dgia'!A2214,#REF!)+SUMIF(#REF!,'8.Dgia'!A2214,#REF!)</f>
        <v>#REF!</v>
      </c>
      <c r="O2214" s="844"/>
      <c r="P2214" s="843" t="e">
        <f t="shared" si="100"/>
        <v>#REF!</v>
      </c>
      <c r="R2214" s="658">
        <v>1</v>
      </c>
    </row>
    <row r="2215" spans="1:18" ht="15" customHeight="1">
      <c r="A2215" s="657">
        <f>IF(B2215="",MAX($A$8:A2214)+0,MAX($A$8:A2214)+1)</f>
        <v>246</v>
      </c>
      <c r="B2215" s="835" t="str">
        <f>IF(C2215="","",COUNTA($C$10:C2216))</f>
        <v/>
      </c>
      <c r="C2215" s="362"/>
      <c r="D2215" s="847"/>
      <c r="E2215" s="852" t="s">
        <v>2033</v>
      </c>
      <c r="F2215" s="848" t="str">
        <f>VLOOKUP(E2215,DICH!B:C,2,FALSE)</f>
        <v xml:space="preserve">  C - Machine</v>
      </c>
      <c r="G2215" s="847"/>
      <c r="H2215" s="847"/>
      <c r="I2215" s="848"/>
      <c r="J2215" s="849">
        <f>SUM(J2216:J2219)</f>
        <v>34246.454831157316</v>
      </c>
      <c r="K2215" s="842">
        <v>19692</v>
      </c>
      <c r="N2215" s="843" t="e">
        <f>SUMIF(#REF!,'8.Dgia'!A2215,#REF!)+SUMIF(#REF!,'8.Dgia'!A2215,#REF!)+SUMIF(#REF!,'8.Dgia'!A2215,#REF!)+SUMIF(#REF!,'8.Dgia'!A2215,#REF!)</f>
        <v>#REF!</v>
      </c>
      <c r="O2215" s="844"/>
      <c r="P2215" s="843" t="e">
        <f t="shared" si="100"/>
        <v>#REF!</v>
      </c>
    </row>
    <row r="2216" spans="1:18" ht="15" customHeight="1">
      <c r="A2216" s="657">
        <f>IF(B2216="",MAX($A$8:A2215)+0,MAX($A$8:A2215)+1)</f>
        <v>246</v>
      </c>
      <c r="B2216" s="835" t="str">
        <f>IF(C2216="","",COUNTA($C$10:C2217))</f>
        <v/>
      </c>
      <c r="C2216" s="362"/>
      <c r="D2216" s="847"/>
      <c r="E2216" s="852" t="s">
        <v>369</v>
      </c>
      <c r="F2216" s="848" t="str">
        <f>VLOOKUP(E2216,'9.may'!E:F,2,FALSE)</f>
        <v>Equipment paint denounce THK10A</v>
      </c>
      <c r="G2216" s="847" t="s">
        <v>4902</v>
      </c>
      <c r="H2216" s="847">
        <v>2.8000000000000001E-2</v>
      </c>
      <c r="I2216" s="848">
        <f>VLOOKUP(E2216,'9.may'!E:W,12,FALSE)</f>
        <v>133431.15</v>
      </c>
      <c r="J2216" s="853">
        <f>I2216*H2216</f>
        <v>3736.0722000000001</v>
      </c>
      <c r="N2216" s="843" t="e">
        <f>SUMIF(#REF!,'8.Dgia'!A2216,#REF!)+SUMIF(#REF!,'8.Dgia'!A2216,#REF!)+SUMIF(#REF!,'8.Dgia'!A2216,#REF!)+SUMIF(#REF!,'8.Dgia'!A2216,#REF!)</f>
        <v>#REF!</v>
      </c>
      <c r="O2216" s="844">
        <f>+$H$2219</f>
        <v>2</v>
      </c>
      <c r="P2216" s="843" t="e">
        <f t="shared" si="100"/>
        <v>#REF!</v>
      </c>
    </row>
    <row r="2217" spans="1:18" ht="15" customHeight="1">
      <c r="A2217" s="657">
        <f>IF(B2217="",MAX($A$8:A2216)+0,MAX($A$8:A2216)+1)</f>
        <v>246</v>
      </c>
      <c r="B2217" s="835" t="str">
        <f>IF(C2217="","",COUNTA($C$10:C2218))</f>
        <v/>
      </c>
      <c r="C2217" s="362"/>
      <c r="D2217" s="847"/>
      <c r="E2217" s="852" t="s">
        <v>370</v>
      </c>
      <c r="F2217" s="848" t="str">
        <f>VLOOKUP(E2217,'9.may'!E:F,2,FALSE)</f>
        <v>paint furnace YHK 3A</v>
      </c>
      <c r="G2217" s="847" t="s">
        <v>4902</v>
      </c>
      <c r="H2217" s="847">
        <v>2.8000000000000001E-2</v>
      </c>
      <c r="I2217" s="848">
        <f>VLOOKUP(E2217,'9.may'!E:W,12,FALSE)</f>
        <v>581752.06365269469</v>
      </c>
      <c r="J2217" s="853">
        <f>I2217*H2217</f>
        <v>16289.057782275451</v>
      </c>
      <c r="N2217" s="843" t="e">
        <f>SUMIF(#REF!,'8.Dgia'!A2217,#REF!)+SUMIF(#REF!,'8.Dgia'!A2217,#REF!)+SUMIF(#REF!,'8.Dgia'!A2217,#REF!)+SUMIF(#REF!,'8.Dgia'!A2217,#REF!)</f>
        <v>#REF!</v>
      </c>
      <c r="O2217" s="844">
        <f>+$H$2219</f>
        <v>2</v>
      </c>
      <c r="P2217" s="843" t="e">
        <f t="shared" si="100"/>
        <v>#REF!</v>
      </c>
    </row>
    <row r="2218" spans="1:18" ht="15" customHeight="1">
      <c r="A2218" s="657">
        <f>IF(B2218="",MAX($A$8:A2217)+0,MAX($A$8:A2217)+1)</f>
        <v>246</v>
      </c>
      <c r="B2218" s="835" t="str">
        <f>IF(C2218="","",COUNTA($C$10:C2219))</f>
        <v/>
      </c>
      <c r="C2218" s="362"/>
      <c r="D2218" s="847"/>
      <c r="E2218" s="852" t="s">
        <v>1981</v>
      </c>
      <c r="F2218" s="848" t="str">
        <f>VLOOKUP(E2218,'9.may'!E:F,2,FALSE)</f>
        <v>dump truck 2.5T</v>
      </c>
      <c r="G2218" s="847" t="s">
        <v>4902</v>
      </c>
      <c r="H2218" s="847">
        <v>2.5999999999999999E-2</v>
      </c>
      <c r="I2218" s="848">
        <f>VLOOKUP(E2218,'9.may'!E:W,12,FALSE)</f>
        <v>521147.14363636356</v>
      </c>
      <c r="J2218" s="853">
        <f>I2218*H2218</f>
        <v>13549.825734545451</v>
      </c>
      <c r="N2218" s="843" t="e">
        <f>SUMIF(#REF!,'8.Dgia'!A2218,#REF!)+SUMIF(#REF!,'8.Dgia'!A2218,#REF!)+SUMIF(#REF!,'8.Dgia'!A2218,#REF!)+SUMIF(#REF!,'8.Dgia'!A2218,#REF!)</f>
        <v>#REF!</v>
      </c>
      <c r="O2218" s="844">
        <f>+$H$2219</f>
        <v>2</v>
      </c>
      <c r="P2218" s="843" t="e">
        <f t="shared" si="100"/>
        <v>#REF!</v>
      </c>
    </row>
    <row r="2219" spans="1:18" ht="15" customHeight="1">
      <c r="A2219" s="657">
        <f>IF(B2219="",MAX($A$8:A2218)+0,MAX($A$8:A2218)+1)</f>
        <v>246</v>
      </c>
      <c r="B2219" s="835" t="str">
        <f>IF(C2219="","",COUNTA($C$10:C2220))</f>
        <v/>
      </c>
      <c r="C2219" s="362"/>
      <c r="D2219" s="847"/>
      <c r="E2219" s="852" t="s">
        <v>553</v>
      </c>
      <c r="F2219" s="848" t="str">
        <f>VLOOKUP(E2219,DICH!B:C,2,FALSE)</f>
        <v>Other machine</v>
      </c>
      <c r="G2219" s="362" t="s">
        <v>554</v>
      </c>
      <c r="H2219" s="847">
        <v>2</v>
      </c>
      <c r="I2219" s="848">
        <f>SUM(J2216:J2218)</f>
        <v>33574.955716820899</v>
      </c>
      <c r="J2219" s="853">
        <f>I2219*H2219%</f>
        <v>671.49911433641796</v>
      </c>
      <c r="N2219" s="843" t="e">
        <f>SUMIF(#REF!,'8.Dgia'!A2219,#REF!)+SUMIF(#REF!,'8.Dgia'!A2219,#REF!)+SUMIF(#REF!,'8.Dgia'!A2219,#REF!)+SUMIF(#REF!,'8.Dgia'!A2219,#REF!)</f>
        <v>#REF!</v>
      </c>
      <c r="O2219" s="844"/>
      <c r="P2219" s="843" t="e">
        <f t="shared" si="100"/>
        <v>#REF!</v>
      </c>
    </row>
    <row r="2220" spans="1:18" ht="15" customHeight="1">
      <c r="A2220" s="657">
        <f>IF(B2220="",MAX($A$8:A2219)+0,MAX($A$8:A2219)+1)</f>
        <v>247</v>
      </c>
      <c r="B2220" s="835">
        <f>IF(C2220="","",COUNTA($C$10:C2221))</f>
        <v>247</v>
      </c>
      <c r="C2220" s="835">
        <f>IF(D2220="","",1776)</f>
        <v>1776</v>
      </c>
      <c r="D2220" s="362" t="s">
        <v>701</v>
      </c>
      <c r="E2220" s="855" t="s">
        <v>20</v>
      </c>
      <c r="F2220" s="1049" t="str">
        <f>VLOOKUP(E2220,DICH!B:C,2,FALSE)</f>
        <v>R.C pile 0.12x0.12x1.02m</v>
      </c>
      <c r="G2220" s="925" t="s">
        <v>275</v>
      </c>
      <c r="H2220" s="847"/>
      <c r="I2220" s="848"/>
      <c r="J2220" s="889"/>
      <c r="K2220" s="842">
        <f>+J2221</f>
        <v>43582.024656415866</v>
      </c>
      <c r="L2220" s="842">
        <f>+J2231</f>
        <v>33486.080000000002</v>
      </c>
      <c r="N2220" s="843" t="e">
        <f>SUMIF(#REF!,'8.Dgia'!A2220,#REF!)+SUMIF(#REF!,'8.Dgia'!A2220,#REF!)+SUMIF(#REF!,'8.Dgia'!A2220,#REF!)+SUMIF(#REF!,'8.Dgia'!A2220,#REF!)</f>
        <v>#REF!</v>
      </c>
      <c r="O2220" s="844"/>
      <c r="P2220" s="843" t="e">
        <f t="shared" si="100"/>
        <v>#REF!</v>
      </c>
    </row>
    <row r="2221" spans="1:18" ht="15" customHeight="1">
      <c r="A2221" s="657">
        <f>IF(B2221="",MAX($A$8:A2220)+0,MAX($A$8:A2220)+1)</f>
        <v>247</v>
      </c>
      <c r="B2221" s="835" t="str">
        <f>IF(C2221="","",COUNTA($C$10:C2222))</f>
        <v/>
      </c>
      <c r="C2221" s="362"/>
      <c r="D2221" s="362"/>
      <c r="E2221" s="852" t="s">
        <v>2032</v>
      </c>
      <c r="F2221" s="848" t="str">
        <f>VLOOKUP(E2221,DICH!B:C,2,FALSE)</f>
        <v xml:space="preserve">  A - Material</v>
      </c>
      <c r="G2221" s="919"/>
      <c r="H2221" s="847"/>
      <c r="I2221" s="848"/>
      <c r="J2221" s="849">
        <f>SUM(J2222:J2230)</f>
        <v>43582.024656415866</v>
      </c>
      <c r="N2221" s="843" t="e">
        <f>SUMIF(#REF!,'8.Dgia'!A2221,#REF!)+SUMIF(#REF!,'8.Dgia'!A2221,#REF!)+SUMIF(#REF!,'8.Dgia'!A2221,#REF!)+SUMIF(#REF!,'8.Dgia'!A2221,#REF!)</f>
        <v>#REF!</v>
      </c>
      <c r="O2221" s="844"/>
      <c r="P2221" s="843" t="e">
        <f t="shared" si="100"/>
        <v>#REF!</v>
      </c>
    </row>
    <row r="2222" spans="1:18" ht="15" customHeight="1">
      <c r="A2222" s="657">
        <f>IF(B2222="",MAX($A$8:A2221)+0,MAX($A$8:A2221)+1)</f>
        <v>247</v>
      </c>
      <c r="B2222" s="835" t="str">
        <f>IF(C2222="","",COUNTA($C$10:C2223))</f>
        <v/>
      </c>
      <c r="C2222" s="362"/>
      <c r="D2222" s="362"/>
      <c r="E2222" s="852" t="s">
        <v>587</v>
      </c>
      <c r="F2222" s="848" t="str">
        <f>VLOOKUP(E2222,DICH!B:C,2,FALSE)</f>
        <v>cement PC30</v>
      </c>
      <c r="G2222" s="919" t="s">
        <v>558</v>
      </c>
      <c r="H2222" s="847">
        <v>4.03</v>
      </c>
      <c r="I2222" s="848">
        <f>VLOOKUP(E2222,'11.gia '!$B:$I,8,FALSE)</f>
        <v>1452.8408509090907</v>
      </c>
      <c r="J2222" s="853">
        <f t="shared" ref="J2222:J2229" si="102">I2222*H2222</f>
        <v>5854.9486291636358</v>
      </c>
      <c r="N2222" s="843" t="e">
        <f>SUMIF(#REF!,'8.Dgia'!A2222,#REF!)+SUMIF(#REF!,'8.Dgia'!A2222,#REF!)+SUMIF(#REF!,'8.Dgia'!A2222,#REF!)+SUMIF(#REF!,'8.Dgia'!A2222,#REF!)</f>
        <v>#REF!</v>
      </c>
      <c r="O2222" s="844"/>
      <c r="P2222" s="843" t="e">
        <f t="shared" si="100"/>
        <v>#REF!</v>
      </c>
    </row>
    <row r="2223" spans="1:18" ht="15" customHeight="1">
      <c r="A2223" s="657">
        <f>IF(B2223="",MAX($A$8:A2222)+0,MAX($A$8:A2222)+1)</f>
        <v>247</v>
      </c>
      <c r="B2223" s="835" t="str">
        <f>IF(C2223="","",COUNTA($C$10:C2224))</f>
        <v/>
      </c>
      <c r="C2223" s="362"/>
      <c r="D2223" s="362"/>
      <c r="E2223" s="852" t="s">
        <v>371</v>
      </c>
      <c r="F2223" s="848" t="str">
        <f>VLOOKUP(E2223,DICH!B:C,2,FALSE)</f>
        <v>steel bar D&lt;=10</v>
      </c>
      <c r="G2223" s="919" t="s">
        <v>558</v>
      </c>
      <c r="H2223" s="847">
        <v>1.746</v>
      </c>
      <c r="I2223" s="848">
        <f>VLOOKUP(E2223,'11.gia '!$B:$I,8,FALSE)</f>
        <v>16754.075560000001</v>
      </c>
      <c r="J2223" s="853">
        <f t="shared" si="102"/>
        <v>29252.615927760002</v>
      </c>
      <c r="N2223" s="843" t="e">
        <f>SUMIF(#REF!,'8.Dgia'!A2223,#REF!)+SUMIF(#REF!,'8.Dgia'!A2223,#REF!)+SUMIF(#REF!,'8.Dgia'!A2223,#REF!)+SUMIF(#REF!,'8.Dgia'!A2223,#REF!)</f>
        <v>#REF!</v>
      </c>
      <c r="O2223" s="844"/>
      <c r="P2223" s="843" t="e">
        <f t="shared" si="100"/>
        <v>#REF!</v>
      </c>
    </row>
    <row r="2224" spans="1:18" ht="15" customHeight="1">
      <c r="A2224" s="657">
        <f>IF(B2224="",MAX($A$8:A2223)+0,MAX($A$8:A2223)+1)</f>
        <v>247</v>
      </c>
      <c r="B2224" s="835" t="str">
        <f>IF(C2224="","",COUNTA($C$10:C2225))</f>
        <v/>
      </c>
      <c r="C2224" s="362"/>
      <c r="D2224" s="362"/>
      <c r="E2224" s="852" t="s">
        <v>459</v>
      </c>
      <c r="F2224" s="848" t="str">
        <f>VLOOKUP(E2224,DICH!B:C,2,FALSE)</f>
        <v>Steel ware</v>
      </c>
      <c r="G2224" s="919" t="s">
        <v>558</v>
      </c>
      <c r="H2224" s="847">
        <v>1.7000000000000001E-2</v>
      </c>
      <c r="I2224" s="848">
        <f>VLOOKUP(E2224,'11.gia '!$B:$I,8,FALSE)</f>
        <v>17143</v>
      </c>
      <c r="J2224" s="853">
        <f t="shared" si="102"/>
        <v>291.43100000000004</v>
      </c>
      <c r="N2224" s="843" t="e">
        <f>SUMIF(#REF!,'8.Dgia'!A2224,#REF!)+SUMIF(#REF!,'8.Dgia'!A2224,#REF!)+SUMIF(#REF!,'8.Dgia'!A2224,#REF!)+SUMIF(#REF!,'8.Dgia'!A2224,#REF!)</f>
        <v>#REF!</v>
      </c>
      <c r="O2224" s="844"/>
      <c r="P2224" s="843" t="e">
        <f t="shared" si="100"/>
        <v>#REF!</v>
      </c>
    </row>
    <row r="2225" spans="1:18" ht="15" customHeight="1">
      <c r="A2225" s="657">
        <f>IF(B2225="",MAX($A$8:A2224)+0,MAX($A$8:A2224)+1)</f>
        <v>247</v>
      </c>
      <c r="B2225" s="835" t="str">
        <f>IF(C2225="","",COUNTA($C$10:C2226))</f>
        <v/>
      </c>
      <c r="C2225" s="362"/>
      <c r="D2225" s="362"/>
      <c r="E2225" s="852" t="s">
        <v>588</v>
      </c>
      <c r="F2225" s="848" t="str">
        <f>VLOOKUP(E2225,DICH!B:C,2,FALSE)</f>
        <v>Medium sand</v>
      </c>
      <c r="G2225" s="847" t="s">
        <v>545</v>
      </c>
      <c r="H2225" s="847">
        <v>7.1000000000000004E-3</v>
      </c>
      <c r="I2225" s="848">
        <f>VLOOKUP(E2225,'11.gia '!$B:$I,8,FALSE)</f>
        <v>128096.80157931453</v>
      </c>
      <c r="J2225" s="853">
        <f t="shared" si="102"/>
        <v>909.48729121313318</v>
      </c>
      <c r="N2225" s="843" t="e">
        <f>SUMIF(#REF!,'8.Dgia'!A2225,#REF!)+SUMIF(#REF!,'8.Dgia'!A2225,#REF!)+SUMIF(#REF!,'8.Dgia'!A2225,#REF!)+SUMIF(#REF!,'8.Dgia'!A2225,#REF!)</f>
        <v>#REF!</v>
      </c>
      <c r="O2225" s="844"/>
      <c r="P2225" s="843" t="e">
        <f t="shared" si="100"/>
        <v>#REF!</v>
      </c>
    </row>
    <row r="2226" spans="1:18" ht="15" customHeight="1">
      <c r="A2226" s="657">
        <f>IF(B2226="",MAX($A$8:A2225)+0,MAX($A$8:A2225)+1)</f>
        <v>247</v>
      </c>
      <c r="B2226" s="835" t="str">
        <f>IF(C2226="","",COUNTA($C$10:C2227))</f>
        <v/>
      </c>
      <c r="C2226" s="362"/>
      <c r="D2226" s="362"/>
      <c r="E2226" s="852" t="s">
        <v>12</v>
      </c>
      <c r="F2226" s="848" t="str">
        <f>VLOOKUP(E2226,DICH!B:C,2,FALSE)</f>
        <v>Gravel</v>
      </c>
      <c r="G2226" s="847" t="s">
        <v>545</v>
      </c>
      <c r="H2226" s="847">
        <v>1.2E-2</v>
      </c>
      <c r="I2226" s="848">
        <f>VLOOKUP(E2226,'11.gia '!$B:$I,8,FALSE)</f>
        <v>354185.41224953817</v>
      </c>
      <c r="J2226" s="853">
        <f t="shared" si="102"/>
        <v>4250.2249469944582</v>
      </c>
      <c r="N2226" s="843" t="e">
        <f>SUMIF(#REF!,'8.Dgia'!A2226,#REF!)+SUMIF(#REF!,'8.Dgia'!A2226,#REF!)+SUMIF(#REF!,'8.Dgia'!A2226,#REF!)+SUMIF(#REF!,'8.Dgia'!A2226,#REF!)</f>
        <v>#REF!</v>
      </c>
      <c r="O2226" s="844"/>
      <c r="P2226" s="843" t="e">
        <f t="shared" si="100"/>
        <v>#REF!</v>
      </c>
    </row>
    <row r="2227" spans="1:18" ht="15" customHeight="1">
      <c r="A2227" s="657">
        <f>IF(B2227="",MAX($A$8:A2226)+0,MAX($A$8:A2226)+1)</f>
        <v>247</v>
      </c>
      <c r="B2227" s="835" t="str">
        <f>IF(C2227="","",COUNTA($C$10:C2228))</f>
        <v/>
      </c>
      <c r="C2227" s="362"/>
      <c r="D2227" s="362"/>
      <c r="E2227" s="852" t="s">
        <v>126</v>
      </c>
      <c r="F2227" s="848" t="str">
        <f>VLOOKUP(E2227,DICH!B:C,2,FALSE)</f>
        <v>Paint</v>
      </c>
      <c r="G2227" s="919" t="s">
        <v>558</v>
      </c>
      <c r="H2227" s="847">
        <v>1.54E-2</v>
      </c>
      <c r="I2227" s="848">
        <f>VLOOKUP(E2227,'11.gia '!$B:$I,8,FALSE)</f>
        <v>86666.666666666672</v>
      </c>
      <c r="J2227" s="853">
        <f t="shared" si="102"/>
        <v>1334.6666666666667</v>
      </c>
      <c r="N2227" s="843" t="e">
        <f>SUMIF(#REF!,'8.Dgia'!A2227,#REF!)+SUMIF(#REF!,'8.Dgia'!A2227,#REF!)+SUMIF(#REF!,'8.Dgia'!A2227,#REF!)+SUMIF(#REF!,'8.Dgia'!A2227,#REF!)</f>
        <v>#REF!</v>
      </c>
      <c r="O2227" s="844"/>
      <c r="P2227" s="843" t="e">
        <f t="shared" si="100"/>
        <v>#REF!</v>
      </c>
    </row>
    <row r="2228" spans="1:18" ht="15" customHeight="1">
      <c r="A2228" s="657">
        <f>IF(B2228="",MAX($A$8:A2227)+0,MAX($A$8:A2227)+1)</f>
        <v>247</v>
      </c>
      <c r="B2228" s="835" t="str">
        <f>IF(C2228="","",COUNTA($C$10:C2229))</f>
        <v/>
      </c>
      <c r="C2228" s="362"/>
      <c r="D2228" s="362"/>
      <c r="E2228" s="852" t="s">
        <v>134</v>
      </c>
      <c r="F2228" s="848" t="str">
        <f>VLOOKUP(E2228,DICH!B:C,2,FALSE)</f>
        <v>Wooden</v>
      </c>
      <c r="G2228" s="847" t="s">
        <v>545</v>
      </c>
      <c r="H2228" s="847">
        <v>2.0000000000000001E-4</v>
      </c>
      <c r="I2228" s="848">
        <f>VLOOKUP(E2228,'11.gia '!$B:$I,8,FALSE)</f>
        <v>5000000</v>
      </c>
      <c r="J2228" s="853">
        <f t="shared" si="102"/>
        <v>1000</v>
      </c>
      <c r="N2228" s="843" t="e">
        <f>SUMIF(#REF!,'8.Dgia'!A2228,#REF!)+SUMIF(#REF!,'8.Dgia'!A2228,#REF!)+SUMIF(#REF!,'8.Dgia'!A2228,#REF!)+SUMIF(#REF!,'8.Dgia'!A2228,#REF!)</f>
        <v>#REF!</v>
      </c>
      <c r="O2228" s="844"/>
      <c r="P2228" s="843" t="e">
        <f t="shared" si="100"/>
        <v>#REF!</v>
      </c>
    </row>
    <row r="2229" spans="1:18" ht="15" customHeight="1">
      <c r="A2229" s="657">
        <f>IF(B2229="",MAX($A$8:A2228)+0,MAX($A$8:A2228)+1)</f>
        <v>247</v>
      </c>
      <c r="B2229" s="835" t="str">
        <f>IF(C2229="","",COUNTA($C$10:C2230))</f>
        <v/>
      </c>
      <c r="C2229" s="362"/>
      <c r="D2229" s="362"/>
      <c r="E2229" s="852" t="s">
        <v>460</v>
      </c>
      <c r="F2229" s="848" t="str">
        <f>VLOOKUP(E2229,DICH!B:C,2,FALSE)</f>
        <v>Nail</v>
      </c>
      <c r="G2229" s="919" t="s">
        <v>558</v>
      </c>
      <c r="H2229" s="847">
        <v>1.4999999999999999E-2</v>
      </c>
      <c r="I2229" s="848">
        <f>VLOOKUP(E2229,'11.gia '!$B:$I,8,FALSE)</f>
        <v>17143</v>
      </c>
      <c r="J2229" s="853">
        <f t="shared" si="102"/>
        <v>257.14499999999998</v>
      </c>
      <c r="N2229" s="843" t="e">
        <f>SUMIF(#REF!,'8.Dgia'!A2229,#REF!)+SUMIF(#REF!,'8.Dgia'!A2229,#REF!)+SUMIF(#REF!,'8.Dgia'!A2229,#REF!)+SUMIF(#REF!,'8.Dgia'!A2229,#REF!)</f>
        <v>#REF!</v>
      </c>
      <c r="O2229" s="844"/>
      <c r="P2229" s="843" t="e">
        <f t="shared" si="100"/>
        <v>#REF!</v>
      </c>
    </row>
    <row r="2230" spans="1:18" ht="15" customHeight="1">
      <c r="A2230" s="657">
        <f>IF(B2230="",MAX($A$8:A2229)+0,MAX($A$8:A2229)+1)</f>
        <v>247</v>
      </c>
      <c r="B2230" s="835" t="str">
        <f>IF(C2230="","",COUNTA($C$10:C2231))</f>
        <v/>
      </c>
      <c r="C2230" s="362"/>
      <c r="D2230" s="362"/>
      <c r="E2230" s="852" t="s">
        <v>555</v>
      </c>
      <c r="F2230" s="848" t="str">
        <f>VLOOKUP(E2230,DICH!B:C,2,FALSE)</f>
        <v>Other material</v>
      </c>
      <c r="G2230" s="362" t="s">
        <v>554</v>
      </c>
      <c r="H2230" s="847">
        <v>1</v>
      </c>
      <c r="I2230" s="848">
        <f>SUM(J2222:J2229)</f>
        <v>43150.519461797885</v>
      </c>
      <c r="J2230" s="853">
        <f>I2230*H2230%</f>
        <v>431.50519461797887</v>
      </c>
      <c r="N2230" s="843" t="e">
        <f>SUMIF(#REF!,'8.Dgia'!A2230,#REF!)+SUMIF(#REF!,'8.Dgia'!A2230,#REF!)+SUMIF(#REF!,'8.Dgia'!A2230,#REF!)+SUMIF(#REF!,'8.Dgia'!A2230,#REF!)</f>
        <v>#REF!</v>
      </c>
      <c r="O2230" s="844"/>
      <c r="P2230" s="843" t="e">
        <f t="shared" si="100"/>
        <v>#REF!</v>
      </c>
    </row>
    <row r="2231" spans="1:18" ht="15" customHeight="1">
      <c r="A2231" s="657">
        <f>IF(B2231="",MAX($A$8:A2230)+0,MAX($A$8:A2230)+1)</f>
        <v>247</v>
      </c>
      <c r="B2231" s="835" t="str">
        <f>IF(C2231="","",COUNTA($C$10:C2232))</f>
        <v/>
      </c>
      <c r="C2231" s="362"/>
      <c r="D2231" s="362"/>
      <c r="E2231" s="852" t="s">
        <v>2041</v>
      </c>
      <c r="F2231" s="848" t="str">
        <f>VLOOKUP(E2231,DICH!B:C,2,FALSE)</f>
        <v xml:space="preserve">  B - Labour 3.7/7</v>
      </c>
      <c r="G2231" s="919" t="s">
        <v>4899</v>
      </c>
      <c r="H2231" s="847">
        <v>0.16</v>
      </c>
      <c r="I2231" s="848">
        <f>VLOOKUP(E2231,'16.NC'!$C$11:$F$22,4,FALSE)</f>
        <v>209288</v>
      </c>
      <c r="J2231" s="849">
        <f>I2231*H2231</f>
        <v>33486.080000000002</v>
      </c>
      <c r="N2231" s="843" t="e">
        <f>SUMIF(#REF!,'8.Dgia'!A2231,#REF!)+SUMIF(#REF!,'8.Dgia'!A2231,#REF!)+SUMIF(#REF!,'8.Dgia'!A2231,#REF!)+SUMIF(#REF!,'8.Dgia'!A2231,#REF!)</f>
        <v>#REF!</v>
      </c>
      <c r="O2231" s="844"/>
      <c r="P2231" s="843" t="e">
        <f t="shared" si="100"/>
        <v>#REF!</v>
      </c>
      <c r="R2231" s="658">
        <v>1</v>
      </c>
    </row>
    <row r="2232" spans="1:18" ht="15" customHeight="1">
      <c r="A2232" s="657">
        <f>IF(B2232="",MAX($A$8:A2231)+0,MAX($A$8:A2231)+1)</f>
        <v>248</v>
      </c>
      <c r="B2232" s="835">
        <f>IF(C2232="","",COUNTA($C$10:C2233))</f>
        <v>248</v>
      </c>
      <c r="C2232" s="835">
        <f>IF(D2232="","",1776)</f>
        <v>1776</v>
      </c>
      <c r="D2232" s="362" t="s">
        <v>703</v>
      </c>
      <c r="E2232" s="855" t="s">
        <v>165</v>
      </c>
      <c r="F2232" s="1049" t="str">
        <f>VLOOKUP(E2232,DICH!B:C,2,FALSE)</f>
        <v>Signal column D90, L=4.0m</v>
      </c>
      <c r="G2232" s="856" t="s">
        <v>4649</v>
      </c>
      <c r="H2232" s="847"/>
      <c r="I2232" s="848"/>
      <c r="J2232" s="889"/>
      <c r="K2232" s="842">
        <f>+J2233</f>
        <v>74049.038129404798</v>
      </c>
      <c r="L2232" s="842">
        <f>+J2241</f>
        <v>233758.84</v>
      </c>
      <c r="M2232" s="842">
        <f>+J2242</f>
        <v>60248.859250909081</v>
      </c>
      <c r="N2232" s="843" t="e">
        <f>SUMIF(#REF!,'8.Dgia'!A2232,#REF!)+SUMIF(#REF!,'8.Dgia'!A2232,#REF!)+SUMIF(#REF!,'8.Dgia'!A2232,#REF!)+SUMIF(#REF!,'8.Dgia'!A2232,#REF!)</f>
        <v>#REF!</v>
      </c>
      <c r="O2232" s="844"/>
      <c r="P2232" s="843" t="e">
        <f t="shared" si="100"/>
        <v>#REF!</v>
      </c>
    </row>
    <row r="2233" spans="1:18" ht="15" customHeight="1">
      <c r="A2233" s="657">
        <f>IF(B2233="",MAX($A$8:A2232)+0,MAX($A$8:A2232)+1)</f>
        <v>248</v>
      </c>
      <c r="B2233" s="835" t="str">
        <f>IF(C2233="","",COUNTA($C$10:C2234))</f>
        <v/>
      </c>
      <c r="C2233" s="362"/>
      <c r="D2233" s="362"/>
      <c r="E2233" s="852" t="s">
        <v>2032</v>
      </c>
      <c r="F2233" s="848" t="str">
        <f>VLOOKUP(E2233,DICH!B:C,2,FALSE)</f>
        <v xml:space="preserve">  A - Material</v>
      </c>
      <c r="G2233" s="847"/>
      <c r="H2233" s="847"/>
      <c r="I2233" s="848"/>
      <c r="J2233" s="849">
        <f>SUM(J2234:J2240)</f>
        <v>74049.038129404798</v>
      </c>
      <c r="N2233" s="843" t="e">
        <f>SUMIF(#REF!,'8.Dgia'!A2233,#REF!)+SUMIF(#REF!,'8.Dgia'!A2233,#REF!)+SUMIF(#REF!,'8.Dgia'!A2233,#REF!)+SUMIF(#REF!,'8.Dgia'!A2233,#REF!)</f>
        <v>#REF!</v>
      </c>
      <c r="O2233" s="844"/>
      <c r="P2233" s="843" t="e">
        <f t="shared" si="100"/>
        <v>#REF!</v>
      </c>
    </row>
    <row r="2234" spans="1:18" ht="15" customHeight="1">
      <c r="A2234" s="657">
        <f>IF(B2234="",MAX($A$8:A2233)+0,MAX($A$8:A2233)+1)</f>
        <v>248</v>
      </c>
      <c r="B2234" s="835" t="str">
        <f>IF(C2234="","",COUNTA($C$10:C2235))</f>
        <v/>
      </c>
      <c r="C2234" s="362"/>
      <c r="D2234" s="362"/>
      <c r="E2234" s="852" t="s">
        <v>636</v>
      </c>
      <c r="F2234" s="848" t="str">
        <f>VLOOKUP(E2234,DICH!B:C,2,FALSE)</f>
        <v>Signal column D90</v>
      </c>
      <c r="G2234" s="847" t="s">
        <v>543</v>
      </c>
      <c r="H2234" s="847">
        <v>1</v>
      </c>
      <c r="I2234" s="848">
        <f>VLOOKUP(E2234,'11.gia '!$B:$I,8,FALSE)</f>
        <v>0</v>
      </c>
      <c r="J2234" s="853">
        <f>I2234*H2234</f>
        <v>0</v>
      </c>
      <c r="N2234" s="843" t="e">
        <f>SUMIF(#REF!,'8.Dgia'!A2234,#REF!)+SUMIF(#REF!,'8.Dgia'!A2234,#REF!)+SUMIF(#REF!,'8.Dgia'!A2234,#REF!)+SUMIF(#REF!,'8.Dgia'!A2234,#REF!)</f>
        <v>#REF!</v>
      </c>
      <c r="O2234" s="844"/>
      <c r="P2234" s="843" t="e">
        <f t="shared" si="100"/>
        <v>#REF!</v>
      </c>
    </row>
    <row r="2235" spans="1:18" s="2009" customFormat="1" ht="15" customHeight="1">
      <c r="A2235" s="2009">
        <f>IF(B2235="",MAX($A$8:A2234)+0,MAX($A$8:A2234)+1)</f>
        <v>248</v>
      </c>
      <c r="B2235" s="2137" t="str">
        <f>IF(C2235="","",COUNTA($C$10:C2236))</f>
        <v/>
      </c>
      <c r="C2235" s="2138"/>
      <c r="D2235" s="2138"/>
      <c r="E2235" s="2140" t="s">
        <v>182</v>
      </c>
      <c r="F2235" s="848" t="str">
        <f>VLOOKUP(E2235,DICH!B:C,2,FALSE)</f>
        <v>Steel pipe D80</v>
      </c>
      <c r="G2235" s="2141" t="s">
        <v>543</v>
      </c>
      <c r="H2235" s="2141">
        <v>3.39</v>
      </c>
      <c r="I2235" s="2142"/>
      <c r="J2235" s="2143" t="s">
        <v>2084</v>
      </c>
      <c r="K2235" s="2010"/>
      <c r="L2235" s="2010"/>
      <c r="M2235" s="2010"/>
      <c r="N2235" s="2144" t="e">
        <f>SUMIF(#REF!,'8.Dgia'!A2235,#REF!)+SUMIF(#REF!,'8.Dgia'!A2235,#REF!)+SUMIF(#REF!,'8.Dgia'!A2235,#REF!)+SUMIF(#REF!,'8.Dgia'!A2235,#REF!)</f>
        <v>#REF!</v>
      </c>
      <c r="O2235" s="2145"/>
      <c r="P2235" s="2144" t="e">
        <f t="shared" si="100"/>
        <v>#REF!</v>
      </c>
    </row>
    <row r="2236" spans="1:18" s="2009" customFormat="1" ht="15" customHeight="1">
      <c r="A2236" s="2009">
        <f>IF(B2236="",MAX($A$8:A2235)+0,MAX($A$8:A2235)+1)</f>
        <v>248</v>
      </c>
      <c r="B2236" s="2137" t="str">
        <f>IF(C2236="","",COUNTA($C$10:C2237))</f>
        <v/>
      </c>
      <c r="C2236" s="2138"/>
      <c r="D2236" s="2138"/>
      <c r="E2236" s="2140" t="s">
        <v>181</v>
      </c>
      <c r="F2236" s="848" t="str">
        <f>VLOOKUP(E2236,DICH!B:C,2,FALSE)</f>
        <v>Plastic cover D80</v>
      </c>
      <c r="G2236" s="2141" t="s">
        <v>4649</v>
      </c>
      <c r="H2236" s="2141">
        <v>1</v>
      </c>
      <c r="I2236" s="2142"/>
      <c r="J2236" s="2143" t="s">
        <v>2084</v>
      </c>
      <c r="K2236" s="2010"/>
      <c r="L2236" s="2010"/>
      <c r="M2236" s="2010"/>
      <c r="N2236" s="2144" t="e">
        <f>SUMIF(#REF!,'8.Dgia'!A2236,#REF!)+SUMIF(#REF!,'8.Dgia'!A2236,#REF!)+SUMIF(#REF!,'8.Dgia'!A2236,#REF!)+SUMIF(#REF!,'8.Dgia'!A2236,#REF!)</f>
        <v>#REF!</v>
      </c>
      <c r="O2236" s="2145"/>
      <c r="P2236" s="2144" t="e">
        <f t="shared" si="100"/>
        <v>#REF!</v>
      </c>
    </row>
    <row r="2237" spans="1:18" s="2009" customFormat="1" ht="15" customHeight="1">
      <c r="A2237" s="2009">
        <f>IF(B2237="",MAX($A$8:A2236)+0,MAX($A$8:A2236)+1)</f>
        <v>248</v>
      </c>
      <c r="B2237" s="2137" t="str">
        <f>IF(C2237="","",COUNTA($C$10:C2238))</f>
        <v/>
      </c>
      <c r="C2237" s="2138"/>
      <c r="D2237" s="2138"/>
      <c r="E2237" s="2140" t="s">
        <v>596</v>
      </c>
      <c r="F2237" s="848" t="str">
        <f>VLOOKUP(E2237,DICH!B:C,2,FALSE)</f>
        <v>Antirust paint</v>
      </c>
      <c r="G2237" s="2141" t="s">
        <v>558</v>
      </c>
      <c r="H2237" s="2141">
        <v>0.115</v>
      </c>
      <c r="I2237" s="2142"/>
      <c r="J2237" s="2143" t="s">
        <v>2084</v>
      </c>
      <c r="K2237" s="2010"/>
      <c r="L2237" s="2010"/>
      <c r="M2237" s="2010"/>
      <c r="N2237" s="2144" t="e">
        <f>SUMIF(#REF!,'8.Dgia'!A2237,#REF!)+SUMIF(#REF!,'8.Dgia'!A2237,#REF!)+SUMIF(#REF!,'8.Dgia'!A2237,#REF!)+SUMIF(#REF!,'8.Dgia'!A2237,#REF!)</f>
        <v>#REF!</v>
      </c>
      <c r="O2237" s="2145"/>
      <c r="P2237" s="2144" t="e">
        <f t="shared" ref="P2237:P2300" si="103">$H2237*N2237*(1+O2237%)</f>
        <v>#REF!</v>
      </c>
    </row>
    <row r="2238" spans="1:18" s="2009" customFormat="1" ht="15" customHeight="1">
      <c r="A2238" s="2009">
        <f>IF(B2238="",MAX($A$8:A2237)+0,MAX($A$8:A2237)+1)</f>
        <v>248</v>
      </c>
      <c r="B2238" s="2137" t="str">
        <f>IF(C2238="","",COUNTA($C$10:C2239))</f>
        <v/>
      </c>
      <c r="C2238" s="2138"/>
      <c r="D2238" s="2138" t="s">
        <v>461</v>
      </c>
      <c r="E2238" s="2140" t="s">
        <v>126</v>
      </c>
      <c r="F2238" s="848" t="str">
        <f>VLOOKUP(E2238,DICH!B:C,2,FALSE)</f>
        <v>Paint</v>
      </c>
      <c r="G2238" s="2141" t="s">
        <v>558</v>
      </c>
      <c r="H2238" s="2141">
        <v>0.18099999999999999</v>
      </c>
      <c r="I2238" s="2142"/>
      <c r="J2238" s="2143" t="s">
        <v>2084</v>
      </c>
      <c r="K2238" s="2010"/>
      <c r="L2238" s="2010"/>
      <c r="M2238" s="2010"/>
      <c r="N2238" s="2144" t="e">
        <f>SUMIF(#REF!,'8.Dgia'!A2238,#REF!)+SUMIF(#REF!,'8.Dgia'!A2238,#REF!)+SUMIF(#REF!,'8.Dgia'!A2238,#REF!)+SUMIF(#REF!,'8.Dgia'!A2238,#REF!)</f>
        <v>#REF!</v>
      </c>
      <c r="O2238" s="2145"/>
      <c r="P2238" s="2144" t="e">
        <f t="shared" si="103"/>
        <v>#REF!</v>
      </c>
    </row>
    <row r="2239" spans="1:18" ht="15" customHeight="1">
      <c r="A2239" s="657">
        <f>IF(B2239="",MAX($A$8:A2238)+0,MAX($A$8:A2238)+1)</f>
        <v>248</v>
      </c>
      <c r="B2239" s="835" t="str">
        <f>IF(C2239="","",COUNTA($C$10:C2240))</f>
        <v/>
      </c>
      <c r="C2239" s="851"/>
      <c r="D2239" s="851" t="str">
        <f>+'10.PLV'!$C$12</f>
        <v>C3123</v>
      </c>
      <c r="E2239" s="852" t="str">
        <f>+'10.PLV'!$D$12</f>
        <v>Vữa bê tông đá 1x2 C15 SN 2-4</v>
      </c>
      <c r="F2239" s="848" t="str">
        <f>VLOOKUP(E2239,DICH!B:C,2,FALSE)</f>
        <v>Concrete motar C15 stone 1x2 slump 2-4</v>
      </c>
      <c r="G2239" s="847" t="s">
        <v>545</v>
      </c>
      <c r="H2239" s="865">
        <f>0.089</f>
        <v>8.8999999999999996E-2</v>
      </c>
      <c r="I2239" s="848">
        <f>VLOOKUP(E2239,'11.gia '!B:I,8,FALSE)</f>
        <v>819715.92549294059</v>
      </c>
      <c r="J2239" s="853">
        <f>I2239*H2239</f>
        <v>72954.717368871716</v>
      </c>
      <c r="N2239" s="843" t="e">
        <f>SUMIF(#REF!,'8.Dgia'!A2239,#REF!)+SUMIF(#REF!,'8.Dgia'!A2239,#REF!)+SUMIF(#REF!,'8.Dgia'!A2239,#REF!)+SUMIF(#REF!,'8.Dgia'!A2239,#REF!)</f>
        <v>#REF!</v>
      </c>
      <c r="O2239" s="844"/>
      <c r="P2239" s="843" t="e">
        <f t="shared" si="103"/>
        <v>#REF!</v>
      </c>
    </row>
    <row r="2240" spans="1:18" ht="15" customHeight="1">
      <c r="A2240" s="657">
        <f>IF(B2240="",MAX($A$8:A2239)+0,MAX($A$8:A2239)+1)</f>
        <v>248</v>
      </c>
      <c r="B2240" s="835" t="str">
        <f>IF(C2240="","",COUNTA($C$10:C2241))</f>
        <v/>
      </c>
      <c r="C2240" s="362"/>
      <c r="D2240" s="362"/>
      <c r="E2240" s="852" t="s">
        <v>555</v>
      </c>
      <c r="F2240" s="848" t="str">
        <f>VLOOKUP(E2240,DICH!B:C,2,FALSE)</f>
        <v>Other material</v>
      </c>
      <c r="G2240" s="362" t="s">
        <v>554</v>
      </c>
      <c r="H2240" s="847">
        <v>1.5</v>
      </c>
      <c r="I2240" s="848">
        <f>SUM(J2234:J2239)</f>
        <v>72954.717368871716</v>
      </c>
      <c r="J2240" s="853">
        <f>I2240*H2240%</f>
        <v>1094.3207605330756</v>
      </c>
      <c r="N2240" s="843" t="e">
        <f>SUMIF(#REF!,'8.Dgia'!A2240,#REF!)+SUMIF(#REF!,'8.Dgia'!A2240,#REF!)+SUMIF(#REF!,'8.Dgia'!A2240,#REF!)+SUMIF(#REF!,'8.Dgia'!A2240,#REF!)</f>
        <v>#REF!</v>
      </c>
      <c r="O2240" s="844"/>
      <c r="P2240" s="843" t="e">
        <f t="shared" si="103"/>
        <v>#REF!</v>
      </c>
    </row>
    <row r="2241" spans="1:18" ht="15" customHeight="1">
      <c r="A2241" s="657">
        <f>IF(B2241="",MAX($A$8:A2240)+0,MAX($A$8:A2240)+1)</f>
        <v>248</v>
      </c>
      <c r="B2241" s="835" t="str">
        <f>IF(C2241="","",COUNTA($C$10:C2242))</f>
        <v/>
      </c>
      <c r="C2241" s="362"/>
      <c r="D2241" s="362"/>
      <c r="E2241" s="852" t="s">
        <v>2045</v>
      </c>
      <c r="F2241" s="848" t="str">
        <f>VLOOKUP(E2241,DICH!B:C,2,FALSE)</f>
        <v xml:space="preserve">  B - Labour 3.3/7</v>
      </c>
      <c r="G2241" s="847" t="s">
        <v>4899</v>
      </c>
      <c r="H2241" s="865">
        <f>1.19</f>
        <v>1.19</v>
      </c>
      <c r="I2241" s="848">
        <f>VLOOKUP(E2241,'16.NC'!$C$11:$F$22,4,FALSE)</f>
        <v>196436</v>
      </c>
      <c r="J2241" s="849">
        <f>I2241*H2241</f>
        <v>233758.84</v>
      </c>
      <c r="N2241" s="843" t="e">
        <f>SUMIF(#REF!,'8.Dgia'!A2241,#REF!)+SUMIF(#REF!,'8.Dgia'!A2241,#REF!)+SUMIF(#REF!,'8.Dgia'!A2241,#REF!)+SUMIF(#REF!,'8.Dgia'!A2241,#REF!)</f>
        <v>#REF!</v>
      </c>
      <c r="O2241" s="844"/>
      <c r="P2241" s="843" t="e">
        <f t="shared" si="103"/>
        <v>#REF!</v>
      </c>
      <c r="R2241" s="658">
        <v>1</v>
      </c>
    </row>
    <row r="2242" spans="1:18" ht="15" customHeight="1">
      <c r="A2242" s="657">
        <f>IF(B2242="",MAX($A$8:A2241)+0,MAX($A$8:A2241)+1)</f>
        <v>248</v>
      </c>
      <c r="B2242" s="835" t="str">
        <f>IF(C2242="","",COUNTA($C$10:C2243))</f>
        <v/>
      </c>
      <c r="C2242" s="362"/>
      <c r="D2242" s="362"/>
      <c r="E2242" s="852" t="s">
        <v>2033</v>
      </c>
      <c r="F2242" s="848" t="str">
        <f>VLOOKUP(E2242,DICH!B:C,2,FALSE)</f>
        <v xml:space="preserve">  C - Machine</v>
      </c>
      <c r="G2242" s="847"/>
      <c r="H2242" s="847"/>
      <c r="I2242" s="848"/>
      <c r="J2242" s="849">
        <f>SUM(J2243:J2245)</f>
        <v>60248.859250909081</v>
      </c>
      <c r="N2242" s="843" t="e">
        <f>SUMIF(#REF!,'8.Dgia'!A2242,#REF!)+SUMIF(#REF!,'8.Dgia'!A2242,#REF!)+SUMIF(#REF!,'8.Dgia'!A2242,#REF!)+SUMIF(#REF!,'8.Dgia'!A2242,#REF!)</f>
        <v>#REF!</v>
      </c>
      <c r="O2242" s="844"/>
      <c r="P2242" s="843" t="e">
        <f t="shared" si="103"/>
        <v>#REF!</v>
      </c>
    </row>
    <row r="2243" spans="1:18" ht="15" customHeight="1">
      <c r="A2243" s="657">
        <f>IF(B2243="",MAX($A$8:A2242)+0,MAX($A$8:A2242)+1)</f>
        <v>248</v>
      </c>
      <c r="B2243" s="835" t="str">
        <f>IF(C2243="","",COUNTA($C$10:C2244))</f>
        <v/>
      </c>
      <c r="C2243" s="362"/>
      <c r="D2243" s="362"/>
      <c r="E2243" s="852" t="s">
        <v>1420</v>
      </c>
      <c r="F2243" s="848" t="str">
        <f>VLOOKUP(E2243,'9.may'!E:F,2,FALSE)</f>
        <v>Cutting machine 2.8Kw</v>
      </c>
      <c r="G2243" s="847" t="s">
        <v>4902</v>
      </c>
      <c r="H2243" s="847">
        <f>0.06</f>
        <v>0.06</v>
      </c>
      <c r="I2243" s="848">
        <f>VLOOKUP(E2243,'9.may'!E:W,12,FALSE)</f>
        <v>91297.656000000003</v>
      </c>
      <c r="J2243" s="853">
        <f>I2243*H2243</f>
        <v>5477.8593600000004</v>
      </c>
      <c r="N2243" s="843" t="e">
        <f>SUMIF(#REF!,'8.Dgia'!A2243,#REF!)+SUMIF(#REF!,'8.Dgia'!A2243,#REF!)+SUMIF(#REF!,'8.Dgia'!A2243,#REF!)+SUMIF(#REF!,'8.Dgia'!A2243,#REF!)</f>
        <v>#REF!</v>
      </c>
      <c r="O2243" s="844"/>
      <c r="P2243" s="843" t="e">
        <f t="shared" si="103"/>
        <v>#REF!</v>
      </c>
    </row>
    <row r="2244" spans="1:18" ht="15" customHeight="1">
      <c r="A2244" s="657">
        <f>IF(B2244="",MAX($A$8:A2243)+0,MAX($A$8:A2243)+1)</f>
        <v>248</v>
      </c>
      <c r="B2244" s="835" t="str">
        <f>IF(C2244="","",COUNTA($C$10:C2245))</f>
        <v/>
      </c>
      <c r="C2244" s="362"/>
      <c r="D2244" s="362"/>
      <c r="E2244" s="852" t="s">
        <v>1434</v>
      </c>
      <c r="F2244" s="848" t="str">
        <f>VLOOKUP(E2244,'9.may'!E:F,2,FALSE)</f>
        <v>sharpener 1kW</v>
      </c>
      <c r="G2244" s="847" t="s">
        <v>4902</v>
      </c>
      <c r="H2244" s="847">
        <f>0.06</f>
        <v>0.06</v>
      </c>
      <c r="I2244" s="848">
        <f>VLOOKUP(E2244,'9.may'!E:W,12,FALSE)</f>
        <v>59539.11</v>
      </c>
      <c r="J2244" s="853">
        <f>I2244*H2244</f>
        <v>3572.3465999999999</v>
      </c>
      <c r="N2244" s="843" t="e">
        <f>SUMIF(#REF!,'8.Dgia'!A2244,#REF!)+SUMIF(#REF!,'8.Dgia'!A2244,#REF!)+SUMIF(#REF!,'8.Dgia'!A2244,#REF!)+SUMIF(#REF!,'8.Dgia'!A2244,#REF!)</f>
        <v>#REF!</v>
      </c>
      <c r="O2244" s="844"/>
      <c r="P2244" s="843" t="e">
        <f t="shared" si="103"/>
        <v>#REF!</v>
      </c>
    </row>
    <row r="2245" spans="1:18" ht="15" customHeight="1">
      <c r="A2245" s="657">
        <f>IF(B2245="",MAX($A$8:A2244)+0,MAX($A$8:A2244)+1)</f>
        <v>248</v>
      </c>
      <c r="B2245" s="835" t="str">
        <f>IF(C2245="","",COUNTA($C$10:C2246))</f>
        <v/>
      </c>
      <c r="C2245" s="362"/>
      <c r="D2245" s="362"/>
      <c r="E2245" s="852" t="s">
        <v>911</v>
      </c>
      <c r="F2245" s="848" t="str">
        <f>VLOOKUP(E2245,'9.may'!E:F,2,FALSE)</f>
        <v>truck 7T</v>
      </c>
      <c r="G2245" s="847" t="s">
        <v>4902</v>
      </c>
      <c r="H2245" s="847">
        <f>0.045</f>
        <v>4.4999999999999998E-2</v>
      </c>
      <c r="I2245" s="848">
        <f>VLOOKUP(E2245,'9.may'!E:W,12,FALSE)</f>
        <v>1137747.8509090908</v>
      </c>
      <c r="J2245" s="853">
        <f>I2245*H2245</f>
        <v>51198.653290909082</v>
      </c>
      <c r="N2245" s="843" t="e">
        <f>SUMIF(#REF!,'8.Dgia'!A2245,#REF!)+SUMIF(#REF!,'8.Dgia'!A2245,#REF!)+SUMIF(#REF!,'8.Dgia'!A2245,#REF!)+SUMIF(#REF!,'8.Dgia'!A2245,#REF!)</f>
        <v>#REF!</v>
      </c>
      <c r="O2245" s="844"/>
      <c r="P2245" s="843" t="e">
        <f t="shared" si="103"/>
        <v>#REF!</v>
      </c>
    </row>
    <row r="2246" spans="1:18" ht="15" customHeight="1">
      <c r="A2246" s="657">
        <f>IF(B2246="",MAX($A$8:A2245)+0,MAX($A$8:A2245)+1)</f>
        <v>249</v>
      </c>
      <c r="B2246" s="835">
        <f>IF(C2246="","",COUNTA($C$10:C2247))</f>
        <v>249</v>
      </c>
      <c r="C2246" s="835">
        <f>IF(D2246="","",1776)</f>
        <v>1776</v>
      </c>
      <c r="D2246" s="847" t="s">
        <v>704</v>
      </c>
      <c r="E2246" s="855" t="s">
        <v>709</v>
      </c>
      <c r="F2246" s="1049">
        <f>VLOOKUP(E2246,DICH!B:C,2,FALSE)</f>
        <v>0</v>
      </c>
      <c r="G2246" s="884" t="s">
        <v>547</v>
      </c>
      <c r="H2246" s="847"/>
      <c r="I2246" s="848"/>
      <c r="J2246" s="853"/>
      <c r="K2246" s="842">
        <f>+J2247</f>
        <v>7023602.8879499994</v>
      </c>
      <c r="L2246" s="842">
        <f>+J2253</f>
        <v>6081792.0600000005</v>
      </c>
      <c r="N2246" s="843" t="e">
        <f>SUMIF(#REF!,'8.Dgia'!A2246,#REF!)+SUMIF(#REF!,'8.Dgia'!A2246,#REF!)+SUMIF(#REF!,'8.Dgia'!A2246,#REF!)+SUMIF(#REF!,'8.Dgia'!A2246,#REF!)</f>
        <v>#REF!</v>
      </c>
      <c r="O2246" s="844"/>
      <c r="P2246" s="843" t="e">
        <f t="shared" si="103"/>
        <v>#REF!</v>
      </c>
    </row>
    <row r="2247" spans="1:18" ht="15" customHeight="1">
      <c r="A2247" s="657">
        <f>IF(B2247="",MAX($A$8:A2246)+0,MAX($A$8:A2246)+1)</f>
        <v>249</v>
      </c>
      <c r="B2247" s="835" t="str">
        <f>IF(C2247="","",COUNTA($C$10:C2248))</f>
        <v/>
      </c>
      <c r="C2247" s="362"/>
      <c r="D2247" s="847"/>
      <c r="E2247" s="852" t="s">
        <v>2032</v>
      </c>
      <c r="F2247" s="848" t="str">
        <f>VLOOKUP(E2247,DICH!B:C,2,FALSE)</f>
        <v xml:space="preserve">  A - Material</v>
      </c>
      <c r="G2247" s="847"/>
      <c r="H2247" s="847"/>
      <c r="I2247" s="848"/>
      <c r="J2247" s="849">
        <f>SUM(J2248:J2252)</f>
        <v>7023602.8879499994</v>
      </c>
      <c r="N2247" s="843" t="e">
        <f>SUMIF(#REF!,'8.Dgia'!A2247,#REF!)+SUMIF(#REF!,'8.Dgia'!A2247,#REF!)+SUMIF(#REF!,'8.Dgia'!A2247,#REF!)+SUMIF(#REF!,'8.Dgia'!A2247,#REF!)</f>
        <v>#REF!</v>
      </c>
      <c r="O2247" s="844"/>
      <c r="P2247" s="843" t="e">
        <f t="shared" si="103"/>
        <v>#REF!</v>
      </c>
    </row>
    <row r="2248" spans="1:18" ht="15" customHeight="1">
      <c r="A2248" s="657">
        <f>IF(B2248="",MAX($A$8:A2247)+0,MAX($A$8:A2247)+1)</f>
        <v>249</v>
      </c>
      <c r="B2248" s="835" t="str">
        <f>IF(C2248="","",COUNTA($C$10:C2249))</f>
        <v/>
      </c>
      <c r="C2248" s="362"/>
      <c r="D2248" s="847"/>
      <c r="E2248" s="852" t="s">
        <v>134</v>
      </c>
      <c r="F2248" s="848" t="str">
        <f>VLOOKUP(E2248,DICH!B:C,2,FALSE)</f>
        <v>Wooden</v>
      </c>
      <c r="G2248" s="892" t="s">
        <v>545</v>
      </c>
      <c r="H2248" s="847">
        <v>0.79200000000000004</v>
      </c>
      <c r="I2248" s="848">
        <f>VLOOKUP(E2248,'11.gia '!$B:$I,8,FALSE)</f>
        <v>5000000</v>
      </c>
      <c r="J2248" s="853">
        <f>I2248*H2248</f>
        <v>3960000</v>
      </c>
      <c r="N2248" s="843" t="e">
        <f>SUMIF(#REF!,'8.Dgia'!A2248,#REF!)+SUMIF(#REF!,'8.Dgia'!A2248,#REF!)+SUMIF(#REF!,'8.Dgia'!A2248,#REF!)+SUMIF(#REF!,'8.Dgia'!A2248,#REF!)</f>
        <v>#REF!</v>
      </c>
      <c r="O2248" s="844"/>
      <c r="P2248" s="843" t="e">
        <f t="shared" si="103"/>
        <v>#REF!</v>
      </c>
    </row>
    <row r="2249" spans="1:18" ht="15" customHeight="1">
      <c r="A2249" s="657">
        <f>IF(B2249="",MAX($A$8:A2248)+0,MAX($A$8:A2248)+1)</f>
        <v>249</v>
      </c>
      <c r="B2249" s="835" t="str">
        <f>IF(C2249="","",COUNTA($C$10:C2250))</f>
        <v/>
      </c>
      <c r="C2249" s="362"/>
      <c r="D2249" s="847"/>
      <c r="E2249" s="852" t="s">
        <v>134</v>
      </c>
      <c r="F2249" s="848" t="str">
        <f>VLOOKUP(E2249,DICH!B:C,2,FALSE)</f>
        <v>Wooden</v>
      </c>
      <c r="G2249" s="892" t="s">
        <v>545</v>
      </c>
      <c r="H2249" s="847">
        <v>0.19</v>
      </c>
      <c r="I2249" s="848">
        <f>VLOOKUP(E2249,'11.gia '!$B:$I,8,FALSE)</f>
        <v>5000000</v>
      </c>
      <c r="J2249" s="853">
        <f>I2249*H2249</f>
        <v>950000</v>
      </c>
      <c r="N2249" s="843" t="e">
        <f>SUMIF(#REF!,'8.Dgia'!A2249,#REF!)+SUMIF(#REF!,'8.Dgia'!A2249,#REF!)+SUMIF(#REF!,'8.Dgia'!A2249,#REF!)+SUMIF(#REF!,'8.Dgia'!A2249,#REF!)</f>
        <v>#REF!</v>
      </c>
      <c r="O2249" s="844"/>
      <c r="P2249" s="843" t="e">
        <f t="shared" si="103"/>
        <v>#REF!</v>
      </c>
    </row>
    <row r="2250" spans="1:18" ht="15" customHeight="1">
      <c r="A2250" s="657">
        <f>IF(B2250="",MAX($A$8:A2249)+0,MAX($A$8:A2249)+1)</f>
        <v>249</v>
      </c>
      <c r="B2250" s="835" t="str">
        <f>IF(C2250="","",COUNTA($C$10:C2251))</f>
        <v/>
      </c>
      <c r="C2250" s="362"/>
      <c r="D2250" s="847"/>
      <c r="E2250" s="852" t="s">
        <v>134</v>
      </c>
      <c r="F2250" s="848" t="str">
        <f>VLOOKUP(E2250,DICH!B:C,2,FALSE)</f>
        <v>Wooden</v>
      </c>
      <c r="G2250" s="892" t="s">
        <v>545</v>
      </c>
      <c r="H2250" s="847">
        <v>0.35699999999999998</v>
      </c>
      <c r="I2250" s="848">
        <f>VLOOKUP(E2250,'11.gia '!$B:$I,8,FALSE)</f>
        <v>5000000</v>
      </c>
      <c r="J2250" s="853">
        <f>I2250*H2250</f>
        <v>1785000</v>
      </c>
      <c r="N2250" s="843" t="e">
        <f>SUMIF(#REF!,'8.Dgia'!A2250,#REF!)+SUMIF(#REF!,'8.Dgia'!A2250,#REF!)+SUMIF(#REF!,'8.Dgia'!A2250,#REF!)+SUMIF(#REF!,'8.Dgia'!A2250,#REF!)</f>
        <v>#REF!</v>
      </c>
      <c r="O2250" s="844"/>
      <c r="P2250" s="843" t="e">
        <f t="shared" si="103"/>
        <v>#REF!</v>
      </c>
    </row>
    <row r="2251" spans="1:18" ht="15" customHeight="1">
      <c r="A2251" s="657">
        <f>IF(B2251="",MAX($A$8:A2250)+0,MAX($A$8:A2250)+1)</f>
        <v>249</v>
      </c>
      <c r="B2251" s="835" t="str">
        <f>IF(C2251="","",COUNTA($C$10:C2252))</f>
        <v/>
      </c>
      <c r="C2251" s="362"/>
      <c r="D2251" s="847"/>
      <c r="E2251" s="852" t="s">
        <v>460</v>
      </c>
      <c r="F2251" s="848" t="str">
        <f>VLOOKUP(E2251,DICH!B:C,2,FALSE)</f>
        <v>Nail</v>
      </c>
      <c r="G2251" s="847" t="s">
        <v>558</v>
      </c>
      <c r="H2251" s="847">
        <v>17.13</v>
      </c>
      <c r="I2251" s="848">
        <f>VLOOKUP(E2251,'11.gia '!$B:$I,8,FALSE)</f>
        <v>17143</v>
      </c>
      <c r="J2251" s="853">
        <f>I2251*H2251</f>
        <v>293659.58999999997</v>
      </c>
      <c r="N2251" s="843" t="e">
        <f>SUMIF(#REF!,'8.Dgia'!A2251,#REF!)+SUMIF(#REF!,'8.Dgia'!A2251,#REF!)+SUMIF(#REF!,'8.Dgia'!A2251,#REF!)+SUMIF(#REF!,'8.Dgia'!A2251,#REF!)</f>
        <v>#REF!</v>
      </c>
      <c r="O2251" s="844"/>
      <c r="P2251" s="843" t="e">
        <f t="shared" si="103"/>
        <v>#REF!</v>
      </c>
    </row>
    <row r="2252" spans="1:18" ht="15" customHeight="1">
      <c r="A2252" s="657">
        <f>IF(B2252="",MAX($A$8:A2251)+0,MAX($A$8:A2251)+1)</f>
        <v>249</v>
      </c>
      <c r="B2252" s="835" t="str">
        <f>IF(C2252="","",COUNTA($C$10:C2253))</f>
        <v/>
      </c>
      <c r="C2252" s="362"/>
      <c r="D2252" s="847"/>
      <c r="E2252" s="852" t="s">
        <v>555</v>
      </c>
      <c r="F2252" s="848" t="str">
        <f>VLOOKUP(E2252,DICH!B:C,2,FALSE)</f>
        <v>Other material</v>
      </c>
      <c r="G2252" s="362" t="s">
        <v>554</v>
      </c>
      <c r="H2252" s="847">
        <v>0.5</v>
      </c>
      <c r="I2252" s="848">
        <f>SUM(J2248:J2251)</f>
        <v>6988659.5899999999</v>
      </c>
      <c r="J2252" s="853">
        <f>I2252*H2252%</f>
        <v>34943.29795</v>
      </c>
      <c r="N2252" s="843" t="e">
        <f>SUMIF(#REF!,'8.Dgia'!A2252,#REF!)+SUMIF(#REF!,'8.Dgia'!A2252,#REF!)+SUMIF(#REF!,'8.Dgia'!A2252,#REF!)+SUMIF(#REF!,'8.Dgia'!A2252,#REF!)</f>
        <v>#REF!</v>
      </c>
      <c r="O2252" s="844"/>
      <c r="P2252" s="843" t="e">
        <f t="shared" si="103"/>
        <v>#REF!</v>
      </c>
    </row>
    <row r="2253" spans="1:18" ht="15" customHeight="1">
      <c r="A2253" s="657">
        <f>IF(B2253="",MAX($A$8:A2252)+0,MAX($A$8:A2252)+1)</f>
        <v>249</v>
      </c>
      <c r="B2253" s="835" t="str">
        <f>IF(C2253="","",COUNTA($C$10:C2254))</f>
        <v/>
      </c>
      <c r="C2253" s="362"/>
      <c r="D2253" s="847"/>
      <c r="E2253" s="852" t="s">
        <v>2039</v>
      </c>
      <c r="F2253" s="848" t="str">
        <f>VLOOKUP(E2253,DICH!B:C,2,FALSE)</f>
        <v xml:space="preserve">  B - Labour 4.0/7</v>
      </c>
      <c r="G2253" s="847" t="s">
        <v>4899</v>
      </c>
      <c r="H2253" s="847">
        <v>27.78</v>
      </c>
      <c r="I2253" s="848">
        <f>VLOOKUP(E2253,'16.NC'!$C$11:$F$22,4,FALSE)</f>
        <v>218927</v>
      </c>
      <c r="J2253" s="849">
        <f>I2253*H2253</f>
        <v>6081792.0600000005</v>
      </c>
      <c r="N2253" s="843" t="e">
        <f>SUMIF(#REF!,'8.Dgia'!A2253,#REF!)+SUMIF(#REF!,'8.Dgia'!A2253,#REF!)+SUMIF(#REF!,'8.Dgia'!A2253,#REF!)+SUMIF(#REF!,'8.Dgia'!A2253,#REF!)</f>
        <v>#REF!</v>
      </c>
      <c r="O2253" s="844"/>
      <c r="P2253" s="843" t="e">
        <f t="shared" si="103"/>
        <v>#REF!</v>
      </c>
      <c r="R2253" s="658">
        <v>1</v>
      </c>
    </row>
    <row r="2254" spans="1:18" ht="15" customHeight="1">
      <c r="A2254" s="657">
        <f>IF(B2254="",MAX($A$8:A2253)+0,MAX($A$8:A2253)+1)</f>
        <v>250</v>
      </c>
      <c r="B2254" s="835">
        <f>IF(C2254="","",COUNTA($C$10:C2255))</f>
        <v>250</v>
      </c>
      <c r="C2254" s="835">
        <f>IF(D2254="","",1776)</f>
        <v>1776</v>
      </c>
      <c r="D2254" s="847" t="s">
        <v>705</v>
      </c>
      <c r="E2254" s="855" t="s">
        <v>2030</v>
      </c>
      <c r="F2254" s="1049" t="str">
        <f>VLOOKUP(E2254,DICH!B:C,2,FALSE)</f>
        <v>Embankment backfill by fine sand, K=0.95 (tamping rammer)</v>
      </c>
      <c r="G2254" s="882" t="s">
        <v>544</v>
      </c>
      <c r="H2254" s="847"/>
      <c r="I2254" s="848"/>
      <c r="J2254" s="853"/>
      <c r="K2254" s="842">
        <f>+J2255</f>
        <v>15627809.792676372</v>
      </c>
      <c r="L2254" s="842">
        <f>+J2257</f>
        <v>894757.63</v>
      </c>
      <c r="M2254" s="842">
        <f>+J2258</f>
        <v>278860.11756950454</v>
      </c>
      <c r="N2254" s="843" t="e">
        <f>SUMIF(#REF!,'8.Dgia'!A2254,#REF!)+SUMIF(#REF!,'8.Dgia'!A2254,#REF!)+SUMIF(#REF!,'8.Dgia'!A2254,#REF!)+SUMIF(#REF!,'8.Dgia'!A2254,#REF!)</f>
        <v>#REF!</v>
      </c>
      <c r="O2254" s="844"/>
      <c r="P2254" s="843" t="e">
        <f t="shared" si="103"/>
        <v>#REF!</v>
      </c>
    </row>
    <row r="2255" spans="1:18" ht="15" customHeight="1">
      <c r="A2255" s="657">
        <f>IF(B2255="",MAX($A$8:A2254)+0,MAX($A$8:A2254)+1)</f>
        <v>250</v>
      </c>
      <c r="B2255" s="835" t="str">
        <f>IF(C2255="","",COUNTA($C$10:C2256))</f>
        <v/>
      </c>
      <c r="C2255" s="362"/>
      <c r="D2255" s="847"/>
      <c r="E2255" s="852" t="s">
        <v>2032</v>
      </c>
      <c r="F2255" s="848" t="str">
        <f>VLOOKUP(E2255,DICH!B:C,2,FALSE)</f>
        <v xml:space="preserve">  A - Material</v>
      </c>
      <c r="G2255" s="884"/>
      <c r="H2255" s="847"/>
      <c r="I2255" s="848"/>
      <c r="J2255" s="849">
        <f>J2256</f>
        <v>15627809.792676372</v>
      </c>
      <c r="N2255" s="843" t="e">
        <f>SUMIF(#REF!,'8.Dgia'!A2255,#REF!)+SUMIF(#REF!,'8.Dgia'!A2255,#REF!)+SUMIF(#REF!,'8.Dgia'!A2255,#REF!)+SUMIF(#REF!,'8.Dgia'!A2255,#REF!)</f>
        <v>#REF!</v>
      </c>
      <c r="O2255" s="844"/>
      <c r="P2255" s="843" t="e">
        <f t="shared" si="103"/>
        <v>#REF!</v>
      </c>
    </row>
    <row r="2256" spans="1:18" ht="15" customHeight="1">
      <c r="A2256" s="657">
        <f>IF(B2256="",MAX($A$8:A2255)+0,MAX($A$8:A2255)+1)</f>
        <v>250</v>
      </c>
      <c r="B2256" s="835" t="str">
        <f>IF(C2256="","",COUNTA($C$10:C2257))</f>
        <v/>
      </c>
      <c r="C2256" s="362"/>
      <c r="D2256" s="847"/>
      <c r="E2256" s="852" t="s">
        <v>588</v>
      </c>
      <c r="F2256" s="848" t="str">
        <f>VLOOKUP(E2256,DICH!B:C,2,FALSE)</f>
        <v>Medium sand</v>
      </c>
      <c r="G2256" s="847" t="s">
        <v>545</v>
      </c>
      <c r="H2256" s="847" t="s">
        <v>687</v>
      </c>
      <c r="I2256" s="848">
        <f>VLOOKUP(E2256,'11.gia '!$B:$I,8,FALSE)</f>
        <v>128096.80157931453</v>
      </c>
      <c r="J2256" s="853">
        <f>I2256*H2256</f>
        <v>15627809.792676372</v>
      </c>
      <c r="N2256" s="843" t="e">
        <f>SUMIF(#REF!,'8.Dgia'!A2256,#REF!)+SUMIF(#REF!,'8.Dgia'!A2256,#REF!)+SUMIF(#REF!,'8.Dgia'!A2256,#REF!)+SUMIF(#REF!,'8.Dgia'!A2256,#REF!)</f>
        <v>#REF!</v>
      </c>
      <c r="O2256" s="844"/>
      <c r="P2256" s="843" t="e">
        <f t="shared" si="103"/>
        <v>#REF!</v>
      </c>
    </row>
    <row r="2257" spans="1:18" ht="15" customHeight="1">
      <c r="A2257" s="657">
        <f>IF(B2257="",MAX($A$8:A2256)+0,MAX($A$8:A2256)+1)</f>
        <v>250</v>
      </c>
      <c r="B2257" s="835" t="str">
        <f>IF(C2257="","",COUNTA($C$10:C2258))</f>
        <v/>
      </c>
      <c r="C2257" s="362"/>
      <c r="D2257" s="847"/>
      <c r="E2257" s="852" t="s">
        <v>2038</v>
      </c>
      <c r="F2257" s="848" t="str">
        <f>VLOOKUP(E2257,DICH!B:C,2,FALSE)</f>
        <v xml:space="preserve">  B - Labour 3.0/7</v>
      </c>
      <c r="G2257" s="883" t="s">
        <v>4899</v>
      </c>
      <c r="H2257" s="847">
        <v>4.79</v>
      </c>
      <c r="I2257" s="848">
        <f>VLOOKUP(E2257,'16.NC'!$C$11:$F$22,4,FALSE)</f>
        <v>186797</v>
      </c>
      <c r="J2257" s="849">
        <f>I2257*H2257</f>
        <v>894757.63</v>
      </c>
      <c r="N2257" s="843" t="e">
        <f>SUMIF(#REF!,'8.Dgia'!A2257,#REF!)+SUMIF(#REF!,'8.Dgia'!A2257,#REF!)+SUMIF(#REF!,'8.Dgia'!A2257,#REF!)+SUMIF(#REF!,'8.Dgia'!A2257,#REF!)</f>
        <v>#REF!</v>
      </c>
      <c r="O2257" s="844"/>
      <c r="P2257" s="843" t="e">
        <f t="shared" si="103"/>
        <v>#REF!</v>
      </c>
      <c r="R2257" s="658">
        <v>1</v>
      </c>
    </row>
    <row r="2258" spans="1:18" ht="15" customHeight="1">
      <c r="A2258" s="657">
        <f>IF(B2258="",MAX($A$8:A2257)+0,MAX($A$8:A2257)+1)</f>
        <v>250</v>
      </c>
      <c r="B2258" s="835" t="str">
        <f>IF(C2258="","",COUNTA($C$10:C2259))</f>
        <v/>
      </c>
      <c r="C2258" s="362"/>
      <c r="D2258" s="847"/>
      <c r="E2258" s="852" t="s">
        <v>2033</v>
      </c>
      <c r="F2258" s="848" t="str">
        <f>VLOOKUP(E2258,DICH!B:C,2,FALSE)</f>
        <v xml:space="preserve">  C - Machine</v>
      </c>
      <c r="G2258" s="883"/>
      <c r="H2258" s="847"/>
      <c r="I2258" s="848"/>
      <c r="J2258" s="849">
        <f>SUM(J2259:J2260)</f>
        <v>278860.11756950454</v>
      </c>
      <c r="N2258" s="843" t="e">
        <f>SUMIF(#REF!,'8.Dgia'!A2258,#REF!)+SUMIF(#REF!,'8.Dgia'!A2258,#REF!)+SUMIF(#REF!,'8.Dgia'!A2258,#REF!)+SUMIF(#REF!,'8.Dgia'!A2258,#REF!)</f>
        <v>#REF!</v>
      </c>
      <c r="O2258" s="844"/>
      <c r="P2258" s="843" t="e">
        <f t="shared" si="103"/>
        <v>#REF!</v>
      </c>
    </row>
    <row r="2259" spans="1:18" ht="15" customHeight="1">
      <c r="A2259" s="657">
        <f>IF(B2259="",MAX($A$8:A2258)+0,MAX($A$8:A2258)+1)</f>
        <v>250</v>
      </c>
      <c r="B2259" s="835" t="str">
        <f>IF(C2259="","",COUNTA($C$10:C2260))</f>
        <v/>
      </c>
      <c r="C2259" s="362"/>
      <c r="D2259" s="847"/>
      <c r="E2259" s="852" t="s">
        <v>332</v>
      </c>
      <c r="F2259" s="848" t="str">
        <f>VLOOKUP(E2259,'9.may'!E:F,2,FALSE)</f>
        <v>tamping rammer</v>
      </c>
      <c r="G2259" s="883" t="s">
        <v>4902</v>
      </c>
      <c r="H2259" s="847">
        <v>2.4700000000000002</v>
      </c>
      <c r="I2259" s="848">
        <f>VLOOKUP(E2259,'9.may'!E:W,12,FALSE)</f>
        <v>111230.37736363636</v>
      </c>
      <c r="J2259" s="853">
        <f>I2259*H2259</f>
        <v>274739.03208818182</v>
      </c>
      <c r="N2259" s="843" t="e">
        <f>SUMIF(#REF!,'8.Dgia'!A2259,#REF!)+SUMIF(#REF!,'8.Dgia'!A2259,#REF!)+SUMIF(#REF!,'8.Dgia'!A2259,#REF!)+SUMIF(#REF!,'8.Dgia'!A2259,#REF!)</f>
        <v>#REF!</v>
      </c>
      <c r="O2259" s="844">
        <f>+$H$2260</f>
        <v>1.5</v>
      </c>
      <c r="P2259" s="843" t="e">
        <f t="shared" si="103"/>
        <v>#REF!</v>
      </c>
    </row>
    <row r="2260" spans="1:18" ht="15" customHeight="1">
      <c r="A2260" s="657">
        <f>IF(B2260="",MAX($A$8:A2259)+0,MAX($A$8:A2259)+1)</f>
        <v>250</v>
      </c>
      <c r="B2260" s="835" t="str">
        <f>IF(C2260="","",COUNTA($C$10:C2261))</f>
        <v/>
      </c>
      <c r="C2260" s="362"/>
      <c r="D2260" s="847"/>
      <c r="E2260" s="852" t="s">
        <v>553</v>
      </c>
      <c r="F2260" s="848" t="str">
        <f>VLOOKUP(E2260,DICH!B:C,2,FALSE)</f>
        <v>Other machine</v>
      </c>
      <c r="G2260" s="362" t="s">
        <v>554</v>
      </c>
      <c r="H2260" s="847">
        <v>1.5</v>
      </c>
      <c r="I2260" s="848">
        <f>+J2259</f>
        <v>274739.03208818182</v>
      </c>
      <c r="J2260" s="853">
        <f>I2260*H2260%</f>
        <v>4121.085481322727</v>
      </c>
      <c r="N2260" s="843" t="e">
        <f>SUMIF(#REF!,'8.Dgia'!A2260,#REF!)+SUMIF(#REF!,'8.Dgia'!A2260,#REF!)+SUMIF(#REF!,'8.Dgia'!A2260,#REF!)+SUMIF(#REF!,'8.Dgia'!A2260,#REF!)</f>
        <v>#REF!</v>
      </c>
      <c r="O2260" s="844"/>
      <c r="P2260" s="843" t="e">
        <f t="shared" si="103"/>
        <v>#REF!</v>
      </c>
    </row>
    <row r="2261" spans="1:18" ht="15" customHeight="1">
      <c r="A2261" s="657">
        <f>IF(B2261="",MAX($A$8:A2260)+0,MAX($A$8:A2260)+1)</f>
        <v>251</v>
      </c>
      <c r="B2261" s="835">
        <f>IF(C2261="","",COUNTA($C$10:C2262))</f>
        <v>251</v>
      </c>
      <c r="C2261" s="835">
        <f>IF(D2261="","",1776)</f>
        <v>1776</v>
      </c>
      <c r="D2261" s="847" t="s">
        <v>144</v>
      </c>
      <c r="E2261" s="855" t="s">
        <v>3478</v>
      </c>
      <c r="F2261" s="1049" t="str">
        <f>VLOOKUP(E2261,DICH!B:C,2,FALSE)</f>
        <v>Embankment backfill by fine sand (by hand)</v>
      </c>
      <c r="G2261" s="882" t="s">
        <v>545</v>
      </c>
      <c r="H2261" s="847"/>
      <c r="I2261" s="848"/>
      <c r="J2261" s="853"/>
      <c r="K2261" s="842">
        <f>+J2262</f>
        <v>115995.03634966264</v>
      </c>
      <c r="L2261" s="842">
        <f>+J2265</f>
        <v>84058.650000000009</v>
      </c>
      <c r="N2261" s="843" t="e">
        <f>SUMIF(#REF!,'8.Dgia'!A2261,#REF!)+SUMIF(#REF!,'8.Dgia'!A2261,#REF!)+SUMIF(#REF!,'8.Dgia'!A2261,#REF!)+SUMIF(#REF!,'8.Dgia'!A2261,#REF!)</f>
        <v>#REF!</v>
      </c>
      <c r="O2261" s="844"/>
      <c r="P2261" s="843" t="e">
        <f t="shared" si="103"/>
        <v>#REF!</v>
      </c>
    </row>
    <row r="2262" spans="1:18" ht="15" customHeight="1">
      <c r="A2262" s="657">
        <f>IF(B2262="",MAX($A$8:A2261)+0,MAX($A$8:A2261)+1)</f>
        <v>251</v>
      </c>
      <c r="B2262" s="835" t="str">
        <f>IF(C2262="","",COUNTA($C$10:C2263))</f>
        <v/>
      </c>
      <c r="C2262" s="362"/>
      <c r="D2262" s="847"/>
      <c r="E2262" s="852" t="s">
        <v>2032</v>
      </c>
      <c r="F2262" s="848" t="str">
        <f>VLOOKUP(E2262,DICH!B:C,2,FALSE)</f>
        <v xml:space="preserve">  A - Material</v>
      </c>
      <c r="G2262" s="884"/>
      <c r="H2262" s="847"/>
      <c r="I2262" s="848"/>
      <c r="J2262" s="849">
        <f>SUM(J2263:J2264)</f>
        <v>115995.03634966264</v>
      </c>
      <c r="N2262" s="843" t="e">
        <f>SUMIF(#REF!,'8.Dgia'!A2262,#REF!)+SUMIF(#REF!,'8.Dgia'!A2262,#REF!)+SUMIF(#REF!,'8.Dgia'!A2262,#REF!)+SUMIF(#REF!,'8.Dgia'!A2262,#REF!)</f>
        <v>#REF!</v>
      </c>
      <c r="O2262" s="844"/>
      <c r="P2262" s="843" t="e">
        <f t="shared" si="103"/>
        <v>#REF!</v>
      </c>
    </row>
    <row r="2263" spans="1:18" ht="15" customHeight="1">
      <c r="A2263" s="657">
        <f>IF(B2263="",MAX($A$8:A2262)+0,MAX($A$8:A2262)+1)</f>
        <v>251</v>
      </c>
      <c r="B2263" s="835" t="str">
        <f>IF(C2263="","",COUNTA($C$10:C2264))</f>
        <v/>
      </c>
      <c r="C2263" s="362"/>
      <c r="D2263" s="847"/>
      <c r="E2263" s="852" t="s">
        <v>602</v>
      </c>
      <c r="F2263" s="848" t="str">
        <f>VLOOKUP(E2263,DICH!B:C,2,FALSE)</f>
        <v>Find sand</v>
      </c>
      <c r="G2263" s="847" t="s">
        <v>545</v>
      </c>
      <c r="H2263" s="847">
        <v>1.22</v>
      </c>
      <c r="I2263" s="848">
        <f>VLOOKUP(E2263,'11.gia '!$B:$I,8,FALSE)</f>
        <v>93213.626124769085</v>
      </c>
      <c r="J2263" s="853">
        <f>I2263*H2263</f>
        <v>113720.62387221828</v>
      </c>
      <c r="N2263" s="843" t="e">
        <f>SUMIF(#REF!,'8.Dgia'!A2263,#REF!)+SUMIF(#REF!,'8.Dgia'!A2263,#REF!)+SUMIF(#REF!,'8.Dgia'!A2263,#REF!)+SUMIF(#REF!,'8.Dgia'!A2263,#REF!)</f>
        <v>#REF!</v>
      </c>
      <c r="O2263" s="844">
        <f>+$H$2264</f>
        <v>2</v>
      </c>
      <c r="P2263" s="843" t="e">
        <f t="shared" si="103"/>
        <v>#REF!</v>
      </c>
    </row>
    <row r="2264" spans="1:18" ht="15" customHeight="1">
      <c r="A2264" s="657">
        <f>IF(B2264="",MAX($A$8:A2263)+0,MAX($A$8:A2263)+1)</f>
        <v>251</v>
      </c>
      <c r="B2264" s="835" t="str">
        <f>IF(C2264="","",COUNTA($C$10:C2265))</f>
        <v/>
      </c>
      <c r="C2264" s="362"/>
      <c r="D2264" s="847"/>
      <c r="E2264" s="852" t="s">
        <v>555</v>
      </c>
      <c r="F2264" s="848" t="str">
        <f>VLOOKUP(E2264,DICH!B:C,2,FALSE)</f>
        <v>Other material</v>
      </c>
      <c r="G2264" s="362" t="s">
        <v>554</v>
      </c>
      <c r="H2264" s="847">
        <v>2</v>
      </c>
      <c r="I2264" s="848">
        <f>+J2263</f>
        <v>113720.62387221828</v>
      </c>
      <c r="J2264" s="853">
        <f>I2264*H2264%</f>
        <v>2274.4124774443658</v>
      </c>
      <c r="N2264" s="843" t="e">
        <f>SUMIF(#REF!,'8.Dgia'!A2264,#REF!)+SUMIF(#REF!,'8.Dgia'!A2264,#REF!)+SUMIF(#REF!,'8.Dgia'!A2264,#REF!)+SUMIF(#REF!,'8.Dgia'!A2264,#REF!)</f>
        <v>#REF!</v>
      </c>
      <c r="O2264" s="844"/>
      <c r="P2264" s="843" t="e">
        <f t="shared" si="103"/>
        <v>#REF!</v>
      </c>
    </row>
    <row r="2265" spans="1:18" ht="15" customHeight="1">
      <c r="A2265" s="657">
        <f>IF(B2265="",MAX($A$8:A2264)+0,MAX($A$8:A2264)+1)</f>
        <v>251</v>
      </c>
      <c r="B2265" s="835" t="str">
        <f>IF(C2265="","",COUNTA($C$10:C2266))</f>
        <v/>
      </c>
      <c r="C2265" s="362"/>
      <c r="D2265" s="847"/>
      <c r="E2265" s="852" t="s">
        <v>2038</v>
      </c>
      <c r="F2265" s="848" t="str">
        <f>VLOOKUP(E2265,DICH!B:C,2,FALSE)</f>
        <v xml:space="preserve">  B - Labour 3.0/7</v>
      </c>
      <c r="G2265" s="883" t="s">
        <v>4899</v>
      </c>
      <c r="H2265" s="847">
        <v>0.45</v>
      </c>
      <c r="I2265" s="848">
        <f>VLOOKUP(E2265,'16.NC'!$C$11:$F$22,4,FALSE)</f>
        <v>186797</v>
      </c>
      <c r="J2265" s="849">
        <f>I2265*H2265</f>
        <v>84058.650000000009</v>
      </c>
      <c r="N2265" s="843" t="e">
        <f>SUMIF(#REF!,'8.Dgia'!A2265,#REF!)+SUMIF(#REF!,'8.Dgia'!A2265,#REF!)+SUMIF(#REF!,'8.Dgia'!A2265,#REF!)+SUMIF(#REF!,'8.Dgia'!A2265,#REF!)</f>
        <v>#REF!</v>
      </c>
      <c r="O2265" s="844"/>
      <c r="P2265" s="843" t="e">
        <f t="shared" si="103"/>
        <v>#REF!</v>
      </c>
      <c r="R2265" s="658">
        <v>1</v>
      </c>
    </row>
    <row r="2266" spans="1:18" ht="15" customHeight="1">
      <c r="A2266" s="657">
        <f>IF(B2266="",MAX($A$8:A2265)+0,MAX($A$8:A2265)+1)</f>
        <v>252</v>
      </c>
      <c r="B2266" s="835">
        <f>IF(C2266="","",COUNTA($C$10:C2267))</f>
        <v>252</v>
      </c>
      <c r="C2266" s="835">
        <f>IF(D2266="","",1776)</f>
        <v>1776</v>
      </c>
      <c r="D2266" s="847" t="s">
        <v>166</v>
      </c>
      <c r="E2266" s="855" t="s">
        <v>2031</v>
      </c>
      <c r="F2266" s="1049" t="str">
        <f>VLOOKUP(E2266,DICH!B:C,2,FALSE)</f>
        <v>Excavating foundation hole</v>
      </c>
      <c r="G2266" s="882" t="s">
        <v>544</v>
      </c>
      <c r="H2266" s="847"/>
      <c r="I2266" s="848"/>
      <c r="J2266" s="853"/>
      <c r="L2266" s="842">
        <f>+J2267</f>
        <v>887285.75</v>
      </c>
      <c r="M2266" s="842">
        <f>+J2268</f>
        <v>810651.65371636359</v>
      </c>
      <c r="N2266" s="843" t="e">
        <f>SUMIF(#REF!,'8.Dgia'!A2266,#REF!)+SUMIF(#REF!,'8.Dgia'!A2266,#REF!)+SUMIF(#REF!,'8.Dgia'!A2266,#REF!)+SUMIF(#REF!,'8.Dgia'!A2266,#REF!)</f>
        <v>#REF!</v>
      </c>
      <c r="O2266" s="844"/>
      <c r="P2266" s="843" t="e">
        <f t="shared" si="103"/>
        <v>#REF!</v>
      </c>
    </row>
    <row r="2267" spans="1:18" ht="15" customHeight="1">
      <c r="A2267" s="657">
        <f>IF(B2267="",MAX($A$8:A2266)+0,MAX($A$8:A2266)+1)</f>
        <v>252</v>
      </c>
      <c r="B2267" s="835" t="str">
        <f>IF(C2267="","",COUNTA($C$10:C2268))</f>
        <v/>
      </c>
      <c r="C2267" s="362"/>
      <c r="D2267" s="847"/>
      <c r="E2267" s="852" t="s">
        <v>2038</v>
      </c>
      <c r="F2267" s="848" t="str">
        <f>VLOOKUP(E2267,DICH!B:C,2,FALSE)</f>
        <v xml:space="preserve">  B - Labour 3.0/7</v>
      </c>
      <c r="G2267" s="883" t="s">
        <v>4899</v>
      </c>
      <c r="H2267" s="847">
        <v>4.75</v>
      </c>
      <c r="I2267" s="848">
        <f>VLOOKUP(E2267,'16.NC'!$C$11:$F$22,4,FALSE)</f>
        <v>186797</v>
      </c>
      <c r="J2267" s="849">
        <f>I2267*H2267</f>
        <v>887285.75</v>
      </c>
      <c r="N2267" s="843" t="e">
        <f>SUMIF(#REF!,'8.Dgia'!A2267,#REF!)+SUMIF(#REF!,'8.Dgia'!A2267,#REF!)+SUMIF(#REF!,'8.Dgia'!A2267,#REF!)+SUMIF(#REF!,'8.Dgia'!A2267,#REF!)</f>
        <v>#REF!</v>
      </c>
      <c r="O2267" s="844"/>
      <c r="P2267" s="843" t="e">
        <f t="shared" si="103"/>
        <v>#REF!</v>
      </c>
      <c r="R2267" s="658">
        <v>1</v>
      </c>
    </row>
    <row r="2268" spans="1:18" ht="15" customHeight="1">
      <c r="A2268" s="657">
        <f>IF(B2268="",MAX($A$8:A2267)+0,MAX($A$8:A2267)+1)</f>
        <v>252</v>
      </c>
      <c r="B2268" s="835" t="str">
        <f>IF(C2268="","",COUNTA($C$10:C2269))</f>
        <v/>
      </c>
      <c r="C2268" s="362"/>
      <c r="D2268" s="847"/>
      <c r="E2268" s="852" t="s">
        <v>2033</v>
      </c>
      <c r="F2268" s="848" t="str">
        <f>VLOOKUP(E2268,DICH!B:C,2,FALSE)</f>
        <v xml:space="preserve">  C - Machine</v>
      </c>
      <c r="G2268" s="883"/>
      <c r="H2268" s="847"/>
      <c r="I2268" s="848"/>
      <c r="J2268" s="849">
        <f>+J2269</f>
        <v>810651.65371636359</v>
      </c>
      <c r="N2268" s="843" t="e">
        <f>SUMIF(#REF!,'8.Dgia'!A2268,#REF!)+SUMIF(#REF!,'8.Dgia'!A2268,#REF!)+SUMIF(#REF!,'8.Dgia'!A2268,#REF!)+SUMIF(#REF!,'8.Dgia'!A2268,#REF!)</f>
        <v>#REF!</v>
      </c>
      <c r="O2268" s="844"/>
      <c r="P2268" s="843" t="e">
        <f t="shared" si="103"/>
        <v>#REF!</v>
      </c>
    </row>
    <row r="2269" spans="1:18" ht="15" customHeight="1">
      <c r="A2269" s="657">
        <f>IF(B2269="",MAX($A$8:A2268)+0,MAX($A$8:A2268)+1)</f>
        <v>252</v>
      </c>
      <c r="B2269" s="835" t="str">
        <f>IF(C2269="","",COUNTA($C$10:C2270))</f>
        <v/>
      </c>
      <c r="C2269" s="362"/>
      <c r="D2269" s="847"/>
      <c r="E2269" s="852" t="s">
        <v>773</v>
      </c>
      <c r="F2269" s="848" t="str">
        <f>VLOOKUP(E2269,'9.may'!E:F,2,FALSE)</f>
        <v>avulsion excavator 0.8m3</v>
      </c>
      <c r="G2269" s="883" t="s">
        <v>4902</v>
      </c>
      <c r="H2269" s="847">
        <v>0.316</v>
      </c>
      <c r="I2269" s="848">
        <f>VLOOKUP(E2269,'9.may'!E:W,12,FALSE)</f>
        <v>2565353.3345454545</v>
      </c>
      <c r="J2269" s="853">
        <f>I2269*H2269</f>
        <v>810651.65371636359</v>
      </c>
      <c r="N2269" s="843" t="e">
        <f>SUMIF(#REF!,'8.Dgia'!A2269,#REF!)+SUMIF(#REF!,'8.Dgia'!A2269,#REF!)+SUMIF(#REF!,'8.Dgia'!A2269,#REF!)+SUMIF(#REF!,'8.Dgia'!A2269,#REF!)</f>
        <v>#REF!</v>
      </c>
      <c r="O2269" s="844"/>
      <c r="P2269" s="843" t="e">
        <f t="shared" si="103"/>
        <v>#REF!</v>
      </c>
    </row>
    <row r="2270" spans="1:18" ht="15" customHeight="1">
      <c r="A2270" s="657">
        <f>IF(B2270="",MAX($A$8:A2269)+0,MAX($A$8:A2269)+1)</f>
        <v>253</v>
      </c>
      <c r="B2270" s="835">
        <f>IF(C2270="","",COUNTA($C$10:C2271))</f>
        <v>253</v>
      </c>
      <c r="C2270" s="835">
        <f>IF(D2270="","",1776)</f>
        <v>1776</v>
      </c>
      <c r="D2270" s="362" t="s">
        <v>693</v>
      </c>
      <c r="E2270" s="855" t="s">
        <v>19</v>
      </c>
      <c r="F2270" s="1049" t="str">
        <f>VLOOKUP(E2270,DICH!B:C,2,FALSE)</f>
        <v>masonry, C10</v>
      </c>
      <c r="G2270" s="882" t="s">
        <v>545</v>
      </c>
      <c r="H2270" s="906"/>
      <c r="I2270" s="895"/>
      <c r="J2270" s="903"/>
      <c r="K2270" s="842">
        <f>+J2271</f>
        <v>630303.84887394588</v>
      </c>
      <c r="L2270" s="842">
        <f>+J2275</f>
        <v>444267.77999999997</v>
      </c>
      <c r="N2270" s="843" t="e">
        <f>SUMIF(#REF!,'8.Dgia'!A2270,#REF!)+SUMIF(#REF!,'8.Dgia'!A2270,#REF!)+SUMIF(#REF!,'8.Dgia'!A2270,#REF!)+SUMIF(#REF!,'8.Dgia'!A2270,#REF!)</f>
        <v>#REF!</v>
      </c>
      <c r="O2270" s="844"/>
      <c r="P2270" s="843" t="e">
        <f t="shared" si="103"/>
        <v>#REF!</v>
      </c>
    </row>
    <row r="2271" spans="1:18" ht="15" customHeight="1">
      <c r="A2271" s="657">
        <f>IF(B2271="",MAX($A$8:A2270)+0,MAX($A$8:A2270)+1)</f>
        <v>253</v>
      </c>
      <c r="B2271" s="835" t="str">
        <f>IF(C2271="","",COUNTA($C$10:C2272))</f>
        <v/>
      </c>
      <c r="C2271" s="362"/>
      <c r="D2271" s="362"/>
      <c r="E2271" s="852" t="s">
        <v>2032</v>
      </c>
      <c r="F2271" s="848" t="str">
        <f>VLOOKUP(E2271,DICH!B:C,2,FALSE)</f>
        <v xml:space="preserve">  A - Material</v>
      </c>
      <c r="G2271" s="883"/>
      <c r="H2271" s="906"/>
      <c r="I2271" s="895"/>
      <c r="J2271" s="904">
        <f>SUM(J2272:J2274)</f>
        <v>630303.84887394588</v>
      </c>
      <c r="N2271" s="843" t="e">
        <f>SUMIF(#REF!,'8.Dgia'!A2271,#REF!)+SUMIF(#REF!,'8.Dgia'!A2271,#REF!)+SUMIF(#REF!,'8.Dgia'!A2271,#REF!)+SUMIF(#REF!,'8.Dgia'!A2271,#REF!)</f>
        <v>#REF!</v>
      </c>
      <c r="O2271" s="844"/>
      <c r="P2271" s="843" t="e">
        <f t="shared" si="103"/>
        <v>#REF!</v>
      </c>
    </row>
    <row r="2272" spans="1:18" ht="15" customHeight="1">
      <c r="A2272" s="657">
        <f>IF(B2272="",MAX($A$8:A2271)+0,MAX($A$8:A2271)+1)</f>
        <v>253</v>
      </c>
      <c r="B2272" s="835" t="str">
        <f>IF(C2272="","",COUNTA($C$10:C2273))</f>
        <v/>
      </c>
      <c r="C2272" s="362"/>
      <c r="D2272" s="362"/>
      <c r="E2272" s="852" t="s">
        <v>599</v>
      </c>
      <c r="F2272" s="848" t="str">
        <f>VLOOKUP(E2272,DICH!B:C,2,FALSE)</f>
        <v>Masory</v>
      </c>
      <c r="G2272" s="847" t="s">
        <v>545</v>
      </c>
      <c r="H2272" s="847">
        <v>1.2</v>
      </c>
      <c r="I2272" s="848">
        <f>VLOOKUP(E2272,'11.gia '!$B:$I,8,FALSE)</f>
        <v>301292.57724953815</v>
      </c>
      <c r="J2272" s="853">
        <f>I2272*H2272</f>
        <v>361551.09269944578</v>
      </c>
      <c r="N2272" s="843" t="e">
        <f>SUMIF(#REF!,'8.Dgia'!A2272,#REF!)+SUMIF(#REF!,'8.Dgia'!A2272,#REF!)+SUMIF(#REF!,'8.Dgia'!A2272,#REF!)+SUMIF(#REF!,'8.Dgia'!A2272,#REF!)</f>
        <v>#REF!</v>
      </c>
      <c r="O2272" s="844"/>
      <c r="P2272" s="843" t="e">
        <f t="shared" si="103"/>
        <v>#REF!</v>
      </c>
    </row>
    <row r="2273" spans="1:18" ht="15" customHeight="1">
      <c r="A2273" s="657">
        <f>IF(B2273="",MAX($A$8:A2272)+0,MAX($A$8:A2272)+1)</f>
        <v>253</v>
      </c>
      <c r="B2273" s="835" t="str">
        <f>IF(C2273="","",COUNTA($C$10:C2274))</f>
        <v/>
      </c>
      <c r="C2273" s="362"/>
      <c r="D2273" s="362"/>
      <c r="E2273" s="852" t="s">
        <v>4</v>
      </c>
      <c r="F2273" s="848" t="str">
        <f>VLOOKUP(E2273,DICH!B:C,2,FALSE)</f>
        <v>Stone 4x6</v>
      </c>
      <c r="G2273" s="847" t="s">
        <v>545</v>
      </c>
      <c r="H2273" s="847">
        <v>5.7000000000000002E-2</v>
      </c>
      <c r="I2273" s="848">
        <f>VLOOKUP(E2273,'11.gia '!$B:$I,8,FALSE)</f>
        <v>300147.95224953815</v>
      </c>
      <c r="J2273" s="853">
        <f>I2273*H2273</f>
        <v>17108.433278223674</v>
      </c>
      <c r="N2273" s="843" t="e">
        <f>SUMIF(#REF!,'8.Dgia'!A2273,#REF!)+SUMIF(#REF!,'8.Dgia'!A2273,#REF!)+SUMIF(#REF!,'8.Dgia'!A2273,#REF!)+SUMIF(#REF!,'8.Dgia'!A2273,#REF!)</f>
        <v>#REF!</v>
      </c>
      <c r="O2273" s="844"/>
      <c r="P2273" s="843" t="e">
        <f t="shared" si="103"/>
        <v>#REF!</v>
      </c>
    </row>
    <row r="2274" spans="1:18" ht="15" customHeight="1">
      <c r="A2274" s="657">
        <f>IF(B2274="",MAX($A$8:A2273)+0,MAX($A$8:A2273)+1)</f>
        <v>253</v>
      </c>
      <c r="B2274" s="835" t="str">
        <f>IF(C2274="","",COUNTA($C$10:C2275))</f>
        <v/>
      </c>
      <c r="C2274" s="851"/>
      <c r="D2274" s="851" t="str">
        <f>+'10.PLV'!$C$115</f>
        <v>B2215</v>
      </c>
      <c r="E2274" s="852" t="str">
        <f>+'10.PLV'!$D$115</f>
        <v>Vữa xi măng C10</v>
      </c>
      <c r="F2274" s="848" t="str">
        <f>VLOOKUP(E2274,DICH!B:C,2,FALSE)</f>
        <v>Cement motar C10</v>
      </c>
      <c r="G2274" s="847" t="s">
        <v>545</v>
      </c>
      <c r="H2274" s="847">
        <v>0.42</v>
      </c>
      <c r="I2274" s="848">
        <f>VLOOKUP(E2274,'11.gia '!B:I,8,FALSE)</f>
        <v>599153.14975303912</v>
      </c>
      <c r="J2274" s="853">
        <f>I2274*H2274</f>
        <v>251644.32289627643</v>
      </c>
      <c r="N2274" s="843" t="e">
        <f>SUMIF(#REF!,'8.Dgia'!A2274,#REF!)+SUMIF(#REF!,'8.Dgia'!A2274,#REF!)+SUMIF(#REF!,'8.Dgia'!A2274,#REF!)+SUMIF(#REF!,'8.Dgia'!A2274,#REF!)</f>
        <v>#REF!</v>
      </c>
      <c r="O2274" s="844"/>
      <c r="P2274" s="843" t="e">
        <f t="shared" si="103"/>
        <v>#REF!</v>
      </c>
    </row>
    <row r="2275" spans="1:18" ht="15" customHeight="1">
      <c r="A2275" s="657">
        <f>IF(B2275="",MAX($A$8:A2274)+0,MAX($A$8:A2274)+1)</f>
        <v>253</v>
      </c>
      <c r="B2275" s="835" t="str">
        <f>IF(C2275="","",COUNTA($C$10:C2276))</f>
        <v/>
      </c>
      <c r="C2275" s="362"/>
      <c r="D2275" s="362"/>
      <c r="E2275" s="852" t="s">
        <v>2037</v>
      </c>
      <c r="F2275" s="848" t="str">
        <f>VLOOKUP(E2275,DICH!B:C,2,FALSE)</f>
        <v xml:space="preserve">  B - Labour 3.5/7</v>
      </c>
      <c r="G2275" s="883" t="s">
        <v>4899</v>
      </c>
      <c r="H2275" s="847">
        <v>2.19</v>
      </c>
      <c r="I2275" s="848">
        <f>VLOOKUP(E2275,'16.NC'!$C$11:$F$22,4,FALSE)</f>
        <v>202862</v>
      </c>
      <c r="J2275" s="849">
        <f>I2275*H2275</f>
        <v>444267.77999999997</v>
      </c>
      <c r="N2275" s="843" t="e">
        <f>SUMIF(#REF!,'8.Dgia'!A2275,#REF!)+SUMIF(#REF!,'8.Dgia'!A2275,#REF!)+SUMIF(#REF!,'8.Dgia'!A2275,#REF!)+SUMIF(#REF!,'8.Dgia'!A2275,#REF!)</f>
        <v>#REF!</v>
      </c>
      <c r="O2275" s="844"/>
      <c r="P2275" s="843" t="e">
        <f t="shared" si="103"/>
        <v>#REF!</v>
      </c>
      <c r="R2275" s="658">
        <v>1</v>
      </c>
    </row>
    <row r="2276" spans="1:18" ht="15" customHeight="1">
      <c r="A2276" s="657">
        <f>IF(B2276="",MAX($A$8:A2275)+0,MAX($A$8:A2275)+1)</f>
        <v>254</v>
      </c>
      <c r="B2276" s="835">
        <f>IF(C2276="","",COUNTA($C$10:C2277))</f>
        <v>254</v>
      </c>
      <c r="C2276" s="835">
        <f>IF(D2276="","",1776)</f>
        <v>1776</v>
      </c>
      <c r="D2276" s="362" t="s">
        <v>140</v>
      </c>
      <c r="E2276" s="855" t="s">
        <v>644</v>
      </c>
      <c r="F2276" s="1049" t="str">
        <f>VLOOKUP(E2276,DICH!B:C,2,FALSE)</f>
        <v>Grouted - rip - rap</v>
      </c>
      <c r="G2276" s="882" t="s">
        <v>545</v>
      </c>
      <c r="H2276" s="906"/>
      <c r="I2276" s="895"/>
      <c r="J2276" s="903"/>
      <c r="K2276" s="842">
        <f>+J2277</f>
        <v>379860.1177866676</v>
      </c>
      <c r="L2276" s="842">
        <f>+J2280</f>
        <v>284006.8</v>
      </c>
      <c r="N2276" s="843" t="e">
        <f>SUMIF(#REF!,'8.Dgia'!A2276,#REF!)+SUMIF(#REF!,'8.Dgia'!A2276,#REF!)+SUMIF(#REF!,'8.Dgia'!A2276,#REF!)+SUMIF(#REF!,'8.Dgia'!A2276,#REF!)</f>
        <v>#REF!</v>
      </c>
      <c r="O2276" s="844"/>
      <c r="P2276" s="843" t="e">
        <f t="shared" si="103"/>
        <v>#REF!</v>
      </c>
    </row>
    <row r="2277" spans="1:18" ht="15" customHeight="1">
      <c r="A2277" s="657">
        <f>IF(B2277="",MAX($A$8:A2276)+0,MAX($A$8:A2276)+1)</f>
        <v>254</v>
      </c>
      <c r="B2277" s="835" t="str">
        <f>IF(C2277="","",COUNTA($C$10:C2278))</f>
        <v/>
      </c>
      <c r="C2277" s="362"/>
      <c r="D2277" s="362"/>
      <c r="E2277" s="852" t="s">
        <v>2032</v>
      </c>
      <c r="F2277" s="848" t="str">
        <f>VLOOKUP(E2277,DICH!B:C,2,FALSE)</f>
        <v xml:space="preserve">  A - Material</v>
      </c>
      <c r="G2277" s="883"/>
      <c r="H2277" s="906"/>
      <c r="I2277" s="895"/>
      <c r="J2277" s="904">
        <f>SUM(J2278:J2279)</f>
        <v>379860.1177866676</v>
      </c>
      <c r="N2277" s="843" t="e">
        <f>SUMIF(#REF!,'8.Dgia'!A2277,#REF!)+SUMIF(#REF!,'8.Dgia'!A2277,#REF!)+SUMIF(#REF!,'8.Dgia'!A2277,#REF!)+SUMIF(#REF!,'8.Dgia'!A2277,#REF!)</f>
        <v>#REF!</v>
      </c>
      <c r="O2277" s="844"/>
      <c r="P2277" s="843" t="e">
        <f t="shared" si="103"/>
        <v>#REF!</v>
      </c>
    </row>
    <row r="2278" spans="1:18" ht="15" customHeight="1">
      <c r="A2278" s="657">
        <f>IF(B2278="",MAX($A$8:A2277)+0,MAX($A$8:A2277)+1)</f>
        <v>254</v>
      </c>
      <c r="B2278" s="835" t="str">
        <f>IF(C2278="","",COUNTA($C$10:C2279))</f>
        <v/>
      </c>
      <c r="C2278" s="362"/>
      <c r="D2278" s="362"/>
      <c r="E2278" s="852" t="s">
        <v>599</v>
      </c>
      <c r="F2278" s="848" t="str">
        <f>VLOOKUP(E2278,DICH!B:C,2,FALSE)</f>
        <v>Masory</v>
      </c>
      <c r="G2278" s="847" t="s">
        <v>545</v>
      </c>
      <c r="H2278" s="847">
        <v>1.2</v>
      </c>
      <c r="I2278" s="848">
        <f>VLOOKUP(E2278,'11.gia '!$B:$I,8,FALSE)</f>
        <v>301292.57724953815</v>
      </c>
      <c r="J2278" s="853">
        <f>I2278*H2278</f>
        <v>361551.09269944578</v>
      </c>
      <c r="N2278" s="843" t="e">
        <f>SUMIF(#REF!,'8.Dgia'!A2278,#REF!)+SUMIF(#REF!,'8.Dgia'!A2278,#REF!)+SUMIF(#REF!,'8.Dgia'!A2278,#REF!)+SUMIF(#REF!,'8.Dgia'!A2278,#REF!)</f>
        <v>#REF!</v>
      </c>
      <c r="O2278" s="844"/>
      <c r="P2278" s="843" t="e">
        <f t="shared" si="103"/>
        <v>#REF!</v>
      </c>
    </row>
    <row r="2279" spans="1:18" ht="15" customHeight="1">
      <c r="A2279" s="657">
        <f>IF(B2279="",MAX($A$8:A2278)+0,MAX($A$8:A2278)+1)</f>
        <v>254</v>
      </c>
      <c r="B2279" s="835" t="str">
        <f>IF(C2279="","",COUNTA($C$10:C2280))</f>
        <v/>
      </c>
      <c r="C2279" s="362"/>
      <c r="D2279" s="362"/>
      <c r="E2279" s="852" t="s">
        <v>4</v>
      </c>
      <c r="F2279" s="848" t="str">
        <f>VLOOKUP(E2279,DICH!B:C,2,FALSE)</f>
        <v>Stone 4x6</v>
      </c>
      <c r="G2279" s="847" t="s">
        <v>545</v>
      </c>
      <c r="H2279" s="847">
        <v>6.0999999999999999E-2</v>
      </c>
      <c r="I2279" s="848">
        <f>VLOOKUP(E2279,'11.gia '!$B:$I,8,FALSE)</f>
        <v>300147.95224953815</v>
      </c>
      <c r="J2279" s="853">
        <f>I2279*H2279</f>
        <v>18309.025087221828</v>
      </c>
      <c r="N2279" s="843" t="e">
        <f>SUMIF(#REF!,'8.Dgia'!A2279,#REF!)+SUMIF(#REF!,'8.Dgia'!A2279,#REF!)+SUMIF(#REF!,'8.Dgia'!A2279,#REF!)+SUMIF(#REF!,'8.Dgia'!A2279,#REF!)</f>
        <v>#REF!</v>
      </c>
      <c r="O2279" s="844"/>
      <c r="P2279" s="843" t="e">
        <f t="shared" si="103"/>
        <v>#REF!</v>
      </c>
    </row>
    <row r="2280" spans="1:18" ht="15" customHeight="1">
      <c r="A2280" s="657">
        <f>IF(B2280="",MAX($A$8:A2279)+0,MAX($A$8:A2279)+1)</f>
        <v>254</v>
      </c>
      <c r="B2280" s="835" t="str">
        <f>IF(C2280="","",COUNTA($C$10:C2281))</f>
        <v/>
      </c>
      <c r="C2280" s="362"/>
      <c r="D2280" s="362"/>
      <c r="E2280" s="852" t="s">
        <v>2037</v>
      </c>
      <c r="F2280" s="848" t="str">
        <f>VLOOKUP(E2280,DICH!B:C,2,FALSE)</f>
        <v xml:space="preserve">  B - Labour 3.5/7</v>
      </c>
      <c r="G2280" s="883" t="s">
        <v>4899</v>
      </c>
      <c r="H2280" s="847">
        <v>1.4</v>
      </c>
      <c r="I2280" s="848">
        <f>VLOOKUP(E2280,'16.NC'!$C$11:$F$22,4,FALSE)</f>
        <v>202862</v>
      </c>
      <c r="J2280" s="849">
        <f>I2280*H2280</f>
        <v>284006.8</v>
      </c>
      <c r="N2280" s="843" t="e">
        <f>SUMIF(#REF!,'8.Dgia'!A2280,#REF!)+SUMIF(#REF!,'8.Dgia'!A2280,#REF!)+SUMIF(#REF!,'8.Dgia'!A2280,#REF!)+SUMIF(#REF!,'8.Dgia'!A2280,#REF!)</f>
        <v>#REF!</v>
      </c>
      <c r="O2280" s="844"/>
      <c r="P2280" s="843" t="e">
        <f t="shared" si="103"/>
        <v>#REF!</v>
      </c>
      <c r="R2280" s="658">
        <v>1</v>
      </c>
    </row>
    <row r="2281" spans="1:18" ht="15" customHeight="1">
      <c r="A2281" s="657">
        <f>IF(B2281="",MAX($A$8:A2280)+0,MAX($A$8:A2280)+1)</f>
        <v>255</v>
      </c>
      <c r="B2281" s="835">
        <f>IF(C2281="","",COUNTA($C$10:C2282))</f>
        <v>255</v>
      </c>
      <c r="C2281" s="835">
        <f>IF(D2281="","",1776)</f>
        <v>1776</v>
      </c>
      <c r="D2281" s="851" t="s">
        <v>44</v>
      </c>
      <c r="E2281" s="855" t="s">
        <v>4046</v>
      </c>
      <c r="F2281" s="1049" t="str">
        <f>VLOOKUP(E2281,DICH!B:C,2,FALSE)</f>
        <v>Concrete C30</v>
      </c>
      <c r="G2281" s="856" t="s">
        <v>545</v>
      </c>
      <c r="H2281" s="847"/>
      <c r="I2281" s="848"/>
      <c r="J2281" s="857"/>
      <c r="K2281" s="842">
        <f>+J2282</f>
        <v>1424955.9684344961</v>
      </c>
      <c r="L2281" s="842">
        <f>+J2288</f>
        <v>519326.72000000003</v>
      </c>
      <c r="M2281" s="842">
        <f>+J2289</f>
        <v>128461.15041840001</v>
      </c>
      <c r="N2281" s="843" t="e">
        <f>SUMIF(#REF!,'8.Dgia'!A2281,#REF!)+SUMIF(#REF!,'8.Dgia'!A2281,#REF!)+SUMIF(#REF!,'8.Dgia'!A2281,#REF!)+SUMIF(#REF!,'8.Dgia'!A2281,#REF!)</f>
        <v>#REF!</v>
      </c>
      <c r="O2281" s="844"/>
      <c r="P2281" s="843" t="e">
        <f t="shared" si="103"/>
        <v>#REF!</v>
      </c>
    </row>
    <row r="2282" spans="1:18" ht="15" customHeight="1">
      <c r="A2282" s="657">
        <f>IF(B2282="",MAX($A$8:A2281)+0,MAX($A$8:A2281)+1)</f>
        <v>255</v>
      </c>
      <c r="B2282" s="835" t="str">
        <f>IF(C2282="","",COUNTA($C$10:C2283))</f>
        <v/>
      </c>
      <c r="C2282" s="362"/>
      <c r="D2282" s="845"/>
      <c r="E2282" s="852" t="s">
        <v>2032</v>
      </c>
      <c r="F2282" s="848" t="str">
        <f>VLOOKUP(E2282,DICH!B:C,2,FALSE)</f>
        <v xml:space="preserve">  A - Material</v>
      </c>
      <c r="G2282" s="846"/>
      <c r="H2282" s="847"/>
      <c r="I2282" s="848"/>
      <c r="J2282" s="885">
        <f>SUM(J2283:J2287)</f>
        <v>1424955.9684344961</v>
      </c>
      <c r="N2282" s="843" t="e">
        <f>SUMIF(#REF!,'8.Dgia'!A2282,#REF!)+SUMIF(#REF!,'8.Dgia'!A2282,#REF!)+SUMIF(#REF!,'8.Dgia'!A2282,#REF!)+SUMIF(#REF!,'8.Dgia'!A2282,#REF!)</f>
        <v>#REF!</v>
      </c>
      <c r="O2282" s="844"/>
      <c r="P2282" s="843" t="e">
        <f t="shared" si="103"/>
        <v>#REF!</v>
      </c>
    </row>
    <row r="2283" spans="1:18" ht="15" customHeight="1">
      <c r="A2283" s="657">
        <f>IF(B2283="",MAX($A$8:A2282)+0,MAX($A$8:A2282)+1)</f>
        <v>255</v>
      </c>
      <c r="B2283" s="835" t="str">
        <f>IF(C2283="","",COUNTA($C$10:C2284))</f>
        <v/>
      </c>
      <c r="C2283" s="851"/>
      <c r="D2283" s="851" t="str">
        <f>'10.PLV'!$C$53</f>
        <v>C3326</v>
      </c>
      <c r="E2283" s="852" t="str">
        <f>'10.PLV'!$D$53</f>
        <v>Vữa bê tông đá 1x2 C30 SN 14-17</v>
      </c>
      <c r="F2283" s="848" t="str">
        <f>VLOOKUP(E2283,DICH!B:C,2,FALSE)</f>
        <v>Concrete motar C30 stone 1x2 slump 14-17</v>
      </c>
      <c r="G2283" s="362" t="s">
        <v>545</v>
      </c>
      <c r="H2283" s="847">
        <v>1.0149999999999999</v>
      </c>
      <c r="I2283" s="848">
        <f>VLOOKUP(E2283,'11.gia '!B:I,8,FALSE)</f>
        <v>1130771.6239684112</v>
      </c>
      <c r="J2283" s="853">
        <f>I2283*H2283</f>
        <v>1147733.1983279374</v>
      </c>
      <c r="N2283" s="843" t="e">
        <f>SUMIF(#REF!,'8.Dgia'!A2283,#REF!)+SUMIF(#REF!,'8.Dgia'!A2283,#REF!)+SUMIF(#REF!,'8.Dgia'!A2283,#REF!)+SUMIF(#REF!,'8.Dgia'!A2283,#REF!)</f>
        <v>#REF!</v>
      </c>
      <c r="O2283" s="844">
        <f>+$H$2287</f>
        <v>2</v>
      </c>
      <c r="P2283" s="843" t="e">
        <f t="shared" si="103"/>
        <v>#REF!</v>
      </c>
    </row>
    <row r="2284" spans="1:18" ht="15" customHeight="1">
      <c r="A2284" s="657">
        <f>IF(B2284="",MAX($A$8:A2283)+0,MAX($A$8:A2283)+1)</f>
        <v>255</v>
      </c>
      <c r="B2284" s="835" t="str">
        <f>IF(C2284="","",COUNTA($C$10:C2285))</f>
        <v/>
      </c>
      <c r="C2284" s="362"/>
      <c r="D2284" s="851"/>
      <c r="E2284" s="852" t="s">
        <v>134</v>
      </c>
      <c r="F2284" s="848" t="str">
        <f>VLOOKUP(E2284,DICH!B:C,2,FALSE)</f>
        <v>Wooden</v>
      </c>
      <c r="G2284" s="362" t="s">
        <v>545</v>
      </c>
      <c r="H2284" s="847">
        <v>4.9000000000000002E-2</v>
      </c>
      <c r="I2284" s="848">
        <f>VLOOKUP(E2284,'11.gia '!$B:$I,8,FALSE)</f>
        <v>5000000</v>
      </c>
      <c r="J2284" s="853">
        <f>I2284*H2284</f>
        <v>245000</v>
      </c>
      <c r="N2284" s="843" t="e">
        <f>SUMIF(#REF!,'8.Dgia'!A2284,#REF!)+SUMIF(#REF!,'8.Dgia'!A2284,#REF!)+SUMIF(#REF!,'8.Dgia'!A2284,#REF!)+SUMIF(#REF!,'8.Dgia'!A2284,#REF!)</f>
        <v>#REF!</v>
      </c>
      <c r="O2284" s="844">
        <f>+$H$2287</f>
        <v>2</v>
      </c>
      <c r="P2284" s="843" t="e">
        <f t="shared" si="103"/>
        <v>#REF!</v>
      </c>
    </row>
    <row r="2285" spans="1:18" ht="15" customHeight="1">
      <c r="A2285" s="657">
        <f>IF(B2285="",MAX($A$8:A2284)+0,MAX($A$8:A2284)+1)</f>
        <v>255</v>
      </c>
      <c r="B2285" s="835" t="str">
        <f>IF(C2285="","",COUNTA($C$10:C2286))</f>
        <v/>
      </c>
      <c r="C2285" s="362"/>
      <c r="D2285" s="845"/>
      <c r="E2285" s="852" t="s">
        <v>460</v>
      </c>
      <c r="F2285" s="848" t="str">
        <f>VLOOKUP(E2285,DICH!B:C,2,FALSE)</f>
        <v>Nail</v>
      </c>
      <c r="G2285" s="362" t="s">
        <v>558</v>
      </c>
      <c r="H2285" s="847">
        <v>0.19900000000000001</v>
      </c>
      <c r="I2285" s="848">
        <f>VLOOKUP(E2285,'11.gia '!$B:$I,8,FALSE)</f>
        <v>17143</v>
      </c>
      <c r="J2285" s="853">
        <f>I2285*H2285</f>
        <v>3411.4570000000003</v>
      </c>
      <c r="N2285" s="843" t="e">
        <f>SUMIF(#REF!,'8.Dgia'!A2285,#REF!)+SUMIF(#REF!,'8.Dgia'!A2285,#REF!)+SUMIF(#REF!,'8.Dgia'!A2285,#REF!)+SUMIF(#REF!,'8.Dgia'!A2285,#REF!)</f>
        <v>#REF!</v>
      </c>
      <c r="O2285" s="844">
        <f>+$H$2287</f>
        <v>2</v>
      </c>
      <c r="P2285" s="843" t="e">
        <f t="shared" si="103"/>
        <v>#REF!</v>
      </c>
    </row>
    <row r="2286" spans="1:18" ht="15" customHeight="1">
      <c r="A2286" s="657">
        <f>IF(B2286="",MAX($A$8:A2285)+0,MAX($A$8:A2285)+1)</f>
        <v>255</v>
      </c>
      <c r="B2286" s="835" t="str">
        <f>IF(C2286="","",COUNTA($C$10:C2287))</f>
        <v/>
      </c>
      <c r="C2286" s="362"/>
      <c r="D2286" s="845"/>
      <c r="E2286" s="852" t="s">
        <v>465</v>
      </c>
      <c r="F2286" s="848" t="str">
        <f>VLOOKUP(E2286,DICH!B:C,2,FALSE)</f>
        <v>Casing nail</v>
      </c>
      <c r="G2286" s="362" t="s">
        <v>4649</v>
      </c>
      <c r="H2286" s="847">
        <v>0.871</v>
      </c>
      <c r="I2286" s="848">
        <f>VLOOKUP(E2286,'11.gia '!$B:$I,8,FALSE)</f>
        <v>1000</v>
      </c>
      <c r="J2286" s="853">
        <f>I2286*H2286</f>
        <v>871</v>
      </c>
      <c r="N2286" s="843" t="e">
        <f>SUMIF(#REF!,'8.Dgia'!A2286,#REF!)+SUMIF(#REF!,'8.Dgia'!A2286,#REF!)+SUMIF(#REF!,'8.Dgia'!A2286,#REF!)+SUMIF(#REF!,'8.Dgia'!A2286,#REF!)</f>
        <v>#REF!</v>
      </c>
      <c r="O2286" s="844">
        <f>+$H$2287</f>
        <v>2</v>
      </c>
      <c r="P2286" s="843" t="e">
        <f t="shared" si="103"/>
        <v>#REF!</v>
      </c>
    </row>
    <row r="2287" spans="1:18" ht="15" customHeight="1">
      <c r="A2287" s="657">
        <f>IF(B2287="",MAX($A$8:A2286)+0,MAX($A$8:A2286)+1)</f>
        <v>255</v>
      </c>
      <c r="B2287" s="835" t="str">
        <f>IF(C2287="","",COUNTA($C$10:C2288))</f>
        <v/>
      </c>
      <c r="C2287" s="362"/>
      <c r="D2287" s="851"/>
      <c r="E2287" s="852" t="s">
        <v>555</v>
      </c>
      <c r="F2287" s="848" t="str">
        <f>VLOOKUP(E2287,DICH!B:C,2,FALSE)</f>
        <v>Other material</v>
      </c>
      <c r="G2287" s="362" t="s">
        <v>554</v>
      </c>
      <c r="H2287" s="847">
        <v>2</v>
      </c>
      <c r="I2287" s="848">
        <f>SUM(J2283:J2286)</f>
        <v>1397015.6553279373</v>
      </c>
      <c r="J2287" s="853">
        <f>I2287*H2287%</f>
        <v>27940.313106558748</v>
      </c>
      <c r="N2287" s="843" t="e">
        <f>SUMIF(#REF!,'8.Dgia'!A2287,#REF!)+SUMIF(#REF!,'8.Dgia'!A2287,#REF!)+SUMIF(#REF!,'8.Dgia'!A2287,#REF!)+SUMIF(#REF!,'8.Dgia'!A2287,#REF!)</f>
        <v>#REF!</v>
      </c>
      <c r="O2287" s="844"/>
      <c r="P2287" s="843" t="e">
        <f t="shared" si="103"/>
        <v>#REF!</v>
      </c>
    </row>
    <row r="2288" spans="1:18" ht="15" customHeight="1">
      <c r="A2288" s="657">
        <f>IF(B2288="",MAX($A$8:A2287)+0,MAX($A$8:A2287)+1)</f>
        <v>255</v>
      </c>
      <c r="B2288" s="835" t="str">
        <f>IF(C2288="","",COUNTA($C$10:C2289))</f>
        <v/>
      </c>
      <c r="C2288" s="362"/>
      <c r="D2288" s="851"/>
      <c r="E2288" s="852" t="s">
        <v>2037</v>
      </c>
      <c r="F2288" s="848" t="str">
        <f>VLOOKUP(E2288,DICH!B:C,2,FALSE)</f>
        <v xml:space="preserve">  B - Labour 3.5/7</v>
      </c>
      <c r="G2288" s="362" t="s">
        <v>4899</v>
      </c>
      <c r="H2288" s="847">
        <v>2.56</v>
      </c>
      <c r="I2288" s="848">
        <f>VLOOKUP(E2288,'16.NC'!$C$11:$F$22,4,FALSE)</f>
        <v>202862</v>
      </c>
      <c r="J2288" s="849">
        <f>I2288*H2288</f>
        <v>519326.72000000003</v>
      </c>
      <c r="N2288" s="843" t="e">
        <f>SUMIF(#REF!,'8.Dgia'!A2288,#REF!)+SUMIF(#REF!,'8.Dgia'!A2288,#REF!)+SUMIF(#REF!,'8.Dgia'!A2288,#REF!)+SUMIF(#REF!,'8.Dgia'!A2288,#REF!)</f>
        <v>#REF!</v>
      </c>
      <c r="O2288" s="844"/>
      <c r="P2288" s="843" t="e">
        <f t="shared" si="103"/>
        <v>#REF!</v>
      </c>
      <c r="R2288" s="658">
        <v>1</v>
      </c>
    </row>
    <row r="2289" spans="1:18" ht="15" customHeight="1">
      <c r="A2289" s="657">
        <f>IF(B2289="",MAX($A$8:A2288)+0,MAX($A$8:A2288)+1)</f>
        <v>255</v>
      </c>
      <c r="B2289" s="835" t="str">
        <f>IF(C2289="","",COUNTA($C$10:C2290))</f>
        <v/>
      </c>
      <c r="C2289" s="362"/>
      <c r="D2289" s="851"/>
      <c r="E2289" s="852" t="s">
        <v>2033</v>
      </c>
      <c r="F2289" s="848" t="str">
        <f>VLOOKUP(E2289,DICH!B:C,2,FALSE)</f>
        <v xml:space="preserve">  C - Machine</v>
      </c>
      <c r="G2289" s="362"/>
      <c r="H2289" s="847"/>
      <c r="I2289" s="848"/>
      <c r="J2289" s="849">
        <f>SUM(J2290:J2292)</f>
        <v>128461.15041840001</v>
      </c>
      <c r="N2289" s="843" t="e">
        <f>SUMIF(#REF!,'8.Dgia'!A2289,#REF!)+SUMIF(#REF!,'8.Dgia'!A2289,#REF!)+SUMIF(#REF!,'8.Dgia'!A2289,#REF!)+SUMIF(#REF!,'8.Dgia'!A2289,#REF!)</f>
        <v>#REF!</v>
      </c>
      <c r="O2289" s="844"/>
      <c r="P2289" s="843" t="e">
        <f t="shared" si="103"/>
        <v>#REF!</v>
      </c>
    </row>
    <row r="2290" spans="1:18" ht="15" customHeight="1">
      <c r="A2290" s="657">
        <f>IF(B2290="",MAX($A$8:A2289)+0,MAX($A$8:A2289)+1)</f>
        <v>255</v>
      </c>
      <c r="B2290" s="835" t="str">
        <f>IF(C2290="","",COUNTA($C$10:C2291))</f>
        <v/>
      </c>
      <c r="C2290" s="362"/>
      <c r="D2290" s="851"/>
      <c r="E2290" s="852" t="s">
        <v>1182</v>
      </c>
      <c r="F2290" s="848" t="str">
        <f>VLOOKUP(E2290,'9.may'!E:F,2,FALSE)</f>
        <v>concrete pump truck 50m3/h</v>
      </c>
      <c r="G2290" s="362" t="s">
        <v>4902</v>
      </c>
      <c r="H2290" s="847">
        <v>3.3000000000000002E-2</v>
      </c>
      <c r="I2290" s="848">
        <f>VLOOKUP(E2290,'9.may'!E:W,12,FALSE)</f>
        <v>3446390.13</v>
      </c>
      <c r="J2290" s="853">
        <f>I2290*H2290</f>
        <v>113730.87429000001</v>
      </c>
      <c r="N2290" s="843" t="e">
        <f>SUMIF(#REF!,'8.Dgia'!A2290,#REF!)+SUMIF(#REF!,'8.Dgia'!A2290,#REF!)+SUMIF(#REF!,'8.Dgia'!A2290,#REF!)+SUMIF(#REF!,'8.Dgia'!A2290,#REF!)</f>
        <v>#REF!</v>
      </c>
      <c r="O2290" s="844">
        <f>+$H$2292</f>
        <v>1</v>
      </c>
      <c r="P2290" s="843" t="e">
        <f t="shared" si="103"/>
        <v>#REF!</v>
      </c>
    </row>
    <row r="2291" spans="1:18" ht="15" customHeight="1">
      <c r="A2291" s="657">
        <f>IF(B2291="",MAX($A$8:A2290)+0,MAX($A$8:A2290)+1)</f>
        <v>255</v>
      </c>
      <c r="B2291" s="835" t="str">
        <f>IF(C2291="","",COUNTA($C$10:C2292))</f>
        <v/>
      </c>
      <c r="C2291" s="362"/>
      <c r="D2291" s="851"/>
      <c r="E2291" s="852" t="s">
        <v>620</v>
      </c>
      <c r="F2291" s="848" t="str">
        <f>VLOOKUP(E2291,'9.may'!E:F,2,FALSE)</f>
        <v>concrete vibrating compactor 1.5Kw</v>
      </c>
      <c r="G2291" s="362" t="s">
        <v>4902</v>
      </c>
      <c r="H2291" s="847">
        <v>0.18</v>
      </c>
      <c r="I2291" s="848">
        <f>VLOOKUP(E2291,'9.may'!E:W,12,FALSE)</f>
        <v>74768.797500000001</v>
      </c>
      <c r="J2291" s="853">
        <f>I2291*H2291</f>
        <v>13458.38355</v>
      </c>
      <c r="N2291" s="843" t="e">
        <f>SUMIF(#REF!,'8.Dgia'!A2291,#REF!)+SUMIF(#REF!,'8.Dgia'!A2291,#REF!)+SUMIF(#REF!,'8.Dgia'!A2291,#REF!)+SUMIF(#REF!,'8.Dgia'!A2291,#REF!)</f>
        <v>#REF!</v>
      </c>
      <c r="O2291" s="844">
        <f>+$H$2292</f>
        <v>1</v>
      </c>
      <c r="P2291" s="843" t="e">
        <f t="shared" si="103"/>
        <v>#REF!</v>
      </c>
    </row>
    <row r="2292" spans="1:18" ht="15" customHeight="1">
      <c r="A2292" s="657">
        <f>IF(B2292="",MAX($A$8:A2291)+0,MAX($A$8:A2291)+1)</f>
        <v>255</v>
      </c>
      <c r="B2292" s="835" t="str">
        <f>IF(C2292="","",COUNTA($C$10:C2293))</f>
        <v/>
      </c>
      <c r="C2292" s="362"/>
      <c r="D2292" s="851"/>
      <c r="E2292" s="852" t="s">
        <v>553</v>
      </c>
      <c r="F2292" s="848" t="str">
        <f>VLOOKUP(E2292,DICH!B:C,2,FALSE)</f>
        <v>Other machine</v>
      </c>
      <c r="G2292" s="362" t="s">
        <v>554</v>
      </c>
      <c r="H2292" s="847">
        <v>1</v>
      </c>
      <c r="I2292" s="848">
        <f>SUM(J2290:J2291)</f>
        <v>127189.25784000001</v>
      </c>
      <c r="J2292" s="853">
        <f>I2292*H2292%</f>
        <v>1271.8925784</v>
      </c>
      <c r="N2292" s="843" t="e">
        <f>SUMIF(#REF!,'8.Dgia'!A2292,#REF!)+SUMIF(#REF!,'8.Dgia'!A2292,#REF!)+SUMIF(#REF!,'8.Dgia'!A2292,#REF!)+SUMIF(#REF!,'8.Dgia'!A2292,#REF!)</f>
        <v>#REF!</v>
      </c>
      <c r="O2292" s="844"/>
      <c r="P2292" s="843" t="e">
        <f t="shared" si="103"/>
        <v>#REF!</v>
      </c>
    </row>
    <row r="2293" spans="1:18" ht="15" customHeight="1">
      <c r="A2293" s="657">
        <f>IF(B2293="",MAX($A$8:A2292)+0,MAX($A$8:A2292)+1)</f>
        <v>256</v>
      </c>
      <c r="B2293" s="835">
        <f>IF(C2293="","",COUNTA($C$10:C2294))</f>
        <v>256</v>
      </c>
      <c r="C2293" s="835">
        <f>IF(D2293="","",1776)</f>
        <v>1776</v>
      </c>
      <c r="D2293" s="851" t="s">
        <v>46</v>
      </c>
      <c r="E2293" s="855" t="s">
        <v>2076</v>
      </c>
      <c r="F2293" s="1049" t="str">
        <f>VLOOKUP(E2293,DICH!B:C,2,FALSE)</f>
        <v>Reinforcement of wall</v>
      </c>
      <c r="G2293" s="856" t="s">
        <v>4644</v>
      </c>
      <c r="H2293" s="847"/>
      <c r="I2293" s="848"/>
      <c r="J2293" s="857"/>
      <c r="K2293" s="842">
        <f>+J2294</f>
        <v>17269540.929381818</v>
      </c>
      <c r="L2293" s="842">
        <f>+J2298</f>
        <v>2265968.54</v>
      </c>
      <c r="M2293" s="842">
        <f>+J2299</f>
        <v>217940.44560000001</v>
      </c>
      <c r="N2293" s="843" t="e">
        <f>SUMIF(#REF!,'8.Dgia'!A2293,#REF!)+SUMIF(#REF!,'8.Dgia'!A2293,#REF!)+SUMIF(#REF!,'8.Dgia'!A2293,#REF!)+SUMIF(#REF!,'8.Dgia'!A2293,#REF!)</f>
        <v>#REF!</v>
      </c>
      <c r="O2293" s="844"/>
      <c r="P2293" s="843" t="e">
        <f t="shared" si="103"/>
        <v>#REF!</v>
      </c>
    </row>
    <row r="2294" spans="1:18" s="658" customFormat="1" ht="15" customHeight="1">
      <c r="A2294" s="657">
        <f>IF(B2294="",MAX($A$8:A2293)+0,MAX($A$8:A2293)+1)</f>
        <v>256</v>
      </c>
      <c r="B2294" s="835" t="str">
        <f>IF(C2294="","",COUNTA($C$10:C2295))</f>
        <v/>
      </c>
      <c r="C2294" s="362"/>
      <c r="D2294" s="845"/>
      <c r="E2294" s="852" t="s">
        <v>2032</v>
      </c>
      <c r="F2294" s="848" t="str">
        <f>VLOOKUP(E2294,DICH!B:C,2,FALSE)</f>
        <v xml:space="preserve">  A - Material</v>
      </c>
      <c r="G2294" s="846"/>
      <c r="H2294" s="847"/>
      <c r="I2294" s="848"/>
      <c r="J2294" s="849">
        <f>SUM(J2295:J2297)</f>
        <v>17269540.929381818</v>
      </c>
      <c r="K2294" s="850"/>
      <c r="L2294" s="850"/>
      <c r="M2294" s="850"/>
      <c r="N2294" s="843" t="e">
        <f>SUMIF(#REF!,'8.Dgia'!A2294,#REF!)+SUMIF(#REF!,'8.Dgia'!A2294,#REF!)+SUMIF(#REF!,'8.Dgia'!A2294,#REF!)+SUMIF(#REF!,'8.Dgia'!A2294,#REF!)</f>
        <v>#REF!</v>
      </c>
      <c r="O2294" s="844"/>
      <c r="P2294" s="843" t="e">
        <f t="shared" si="103"/>
        <v>#REF!</v>
      </c>
    </row>
    <row r="2295" spans="1:18" ht="15" customHeight="1">
      <c r="A2295" s="657">
        <f>IF(B2295="",MAX($A$8:A2294)+0,MAX($A$8:A2294)+1)</f>
        <v>256</v>
      </c>
      <c r="B2295" s="835" t="str">
        <f>IF(C2295="","",COUNTA($C$10:C2296))</f>
        <v/>
      </c>
      <c r="C2295" s="362"/>
      <c r="D2295" s="851"/>
      <c r="E2295" s="852" t="s">
        <v>671</v>
      </c>
      <c r="F2295" s="848" t="str">
        <f>VLOOKUP(E2295,DICH!B:C,2,FALSE)</f>
        <v>steel bar D&lt;=18</v>
      </c>
      <c r="G2295" s="362" t="s">
        <v>558</v>
      </c>
      <c r="H2295" s="847">
        <v>1020</v>
      </c>
      <c r="I2295" s="848">
        <f>VLOOKUP(E2295,'11.gia '!$B:$I,8,FALSE)</f>
        <v>16604.075560000001</v>
      </c>
      <c r="J2295" s="853">
        <f>I2295*H2295</f>
        <v>16936157.071200002</v>
      </c>
      <c r="N2295" s="843" t="e">
        <f>SUMIF(#REF!,'8.Dgia'!A2295,#REF!)+SUMIF(#REF!,'8.Dgia'!A2295,#REF!)+SUMIF(#REF!,'8.Dgia'!A2295,#REF!)+SUMIF(#REF!,'8.Dgia'!A2295,#REF!)</f>
        <v>#REF!</v>
      </c>
      <c r="O2295" s="844"/>
      <c r="P2295" s="843" t="e">
        <f t="shared" si="103"/>
        <v>#REF!</v>
      </c>
    </row>
    <row r="2296" spans="1:18" ht="15" customHeight="1">
      <c r="A2296" s="657">
        <f>IF(B2296="",MAX($A$8:A2295)+0,MAX($A$8:A2295)+1)</f>
        <v>256</v>
      </c>
      <c r="B2296" s="835" t="str">
        <f>IF(C2296="","",COUNTA($C$10:C2297))</f>
        <v/>
      </c>
      <c r="C2296" s="362"/>
      <c r="D2296" s="851"/>
      <c r="E2296" s="852" t="s">
        <v>459</v>
      </c>
      <c r="F2296" s="848" t="str">
        <f>VLOOKUP(E2296,DICH!B:C,2,FALSE)</f>
        <v>Steel ware</v>
      </c>
      <c r="G2296" s="362" t="s">
        <v>558</v>
      </c>
      <c r="H2296" s="847">
        <v>14.28</v>
      </c>
      <c r="I2296" s="848">
        <f>VLOOKUP(E2296,'11.gia '!$B:$I,8,FALSE)</f>
        <v>17143</v>
      </c>
      <c r="J2296" s="853">
        <f>I2296*H2296</f>
        <v>244802.03999999998</v>
      </c>
      <c r="N2296" s="843" t="e">
        <f>SUMIF(#REF!,'8.Dgia'!A2296,#REF!)+SUMIF(#REF!,'8.Dgia'!A2296,#REF!)+SUMIF(#REF!,'8.Dgia'!A2296,#REF!)+SUMIF(#REF!,'8.Dgia'!A2296,#REF!)</f>
        <v>#REF!</v>
      </c>
      <c r="O2296" s="844"/>
      <c r="P2296" s="843" t="e">
        <f t="shared" si="103"/>
        <v>#REF!</v>
      </c>
    </row>
    <row r="2297" spans="1:18" ht="15" customHeight="1">
      <c r="A2297" s="657">
        <f>IF(B2297="",MAX($A$8:A2296)+0,MAX($A$8:A2296)+1)</f>
        <v>256</v>
      </c>
      <c r="B2297" s="835" t="str">
        <f>IF(C2297="","",COUNTA($C$10:C2298))</f>
        <v/>
      </c>
      <c r="C2297" s="362"/>
      <c r="D2297" s="851"/>
      <c r="E2297" s="852" t="s">
        <v>559</v>
      </c>
      <c r="F2297" s="848" t="str">
        <f>VLOOKUP(E2297,DICH!B:C,2,FALSE)</f>
        <v>welding electrode</v>
      </c>
      <c r="G2297" s="362" t="s">
        <v>558</v>
      </c>
      <c r="H2297" s="847">
        <v>4.6399999999999997</v>
      </c>
      <c r="I2297" s="848">
        <f>VLOOKUP(E2297,'11.gia '!$B:$I,8,FALSE)</f>
        <v>19090.909090909088</v>
      </c>
      <c r="J2297" s="853">
        <f>I2297*H2297</f>
        <v>88581.818181818162</v>
      </c>
      <c r="N2297" s="843" t="e">
        <f>SUMIF(#REF!,'8.Dgia'!A2297,#REF!)+SUMIF(#REF!,'8.Dgia'!A2297,#REF!)+SUMIF(#REF!,'8.Dgia'!A2297,#REF!)+SUMIF(#REF!,'8.Dgia'!A2297,#REF!)</f>
        <v>#REF!</v>
      </c>
      <c r="O2297" s="844"/>
      <c r="P2297" s="843" t="e">
        <f t="shared" si="103"/>
        <v>#REF!</v>
      </c>
    </row>
    <row r="2298" spans="1:18" s="658" customFormat="1" ht="15" customHeight="1">
      <c r="A2298" s="657">
        <f>IF(B2298="",MAX($A$8:A2297)+0,MAX($A$8:A2297)+1)</f>
        <v>256</v>
      </c>
      <c r="B2298" s="835" t="str">
        <f>IF(C2298="","",COUNTA($C$10:C2299))</f>
        <v/>
      </c>
      <c r="C2298" s="362"/>
      <c r="D2298" s="845"/>
      <c r="E2298" s="852" t="s">
        <v>2037</v>
      </c>
      <c r="F2298" s="848" t="str">
        <f>VLOOKUP(E2298,DICH!B:C,2,FALSE)</f>
        <v xml:space="preserve">  B - Labour 3.5/7</v>
      </c>
      <c r="G2298" s="362" t="s">
        <v>4899</v>
      </c>
      <c r="H2298" s="847">
        <v>11.17</v>
      </c>
      <c r="I2298" s="848">
        <f>VLOOKUP(E2298,'16.NC'!$C$11:$F$22,4,FALSE)</f>
        <v>202862</v>
      </c>
      <c r="J2298" s="849">
        <f>I2298*H2298</f>
        <v>2265968.54</v>
      </c>
      <c r="K2298" s="850"/>
      <c r="L2298" s="850"/>
      <c r="M2298" s="850"/>
      <c r="N2298" s="843" t="e">
        <f>SUMIF(#REF!,'8.Dgia'!A2298,#REF!)+SUMIF(#REF!,'8.Dgia'!A2298,#REF!)+SUMIF(#REF!,'8.Dgia'!A2298,#REF!)+SUMIF(#REF!,'8.Dgia'!A2298,#REF!)</f>
        <v>#REF!</v>
      </c>
      <c r="O2298" s="844"/>
      <c r="P2298" s="843" t="e">
        <f t="shared" si="103"/>
        <v>#REF!</v>
      </c>
      <c r="R2298" s="658">
        <v>1</v>
      </c>
    </row>
    <row r="2299" spans="1:18" s="658" customFormat="1" ht="15" customHeight="1">
      <c r="A2299" s="657">
        <f>IF(B2299="",MAX($A$8:A2298)+0,MAX($A$8:A2298)+1)</f>
        <v>256</v>
      </c>
      <c r="B2299" s="835" t="str">
        <f>IF(C2299="","",COUNTA($C$10:C2300))</f>
        <v/>
      </c>
      <c r="C2299" s="362"/>
      <c r="D2299" s="845"/>
      <c r="E2299" s="852" t="s">
        <v>2033</v>
      </c>
      <c r="F2299" s="848" t="str">
        <f>VLOOKUP(E2299,DICH!B:C,2,FALSE)</f>
        <v xml:space="preserve">  C - Machine</v>
      </c>
      <c r="G2299" s="846"/>
      <c r="H2299" s="847"/>
      <c r="I2299" s="848"/>
      <c r="J2299" s="849">
        <f>SUM(J2300:J2301)</f>
        <v>217940.44560000001</v>
      </c>
      <c r="K2299" s="850"/>
      <c r="L2299" s="850"/>
      <c r="M2299" s="850"/>
      <c r="N2299" s="843" t="e">
        <f>SUMIF(#REF!,'8.Dgia'!A2299,#REF!)+SUMIF(#REF!,'8.Dgia'!A2299,#REF!)+SUMIF(#REF!,'8.Dgia'!A2299,#REF!)+SUMIF(#REF!,'8.Dgia'!A2299,#REF!)</f>
        <v>#REF!</v>
      </c>
      <c r="O2299" s="844"/>
      <c r="P2299" s="843" t="e">
        <f t="shared" si="103"/>
        <v>#REF!</v>
      </c>
    </row>
    <row r="2300" spans="1:18" ht="15" customHeight="1">
      <c r="A2300" s="657">
        <f>IF(B2300="",MAX($A$8:A2299)+0,MAX($A$8:A2299)+1)</f>
        <v>256</v>
      </c>
      <c r="B2300" s="835" t="str">
        <f>IF(C2300="","",COUNTA($C$10:C2301))</f>
        <v/>
      </c>
      <c r="C2300" s="362"/>
      <c r="D2300" s="851"/>
      <c r="E2300" s="852" t="s">
        <v>560</v>
      </c>
      <c r="F2300" s="848" t="str">
        <f>VLOOKUP(E2300,'9.may'!E:F,2,FALSE)</f>
        <v>welding machine 23kW</v>
      </c>
      <c r="G2300" s="362" t="s">
        <v>4902</v>
      </c>
      <c r="H2300" s="847">
        <v>1.1200000000000001</v>
      </c>
      <c r="I2300" s="848">
        <f>VLOOKUP(E2300,'9.may'!E:W,12,FALSE)</f>
        <v>171649.155</v>
      </c>
      <c r="J2300" s="853">
        <f>I2300*H2300</f>
        <v>192247.05360000001</v>
      </c>
      <c r="N2300" s="843" t="e">
        <f>SUMIF(#REF!,'8.Dgia'!A2300,#REF!)+SUMIF(#REF!,'8.Dgia'!A2300,#REF!)+SUMIF(#REF!,'8.Dgia'!A2300,#REF!)+SUMIF(#REF!,'8.Dgia'!A2300,#REF!)</f>
        <v>#REF!</v>
      </c>
      <c r="O2300" s="844"/>
      <c r="P2300" s="843" t="e">
        <f t="shared" si="103"/>
        <v>#REF!</v>
      </c>
    </row>
    <row r="2301" spans="1:18" ht="15" customHeight="1">
      <c r="A2301" s="657">
        <f>IF(B2301="",MAX($A$8:A2300)+0,MAX($A$8:A2300)+1)</f>
        <v>256</v>
      </c>
      <c r="B2301" s="835" t="str">
        <f>IF(C2301="","",COUNTA($C$10:C2302))</f>
        <v/>
      </c>
      <c r="C2301" s="362"/>
      <c r="D2301" s="851"/>
      <c r="E2301" s="852" t="s">
        <v>1424</v>
      </c>
      <c r="F2301" s="848" t="str">
        <f>VLOOKUP(E2301,'9.may'!E:F,2,FALSE)</f>
        <v>bender cutter 5Kw</v>
      </c>
      <c r="G2301" s="362" t="s">
        <v>4902</v>
      </c>
      <c r="H2301" s="847">
        <v>0.32</v>
      </c>
      <c r="I2301" s="848">
        <f>VLOOKUP(E2301,'9.may'!E:W,12,FALSE)</f>
        <v>80291.850000000006</v>
      </c>
      <c r="J2301" s="853">
        <f>I2301*H2301</f>
        <v>25693.392000000003</v>
      </c>
      <c r="N2301" s="843" t="e">
        <f>SUMIF(#REF!,'8.Dgia'!A2301,#REF!)+SUMIF(#REF!,'8.Dgia'!A2301,#REF!)+SUMIF(#REF!,'8.Dgia'!A2301,#REF!)+SUMIF(#REF!,'8.Dgia'!A2301,#REF!)</f>
        <v>#REF!</v>
      </c>
      <c r="O2301" s="844"/>
      <c r="P2301" s="843" t="e">
        <f t="shared" ref="P2301:P2367" si="104">$H2301*N2301*(1+O2301%)</f>
        <v>#REF!</v>
      </c>
    </row>
    <row r="2302" spans="1:18" ht="15" customHeight="1">
      <c r="A2302" s="657">
        <f>IF(B2302="",MAX($A$8:A2301)+0,MAX($A$8:A2301)+1)</f>
        <v>257</v>
      </c>
      <c r="B2302" s="835">
        <f>IF(C2302="","",COUNTA($C$10:C2303))</f>
        <v>257</v>
      </c>
      <c r="C2302" s="835">
        <f>IF(D2302="","",1776)</f>
        <v>1776</v>
      </c>
      <c r="D2302" s="851" t="s">
        <v>452</v>
      </c>
      <c r="E2302" s="855" t="s">
        <v>4039</v>
      </c>
      <c r="F2302" s="1049" t="str">
        <f>VLOOKUP(E2302,DICH!B:C,2,FALSE)</f>
        <v>Concrete C30 of pile slab</v>
      </c>
      <c r="G2302" s="856" t="s">
        <v>545</v>
      </c>
      <c r="H2302" s="847"/>
      <c r="I2302" s="848"/>
      <c r="J2302" s="853"/>
      <c r="K2302" s="842">
        <f>+J2303</f>
        <v>1170631.3237132977</v>
      </c>
      <c r="L2302" s="842">
        <f>+J2306</f>
        <v>115814.14</v>
      </c>
      <c r="M2302" s="842">
        <f>+J2307</f>
        <v>121016.26666305002</v>
      </c>
      <c r="N2302" s="843" t="e">
        <f>SUMIF(#REF!,'8.Dgia'!A2302,#REF!)+SUMIF(#REF!,'8.Dgia'!A2302,#REF!)+SUMIF(#REF!,'8.Dgia'!A2302,#REF!)+SUMIF(#REF!,'8.Dgia'!A2302,#REF!)</f>
        <v>#REF!</v>
      </c>
      <c r="O2302" s="844"/>
      <c r="P2302" s="843" t="e">
        <f t="shared" si="104"/>
        <v>#REF!</v>
      </c>
    </row>
    <row r="2303" spans="1:18" s="658" customFormat="1" ht="15" customHeight="1">
      <c r="A2303" s="657">
        <f>IF(B2303="",MAX($A$8:A2302)+0,MAX($A$8:A2302)+1)</f>
        <v>257</v>
      </c>
      <c r="B2303" s="835" t="str">
        <f>IF(C2303="","",COUNTA($C$10:C2304))</f>
        <v/>
      </c>
      <c r="C2303" s="362"/>
      <c r="D2303" s="845"/>
      <c r="E2303" s="852" t="s">
        <v>2032</v>
      </c>
      <c r="F2303" s="848" t="str">
        <f>VLOOKUP(E2303,DICH!B:C,2,FALSE)</f>
        <v xml:space="preserve">  A - Material</v>
      </c>
      <c r="G2303" s="846"/>
      <c r="H2303" s="847"/>
      <c r="I2303" s="848"/>
      <c r="J2303" s="849">
        <f>SUM(J2304:J2305)</f>
        <v>1170631.3237132977</v>
      </c>
      <c r="K2303" s="850"/>
      <c r="L2303" s="850"/>
      <c r="M2303" s="850"/>
      <c r="N2303" s="843" t="e">
        <f>SUMIF(#REF!,'8.Dgia'!A2303,#REF!)+SUMIF(#REF!,'8.Dgia'!A2303,#REF!)+SUMIF(#REF!,'8.Dgia'!A2303,#REF!)+SUMIF(#REF!,'8.Dgia'!A2303,#REF!)</f>
        <v>#REF!</v>
      </c>
      <c r="O2303" s="844"/>
      <c r="P2303" s="843" t="e">
        <f t="shared" si="104"/>
        <v>#REF!</v>
      </c>
    </row>
    <row r="2304" spans="1:18" ht="15" customHeight="1">
      <c r="A2304" s="657">
        <f>IF(B2304="",MAX($A$8:A2303)+0,MAX($A$8:A2303)+1)</f>
        <v>257</v>
      </c>
      <c r="B2304" s="835" t="str">
        <f>IF(C2304="","",COUNTA($C$10:C2305))</f>
        <v/>
      </c>
      <c r="C2304" s="851"/>
      <c r="D2304" s="851" t="str">
        <f>+'10.PLV'!$C$53</f>
        <v>C3326</v>
      </c>
      <c r="E2304" s="852" t="str">
        <f>+'10.PLV'!$D$53</f>
        <v>Vữa bê tông đá 1x2 C30 SN 14-17</v>
      </c>
      <c r="F2304" s="848" t="str">
        <f>VLOOKUP(E2304,DICH!B:C,2,FALSE)</f>
        <v>Concrete motar C30 stone 1x2 slump 14-17</v>
      </c>
      <c r="G2304" s="362" t="s">
        <v>545</v>
      </c>
      <c r="H2304" s="847">
        <v>1.0249999999999999</v>
      </c>
      <c r="I2304" s="848">
        <f>VLOOKUP(E2304,'11.gia '!B:I,8,FALSE)</f>
        <v>1130771.6239684112</v>
      </c>
      <c r="J2304" s="853">
        <f>I2304*H2304</f>
        <v>1159040.9145676214</v>
      </c>
      <c r="N2304" s="843" t="e">
        <f>SUMIF(#REF!,'8.Dgia'!A2304,#REF!)+SUMIF(#REF!,'8.Dgia'!A2304,#REF!)+SUMIF(#REF!,'8.Dgia'!A2304,#REF!)+SUMIF(#REF!,'8.Dgia'!A2304,#REF!)</f>
        <v>#REF!</v>
      </c>
      <c r="O2304" s="844"/>
      <c r="P2304" s="843" t="e">
        <f t="shared" si="104"/>
        <v>#REF!</v>
      </c>
    </row>
    <row r="2305" spans="1:18" ht="15" customHeight="1">
      <c r="A2305" s="657">
        <f>IF(B2305="",MAX($A$8:A2304)+0,MAX($A$8:A2304)+1)</f>
        <v>257</v>
      </c>
      <c r="B2305" s="835" t="str">
        <f>IF(C2305="","",COUNTA($C$10:C2306))</f>
        <v/>
      </c>
      <c r="C2305" s="362"/>
      <c r="D2305" s="851"/>
      <c r="E2305" s="852" t="s">
        <v>555</v>
      </c>
      <c r="F2305" s="848" t="str">
        <f>VLOOKUP(E2305,DICH!B:C,2,FALSE)</f>
        <v>Other material</v>
      </c>
      <c r="G2305" s="362" t="s">
        <v>554</v>
      </c>
      <c r="H2305" s="847">
        <v>1</v>
      </c>
      <c r="I2305" s="848">
        <f>J2304</f>
        <v>1159040.9145676214</v>
      </c>
      <c r="J2305" s="853">
        <f>I2305*H2305%</f>
        <v>11590.409145676214</v>
      </c>
      <c r="N2305" s="843" t="e">
        <f>SUMIF(#REF!,'8.Dgia'!A2305,#REF!)+SUMIF(#REF!,'8.Dgia'!A2305,#REF!)+SUMIF(#REF!,'8.Dgia'!A2305,#REF!)+SUMIF(#REF!,'8.Dgia'!A2305,#REF!)</f>
        <v>#REF!</v>
      </c>
      <c r="O2305" s="844"/>
      <c r="P2305" s="843" t="e">
        <f t="shared" si="104"/>
        <v>#REF!</v>
      </c>
    </row>
    <row r="2306" spans="1:18" s="658" customFormat="1" ht="15" customHeight="1">
      <c r="A2306" s="657">
        <f>IF(B2306="",MAX($A$8:A2305)+0,MAX($A$8:A2305)+1)</f>
        <v>257</v>
      </c>
      <c r="B2306" s="835" t="str">
        <f>IF(C2306="","",COUNTA($C$10:C2307))</f>
        <v/>
      </c>
      <c r="C2306" s="362"/>
      <c r="D2306" s="845"/>
      <c r="E2306" s="852" t="s">
        <v>2038</v>
      </c>
      <c r="F2306" s="848" t="str">
        <f>VLOOKUP(E2306,DICH!B:C,2,FALSE)</f>
        <v xml:space="preserve">  B - Labour 3.0/7</v>
      </c>
      <c r="G2306" s="362" t="s">
        <v>4899</v>
      </c>
      <c r="H2306" s="847">
        <v>0.62</v>
      </c>
      <c r="I2306" s="848">
        <f>VLOOKUP(E2306,'16.NC'!$C$11:$F$22,4,FALSE)</f>
        <v>186797</v>
      </c>
      <c r="J2306" s="849">
        <f>I2306*H2306</f>
        <v>115814.14</v>
      </c>
      <c r="K2306" s="850"/>
      <c r="L2306" s="850"/>
      <c r="M2306" s="850"/>
      <c r="N2306" s="843" t="e">
        <f>SUMIF(#REF!,'8.Dgia'!A2306,#REF!)+SUMIF(#REF!,'8.Dgia'!A2306,#REF!)+SUMIF(#REF!,'8.Dgia'!A2306,#REF!)+SUMIF(#REF!,'8.Dgia'!A2306,#REF!)</f>
        <v>#REF!</v>
      </c>
      <c r="O2306" s="844"/>
      <c r="P2306" s="843" t="e">
        <f t="shared" si="104"/>
        <v>#REF!</v>
      </c>
      <c r="R2306" s="658">
        <v>1</v>
      </c>
    </row>
    <row r="2307" spans="1:18" s="658" customFormat="1" ht="15" customHeight="1">
      <c r="A2307" s="657">
        <f>IF(B2307="",MAX($A$8:A2306)+0,MAX($A$8:A2306)+1)</f>
        <v>257</v>
      </c>
      <c r="B2307" s="835" t="str">
        <f>IF(C2307="","",COUNTA($C$10:C2308))</f>
        <v/>
      </c>
      <c r="C2307" s="362"/>
      <c r="D2307" s="845"/>
      <c r="E2307" s="852" t="s">
        <v>2033</v>
      </c>
      <c r="F2307" s="848" t="str">
        <f>VLOOKUP(E2307,DICH!B:C,2,FALSE)</f>
        <v xml:space="preserve">  C - Machine</v>
      </c>
      <c r="G2307" s="846"/>
      <c r="H2307" s="847"/>
      <c r="I2307" s="848"/>
      <c r="J2307" s="849">
        <f>SUM(J2308:J2310)</f>
        <v>121016.26666305002</v>
      </c>
      <c r="K2307" s="850"/>
      <c r="L2307" s="850"/>
      <c r="M2307" s="850"/>
      <c r="N2307" s="843" t="e">
        <f>SUMIF(#REF!,'8.Dgia'!A2307,#REF!)+SUMIF(#REF!,'8.Dgia'!A2307,#REF!)+SUMIF(#REF!,'8.Dgia'!A2307,#REF!)+SUMIF(#REF!,'8.Dgia'!A2307,#REF!)</f>
        <v>#REF!</v>
      </c>
      <c r="O2307" s="844"/>
      <c r="P2307" s="843" t="e">
        <f t="shared" si="104"/>
        <v>#REF!</v>
      </c>
    </row>
    <row r="2308" spans="1:18" ht="15" customHeight="1">
      <c r="A2308" s="657">
        <f>IF(B2308="",MAX($A$8:A2307)+0,MAX($A$8:A2307)+1)</f>
        <v>257</v>
      </c>
      <c r="B2308" s="835" t="str">
        <f>IF(C2308="","",COUNTA($C$10:C2309))</f>
        <v/>
      </c>
      <c r="C2308" s="362"/>
      <c r="D2308" s="851"/>
      <c r="E2308" s="852" t="s">
        <v>1182</v>
      </c>
      <c r="F2308" s="848" t="str">
        <f>VLOOKUP(E2308,'9.may'!E:F,2,FALSE)</f>
        <v>concrete pump truck 50m3/h</v>
      </c>
      <c r="G2308" s="362" t="s">
        <v>4902</v>
      </c>
      <c r="H2308" s="847">
        <v>3.3000000000000002E-2</v>
      </c>
      <c r="I2308" s="848">
        <f>VLOOKUP(E2308,'9.may'!E:W,12,FALSE)</f>
        <v>3446390.13</v>
      </c>
      <c r="J2308" s="853">
        <f>I2308*H2308</f>
        <v>113730.87429000001</v>
      </c>
      <c r="N2308" s="843" t="e">
        <f>SUMIF(#REF!,'8.Dgia'!A2308,#REF!)+SUMIF(#REF!,'8.Dgia'!A2308,#REF!)+SUMIF(#REF!,'8.Dgia'!A2308,#REF!)+SUMIF(#REF!,'8.Dgia'!A2308,#REF!)</f>
        <v>#REF!</v>
      </c>
      <c r="O2308" s="844"/>
      <c r="P2308" s="843" t="e">
        <f t="shared" si="104"/>
        <v>#REF!</v>
      </c>
    </row>
    <row r="2309" spans="1:18" ht="15" customHeight="1">
      <c r="A2309" s="657">
        <f>IF(B2309="",MAX($A$8:A2308)+0,MAX($A$8:A2308)+1)</f>
        <v>257</v>
      </c>
      <c r="B2309" s="835" t="str">
        <f>IF(C2309="","",COUNTA($C$10:C2310))</f>
        <v/>
      </c>
      <c r="C2309" s="362"/>
      <c r="D2309" s="851"/>
      <c r="E2309" s="852" t="s">
        <v>300</v>
      </c>
      <c r="F2309" s="848" t="str">
        <f>VLOOKUP(E2309,'9.may'!E:F,2,FALSE)</f>
        <v>concrete vibrating compactor 1Kw</v>
      </c>
      <c r="G2309" s="362" t="s">
        <v>4902</v>
      </c>
      <c r="H2309" s="847">
        <v>8.8999999999999996E-2</v>
      </c>
      <c r="I2309" s="848">
        <f>VLOOKUP(E2309,'9.may'!E:W,12,FALSE)</f>
        <v>68395.634999999995</v>
      </c>
      <c r="J2309" s="853">
        <f>I2309*H2309</f>
        <v>6087.2115149999991</v>
      </c>
      <c r="N2309" s="843" t="e">
        <f>SUMIF(#REF!,'8.Dgia'!A2309,#REF!)+SUMIF(#REF!,'8.Dgia'!A2309,#REF!)+SUMIF(#REF!,'8.Dgia'!A2309,#REF!)+SUMIF(#REF!,'8.Dgia'!A2309,#REF!)</f>
        <v>#REF!</v>
      </c>
      <c r="O2309" s="844"/>
      <c r="P2309" s="843" t="e">
        <f t="shared" si="104"/>
        <v>#REF!</v>
      </c>
    </row>
    <row r="2310" spans="1:18" ht="15" customHeight="1">
      <c r="A2310" s="657">
        <f>IF(B2310="",MAX($A$8:A2309)+0,MAX($A$8:A2309)+1)</f>
        <v>257</v>
      </c>
      <c r="B2310" s="835" t="str">
        <f>IF(C2310="","",COUNTA($C$10:C2311))</f>
        <v/>
      </c>
      <c r="C2310" s="362"/>
      <c r="D2310" s="851"/>
      <c r="E2310" s="852" t="s">
        <v>553</v>
      </c>
      <c r="F2310" s="848" t="str">
        <f>VLOOKUP(E2310,DICH!B:C,2,FALSE)</f>
        <v>Other machine</v>
      </c>
      <c r="G2310" s="362" t="s">
        <v>554</v>
      </c>
      <c r="H2310" s="847">
        <v>1</v>
      </c>
      <c r="I2310" s="848">
        <f>SUM(J2308:J2309)</f>
        <v>119818.08580500001</v>
      </c>
      <c r="J2310" s="853">
        <f>I2310*H2310%</f>
        <v>1198.1808580500001</v>
      </c>
      <c r="N2310" s="843" t="e">
        <f>SUMIF(#REF!,'8.Dgia'!A2310,#REF!)+SUMIF(#REF!,'8.Dgia'!A2310,#REF!)+SUMIF(#REF!,'8.Dgia'!A2310,#REF!)+SUMIF(#REF!,'8.Dgia'!A2310,#REF!)</f>
        <v>#REF!</v>
      </c>
      <c r="O2310" s="844"/>
      <c r="P2310" s="843" t="e">
        <f t="shared" si="104"/>
        <v>#REF!</v>
      </c>
    </row>
    <row r="2311" spans="1:18" ht="15" customHeight="1">
      <c r="A2311" s="657">
        <f>IF(B2311="",MAX($A$8:A2310)+0,MAX($A$8:A2310)+1)</f>
        <v>258</v>
      </c>
      <c r="B2311" s="835">
        <f>IF(C2311="","",COUNTA($C$10:C2312))</f>
        <v>258</v>
      </c>
      <c r="C2311" s="835">
        <f>IF(D2311="","",1776)</f>
        <v>1776</v>
      </c>
      <c r="D2311" s="851" t="s">
        <v>694</v>
      </c>
      <c r="E2311" s="855" t="s">
        <v>4028</v>
      </c>
      <c r="F2311" s="1049" t="str">
        <f>VLOOKUP(E2311,DICH!B:C,2,FALSE)</f>
        <v>Lean concrete C10, R&lt;250cm (stone 4x6)</v>
      </c>
      <c r="G2311" s="856" t="s">
        <v>545</v>
      </c>
      <c r="H2311" s="847"/>
      <c r="I2311" s="848"/>
      <c r="J2311" s="853"/>
      <c r="K2311" s="842">
        <f>+J2312</f>
        <v>641012.71135604917</v>
      </c>
      <c r="L2311" s="842">
        <f>+J2314</f>
        <v>265251.74</v>
      </c>
      <c r="M2311" s="842">
        <f>+J2315</f>
        <v>23229.762015</v>
      </c>
      <c r="N2311" s="843" t="e">
        <f>SUMIF(#REF!,'8.Dgia'!A2311,#REF!)+SUMIF(#REF!,'8.Dgia'!A2311,#REF!)+SUMIF(#REF!,'8.Dgia'!A2311,#REF!)+SUMIF(#REF!,'8.Dgia'!A2311,#REF!)</f>
        <v>#REF!</v>
      </c>
      <c r="O2311" s="844"/>
      <c r="P2311" s="843" t="e">
        <f t="shared" si="104"/>
        <v>#REF!</v>
      </c>
    </row>
    <row r="2312" spans="1:18" s="658" customFormat="1" ht="15" customHeight="1">
      <c r="A2312" s="657">
        <f>IF(B2312="",MAX($A$8:A2311)+0,MAX($A$8:A2311)+1)</f>
        <v>258</v>
      </c>
      <c r="B2312" s="835" t="str">
        <f>IF(C2312="","",COUNTA($C$10:C2313))</f>
        <v/>
      </c>
      <c r="C2312" s="362"/>
      <c r="D2312" s="845"/>
      <c r="E2312" s="852" t="s">
        <v>2032</v>
      </c>
      <c r="F2312" s="848" t="str">
        <f>VLOOKUP(E2312,DICH!B:C,2,FALSE)</f>
        <v xml:space="preserve">  A - Material</v>
      </c>
      <c r="G2312" s="846"/>
      <c r="H2312" s="847"/>
      <c r="I2312" s="848"/>
      <c r="J2312" s="849">
        <f>+J2313</f>
        <v>641012.71135604917</v>
      </c>
      <c r="K2312" s="850"/>
      <c r="L2312" s="850"/>
      <c r="M2312" s="850"/>
      <c r="N2312" s="843" t="e">
        <f>SUMIF(#REF!,'8.Dgia'!A2312,#REF!)+SUMIF(#REF!,'8.Dgia'!A2312,#REF!)+SUMIF(#REF!,'8.Dgia'!A2312,#REF!)+SUMIF(#REF!,'8.Dgia'!A2312,#REF!)</f>
        <v>#REF!</v>
      </c>
      <c r="O2312" s="844"/>
      <c r="P2312" s="843" t="e">
        <f t="shared" si="104"/>
        <v>#REF!</v>
      </c>
    </row>
    <row r="2313" spans="1:18" ht="15" customHeight="1">
      <c r="A2313" s="657">
        <f>IF(B2313="",MAX($A$8:A2312)+0,MAX($A$8:A2312)+1)</f>
        <v>258</v>
      </c>
      <c r="B2313" s="835" t="str">
        <f>IF(C2313="","",COUNTA($C$10:C2314))</f>
        <v/>
      </c>
      <c r="C2313" s="851"/>
      <c r="D2313" s="851" t="str">
        <f>'10.PLV'!$C$78</f>
        <v>C2141</v>
      </c>
      <c r="E2313" s="852" t="str">
        <f>'10.PLV'!$D$78</f>
        <v>Vữa bê tông đá 4x6 C10 SN 2-4</v>
      </c>
      <c r="F2313" s="848" t="str">
        <f>VLOOKUP(E2313,DICH!B:C,2,FALSE)</f>
        <v>Concrete motar C10 stone 4x6 slump 2-4</v>
      </c>
      <c r="G2313" s="362" t="s">
        <v>545</v>
      </c>
      <c r="H2313" s="847">
        <v>1.03</v>
      </c>
      <c r="I2313" s="848">
        <f>VLOOKUP(E2313,'11.gia '!B:I,8,FALSE)</f>
        <v>622342.43820975651</v>
      </c>
      <c r="J2313" s="853">
        <f>I2313*H2313</f>
        <v>641012.71135604917</v>
      </c>
      <c r="N2313" s="843" t="e">
        <f>SUMIF(#REF!,'8.Dgia'!A2313,#REF!)+SUMIF(#REF!,'8.Dgia'!A2313,#REF!)+SUMIF(#REF!,'8.Dgia'!A2313,#REF!)+SUMIF(#REF!,'8.Dgia'!A2313,#REF!)</f>
        <v>#REF!</v>
      </c>
      <c r="O2313" s="844"/>
      <c r="P2313" s="843" t="e">
        <f t="shared" si="104"/>
        <v>#REF!</v>
      </c>
    </row>
    <row r="2314" spans="1:18" s="658" customFormat="1" ht="15" customHeight="1">
      <c r="A2314" s="657">
        <f>IF(B2314="",MAX($A$8:A2313)+0,MAX($A$8:A2313)+1)</f>
        <v>258</v>
      </c>
      <c r="B2314" s="835" t="str">
        <f>IF(C2314="","",COUNTA($C$10:C2315))</f>
        <v/>
      </c>
      <c r="C2314" s="362"/>
      <c r="D2314" s="845"/>
      <c r="E2314" s="852" t="s">
        <v>2038</v>
      </c>
      <c r="F2314" s="848" t="str">
        <f>VLOOKUP(E2314,DICH!B:C,2,FALSE)</f>
        <v xml:space="preserve">  B - Labour 3.0/7</v>
      </c>
      <c r="G2314" s="362" t="s">
        <v>4899</v>
      </c>
      <c r="H2314" s="847">
        <v>1.42</v>
      </c>
      <c r="I2314" s="848">
        <f>VLOOKUP(E2314,'16.NC'!$C$11:$F$22,4,FALSE)</f>
        <v>186797</v>
      </c>
      <c r="J2314" s="849">
        <f>I2314*H2314</f>
        <v>265251.74</v>
      </c>
      <c r="K2314" s="850"/>
      <c r="L2314" s="850"/>
      <c r="M2314" s="850"/>
      <c r="N2314" s="843" t="e">
        <f>SUMIF(#REF!,'8.Dgia'!A2314,#REF!)+SUMIF(#REF!,'8.Dgia'!A2314,#REF!)+SUMIF(#REF!,'8.Dgia'!A2314,#REF!)+SUMIF(#REF!,'8.Dgia'!A2314,#REF!)</f>
        <v>#REF!</v>
      </c>
      <c r="O2314" s="844"/>
      <c r="P2314" s="843" t="e">
        <f t="shared" si="104"/>
        <v>#REF!</v>
      </c>
      <c r="R2314" s="658">
        <v>1</v>
      </c>
    </row>
    <row r="2315" spans="1:18" s="658" customFormat="1" ht="15" customHeight="1">
      <c r="A2315" s="657">
        <f>IF(B2315="",MAX($A$8:A2314)+0,MAX($A$8:A2314)+1)</f>
        <v>258</v>
      </c>
      <c r="B2315" s="835" t="str">
        <f>IF(C2315="","",COUNTA($C$10:C2316))</f>
        <v/>
      </c>
      <c r="C2315" s="362"/>
      <c r="D2315" s="845"/>
      <c r="E2315" s="852" t="s">
        <v>2033</v>
      </c>
      <c r="F2315" s="848" t="str">
        <f>VLOOKUP(E2315,DICH!B:C,2,FALSE)</f>
        <v xml:space="preserve">  C - Machine</v>
      </c>
      <c r="G2315" s="846"/>
      <c r="H2315" s="847"/>
      <c r="I2315" s="848"/>
      <c r="J2315" s="849">
        <f>SUM(J2316:J2317)</f>
        <v>23229.762015</v>
      </c>
      <c r="K2315" s="850"/>
      <c r="L2315" s="850"/>
      <c r="M2315" s="850"/>
      <c r="N2315" s="843" t="e">
        <f>SUMIF(#REF!,'8.Dgia'!A2315,#REF!)+SUMIF(#REF!,'8.Dgia'!A2315,#REF!)+SUMIF(#REF!,'8.Dgia'!A2315,#REF!)+SUMIF(#REF!,'8.Dgia'!A2315,#REF!)</f>
        <v>#REF!</v>
      </c>
      <c r="O2315" s="844"/>
      <c r="P2315" s="843" t="e">
        <f t="shared" si="104"/>
        <v>#REF!</v>
      </c>
    </row>
    <row r="2316" spans="1:18" ht="15" customHeight="1">
      <c r="A2316" s="657">
        <f>IF(B2316="",MAX($A$8:A2315)+0,MAX($A$8:A2315)+1)</f>
        <v>258</v>
      </c>
      <c r="B2316" s="835" t="str">
        <f>IF(C2316="","",COUNTA($C$10:C2317))</f>
        <v/>
      </c>
      <c r="C2316" s="362"/>
      <c r="D2316" s="851"/>
      <c r="E2316" s="852" t="s">
        <v>582</v>
      </c>
      <c r="F2316" s="848" t="str">
        <f>VLOOKUP(E2316,'9.may'!E:F,2,FALSE)</f>
        <v>concrete mixer 250L</v>
      </c>
      <c r="G2316" s="362" t="s">
        <v>4902</v>
      </c>
      <c r="H2316" s="847">
        <v>9.5000000000000001E-2</v>
      </c>
      <c r="I2316" s="848">
        <f>VLOOKUP(E2316,'9.may'!E:W,12,FALSE)</f>
        <v>180447.90000000002</v>
      </c>
      <c r="J2316" s="853">
        <f>I2316*H2316</f>
        <v>17142.550500000001</v>
      </c>
      <c r="N2316" s="843" t="e">
        <f>SUMIF(#REF!,'8.Dgia'!A2316,#REF!)+SUMIF(#REF!,'8.Dgia'!A2316,#REF!)+SUMIF(#REF!,'8.Dgia'!A2316,#REF!)+SUMIF(#REF!,'8.Dgia'!A2316,#REF!)</f>
        <v>#REF!</v>
      </c>
      <c r="O2316" s="844"/>
      <c r="P2316" s="843" t="e">
        <f t="shared" si="104"/>
        <v>#REF!</v>
      </c>
    </row>
    <row r="2317" spans="1:18" ht="15" customHeight="1">
      <c r="A2317" s="657">
        <f>IF(B2317="",MAX($A$8:A2316)+0,MAX($A$8:A2316)+1)</f>
        <v>258</v>
      </c>
      <c r="B2317" s="835" t="str">
        <f>IF(C2317="","",COUNTA($C$10:C2318))</f>
        <v/>
      </c>
      <c r="C2317" s="362"/>
      <c r="D2317" s="851"/>
      <c r="E2317" s="852" t="s">
        <v>300</v>
      </c>
      <c r="F2317" s="848" t="str">
        <f>VLOOKUP(E2317,'9.may'!E:F,2,FALSE)</f>
        <v>concrete vibrating compactor 1Kw</v>
      </c>
      <c r="G2317" s="362" t="s">
        <v>4902</v>
      </c>
      <c r="H2317" s="847">
        <v>8.8999999999999996E-2</v>
      </c>
      <c r="I2317" s="848">
        <f>VLOOKUP(E2317,'9.may'!E:W,12,FALSE)</f>
        <v>68395.634999999995</v>
      </c>
      <c r="J2317" s="853">
        <f>I2317*H2317</f>
        <v>6087.2115149999991</v>
      </c>
      <c r="N2317" s="843" t="e">
        <f>SUMIF(#REF!,'8.Dgia'!A2317,#REF!)+SUMIF(#REF!,'8.Dgia'!A2317,#REF!)+SUMIF(#REF!,'8.Dgia'!A2317,#REF!)+SUMIF(#REF!,'8.Dgia'!A2317,#REF!)</f>
        <v>#REF!</v>
      </c>
      <c r="O2317" s="844"/>
      <c r="P2317" s="843" t="e">
        <f t="shared" si="104"/>
        <v>#REF!</v>
      </c>
    </row>
    <row r="2318" spans="1:18" ht="15" customHeight="1">
      <c r="A2318" s="657">
        <f>IF(B2318="",MAX($A$8:A2317)+0,MAX($A$8:A2317)+1)</f>
        <v>259</v>
      </c>
      <c r="B2318" s="835">
        <f>IF(C2318="","",COUNTA($C$10:C2319))</f>
        <v>259</v>
      </c>
      <c r="C2318" s="362">
        <v>0</v>
      </c>
      <c r="D2318" s="851" t="s">
        <v>306</v>
      </c>
      <c r="E2318" s="855" t="s">
        <v>608</v>
      </c>
      <c r="F2318" s="848" t="str">
        <f>VLOOKUP(E2318,DICH!B:C,2,FALSE)</f>
        <v>Bbolt M16</v>
      </c>
      <c r="G2318" s="856" t="s">
        <v>4651</v>
      </c>
      <c r="H2318" s="847"/>
      <c r="I2318" s="848"/>
      <c r="J2318" s="853"/>
      <c r="K2318" s="842">
        <f>+J2319</f>
        <v>3500</v>
      </c>
      <c r="N2318" s="843" t="e">
        <f>SUMIF(#REF!,'8.Dgia'!A2318,#REF!)+SUMIF(#REF!,'8.Dgia'!A2318,#REF!)+SUMIF(#REF!,'8.Dgia'!A2318,#REF!)+SUMIF(#REF!,'8.Dgia'!A2318,#REF!)</f>
        <v>#REF!</v>
      </c>
      <c r="O2318" s="844"/>
      <c r="P2318" s="843" t="e">
        <f t="shared" si="104"/>
        <v>#REF!</v>
      </c>
    </row>
    <row r="2319" spans="1:18" s="658" customFormat="1" ht="15" customHeight="1">
      <c r="A2319" s="657">
        <f>IF(B2319="",MAX($A$8:A2318)+0,MAX($A$8:A2318)+1)</f>
        <v>259</v>
      </c>
      <c r="B2319" s="835" t="str">
        <f>IF(C2319="","",COUNTA($C$10:C2320))</f>
        <v/>
      </c>
      <c r="C2319" s="362"/>
      <c r="D2319" s="845"/>
      <c r="E2319" s="852" t="s">
        <v>2032</v>
      </c>
      <c r="F2319" s="848" t="str">
        <f>VLOOKUP(E2319,DICH!B:C,2,FALSE)</f>
        <v xml:space="preserve">  A - Material</v>
      </c>
      <c r="G2319" s="846"/>
      <c r="H2319" s="847"/>
      <c r="I2319" s="848"/>
      <c r="J2319" s="849">
        <f>+J2320</f>
        <v>3500</v>
      </c>
      <c r="K2319" s="850"/>
      <c r="L2319" s="850"/>
      <c r="M2319" s="850"/>
      <c r="N2319" s="843" t="e">
        <f>SUMIF(#REF!,'8.Dgia'!A2319,#REF!)+SUMIF(#REF!,'8.Dgia'!A2319,#REF!)+SUMIF(#REF!,'8.Dgia'!A2319,#REF!)+SUMIF(#REF!,'8.Dgia'!A2319,#REF!)</f>
        <v>#REF!</v>
      </c>
      <c r="O2319" s="844"/>
      <c r="P2319" s="843" t="e">
        <f t="shared" si="104"/>
        <v>#REF!</v>
      </c>
    </row>
    <row r="2320" spans="1:18" ht="15" customHeight="1">
      <c r="A2320" s="657">
        <f>IF(B2320="",MAX($A$8:A2319)+0,MAX($A$8:A2319)+1)</f>
        <v>259</v>
      </c>
      <c r="B2320" s="835" t="str">
        <f>IF(C2320="","",COUNTA($C$10:C2321))</f>
        <v/>
      </c>
      <c r="C2320" s="851"/>
      <c r="D2320" s="851"/>
      <c r="E2320" s="852" t="s">
        <v>608</v>
      </c>
      <c r="F2320" s="848" t="str">
        <f>VLOOKUP(E2320,DICH!B:C,2,FALSE)</f>
        <v>Bbolt M16</v>
      </c>
      <c r="G2320" s="362" t="s">
        <v>4651</v>
      </c>
      <c r="H2320" s="847">
        <v>1</v>
      </c>
      <c r="I2320" s="848">
        <f>VLOOKUP(E2320,'11.gia '!$B:$I,8,FALSE)</f>
        <v>3500</v>
      </c>
      <c r="J2320" s="853">
        <f>I2320*H2320</f>
        <v>3500</v>
      </c>
      <c r="N2320" s="843" t="e">
        <f>SUMIF(#REF!,'8.Dgia'!A2320,#REF!)+SUMIF(#REF!,'8.Dgia'!A2320,#REF!)+SUMIF(#REF!,'8.Dgia'!A2320,#REF!)+SUMIF(#REF!,'8.Dgia'!A2320,#REF!)</f>
        <v>#REF!</v>
      </c>
      <c r="O2320" s="844"/>
      <c r="P2320" s="843" t="e">
        <f t="shared" si="104"/>
        <v>#REF!</v>
      </c>
    </row>
    <row r="2321" spans="1:18" ht="15" customHeight="1">
      <c r="A2321" s="657">
        <f>IF(B2321="",MAX($A$8:A2320)+0,MAX($A$8:A2320)+1)</f>
        <v>260</v>
      </c>
      <c r="B2321" s="835">
        <f>IF(C2321="","",COUNTA($C$10:C2322))</f>
        <v>260</v>
      </c>
      <c r="C2321" s="362">
        <v>1776</v>
      </c>
      <c r="D2321" s="851" t="s">
        <v>220</v>
      </c>
      <c r="E2321" s="855" t="s">
        <v>221</v>
      </c>
      <c r="F2321" s="1049" t="str">
        <f>VLOOKUP(E2321,DICH!B:C,2,FALSE)</f>
        <v>Zinc steel</v>
      </c>
      <c r="G2321" s="856" t="s">
        <v>4644</v>
      </c>
      <c r="H2321" s="847"/>
      <c r="I2321" s="848"/>
      <c r="J2321" s="853"/>
      <c r="K2321" s="842">
        <f>+J2322</f>
        <v>31249090.90909091</v>
      </c>
      <c r="L2321" s="842">
        <f>+J2325</f>
        <v>2134538.25</v>
      </c>
      <c r="M2321" s="842">
        <f>+J2326</f>
        <v>480192.86971363635</v>
      </c>
      <c r="N2321" s="843" t="e">
        <f>SUMIF(#REF!,'8.Dgia'!A2321,#REF!)+SUMIF(#REF!,'8.Dgia'!A2321,#REF!)+SUMIF(#REF!,'8.Dgia'!A2321,#REF!)+SUMIF(#REF!,'8.Dgia'!A2321,#REF!)</f>
        <v>#REF!</v>
      </c>
      <c r="O2321" s="844"/>
      <c r="P2321" s="843" t="e">
        <f t="shared" si="104"/>
        <v>#REF!</v>
      </c>
    </row>
    <row r="2322" spans="1:18" s="658" customFormat="1" ht="15" customHeight="1">
      <c r="A2322" s="657">
        <f>IF(B2322="",MAX($A$8:A2321)+0,MAX($A$8:A2321)+1)</f>
        <v>260</v>
      </c>
      <c r="B2322" s="835" t="str">
        <f>IF(C2322="","",COUNTA($C$10:C2323))</f>
        <v/>
      </c>
      <c r="C2322" s="362"/>
      <c r="D2322" s="845"/>
      <c r="E2322" s="852" t="s">
        <v>2032</v>
      </c>
      <c r="F2322" s="848" t="str">
        <f>VLOOKUP(E2322,DICH!B:C,2,FALSE)</f>
        <v xml:space="preserve">  A - Material</v>
      </c>
      <c r="G2322" s="846"/>
      <c r="H2322" s="847"/>
      <c r="I2322" s="848"/>
      <c r="J2322" s="849">
        <f>SUM(J2323:J2324)</f>
        <v>31249090.90909091</v>
      </c>
      <c r="K2322" s="850"/>
      <c r="L2322" s="850"/>
      <c r="M2322" s="850"/>
      <c r="N2322" s="843" t="e">
        <f>SUMIF(#REF!,'8.Dgia'!A2322,#REF!)+SUMIF(#REF!,'8.Dgia'!A2322,#REF!)+SUMIF(#REF!,'8.Dgia'!A2322,#REF!)+SUMIF(#REF!,'8.Dgia'!A2322,#REF!)</f>
        <v>#REF!</v>
      </c>
      <c r="O2322" s="844"/>
      <c r="P2322" s="843" t="e">
        <f t="shared" si="104"/>
        <v>#REF!</v>
      </c>
    </row>
    <row r="2323" spans="1:18" s="658" customFormat="1" ht="15" customHeight="1">
      <c r="A2323" s="657">
        <f>IF(B2323="",MAX($A$8:A2322)+0,MAX($A$8:A2322)+1)</f>
        <v>260</v>
      </c>
      <c r="B2323" s="835" t="str">
        <f>IF(C2323="","",COUNTA($C$10:C2324))</f>
        <v/>
      </c>
      <c r="C2323" s="362"/>
      <c r="D2323" s="845"/>
      <c r="E2323" s="852" t="s">
        <v>221</v>
      </c>
      <c r="F2323" s="848" t="str">
        <f>VLOOKUP(E2323,DICH!B:C,2,FALSE)</f>
        <v>Zinc steel</v>
      </c>
      <c r="G2323" s="362" t="s">
        <v>558</v>
      </c>
      <c r="H2323" s="847">
        <v>1020</v>
      </c>
      <c r="I2323" s="848">
        <f>VLOOKUP(E2323,'11.gia '!$B:$I,8,FALSE)</f>
        <v>25000</v>
      </c>
      <c r="J2323" s="853">
        <f>I2323*H2323</f>
        <v>25500000</v>
      </c>
      <c r="K2323" s="850"/>
      <c r="L2323" s="850"/>
      <c r="M2323" s="850"/>
      <c r="N2323" s="843" t="e">
        <f>SUMIF(#REF!,'8.Dgia'!A2323,#REF!)+SUMIF(#REF!,'8.Dgia'!A2323,#REF!)+SUMIF(#REF!,'8.Dgia'!A2323,#REF!)+SUMIF(#REF!,'8.Dgia'!A2323,#REF!)</f>
        <v>#REF!</v>
      </c>
      <c r="O2323" s="844"/>
      <c r="P2323" s="843" t="e">
        <f t="shared" si="104"/>
        <v>#REF!</v>
      </c>
    </row>
    <row r="2324" spans="1:18" s="658" customFormat="1" ht="15" customHeight="1">
      <c r="A2324" s="657">
        <f>IF(B2324="",MAX($A$8:A2323)+0,MAX($A$8:A2323)+1)</f>
        <v>260</v>
      </c>
      <c r="B2324" s="835" t="str">
        <f>IF(C2324="","",COUNTA($C$10:C2325))</f>
        <v/>
      </c>
      <c r="C2324" s="362"/>
      <c r="D2324" s="845"/>
      <c r="E2324" s="852" t="s">
        <v>586</v>
      </c>
      <c r="F2324" s="848" t="str">
        <f>VLOOKUP(E2324,DICH!B:C,2,FALSE)</f>
        <v>Zinc steel</v>
      </c>
      <c r="G2324" s="362" t="s">
        <v>558</v>
      </c>
      <c r="H2324" s="847">
        <v>1020</v>
      </c>
      <c r="I2324" s="848">
        <f>VLOOKUP(E2324,'11.gia '!$B:$I,8,FALSE)</f>
        <v>5636.363636363636</v>
      </c>
      <c r="J2324" s="853">
        <f>I2324*H2324</f>
        <v>5749090.9090909092</v>
      </c>
      <c r="K2324" s="850"/>
      <c r="L2324" s="850"/>
      <c r="M2324" s="850"/>
      <c r="N2324" s="843" t="e">
        <f>SUMIF(#REF!,'8.Dgia'!A2324,#REF!)+SUMIF(#REF!,'8.Dgia'!A2324,#REF!)+SUMIF(#REF!,'8.Dgia'!A2324,#REF!)+SUMIF(#REF!,'8.Dgia'!A2324,#REF!)</f>
        <v>#REF!</v>
      </c>
      <c r="O2324" s="844"/>
      <c r="P2324" s="843" t="e">
        <f t="shared" si="104"/>
        <v>#REF!</v>
      </c>
    </row>
    <row r="2325" spans="1:18" s="658" customFormat="1" ht="15" customHeight="1">
      <c r="A2325" s="657">
        <f>IF(B2325="",MAX($A$8:A2324)+0,MAX($A$8:A2324)+1)</f>
        <v>260</v>
      </c>
      <c r="B2325" s="835" t="str">
        <f>IF(C2325="","",COUNTA($C$10:C2326))</f>
        <v/>
      </c>
      <c r="C2325" s="362"/>
      <c r="D2325" s="845"/>
      <c r="E2325" s="852" t="s">
        <v>2039</v>
      </c>
      <c r="F2325" s="848" t="str">
        <f>VLOOKUP(E2325,DICH!B:C,2,FALSE)</f>
        <v xml:space="preserve">  B - Labour 4.0/7</v>
      </c>
      <c r="G2325" s="362" t="s">
        <v>4899</v>
      </c>
      <c r="H2325" s="847">
        <v>9.75</v>
      </c>
      <c r="I2325" s="848">
        <f>VLOOKUP(E2325,'16.NC'!$C$11:$F$22,4,FALSE)</f>
        <v>218927</v>
      </c>
      <c r="J2325" s="849">
        <f>I2325*H2325</f>
        <v>2134538.25</v>
      </c>
      <c r="K2325" s="850"/>
      <c r="L2325" s="850"/>
      <c r="M2325" s="850"/>
      <c r="N2325" s="843" t="e">
        <f>SUMIF(#REF!,'8.Dgia'!A2325,#REF!)+SUMIF(#REF!,'8.Dgia'!A2325,#REF!)+SUMIF(#REF!,'8.Dgia'!A2325,#REF!)+SUMIF(#REF!,'8.Dgia'!A2325,#REF!)</f>
        <v>#REF!</v>
      </c>
      <c r="O2325" s="844"/>
      <c r="P2325" s="843" t="e">
        <f t="shared" si="104"/>
        <v>#REF!</v>
      </c>
      <c r="R2325" s="658">
        <v>1</v>
      </c>
    </row>
    <row r="2326" spans="1:18" s="658" customFormat="1" ht="15" customHeight="1">
      <c r="A2326" s="657">
        <f>IF(B2326="",MAX($A$8:A2325)+0,MAX($A$8:A2325)+1)</f>
        <v>260</v>
      </c>
      <c r="B2326" s="835" t="str">
        <f>IF(C2326="","",COUNTA($C$10:C2327))</f>
        <v/>
      </c>
      <c r="C2326" s="362"/>
      <c r="D2326" s="845"/>
      <c r="E2326" s="852" t="s">
        <v>2033</v>
      </c>
      <c r="F2326" s="848" t="str">
        <f>VLOOKUP(E2326,DICH!B:C,2,FALSE)</f>
        <v xml:space="preserve">  C - Machine</v>
      </c>
      <c r="G2326" s="846"/>
      <c r="H2326" s="847"/>
      <c r="I2326" s="848"/>
      <c r="J2326" s="849">
        <f>SUM(J2327:J2329)</f>
        <v>480192.86971363635</v>
      </c>
      <c r="K2326" s="850"/>
      <c r="L2326" s="850"/>
      <c r="M2326" s="850"/>
      <c r="N2326" s="843" t="e">
        <f>SUMIF(#REF!,'8.Dgia'!A2326,#REF!)+SUMIF(#REF!,'8.Dgia'!A2326,#REF!)+SUMIF(#REF!,'8.Dgia'!A2326,#REF!)+SUMIF(#REF!,'8.Dgia'!A2326,#REF!)</f>
        <v>#REF!</v>
      </c>
      <c r="O2326" s="844"/>
      <c r="P2326" s="843" t="e">
        <f t="shared" si="104"/>
        <v>#REF!</v>
      </c>
    </row>
    <row r="2327" spans="1:18" s="658" customFormat="1" ht="15" customHeight="1">
      <c r="A2327" s="657">
        <f>IF(B2327="",MAX($A$8:A2326)+0,MAX($A$8:A2326)+1)</f>
        <v>260</v>
      </c>
      <c r="B2327" s="835" t="str">
        <f>IF(C2327="","",COUNTA($C$10:C2328))</f>
        <v/>
      </c>
      <c r="C2327" s="362"/>
      <c r="D2327" s="845"/>
      <c r="E2327" s="852" t="s">
        <v>560</v>
      </c>
      <c r="F2327" s="848" t="str">
        <f>VLOOKUP(E2327,'9.may'!E:F,2,FALSE)</f>
        <v>welding machine 23kW</v>
      </c>
      <c r="G2327" s="362" t="s">
        <v>4902</v>
      </c>
      <c r="H2327" s="847">
        <v>1.73</v>
      </c>
      <c r="I2327" s="848">
        <f>VLOOKUP(E2327,'9.may'!E:W,12,FALSE)</f>
        <v>171649.155</v>
      </c>
      <c r="J2327" s="853">
        <f>I2327*H2327</f>
        <v>296953.03814999998</v>
      </c>
      <c r="K2327" s="850"/>
      <c r="L2327" s="850"/>
      <c r="M2327" s="850"/>
      <c r="N2327" s="843" t="e">
        <f>SUMIF(#REF!,'8.Dgia'!A2327,#REF!)+SUMIF(#REF!,'8.Dgia'!A2327,#REF!)+SUMIF(#REF!,'8.Dgia'!A2327,#REF!)+SUMIF(#REF!,'8.Dgia'!A2327,#REF!)</f>
        <v>#REF!</v>
      </c>
      <c r="O2327" s="844"/>
      <c r="P2327" s="843" t="e">
        <f t="shared" si="104"/>
        <v>#REF!</v>
      </c>
    </row>
    <row r="2328" spans="1:18" s="658" customFormat="1" ht="15" customHeight="1">
      <c r="A2328" s="657">
        <f>IF(B2328="",MAX($A$8:A2327)+0,MAX($A$8:A2327)+1)</f>
        <v>260</v>
      </c>
      <c r="B2328" s="835" t="str">
        <f>IF(C2328="","",COUNTA($C$10:C2329))</f>
        <v/>
      </c>
      <c r="C2328" s="362"/>
      <c r="D2328" s="845"/>
      <c r="E2328" s="852" t="s">
        <v>1424</v>
      </c>
      <c r="F2328" s="848" t="str">
        <f>VLOOKUP(E2328,'9.may'!E:F,2,FALSE)</f>
        <v>bender cutter 5Kw</v>
      </c>
      <c r="G2328" s="362" t="s">
        <v>4902</v>
      </c>
      <c r="H2328" s="847">
        <v>0.16</v>
      </c>
      <c r="I2328" s="848">
        <f>VLOOKUP(E2328,'9.may'!E:W,12,FALSE)</f>
        <v>80291.850000000006</v>
      </c>
      <c r="J2328" s="853">
        <f>I2328*H2328</f>
        <v>12846.696000000002</v>
      </c>
      <c r="K2328" s="850"/>
      <c r="L2328" s="850"/>
      <c r="M2328" s="850"/>
      <c r="N2328" s="843" t="e">
        <f>SUMIF(#REF!,'8.Dgia'!A2328,#REF!)+SUMIF(#REF!,'8.Dgia'!A2328,#REF!)+SUMIF(#REF!,'8.Dgia'!A2328,#REF!)+SUMIF(#REF!,'8.Dgia'!A2328,#REF!)</f>
        <v>#REF!</v>
      </c>
      <c r="O2328" s="844"/>
      <c r="P2328" s="843" t="e">
        <f t="shared" si="104"/>
        <v>#REF!</v>
      </c>
    </row>
    <row r="2329" spans="1:18" s="658" customFormat="1" ht="15" customHeight="1">
      <c r="A2329" s="657">
        <f>IF(B2329="",MAX($A$8:A2328)+0,MAX($A$8:A2328)+1)</f>
        <v>260</v>
      </c>
      <c r="B2329" s="835" t="str">
        <f>IF(C2329="","",COUNTA($C$10:C2330))</f>
        <v/>
      </c>
      <c r="C2329" s="362"/>
      <c r="D2329" s="845"/>
      <c r="E2329" s="852" t="s">
        <v>287</v>
      </c>
      <c r="F2329" s="848" t="str">
        <f>VLOOKUP(E2329,'9.may'!E:F,2,FALSE)</f>
        <v>caterpillar crane 16T</v>
      </c>
      <c r="G2329" s="362" t="s">
        <v>4902</v>
      </c>
      <c r="H2329" s="847">
        <v>0.08</v>
      </c>
      <c r="I2329" s="848">
        <f>VLOOKUP(E2329,'9.may'!E:W,12,FALSE)</f>
        <v>2129914.1945454543</v>
      </c>
      <c r="J2329" s="853">
        <f>I2329*H2329</f>
        <v>170393.13556363634</v>
      </c>
      <c r="K2329" s="850"/>
      <c r="L2329" s="850"/>
      <c r="M2329" s="850"/>
      <c r="N2329" s="843" t="e">
        <f>SUMIF(#REF!,'8.Dgia'!A2329,#REF!)+SUMIF(#REF!,'8.Dgia'!A2329,#REF!)+SUMIF(#REF!,'8.Dgia'!A2329,#REF!)+SUMIF(#REF!,'8.Dgia'!A2329,#REF!)</f>
        <v>#REF!</v>
      </c>
      <c r="O2329" s="844"/>
      <c r="P2329" s="843" t="e">
        <f t="shared" si="104"/>
        <v>#REF!</v>
      </c>
    </row>
    <row r="2330" spans="1:18" ht="15" customHeight="1">
      <c r="A2330" s="657">
        <f>IF(B2330="",MAX($A$8:A2329)+0,MAX($A$8:A2329)+1)</f>
        <v>261</v>
      </c>
      <c r="B2330" s="835">
        <f>IF(C2330="","",COUNTA($C$10:C2331))</f>
        <v>261</v>
      </c>
      <c r="C2330" s="835">
        <f>IF(D2330="","",1776)</f>
        <v>1776</v>
      </c>
      <c r="D2330" s="851" t="s">
        <v>385</v>
      </c>
      <c r="E2330" s="855" t="s">
        <v>674</v>
      </c>
      <c r="F2330" s="1049" t="str">
        <f>VLOOKUP(E2330,DICH!B:C,2,FALSE)</f>
        <v xml:space="preserve">Bitumment </v>
      </c>
      <c r="G2330" s="856" t="s">
        <v>545</v>
      </c>
      <c r="H2330" s="847"/>
      <c r="I2330" s="848"/>
      <c r="J2330" s="853"/>
      <c r="K2330" s="842">
        <f>+J2331</f>
        <v>17405809.740000002</v>
      </c>
      <c r="L2330" s="842">
        <f>J2333</f>
        <v>7438273.333333333</v>
      </c>
      <c r="N2330" s="843" t="e">
        <f>SUMIF(#REF!,'8.Dgia'!A2330,#REF!)+SUMIF(#REF!,'8.Dgia'!A2330,#REF!)+SUMIF(#REF!,'8.Dgia'!A2330,#REF!)+SUMIF(#REF!,'8.Dgia'!A2330,#REF!)</f>
        <v>#REF!</v>
      </c>
      <c r="O2330" s="844"/>
      <c r="P2330" s="843" t="e">
        <f t="shared" si="104"/>
        <v>#REF!</v>
      </c>
    </row>
    <row r="2331" spans="1:18" s="658" customFormat="1" ht="15" customHeight="1">
      <c r="A2331" s="657">
        <f>IF(B2331="",MAX($A$8:A2330)+0,MAX($A$8:A2330)+1)</f>
        <v>261</v>
      </c>
      <c r="B2331" s="835" t="str">
        <f>IF(C2331="","",COUNTA($C$10:C2332))</f>
        <v/>
      </c>
      <c r="C2331" s="362"/>
      <c r="D2331" s="845"/>
      <c r="E2331" s="852" t="s">
        <v>2032</v>
      </c>
      <c r="F2331" s="848" t="str">
        <f>VLOOKUP(E2331,DICH!B:C,2,FALSE)</f>
        <v xml:space="preserve">  A - Material</v>
      </c>
      <c r="G2331" s="846"/>
      <c r="H2331" s="847"/>
      <c r="I2331" s="848"/>
      <c r="J2331" s="849">
        <f>+J2332</f>
        <v>17405809.740000002</v>
      </c>
      <c r="K2331" s="850"/>
      <c r="L2331" s="850"/>
      <c r="M2331" s="850"/>
      <c r="N2331" s="843" t="e">
        <f>SUMIF(#REF!,'8.Dgia'!A2331,#REF!)+SUMIF(#REF!,'8.Dgia'!A2331,#REF!)+SUMIF(#REF!,'8.Dgia'!A2331,#REF!)+SUMIF(#REF!,'8.Dgia'!A2331,#REF!)</f>
        <v>#REF!</v>
      </c>
      <c r="O2331" s="844"/>
      <c r="P2331" s="843" t="e">
        <f t="shared" si="104"/>
        <v>#REF!</v>
      </c>
    </row>
    <row r="2332" spans="1:18" ht="15" customHeight="1">
      <c r="A2332" s="657">
        <f>IF(B2332="",MAX($A$8:A2331)+0,MAX($A$8:A2331)+1)</f>
        <v>261</v>
      </c>
      <c r="B2332" s="835" t="str">
        <f>IF(C2332="","",COUNTA($C$10:C2333))</f>
        <v/>
      </c>
      <c r="C2332" s="861"/>
      <c r="D2332" s="861"/>
      <c r="E2332" s="852" t="s">
        <v>660</v>
      </c>
      <c r="F2332" s="848" t="str">
        <f>VLOOKUP(E2332,DICH!B:C,2,FALSE)</f>
        <v>bitumen</v>
      </c>
      <c r="G2332" s="362" t="s">
        <v>558</v>
      </c>
      <c r="H2332" s="847">
        <v>1100</v>
      </c>
      <c r="I2332" s="858">
        <f>VLOOKUP(E2332,'11.gia '!$B:$I,8,FALSE)</f>
        <v>15823.463400000001</v>
      </c>
      <c r="J2332" s="853">
        <f>I2332*H2332</f>
        <v>17405809.740000002</v>
      </c>
      <c r="N2332" s="843" t="e">
        <f>SUMIF(#REF!,'8.Dgia'!A2332,#REF!)+SUMIF(#REF!,'8.Dgia'!A2332,#REF!)+SUMIF(#REF!,'8.Dgia'!A2332,#REF!)+SUMIF(#REF!,'8.Dgia'!A2332,#REF!)</f>
        <v>#REF!</v>
      </c>
      <c r="O2332" s="844"/>
      <c r="P2332" s="843" t="e">
        <f t="shared" si="104"/>
        <v>#REF!</v>
      </c>
    </row>
    <row r="2333" spans="1:18" s="658" customFormat="1" ht="15" customHeight="1">
      <c r="A2333" s="657">
        <f>IF(B2333="",MAX($A$8:A2332)+0,MAX($A$8:A2332)+1)</f>
        <v>261</v>
      </c>
      <c r="B2333" s="835" t="str">
        <f>IF(C2333="","",COUNTA($C$10:C2334))</f>
        <v/>
      </c>
      <c r="C2333" s="926"/>
      <c r="D2333" s="926" t="s">
        <v>386</v>
      </c>
      <c r="E2333" s="852" t="s">
        <v>2037</v>
      </c>
      <c r="F2333" s="848" t="str">
        <f>VLOOKUP(E2333,DICH!B:C,2,FALSE)</f>
        <v xml:space="preserve">  B - Labour 3.5/7</v>
      </c>
      <c r="G2333" s="362" t="s">
        <v>4899</v>
      </c>
      <c r="H2333" s="865">
        <f>0.07/2.1*H2332</f>
        <v>36.666666666666664</v>
      </c>
      <c r="I2333" s="848">
        <f>VLOOKUP(E2333,'16.NC'!$C$11:$F$22,4,FALSE)</f>
        <v>202862</v>
      </c>
      <c r="J2333" s="849">
        <f>I2333*H2333</f>
        <v>7438273.333333333</v>
      </c>
      <c r="K2333" s="850"/>
      <c r="L2333" s="850"/>
      <c r="M2333" s="850"/>
      <c r="N2333" s="843" t="e">
        <f>SUMIF(#REF!,'8.Dgia'!A2333,#REF!)+SUMIF(#REF!,'8.Dgia'!A2333,#REF!)+SUMIF(#REF!,'8.Dgia'!A2333,#REF!)+SUMIF(#REF!,'8.Dgia'!A2333,#REF!)</f>
        <v>#REF!</v>
      </c>
      <c r="O2333" s="844"/>
      <c r="P2333" s="843" t="e">
        <f t="shared" si="104"/>
        <v>#REF!</v>
      </c>
      <c r="R2333" s="658">
        <v>1</v>
      </c>
    </row>
    <row r="2334" spans="1:18" ht="15" customHeight="1">
      <c r="A2334" s="657">
        <f>IF(B2334="",MAX($A$8:A2333)+0,MAX($A$8:A2333)+1)</f>
        <v>262</v>
      </c>
      <c r="B2334" s="835">
        <f>IF(C2334="","",COUNTA($C$10:C2335))</f>
        <v>262</v>
      </c>
      <c r="C2334" s="362">
        <v>0</v>
      </c>
      <c r="D2334" s="851" t="s">
        <v>71</v>
      </c>
      <c r="E2334" s="855" t="s">
        <v>315</v>
      </c>
      <c r="F2334" s="848" t="str">
        <f>VLOOKUP(E2334,DICH!B:C,2,FALSE)</f>
        <v>Water-proof membrane layer</v>
      </c>
      <c r="G2334" s="856" t="s">
        <v>548</v>
      </c>
      <c r="H2334" s="847"/>
      <c r="I2334" s="848"/>
      <c r="J2334" s="853"/>
      <c r="K2334" s="842">
        <f>+J2335</f>
        <v>90000</v>
      </c>
      <c r="N2334" s="843" t="e">
        <f>SUMIF(#REF!,'8.Dgia'!A2334,#REF!)+SUMIF(#REF!,'8.Dgia'!A2334,#REF!)+SUMIF(#REF!,'8.Dgia'!A2334,#REF!)+SUMIF(#REF!,'8.Dgia'!A2334,#REF!)</f>
        <v>#REF!</v>
      </c>
      <c r="O2334" s="844"/>
      <c r="P2334" s="843" t="e">
        <f t="shared" si="104"/>
        <v>#REF!</v>
      </c>
    </row>
    <row r="2335" spans="1:18" s="658" customFormat="1" ht="15" customHeight="1">
      <c r="A2335" s="657">
        <f>IF(B2335="",MAX($A$8:A2334)+0,MAX($A$8:A2334)+1)</f>
        <v>262</v>
      </c>
      <c r="B2335" s="835" t="str">
        <f>IF(C2335="","",COUNTA($C$10:C2336))</f>
        <v/>
      </c>
      <c r="C2335" s="362"/>
      <c r="D2335" s="845"/>
      <c r="E2335" s="852" t="s">
        <v>2032</v>
      </c>
      <c r="F2335" s="848" t="str">
        <f>VLOOKUP(E2335,DICH!B:C,2,FALSE)</f>
        <v xml:space="preserve">  A - Material</v>
      </c>
      <c r="G2335" s="846"/>
      <c r="H2335" s="847"/>
      <c r="I2335" s="848"/>
      <c r="J2335" s="849">
        <f>+J2336</f>
        <v>90000</v>
      </c>
      <c r="K2335" s="850"/>
      <c r="L2335" s="850"/>
      <c r="M2335" s="850"/>
      <c r="N2335" s="843" t="e">
        <f>SUMIF(#REF!,'8.Dgia'!A2335,#REF!)+SUMIF(#REF!,'8.Dgia'!A2335,#REF!)+SUMIF(#REF!,'8.Dgia'!A2335,#REF!)+SUMIF(#REF!,'8.Dgia'!A2335,#REF!)</f>
        <v>#REF!</v>
      </c>
      <c r="O2335" s="844"/>
      <c r="P2335" s="843" t="e">
        <f t="shared" si="104"/>
        <v>#REF!</v>
      </c>
    </row>
    <row r="2336" spans="1:18" ht="15" customHeight="1">
      <c r="A2336" s="657">
        <f>IF(B2336="",MAX($A$8:A2335)+0,MAX($A$8:A2335)+1)</f>
        <v>262</v>
      </c>
      <c r="B2336" s="835" t="str">
        <f>IF(C2336="","",COUNTA($C$10:C2337))</f>
        <v/>
      </c>
      <c r="C2336" s="851"/>
      <c r="D2336" s="851"/>
      <c r="E2336" s="852" t="s">
        <v>315</v>
      </c>
      <c r="F2336" s="848" t="str">
        <f>VLOOKUP(E2336,DICH!B:C,2,FALSE)</f>
        <v>Water-proof membrane layer</v>
      </c>
      <c r="G2336" s="362" t="s">
        <v>548</v>
      </c>
      <c r="H2336" s="847">
        <v>1</v>
      </c>
      <c r="I2336" s="848">
        <f>VLOOKUP(E2336,'11.gia '!$B:$I,8,FALSE)</f>
        <v>90000</v>
      </c>
      <c r="J2336" s="853">
        <f>I2336*H2336</f>
        <v>90000</v>
      </c>
      <c r="N2336" s="843" t="e">
        <f>SUMIF(#REF!,'8.Dgia'!A2336,#REF!)+SUMIF(#REF!,'8.Dgia'!A2336,#REF!)+SUMIF(#REF!,'8.Dgia'!A2336,#REF!)+SUMIF(#REF!,'8.Dgia'!A2336,#REF!)</f>
        <v>#REF!</v>
      </c>
      <c r="O2336" s="844"/>
      <c r="P2336" s="843" t="e">
        <f t="shared" si="104"/>
        <v>#REF!</v>
      </c>
    </row>
    <row r="2337" spans="1:16" ht="15" customHeight="1">
      <c r="A2337" s="657">
        <f>IF(B2337="",MAX($A$8:A2336)+0,MAX($A$8:A2336)+1)</f>
        <v>263</v>
      </c>
      <c r="B2337" s="835">
        <f>IF(C2337="","",COUNTA($C$10:C2338))</f>
        <v>263</v>
      </c>
      <c r="C2337" s="362">
        <v>0</v>
      </c>
      <c r="D2337" s="851" t="s">
        <v>71</v>
      </c>
      <c r="E2337" s="855" t="s">
        <v>635</v>
      </c>
      <c r="F2337" s="848" t="str">
        <f>VLOOKUP(E2337,DICH!B:C,2,FALSE)</f>
        <v>Scew nut D36 (permanent)</v>
      </c>
      <c r="G2337" s="856" t="s">
        <v>4651</v>
      </c>
      <c r="H2337" s="847"/>
      <c r="I2337" s="848"/>
      <c r="J2337" s="853"/>
      <c r="K2337" s="842">
        <f>+J2338</f>
        <v>581000</v>
      </c>
      <c r="N2337" s="843" t="e">
        <f>SUMIF(#REF!,'8.Dgia'!A2337,#REF!)+SUMIF(#REF!,'8.Dgia'!A2337,#REF!)+SUMIF(#REF!,'8.Dgia'!A2337,#REF!)+SUMIF(#REF!,'8.Dgia'!A2337,#REF!)</f>
        <v>#REF!</v>
      </c>
      <c r="O2337" s="844"/>
      <c r="P2337" s="843" t="e">
        <f t="shared" si="104"/>
        <v>#REF!</v>
      </c>
    </row>
    <row r="2338" spans="1:16" s="658" customFormat="1" ht="15" customHeight="1">
      <c r="A2338" s="657">
        <f>IF(B2338="",MAX($A$8:A2337)+0,MAX($A$8:A2337)+1)</f>
        <v>263</v>
      </c>
      <c r="B2338" s="835" t="str">
        <f>IF(C2338="","",COUNTA($C$10:C2339))</f>
        <v/>
      </c>
      <c r="C2338" s="362"/>
      <c r="D2338" s="845"/>
      <c r="E2338" s="852" t="s">
        <v>2032</v>
      </c>
      <c r="F2338" s="848" t="str">
        <f>VLOOKUP(E2338,DICH!B:C,2,FALSE)</f>
        <v xml:space="preserve">  A - Material</v>
      </c>
      <c r="G2338" s="846"/>
      <c r="H2338" s="847"/>
      <c r="I2338" s="848"/>
      <c r="J2338" s="849">
        <f>+J2339</f>
        <v>581000</v>
      </c>
      <c r="K2338" s="850"/>
      <c r="L2338" s="850"/>
      <c r="M2338" s="850"/>
      <c r="N2338" s="843" t="e">
        <f>SUMIF(#REF!,'8.Dgia'!A2338,#REF!)+SUMIF(#REF!,'8.Dgia'!A2338,#REF!)+SUMIF(#REF!,'8.Dgia'!A2338,#REF!)+SUMIF(#REF!,'8.Dgia'!A2338,#REF!)</f>
        <v>#REF!</v>
      </c>
      <c r="O2338" s="844"/>
      <c r="P2338" s="843" t="e">
        <f t="shared" si="104"/>
        <v>#REF!</v>
      </c>
    </row>
    <row r="2339" spans="1:16" ht="15" customHeight="1">
      <c r="A2339" s="657">
        <f>IF(B2339="",MAX($A$8:A2338)+0,MAX($A$8:A2338)+1)</f>
        <v>263</v>
      </c>
      <c r="B2339" s="835" t="str">
        <f>IF(C2339="","",COUNTA($C$10:C2340))</f>
        <v/>
      </c>
      <c r="C2339" s="851"/>
      <c r="D2339" s="851"/>
      <c r="E2339" s="852" t="s">
        <v>334</v>
      </c>
      <c r="F2339" s="848" t="str">
        <f>VLOOKUP(E2339,DICH!B:C,2,FALSE)</f>
        <v>Scew nut D36</v>
      </c>
      <c r="G2339" s="362" t="s">
        <v>4651</v>
      </c>
      <c r="H2339" s="847">
        <v>1</v>
      </c>
      <c r="I2339" s="848">
        <f>VLOOKUP(E2339,'11.gia '!$B:$I,8,FALSE)</f>
        <v>581000</v>
      </c>
      <c r="J2339" s="853">
        <f>I2339*H2339</f>
        <v>581000</v>
      </c>
      <c r="N2339" s="843" t="e">
        <f>SUMIF(#REF!,'8.Dgia'!A2339,#REF!)+SUMIF(#REF!,'8.Dgia'!A2339,#REF!)+SUMIF(#REF!,'8.Dgia'!A2339,#REF!)+SUMIF(#REF!,'8.Dgia'!A2339,#REF!)</f>
        <v>#REF!</v>
      </c>
      <c r="O2339" s="844"/>
      <c r="P2339" s="843" t="e">
        <f t="shared" si="104"/>
        <v>#REF!</v>
      </c>
    </row>
    <row r="2340" spans="1:16" ht="15" customHeight="1">
      <c r="A2340" s="657">
        <f>IF(B2340="",MAX($A$8:A2339)+0,MAX($A$8:A2339)+1)</f>
        <v>264</v>
      </c>
      <c r="B2340" s="835">
        <f>IF(C2340="","",COUNTA($C$10:C2341))</f>
        <v>264</v>
      </c>
      <c r="C2340" s="362">
        <v>0</v>
      </c>
      <c r="D2340" s="851" t="s">
        <v>71</v>
      </c>
      <c r="E2340" s="855" t="s">
        <v>2197</v>
      </c>
      <c r="F2340" s="848" t="str">
        <f>VLOOKUP(E2340,DICH!B:C,2,FALSE)</f>
        <v>Scew nut D36 taken back (amor=2%*9 months)</v>
      </c>
      <c r="G2340" s="856" t="s">
        <v>4651</v>
      </c>
      <c r="H2340" s="847"/>
      <c r="I2340" s="848"/>
      <c r="J2340" s="853"/>
      <c r="K2340" s="842">
        <f>+J2341</f>
        <v>104580</v>
      </c>
      <c r="N2340" s="843" t="e">
        <f>SUMIF(#REF!,'8.Dgia'!A2340,#REF!)+SUMIF(#REF!,'8.Dgia'!A2340,#REF!)+SUMIF(#REF!,'8.Dgia'!A2340,#REF!)+SUMIF(#REF!,'8.Dgia'!A2340,#REF!)</f>
        <v>#REF!</v>
      </c>
      <c r="O2340" s="844"/>
      <c r="P2340" s="843" t="e">
        <f t="shared" si="104"/>
        <v>#REF!</v>
      </c>
    </row>
    <row r="2341" spans="1:16" s="658" customFormat="1" ht="15" customHeight="1">
      <c r="A2341" s="657">
        <f>IF(B2341="",MAX($A$8:A2340)+0,MAX($A$8:A2340)+1)</f>
        <v>264</v>
      </c>
      <c r="B2341" s="835" t="str">
        <f>IF(C2341="","",COUNTA($C$10:C2342))</f>
        <v/>
      </c>
      <c r="C2341" s="362"/>
      <c r="D2341" s="845"/>
      <c r="E2341" s="852" t="s">
        <v>2032</v>
      </c>
      <c r="F2341" s="848" t="str">
        <f>VLOOKUP(E2341,DICH!B:C,2,FALSE)</f>
        <v xml:space="preserve">  A - Material</v>
      </c>
      <c r="G2341" s="846"/>
      <c r="H2341" s="847"/>
      <c r="I2341" s="848"/>
      <c r="J2341" s="849">
        <f>+J2342</f>
        <v>104580</v>
      </c>
      <c r="K2341" s="850"/>
      <c r="L2341" s="850"/>
      <c r="M2341" s="850"/>
      <c r="N2341" s="843" t="e">
        <f>SUMIF(#REF!,'8.Dgia'!A2341,#REF!)+SUMIF(#REF!,'8.Dgia'!A2341,#REF!)+SUMIF(#REF!,'8.Dgia'!A2341,#REF!)+SUMIF(#REF!,'8.Dgia'!A2341,#REF!)</f>
        <v>#REF!</v>
      </c>
      <c r="O2341" s="844"/>
      <c r="P2341" s="843" t="e">
        <f t="shared" si="104"/>
        <v>#REF!</v>
      </c>
    </row>
    <row r="2342" spans="1:16" ht="15" customHeight="1">
      <c r="A2342" s="657">
        <f>IF(B2342="",MAX($A$8:A2341)+0,MAX($A$8:A2341)+1)</f>
        <v>264</v>
      </c>
      <c r="B2342" s="835" t="str">
        <f>IF(C2342="","",COUNTA($C$10:C2343))</f>
        <v/>
      </c>
      <c r="C2342" s="851"/>
      <c r="D2342" s="851"/>
      <c r="E2342" s="852" t="s">
        <v>334</v>
      </c>
      <c r="F2342" s="848" t="str">
        <f>VLOOKUP(E2342,DICH!B:C,2,FALSE)</f>
        <v>Scew nut D36</v>
      </c>
      <c r="G2342" s="362" t="s">
        <v>4651</v>
      </c>
      <c r="H2342" s="847">
        <f>1*(2%*9)</f>
        <v>0.18</v>
      </c>
      <c r="I2342" s="848">
        <f>VLOOKUP(E2342,'11.gia '!$B:$I,8,FALSE)</f>
        <v>581000</v>
      </c>
      <c r="J2342" s="853">
        <f>I2342*H2342</f>
        <v>104580</v>
      </c>
      <c r="N2342" s="843" t="e">
        <f>SUMIF(#REF!,'8.Dgia'!A2342,#REF!)+SUMIF(#REF!,'8.Dgia'!A2342,#REF!)+SUMIF(#REF!,'8.Dgia'!A2342,#REF!)+SUMIF(#REF!,'8.Dgia'!A2342,#REF!)</f>
        <v>#REF!</v>
      </c>
      <c r="O2342" s="844"/>
      <c r="P2342" s="843" t="e">
        <f t="shared" si="104"/>
        <v>#REF!</v>
      </c>
    </row>
    <row r="2343" spans="1:16" ht="15" customHeight="1">
      <c r="A2343" s="657">
        <f>IF(B2343="",MAX($A$8:A2342)+0,MAX($A$8:A2342)+1)</f>
        <v>265</v>
      </c>
      <c r="B2343" s="835">
        <f>IF(C2343="","",COUNTA($C$10:C2344))</f>
        <v>265</v>
      </c>
      <c r="C2343" s="362">
        <v>0</v>
      </c>
      <c r="D2343" s="851" t="s">
        <v>71</v>
      </c>
      <c r="E2343" s="855" t="s">
        <v>3496</v>
      </c>
      <c r="F2343" s="848" t="str">
        <f>VLOOKUP(E2343,DICH!B:C,2,FALSE)</f>
        <v>Scew nut D36 taken back (amor=2%*1 month+7%)</v>
      </c>
      <c r="G2343" s="856" t="s">
        <v>4651</v>
      </c>
      <c r="H2343" s="847"/>
      <c r="I2343" s="848"/>
      <c r="J2343" s="853"/>
      <c r="K2343" s="842">
        <f>+J2344</f>
        <v>52290.000000000007</v>
      </c>
      <c r="N2343" s="843" t="e">
        <f>SUMIF(#REF!,'8.Dgia'!A2343,#REF!)+SUMIF(#REF!,'8.Dgia'!A2343,#REF!)+SUMIF(#REF!,'8.Dgia'!A2343,#REF!)+SUMIF(#REF!,'8.Dgia'!A2343,#REF!)</f>
        <v>#REF!</v>
      </c>
      <c r="O2343" s="844"/>
      <c r="P2343" s="843" t="e">
        <f>$H2343*N2343*(1+O2343%)</f>
        <v>#REF!</v>
      </c>
    </row>
    <row r="2344" spans="1:16" s="658" customFormat="1" ht="15" customHeight="1">
      <c r="A2344" s="657">
        <f>IF(B2344="",MAX($A$8:A2343)+0,MAX($A$8:A2343)+1)</f>
        <v>265</v>
      </c>
      <c r="B2344" s="835" t="str">
        <f>IF(C2344="","",COUNTA($C$10:C2345))</f>
        <v/>
      </c>
      <c r="C2344" s="362"/>
      <c r="D2344" s="845"/>
      <c r="E2344" s="852" t="s">
        <v>2032</v>
      </c>
      <c r="F2344" s="848" t="str">
        <f>VLOOKUP(E2344,DICH!B:C,2,FALSE)</f>
        <v xml:space="preserve">  A - Material</v>
      </c>
      <c r="G2344" s="846"/>
      <c r="H2344" s="847"/>
      <c r="I2344" s="848"/>
      <c r="J2344" s="849">
        <f>+J2345</f>
        <v>52290.000000000007</v>
      </c>
      <c r="K2344" s="850"/>
      <c r="L2344" s="850"/>
      <c r="M2344" s="850"/>
      <c r="N2344" s="843" t="e">
        <f>SUMIF(#REF!,'8.Dgia'!A2344,#REF!)+SUMIF(#REF!,'8.Dgia'!A2344,#REF!)+SUMIF(#REF!,'8.Dgia'!A2344,#REF!)+SUMIF(#REF!,'8.Dgia'!A2344,#REF!)</f>
        <v>#REF!</v>
      </c>
      <c r="O2344" s="844"/>
      <c r="P2344" s="843" t="e">
        <f>$H2344*N2344*(1+O2344%)</f>
        <v>#REF!</v>
      </c>
    </row>
    <row r="2345" spans="1:16" ht="15" customHeight="1">
      <c r="A2345" s="657">
        <f>IF(B2345="",MAX($A$8:A2344)+0,MAX($A$8:A2344)+1)</f>
        <v>265</v>
      </c>
      <c r="B2345" s="835" t="str">
        <f>IF(C2345="","",COUNTA($C$10:C2346))</f>
        <v/>
      </c>
      <c r="C2345" s="851"/>
      <c r="D2345" s="851"/>
      <c r="E2345" s="852" t="s">
        <v>334</v>
      </c>
      <c r="F2345" s="848" t="str">
        <f>VLOOKUP(E2345,DICH!B:C,2,FALSE)</f>
        <v>Scew nut D36</v>
      </c>
      <c r="G2345" s="362" t="s">
        <v>4651</v>
      </c>
      <c r="H2345" s="847">
        <f>1*(2%*1+7%)</f>
        <v>9.0000000000000011E-2</v>
      </c>
      <c r="I2345" s="848">
        <f>VLOOKUP(E2345,'11.gia '!$B:$I,8,FALSE)</f>
        <v>581000</v>
      </c>
      <c r="J2345" s="853">
        <f>I2345*H2345</f>
        <v>52290.000000000007</v>
      </c>
      <c r="N2345" s="843" t="e">
        <f>SUMIF(#REF!,'8.Dgia'!A2345,#REF!)+SUMIF(#REF!,'8.Dgia'!A2345,#REF!)+SUMIF(#REF!,'8.Dgia'!A2345,#REF!)+SUMIF(#REF!,'8.Dgia'!A2345,#REF!)</f>
        <v>#REF!</v>
      </c>
      <c r="O2345" s="844"/>
      <c r="P2345" s="843" t="e">
        <f>$H2345*N2345*(1+O2345%)</f>
        <v>#REF!</v>
      </c>
    </row>
    <row r="2346" spans="1:16" ht="15" customHeight="1">
      <c r="A2346" s="657">
        <f>IF(B2346="",MAX($A$8:A2345)+0,MAX($A$8:A2345)+1)</f>
        <v>266</v>
      </c>
      <c r="B2346" s="835">
        <f>IF(C2346="","",COUNTA($C$10:C2347))</f>
        <v>266</v>
      </c>
      <c r="C2346" s="362">
        <v>0</v>
      </c>
      <c r="D2346" s="851" t="s">
        <v>71</v>
      </c>
      <c r="E2346" s="855" t="s">
        <v>335</v>
      </c>
      <c r="F2346" s="848" t="str">
        <f>VLOOKUP(E2346,DICH!B:C,2,FALSE)</f>
        <v>Check nut D36</v>
      </c>
      <c r="G2346" s="856" t="s">
        <v>4651</v>
      </c>
      <c r="H2346" s="847"/>
      <c r="I2346" s="848"/>
      <c r="J2346" s="853"/>
      <c r="K2346" s="842">
        <f>+J2347</f>
        <v>581000</v>
      </c>
      <c r="N2346" s="843" t="e">
        <f>SUMIF(#REF!,'8.Dgia'!A2346,#REF!)+SUMIF(#REF!,'8.Dgia'!A2346,#REF!)+SUMIF(#REF!,'8.Dgia'!A2346,#REF!)+SUMIF(#REF!,'8.Dgia'!A2346,#REF!)</f>
        <v>#REF!</v>
      </c>
      <c r="O2346" s="844"/>
      <c r="P2346" s="843" t="e">
        <f t="shared" si="104"/>
        <v>#REF!</v>
      </c>
    </row>
    <row r="2347" spans="1:16" s="658" customFormat="1" ht="15" customHeight="1">
      <c r="A2347" s="657">
        <f>IF(B2347="",MAX($A$8:A2346)+0,MAX($A$8:A2346)+1)</f>
        <v>266</v>
      </c>
      <c r="B2347" s="835" t="str">
        <f>IF(C2347="","",COUNTA($C$10:C2348))</f>
        <v/>
      </c>
      <c r="C2347" s="362"/>
      <c r="D2347" s="845"/>
      <c r="E2347" s="852" t="s">
        <v>2032</v>
      </c>
      <c r="F2347" s="848" t="str">
        <f>VLOOKUP(E2347,DICH!B:C,2,FALSE)</f>
        <v xml:space="preserve">  A - Material</v>
      </c>
      <c r="G2347" s="846"/>
      <c r="H2347" s="847"/>
      <c r="I2347" s="848"/>
      <c r="J2347" s="849">
        <f>+J2348</f>
        <v>581000</v>
      </c>
      <c r="K2347" s="850"/>
      <c r="L2347" s="850"/>
      <c r="M2347" s="850"/>
      <c r="N2347" s="843" t="e">
        <f>SUMIF(#REF!,'8.Dgia'!A2347,#REF!)+SUMIF(#REF!,'8.Dgia'!A2347,#REF!)+SUMIF(#REF!,'8.Dgia'!A2347,#REF!)+SUMIF(#REF!,'8.Dgia'!A2347,#REF!)</f>
        <v>#REF!</v>
      </c>
      <c r="O2347" s="844"/>
      <c r="P2347" s="843" t="e">
        <f t="shared" si="104"/>
        <v>#REF!</v>
      </c>
    </row>
    <row r="2348" spans="1:16" ht="15" customHeight="1">
      <c r="A2348" s="657">
        <f>IF(B2348="",MAX($A$8:A2347)+0,MAX($A$8:A2347)+1)</f>
        <v>266</v>
      </c>
      <c r="B2348" s="835" t="str">
        <f>IF(C2348="","",COUNTA($C$10:C2349))</f>
        <v/>
      </c>
      <c r="C2348" s="851"/>
      <c r="D2348" s="851"/>
      <c r="E2348" s="852" t="s">
        <v>335</v>
      </c>
      <c r="F2348" s="848" t="str">
        <f>VLOOKUP(E2348,DICH!B:C,2,FALSE)</f>
        <v>Check nut D36</v>
      </c>
      <c r="G2348" s="362" t="s">
        <v>4651</v>
      </c>
      <c r="H2348" s="847">
        <v>1</v>
      </c>
      <c r="I2348" s="848">
        <f>VLOOKUP(E2348,'11.gia '!$B:$I,8,FALSE)</f>
        <v>581000</v>
      </c>
      <c r="J2348" s="853">
        <f>I2348*H2348</f>
        <v>581000</v>
      </c>
      <c r="N2348" s="843" t="e">
        <f>SUMIF(#REF!,'8.Dgia'!A2348,#REF!)+SUMIF(#REF!,'8.Dgia'!A2348,#REF!)+SUMIF(#REF!,'8.Dgia'!A2348,#REF!)+SUMIF(#REF!,'8.Dgia'!A2348,#REF!)</f>
        <v>#REF!</v>
      </c>
      <c r="O2348" s="844"/>
      <c r="P2348" s="843" t="e">
        <f t="shared" si="104"/>
        <v>#REF!</v>
      </c>
    </row>
    <row r="2349" spans="1:16" ht="15" customHeight="1">
      <c r="A2349" s="657">
        <f>IF(B2349="",MAX($A$8:A2348)+0,MAX($A$8:A2348)+1)</f>
        <v>267</v>
      </c>
      <c r="B2349" s="835">
        <f>IF(C2349="","",COUNTA($C$10:C2350))</f>
        <v>267</v>
      </c>
      <c r="C2349" s="362">
        <v>0</v>
      </c>
      <c r="D2349" s="851" t="s">
        <v>306</v>
      </c>
      <c r="E2349" s="855" t="s">
        <v>432</v>
      </c>
      <c r="F2349" s="848" t="str">
        <f>VLOOKUP(E2349,DICH!B:C,2,FALSE)</f>
        <v>Plastic plate, thickness 2mm</v>
      </c>
      <c r="G2349" s="856" t="s">
        <v>548</v>
      </c>
      <c r="H2349" s="847"/>
      <c r="I2349" s="848"/>
      <c r="J2349" s="853"/>
      <c r="K2349" s="842">
        <f>+J2350</f>
        <v>180000</v>
      </c>
      <c r="N2349" s="843" t="e">
        <f>SUMIF(#REF!,'8.Dgia'!A2349,#REF!)+SUMIF(#REF!,'8.Dgia'!A2349,#REF!)+SUMIF(#REF!,'8.Dgia'!A2349,#REF!)+SUMIF(#REF!,'8.Dgia'!A2349,#REF!)</f>
        <v>#REF!</v>
      </c>
      <c r="O2349" s="844"/>
      <c r="P2349" s="843" t="e">
        <f t="shared" si="104"/>
        <v>#REF!</v>
      </c>
    </row>
    <row r="2350" spans="1:16" s="658" customFormat="1" ht="15" customHeight="1">
      <c r="A2350" s="657">
        <f>IF(B2350="",MAX($A$8:A2349)+0,MAX($A$8:A2349)+1)</f>
        <v>267</v>
      </c>
      <c r="B2350" s="835" t="str">
        <f>IF(C2350="","",COUNTA($C$10:C2351))</f>
        <v/>
      </c>
      <c r="C2350" s="362"/>
      <c r="D2350" s="845"/>
      <c r="E2350" s="852" t="s">
        <v>2032</v>
      </c>
      <c r="F2350" s="848" t="str">
        <f>VLOOKUP(E2350,DICH!B:C,2,FALSE)</f>
        <v xml:space="preserve">  A - Material</v>
      </c>
      <c r="G2350" s="846"/>
      <c r="H2350" s="847"/>
      <c r="I2350" s="848"/>
      <c r="J2350" s="849">
        <f>+J2351</f>
        <v>180000</v>
      </c>
      <c r="K2350" s="850"/>
      <c r="L2350" s="850"/>
      <c r="M2350" s="850"/>
      <c r="N2350" s="843" t="e">
        <f>SUMIF(#REF!,'8.Dgia'!A2350,#REF!)+SUMIF(#REF!,'8.Dgia'!A2350,#REF!)+SUMIF(#REF!,'8.Dgia'!A2350,#REF!)+SUMIF(#REF!,'8.Dgia'!A2350,#REF!)</f>
        <v>#REF!</v>
      </c>
      <c r="O2350" s="844"/>
      <c r="P2350" s="843" t="e">
        <f t="shared" si="104"/>
        <v>#REF!</v>
      </c>
    </row>
    <row r="2351" spans="1:16" ht="15" customHeight="1">
      <c r="A2351" s="657">
        <f>IF(B2351="",MAX($A$8:A2350)+0,MAX($A$8:A2350)+1)</f>
        <v>267</v>
      </c>
      <c r="B2351" s="835" t="str">
        <f>IF(C2351="","",COUNTA($C$10:C2352))</f>
        <v/>
      </c>
      <c r="C2351" s="851"/>
      <c r="D2351" s="851"/>
      <c r="E2351" s="852" t="s">
        <v>432</v>
      </c>
      <c r="F2351" s="848" t="str">
        <f>VLOOKUP(E2351,DICH!B:C,2,FALSE)</f>
        <v>Plastic plate, thickness 2mm</v>
      </c>
      <c r="G2351" s="362" t="s">
        <v>548</v>
      </c>
      <c r="H2351" s="847">
        <v>1</v>
      </c>
      <c r="I2351" s="848">
        <f>VLOOKUP(E2351,'11.gia '!$B:$I,8,FALSE)</f>
        <v>180000</v>
      </c>
      <c r="J2351" s="853">
        <f>I2351*H2351</f>
        <v>180000</v>
      </c>
      <c r="N2351" s="843" t="e">
        <f>SUMIF(#REF!,'8.Dgia'!A2351,#REF!)+SUMIF(#REF!,'8.Dgia'!A2351,#REF!)+SUMIF(#REF!,'8.Dgia'!A2351,#REF!)+SUMIF(#REF!,'8.Dgia'!A2351,#REF!)</f>
        <v>#REF!</v>
      </c>
      <c r="O2351" s="844"/>
      <c r="P2351" s="843" t="e">
        <f t="shared" si="104"/>
        <v>#REF!</v>
      </c>
    </row>
    <row r="2352" spans="1:16" ht="15" customHeight="1">
      <c r="A2352" s="657">
        <f>IF(B2352="",MAX($A$8:A2351)+0,MAX($A$8:A2351)+1)</f>
        <v>268</v>
      </c>
      <c r="B2352" s="835">
        <f>IF(C2352="","",COUNTA($C$10:C2353))</f>
        <v>268</v>
      </c>
      <c r="C2352" s="362">
        <v>0</v>
      </c>
      <c r="D2352" s="851" t="s">
        <v>306</v>
      </c>
      <c r="E2352" s="855" t="s">
        <v>308</v>
      </c>
      <c r="F2352" s="848" t="str">
        <f>VLOOKUP(E2352,DICH!B:C,2,FALSE)</f>
        <v>Cover</v>
      </c>
      <c r="G2352" s="856" t="s">
        <v>4651</v>
      </c>
      <c r="H2352" s="882"/>
      <c r="I2352" s="848"/>
      <c r="J2352" s="853"/>
      <c r="K2352" s="842">
        <f>+J2353</f>
        <v>0</v>
      </c>
      <c r="N2352" s="843" t="e">
        <f>SUMIF(#REF!,'8.Dgia'!A2352,#REF!)+SUMIF(#REF!,'8.Dgia'!A2352,#REF!)+SUMIF(#REF!,'8.Dgia'!A2352,#REF!)+SUMIF(#REF!,'8.Dgia'!A2352,#REF!)</f>
        <v>#REF!</v>
      </c>
      <c r="O2352" s="844"/>
      <c r="P2352" s="843" t="e">
        <f t="shared" si="104"/>
        <v>#REF!</v>
      </c>
    </row>
    <row r="2353" spans="1:16" s="658" customFormat="1" ht="15" customHeight="1">
      <c r="A2353" s="657">
        <f>IF(B2353="",MAX($A$8:A2352)+0,MAX($A$8:A2352)+1)</f>
        <v>268</v>
      </c>
      <c r="B2353" s="835" t="str">
        <f>IF(C2353="","",COUNTA($C$10:C2354))</f>
        <v/>
      </c>
      <c r="C2353" s="362"/>
      <c r="D2353" s="845"/>
      <c r="E2353" s="852" t="s">
        <v>2032</v>
      </c>
      <c r="F2353" s="848" t="str">
        <f>VLOOKUP(E2353,DICH!B:C,2,FALSE)</f>
        <v xml:space="preserve">  A - Material</v>
      </c>
      <c r="G2353" s="846"/>
      <c r="H2353" s="847"/>
      <c r="I2353" s="848"/>
      <c r="J2353" s="849">
        <f>+J2354</f>
        <v>0</v>
      </c>
      <c r="K2353" s="850"/>
      <c r="L2353" s="850"/>
      <c r="M2353" s="850"/>
      <c r="N2353" s="843" t="e">
        <f>SUMIF(#REF!,'8.Dgia'!A2353,#REF!)+SUMIF(#REF!,'8.Dgia'!A2353,#REF!)+SUMIF(#REF!,'8.Dgia'!A2353,#REF!)+SUMIF(#REF!,'8.Dgia'!A2353,#REF!)</f>
        <v>#REF!</v>
      </c>
      <c r="O2353" s="844"/>
      <c r="P2353" s="843" t="e">
        <f t="shared" si="104"/>
        <v>#REF!</v>
      </c>
    </row>
    <row r="2354" spans="1:16" ht="15" customHeight="1">
      <c r="A2354" s="657">
        <f>IF(B2354="",MAX($A$8:A2353)+0,MAX($A$8:A2353)+1)</f>
        <v>268</v>
      </c>
      <c r="B2354" s="835" t="str">
        <f>IF(C2354="","",COUNTA($C$10:C2355))</f>
        <v/>
      </c>
      <c r="C2354" s="851"/>
      <c r="D2354" s="851"/>
      <c r="E2354" s="852" t="s">
        <v>308</v>
      </c>
      <c r="F2354" s="848" t="str">
        <f>VLOOKUP(E2354,DICH!B:C,2,FALSE)</f>
        <v>Cover</v>
      </c>
      <c r="G2354" s="362" t="s">
        <v>4651</v>
      </c>
      <c r="H2354" s="847">
        <v>1</v>
      </c>
      <c r="I2354" s="848">
        <f>VLOOKUP(E2354,'11.gia '!$B:$I,8,FALSE)</f>
        <v>0</v>
      </c>
      <c r="J2354" s="853">
        <f>I2354*H2354</f>
        <v>0</v>
      </c>
      <c r="N2354" s="843" t="e">
        <f>SUMIF(#REF!,'8.Dgia'!A2354,#REF!)+SUMIF(#REF!,'8.Dgia'!A2354,#REF!)+SUMIF(#REF!,'8.Dgia'!A2354,#REF!)+SUMIF(#REF!,'8.Dgia'!A2354,#REF!)</f>
        <v>#REF!</v>
      </c>
      <c r="O2354" s="844"/>
      <c r="P2354" s="843" t="e">
        <f t="shared" si="104"/>
        <v>#REF!</v>
      </c>
    </row>
    <row r="2355" spans="1:16" ht="15" customHeight="1">
      <c r="A2355" s="657">
        <f>IF(B2355="",MAX($A$8:A2354)+0,MAX($A$8:A2354)+1)</f>
        <v>269</v>
      </c>
      <c r="B2355" s="835">
        <f>IF(C2355="","",COUNTA($C$10:C2356))</f>
        <v>269</v>
      </c>
      <c r="C2355" s="362">
        <v>0</v>
      </c>
      <c r="D2355" s="851" t="s">
        <v>306</v>
      </c>
      <c r="E2355" s="855" t="s">
        <v>715</v>
      </c>
      <c r="F2355" s="848" t="str">
        <f>VLOOKUP(E2355,DICH!B:C,2,FALSE)</f>
        <v>High strengthen scew nut M32</v>
      </c>
      <c r="G2355" s="856" t="s">
        <v>4651</v>
      </c>
      <c r="H2355" s="882"/>
      <c r="I2355" s="848"/>
      <c r="J2355" s="853"/>
      <c r="K2355" s="842">
        <f>+J2356</f>
        <v>0</v>
      </c>
      <c r="N2355" s="843" t="e">
        <f>SUMIF(#REF!,'8.Dgia'!A2355,#REF!)+SUMIF(#REF!,'8.Dgia'!A2355,#REF!)+SUMIF(#REF!,'8.Dgia'!A2355,#REF!)+SUMIF(#REF!,'8.Dgia'!A2355,#REF!)</f>
        <v>#REF!</v>
      </c>
      <c r="O2355" s="844"/>
      <c r="P2355" s="843" t="e">
        <f t="shared" si="104"/>
        <v>#REF!</v>
      </c>
    </row>
    <row r="2356" spans="1:16" s="658" customFormat="1" ht="15" customHeight="1">
      <c r="A2356" s="657">
        <f>IF(B2356="",MAX($A$8:A2355)+0,MAX($A$8:A2355)+1)</f>
        <v>269</v>
      </c>
      <c r="B2356" s="835" t="str">
        <f>IF(C2356="","",COUNTA($C$10:C2357))</f>
        <v/>
      </c>
      <c r="C2356" s="362"/>
      <c r="D2356" s="845"/>
      <c r="E2356" s="852" t="s">
        <v>2032</v>
      </c>
      <c r="F2356" s="848" t="str">
        <f>VLOOKUP(E2356,DICH!B:C,2,FALSE)</f>
        <v xml:space="preserve">  A - Material</v>
      </c>
      <c r="G2356" s="846"/>
      <c r="H2356" s="847"/>
      <c r="I2356" s="848"/>
      <c r="J2356" s="849">
        <f>+J2357</f>
        <v>0</v>
      </c>
      <c r="K2356" s="850"/>
      <c r="L2356" s="850"/>
      <c r="M2356" s="850"/>
      <c r="N2356" s="843" t="e">
        <f>SUMIF(#REF!,'8.Dgia'!A2356,#REF!)+SUMIF(#REF!,'8.Dgia'!A2356,#REF!)+SUMIF(#REF!,'8.Dgia'!A2356,#REF!)+SUMIF(#REF!,'8.Dgia'!A2356,#REF!)</f>
        <v>#REF!</v>
      </c>
      <c r="O2356" s="844"/>
      <c r="P2356" s="843" t="e">
        <f t="shared" si="104"/>
        <v>#REF!</v>
      </c>
    </row>
    <row r="2357" spans="1:16" ht="15" customHeight="1">
      <c r="A2357" s="657">
        <f>IF(B2357="",MAX($A$8:A2356)+0,MAX($A$8:A2356)+1)</f>
        <v>269</v>
      </c>
      <c r="B2357" s="835" t="str">
        <f>IF(C2357="","",COUNTA($C$10:C2358))</f>
        <v/>
      </c>
      <c r="C2357" s="851"/>
      <c r="D2357" s="851"/>
      <c r="E2357" s="852" t="s">
        <v>715</v>
      </c>
      <c r="F2357" s="848" t="str">
        <f>VLOOKUP(E2357,DICH!B:C,2,FALSE)</f>
        <v>High strengthen scew nut M32</v>
      </c>
      <c r="G2357" s="362" t="s">
        <v>4651</v>
      </c>
      <c r="H2357" s="847">
        <v>1</v>
      </c>
      <c r="I2357" s="848">
        <f>VLOOKUP(E2357,'11.gia '!$B:$I,8,FALSE)</f>
        <v>0</v>
      </c>
      <c r="J2357" s="853">
        <f>I2357*H2357</f>
        <v>0</v>
      </c>
      <c r="N2357" s="843" t="e">
        <f>SUMIF(#REF!,'8.Dgia'!A2357,#REF!)+SUMIF(#REF!,'8.Dgia'!A2357,#REF!)+SUMIF(#REF!,'8.Dgia'!A2357,#REF!)+SUMIF(#REF!,'8.Dgia'!A2357,#REF!)</f>
        <v>#REF!</v>
      </c>
      <c r="O2357" s="844"/>
      <c r="P2357" s="843" t="e">
        <f t="shared" si="104"/>
        <v>#REF!</v>
      </c>
    </row>
    <row r="2358" spans="1:16" ht="15" customHeight="1">
      <c r="A2358" s="657">
        <f>IF(B2358="",MAX($A$8:A2357)+0,MAX($A$8:A2357)+1)</f>
        <v>270</v>
      </c>
      <c r="B2358" s="835">
        <f>IF(C2358="","",COUNTA($C$10:C2359))</f>
        <v>270</v>
      </c>
      <c r="C2358" s="362">
        <v>0</v>
      </c>
      <c r="D2358" s="851" t="s">
        <v>306</v>
      </c>
      <c r="E2358" s="855" t="s">
        <v>722</v>
      </c>
      <c r="F2358" s="848" t="str">
        <f>VLOOKUP(E2358,DICH!B:C,2,FALSE)</f>
        <v>rubber plate, thickness 20mm</v>
      </c>
      <c r="G2358" s="856" t="s">
        <v>548</v>
      </c>
      <c r="H2358" s="882"/>
      <c r="I2358" s="848"/>
      <c r="J2358" s="853"/>
      <c r="K2358" s="842">
        <f>+J2359</f>
        <v>1450000</v>
      </c>
      <c r="N2358" s="843" t="e">
        <f>SUMIF(#REF!,'8.Dgia'!A2358,#REF!)+SUMIF(#REF!,'8.Dgia'!A2358,#REF!)+SUMIF(#REF!,'8.Dgia'!A2358,#REF!)+SUMIF(#REF!,'8.Dgia'!A2358,#REF!)</f>
        <v>#REF!</v>
      </c>
      <c r="O2358" s="844"/>
      <c r="P2358" s="843" t="e">
        <f t="shared" si="104"/>
        <v>#REF!</v>
      </c>
    </row>
    <row r="2359" spans="1:16" s="658" customFormat="1" ht="15" customHeight="1">
      <c r="A2359" s="657">
        <f>IF(B2359="",MAX($A$8:A2358)+0,MAX($A$8:A2358)+1)</f>
        <v>270</v>
      </c>
      <c r="B2359" s="835" t="str">
        <f>IF(C2359="","",COUNTA($C$10:C2360))</f>
        <v/>
      </c>
      <c r="C2359" s="362"/>
      <c r="D2359" s="845"/>
      <c r="E2359" s="852" t="s">
        <v>2032</v>
      </c>
      <c r="F2359" s="848" t="str">
        <f>VLOOKUP(E2359,DICH!B:C,2,FALSE)</f>
        <v xml:space="preserve">  A - Material</v>
      </c>
      <c r="G2359" s="846"/>
      <c r="H2359" s="847"/>
      <c r="I2359" s="848"/>
      <c r="J2359" s="849">
        <f>+J2360</f>
        <v>1450000</v>
      </c>
      <c r="K2359" s="850"/>
      <c r="L2359" s="850"/>
      <c r="M2359" s="850"/>
      <c r="N2359" s="843" t="e">
        <f>SUMIF(#REF!,'8.Dgia'!A2359,#REF!)+SUMIF(#REF!,'8.Dgia'!A2359,#REF!)+SUMIF(#REF!,'8.Dgia'!A2359,#REF!)+SUMIF(#REF!,'8.Dgia'!A2359,#REF!)</f>
        <v>#REF!</v>
      </c>
      <c r="O2359" s="844"/>
      <c r="P2359" s="843" t="e">
        <f t="shared" si="104"/>
        <v>#REF!</v>
      </c>
    </row>
    <row r="2360" spans="1:16" ht="15" customHeight="1">
      <c r="A2360" s="657">
        <f>IF(B2360="",MAX($A$8:A2359)+0,MAX($A$8:A2359)+1)</f>
        <v>270</v>
      </c>
      <c r="B2360" s="835" t="str">
        <f>IF(C2360="","",COUNTA($C$10:C2361))</f>
        <v/>
      </c>
      <c r="C2360" s="851"/>
      <c r="D2360" s="851"/>
      <c r="E2360" s="852" t="s">
        <v>722</v>
      </c>
      <c r="F2360" s="848" t="str">
        <f>VLOOKUP(E2360,DICH!B:C,2,FALSE)</f>
        <v>rubber plate, thickness 20mm</v>
      </c>
      <c r="G2360" s="362" t="s">
        <v>548</v>
      </c>
      <c r="H2360" s="847">
        <v>1</v>
      </c>
      <c r="I2360" s="848">
        <f>VLOOKUP(E2360,'11.gia '!$B:$I,8,FALSE)</f>
        <v>1450000</v>
      </c>
      <c r="J2360" s="853">
        <f>I2360*H2360</f>
        <v>1450000</v>
      </c>
      <c r="N2360" s="843" t="e">
        <f>SUMIF(#REF!,'8.Dgia'!A2360,#REF!)+SUMIF(#REF!,'8.Dgia'!A2360,#REF!)+SUMIF(#REF!,'8.Dgia'!A2360,#REF!)+SUMIF(#REF!,'8.Dgia'!A2360,#REF!)</f>
        <v>#REF!</v>
      </c>
      <c r="O2360" s="844"/>
      <c r="P2360" s="843" t="e">
        <f t="shared" si="104"/>
        <v>#REF!</v>
      </c>
    </row>
    <row r="2361" spans="1:16" ht="15" customHeight="1">
      <c r="A2361" s="657">
        <f>IF(B2361="",MAX($A$8:A2360)+0,MAX($A$8:A2360)+1)</f>
        <v>271</v>
      </c>
      <c r="B2361" s="835">
        <f>IF(C2361="","",COUNTA($C$10:C2362))</f>
        <v>271</v>
      </c>
      <c r="C2361" s="362">
        <v>0</v>
      </c>
      <c r="D2361" s="851" t="s">
        <v>306</v>
      </c>
      <c r="E2361" s="855" t="s">
        <v>2069</v>
      </c>
      <c r="F2361" s="848" t="str">
        <f>VLOOKUP(E2361,DICH!B:C,2,FALSE)</f>
        <v>Bbolt D16mmm</v>
      </c>
      <c r="G2361" s="856" t="s">
        <v>4651</v>
      </c>
      <c r="H2361" s="882"/>
      <c r="I2361" s="848"/>
      <c r="J2361" s="853"/>
      <c r="K2361" s="842">
        <f>+J2362</f>
        <v>3500</v>
      </c>
      <c r="N2361" s="843" t="e">
        <f>SUMIF(#REF!,'8.Dgia'!A2361,#REF!)+SUMIF(#REF!,'8.Dgia'!A2361,#REF!)+SUMIF(#REF!,'8.Dgia'!A2361,#REF!)+SUMIF(#REF!,'8.Dgia'!A2361,#REF!)</f>
        <v>#REF!</v>
      </c>
      <c r="O2361" s="844"/>
      <c r="P2361" s="843" t="e">
        <f t="shared" si="104"/>
        <v>#REF!</v>
      </c>
    </row>
    <row r="2362" spans="1:16" s="658" customFormat="1" ht="15" customHeight="1">
      <c r="A2362" s="657">
        <f>IF(B2362="",MAX($A$8:A2361)+0,MAX($A$8:A2361)+1)</f>
        <v>271</v>
      </c>
      <c r="B2362" s="835" t="str">
        <f>IF(C2362="","",COUNTA($C$10:C2363))</f>
        <v/>
      </c>
      <c r="C2362" s="362"/>
      <c r="D2362" s="845"/>
      <c r="E2362" s="852" t="s">
        <v>2032</v>
      </c>
      <c r="F2362" s="848" t="str">
        <f>VLOOKUP(E2362,DICH!B:C,2,FALSE)</f>
        <v xml:space="preserve">  A - Material</v>
      </c>
      <c r="G2362" s="846"/>
      <c r="H2362" s="847"/>
      <c r="I2362" s="848"/>
      <c r="J2362" s="849">
        <f>+J2363</f>
        <v>3500</v>
      </c>
      <c r="K2362" s="850"/>
      <c r="L2362" s="850"/>
      <c r="M2362" s="850"/>
      <c r="N2362" s="843" t="e">
        <f>SUMIF(#REF!,'8.Dgia'!A2362,#REF!)+SUMIF(#REF!,'8.Dgia'!A2362,#REF!)+SUMIF(#REF!,'8.Dgia'!A2362,#REF!)+SUMIF(#REF!,'8.Dgia'!A2362,#REF!)</f>
        <v>#REF!</v>
      </c>
      <c r="O2362" s="844"/>
      <c r="P2362" s="843" t="e">
        <f t="shared" si="104"/>
        <v>#REF!</v>
      </c>
    </row>
    <row r="2363" spans="1:16" ht="15" customHeight="1">
      <c r="A2363" s="657">
        <f>IF(B2363="",MAX($A$8:A2362)+0,MAX($A$8:A2362)+1)</f>
        <v>271</v>
      </c>
      <c r="B2363" s="835" t="str">
        <f>IF(C2363="","",COUNTA($C$10:C2364))</f>
        <v/>
      </c>
      <c r="C2363" s="851"/>
      <c r="D2363" s="851"/>
      <c r="E2363" s="852" t="s">
        <v>2069</v>
      </c>
      <c r="F2363" s="848" t="str">
        <f>VLOOKUP(E2363,DICH!B:C,2,FALSE)</f>
        <v>Bbolt D16mmm</v>
      </c>
      <c r="G2363" s="362" t="s">
        <v>4651</v>
      </c>
      <c r="H2363" s="847">
        <v>1</v>
      </c>
      <c r="I2363" s="848">
        <f>VLOOKUP(E2363,'11.gia '!$B:$I,8,FALSE)</f>
        <v>3500</v>
      </c>
      <c r="J2363" s="853">
        <f>I2363*H2363</f>
        <v>3500</v>
      </c>
      <c r="N2363" s="843" t="e">
        <f>SUMIF(#REF!,'8.Dgia'!A2363,#REF!)+SUMIF(#REF!,'8.Dgia'!A2363,#REF!)+SUMIF(#REF!,'8.Dgia'!A2363,#REF!)+SUMIF(#REF!,'8.Dgia'!A2363,#REF!)</f>
        <v>#REF!</v>
      </c>
      <c r="O2363" s="844"/>
      <c r="P2363" s="843" t="e">
        <f t="shared" si="104"/>
        <v>#REF!</v>
      </c>
    </row>
    <row r="2364" spans="1:16" ht="15" customHeight="1">
      <c r="A2364" s="657">
        <f>IF(B2364="",MAX($A$8:A2363)+0,MAX($A$8:A2363)+1)</f>
        <v>272</v>
      </c>
      <c r="B2364" s="835">
        <f>IF(C2364="","",COUNTA($C$10:C2365))</f>
        <v>272</v>
      </c>
      <c r="C2364" s="362">
        <v>0</v>
      </c>
      <c r="D2364" s="851" t="s">
        <v>306</v>
      </c>
      <c r="E2364" s="855" t="s">
        <v>107</v>
      </c>
      <c r="F2364" s="848" t="str">
        <f>VLOOKUP(E2364,DICH!B:C,2,FALSE)</f>
        <v>Glue epoxy cover</v>
      </c>
      <c r="G2364" s="856" t="s">
        <v>545</v>
      </c>
      <c r="H2364" s="882"/>
      <c r="I2364" s="848"/>
      <c r="J2364" s="853"/>
      <c r="K2364" s="842">
        <f>+J2365</f>
        <v>357112000</v>
      </c>
      <c r="N2364" s="843" t="e">
        <f>SUMIF(#REF!,'8.Dgia'!A2364,#REF!)+SUMIF(#REF!,'8.Dgia'!A2364,#REF!)+SUMIF(#REF!,'8.Dgia'!A2364,#REF!)+SUMIF(#REF!,'8.Dgia'!A2364,#REF!)</f>
        <v>#REF!</v>
      </c>
      <c r="O2364" s="844"/>
      <c r="P2364" s="843" t="e">
        <f t="shared" si="104"/>
        <v>#REF!</v>
      </c>
    </row>
    <row r="2365" spans="1:16" s="658" customFormat="1" ht="15" customHeight="1">
      <c r="A2365" s="657">
        <f>IF(B2365="",MAX($A$8:A2364)+0,MAX($A$8:A2364)+1)</f>
        <v>272</v>
      </c>
      <c r="B2365" s="835" t="str">
        <f>IF(C2365="","",COUNTA($C$10:C2366))</f>
        <v/>
      </c>
      <c r="C2365" s="883"/>
      <c r="D2365" s="845"/>
      <c r="E2365" s="852" t="s">
        <v>2032</v>
      </c>
      <c r="F2365" s="848" t="str">
        <f>VLOOKUP(E2365,DICH!B:C,2,FALSE)</f>
        <v xml:space="preserve">  A - Material</v>
      </c>
      <c r="G2365" s="846"/>
      <c r="H2365" s="847"/>
      <c r="I2365" s="848"/>
      <c r="J2365" s="849">
        <f>+J2366</f>
        <v>357112000</v>
      </c>
      <c r="K2365" s="850"/>
      <c r="L2365" s="850"/>
      <c r="M2365" s="850"/>
      <c r="N2365" s="843" t="e">
        <f>SUMIF(#REF!,'8.Dgia'!A2365,#REF!)+SUMIF(#REF!,'8.Dgia'!A2365,#REF!)+SUMIF(#REF!,'8.Dgia'!A2365,#REF!)+SUMIF(#REF!,'8.Dgia'!A2365,#REF!)</f>
        <v>#REF!</v>
      </c>
      <c r="O2365" s="844"/>
      <c r="P2365" s="843" t="e">
        <f t="shared" si="104"/>
        <v>#REF!</v>
      </c>
    </row>
    <row r="2366" spans="1:16" ht="15" customHeight="1">
      <c r="A2366" s="657">
        <f>IF(B2366="",MAX($A$8:A2365)+0,MAX($A$8:A2365)+1)</f>
        <v>272</v>
      </c>
      <c r="B2366" s="835" t="str">
        <f>IF(C2366="","",COUNTA($C$10:C2367))</f>
        <v/>
      </c>
      <c r="C2366" s="361"/>
      <c r="D2366" s="361" t="s">
        <v>645</v>
      </c>
      <c r="E2366" s="852" t="s">
        <v>107</v>
      </c>
      <c r="F2366" s="848" t="str">
        <f>VLOOKUP(E2366,DICH!B:C,2,FALSE)</f>
        <v>Glue epoxy cover</v>
      </c>
      <c r="G2366" s="362" t="s">
        <v>545</v>
      </c>
      <c r="H2366" s="847">
        <v>1400</v>
      </c>
      <c r="I2366" s="848">
        <f>VLOOKUP(E2366,'11.gia '!$B:$I,8,FALSE)</f>
        <v>255080</v>
      </c>
      <c r="J2366" s="853">
        <f>I2366*H2366</f>
        <v>357112000</v>
      </c>
      <c r="N2366" s="843" t="e">
        <f>SUMIF(#REF!,'8.Dgia'!A2366,#REF!)+SUMIF(#REF!,'8.Dgia'!A2366,#REF!)+SUMIF(#REF!,'8.Dgia'!A2366,#REF!)+SUMIF(#REF!,'8.Dgia'!A2366,#REF!)</f>
        <v>#REF!</v>
      </c>
      <c r="O2366" s="844"/>
      <c r="P2366" s="843" t="e">
        <f t="shared" si="104"/>
        <v>#REF!</v>
      </c>
    </row>
    <row r="2367" spans="1:16" ht="15" customHeight="1">
      <c r="A2367" s="657">
        <f>IF(B2367="",MAX($A$8:A2366)+0,MAX($A$8:A2366)+1)</f>
        <v>273</v>
      </c>
      <c r="B2367" s="835">
        <f>IF(C2367="","",COUNTA($C$10:C2368))</f>
        <v>273</v>
      </c>
      <c r="C2367" s="362">
        <v>0</v>
      </c>
      <c r="D2367" s="851" t="s">
        <v>306</v>
      </c>
      <c r="E2367" s="855" t="s">
        <v>498</v>
      </c>
      <c r="F2367" s="848" t="str">
        <f>VLOOKUP(E2367,DICH!B:C,2,FALSE)</f>
        <v>Cast iron grid</v>
      </c>
      <c r="G2367" s="856" t="s">
        <v>558</v>
      </c>
      <c r="H2367" s="882"/>
      <c r="I2367" s="848"/>
      <c r="J2367" s="853"/>
      <c r="K2367" s="842">
        <f>+J2368</f>
        <v>29900</v>
      </c>
      <c r="N2367" s="843" t="e">
        <f>SUMIF(#REF!,'8.Dgia'!A2367,#REF!)+SUMIF(#REF!,'8.Dgia'!A2367,#REF!)+SUMIF(#REF!,'8.Dgia'!A2367,#REF!)+SUMIF(#REF!,'8.Dgia'!A2367,#REF!)</f>
        <v>#REF!</v>
      </c>
      <c r="O2367" s="844"/>
      <c r="P2367" s="843" t="e">
        <f t="shared" si="104"/>
        <v>#REF!</v>
      </c>
    </row>
    <row r="2368" spans="1:16" s="658" customFormat="1" ht="15" customHeight="1">
      <c r="A2368" s="657">
        <f>IF(B2368="",MAX($A$8:A2367)+0,MAX($A$8:A2367)+1)</f>
        <v>273</v>
      </c>
      <c r="B2368" s="835" t="str">
        <f>IF(C2368="","",COUNTA($C$10:C2369))</f>
        <v/>
      </c>
      <c r="C2368" s="362"/>
      <c r="D2368" s="845"/>
      <c r="E2368" s="852" t="s">
        <v>2032</v>
      </c>
      <c r="F2368" s="848" t="str">
        <f>VLOOKUP(E2368,DICH!B:C,2,FALSE)</f>
        <v xml:space="preserve">  A - Material</v>
      </c>
      <c r="G2368" s="846"/>
      <c r="H2368" s="847"/>
      <c r="I2368" s="848"/>
      <c r="J2368" s="849">
        <f>+J2369</f>
        <v>29900</v>
      </c>
      <c r="K2368" s="850"/>
      <c r="L2368" s="850"/>
      <c r="M2368" s="850"/>
      <c r="N2368" s="843" t="e">
        <f>SUMIF(#REF!,'8.Dgia'!A2368,#REF!)+SUMIF(#REF!,'8.Dgia'!A2368,#REF!)+SUMIF(#REF!,'8.Dgia'!A2368,#REF!)+SUMIF(#REF!,'8.Dgia'!A2368,#REF!)</f>
        <v>#REF!</v>
      </c>
      <c r="O2368" s="844"/>
      <c r="P2368" s="843" t="e">
        <f t="shared" ref="P2368:P2415" si="105">$H2368*N2368*(1+O2368%)</f>
        <v>#REF!</v>
      </c>
    </row>
    <row r="2369" spans="1:16" ht="15" customHeight="1">
      <c r="A2369" s="657">
        <f>IF(B2369="",MAX($A$8:A2368)+0,MAX($A$8:A2368)+1)</f>
        <v>273</v>
      </c>
      <c r="B2369" s="835" t="str">
        <f>IF(C2369="","",COUNTA($C$10:C2370))</f>
        <v/>
      </c>
      <c r="C2369" s="851"/>
      <c r="D2369" s="851"/>
      <c r="E2369" s="852" t="s">
        <v>498</v>
      </c>
      <c r="F2369" s="848" t="str">
        <f>VLOOKUP(E2369,DICH!B:C,2,FALSE)</f>
        <v>Cast iron grid</v>
      </c>
      <c r="G2369" s="362" t="s">
        <v>558</v>
      </c>
      <c r="H2369" s="847">
        <v>1</v>
      </c>
      <c r="I2369" s="848">
        <f>VLOOKUP(E2369,'11.gia '!$B:$I,8,FALSE)</f>
        <v>29900</v>
      </c>
      <c r="J2369" s="853">
        <f>I2369*H2369</f>
        <v>29900</v>
      </c>
      <c r="N2369" s="843" t="e">
        <f>SUMIF(#REF!,'8.Dgia'!A2369,#REF!)+SUMIF(#REF!,'8.Dgia'!A2369,#REF!)+SUMIF(#REF!,'8.Dgia'!A2369,#REF!)+SUMIF(#REF!,'8.Dgia'!A2369,#REF!)</f>
        <v>#REF!</v>
      </c>
      <c r="O2369" s="844"/>
      <c r="P2369" s="843" t="e">
        <f t="shared" si="105"/>
        <v>#REF!</v>
      </c>
    </row>
    <row r="2370" spans="1:16" ht="15" customHeight="1">
      <c r="A2370" s="657">
        <f>IF(B2370="",MAX($A$8:A2369)+0,MAX($A$8:A2369)+1)</f>
        <v>274</v>
      </c>
      <c r="B2370" s="835">
        <f>IF(C2370="","",COUNTA($C$10:C2371))</f>
        <v>274</v>
      </c>
      <c r="C2370" s="362">
        <v>0</v>
      </c>
      <c r="D2370" s="851" t="s">
        <v>306</v>
      </c>
      <c r="E2370" s="855" t="s">
        <v>514</v>
      </c>
      <c r="F2370" s="848" t="str">
        <f>VLOOKUP(E2370,DICH!B:C,2,FALSE)</f>
        <v>pup joint PVC D60</v>
      </c>
      <c r="G2370" s="856" t="s">
        <v>4651</v>
      </c>
      <c r="H2370" s="882"/>
      <c r="I2370" s="848"/>
      <c r="J2370" s="853"/>
      <c r="K2370" s="842">
        <f>+J2371</f>
        <v>0</v>
      </c>
      <c r="N2370" s="843" t="e">
        <f>SUMIF(#REF!,'8.Dgia'!A2370,#REF!)+SUMIF(#REF!,'8.Dgia'!A2370,#REF!)+SUMIF(#REF!,'8.Dgia'!A2370,#REF!)+SUMIF(#REF!,'8.Dgia'!A2370,#REF!)</f>
        <v>#REF!</v>
      </c>
      <c r="O2370" s="844"/>
      <c r="P2370" s="843" t="e">
        <f t="shared" si="105"/>
        <v>#REF!</v>
      </c>
    </row>
    <row r="2371" spans="1:16" s="658" customFormat="1" ht="15" customHeight="1">
      <c r="A2371" s="657">
        <f>IF(B2371="",MAX($A$8:A2370)+0,MAX($A$8:A2370)+1)</f>
        <v>274</v>
      </c>
      <c r="B2371" s="835" t="str">
        <f>IF(C2371="","",COUNTA($C$10:C2372))</f>
        <v/>
      </c>
      <c r="C2371" s="362"/>
      <c r="D2371" s="845"/>
      <c r="E2371" s="852" t="s">
        <v>2032</v>
      </c>
      <c r="F2371" s="848" t="str">
        <f>VLOOKUP(E2371,DICH!B:C,2,FALSE)</f>
        <v xml:space="preserve">  A - Material</v>
      </c>
      <c r="G2371" s="846"/>
      <c r="H2371" s="847"/>
      <c r="I2371" s="848"/>
      <c r="J2371" s="849">
        <f>+J2372</f>
        <v>0</v>
      </c>
      <c r="K2371" s="850"/>
      <c r="L2371" s="850"/>
      <c r="M2371" s="850"/>
      <c r="N2371" s="843" t="e">
        <f>SUMIF(#REF!,'8.Dgia'!A2371,#REF!)+SUMIF(#REF!,'8.Dgia'!A2371,#REF!)+SUMIF(#REF!,'8.Dgia'!A2371,#REF!)+SUMIF(#REF!,'8.Dgia'!A2371,#REF!)</f>
        <v>#REF!</v>
      </c>
      <c r="O2371" s="844"/>
      <c r="P2371" s="843" t="e">
        <f t="shared" si="105"/>
        <v>#REF!</v>
      </c>
    </row>
    <row r="2372" spans="1:16" ht="15" customHeight="1">
      <c r="A2372" s="657">
        <f>IF(B2372="",MAX($A$8:A2371)+0,MAX($A$8:A2371)+1)</f>
        <v>274</v>
      </c>
      <c r="B2372" s="835" t="str">
        <f>IF(C2372="","",COUNTA($C$10:C2373))</f>
        <v/>
      </c>
      <c r="C2372" s="851"/>
      <c r="D2372" s="851"/>
      <c r="E2372" s="852" t="s">
        <v>514</v>
      </c>
      <c r="F2372" s="848" t="str">
        <f>VLOOKUP(E2372,DICH!B:C,2,FALSE)</f>
        <v>pup joint PVC D60</v>
      </c>
      <c r="G2372" s="362" t="s">
        <v>4651</v>
      </c>
      <c r="H2372" s="847">
        <v>1</v>
      </c>
      <c r="I2372" s="848">
        <f>VLOOKUP(E2372,'11.gia '!$B:$I,8,FALSE)</f>
        <v>0</v>
      </c>
      <c r="J2372" s="853">
        <f>I2372*H2372</f>
        <v>0</v>
      </c>
      <c r="N2372" s="843" t="e">
        <f>SUMIF(#REF!,'8.Dgia'!A2372,#REF!)+SUMIF(#REF!,'8.Dgia'!A2372,#REF!)+SUMIF(#REF!,'8.Dgia'!A2372,#REF!)+SUMIF(#REF!,'8.Dgia'!A2372,#REF!)</f>
        <v>#REF!</v>
      </c>
      <c r="O2372" s="844"/>
      <c r="P2372" s="843" t="e">
        <f t="shared" si="105"/>
        <v>#REF!</v>
      </c>
    </row>
    <row r="2373" spans="1:16" ht="15" customHeight="1">
      <c r="A2373" s="657">
        <f>IF(B2373="",MAX($A$8:A2372)+0,MAX($A$8:A2372)+1)</f>
        <v>275</v>
      </c>
      <c r="B2373" s="835">
        <f>IF(C2373="","",COUNTA($C$10:C2374))</f>
        <v>275</v>
      </c>
      <c r="C2373" s="362">
        <v>0</v>
      </c>
      <c r="D2373" s="851" t="s">
        <v>306</v>
      </c>
      <c r="E2373" s="855" t="s">
        <v>729</v>
      </c>
      <c r="F2373" s="848" t="str">
        <f>VLOOKUP(E2373,DICH!B:C,2,FALSE)</f>
        <v>Bbolt M27</v>
      </c>
      <c r="G2373" s="856" t="s">
        <v>4651</v>
      </c>
      <c r="H2373" s="882"/>
      <c r="I2373" s="848"/>
      <c r="J2373" s="853"/>
      <c r="K2373" s="842" t="e">
        <f>+J2374</f>
        <v>#N/A</v>
      </c>
      <c r="N2373" s="843" t="e">
        <f>SUMIF(#REF!,'8.Dgia'!A2373,#REF!)+SUMIF(#REF!,'8.Dgia'!A2373,#REF!)+SUMIF(#REF!,'8.Dgia'!A2373,#REF!)+SUMIF(#REF!,'8.Dgia'!A2373,#REF!)</f>
        <v>#REF!</v>
      </c>
      <c r="O2373" s="844"/>
      <c r="P2373" s="843" t="e">
        <f t="shared" si="105"/>
        <v>#REF!</v>
      </c>
    </row>
    <row r="2374" spans="1:16" s="658" customFormat="1" ht="15" customHeight="1">
      <c r="A2374" s="657">
        <f>IF(B2374="",MAX($A$8:A2373)+0,MAX($A$8:A2373)+1)</f>
        <v>275</v>
      </c>
      <c r="B2374" s="835" t="str">
        <f>IF(C2374="","",COUNTA($C$10:C2375))</f>
        <v/>
      </c>
      <c r="C2374" s="362"/>
      <c r="D2374" s="845"/>
      <c r="E2374" s="852" t="s">
        <v>2032</v>
      </c>
      <c r="F2374" s="848" t="str">
        <f>VLOOKUP(E2374,DICH!B:C,2,FALSE)</f>
        <v xml:space="preserve">  A - Material</v>
      </c>
      <c r="G2374" s="846"/>
      <c r="H2374" s="847"/>
      <c r="I2374" s="848"/>
      <c r="J2374" s="849" t="e">
        <f>+J2375</f>
        <v>#N/A</v>
      </c>
      <c r="K2374" s="850"/>
      <c r="L2374" s="850"/>
      <c r="M2374" s="850"/>
      <c r="N2374" s="843" t="e">
        <f>SUMIF(#REF!,'8.Dgia'!A2374,#REF!)+SUMIF(#REF!,'8.Dgia'!A2374,#REF!)+SUMIF(#REF!,'8.Dgia'!A2374,#REF!)+SUMIF(#REF!,'8.Dgia'!A2374,#REF!)</f>
        <v>#REF!</v>
      </c>
      <c r="O2374" s="844"/>
      <c r="P2374" s="843" t="e">
        <f t="shared" si="105"/>
        <v>#REF!</v>
      </c>
    </row>
    <row r="2375" spans="1:16" ht="15" customHeight="1">
      <c r="A2375" s="657">
        <f>IF(B2375="",MAX($A$8:A2374)+0,MAX($A$8:A2374)+1)</f>
        <v>275</v>
      </c>
      <c r="B2375" s="835" t="str">
        <f>IF(C2375="","",COUNTA($C$10:C2376))</f>
        <v/>
      </c>
      <c r="C2375" s="851"/>
      <c r="D2375" s="851"/>
      <c r="E2375" s="852" t="s">
        <v>729</v>
      </c>
      <c r="F2375" s="848" t="str">
        <f>VLOOKUP(E2375,DICH!B:C,2,FALSE)</f>
        <v>Bbolt M27</v>
      </c>
      <c r="G2375" s="362" t="s">
        <v>4651</v>
      </c>
      <c r="H2375" s="847">
        <v>1</v>
      </c>
      <c r="I2375" s="848" t="e">
        <f>VLOOKUP(E2375,'11.gia '!$B:$I,8,FALSE)</f>
        <v>#N/A</v>
      </c>
      <c r="J2375" s="853" t="e">
        <f>I2375*H2375</f>
        <v>#N/A</v>
      </c>
      <c r="N2375" s="843" t="e">
        <f>SUMIF(#REF!,'8.Dgia'!A2375,#REF!)+SUMIF(#REF!,'8.Dgia'!A2375,#REF!)+SUMIF(#REF!,'8.Dgia'!A2375,#REF!)+SUMIF(#REF!,'8.Dgia'!A2375,#REF!)</f>
        <v>#REF!</v>
      </c>
      <c r="O2375" s="844"/>
      <c r="P2375" s="843" t="e">
        <f t="shared" si="105"/>
        <v>#REF!</v>
      </c>
    </row>
    <row r="2376" spans="1:16" ht="15" customHeight="1">
      <c r="A2376" s="657">
        <f>IF(B2376="",MAX($A$8:A2375)+0,MAX($A$8:A2375)+1)</f>
        <v>276</v>
      </c>
      <c r="B2376" s="835">
        <f>IF(C2376="","",COUNTA($C$10:C2377))</f>
        <v>276</v>
      </c>
      <c r="C2376" s="362">
        <v>0</v>
      </c>
      <c r="D2376" s="851" t="s">
        <v>306</v>
      </c>
      <c r="E2376" s="855" t="s">
        <v>2126</v>
      </c>
      <c r="F2376" s="848" t="str">
        <f>VLOOKUP(E2376,DICH!B:C,2,FALSE)</f>
        <v>Rectangular traffic sign 1.6x1.2m</v>
      </c>
      <c r="G2376" s="856" t="s">
        <v>4651</v>
      </c>
      <c r="H2376" s="882"/>
      <c r="I2376" s="848"/>
      <c r="J2376" s="853"/>
      <c r="K2376" s="842" t="e">
        <f>+J2377</f>
        <v>#N/A</v>
      </c>
      <c r="N2376" s="843" t="e">
        <f>SUMIF(#REF!,'8.Dgia'!A2376,#REF!)+SUMIF(#REF!,'8.Dgia'!A2376,#REF!)+SUMIF(#REF!,'8.Dgia'!A2376,#REF!)+SUMIF(#REF!,'8.Dgia'!A2376,#REF!)</f>
        <v>#REF!</v>
      </c>
      <c r="O2376" s="844"/>
      <c r="P2376" s="843" t="e">
        <f t="shared" si="105"/>
        <v>#REF!</v>
      </c>
    </row>
    <row r="2377" spans="1:16" s="658" customFormat="1" ht="15" customHeight="1">
      <c r="A2377" s="657">
        <f>IF(B2377="",MAX($A$8:A2376)+0,MAX($A$8:A2376)+1)</f>
        <v>276</v>
      </c>
      <c r="B2377" s="835" t="str">
        <f>IF(C2377="","",COUNTA($C$10:C2378))</f>
        <v/>
      </c>
      <c r="C2377" s="362"/>
      <c r="D2377" s="845"/>
      <c r="E2377" s="852" t="s">
        <v>2032</v>
      </c>
      <c r="F2377" s="848" t="str">
        <f>VLOOKUP(E2377,DICH!B:C,2,FALSE)</f>
        <v xml:space="preserve">  A - Material</v>
      </c>
      <c r="G2377" s="846"/>
      <c r="H2377" s="847"/>
      <c r="I2377" s="848"/>
      <c r="J2377" s="849" t="e">
        <f>+J2378</f>
        <v>#N/A</v>
      </c>
      <c r="K2377" s="850"/>
      <c r="L2377" s="850"/>
      <c r="M2377" s="850"/>
      <c r="N2377" s="843" t="e">
        <f>SUMIF(#REF!,'8.Dgia'!A2377,#REF!)+SUMIF(#REF!,'8.Dgia'!A2377,#REF!)+SUMIF(#REF!,'8.Dgia'!A2377,#REF!)+SUMIF(#REF!,'8.Dgia'!A2377,#REF!)</f>
        <v>#REF!</v>
      </c>
      <c r="O2377" s="844"/>
      <c r="P2377" s="843" t="e">
        <f t="shared" si="105"/>
        <v>#REF!</v>
      </c>
    </row>
    <row r="2378" spans="1:16" ht="15" customHeight="1">
      <c r="A2378" s="657">
        <f>IF(B2378="",MAX($A$8:A2377)+0,MAX($A$8:A2377)+1)</f>
        <v>276</v>
      </c>
      <c r="B2378" s="835" t="str">
        <f>IF(C2378="","",COUNTA($C$10:C2379))</f>
        <v/>
      </c>
      <c r="C2378" s="851"/>
      <c r="D2378" s="851"/>
      <c r="E2378" s="852" t="s">
        <v>2126</v>
      </c>
      <c r="F2378" s="848" t="str">
        <f>VLOOKUP(E2378,DICH!B:C,2,FALSE)</f>
        <v>Rectangular traffic sign 1.6x1.2m</v>
      </c>
      <c r="G2378" s="362" t="s">
        <v>4651</v>
      </c>
      <c r="H2378" s="847">
        <v>1</v>
      </c>
      <c r="I2378" s="848" t="e">
        <f>VLOOKUP(E2378,'11.gia '!$B:$I,8,FALSE)</f>
        <v>#N/A</v>
      </c>
      <c r="J2378" s="853" t="e">
        <f>I2378*H2378</f>
        <v>#N/A</v>
      </c>
      <c r="N2378" s="843" t="e">
        <f>SUMIF(#REF!,'8.Dgia'!A2378,#REF!)+SUMIF(#REF!,'8.Dgia'!A2378,#REF!)+SUMIF(#REF!,'8.Dgia'!A2378,#REF!)+SUMIF(#REF!,'8.Dgia'!A2378,#REF!)</f>
        <v>#REF!</v>
      </c>
      <c r="O2378" s="844"/>
      <c r="P2378" s="843" t="e">
        <f t="shared" si="105"/>
        <v>#REF!</v>
      </c>
    </row>
    <row r="2379" spans="1:16" ht="15" customHeight="1">
      <c r="A2379" s="657">
        <f>IF(B2379="",MAX($A$8:A2378)+0,MAX($A$8:A2378)+1)</f>
        <v>277</v>
      </c>
      <c r="B2379" s="835">
        <f>IF(C2379="","",COUNTA($C$10:C2380))</f>
        <v>277</v>
      </c>
      <c r="C2379" s="362">
        <v>0</v>
      </c>
      <c r="D2379" s="851" t="s">
        <v>306</v>
      </c>
      <c r="E2379" s="855" t="s">
        <v>354</v>
      </c>
      <c r="F2379" s="848" t="str">
        <f>VLOOKUP(E2379,DICH!B:C,2,FALSE)</f>
        <v>Circlar traffic sign D70</v>
      </c>
      <c r="G2379" s="856" t="s">
        <v>4651</v>
      </c>
      <c r="H2379" s="882"/>
      <c r="I2379" s="848"/>
      <c r="J2379" s="853"/>
      <c r="K2379" s="842" t="e">
        <f>+J2380</f>
        <v>#N/A</v>
      </c>
      <c r="N2379" s="843" t="e">
        <f>SUMIF(#REF!,'8.Dgia'!A2379,#REF!)+SUMIF(#REF!,'8.Dgia'!A2379,#REF!)+SUMIF(#REF!,'8.Dgia'!A2379,#REF!)+SUMIF(#REF!,'8.Dgia'!A2379,#REF!)</f>
        <v>#REF!</v>
      </c>
      <c r="O2379" s="844"/>
      <c r="P2379" s="843" t="e">
        <f t="shared" si="105"/>
        <v>#REF!</v>
      </c>
    </row>
    <row r="2380" spans="1:16" s="658" customFormat="1" ht="15" customHeight="1">
      <c r="A2380" s="657">
        <f>IF(B2380="",MAX($A$8:A2379)+0,MAX($A$8:A2379)+1)</f>
        <v>277</v>
      </c>
      <c r="B2380" s="835" t="str">
        <f>IF(C2380="","",COUNTA($C$10:C2381))</f>
        <v/>
      </c>
      <c r="C2380" s="362"/>
      <c r="D2380" s="845"/>
      <c r="E2380" s="852" t="s">
        <v>2032</v>
      </c>
      <c r="F2380" s="848" t="str">
        <f>VLOOKUP(E2380,DICH!B:C,2,FALSE)</f>
        <v xml:space="preserve">  A - Material</v>
      </c>
      <c r="G2380" s="846"/>
      <c r="H2380" s="847"/>
      <c r="I2380" s="848"/>
      <c r="J2380" s="849" t="e">
        <f>+J2381</f>
        <v>#N/A</v>
      </c>
      <c r="K2380" s="850"/>
      <c r="L2380" s="850"/>
      <c r="M2380" s="850"/>
      <c r="N2380" s="843" t="e">
        <f>SUMIF(#REF!,'8.Dgia'!A2380,#REF!)+SUMIF(#REF!,'8.Dgia'!A2380,#REF!)+SUMIF(#REF!,'8.Dgia'!A2380,#REF!)+SUMIF(#REF!,'8.Dgia'!A2380,#REF!)</f>
        <v>#REF!</v>
      </c>
      <c r="O2380" s="844"/>
      <c r="P2380" s="843" t="e">
        <f t="shared" si="105"/>
        <v>#REF!</v>
      </c>
    </row>
    <row r="2381" spans="1:16" ht="15" customHeight="1">
      <c r="A2381" s="657">
        <f>IF(B2381="",MAX($A$8:A2380)+0,MAX($A$8:A2380)+1)</f>
        <v>277</v>
      </c>
      <c r="B2381" s="835" t="str">
        <f>IF(C2381="","",COUNTA($C$10:C2382))</f>
        <v/>
      </c>
      <c r="C2381" s="851"/>
      <c r="D2381" s="851"/>
      <c r="E2381" s="852" t="s">
        <v>354</v>
      </c>
      <c r="F2381" s="848" t="str">
        <f>VLOOKUP(E2381,DICH!B:C,2,FALSE)</f>
        <v>Circlar traffic sign D70</v>
      </c>
      <c r="G2381" s="362" t="s">
        <v>4651</v>
      </c>
      <c r="H2381" s="847">
        <v>1</v>
      </c>
      <c r="I2381" s="848" t="e">
        <f>VLOOKUP(E2381,'11.gia '!$B:$I,8,FALSE)</f>
        <v>#N/A</v>
      </c>
      <c r="J2381" s="853" t="e">
        <f>I2381*H2381</f>
        <v>#N/A</v>
      </c>
      <c r="N2381" s="843" t="e">
        <f>SUMIF(#REF!,'8.Dgia'!A2381,#REF!)+SUMIF(#REF!,'8.Dgia'!A2381,#REF!)+SUMIF(#REF!,'8.Dgia'!A2381,#REF!)+SUMIF(#REF!,'8.Dgia'!A2381,#REF!)</f>
        <v>#REF!</v>
      </c>
      <c r="O2381" s="844"/>
      <c r="P2381" s="843" t="e">
        <f t="shared" si="105"/>
        <v>#REF!</v>
      </c>
    </row>
    <row r="2382" spans="1:16" ht="15" customHeight="1">
      <c r="A2382" s="657">
        <f>IF(B2382="",MAX($A$8:A2381)+0,MAX($A$8:A2381)+1)</f>
        <v>278</v>
      </c>
      <c r="B2382" s="835">
        <f>IF(C2382="","",COUNTA($C$10:C2383))</f>
        <v>278</v>
      </c>
      <c r="C2382" s="362">
        <v>0</v>
      </c>
      <c r="D2382" s="851" t="s">
        <v>71</v>
      </c>
      <c r="E2382" s="855" t="s">
        <v>48</v>
      </c>
      <c r="F2382" s="848" t="str">
        <f>VLOOKUP(E2382,DICH!B:C,2,FALSE)</f>
        <v>Plastic plate preventing water</v>
      </c>
      <c r="G2382" s="856" t="s">
        <v>543</v>
      </c>
      <c r="H2382" s="882"/>
      <c r="I2382" s="848"/>
      <c r="J2382" s="853"/>
      <c r="K2382" s="842">
        <f>+J2383</f>
        <v>168000</v>
      </c>
      <c r="N2382" s="843" t="e">
        <f>SUMIF(#REF!,'8.Dgia'!A2382,#REF!)+SUMIF(#REF!,'8.Dgia'!A2382,#REF!)+SUMIF(#REF!,'8.Dgia'!A2382,#REF!)+SUMIF(#REF!,'8.Dgia'!A2382,#REF!)</f>
        <v>#REF!</v>
      </c>
      <c r="O2382" s="844"/>
      <c r="P2382" s="843" t="e">
        <f t="shared" si="105"/>
        <v>#REF!</v>
      </c>
    </row>
    <row r="2383" spans="1:16" s="658" customFormat="1" ht="15" customHeight="1">
      <c r="A2383" s="657">
        <f>IF(B2383="",MAX($A$8:A2382)+0,MAX($A$8:A2382)+1)</f>
        <v>278</v>
      </c>
      <c r="B2383" s="835" t="str">
        <f>IF(C2383="","",COUNTA($C$10:C2384))</f>
        <v/>
      </c>
      <c r="C2383" s="362"/>
      <c r="D2383" s="845"/>
      <c r="E2383" s="852" t="s">
        <v>2032</v>
      </c>
      <c r="F2383" s="848" t="str">
        <f>VLOOKUP(E2383,DICH!B:C,2,FALSE)</f>
        <v xml:space="preserve">  A - Material</v>
      </c>
      <c r="G2383" s="846"/>
      <c r="H2383" s="847"/>
      <c r="I2383" s="848"/>
      <c r="J2383" s="849">
        <f>+J2384</f>
        <v>168000</v>
      </c>
      <c r="K2383" s="850"/>
      <c r="L2383" s="850"/>
      <c r="M2383" s="850"/>
      <c r="N2383" s="843" t="e">
        <f>SUMIF(#REF!,'8.Dgia'!A2383,#REF!)+SUMIF(#REF!,'8.Dgia'!A2383,#REF!)+SUMIF(#REF!,'8.Dgia'!A2383,#REF!)+SUMIF(#REF!,'8.Dgia'!A2383,#REF!)</f>
        <v>#REF!</v>
      </c>
      <c r="O2383" s="844"/>
      <c r="P2383" s="843" t="e">
        <f t="shared" si="105"/>
        <v>#REF!</v>
      </c>
    </row>
    <row r="2384" spans="1:16" ht="15" customHeight="1">
      <c r="A2384" s="657">
        <f>IF(B2384="",MAX($A$8:A2383)+0,MAX($A$8:A2383)+1)</f>
        <v>278</v>
      </c>
      <c r="B2384" s="835" t="str">
        <f>IF(C2384="","",COUNTA($C$10:C2385))</f>
        <v/>
      </c>
      <c r="C2384" s="851"/>
      <c r="D2384" s="851"/>
      <c r="E2384" s="852" t="s">
        <v>48</v>
      </c>
      <c r="F2384" s="848" t="str">
        <f>VLOOKUP(E2384,DICH!B:C,2,FALSE)</f>
        <v>Plastic plate preventing water</v>
      </c>
      <c r="G2384" s="362" t="s">
        <v>543</v>
      </c>
      <c r="H2384" s="847">
        <v>1</v>
      </c>
      <c r="I2384" s="848">
        <f>VLOOKUP(E2384,'11.gia '!$B:$I,8,FALSE)</f>
        <v>168000</v>
      </c>
      <c r="J2384" s="853">
        <f>I2384*H2384</f>
        <v>168000</v>
      </c>
      <c r="N2384" s="843" t="e">
        <f>SUMIF(#REF!,'8.Dgia'!A2384,#REF!)+SUMIF(#REF!,'8.Dgia'!A2384,#REF!)+SUMIF(#REF!,'8.Dgia'!A2384,#REF!)+SUMIF(#REF!,'8.Dgia'!A2384,#REF!)</f>
        <v>#REF!</v>
      </c>
      <c r="O2384" s="844"/>
      <c r="P2384" s="843" t="e">
        <f t="shared" si="105"/>
        <v>#REF!</v>
      </c>
    </row>
    <row r="2385" spans="1:16" ht="15" customHeight="1">
      <c r="A2385" s="657">
        <f>IF(B2385="",MAX($A$8:A2384)+0,MAX($A$8:A2384)+1)</f>
        <v>279</v>
      </c>
      <c r="B2385" s="835">
        <f>IF(C2385="","",COUNTA($C$10:C2386))</f>
        <v>279</v>
      </c>
      <c r="C2385" s="362">
        <v>0</v>
      </c>
      <c r="D2385" s="851" t="s">
        <v>71</v>
      </c>
      <c r="E2385" s="855" t="s">
        <v>730</v>
      </c>
      <c r="F2385" s="848" t="str">
        <f>VLOOKUP(E2385,DICH!B:C,2,FALSE)</f>
        <v>Signal light</v>
      </c>
      <c r="G2385" s="856" t="s">
        <v>4651</v>
      </c>
      <c r="H2385" s="882"/>
      <c r="I2385" s="848"/>
      <c r="J2385" s="853"/>
      <c r="K2385" s="842">
        <f>+J2386</f>
        <v>5600000</v>
      </c>
      <c r="N2385" s="843" t="e">
        <f>SUMIF(#REF!,'8.Dgia'!A2385,#REF!)+SUMIF(#REF!,'8.Dgia'!A2385,#REF!)+SUMIF(#REF!,'8.Dgia'!A2385,#REF!)+SUMIF(#REF!,'8.Dgia'!A2385,#REF!)</f>
        <v>#REF!</v>
      </c>
      <c r="O2385" s="844"/>
      <c r="P2385" s="843" t="e">
        <f t="shared" si="105"/>
        <v>#REF!</v>
      </c>
    </row>
    <row r="2386" spans="1:16" s="658" customFormat="1" ht="15" customHeight="1">
      <c r="A2386" s="657">
        <f>IF(B2386="",MAX($A$8:A2385)+0,MAX($A$8:A2385)+1)</f>
        <v>279</v>
      </c>
      <c r="B2386" s="835" t="str">
        <f>IF(C2386="","",COUNTA($C$10:C2387))</f>
        <v/>
      </c>
      <c r="C2386" s="362"/>
      <c r="D2386" s="845"/>
      <c r="E2386" s="852" t="s">
        <v>2032</v>
      </c>
      <c r="F2386" s="848" t="str">
        <f>VLOOKUP(E2386,DICH!B:C,2,FALSE)</f>
        <v xml:space="preserve">  A - Material</v>
      </c>
      <c r="G2386" s="846"/>
      <c r="H2386" s="847"/>
      <c r="I2386" s="848"/>
      <c r="J2386" s="849">
        <f>+J2387</f>
        <v>5600000</v>
      </c>
      <c r="K2386" s="850"/>
      <c r="L2386" s="850"/>
      <c r="M2386" s="850"/>
      <c r="N2386" s="843" t="e">
        <f>SUMIF(#REF!,'8.Dgia'!A2386,#REF!)+SUMIF(#REF!,'8.Dgia'!A2386,#REF!)+SUMIF(#REF!,'8.Dgia'!A2386,#REF!)+SUMIF(#REF!,'8.Dgia'!A2386,#REF!)</f>
        <v>#REF!</v>
      </c>
      <c r="O2386" s="844"/>
      <c r="P2386" s="843" t="e">
        <f t="shared" si="105"/>
        <v>#REF!</v>
      </c>
    </row>
    <row r="2387" spans="1:16" ht="15" customHeight="1">
      <c r="A2387" s="657">
        <f>IF(B2387="",MAX($A$8:A2386)+0,MAX($A$8:A2386)+1)</f>
        <v>279</v>
      </c>
      <c r="B2387" s="835" t="str">
        <f>IF(C2387="","",COUNTA($C$10:C2388))</f>
        <v/>
      </c>
      <c r="C2387" s="851"/>
      <c r="D2387" s="851"/>
      <c r="E2387" s="852" t="s">
        <v>730</v>
      </c>
      <c r="F2387" s="848" t="str">
        <f>VLOOKUP(E2387,DICH!B:C,2,FALSE)</f>
        <v>Signal light</v>
      </c>
      <c r="G2387" s="362" t="s">
        <v>4651</v>
      </c>
      <c r="H2387" s="847">
        <v>1</v>
      </c>
      <c r="I2387" s="848">
        <f>VLOOKUP(E2387,'11.gia '!$B:$I,8,FALSE)</f>
        <v>5600000</v>
      </c>
      <c r="J2387" s="853">
        <f>I2387*H2387</f>
        <v>5600000</v>
      </c>
      <c r="N2387" s="843" t="e">
        <f>SUMIF(#REF!,'8.Dgia'!A2387,#REF!)+SUMIF(#REF!,'8.Dgia'!A2387,#REF!)+SUMIF(#REF!,'8.Dgia'!A2387,#REF!)+SUMIF(#REF!,'8.Dgia'!A2387,#REF!)</f>
        <v>#REF!</v>
      </c>
      <c r="O2387" s="844"/>
      <c r="P2387" s="843" t="e">
        <f t="shared" si="105"/>
        <v>#REF!</v>
      </c>
    </row>
    <row r="2388" spans="1:16" ht="15" customHeight="1">
      <c r="A2388" s="657">
        <f>IF(B2388="",MAX($A$8:A2387)+0,MAX($A$8:A2387)+1)</f>
        <v>280</v>
      </c>
      <c r="B2388" s="835">
        <f>IF(C2388="","",COUNTA($C$10:C2389))</f>
        <v>280</v>
      </c>
      <c r="C2388" s="362">
        <v>0</v>
      </c>
      <c r="D2388" s="851" t="s">
        <v>306</v>
      </c>
      <c r="E2388" s="855" t="s">
        <v>3570</v>
      </c>
      <c r="F2388" s="848" t="str">
        <f>VLOOKUP(E2388,DICH!B:C,2,FALSE)</f>
        <v>Signal light in night</v>
      </c>
      <c r="G2388" s="856" t="s">
        <v>4651</v>
      </c>
      <c r="H2388" s="882"/>
      <c r="I2388" s="848"/>
      <c r="J2388" s="853"/>
      <c r="K2388" s="842">
        <f>+J2389</f>
        <v>200000</v>
      </c>
      <c r="N2388" s="843" t="e">
        <f>SUMIF(#REF!,'8.Dgia'!A2388,#REF!)+SUMIF(#REF!,'8.Dgia'!A2388,#REF!)+SUMIF(#REF!,'8.Dgia'!A2388,#REF!)+SUMIF(#REF!,'8.Dgia'!A2388,#REF!)</f>
        <v>#REF!</v>
      </c>
      <c r="O2388" s="844"/>
      <c r="P2388" s="843" t="e">
        <f>$H2388*N2388*(1+O2388%)</f>
        <v>#REF!</v>
      </c>
    </row>
    <row r="2389" spans="1:16" s="658" customFormat="1" ht="15" customHeight="1">
      <c r="A2389" s="657">
        <f>IF(B2389="",MAX($A$8:A2388)+0,MAX($A$8:A2388)+1)</f>
        <v>280</v>
      </c>
      <c r="B2389" s="835" t="str">
        <f>IF(C2389="","",COUNTA($C$10:C2390))</f>
        <v/>
      </c>
      <c r="C2389" s="362"/>
      <c r="D2389" s="845"/>
      <c r="E2389" s="852" t="s">
        <v>2032</v>
      </c>
      <c r="F2389" s="848" t="str">
        <f>VLOOKUP(E2389,DICH!B:C,2,FALSE)</f>
        <v xml:space="preserve">  A - Material</v>
      </c>
      <c r="G2389" s="846"/>
      <c r="H2389" s="847"/>
      <c r="I2389" s="848"/>
      <c r="J2389" s="849">
        <f>+J2390</f>
        <v>200000</v>
      </c>
      <c r="K2389" s="850"/>
      <c r="L2389" s="850"/>
      <c r="M2389" s="850"/>
      <c r="N2389" s="843" t="e">
        <f>SUMIF(#REF!,'8.Dgia'!A2389,#REF!)+SUMIF(#REF!,'8.Dgia'!A2389,#REF!)+SUMIF(#REF!,'8.Dgia'!A2389,#REF!)+SUMIF(#REF!,'8.Dgia'!A2389,#REF!)</f>
        <v>#REF!</v>
      </c>
      <c r="O2389" s="844"/>
      <c r="P2389" s="843" t="e">
        <f>$H2389*N2389*(1+O2389%)</f>
        <v>#REF!</v>
      </c>
    </row>
    <row r="2390" spans="1:16" ht="15" customHeight="1">
      <c r="A2390" s="657">
        <f>IF(B2390="",MAX($A$8:A2389)+0,MAX($A$8:A2389)+1)</f>
        <v>280</v>
      </c>
      <c r="B2390" s="835" t="str">
        <f>IF(C2390="","",COUNTA($C$10:C2391))</f>
        <v/>
      </c>
      <c r="C2390" s="851"/>
      <c r="D2390" s="851"/>
      <c r="E2390" s="852" t="s">
        <v>3569</v>
      </c>
      <c r="F2390" s="848" t="str">
        <f>VLOOKUP(E2390,DICH!B:C,2,FALSE)</f>
        <v>Signal light</v>
      </c>
      <c r="G2390" s="362" t="s">
        <v>4651</v>
      </c>
      <c r="H2390" s="847">
        <v>1</v>
      </c>
      <c r="I2390" s="848">
        <f>VLOOKUP(E2390,'11.gia '!$B:$I,8,FALSE)</f>
        <v>200000</v>
      </c>
      <c r="J2390" s="853">
        <f>I2390*H2390</f>
        <v>200000</v>
      </c>
      <c r="N2390" s="843" t="e">
        <f>SUMIF(#REF!,'8.Dgia'!A2390,#REF!)+SUMIF(#REF!,'8.Dgia'!A2390,#REF!)+SUMIF(#REF!,'8.Dgia'!A2390,#REF!)+SUMIF(#REF!,'8.Dgia'!A2390,#REF!)</f>
        <v>#REF!</v>
      </c>
      <c r="O2390" s="844"/>
      <c r="P2390" s="843" t="e">
        <f>$H2390*N2390*(1+O2390%)</f>
        <v>#REF!</v>
      </c>
    </row>
    <row r="2391" spans="1:16" ht="15" customHeight="1">
      <c r="A2391" s="657">
        <f>IF(B2391="",MAX($A$8:A2390)+0,MAX($A$8:A2390)+1)</f>
        <v>281</v>
      </c>
      <c r="B2391" s="835">
        <f>IF(C2391="","",COUNTA($C$10:C2392))</f>
        <v>281</v>
      </c>
      <c r="C2391" s="324">
        <v>0</v>
      </c>
      <c r="D2391" s="927" t="s">
        <v>515</v>
      </c>
      <c r="E2391" s="855" t="s">
        <v>516</v>
      </c>
      <c r="F2391" s="848" t="str">
        <f>VLOOKUP(E2391,DICH!B:C,2,FALSE)</f>
        <v>settlement observing stake</v>
      </c>
      <c r="G2391" s="928" t="s">
        <v>275</v>
      </c>
      <c r="H2391" s="929"/>
      <c r="I2391" s="848"/>
      <c r="J2391" s="857"/>
      <c r="K2391" s="842">
        <f>+J2392</f>
        <v>889144.27822795708</v>
      </c>
      <c r="L2391" s="842">
        <f>+J2404</f>
        <v>171882.60142224</v>
      </c>
      <c r="M2391" s="842">
        <f>+J2409</f>
        <v>1484.3000347680002</v>
      </c>
      <c r="N2391" s="843" t="e">
        <f>SUMIF(#REF!,'8.Dgia'!A2391,#REF!)+SUMIF(#REF!,'8.Dgia'!A2391,#REF!)+SUMIF(#REF!,'8.Dgia'!A2391,#REF!)+SUMIF(#REF!,'8.Dgia'!A2391,#REF!)</f>
        <v>#REF!</v>
      </c>
      <c r="O2391" s="844"/>
      <c r="P2391" s="843" t="e">
        <f t="shared" si="105"/>
        <v>#REF!</v>
      </c>
    </row>
    <row r="2392" spans="1:16" ht="15" customHeight="1">
      <c r="A2392" s="657">
        <f>IF(B2392="",MAX($A$8:A2391)+0,MAX($A$8:A2391)+1)</f>
        <v>281</v>
      </c>
      <c r="B2392" s="835" t="str">
        <f>IF(C2392="","",COUNTA($C$10:C2393))</f>
        <v/>
      </c>
      <c r="C2392" s="324"/>
      <c r="D2392" s="927"/>
      <c r="E2392" s="852" t="s">
        <v>2032</v>
      </c>
      <c r="F2392" s="848" t="str">
        <f>VLOOKUP(E2392,DICH!B:C,2,FALSE)</f>
        <v xml:space="preserve">  A - Material</v>
      </c>
      <c r="G2392" s="928"/>
      <c r="H2392" s="929"/>
      <c r="I2392" s="848"/>
      <c r="J2392" s="885">
        <f>SUM(J2393:J2403)</f>
        <v>889144.27822795708</v>
      </c>
      <c r="N2392" s="843" t="e">
        <f>SUMIF(#REF!,'8.Dgia'!A2392,#REF!)+SUMIF(#REF!,'8.Dgia'!A2392,#REF!)+SUMIF(#REF!,'8.Dgia'!A2392,#REF!)+SUMIF(#REF!,'8.Dgia'!A2392,#REF!)</f>
        <v>#REF!</v>
      </c>
      <c r="O2392" s="844"/>
      <c r="P2392" s="843" t="e">
        <f t="shared" si="105"/>
        <v>#REF!</v>
      </c>
    </row>
    <row r="2393" spans="1:16" ht="15" customHeight="1">
      <c r="A2393" s="657">
        <f>IF(B2393="",MAX($A$8:A2392)+0,MAX($A$8:A2392)+1)</f>
        <v>281</v>
      </c>
      <c r="B2393" s="835" t="str">
        <f>IF(C2393="","",COUNTA($C$10:C2394))</f>
        <v/>
      </c>
      <c r="C2393" s="930"/>
      <c r="D2393" s="930" t="s">
        <v>691</v>
      </c>
      <c r="E2393" s="852" t="s">
        <v>4043</v>
      </c>
      <c r="F2393" s="848" t="str">
        <f>VLOOKUP(E2393,DICH!B:C,2,FALSE)</f>
        <v>Concrete C15 (stone 1x2)</v>
      </c>
      <c r="G2393" s="931" t="s">
        <v>545</v>
      </c>
      <c r="H2393" s="847">
        <v>7.6800000000000007E-2</v>
      </c>
      <c r="I2393" s="848"/>
      <c r="J2393" s="853"/>
      <c r="N2393" s="843" t="e">
        <f>SUMIF(#REF!,'8.Dgia'!A2393,#REF!)+SUMIF(#REF!,'8.Dgia'!A2393,#REF!)+SUMIF(#REF!,'8.Dgia'!A2393,#REF!)+SUMIF(#REF!,'8.Dgia'!A2393,#REF!)</f>
        <v>#REF!</v>
      </c>
      <c r="O2393" s="844"/>
      <c r="P2393" s="843" t="e">
        <f t="shared" si="105"/>
        <v>#REF!</v>
      </c>
    </row>
    <row r="2394" spans="1:16" ht="15" customHeight="1">
      <c r="A2394" s="657">
        <f>IF(B2394="",MAX($A$8:A2393)+0,MAX($A$8:A2393)+1)</f>
        <v>281</v>
      </c>
      <c r="B2394" s="835" t="str">
        <f>IF(C2394="","",COUNTA($C$10:C2395))</f>
        <v/>
      </c>
      <c r="C2394" s="851"/>
      <c r="D2394" s="851" t="str">
        <f>+'10.PLV'!$C$124</f>
        <v>C3223</v>
      </c>
      <c r="E2394" s="852" t="str">
        <f>+'10.PLV'!$D$124</f>
        <v>Vữa bê tông đá 1x2 C15 SN 6-8</v>
      </c>
      <c r="F2394" s="848" t="str">
        <f>VLOOKUP(E2394,DICH!B:C,2,FALSE)</f>
        <v>Concrete motar C15 stone 1x2 slump 6-8</v>
      </c>
      <c r="G2394" s="929" t="str">
        <f>[6]FT!$F$36</f>
        <v>m3</v>
      </c>
      <c r="H2394" s="847">
        <v>7.7951999999999994E-2</v>
      </c>
      <c r="I2394" s="848">
        <f>VLOOKUP(E2394,'11.gia '!B:I,8,FALSE)</f>
        <v>836833.32894201751</v>
      </c>
      <c r="J2394" s="853">
        <f>I2394*H2394</f>
        <v>65232.831657688141</v>
      </c>
      <c r="N2394" s="843" t="e">
        <f>SUMIF(#REF!,'8.Dgia'!A2394,#REF!)+SUMIF(#REF!,'8.Dgia'!A2394,#REF!)+SUMIF(#REF!,'8.Dgia'!A2394,#REF!)+SUMIF(#REF!,'8.Dgia'!A2394,#REF!)</f>
        <v>#REF!</v>
      </c>
      <c r="O2394" s="844"/>
      <c r="P2394" s="843" t="e">
        <f t="shared" si="105"/>
        <v>#REF!</v>
      </c>
    </row>
    <row r="2395" spans="1:16" ht="15" customHeight="1">
      <c r="A2395" s="657">
        <f>IF(B2395="",MAX($A$8:A2394)+0,MAX($A$8:A2394)+1)</f>
        <v>281</v>
      </c>
      <c r="B2395" s="835" t="str">
        <f>IF(C2395="","",COUNTA($C$10:C2396))</f>
        <v/>
      </c>
      <c r="C2395" s="930"/>
      <c r="D2395" s="930" t="s">
        <v>692</v>
      </c>
      <c r="E2395" s="852" t="s">
        <v>517</v>
      </c>
      <c r="F2395" s="848" t="str">
        <f>VLOOKUP(E2395,DICH!B:C,2,FALSE)</f>
        <v>steel bar</v>
      </c>
      <c r="G2395" s="931" t="s">
        <v>558</v>
      </c>
      <c r="H2395" s="847">
        <v>5.2231999999999994</v>
      </c>
      <c r="I2395" s="848"/>
      <c r="J2395" s="853"/>
      <c r="N2395" s="843" t="e">
        <f>SUMIF(#REF!,'8.Dgia'!A2395,#REF!)+SUMIF(#REF!,'8.Dgia'!A2395,#REF!)+SUMIF(#REF!,'8.Dgia'!A2395,#REF!)+SUMIF(#REF!,'8.Dgia'!A2395,#REF!)</f>
        <v>#REF!</v>
      </c>
      <c r="O2395" s="844"/>
      <c r="P2395" s="843" t="e">
        <f t="shared" si="105"/>
        <v>#REF!</v>
      </c>
    </row>
    <row r="2396" spans="1:16" ht="15" customHeight="1">
      <c r="A2396" s="657">
        <f>IF(B2396="",MAX($A$8:A2395)+0,MAX($A$8:A2395)+1)</f>
        <v>281</v>
      </c>
      <c r="B2396" s="835" t="str">
        <f>IF(C2396="","",COUNTA($C$10:C2397))</f>
        <v/>
      </c>
      <c r="C2396" s="324"/>
      <c r="D2396" s="927"/>
      <c r="E2396" s="852" t="s">
        <v>371</v>
      </c>
      <c r="F2396" s="848" t="str">
        <f>VLOOKUP(E2396,DICH!B:C,2,FALSE)</f>
        <v>steel bar D&lt;=10</v>
      </c>
      <c r="G2396" s="929" t="s">
        <v>558</v>
      </c>
      <c r="H2396" s="908">
        <v>5.2493159999999985</v>
      </c>
      <c r="I2396" s="848">
        <f>VLOOKUP(E2396,'11.gia '!$B:$I,8,FALSE)</f>
        <v>16754.075560000001</v>
      </c>
      <c r="J2396" s="853">
        <f>I2396*H2396</f>
        <v>87947.436902316942</v>
      </c>
      <c r="N2396" s="843" t="e">
        <f>SUMIF(#REF!,'8.Dgia'!A2396,#REF!)+SUMIF(#REF!,'8.Dgia'!A2396,#REF!)+SUMIF(#REF!,'8.Dgia'!A2396,#REF!)+SUMIF(#REF!,'8.Dgia'!A2396,#REF!)</f>
        <v>#REF!</v>
      </c>
      <c r="O2396" s="844"/>
      <c r="P2396" s="843" t="e">
        <f t="shared" si="105"/>
        <v>#REF!</v>
      </c>
    </row>
    <row r="2397" spans="1:16" ht="15" customHeight="1">
      <c r="A2397" s="657">
        <f>IF(B2397="",MAX($A$8:A2396)+0,MAX($A$8:A2396)+1)</f>
        <v>281</v>
      </c>
      <c r="B2397" s="835" t="str">
        <f>IF(C2397="","",COUNTA($C$10:C2398))</f>
        <v/>
      </c>
      <c r="C2397" s="324"/>
      <c r="D2397" s="927"/>
      <c r="E2397" s="852" t="s">
        <v>459</v>
      </c>
      <c r="F2397" s="848" t="str">
        <f>VLOOKUP(E2397,DICH!B:C,2,FALSE)</f>
        <v>Steel ware</v>
      </c>
      <c r="G2397" s="929" t="s">
        <v>558</v>
      </c>
      <c r="H2397" s="908">
        <v>0.111880944</v>
      </c>
      <c r="I2397" s="848">
        <f>VLOOKUP(E2397,'11.gia '!$B:$I,8,FALSE)</f>
        <v>17143</v>
      </c>
      <c r="J2397" s="853">
        <f>I2397*H2397</f>
        <v>1917.9750229919998</v>
      </c>
      <c r="N2397" s="843" t="e">
        <f>SUMIF(#REF!,'8.Dgia'!A2397,#REF!)+SUMIF(#REF!,'8.Dgia'!A2397,#REF!)+SUMIF(#REF!,'8.Dgia'!A2397,#REF!)+SUMIF(#REF!,'8.Dgia'!A2397,#REF!)</f>
        <v>#REF!</v>
      </c>
      <c r="O2397" s="844"/>
      <c r="P2397" s="843" t="e">
        <f t="shared" si="105"/>
        <v>#REF!</v>
      </c>
    </row>
    <row r="2398" spans="1:16" ht="15" customHeight="1">
      <c r="A2398" s="657">
        <f>IF(B2398="",MAX($A$8:A2397)+0,MAX($A$8:A2397)+1)</f>
        <v>281</v>
      </c>
      <c r="B2398" s="835" t="str">
        <f>IF(C2398="","",COUNTA($C$10:C2399))</f>
        <v/>
      </c>
      <c r="C2398" s="324"/>
      <c r="D2398" s="927"/>
      <c r="E2398" s="852" t="s">
        <v>518</v>
      </c>
      <c r="F2398" s="848" t="str">
        <f>VLOOKUP(E2398,DICH!B:C,2,FALSE)</f>
        <v>pipe steel D20</v>
      </c>
      <c r="G2398" s="929" t="s">
        <v>543</v>
      </c>
      <c r="H2398" s="847">
        <v>6</v>
      </c>
      <c r="J2398" s="853"/>
      <c r="N2398" s="843" t="e">
        <f>SUMIF(#REF!,'8.Dgia'!A2398,#REF!)+SUMIF(#REF!,'8.Dgia'!A2398,#REF!)+SUMIF(#REF!,'8.Dgia'!A2398,#REF!)+SUMIF(#REF!,'8.Dgia'!A2398,#REF!)</f>
        <v>#REF!</v>
      </c>
      <c r="O2398" s="844"/>
      <c r="P2398" s="843" t="e">
        <f t="shared" si="105"/>
        <v>#REF!</v>
      </c>
    </row>
    <row r="2399" spans="1:16" ht="15" customHeight="1">
      <c r="A2399" s="657">
        <f>IF(B2399="",MAX($A$8:A2398)+0,MAX($A$8:A2398)+1)</f>
        <v>281</v>
      </c>
      <c r="B2399" s="835" t="str">
        <f>IF(C2399="","",COUNTA($C$10:C2400))</f>
        <v/>
      </c>
      <c r="C2399" s="324"/>
      <c r="D2399" s="927"/>
      <c r="E2399" s="852" t="s">
        <v>664</v>
      </c>
      <c r="F2399" s="848" t="str">
        <f>VLOOKUP(E2399,DICH!B:C,2,FALSE)</f>
        <v>steel bar D&gt;18</v>
      </c>
      <c r="G2399" s="929" t="s">
        <v>558</v>
      </c>
      <c r="H2399" s="847">
        <v>14.796000000000001</v>
      </c>
      <c r="I2399" s="848">
        <f>VLOOKUP(E2399,'11.gia '!$B:$I,8,FALSE)</f>
        <v>16604.075560000001</v>
      </c>
      <c r="J2399" s="853">
        <f>I2399*H2399</f>
        <v>245673.90198576002</v>
      </c>
      <c r="N2399" s="843" t="e">
        <f>SUMIF(#REF!,'8.Dgia'!A2399,#REF!)+SUMIF(#REF!,'8.Dgia'!A2399,#REF!)+SUMIF(#REF!,'8.Dgia'!A2399,#REF!)+SUMIF(#REF!,'8.Dgia'!A2399,#REF!)</f>
        <v>#REF!</v>
      </c>
      <c r="O2399" s="844"/>
      <c r="P2399" s="843" t="e">
        <f t="shared" si="105"/>
        <v>#REF!</v>
      </c>
    </row>
    <row r="2400" spans="1:16" ht="15" customHeight="1">
      <c r="A2400" s="657">
        <f>IF(B2400="",MAX($A$8:A2399)+0,MAX($A$8:A2399)+1)</f>
        <v>281</v>
      </c>
      <c r="B2400" s="835" t="str">
        <f>IF(C2400="","",COUNTA($C$10:C2401))</f>
        <v/>
      </c>
      <c r="C2400" s="930"/>
      <c r="D2400" s="930" t="s">
        <v>519</v>
      </c>
      <c r="E2400" s="852" t="s">
        <v>625</v>
      </c>
      <c r="F2400" s="848" t="str">
        <f>VLOOKUP(E2400,DICH!B:C,2,FALSE)</f>
        <v>Formwork</v>
      </c>
      <c r="G2400" s="931" t="s">
        <v>548</v>
      </c>
      <c r="H2400" s="847">
        <v>0.38400000000000001</v>
      </c>
      <c r="I2400" s="848"/>
      <c r="J2400" s="853"/>
      <c r="N2400" s="843" t="e">
        <f>SUMIF(#REF!,'8.Dgia'!A2400,#REF!)+SUMIF(#REF!,'8.Dgia'!A2400,#REF!)+SUMIF(#REF!,'8.Dgia'!A2400,#REF!)+SUMIF(#REF!,'8.Dgia'!A2400,#REF!)</f>
        <v>#REF!</v>
      </c>
      <c r="O2400" s="844"/>
      <c r="P2400" s="843" t="e">
        <f t="shared" si="105"/>
        <v>#REF!</v>
      </c>
    </row>
    <row r="2401" spans="1:18" ht="15" customHeight="1">
      <c r="A2401" s="657">
        <f>IF(B2401="",MAX($A$8:A2400)+0,MAX($A$8:A2400)+1)</f>
        <v>281</v>
      </c>
      <c r="B2401" s="835" t="str">
        <f>IF(C2401="","",COUNTA($C$10:C2402))</f>
        <v/>
      </c>
      <c r="C2401" s="324"/>
      <c r="D2401" s="324"/>
      <c r="E2401" s="852" t="s">
        <v>134</v>
      </c>
      <c r="F2401" s="848" t="str">
        <f>VLOOKUP(E2401,DICH!B:C,2,FALSE)</f>
        <v>Wooden</v>
      </c>
      <c r="G2401" s="929" t="str">
        <f>[6]FT!$F$36</f>
        <v>m3</v>
      </c>
      <c r="H2401" s="908">
        <v>4.7231999999999998E-4</v>
      </c>
      <c r="I2401" s="858">
        <f>VLOOKUP(E2401,'11.gia '!$B:$I,8,FALSE)</f>
        <v>5000000</v>
      </c>
      <c r="J2401" s="853">
        <f>I2401*H2401</f>
        <v>2361.6</v>
      </c>
      <c r="N2401" s="843" t="e">
        <f>SUMIF(#REF!,'8.Dgia'!A2401,#REF!)+SUMIF(#REF!,'8.Dgia'!A2401,#REF!)+SUMIF(#REF!,'8.Dgia'!A2401,#REF!)+SUMIF(#REF!,'8.Dgia'!A2401,#REF!)</f>
        <v>#REF!</v>
      </c>
      <c r="O2401" s="844"/>
      <c r="P2401" s="843" t="e">
        <f t="shared" si="105"/>
        <v>#REF!</v>
      </c>
    </row>
    <row r="2402" spans="1:18" ht="15" customHeight="1">
      <c r="A2402" s="657">
        <f>IF(B2402="",MAX($A$8:A2401)+0,MAX($A$8:A2401)+1)</f>
        <v>281</v>
      </c>
      <c r="B2402" s="835" t="str">
        <f>IF(C2402="","",COUNTA($C$10:C2403))</f>
        <v/>
      </c>
      <c r="C2402" s="324"/>
      <c r="D2402" s="927"/>
      <c r="E2402" s="852" t="s">
        <v>460</v>
      </c>
      <c r="F2402" s="848" t="str">
        <f>VLOOKUP(E2402,DICH!B:C,2,FALSE)</f>
        <v>Nail</v>
      </c>
      <c r="G2402" s="929" t="s">
        <v>558</v>
      </c>
      <c r="H2402" s="908">
        <v>6.1440000000000008E-4</v>
      </c>
      <c r="I2402" s="848">
        <f>VLOOKUP(E2402,'11.gia '!$B:$I,8,FALSE)</f>
        <v>17143</v>
      </c>
      <c r="J2402" s="853">
        <f>I2402*H2402</f>
        <v>10.532659200000001</v>
      </c>
      <c r="N2402" s="843" t="e">
        <f>SUMIF(#REF!,'8.Dgia'!A2402,#REF!)+SUMIF(#REF!,'8.Dgia'!A2402,#REF!)+SUMIF(#REF!,'8.Dgia'!A2402,#REF!)+SUMIF(#REF!,'8.Dgia'!A2402,#REF!)</f>
        <v>#REF!</v>
      </c>
      <c r="O2402" s="844"/>
      <c r="P2402" s="843" t="e">
        <f t="shared" si="105"/>
        <v>#REF!</v>
      </c>
    </row>
    <row r="2403" spans="1:18" ht="15" customHeight="1">
      <c r="A2403" s="657">
        <f>IF(B2403="",MAX($A$8:A2402)+0,MAX($A$8:A2402)+1)</f>
        <v>281</v>
      </c>
      <c r="B2403" s="835" t="str">
        <f>IF(C2403="","",COUNTA($C$10:C2404))</f>
        <v/>
      </c>
      <c r="C2403" s="324"/>
      <c r="D2403" s="927"/>
      <c r="E2403" s="852" t="s">
        <v>2021</v>
      </c>
      <c r="F2403" s="848" t="str">
        <f>VLOOKUP(E2403,DICH!B:C,2,FALSE)</f>
        <v>Pipe PVC D114</v>
      </c>
      <c r="G2403" s="929" t="s">
        <v>543</v>
      </c>
      <c r="H2403" s="847">
        <v>6</v>
      </c>
      <c r="I2403" s="848">
        <f>VLOOKUP(E2403,'11.gia '!$B:$I,8,FALSE)</f>
        <v>81000</v>
      </c>
      <c r="J2403" s="853">
        <f>I2403*H2403</f>
        <v>486000</v>
      </c>
      <c r="N2403" s="843" t="e">
        <f>SUMIF(#REF!,'8.Dgia'!A2403,#REF!)+SUMIF(#REF!,'8.Dgia'!A2403,#REF!)+SUMIF(#REF!,'8.Dgia'!A2403,#REF!)+SUMIF(#REF!,'8.Dgia'!A2403,#REF!)</f>
        <v>#REF!</v>
      </c>
      <c r="O2403" s="844"/>
      <c r="P2403" s="843" t="e">
        <f t="shared" si="105"/>
        <v>#REF!</v>
      </c>
    </row>
    <row r="2404" spans="1:18" ht="15" customHeight="1">
      <c r="A2404" s="657">
        <f>IF(B2404="",MAX($A$8:A2403)+0,MAX($A$8:A2403)+1)</f>
        <v>281</v>
      </c>
      <c r="B2404" s="835" t="str">
        <f>IF(C2404="","",COUNTA($C$10:C2405))</f>
        <v/>
      </c>
      <c r="C2404" s="324"/>
      <c r="D2404" s="362"/>
      <c r="E2404" s="852" t="s">
        <v>5684</v>
      </c>
      <c r="F2404" s="848" t="e">
        <f>VLOOKUP(E2404,DICH!B:C,2,FALSE)</f>
        <v>#N/A</v>
      </c>
      <c r="G2404" s="929"/>
      <c r="H2404" s="933"/>
      <c r="I2404" s="848"/>
      <c r="J2404" s="849">
        <f>SUM(J2405:J2408)</f>
        <v>171882.60142224</v>
      </c>
      <c r="N2404" s="843" t="e">
        <f>SUMIF(#REF!,'8.Dgia'!A2404,#REF!)+SUMIF(#REF!,'8.Dgia'!A2404,#REF!)+SUMIF(#REF!,'8.Dgia'!A2404,#REF!)+SUMIF(#REF!,'8.Dgia'!A2404,#REF!)</f>
        <v>#REF!</v>
      </c>
      <c r="O2404" s="844"/>
      <c r="P2404" s="843" t="e">
        <f t="shared" si="105"/>
        <v>#REF!</v>
      </c>
    </row>
    <row r="2405" spans="1:18" ht="15" customHeight="1">
      <c r="A2405" s="657">
        <f>IF(B2405="",MAX($A$8:A2404)+0,MAX($A$8:A2404)+1)</f>
        <v>281</v>
      </c>
      <c r="B2405" s="835" t="str">
        <f>IF(C2405="","",COUNTA($C$10:C2406))</f>
        <v/>
      </c>
      <c r="C2405" s="930"/>
      <c r="D2405" s="930" t="s">
        <v>691</v>
      </c>
      <c r="E2405" s="852" t="s">
        <v>2038</v>
      </c>
      <c r="F2405" s="848" t="str">
        <f>VLOOKUP(E2405,DICH!B:C,2,FALSE)</f>
        <v xml:space="preserve">  B - Labour 3.0/7</v>
      </c>
      <c r="G2405" s="847" t="s">
        <v>4899</v>
      </c>
      <c r="H2405" s="934">
        <v>0.197376</v>
      </c>
      <c r="I2405" s="848">
        <f>VLOOKUP(E2405,'16.NC'!$C$11:$F$22,4,FALSE)</f>
        <v>186797</v>
      </c>
      <c r="J2405" s="853">
        <f>I2405*H2405</f>
        <v>36869.244672000001</v>
      </c>
      <c r="N2405" s="843" t="e">
        <f>SUMIF(#REF!,'8.Dgia'!A2405,#REF!)+SUMIF(#REF!,'8.Dgia'!A2405,#REF!)+SUMIF(#REF!,'8.Dgia'!A2405,#REF!)+SUMIF(#REF!,'8.Dgia'!A2405,#REF!)</f>
        <v>#REF!</v>
      </c>
      <c r="O2405" s="844"/>
      <c r="P2405" s="843" t="e">
        <f t="shared" si="105"/>
        <v>#REF!</v>
      </c>
      <c r="R2405" s="658">
        <v>1</v>
      </c>
    </row>
    <row r="2406" spans="1:18" ht="15" customHeight="1">
      <c r="A2406" s="657">
        <f>IF(B2406="",MAX($A$8:A2405)+0,MAX($A$8:A2405)+1)</f>
        <v>281</v>
      </c>
      <c r="B2406" s="835" t="str">
        <f>IF(C2406="","",COUNTA($C$10:C2407))</f>
        <v/>
      </c>
      <c r="C2406" s="930"/>
      <c r="D2406" s="930" t="s">
        <v>692</v>
      </c>
      <c r="E2406" s="852" t="s">
        <v>2037</v>
      </c>
      <c r="F2406" s="848" t="str">
        <f>VLOOKUP(E2406,DICH!B:C,2,FALSE)</f>
        <v xml:space="preserve">  B - Labour 3.5/7</v>
      </c>
      <c r="G2406" s="847" t="s">
        <v>4899</v>
      </c>
      <c r="H2406" s="934">
        <v>8.9316719999999988E-2</v>
      </c>
      <c r="I2406" s="848">
        <f>VLOOKUP(E2406,'16.NC'!$C$11:$F$22,4,FALSE)</f>
        <v>202862</v>
      </c>
      <c r="J2406" s="853">
        <f>I2406*H2406</f>
        <v>18118.968452639998</v>
      </c>
      <c r="L2406" s="872"/>
      <c r="M2406" s="872"/>
      <c r="N2406" s="843" t="e">
        <f>SUMIF(#REF!,'8.Dgia'!A2406,#REF!)+SUMIF(#REF!,'8.Dgia'!A2406,#REF!)+SUMIF(#REF!,'8.Dgia'!A2406,#REF!)+SUMIF(#REF!,'8.Dgia'!A2406,#REF!)</f>
        <v>#REF!</v>
      </c>
      <c r="O2406" s="844"/>
      <c r="P2406" s="843" t="e">
        <f t="shared" si="105"/>
        <v>#REF!</v>
      </c>
      <c r="R2406" s="658">
        <v>1</v>
      </c>
    </row>
    <row r="2407" spans="1:18" ht="15" customHeight="1">
      <c r="A2407" s="657">
        <f>IF(B2407="",MAX($A$8:A2406)+0,MAX($A$8:A2406)+1)</f>
        <v>281</v>
      </c>
      <c r="B2407" s="835" t="str">
        <f>IF(C2407="","",COUNTA($C$10:C2408))</f>
        <v/>
      </c>
      <c r="C2407" s="930"/>
      <c r="D2407" s="930" t="s">
        <v>519</v>
      </c>
      <c r="E2407" s="852" t="s">
        <v>2038</v>
      </c>
      <c r="F2407" s="848" t="str">
        <f>VLOOKUP(E2407,DICH!B:C,2,FALSE)</f>
        <v xml:space="preserve">  B - Labour 3.0/7</v>
      </c>
      <c r="G2407" s="847" t="s">
        <v>4899</v>
      </c>
      <c r="H2407" s="934">
        <v>9.838079999999999E-2</v>
      </c>
      <c r="I2407" s="848">
        <f>VLOOKUP(E2407,'16.NC'!$C$11:$F$22,4,FALSE)</f>
        <v>186797</v>
      </c>
      <c r="J2407" s="853">
        <f>I2407*H2407</f>
        <v>18377.238297599997</v>
      </c>
      <c r="L2407" s="872"/>
      <c r="M2407" s="872"/>
      <c r="N2407" s="843" t="e">
        <f>SUMIF(#REF!,'8.Dgia'!A2407,#REF!)+SUMIF(#REF!,'8.Dgia'!A2407,#REF!)+SUMIF(#REF!,'8.Dgia'!A2407,#REF!)+SUMIF(#REF!,'8.Dgia'!A2407,#REF!)</f>
        <v>#REF!</v>
      </c>
      <c r="O2407" s="844"/>
      <c r="P2407" s="843" t="e">
        <f t="shared" si="105"/>
        <v>#REF!</v>
      </c>
      <c r="R2407" s="658">
        <v>1</v>
      </c>
    </row>
    <row r="2408" spans="1:18" ht="15" customHeight="1">
      <c r="A2408" s="657">
        <f>IF(B2408="",MAX($A$8:A2407)+0,MAX($A$8:A2407)+1)</f>
        <v>281</v>
      </c>
      <c r="B2408" s="835" t="str">
        <f>IF(C2408="","",COUNTA($C$10:C2409))</f>
        <v/>
      </c>
      <c r="C2408" s="930"/>
      <c r="D2408" s="930" t="s">
        <v>521</v>
      </c>
      <c r="E2408" s="852" t="s">
        <v>2039</v>
      </c>
      <c r="F2408" s="848" t="str">
        <f>VLOOKUP(E2408,DICH!B:C,2,FALSE)</f>
        <v xml:space="preserve">  B - Labour 4.0/7</v>
      </c>
      <c r="G2408" s="847" t="s">
        <v>4899</v>
      </c>
      <c r="H2408" s="929">
        <v>0.45</v>
      </c>
      <c r="I2408" s="848">
        <f>VLOOKUP(E2408,'16.NC'!$C$11:$F$22,4,FALSE)</f>
        <v>218927</v>
      </c>
      <c r="J2408" s="853">
        <f>I2408*H2408</f>
        <v>98517.150000000009</v>
      </c>
      <c r="L2408" s="872"/>
      <c r="M2408" s="872"/>
      <c r="N2408" s="843" t="e">
        <f>SUMIF(#REF!,'8.Dgia'!A2408,#REF!)+SUMIF(#REF!,'8.Dgia'!A2408,#REF!)+SUMIF(#REF!,'8.Dgia'!A2408,#REF!)+SUMIF(#REF!,'8.Dgia'!A2408,#REF!)</f>
        <v>#REF!</v>
      </c>
      <c r="O2408" s="844"/>
      <c r="P2408" s="843" t="e">
        <f t="shared" si="105"/>
        <v>#REF!</v>
      </c>
      <c r="R2408" s="658">
        <v>1</v>
      </c>
    </row>
    <row r="2409" spans="1:18" ht="15" customHeight="1">
      <c r="A2409" s="657">
        <f>IF(B2409="",MAX($A$8:A2408)+0,MAX($A$8:A2408)+1)</f>
        <v>281</v>
      </c>
      <c r="B2409" s="835" t="str">
        <f>IF(C2409="","",COUNTA($C$10:C2410))</f>
        <v/>
      </c>
      <c r="C2409" s="324"/>
      <c r="D2409" s="362"/>
      <c r="E2409" s="852" t="s">
        <v>2033</v>
      </c>
      <c r="F2409" s="848" t="str">
        <f>VLOOKUP(E2409,DICH!B:C,2,FALSE)</f>
        <v xml:space="preserve">  C - Machine</v>
      </c>
      <c r="G2409" s="847"/>
      <c r="H2409" s="929"/>
      <c r="I2409" s="848"/>
      <c r="J2409" s="849">
        <f>SUM(J2410:J2411)</f>
        <v>1484.3000347680002</v>
      </c>
      <c r="L2409" s="872"/>
      <c r="M2409" s="872"/>
      <c r="N2409" s="843" t="e">
        <f>SUMIF(#REF!,'8.Dgia'!A2409,#REF!)+SUMIF(#REF!,'8.Dgia'!A2409,#REF!)+SUMIF(#REF!,'8.Dgia'!A2409,#REF!)+SUMIF(#REF!,'8.Dgia'!A2409,#REF!)</f>
        <v>#REF!</v>
      </c>
      <c r="O2409" s="844"/>
      <c r="P2409" s="843" t="e">
        <f t="shared" si="105"/>
        <v>#REF!</v>
      </c>
    </row>
    <row r="2410" spans="1:18" ht="15" customHeight="1">
      <c r="A2410" s="657">
        <f>IF(B2410="",MAX($A$8:A2409)+0,MAX($A$8:A2409)+1)</f>
        <v>281</v>
      </c>
      <c r="B2410" s="835" t="str">
        <f>IF(C2410="","",COUNTA($C$10:C2411))</f>
        <v/>
      </c>
      <c r="C2410" s="930"/>
      <c r="D2410" s="930" t="s">
        <v>691</v>
      </c>
      <c r="E2410" s="852" t="s">
        <v>582</v>
      </c>
      <c r="F2410" s="848" t="str">
        <f>VLOOKUP(E2410,'9.may'!E:F,2,FALSE)</f>
        <v>concrete mixer 250L</v>
      </c>
      <c r="G2410" s="847" t="s">
        <v>4902</v>
      </c>
      <c r="H2410" s="935">
        <v>7.2960000000000004E-3</v>
      </c>
      <c r="I2410" s="848">
        <f>VLOOKUP(E2410,'9.may'!E:W,12,FALSE)</f>
        <v>180447.90000000002</v>
      </c>
      <c r="J2410" s="853">
        <f>I2410*H2410</f>
        <v>1316.5478784000002</v>
      </c>
      <c r="L2410" s="872"/>
      <c r="M2410" s="872"/>
      <c r="N2410" s="843" t="e">
        <f>SUMIF(#REF!,'8.Dgia'!A2410,#REF!)+SUMIF(#REF!,'8.Dgia'!A2410,#REF!)+SUMIF(#REF!,'8.Dgia'!A2410,#REF!)+SUMIF(#REF!,'8.Dgia'!A2410,#REF!)</f>
        <v>#REF!</v>
      </c>
      <c r="O2410" s="844"/>
      <c r="P2410" s="843" t="e">
        <f t="shared" si="105"/>
        <v>#REF!</v>
      </c>
    </row>
    <row r="2411" spans="1:18" ht="15" customHeight="1">
      <c r="A2411" s="657">
        <f>IF(B2411="",MAX($A$8:A2410)+0,MAX($A$8:A2410)+1)</f>
        <v>281</v>
      </c>
      <c r="B2411" s="835" t="str">
        <f>IF(C2411="","",COUNTA($C$10:C2412))</f>
        <v/>
      </c>
      <c r="C2411" s="930"/>
      <c r="D2411" s="930" t="s">
        <v>692</v>
      </c>
      <c r="E2411" s="852" t="s">
        <v>1424</v>
      </c>
      <c r="F2411" s="848" t="str">
        <f>VLOOKUP(E2411,'9.may'!E:F,2,FALSE)</f>
        <v>bender cutter 5Kw</v>
      </c>
      <c r="G2411" s="847" t="s">
        <v>4902</v>
      </c>
      <c r="H2411" s="935">
        <v>2.0892799999999998E-3</v>
      </c>
      <c r="I2411" s="848">
        <f>VLOOKUP(E2411,'9.may'!E:W,12,FALSE)</f>
        <v>80291.850000000006</v>
      </c>
      <c r="J2411" s="853">
        <f>I2411*H2411</f>
        <v>167.75215636799999</v>
      </c>
      <c r="L2411" s="872"/>
      <c r="M2411" s="872"/>
      <c r="N2411" s="843" t="e">
        <f>SUMIF(#REF!,'8.Dgia'!A2411,#REF!)+SUMIF(#REF!,'8.Dgia'!A2411,#REF!)+SUMIF(#REF!,'8.Dgia'!A2411,#REF!)+SUMIF(#REF!,'8.Dgia'!A2411,#REF!)</f>
        <v>#REF!</v>
      </c>
      <c r="O2411" s="844"/>
      <c r="P2411" s="843" t="e">
        <f t="shared" si="105"/>
        <v>#REF!</v>
      </c>
    </row>
    <row r="2412" spans="1:18" ht="15" customHeight="1">
      <c r="A2412" s="657">
        <f>IF(B2412="",MAX($A$8:A2411)+0,MAX($A$8:A2411)+1)</f>
        <v>282</v>
      </c>
      <c r="B2412" s="835">
        <f>IF(C2412="","",COUNTA($C$10:C2413))</f>
        <v>282</v>
      </c>
      <c r="C2412" s="324">
        <v>0</v>
      </c>
      <c r="D2412" s="927" t="s">
        <v>522</v>
      </c>
      <c r="E2412" s="855" t="s">
        <v>523</v>
      </c>
      <c r="F2412" s="1049" t="str">
        <f>VLOOKUP(E2412,DICH!B:C,2,FALSE)</f>
        <v>Lateral displacement observing stake</v>
      </c>
      <c r="G2412" s="928" t="s">
        <v>275</v>
      </c>
      <c r="H2412" s="929"/>
      <c r="I2412" s="848"/>
      <c r="J2412" s="853"/>
      <c r="K2412" s="842">
        <f>+J2413</f>
        <v>102000.00000000001</v>
      </c>
      <c r="L2412" s="872"/>
      <c r="M2412" s="872"/>
      <c r="N2412" s="843" t="e">
        <f>SUMIF(#REF!,'8.Dgia'!A2412,#REF!)+SUMIF(#REF!,'8.Dgia'!A2412,#REF!)+SUMIF(#REF!,'8.Dgia'!A2412,#REF!)+SUMIF(#REF!,'8.Dgia'!A2412,#REF!)</f>
        <v>#REF!</v>
      </c>
      <c r="O2412" s="844"/>
      <c r="P2412" s="843" t="e">
        <f t="shared" si="105"/>
        <v>#REF!</v>
      </c>
    </row>
    <row r="2413" spans="1:18" ht="15" customHeight="1">
      <c r="A2413" s="657">
        <f>IF(B2413="",MAX($A$8:A2412)+0,MAX($A$8:A2412)+1)</f>
        <v>282</v>
      </c>
      <c r="B2413" s="835" t="str">
        <f>IF(C2413="","",COUNTA($C$10:C2414))</f>
        <v/>
      </c>
      <c r="C2413" s="324"/>
      <c r="D2413" s="927"/>
      <c r="E2413" s="852" t="s">
        <v>2032</v>
      </c>
      <c r="F2413" s="848" t="str">
        <f>VLOOKUP(E2413,DICH!B:C,2,FALSE)</f>
        <v xml:space="preserve">  A - Material</v>
      </c>
      <c r="G2413" s="928"/>
      <c r="H2413" s="929"/>
      <c r="I2413" s="848"/>
      <c r="J2413" s="849">
        <f>+J2414+J2415</f>
        <v>102000.00000000001</v>
      </c>
      <c r="L2413" s="872"/>
      <c r="M2413" s="872"/>
      <c r="N2413" s="843" t="e">
        <f>SUMIF(#REF!,'8.Dgia'!A2413,#REF!)+SUMIF(#REF!,'8.Dgia'!A2413,#REF!)+SUMIF(#REF!,'8.Dgia'!A2413,#REF!)+SUMIF(#REF!,'8.Dgia'!A2413,#REF!)</f>
        <v>#REF!</v>
      </c>
      <c r="O2413" s="844"/>
      <c r="P2413" s="843" t="e">
        <f t="shared" si="105"/>
        <v>#REF!</v>
      </c>
    </row>
    <row r="2414" spans="1:18" ht="15" customHeight="1">
      <c r="A2414" s="657">
        <f>IF(B2414="",MAX($A$8:A2413)+0,MAX($A$8:A2413)+1)</f>
        <v>282</v>
      </c>
      <c r="B2414" s="835" t="str">
        <f>IF(C2414="","",COUNTA($C$10:C2415))</f>
        <v/>
      </c>
      <c r="C2414" s="324"/>
      <c r="D2414" s="362"/>
      <c r="E2414" s="852" t="s">
        <v>134</v>
      </c>
      <c r="F2414" s="848" t="str">
        <f>VLOOKUP(E2414,DICH!B:C,2,FALSE)</f>
        <v>Wooden</v>
      </c>
      <c r="G2414" s="929" t="s">
        <v>2036</v>
      </c>
      <c r="H2414" s="929">
        <v>2.0200000000000003E-2</v>
      </c>
      <c r="I2414" s="848">
        <f>VLOOKUP(E2414,'11.gia '!$B:$I,8,FALSE)</f>
        <v>5000000</v>
      </c>
      <c r="J2414" s="853">
        <f>I2414*H2414</f>
        <v>101000.00000000001</v>
      </c>
      <c r="L2414" s="872"/>
      <c r="M2414" s="872"/>
      <c r="N2414" s="843" t="e">
        <f>SUMIF(#REF!,'8.Dgia'!A2414,#REF!)+SUMIF(#REF!,'8.Dgia'!A2414,#REF!)+SUMIF(#REF!,'8.Dgia'!A2414,#REF!)+SUMIF(#REF!,'8.Dgia'!A2414,#REF!)</f>
        <v>#REF!</v>
      </c>
      <c r="O2414" s="844"/>
      <c r="P2414" s="843" t="e">
        <f t="shared" si="105"/>
        <v>#REF!</v>
      </c>
    </row>
    <row r="2415" spans="1:18" ht="15" customHeight="1">
      <c r="A2415" s="657">
        <f>IF(B2415="",MAX($A$8:A2414)+0,MAX($A$8:A2414)+1)</f>
        <v>282</v>
      </c>
      <c r="B2415" s="835" t="str">
        <f>IF(C2415="","",COUNTA($C$10:C2416))</f>
        <v/>
      </c>
      <c r="C2415" s="324"/>
      <c r="D2415" s="362"/>
      <c r="E2415" s="852" t="s">
        <v>652</v>
      </c>
      <c r="F2415" s="848" t="str">
        <f>VLOOKUP(E2415,DICH!B:C,2,FALSE)</f>
        <v>Thumbtack</v>
      </c>
      <c r="G2415" s="362" t="s">
        <v>4649</v>
      </c>
      <c r="H2415" s="929">
        <v>1</v>
      </c>
      <c r="I2415" s="848">
        <f>VLOOKUP(E2415,'11.gia '!$B:$I,8,FALSE)</f>
        <v>1000</v>
      </c>
      <c r="J2415" s="853">
        <f>I2415*H2415</f>
        <v>1000</v>
      </c>
      <c r="L2415" s="872"/>
      <c r="M2415" s="872"/>
      <c r="N2415" s="843" t="e">
        <f>SUMIF(#REF!,'8.Dgia'!A2415,#REF!)+SUMIF(#REF!,'8.Dgia'!A2415,#REF!)+SUMIF(#REF!,'8.Dgia'!A2415,#REF!)+SUMIF(#REF!,'8.Dgia'!A2415,#REF!)</f>
        <v>#REF!</v>
      </c>
      <c r="O2415" s="844"/>
      <c r="P2415" s="843" t="e">
        <f t="shared" si="105"/>
        <v>#REF!</v>
      </c>
    </row>
    <row r="2416" spans="1:18" ht="15" customHeight="1">
      <c r="A2416" s="657">
        <f>IF(B2416="",MAX($A$8:A2415)+0,MAX($A$8:A2415)+1)</f>
        <v>283</v>
      </c>
      <c r="B2416" s="835">
        <f>IF(C2416="","",COUNTA($C$10:C2417))</f>
        <v>283</v>
      </c>
      <c r="C2416" s="362">
        <v>0</v>
      </c>
      <c r="D2416" s="927" t="s">
        <v>306</v>
      </c>
      <c r="E2416" s="855" t="s">
        <v>746</v>
      </c>
      <c r="F2416" s="1049" t="str">
        <f>VLOOKUP(E2416,DICH!B:C,2,FALSE)</f>
        <v>Sign support</v>
      </c>
      <c r="G2416" s="856" t="s">
        <v>4651</v>
      </c>
      <c r="H2416" s="929"/>
      <c r="I2416" s="848"/>
      <c r="J2416" s="853"/>
      <c r="K2416" s="842" t="e">
        <f>+J2417</f>
        <v>#REF!</v>
      </c>
      <c r="L2416" s="936">
        <f>+J2423</f>
        <v>6020345.2439999999</v>
      </c>
      <c r="M2416" s="936" t="e">
        <f>+J2426</f>
        <v>#REF!</v>
      </c>
      <c r="N2416" s="843" t="e">
        <f>SUMIF(#REF!,'8.Dgia'!A2416,#REF!)+SUMIF(#REF!,'8.Dgia'!A2416,#REF!)+SUMIF(#REF!,'8.Dgia'!A2416,#REF!)+SUMIF(#REF!,'8.Dgia'!A2416,#REF!)</f>
        <v>#REF!</v>
      </c>
      <c r="O2416" s="844"/>
      <c r="P2416" s="843" t="s">
        <v>457</v>
      </c>
    </row>
    <row r="2417" spans="1:18" ht="15" customHeight="1">
      <c r="A2417" s="657">
        <f>IF(B2417="",MAX($A$8:A2416)+0,MAX($A$8:A2416)+1)</f>
        <v>283</v>
      </c>
      <c r="B2417" s="835" t="str">
        <f>IF(C2417="","",COUNTA($C$10:C2418))</f>
        <v/>
      </c>
      <c r="C2417" s="324"/>
      <c r="D2417" s="927"/>
      <c r="E2417" s="852" t="s">
        <v>2032</v>
      </c>
      <c r="F2417" s="848" t="str">
        <f>VLOOKUP(E2417,DICH!B:C,2,FALSE)</f>
        <v xml:space="preserve">  A - Material</v>
      </c>
      <c r="G2417" s="928"/>
      <c r="H2417" s="929"/>
      <c r="I2417" s="848"/>
      <c r="J2417" s="849" t="e">
        <f>SUM(J2418:J2422)</f>
        <v>#REF!</v>
      </c>
      <c r="L2417" s="872"/>
      <c r="M2417" s="872"/>
      <c r="N2417" s="843" t="e">
        <f>SUMIF(#REF!,'8.Dgia'!A2417,#REF!)+SUMIF(#REF!,'8.Dgia'!A2417,#REF!)+SUMIF(#REF!,'8.Dgia'!A2417,#REF!)+SUMIF(#REF!,'8.Dgia'!A2417,#REF!)</f>
        <v>#REF!</v>
      </c>
      <c r="O2417" s="844"/>
      <c r="P2417" s="843" t="s">
        <v>457</v>
      </c>
    </row>
    <row r="2418" spans="1:18" ht="15" customHeight="1">
      <c r="A2418" s="657">
        <f>IF(B2418="",MAX($A$8:A2417)+0,MAX($A$8:A2417)+1)</f>
        <v>283</v>
      </c>
      <c r="B2418" s="835" t="str">
        <f>IF(C2418="","",COUNTA($C$10:C2419))</f>
        <v/>
      </c>
      <c r="C2418" s="324"/>
      <c r="D2418" s="362"/>
      <c r="E2418" s="852" t="s">
        <v>562</v>
      </c>
      <c r="F2418" s="848" t="str">
        <f>VLOOKUP(E2418,DICH!B:C,2,FALSE)</f>
        <v>Plate steel</v>
      </c>
      <c r="G2418" s="929" t="s">
        <v>558</v>
      </c>
      <c r="H2418" s="929" t="e">
        <f>+#REF!*1000</f>
        <v>#REF!</v>
      </c>
      <c r="I2418" s="848">
        <f>VLOOKUP(E2418,'11.gia '!$B:$I,8,FALSE)</f>
        <v>12871.348287272725</v>
      </c>
      <c r="J2418" s="853" t="e">
        <f>I2418*H2418</f>
        <v>#REF!</v>
      </c>
      <c r="L2418" s="872"/>
      <c r="M2418" s="872"/>
      <c r="N2418" s="843" t="e">
        <f>SUMIF(#REF!,'8.Dgia'!A2418,#REF!)+SUMIF(#REF!,'8.Dgia'!A2418,#REF!)+SUMIF(#REF!,'8.Dgia'!A2418,#REF!)+SUMIF(#REF!,'8.Dgia'!A2418,#REF!)</f>
        <v>#REF!</v>
      </c>
      <c r="O2418" s="844"/>
      <c r="P2418" s="843" t="s">
        <v>457</v>
      </c>
    </row>
    <row r="2419" spans="1:18" ht="15" customHeight="1">
      <c r="A2419" s="657">
        <f>IF(B2419="",MAX($A$8:A2418)+0,MAX($A$8:A2418)+1)</f>
        <v>283</v>
      </c>
      <c r="B2419" s="835" t="str">
        <f>IF(C2419="","",COUNTA($C$10:C2420))</f>
        <v/>
      </c>
      <c r="C2419" s="324"/>
      <c r="D2419" s="362"/>
      <c r="E2419" s="852" t="s">
        <v>671</v>
      </c>
      <c r="F2419" s="848" t="str">
        <f>VLOOKUP(E2419,DICH!B:C,2,FALSE)</f>
        <v>steel bar D&lt;=18</v>
      </c>
      <c r="G2419" s="847" t="s">
        <v>558</v>
      </c>
      <c r="H2419" s="929"/>
      <c r="I2419" s="848">
        <f>VLOOKUP(E2419,'11.gia '!$B:$I,8,FALSE)</f>
        <v>16604.075560000001</v>
      </c>
      <c r="J2419" s="853">
        <f>I2419*H2419</f>
        <v>0</v>
      </c>
      <c r="L2419" s="872"/>
      <c r="M2419" s="872"/>
      <c r="N2419" s="843" t="e">
        <f>SUMIF(#REF!,'8.Dgia'!A2419,#REF!)+SUMIF(#REF!,'8.Dgia'!A2419,#REF!)+SUMIF(#REF!,'8.Dgia'!A2419,#REF!)+SUMIF(#REF!,'8.Dgia'!A2419,#REF!)</f>
        <v>#REF!</v>
      </c>
      <c r="O2419" s="844"/>
      <c r="P2419" s="843" t="s">
        <v>457</v>
      </c>
    </row>
    <row r="2420" spans="1:18" ht="15" customHeight="1">
      <c r="A2420" s="657">
        <f>IF(B2420="",MAX($A$8:A2419)+0,MAX($A$8:A2419)+1)</f>
        <v>283</v>
      </c>
      <c r="B2420" s="835" t="str">
        <f>IF(C2420="","",COUNTA($C$10:C2421))</f>
        <v/>
      </c>
      <c r="C2420" s="324"/>
      <c r="D2420" s="324"/>
      <c r="E2420" s="852" t="s">
        <v>317</v>
      </c>
      <c r="F2420" s="848" t="str">
        <f>VLOOKUP(E2420,DICH!B:C,2,FALSE)</f>
        <v>Scew nut M10</v>
      </c>
      <c r="G2420" s="362" t="s">
        <v>4651</v>
      </c>
      <c r="H2420" s="937" t="e">
        <f>+#REF!</f>
        <v>#REF!</v>
      </c>
      <c r="I2420" s="848">
        <f>VLOOKUP(E2420,'11.gia '!$B:$I,8,FALSE)</f>
        <v>3000</v>
      </c>
      <c r="J2420" s="853" t="e">
        <f>I2420*H2420</f>
        <v>#REF!</v>
      </c>
      <c r="L2420" s="872"/>
      <c r="M2420" s="872"/>
      <c r="N2420" s="843" t="e">
        <f>SUMIF(#REF!,'8.Dgia'!A2420,#REF!)+SUMIF(#REF!,'8.Dgia'!A2420,#REF!)+SUMIF(#REF!,'8.Dgia'!A2420,#REF!)+SUMIF(#REF!,'8.Dgia'!A2420,#REF!)</f>
        <v>#REF!</v>
      </c>
      <c r="O2420" s="844"/>
      <c r="P2420" s="843" t="s">
        <v>457</v>
      </c>
    </row>
    <row r="2421" spans="1:18" ht="15" customHeight="1">
      <c r="A2421" s="657">
        <f>IF(B2421="",MAX($A$8:A2420)+0,MAX($A$8:A2420)+1)</f>
        <v>283</v>
      </c>
      <c r="B2421" s="835" t="str">
        <f>IF(C2421="","",COUNTA($C$10:C2422))</f>
        <v/>
      </c>
      <c r="C2421" s="324"/>
      <c r="D2421" s="324"/>
      <c r="E2421" s="852" t="s">
        <v>318</v>
      </c>
      <c r="F2421" s="848" t="str">
        <f>VLOOKUP(E2421,DICH!B:C,2,FALSE)</f>
        <v>Steel tacke M12</v>
      </c>
      <c r="G2421" s="362" t="s">
        <v>4651</v>
      </c>
      <c r="H2421" s="937" t="e">
        <f>+#REF!</f>
        <v>#REF!</v>
      </c>
      <c r="I2421" s="848">
        <f>VLOOKUP(E2421,'11.gia '!$B:$I,8,FALSE)</f>
        <v>2000</v>
      </c>
      <c r="J2421" s="853" t="e">
        <f>I2421*H2421</f>
        <v>#REF!</v>
      </c>
      <c r="L2421" s="872"/>
      <c r="M2421" s="872"/>
      <c r="N2421" s="843" t="e">
        <f>SUMIF(#REF!,'8.Dgia'!A2421,#REF!)+SUMIF(#REF!,'8.Dgia'!A2421,#REF!)+SUMIF(#REF!,'8.Dgia'!A2421,#REF!)+SUMIF(#REF!,'8.Dgia'!A2421,#REF!)</f>
        <v>#REF!</v>
      </c>
      <c r="O2421" s="844"/>
      <c r="P2421" s="843" t="s">
        <v>457</v>
      </c>
    </row>
    <row r="2422" spans="1:18" ht="15" customHeight="1">
      <c r="A2422" s="657">
        <f>IF(B2422="",MAX($A$8:A2421)+0,MAX($A$8:A2421)+1)</f>
        <v>283</v>
      </c>
      <c r="B2422" s="835" t="str">
        <f>IF(C2422="","",COUNTA($C$10:C2423))</f>
        <v/>
      </c>
      <c r="C2422" s="324"/>
      <c r="D2422" s="324"/>
      <c r="E2422" s="852" t="s">
        <v>319</v>
      </c>
      <c r="F2422" s="848" t="str">
        <f>VLOOKUP(E2422,DICH!B:C,2,FALSE)</f>
        <v>Rubber pad</v>
      </c>
      <c r="G2422" s="362" t="s">
        <v>4651</v>
      </c>
      <c r="H2422" s="929"/>
      <c r="I2422" s="848" t="e">
        <f>VLOOKUP(E2422,'11.gia '!$B:$I,8,FALSE)</f>
        <v>#N/A</v>
      </c>
      <c r="J2422" s="853" t="e">
        <f>I2422*H2422</f>
        <v>#N/A</v>
      </c>
      <c r="K2422" s="872"/>
      <c r="L2422" s="872"/>
      <c r="M2422" s="872"/>
      <c r="N2422" s="843" t="e">
        <f>SUMIF(#REF!,'8.Dgia'!A2422,#REF!)+SUMIF(#REF!,'8.Dgia'!A2422,#REF!)+SUMIF(#REF!,'8.Dgia'!A2422,#REF!)+SUMIF(#REF!,'8.Dgia'!A2422,#REF!)</f>
        <v>#REF!</v>
      </c>
      <c r="O2422" s="844"/>
      <c r="P2422" s="843" t="s">
        <v>457</v>
      </c>
    </row>
    <row r="2423" spans="1:18" ht="15" customHeight="1">
      <c r="A2423" s="657">
        <f>IF(B2423="",MAX($A$8:A2422)+0,MAX($A$8:A2422)+1)</f>
        <v>283</v>
      </c>
      <c r="B2423" s="835" t="str">
        <f>IF(C2423="","",COUNTA($C$10:C2424))</f>
        <v/>
      </c>
      <c r="C2423" s="324"/>
      <c r="D2423" s="362"/>
      <c r="E2423" s="852" t="s">
        <v>5684</v>
      </c>
      <c r="F2423" s="848" t="e">
        <f>VLOOKUP(E2423,DICH!B:C,2,FALSE)</f>
        <v>#N/A</v>
      </c>
      <c r="G2423" s="929"/>
      <c r="H2423" s="933"/>
      <c r="I2423" s="938"/>
      <c r="J2423" s="909">
        <f>SUM(J2424:J2425)</f>
        <v>6020345.2439999999</v>
      </c>
      <c r="K2423" s="872"/>
      <c r="L2423" s="872"/>
      <c r="M2423" s="872"/>
      <c r="N2423" s="843" t="e">
        <f>SUMIF(#REF!,'8.Dgia'!A2423,#REF!)+SUMIF(#REF!,'8.Dgia'!A2423,#REF!)+SUMIF(#REF!,'8.Dgia'!A2423,#REF!)+SUMIF(#REF!,'8.Dgia'!A2423,#REF!)</f>
        <v>#REF!</v>
      </c>
      <c r="O2423" s="844"/>
      <c r="P2423" s="843" t="s">
        <v>457</v>
      </c>
    </row>
    <row r="2424" spans="1:18" ht="15" customHeight="1">
      <c r="A2424" s="657">
        <f>IF(B2424="",MAX($A$8:A2423)+0,MAX($A$8:A2423)+1)</f>
        <v>283</v>
      </c>
      <c r="B2424" s="835" t="str">
        <f>IF(C2424="","",COUNTA($C$10:C2425))</f>
        <v/>
      </c>
      <c r="C2424" s="927"/>
      <c r="D2424" s="927" t="s">
        <v>68</v>
      </c>
      <c r="E2424" s="852" t="s">
        <v>2039</v>
      </c>
      <c r="F2424" s="848" t="str">
        <f>VLOOKUP(E2424,DICH!B:C,2,FALSE)</f>
        <v xml:space="preserve">  B - Labour 4.0/7</v>
      </c>
      <c r="G2424" s="847" t="s">
        <v>4899</v>
      </c>
      <c r="H2424" s="934">
        <v>18.5</v>
      </c>
      <c r="I2424" s="848">
        <f>VLOOKUP(E2424,'16.NC'!$C$11:$F$22,4,FALSE)</f>
        <v>218927</v>
      </c>
      <c r="J2424" s="853">
        <f>I2424*H2424</f>
        <v>4050149.5</v>
      </c>
      <c r="K2424" s="872"/>
      <c r="L2424" s="872"/>
      <c r="M2424" s="872"/>
      <c r="N2424" s="843" t="e">
        <f>SUMIF(#REF!,'8.Dgia'!A2424,#REF!)+SUMIF(#REF!,'8.Dgia'!A2424,#REF!)+SUMIF(#REF!,'8.Dgia'!A2424,#REF!)+SUMIF(#REF!,'8.Dgia'!A2424,#REF!)</f>
        <v>#REF!</v>
      </c>
      <c r="O2424" s="844"/>
      <c r="P2424" s="843" t="s">
        <v>457</v>
      </c>
      <c r="R2424" s="658">
        <v>1</v>
      </c>
    </row>
    <row r="2425" spans="1:18" ht="15" customHeight="1">
      <c r="A2425" s="657">
        <f>IF(B2425="",MAX($A$8:A2424)+0,MAX($A$8:A2424)+1)</f>
        <v>283</v>
      </c>
      <c r="B2425" s="835" t="str">
        <f>IF(C2425="","",COUNTA($C$10:C2426))</f>
        <v/>
      </c>
      <c r="C2425" s="927"/>
      <c r="D2425" s="927" t="s">
        <v>128</v>
      </c>
      <c r="E2425" s="852" t="s">
        <v>2037</v>
      </c>
      <c r="F2425" s="848" t="str">
        <f>VLOOKUP(E2425,DICH!B:C,2,FALSE)</f>
        <v xml:space="preserve">  B - Labour 3.5/7</v>
      </c>
      <c r="G2425" s="847" t="s">
        <v>4899</v>
      </c>
      <c r="H2425" s="934">
        <v>9.7119999999999997</v>
      </c>
      <c r="I2425" s="848">
        <f>VLOOKUP(E2425,'16.NC'!$C$11:$F$22,4,FALSE)</f>
        <v>202862</v>
      </c>
      <c r="J2425" s="853">
        <f>I2425*H2425</f>
        <v>1970195.7439999999</v>
      </c>
      <c r="K2425" s="872"/>
      <c r="L2425" s="872"/>
      <c r="M2425" s="872"/>
      <c r="N2425" s="843" t="e">
        <f>SUMIF(#REF!,'8.Dgia'!A2425,#REF!)+SUMIF(#REF!,'8.Dgia'!A2425,#REF!)+SUMIF(#REF!,'8.Dgia'!A2425,#REF!)+SUMIF(#REF!,'8.Dgia'!A2425,#REF!)</f>
        <v>#REF!</v>
      </c>
      <c r="O2425" s="844"/>
      <c r="P2425" s="843" t="s">
        <v>457</v>
      </c>
      <c r="R2425" s="658">
        <v>1</v>
      </c>
    </row>
    <row r="2426" spans="1:18" ht="15" customHeight="1">
      <c r="A2426" s="657">
        <f>IF(B2426="",MAX($A$8:A2425)+0,MAX($A$8:A2425)+1)</f>
        <v>283</v>
      </c>
      <c r="B2426" s="835" t="str">
        <f>IF(C2426="","",COUNTA($C$10:C2427))</f>
        <v/>
      </c>
      <c r="C2426" s="927"/>
      <c r="D2426" s="817"/>
      <c r="E2426" s="852" t="s">
        <v>2033</v>
      </c>
      <c r="F2426" s="848" t="str">
        <f>VLOOKUP(E2426,DICH!B:C,2,FALSE)</f>
        <v xml:space="preserve">  C - Machine</v>
      </c>
      <c r="G2426" s="362"/>
      <c r="H2426" s="847"/>
      <c r="I2426" s="848"/>
      <c r="J2426" s="849" t="e">
        <f>SUM(J2427:J2436)</f>
        <v>#REF!</v>
      </c>
      <c r="K2426" s="872"/>
      <c r="L2426" s="872"/>
      <c r="M2426" s="872"/>
      <c r="N2426" s="843" t="e">
        <f>SUMIF(#REF!,'8.Dgia'!A2426,#REF!)+SUMIF(#REF!,'8.Dgia'!A2426,#REF!)+SUMIF(#REF!,'8.Dgia'!A2426,#REF!)+SUMIF(#REF!,'8.Dgia'!A2426,#REF!)</f>
        <v>#REF!</v>
      </c>
      <c r="O2426" s="844"/>
      <c r="P2426" s="843" t="s">
        <v>457</v>
      </c>
    </row>
    <row r="2427" spans="1:18" ht="15" customHeight="1">
      <c r="A2427" s="657">
        <f>IF(B2427="",MAX($A$8:A2426)+0,MAX($A$8:A2426)+1)</f>
        <v>283</v>
      </c>
      <c r="B2427" s="835" t="str">
        <f>IF(C2427="","",COUNTA($C$10:C2428))</f>
        <v/>
      </c>
      <c r="C2427" s="927"/>
      <c r="D2427" s="927" t="s">
        <v>68</v>
      </c>
      <c r="E2427" s="852" t="s">
        <v>560</v>
      </c>
      <c r="F2427" s="848" t="str">
        <f>VLOOKUP(E2427,'9.may'!E:F,2,FALSE)</f>
        <v>welding machine 23kW</v>
      </c>
      <c r="G2427" s="362" t="s">
        <v>4902</v>
      </c>
      <c r="H2427" s="859" t="e">
        <f>5.18*H2418/1000</f>
        <v>#REF!</v>
      </c>
      <c r="I2427" s="848">
        <f>VLOOKUP(E2427,'9.may'!E:W,12,FALSE)</f>
        <v>171649.155</v>
      </c>
      <c r="J2427" s="853" t="e">
        <f>I2427*H2427</f>
        <v>#REF!</v>
      </c>
      <c r="K2427" s="872"/>
      <c r="L2427" s="872"/>
      <c r="M2427" s="872"/>
      <c r="N2427" s="843" t="e">
        <f>SUMIF(#REF!,'8.Dgia'!A2427,#REF!)+SUMIF(#REF!,'8.Dgia'!A2427,#REF!)+SUMIF(#REF!,'8.Dgia'!A2427,#REF!)+SUMIF(#REF!,'8.Dgia'!A2427,#REF!)</f>
        <v>#REF!</v>
      </c>
      <c r="O2427" s="844">
        <f>+$H$2431</f>
        <v>5</v>
      </c>
      <c r="P2427" s="843" t="s">
        <v>457</v>
      </c>
    </row>
    <row r="2428" spans="1:18" ht="15" customHeight="1">
      <c r="A2428" s="657">
        <f>IF(B2428="",MAX($A$8:A2427)+0,MAX($A$8:A2427)+1)</f>
        <v>283</v>
      </c>
      <c r="B2428" s="835" t="str">
        <f>IF(C2428="","",COUNTA($C$10:C2429))</f>
        <v/>
      </c>
      <c r="C2428" s="927"/>
      <c r="D2428" s="817"/>
      <c r="E2428" s="852" t="s">
        <v>748</v>
      </c>
      <c r="F2428" s="848" t="str">
        <f>VLOOKUP(E2428,'9.may'!E:F,2,FALSE)</f>
        <v xml:space="preserve">plasma cutting machine </v>
      </c>
      <c r="G2428" s="362" t="s">
        <v>4902</v>
      </c>
      <c r="H2428" s="859" t="e">
        <f>1.25*H2418/1000</f>
        <v>#REF!</v>
      </c>
      <c r="I2428" s="848">
        <f>VLOOKUP(E2428,'9.may'!E:W,12,FALSE)</f>
        <v>115584.57</v>
      </c>
      <c r="J2428" s="853" t="e">
        <f>I2428*H2428</f>
        <v>#REF!</v>
      </c>
      <c r="K2428" s="872"/>
      <c r="L2428" s="872"/>
      <c r="M2428" s="872"/>
      <c r="N2428" s="843" t="e">
        <f>SUMIF(#REF!,'8.Dgia'!A2428,#REF!)+SUMIF(#REF!,'8.Dgia'!A2428,#REF!)+SUMIF(#REF!,'8.Dgia'!A2428,#REF!)+SUMIF(#REF!,'8.Dgia'!A2428,#REF!)</f>
        <v>#REF!</v>
      </c>
      <c r="O2428" s="844">
        <f>+$H$2431</f>
        <v>5</v>
      </c>
      <c r="P2428" s="843" t="s">
        <v>457</v>
      </c>
    </row>
    <row r="2429" spans="1:18" ht="15" customHeight="1">
      <c r="A2429" s="657">
        <f>IF(B2429="",MAX($A$8:A2428)+0,MAX($A$8:A2428)+1)</f>
        <v>283</v>
      </c>
      <c r="B2429" s="835" t="str">
        <f>IF(C2429="","",COUNTA($C$10:C2430))</f>
        <v/>
      </c>
      <c r="C2429" s="927"/>
      <c r="D2429" s="817"/>
      <c r="E2429" s="852" t="s">
        <v>269</v>
      </c>
      <c r="F2429" s="848" t="str">
        <f>VLOOKUP(E2429,'9.may'!E:F,2,FALSE)</f>
        <v>driller 4.5kW</v>
      </c>
      <c r="G2429" s="362" t="s">
        <v>4902</v>
      </c>
      <c r="H2429" s="859" t="e">
        <f>1.5*H2418/1000</f>
        <v>#REF!</v>
      </c>
      <c r="I2429" s="848">
        <f>VLOOKUP(E2429,'9.may'!E:W,12,FALSE)</f>
        <v>108158.5425</v>
      </c>
      <c r="J2429" s="853" t="e">
        <f>I2429*H2429</f>
        <v>#REF!</v>
      </c>
      <c r="K2429" s="872"/>
      <c r="L2429" s="872"/>
      <c r="M2429" s="872"/>
      <c r="N2429" s="843" t="e">
        <f>SUMIF(#REF!,'8.Dgia'!A2429,#REF!)+SUMIF(#REF!,'8.Dgia'!A2429,#REF!)+SUMIF(#REF!,'8.Dgia'!A2429,#REF!)+SUMIF(#REF!,'8.Dgia'!A2429,#REF!)</f>
        <v>#REF!</v>
      </c>
      <c r="O2429" s="844">
        <f>+$H$2431</f>
        <v>5</v>
      </c>
      <c r="P2429" s="843" t="s">
        <v>457</v>
      </c>
    </row>
    <row r="2430" spans="1:18" ht="15" customHeight="1">
      <c r="A2430" s="657">
        <f>IF(B2430="",MAX($A$8:A2429)+0,MAX($A$8:A2429)+1)</f>
        <v>283</v>
      </c>
      <c r="B2430" s="835" t="str">
        <f>IF(C2430="","",COUNTA($C$10:C2431))</f>
        <v/>
      </c>
      <c r="C2430" s="927"/>
      <c r="D2430" s="817"/>
      <c r="E2430" s="852" t="s">
        <v>286</v>
      </c>
      <c r="F2430" s="848" t="str">
        <f>VLOOKUP(E2430,'9.may'!E:F,2,FALSE)</f>
        <v>tyre crane 16T</v>
      </c>
      <c r="G2430" s="362" t="s">
        <v>4902</v>
      </c>
      <c r="H2430" s="859" t="e">
        <f>0.38*H2418/1000</f>
        <v>#REF!</v>
      </c>
      <c r="I2430" s="848">
        <f>VLOOKUP(E2430,'9.may'!E:W,12,FALSE)</f>
        <v>2023241.85</v>
      </c>
      <c r="J2430" s="853" t="e">
        <f>I2430*H2430</f>
        <v>#REF!</v>
      </c>
      <c r="K2430" s="872"/>
      <c r="L2430" s="872"/>
      <c r="M2430" s="872"/>
      <c r="N2430" s="843" t="e">
        <f>SUMIF(#REF!,'8.Dgia'!A2430,#REF!)+SUMIF(#REF!,'8.Dgia'!A2430,#REF!)+SUMIF(#REF!,'8.Dgia'!A2430,#REF!)+SUMIF(#REF!,'8.Dgia'!A2430,#REF!)</f>
        <v>#REF!</v>
      </c>
      <c r="O2430" s="844">
        <f>+$H$2431</f>
        <v>5</v>
      </c>
      <c r="P2430" s="843" t="s">
        <v>457</v>
      </c>
    </row>
    <row r="2431" spans="1:18" ht="15" customHeight="1">
      <c r="A2431" s="657">
        <f>IF(B2431="",MAX($A$8:A2430)+0,MAX($A$8:A2430)+1)</f>
        <v>283</v>
      </c>
      <c r="B2431" s="835" t="str">
        <f>IF(C2431="","",COUNTA($C$10:C2432))</f>
        <v/>
      </c>
      <c r="C2431" s="927"/>
      <c r="D2431" s="817"/>
      <c r="E2431" s="852" t="s">
        <v>553</v>
      </c>
      <c r="F2431" s="848" t="str">
        <f>VLOOKUP(E2431,DICH!B:C,2,FALSE)</f>
        <v>Other machine</v>
      </c>
      <c r="G2431" s="362" t="s">
        <v>554</v>
      </c>
      <c r="H2431" s="847">
        <v>5</v>
      </c>
      <c r="I2431" s="848" t="e">
        <f>SUM(J2427:J2430)</f>
        <v>#REF!</v>
      </c>
      <c r="J2431" s="853" t="e">
        <f>I2431*H2431%</f>
        <v>#REF!</v>
      </c>
      <c r="K2431" s="872"/>
      <c r="L2431" s="872"/>
      <c r="M2431" s="872"/>
      <c r="N2431" s="843" t="e">
        <f>SUMIF(#REF!,'8.Dgia'!A2431,#REF!)+SUMIF(#REF!,'8.Dgia'!A2431,#REF!)+SUMIF(#REF!,'8.Dgia'!A2431,#REF!)+SUMIF(#REF!,'8.Dgia'!A2431,#REF!)</f>
        <v>#REF!</v>
      </c>
      <c r="O2431" s="844"/>
      <c r="P2431" s="843" t="s">
        <v>457</v>
      </c>
    </row>
    <row r="2432" spans="1:18" ht="15" customHeight="1">
      <c r="A2432" s="657">
        <f>IF(B2432="",MAX($A$8:A2431)+0,MAX($A$8:A2431)+1)</f>
        <v>283</v>
      </c>
      <c r="B2432" s="835" t="str">
        <f>IF(C2432="","",COUNTA($C$10:C2433))</f>
        <v/>
      </c>
      <c r="C2432" s="927"/>
      <c r="D2432" s="927" t="s">
        <v>128</v>
      </c>
      <c r="E2432" s="852" t="s">
        <v>286</v>
      </c>
      <c r="F2432" s="848" t="str">
        <f>VLOOKUP(E2432,'9.may'!E:F,2,FALSE)</f>
        <v>tyre crane 16T</v>
      </c>
      <c r="G2432" s="362" t="s">
        <v>4902</v>
      </c>
      <c r="H2432" s="859" t="e">
        <f>0.32*H2418/1000</f>
        <v>#REF!</v>
      </c>
      <c r="I2432" s="848">
        <f>VLOOKUP(E2432,'9.may'!E:W,12,FALSE)</f>
        <v>2023241.85</v>
      </c>
      <c r="J2432" s="853" t="e">
        <f>I2432*H2432</f>
        <v>#REF!</v>
      </c>
      <c r="K2432" s="872"/>
      <c r="L2432" s="872"/>
      <c r="M2432" s="872"/>
      <c r="N2432" s="843" t="e">
        <f>SUMIF(#REF!,'8.Dgia'!A2432,#REF!)+SUMIF(#REF!,'8.Dgia'!A2432,#REF!)+SUMIF(#REF!,'8.Dgia'!A2432,#REF!)+SUMIF(#REF!,'8.Dgia'!A2432,#REF!)</f>
        <v>#REF!</v>
      </c>
      <c r="O2432" s="844">
        <f>+$H$2436</f>
        <v>5</v>
      </c>
      <c r="P2432" s="843" t="s">
        <v>457</v>
      </c>
    </row>
    <row r="2433" spans="1:18" ht="15" customHeight="1">
      <c r="A2433" s="657">
        <f>IF(B2433="",MAX($A$8:A2432)+0,MAX($A$8:A2432)+1)</f>
        <v>283</v>
      </c>
      <c r="B2433" s="835" t="str">
        <f>IF(C2433="","",COUNTA($C$10:C2434))</f>
        <v/>
      </c>
      <c r="C2433" s="927"/>
      <c r="D2433" s="817"/>
      <c r="E2433" s="852" t="s">
        <v>560</v>
      </c>
      <c r="F2433" s="848" t="str">
        <f>VLOOKUP(E2433,'9.may'!E:F,2,FALSE)</f>
        <v>welding machine 23kW</v>
      </c>
      <c r="G2433" s="362" t="s">
        <v>4902</v>
      </c>
      <c r="H2433" s="859" t="e">
        <f>1.2*H2418/1000</f>
        <v>#REF!</v>
      </c>
      <c r="I2433" s="848">
        <f>VLOOKUP(E2433,'9.may'!E:W,12,FALSE)</f>
        <v>171649.155</v>
      </c>
      <c r="J2433" s="853" t="e">
        <f>I2433*H2433</f>
        <v>#REF!</v>
      </c>
      <c r="K2433" s="872"/>
      <c r="L2433" s="872"/>
      <c r="M2433" s="872"/>
      <c r="N2433" s="843" t="e">
        <f>SUMIF(#REF!,'8.Dgia'!A2433,#REF!)+SUMIF(#REF!,'8.Dgia'!A2433,#REF!)+SUMIF(#REF!,'8.Dgia'!A2433,#REF!)+SUMIF(#REF!,'8.Dgia'!A2433,#REF!)</f>
        <v>#REF!</v>
      </c>
      <c r="O2433" s="844">
        <f>+$H$2436</f>
        <v>5</v>
      </c>
      <c r="P2433" s="843" t="s">
        <v>457</v>
      </c>
    </row>
    <row r="2434" spans="1:18" ht="15" customHeight="1">
      <c r="A2434" s="657">
        <f>IF(B2434="",MAX($A$8:A2433)+0,MAX($A$8:A2433)+1)</f>
        <v>283</v>
      </c>
      <c r="B2434" s="835" t="str">
        <f>IF(C2434="","",COUNTA($C$10:C2435))</f>
        <v/>
      </c>
      <c r="C2434" s="927"/>
      <c r="D2434" s="817"/>
      <c r="E2434" s="852" t="s">
        <v>269</v>
      </c>
      <c r="F2434" s="848" t="str">
        <f>VLOOKUP(E2434,'9.may'!E:F,2,FALSE)</f>
        <v>driller 4.5kW</v>
      </c>
      <c r="G2434" s="362" t="s">
        <v>4902</v>
      </c>
      <c r="H2434" s="859" t="e">
        <f>0.9*H2418/1000</f>
        <v>#REF!</v>
      </c>
      <c r="I2434" s="848">
        <f>VLOOKUP(E2434,'9.may'!E:W,12,FALSE)</f>
        <v>108158.5425</v>
      </c>
      <c r="J2434" s="853" t="e">
        <f>I2434*H2434</f>
        <v>#REF!</v>
      </c>
      <c r="K2434" s="872"/>
      <c r="L2434" s="872"/>
      <c r="M2434" s="872"/>
      <c r="N2434" s="843" t="e">
        <f>SUMIF(#REF!,'8.Dgia'!A2434,#REF!)+SUMIF(#REF!,'8.Dgia'!A2434,#REF!)+SUMIF(#REF!,'8.Dgia'!A2434,#REF!)+SUMIF(#REF!,'8.Dgia'!A2434,#REF!)</f>
        <v>#REF!</v>
      </c>
      <c r="O2434" s="844">
        <f>+$H$2436</f>
        <v>5</v>
      </c>
      <c r="P2434" s="843" t="s">
        <v>457</v>
      </c>
    </row>
    <row r="2435" spans="1:18" ht="15" customHeight="1">
      <c r="A2435" s="657">
        <f>IF(B2435="",MAX($A$8:A2434)+0,MAX($A$8:A2434)+1)</f>
        <v>283</v>
      </c>
      <c r="B2435" s="835" t="str">
        <f>IF(C2435="","",COUNTA($C$10:C2436))</f>
        <v/>
      </c>
      <c r="C2435" s="927"/>
      <c r="D2435" s="817"/>
      <c r="E2435" s="852" t="s">
        <v>439</v>
      </c>
      <c r="F2435" s="848" t="str">
        <f>VLOOKUP(E2435,'9.may'!E:F,2,FALSE)</f>
        <v>diesel air compressor 360m3/h</v>
      </c>
      <c r="G2435" s="362" t="s">
        <v>4902</v>
      </c>
      <c r="H2435" s="859" t="e">
        <f>0.25*H2418/1000</f>
        <v>#REF!</v>
      </c>
      <c r="I2435" s="848">
        <f>VLOOKUP(E2435,'9.may'!E:W,12,FALSE)</f>
        <v>1130690.8450909092</v>
      </c>
      <c r="J2435" s="853" t="e">
        <f>I2435*H2435</f>
        <v>#REF!</v>
      </c>
      <c r="K2435" s="872"/>
      <c r="L2435" s="872"/>
      <c r="M2435" s="872"/>
      <c r="N2435" s="843" t="e">
        <f>SUMIF(#REF!,'8.Dgia'!A2435,#REF!)+SUMIF(#REF!,'8.Dgia'!A2435,#REF!)+SUMIF(#REF!,'8.Dgia'!A2435,#REF!)+SUMIF(#REF!,'8.Dgia'!A2435,#REF!)</f>
        <v>#REF!</v>
      </c>
      <c r="O2435" s="844">
        <f>+$H$2436</f>
        <v>5</v>
      </c>
      <c r="P2435" s="843" t="s">
        <v>457</v>
      </c>
    </row>
    <row r="2436" spans="1:18" ht="15" customHeight="1">
      <c r="A2436" s="657">
        <f>IF(B2436="",MAX($A$8:A2435)+0,MAX($A$8:A2435)+1)</f>
        <v>283</v>
      </c>
      <c r="B2436" s="835" t="str">
        <f>IF(C2436="","",COUNTA($C$10:C2437))</f>
        <v/>
      </c>
      <c r="C2436" s="927"/>
      <c r="D2436" s="817"/>
      <c r="E2436" s="852" t="s">
        <v>553</v>
      </c>
      <c r="F2436" s="848" t="str">
        <f>VLOOKUP(E2436,DICH!B:C,2,FALSE)</f>
        <v>Other machine</v>
      </c>
      <c r="G2436" s="362" t="s">
        <v>554</v>
      </c>
      <c r="H2436" s="847">
        <v>5</v>
      </c>
      <c r="I2436" s="848" t="e">
        <f>SUM(J2432:J2435)</f>
        <v>#REF!</v>
      </c>
      <c r="J2436" s="853" t="e">
        <f>I2436*H2436%</f>
        <v>#REF!</v>
      </c>
      <c r="K2436" s="872"/>
      <c r="L2436" s="872"/>
      <c r="M2436" s="872"/>
      <c r="N2436" s="843" t="e">
        <f>SUMIF(#REF!,'8.Dgia'!A2436,#REF!)+SUMIF(#REF!,'8.Dgia'!A2436,#REF!)+SUMIF(#REF!,'8.Dgia'!A2436,#REF!)+SUMIF(#REF!,'8.Dgia'!A2436,#REF!)</f>
        <v>#REF!</v>
      </c>
      <c r="O2436" s="844"/>
      <c r="P2436" s="843" t="s">
        <v>457</v>
      </c>
    </row>
    <row r="2437" spans="1:18" ht="15" customHeight="1">
      <c r="A2437" s="657">
        <f>IF(B2437="",MAX($A$8:A2436)+0,MAX($A$8:A2436)+1)</f>
        <v>284</v>
      </c>
      <c r="B2437" s="835">
        <f>IF(C2437="","",COUNTA($C$10:C2438))</f>
        <v>284</v>
      </c>
      <c r="C2437" s="835">
        <f>IF(D2437="","",1776)</f>
        <v>1776</v>
      </c>
      <c r="D2437" s="927" t="s">
        <v>220</v>
      </c>
      <c r="E2437" s="855" t="s">
        <v>634</v>
      </c>
      <c r="F2437" s="1049" t="str">
        <f>VLOOKUP(E2437,DICH!B:C,2,FALSE)</f>
        <v>High strengthen bar D36 (permanent)</v>
      </c>
      <c r="G2437" s="856" t="s">
        <v>4644</v>
      </c>
      <c r="H2437" s="929"/>
      <c r="I2437" s="848"/>
      <c r="J2437" s="853"/>
      <c r="K2437" s="842">
        <f>+J2438</f>
        <v>89096878.054661185</v>
      </c>
      <c r="L2437" s="936">
        <f>+J2442</f>
        <v>2134538.25</v>
      </c>
      <c r="M2437" s="936">
        <f>+J2443</f>
        <v>480192.86971363635</v>
      </c>
      <c r="N2437" s="843" t="e">
        <f>SUMIF(#REF!,'8.Dgia'!A2437,#REF!)+SUMIF(#REF!,'8.Dgia'!A2437,#REF!)+SUMIF(#REF!,'8.Dgia'!A2437,#REF!)+SUMIF(#REF!,'8.Dgia'!A2437,#REF!)</f>
        <v>#REF!</v>
      </c>
      <c r="O2437" s="844"/>
      <c r="P2437" s="843" t="e">
        <f t="shared" ref="P2437:P2507" si="106">$H2437*N2437*(1+O2437%)</f>
        <v>#REF!</v>
      </c>
    </row>
    <row r="2438" spans="1:18" ht="15" customHeight="1">
      <c r="A2438" s="657">
        <f>IF(B2438="",MAX($A$8:A2437)+0,MAX($A$8:A2437)+1)</f>
        <v>284</v>
      </c>
      <c r="B2438" s="835" t="str">
        <f>IF(C2438="","",COUNTA($C$10:C2439))</f>
        <v/>
      </c>
      <c r="C2438" s="362"/>
      <c r="D2438" s="851"/>
      <c r="E2438" s="852" t="s">
        <v>2032</v>
      </c>
      <c r="F2438" s="848" t="str">
        <f>VLOOKUP(E2438,DICH!B:C,2,FALSE)</f>
        <v xml:space="preserve">  A - Material</v>
      </c>
      <c r="G2438" s="856"/>
      <c r="H2438" s="847"/>
      <c r="I2438" s="848"/>
      <c r="J2438" s="849">
        <f>SUM(J2439:J2441)</f>
        <v>89096878.054661185</v>
      </c>
      <c r="N2438" s="843" t="e">
        <f>SUMIF(#REF!,'8.Dgia'!A2438,#REF!)+SUMIF(#REF!,'8.Dgia'!A2438,#REF!)+SUMIF(#REF!,'8.Dgia'!A2438,#REF!)+SUMIF(#REF!,'8.Dgia'!A2438,#REF!)</f>
        <v>#REF!</v>
      </c>
      <c r="O2438" s="844"/>
      <c r="P2438" s="843" t="e">
        <f t="shared" si="106"/>
        <v>#REF!</v>
      </c>
    </row>
    <row r="2439" spans="1:18" ht="15" customHeight="1">
      <c r="A2439" s="657">
        <f>IF(B2439="",MAX($A$8:A2438)+0,MAX($A$8:A2438)+1)</f>
        <v>284</v>
      </c>
      <c r="B2439" s="835" t="str">
        <f>IF(C2439="","",COUNTA($C$10:C2440))</f>
        <v/>
      </c>
      <c r="C2439" s="362"/>
      <c r="D2439" s="851"/>
      <c r="E2439" s="852" t="s">
        <v>84</v>
      </c>
      <c r="F2439" s="848" t="str">
        <f>VLOOKUP(E2439,DICH!B:C,2,FALSE)</f>
        <v>High strengthen bar D36 (kg)</v>
      </c>
      <c r="G2439" s="362" t="s">
        <v>622</v>
      </c>
      <c r="H2439" s="847">
        <v>1020</v>
      </c>
      <c r="I2439" s="848">
        <f>VLOOKUP(E2439,'11.gia '!$B:$I,8,FALSE)</f>
        <v>86980.172563393309</v>
      </c>
      <c r="J2439" s="853">
        <f>I2439*H2439</f>
        <v>88719776.014661178</v>
      </c>
      <c r="N2439" s="843" t="e">
        <f>SUMIF(#REF!,'8.Dgia'!A2439,#REF!)+SUMIF(#REF!,'8.Dgia'!A2439,#REF!)+SUMIF(#REF!,'8.Dgia'!A2439,#REF!)+SUMIF(#REF!,'8.Dgia'!A2439,#REF!)</f>
        <v>#REF!</v>
      </c>
      <c r="O2439" s="844"/>
      <c r="P2439" s="843" t="e">
        <f t="shared" si="106"/>
        <v>#REF!</v>
      </c>
    </row>
    <row r="2440" spans="1:18" ht="15" customHeight="1">
      <c r="A2440" s="657">
        <f>IF(B2440="",MAX($A$8:A2439)+0,MAX($A$8:A2439)+1)</f>
        <v>284</v>
      </c>
      <c r="B2440" s="835" t="str">
        <f>IF(C2440="","",COUNTA($C$10:C2441))</f>
        <v/>
      </c>
      <c r="C2440" s="362"/>
      <c r="D2440" s="851"/>
      <c r="E2440" s="852" t="s">
        <v>459</v>
      </c>
      <c r="F2440" s="848" t="str">
        <f>VLOOKUP(E2440,DICH!B:C,2,FALSE)</f>
        <v>Steel ware</v>
      </c>
      <c r="G2440" s="362" t="s">
        <v>558</v>
      </c>
      <c r="H2440" s="847">
        <v>14.28</v>
      </c>
      <c r="I2440" s="848">
        <f>VLOOKUP(E2440,'11.gia '!$B:$I,8,FALSE)</f>
        <v>17143</v>
      </c>
      <c r="J2440" s="853">
        <f>I2440*H2440</f>
        <v>244802.03999999998</v>
      </c>
      <c r="N2440" s="843" t="e">
        <f>SUMIF(#REF!,'8.Dgia'!A2440,#REF!)+SUMIF(#REF!,'8.Dgia'!A2440,#REF!)+SUMIF(#REF!,'8.Dgia'!A2440,#REF!)+SUMIF(#REF!,'8.Dgia'!A2440,#REF!)</f>
        <v>#REF!</v>
      </c>
      <c r="O2440" s="844"/>
      <c r="P2440" s="843" t="e">
        <f t="shared" si="106"/>
        <v>#REF!</v>
      </c>
    </row>
    <row r="2441" spans="1:18" ht="15" customHeight="1">
      <c r="A2441" s="657">
        <f>IF(B2441="",MAX($A$8:A2440)+0,MAX($A$8:A2440)+1)</f>
        <v>284</v>
      </c>
      <c r="B2441" s="835" t="str">
        <f>IF(C2441="","",COUNTA($C$10:C2442))</f>
        <v/>
      </c>
      <c r="C2441" s="362"/>
      <c r="D2441" s="851"/>
      <c r="E2441" s="852" t="s">
        <v>559</v>
      </c>
      <c r="F2441" s="848" t="str">
        <f>VLOOKUP(E2441,DICH!B:C,2,FALSE)</f>
        <v>welding electrode</v>
      </c>
      <c r="G2441" s="362" t="s">
        <v>558</v>
      </c>
      <c r="H2441" s="847">
        <v>6.93</v>
      </c>
      <c r="I2441" s="848">
        <f>VLOOKUP(E2441,'11.gia '!$B:$I,8,FALSE)</f>
        <v>19090.909090909088</v>
      </c>
      <c r="J2441" s="853">
        <f>I2441*H2441</f>
        <v>132299.99999999997</v>
      </c>
      <c r="N2441" s="843" t="e">
        <f>SUMIF(#REF!,'8.Dgia'!A2441,#REF!)+SUMIF(#REF!,'8.Dgia'!A2441,#REF!)+SUMIF(#REF!,'8.Dgia'!A2441,#REF!)+SUMIF(#REF!,'8.Dgia'!A2441,#REF!)</f>
        <v>#REF!</v>
      </c>
      <c r="O2441" s="844"/>
      <c r="P2441" s="843" t="e">
        <f t="shared" si="106"/>
        <v>#REF!</v>
      </c>
    </row>
    <row r="2442" spans="1:18" ht="15" customHeight="1">
      <c r="A2442" s="657">
        <f>IF(B2442="",MAX($A$8:A2441)+0,MAX($A$8:A2441)+1)</f>
        <v>284</v>
      </c>
      <c r="B2442" s="835" t="str">
        <f>IF(C2442="","",COUNTA($C$10:C2443))</f>
        <v/>
      </c>
      <c r="C2442" s="362"/>
      <c r="D2442" s="851"/>
      <c r="E2442" s="852" t="s">
        <v>2039</v>
      </c>
      <c r="F2442" s="848" t="str">
        <f>VLOOKUP(E2442,DICH!B:C,2,FALSE)</f>
        <v xml:space="preserve">  B - Labour 4.0/7</v>
      </c>
      <c r="G2442" s="362" t="s">
        <v>4899</v>
      </c>
      <c r="H2442" s="847">
        <v>9.75</v>
      </c>
      <c r="I2442" s="848">
        <f>VLOOKUP(E2442,'16.NC'!$C$11:$F$22,4,FALSE)</f>
        <v>218927</v>
      </c>
      <c r="J2442" s="849">
        <f>I2442*H2442</f>
        <v>2134538.25</v>
      </c>
      <c r="N2442" s="843" t="e">
        <f>SUMIF(#REF!,'8.Dgia'!A2442,#REF!)+SUMIF(#REF!,'8.Dgia'!A2442,#REF!)+SUMIF(#REF!,'8.Dgia'!A2442,#REF!)+SUMIF(#REF!,'8.Dgia'!A2442,#REF!)</f>
        <v>#REF!</v>
      </c>
      <c r="O2442" s="844"/>
      <c r="P2442" s="843" t="e">
        <f t="shared" si="106"/>
        <v>#REF!</v>
      </c>
      <c r="R2442" s="658">
        <v>1</v>
      </c>
    </row>
    <row r="2443" spans="1:18" ht="15" customHeight="1">
      <c r="A2443" s="657">
        <f>IF(B2443="",MAX($A$8:A2442)+0,MAX($A$8:A2442)+1)</f>
        <v>284</v>
      </c>
      <c r="B2443" s="835" t="str">
        <f>IF(C2443="","",COUNTA($C$10:C2444))</f>
        <v/>
      </c>
      <c r="C2443" s="362"/>
      <c r="D2443" s="851"/>
      <c r="E2443" s="852" t="s">
        <v>2033</v>
      </c>
      <c r="F2443" s="848" t="str">
        <f>VLOOKUP(E2443,DICH!B:C,2,FALSE)</f>
        <v xml:space="preserve">  C - Machine</v>
      </c>
      <c r="G2443" s="362"/>
      <c r="H2443" s="847"/>
      <c r="I2443" s="848"/>
      <c r="J2443" s="849">
        <f>SUM(J2444:J2446)</f>
        <v>480192.86971363635</v>
      </c>
      <c r="N2443" s="843" t="e">
        <f>SUMIF(#REF!,'8.Dgia'!A2443,#REF!)+SUMIF(#REF!,'8.Dgia'!A2443,#REF!)+SUMIF(#REF!,'8.Dgia'!A2443,#REF!)+SUMIF(#REF!,'8.Dgia'!A2443,#REF!)</f>
        <v>#REF!</v>
      </c>
      <c r="O2443" s="844"/>
      <c r="P2443" s="843" t="e">
        <f t="shared" si="106"/>
        <v>#REF!</v>
      </c>
    </row>
    <row r="2444" spans="1:18" ht="15" customHeight="1">
      <c r="A2444" s="657">
        <f>IF(B2444="",MAX($A$8:A2443)+0,MAX($A$8:A2443)+1)</f>
        <v>284</v>
      </c>
      <c r="B2444" s="835" t="str">
        <f>IF(C2444="","",COUNTA($C$10:C2445))</f>
        <v/>
      </c>
      <c r="C2444" s="362"/>
      <c r="D2444" s="851"/>
      <c r="E2444" s="852" t="s">
        <v>560</v>
      </c>
      <c r="F2444" s="848" t="str">
        <f>VLOOKUP(E2444,'9.may'!E:F,2,FALSE)</f>
        <v>welding machine 23kW</v>
      </c>
      <c r="G2444" s="362" t="s">
        <v>4902</v>
      </c>
      <c r="H2444" s="847">
        <v>1.73</v>
      </c>
      <c r="I2444" s="848">
        <f>VLOOKUP(E2444,'9.may'!E:W,12,FALSE)</f>
        <v>171649.155</v>
      </c>
      <c r="J2444" s="853">
        <f>I2444*H2444</f>
        <v>296953.03814999998</v>
      </c>
      <c r="N2444" s="843" t="e">
        <f>SUMIF(#REF!,'8.Dgia'!A2444,#REF!)+SUMIF(#REF!,'8.Dgia'!A2444,#REF!)+SUMIF(#REF!,'8.Dgia'!A2444,#REF!)+SUMIF(#REF!,'8.Dgia'!A2444,#REF!)</f>
        <v>#REF!</v>
      </c>
      <c r="O2444" s="844"/>
      <c r="P2444" s="843" t="e">
        <f t="shared" si="106"/>
        <v>#REF!</v>
      </c>
    </row>
    <row r="2445" spans="1:18" ht="15" customHeight="1">
      <c r="A2445" s="657">
        <f>IF(B2445="",MAX($A$8:A2444)+0,MAX($A$8:A2444)+1)</f>
        <v>284</v>
      </c>
      <c r="B2445" s="835" t="str">
        <f>IF(C2445="","",COUNTA($C$10:C2446))</f>
        <v/>
      </c>
      <c r="C2445" s="362"/>
      <c r="D2445" s="851"/>
      <c r="E2445" s="852" t="s">
        <v>1424</v>
      </c>
      <c r="F2445" s="848" t="str">
        <f>VLOOKUP(E2445,'9.may'!E:F,2,FALSE)</f>
        <v>bender cutter 5Kw</v>
      </c>
      <c r="G2445" s="362" t="s">
        <v>4902</v>
      </c>
      <c r="H2445" s="847">
        <v>0.16</v>
      </c>
      <c r="I2445" s="848">
        <f>VLOOKUP(E2445,'9.may'!E:W,12,FALSE)</f>
        <v>80291.850000000006</v>
      </c>
      <c r="J2445" s="853">
        <f>I2445*H2445</f>
        <v>12846.696000000002</v>
      </c>
      <c r="N2445" s="843" t="e">
        <f>SUMIF(#REF!,'8.Dgia'!A2445,#REF!)+SUMIF(#REF!,'8.Dgia'!A2445,#REF!)+SUMIF(#REF!,'8.Dgia'!A2445,#REF!)+SUMIF(#REF!,'8.Dgia'!A2445,#REF!)</f>
        <v>#REF!</v>
      </c>
      <c r="O2445" s="844"/>
      <c r="P2445" s="843" t="e">
        <f t="shared" si="106"/>
        <v>#REF!</v>
      </c>
    </row>
    <row r="2446" spans="1:18" ht="15" customHeight="1">
      <c r="A2446" s="657">
        <f>IF(B2446="",MAX($A$8:A2445)+0,MAX($A$8:A2445)+1)</f>
        <v>284</v>
      </c>
      <c r="B2446" s="835" t="str">
        <f>IF(C2446="","",COUNTA($C$10:C2447))</f>
        <v/>
      </c>
      <c r="C2446" s="362"/>
      <c r="D2446" s="851"/>
      <c r="E2446" s="852" t="s">
        <v>287</v>
      </c>
      <c r="F2446" s="848" t="str">
        <f>VLOOKUP(E2446,'9.may'!E:F,2,FALSE)</f>
        <v>caterpillar crane 16T</v>
      </c>
      <c r="G2446" s="362" t="s">
        <v>4902</v>
      </c>
      <c r="H2446" s="847">
        <v>0.08</v>
      </c>
      <c r="I2446" s="848">
        <f>VLOOKUP(E2446,'9.may'!E:W,12,FALSE)</f>
        <v>2129914.1945454543</v>
      </c>
      <c r="J2446" s="853">
        <f>I2446*H2446</f>
        <v>170393.13556363634</v>
      </c>
      <c r="N2446" s="843" t="e">
        <f>SUMIF(#REF!,'8.Dgia'!A2446,#REF!)+SUMIF(#REF!,'8.Dgia'!A2446,#REF!)+SUMIF(#REF!,'8.Dgia'!A2446,#REF!)+SUMIF(#REF!,'8.Dgia'!A2446,#REF!)</f>
        <v>#REF!</v>
      </c>
      <c r="O2446" s="844"/>
      <c r="P2446" s="843" t="e">
        <f t="shared" si="106"/>
        <v>#REF!</v>
      </c>
    </row>
    <row r="2447" spans="1:18" ht="15" customHeight="1">
      <c r="A2447" s="657">
        <f>IF(B2447="",MAX($A$8:A2446)+0,MAX($A$8:A2446)+1)</f>
        <v>285</v>
      </c>
      <c r="B2447" s="835">
        <f>IF(C2447="","",COUNTA($C$10:C2448))</f>
        <v>285</v>
      </c>
      <c r="C2447" s="835">
        <f>IF(D2447="","",1776)</f>
        <v>1776</v>
      </c>
      <c r="D2447" s="927" t="s">
        <v>220</v>
      </c>
      <c r="E2447" s="855" t="s">
        <v>3461</v>
      </c>
      <c r="F2447" s="1049" t="str">
        <f>VLOOKUP(E2447,DICH!B:C,2,FALSE)</f>
        <v>High strengthen bar D36 taken back (amor=2%*9months+7%)</v>
      </c>
      <c r="G2447" s="856" t="s">
        <v>4644</v>
      </c>
      <c r="H2447" s="929"/>
      <c r="I2447" s="848"/>
      <c r="J2447" s="853"/>
      <c r="K2447" s="842">
        <f>+J2448</f>
        <v>22557046.043665294</v>
      </c>
      <c r="L2447" s="936">
        <f>+J2452</f>
        <v>2134538.25</v>
      </c>
      <c r="M2447" s="936">
        <f>+J2453</f>
        <v>480192.86971363635</v>
      </c>
      <c r="N2447" s="843" t="e">
        <f>SUMIF(#REF!,'8.Dgia'!A2447,#REF!)+SUMIF(#REF!,'8.Dgia'!A2447,#REF!)+SUMIF(#REF!,'8.Dgia'!A2447,#REF!)+SUMIF(#REF!,'8.Dgia'!A2447,#REF!)</f>
        <v>#REF!</v>
      </c>
      <c r="O2447" s="844"/>
      <c r="P2447" s="843" t="e">
        <f t="shared" si="106"/>
        <v>#REF!</v>
      </c>
    </row>
    <row r="2448" spans="1:18" ht="15" customHeight="1">
      <c r="A2448" s="657">
        <f>IF(B2448="",MAX($A$8:A2447)+0,MAX($A$8:A2447)+1)</f>
        <v>285</v>
      </c>
      <c r="B2448" s="835" t="str">
        <f>IF(C2448="","",COUNTA($C$10:C2449))</f>
        <v/>
      </c>
      <c r="C2448" s="362"/>
      <c r="D2448" s="851"/>
      <c r="E2448" s="852" t="s">
        <v>2032</v>
      </c>
      <c r="F2448" s="848" t="str">
        <f>VLOOKUP(E2448,DICH!B:C,2,FALSE)</f>
        <v xml:space="preserve">  A - Material</v>
      </c>
      <c r="G2448" s="856"/>
      <c r="H2448" s="847"/>
      <c r="I2448" s="848"/>
      <c r="J2448" s="849">
        <f>SUM(J2449:J2451)</f>
        <v>22557046.043665294</v>
      </c>
      <c r="N2448" s="843" t="e">
        <f>SUMIF(#REF!,'8.Dgia'!A2448,#REF!)+SUMIF(#REF!,'8.Dgia'!A2448,#REF!)+SUMIF(#REF!,'8.Dgia'!A2448,#REF!)+SUMIF(#REF!,'8.Dgia'!A2448,#REF!)</f>
        <v>#REF!</v>
      </c>
      <c r="O2448" s="844"/>
      <c r="P2448" s="843" t="e">
        <f t="shared" si="106"/>
        <v>#REF!</v>
      </c>
    </row>
    <row r="2449" spans="1:18" ht="15" customHeight="1">
      <c r="A2449" s="657">
        <f>IF(B2449="",MAX($A$8:A2448)+0,MAX($A$8:A2448)+1)</f>
        <v>285</v>
      </c>
      <c r="B2449" s="835" t="str">
        <f>IF(C2449="","",COUNTA($C$10:C2450))</f>
        <v/>
      </c>
      <c r="C2449" s="362"/>
      <c r="D2449" s="851" t="s">
        <v>2255</v>
      </c>
      <c r="E2449" s="852" t="s">
        <v>84</v>
      </c>
      <c r="F2449" s="848" t="str">
        <f>VLOOKUP(E2449,DICH!B:C,2,FALSE)</f>
        <v>High strengthen bar D36 (kg)</v>
      </c>
      <c r="G2449" s="362" t="s">
        <v>622</v>
      </c>
      <c r="H2449" s="847">
        <f>1020*(2%*9+7%)</f>
        <v>255</v>
      </c>
      <c r="I2449" s="848">
        <f>VLOOKUP(E2449,'11.gia '!$B:$I,8,FALSE)</f>
        <v>86980.172563393309</v>
      </c>
      <c r="J2449" s="853">
        <f>I2449*H2449</f>
        <v>22179944.003665294</v>
      </c>
      <c r="N2449" s="843" t="e">
        <f>SUMIF(#REF!,'8.Dgia'!A2449,#REF!)+SUMIF(#REF!,'8.Dgia'!A2449,#REF!)+SUMIF(#REF!,'8.Dgia'!A2449,#REF!)+SUMIF(#REF!,'8.Dgia'!A2449,#REF!)</f>
        <v>#REF!</v>
      </c>
      <c r="O2449" s="844"/>
      <c r="P2449" s="843" t="e">
        <f t="shared" si="106"/>
        <v>#REF!</v>
      </c>
    </row>
    <row r="2450" spans="1:18" ht="15" customHeight="1">
      <c r="A2450" s="657">
        <f>IF(B2450="",MAX($A$8:A2449)+0,MAX($A$8:A2449)+1)</f>
        <v>285</v>
      </c>
      <c r="B2450" s="835" t="str">
        <f>IF(C2450="","",COUNTA($C$10:C2451))</f>
        <v/>
      </c>
      <c r="C2450" s="362"/>
      <c r="D2450" s="851"/>
      <c r="E2450" s="852" t="s">
        <v>459</v>
      </c>
      <c r="F2450" s="848" t="str">
        <f>VLOOKUP(E2450,DICH!B:C,2,FALSE)</f>
        <v>Steel ware</v>
      </c>
      <c r="G2450" s="362" t="s">
        <v>558</v>
      </c>
      <c r="H2450" s="847">
        <v>14.28</v>
      </c>
      <c r="I2450" s="848">
        <f>VLOOKUP(E2450,'11.gia '!$B:$I,8,FALSE)</f>
        <v>17143</v>
      </c>
      <c r="J2450" s="853">
        <f>I2450*H2450</f>
        <v>244802.03999999998</v>
      </c>
      <c r="N2450" s="843" t="e">
        <f>SUMIF(#REF!,'8.Dgia'!A2450,#REF!)+SUMIF(#REF!,'8.Dgia'!A2450,#REF!)+SUMIF(#REF!,'8.Dgia'!A2450,#REF!)+SUMIF(#REF!,'8.Dgia'!A2450,#REF!)</f>
        <v>#REF!</v>
      </c>
      <c r="O2450" s="844"/>
      <c r="P2450" s="843" t="e">
        <f t="shared" si="106"/>
        <v>#REF!</v>
      </c>
    </row>
    <row r="2451" spans="1:18" ht="15" customHeight="1">
      <c r="A2451" s="657">
        <f>IF(B2451="",MAX($A$8:A2450)+0,MAX($A$8:A2450)+1)</f>
        <v>285</v>
      </c>
      <c r="B2451" s="835" t="str">
        <f>IF(C2451="","",COUNTA($C$10:C2452))</f>
        <v/>
      </c>
      <c r="C2451" s="362"/>
      <c r="D2451" s="851"/>
      <c r="E2451" s="852" t="s">
        <v>559</v>
      </c>
      <c r="F2451" s="848" t="str">
        <f>VLOOKUP(E2451,DICH!B:C,2,FALSE)</f>
        <v>welding electrode</v>
      </c>
      <c r="G2451" s="362" t="s">
        <v>558</v>
      </c>
      <c r="H2451" s="847">
        <v>6.93</v>
      </c>
      <c r="I2451" s="848">
        <f>VLOOKUP(E2451,'11.gia '!$B:$I,8,FALSE)</f>
        <v>19090.909090909088</v>
      </c>
      <c r="J2451" s="853">
        <f>I2451*H2451</f>
        <v>132299.99999999997</v>
      </c>
      <c r="N2451" s="843" t="e">
        <f>SUMIF(#REF!,'8.Dgia'!A2451,#REF!)+SUMIF(#REF!,'8.Dgia'!A2451,#REF!)+SUMIF(#REF!,'8.Dgia'!A2451,#REF!)+SUMIF(#REF!,'8.Dgia'!A2451,#REF!)</f>
        <v>#REF!</v>
      </c>
      <c r="O2451" s="844"/>
      <c r="P2451" s="843" t="e">
        <f t="shared" si="106"/>
        <v>#REF!</v>
      </c>
    </row>
    <row r="2452" spans="1:18" ht="15" customHeight="1">
      <c r="A2452" s="657">
        <f>IF(B2452="",MAX($A$8:A2451)+0,MAX($A$8:A2451)+1)</f>
        <v>285</v>
      </c>
      <c r="B2452" s="835" t="str">
        <f>IF(C2452="","",COUNTA($C$10:C2453))</f>
        <v/>
      </c>
      <c r="C2452" s="362"/>
      <c r="D2452" s="851"/>
      <c r="E2452" s="852" t="s">
        <v>2039</v>
      </c>
      <c r="F2452" s="848" t="str">
        <f>VLOOKUP(E2452,DICH!B:C,2,FALSE)</f>
        <v xml:space="preserve">  B - Labour 4.0/7</v>
      </c>
      <c r="G2452" s="362" t="s">
        <v>4899</v>
      </c>
      <c r="H2452" s="847">
        <v>9.75</v>
      </c>
      <c r="I2452" s="848">
        <f>VLOOKUP(E2452,'16.NC'!$C$11:$F$22,4,FALSE)</f>
        <v>218927</v>
      </c>
      <c r="J2452" s="849">
        <f>I2452*H2452</f>
        <v>2134538.25</v>
      </c>
      <c r="N2452" s="843" t="e">
        <f>SUMIF(#REF!,'8.Dgia'!A2452,#REF!)+SUMIF(#REF!,'8.Dgia'!A2452,#REF!)+SUMIF(#REF!,'8.Dgia'!A2452,#REF!)+SUMIF(#REF!,'8.Dgia'!A2452,#REF!)</f>
        <v>#REF!</v>
      </c>
      <c r="O2452" s="844"/>
      <c r="P2452" s="843" t="e">
        <f t="shared" si="106"/>
        <v>#REF!</v>
      </c>
      <c r="R2452" s="658">
        <v>1</v>
      </c>
    </row>
    <row r="2453" spans="1:18" ht="15" customHeight="1">
      <c r="A2453" s="657">
        <f>IF(B2453="",MAX($A$8:A2452)+0,MAX($A$8:A2452)+1)</f>
        <v>285</v>
      </c>
      <c r="B2453" s="835" t="str">
        <f>IF(C2453="","",COUNTA($C$10:C2454))</f>
        <v/>
      </c>
      <c r="C2453" s="362"/>
      <c r="D2453" s="851"/>
      <c r="E2453" s="852" t="s">
        <v>2033</v>
      </c>
      <c r="F2453" s="848" t="str">
        <f>VLOOKUP(E2453,DICH!B:C,2,FALSE)</f>
        <v xml:space="preserve">  C - Machine</v>
      </c>
      <c r="G2453" s="362"/>
      <c r="H2453" s="847"/>
      <c r="I2453" s="848"/>
      <c r="J2453" s="849">
        <f>SUM(J2454:J2456)</f>
        <v>480192.86971363635</v>
      </c>
      <c r="N2453" s="843" t="e">
        <f>SUMIF(#REF!,'8.Dgia'!A2453,#REF!)+SUMIF(#REF!,'8.Dgia'!A2453,#REF!)+SUMIF(#REF!,'8.Dgia'!A2453,#REF!)+SUMIF(#REF!,'8.Dgia'!A2453,#REF!)</f>
        <v>#REF!</v>
      </c>
      <c r="O2453" s="844"/>
      <c r="P2453" s="843" t="e">
        <f t="shared" si="106"/>
        <v>#REF!</v>
      </c>
    </row>
    <row r="2454" spans="1:18" ht="15" customHeight="1">
      <c r="A2454" s="657">
        <f>IF(B2454="",MAX($A$8:A2453)+0,MAX($A$8:A2453)+1)</f>
        <v>285</v>
      </c>
      <c r="B2454" s="835" t="str">
        <f>IF(C2454="","",COUNTA($C$10:C2455))</f>
        <v/>
      </c>
      <c r="C2454" s="362"/>
      <c r="D2454" s="851"/>
      <c r="E2454" s="852" t="s">
        <v>560</v>
      </c>
      <c r="F2454" s="848" t="str">
        <f>VLOOKUP(E2454,'9.may'!E:F,2,FALSE)</f>
        <v>welding machine 23kW</v>
      </c>
      <c r="G2454" s="362" t="s">
        <v>4902</v>
      </c>
      <c r="H2454" s="847">
        <v>1.73</v>
      </c>
      <c r="I2454" s="848">
        <f>VLOOKUP(E2454,'9.may'!E:W,12,FALSE)</f>
        <v>171649.155</v>
      </c>
      <c r="J2454" s="853">
        <f>+I2454*H2454</f>
        <v>296953.03814999998</v>
      </c>
      <c r="N2454" s="843" t="e">
        <f>SUMIF(#REF!,'8.Dgia'!A2454,#REF!)+SUMIF(#REF!,'8.Dgia'!A2454,#REF!)+SUMIF(#REF!,'8.Dgia'!A2454,#REF!)+SUMIF(#REF!,'8.Dgia'!A2454,#REF!)</f>
        <v>#REF!</v>
      </c>
      <c r="O2454" s="844"/>
      <c r="P2454" s="843" t="e">
        <f t="shared" si="106"/>
        <v>#REF!</v>
      </c>
    </row>
    <row r="2455" spans="1:18" ht="15" customHeight="1">
      <c r="A2455" s="657">
        <f>IF(B2455="",MAX($A$8:A2454)+0,MAX($A$8:A2454)+1)</f>
        <v>285</v>
      </c>
      <c r="B2455" s="835" t="str">
        <f>IF(C2455="","",COUNTA($C$10:C2456))</f>
        <v/>
      </c>
      <c r="C2455" s="362"/>
      <c r="D2455" s="851"/>
      <c r="E2455" s="852" t="s">
        <v>1424</v>
      </c>
      <c r="F2455" s="848" t="str">
        <f>VLOOKUP(E2455,'9.may'!E:F,2,FALSE)</f>
        <v>bender cutter 5Kw</v>
      </c>
      <c r="G2455" s="362" t="s">
        <v>4902</v>
      </c>
      <c r="H2455" s="847">
        <v>0.16</v>
      </c>
      <c r="I2455" s="848">
        <f>VLOOKUP(E2455,'9.may'!E:W,12,FALSE)</f>
        <v>80291.850000000006</v>
      </c>
      <c r="J2455" s="853">
        <f>+I2455*H2455</f>
        <v>12846.696000000002</v>
      </c>
      <c r="N2455" s="843" t="e">
        <f>SUMIF(#REF!,'8.Dgia'!A2455,#REF!)+SUMIF(#REF!,'8.Dgia'!A2455,#REF!)+SUMIF(#REF!,'8.Dgia'!A2455,#REF!)+SUMIF(#REF!,'8.Dgia'!A2455,#REF!)</f>
        <v>#REF!</v>
      </c>
      <c r="O2455" s="844"/>
      <c r="P2455" s="843" t="e">
        <f t="shared" si="106"/>
        <v>#REF!</v>
      </c>
    </row>
    <row r="2456" spans="1:18" ht="15" customHeight="1">
      <c r="A2456" s="657">
        <f>IF(B2456="",MAX($A$8:A2455)+0,MAX($A$8:A2455)+1)</f>
        <v>285</v>
      </c>
      <c r="B2456" s="835" t="str">
        <f>IF(C2456="","",COUNTA($C$10:C2457))</f>
        <v/>
      </c>
      <c r="C2456" s="362"/>
      <c r="D2456" s="851"/>
      <c r="E2456" s="852" t="s">
        <v>287</v>
      </c>
      <c r="F2456" s="848" t="str">
        <f>VLOOKUP(E2456,'9.may'!E:F,2,FALSE)</f>
        <v>caterpillar crane 16T</v>
      </c>
      <c r="G2456" s="362" t="s">
        <v>4902</v>
      </c>
      <c r="H2456" s="847">
        <v>0.08</v>
      </c>
      <c r="I2456" s="848">
        <f>VLOOKUP(E2456,'9.may'!E:W,12,FALSE)</f>
        <v>2129914.1945454543</v>
      </c>
      <c r="J2456" s="853">
        <f>+I2456*H2456</f>
        <v>170393.13556363634</v>
      </c>
      <c r="N2456" s="843" t="e">
        <f>SUMIF(#REF!,'8.Dgia'!A2456,#REF!)+SUMIF(#REF!,'8.Dgia'!A2456,#REF!)+SUMIF(#REF!,'8.Dgia'!A2456,#REF!)+SUMIF(#REF!,'8.Dgia'!A2456,#REF!)</f>
        <v>#REF!</v>
      </c>
      <c r="O2456" s="844"/>
      <c r="P2456" s="843" t="e">
        <f t="shared" si="106"/>
        <v>#REF!</v>
      </c>
    </row>
    <row r="2457" spans="1:18" ht="15" customHeight="1">
      <c r="A2457" s="657">
        <f>IF(B2457="",MAX($A$8:A2456)+0,MAX($A$8:A2456)+1)</f>
        <v>286</v>
      </c>
      <c r="B2457" s="835">
        <f>IF(C2457="","",COUNTA($C$10:C2458))</f>
        <v>286</v>
      </c>
      <c r="C2457" s="835">
        <f>IF(D2457="","",1776)</f>
        <v>1776</v>
      </c>
      <c r="D2457" s="927" t="s">
        <v>220</v>
      </c>
      <c r="E2457" s="855" t="s">
        <v>3462</v>
      </c>
      <c r="F2457" s="1049" t="str">
        <f>VLOOKUP(E2457,DICH!B:C,2,FALSE)</f>
        <v>High strengthen bar D36 taken back (amor=2%*1months+7%)</v>
      </c>
      <c r="G2457" s="856" t="s">
        <v>4644</v>
      </c>
      <c r="H2457" s="929"/>
      <c r="I2457" s="848"/>
      <c r="J2457" s="853"/>
      <c r="K2457" s="842">
        <f>+J2458</f>
        <v>8361881.881319507</v>
      </c>
      <c r="L2457" s="936">
        <f>+J2462</f>
        <v>2134538.25</v>
      </c>
      <c r="M2457" s="936">
        <f>+J2463</f>
        <v>480192.86971363635</v>
      </c>
      <c r="N2457" s="843" t="e">
        <f>SUMIF(#REF!,'8.Dgia'!A2457,#REF!)+SUMIF(#REF!,'8.Dgia'!A2457,#REF!)+SUMIF(#REF!,'8.Dgia'!A2457,#REF!)+SUMIF(#REF!,'8.Dgia'!A2457,#REF!)</f>
        <v>#REF!</v>
      </c>
      <c r="O2457" s="844"/>
      <c r="P2457" s="843" t="e">
        <f t="shared" ref="P2457:P2466" si="107">$H2457*N2457*(1+O2457%)</f>
        <v>#REF!</v>
      </c>
    </row>
    <row r="2458" spans="1:18" ht="15" customHeight="1">
      <c r="A2458" s="657">
        <f>IF(B2458="",MAX($A$8:A2457)+0,MAX($A$8:A2457)+1)</f>
        <v>286</v>
      </c>
      <c r="B2458" s="835" t="str">
        <f>IF(C2458="","",COUNTA($C$10:C2459))</f>
        <v/>
      </c>
      <c r="C2458" s="362"/>
      <c r="D2458" s="851"/>
      <c r="E2458" s="852" t="s">
        <v>2032</v>
      </c>
      <c r="F2458" s="848" t="str">
        <f>VLOOKUP(E2458,DICH!B:C,2,FALSE)</f>
        <v xml:space="preserve">  A - Material</v>
      </c>
      <c r="G2458" s="856"/>
      <c r="H2458" s="847"/>
      <c r="I2458" s="848"/>
      <c r="J2458" s="849">
        <f>SUM(J2459:J2461)</f>
        <v>8361881.881319507</v>
      </c>
      <c r="N2458" s="843" t="e">
        <f>SUMIF(#REF!,'8.Dgia'!A2458,#REF!)+SUMIF(#REF!,'8.Dgia'!A2458,#REF!)+SUMIF(#REF!,'8.Dgia'!A2458,#REF!)+SUMIF(#REF!,'8.Dgia'!A2458,#REF!)</f>
        <v>#REF!</v>
      </c>
      <c r="O2458" s="844"/>
      <c r="P2458" s="843" t="e">
        <f t="shared" si="107"/>
        <v>#REF!</v>
      </c>
    </row>
    <row r="2459" spans="1:18" ht="15" customHeight="1">
      <c r="A2459" s="657">
        <f>IF(B2459="",MAX($A$8:A2458)+0,MAX($A$8:A2458)+1)</f>
        <v>286</v>
      </c>
      <c r="B2459" s="835" t="str">
        <f>IF(C2459="","",COUNTA($C$10:C2460))</f>
        <v/>
      </c>
      <c r="C2459" s="362"/>
      <c r="D2459" s="851" t="s">
        <v>2255</v>
      </c>
      <c r="E2459" s="852" t="s">
        <v>84</v>
      </c>
      <c r="F2459" s="848" t="str">
        <f>VLOOKUP(E2459,DICH!B:C,2,FALSE)</f>
        <v>High strengthen bar D36 (kg)</v>
      </c>
      <c r="G2459" s="362" t="s">
        <v>622</v>
      </c>
      <c r="H2459" s="847">
        <f>1020*(2%*1+7%)</f>
        <v>91.800000000000011</v>
      </c>
      <c r="I2459" s="848">
        <f>VLOOKUP(E2459,'11.gia '!$B:$I,8,FALSE)</f>
        <v>86980.172563393309</v>
      </c>
      <c r="J2459" s="853">
        <f>I2459*H2459</f>
        <v>7984779.841319507</v>
      </c>
      <c r="N2459" s="843" t="e">
        <f>SUMIF(#REF!,'8.Dgia'!A2459,#REF!)+SUMIF(#REF!,'8.Dgia'!A2459,#REF!)+SUMIF(#REF!,'8.Dgia'!A2459,#REF!)+SUMIF(#REF!,'8.Dgia'!A2459,#REF!)</f>
        <v>#REF!</v>
      </c>
      <c r="O2459" s="844"/>
      <c r="P2459" s="843" t="e">
        <f t="shared" si="107"/>
        <v>#REF!</v>
      </c>
    </row>
    <row r="2460" spans="1:18" ht="15" customHeight="1">
      <c r="A2460" s="657">
        <f>IF(B2460="",MAX($A$8:A2459)+0,MAX($A$8:A2459)+1)</f>
        <v>286</v>
      </c>
      <c r="B2460" s="835" t="str">
        <f>IF(C2460="","",COUNTA($C$10:C2461))</f>
        <v/>
      </c>
      <c r="C2460" s="362"/>
      <c r="D2460" s="851"/>
      <c r="E2460" s="852" t="s">
        <v>459</v>
      </c>
      <c r="F2460" s="848" t="str">
        <f>VLOOKUP(E2460,DICH!B:C,2,FALSE)</f>
        <v>Steel ware</v>
      </c>
      <c r="G2460" s="362" t="s">
        <v>558</v>
      </c>
      <c r="H2460" s="847">
        <v>14.28</v>
      </c>
      <c r="I2460" s="848">
        <f>VLOOKUP(E2460,'11.gia '!$B:$I,8,FALSE)</f>
        <v>17143</v>
      </c>
      <c r="J2460" s="853">
        <f>I2460*H2460</f>
        <v>244802.03999999998</v>
      </c>
      <c r="N2460" s="843" t="e">
        <f>SUMIF(#REF!,'8.Dgia'!A2460,#REF!)+SUMIF(#REF!,'8.Dgia'!A2460,#REF!)+SUMIF(#REF!,'8.Dgia'!A2460,#REF!)+SUMIF(#REF!,'8.Dgia'!A2460,#REF!)</f>
        <v>#REF!</v>
      </c>
      <c r="O2460" s="844"/>
      <c r="P2460" s="843" t="e">
        <f t="shared" si="107"/>
        <v>#REF!</v>
      </c>
    </row>
    <row r="2461" spans="1:18" ht="15" customHeight="1">
      <c r="A2461" s="657">
        <f>IF(B2461="",MAX($A$8:A2460)+0,MAX($A$8:A2460)+1)</f>
        <v>286</v>
      </c>
      <c r="B2461" s="835" t="str">
        <f>IF(C2461="","",COUNTA($C$10:C2462))</f>
        <v/>
      </c>
      <c r="C2461" s="362"/>
      <c r="D2461" s="851"/>
      <c r="E2461" s="852" t="s">
        <v>559</v>
      </c>
      <c r="F2461" s="848" t="str">
        <f>VLOOKUP(E2461,DICH!B:C,2,FALSE)</f>
        <v>welding electrode</v>
      </c>
      <c r="G2461" s="362" t="s">
        <v>558</v>
      </c>
      <c r="H2461" s="847">
        <v>6.93</v>
      </c>
      <c r="I2461" s="848">
        <f>VLOOKUP(E2461,'11.gia '!$B:$I,8,FALSE)</f>
        <v>19090.909090909088</v>
      </c>
      <c r="J2461" s="853">
        <f>I2461*H2461</f>
        <v>132299.99999999997</v>
      </c>
      <c r="N2461" s="843" t="e">
        <f>SUMIF(#REF!,'8.Dgia'!A2461,#REF!)+SUMIF(#REF!,'8.Dgia'!A2461,#REF!)+SUMIF(#REF!,'8.Dgia'!A2461,#REF!)+SUMIF(#REF!,'8.Dgia'!A2461,#REF!)</f>
        <v>#REF!</v>
      </c>
      <c r="O2461" s="844"/>
      <c r="P2461" s="843" t="e">
        <f t="shared" si="107"/>
        <v>#REF!</v>
      </c>
    </row>
    <row r="2462" spans="1:18" ht="15" customHeight="1">
      <c r="A2462" s="657">
        <f>IF(B2462="",MAX($A$8:A2461)+0,MAX($A$8:A2461)+1)</f>
        <v>286</v>
      </c>
      <c r="B2462" s="835" t="str">
        <f>IF(C2462="","",COUNTA($C$10:C2463))</f>
        <v/>
      </c>
      <c r="C2462" s="362"/>
      <c r="D2462" s="851"/>
      <c r="E2462" s="852" t="s">
        <v>2039</v>
      </c>
      <c r="F2462" s="848" t="str">
        <f>VLOOKUP(E2462,DICH!B:C,2,FALSE)</f>
        <v xml:space="preserve">  B - Labour 4.0/7</v>
      </c>
      <c r="G2462" s="362" t="s">
        <v>4899</v>
      </c>
      <c r="H2462" s="847">
        <v>9.75</v>
      </c>
      <c r="I2462" s="848">
        <f>VLOOKUP(E2462,'16.NC'!$C$11:$F$22,4,FALSE)</f>
        <v>218927</v>
      </c>
      <c r="J2462" s="849">
        <f>I2462*H2462</f>
        <v>2134538.25</v>
      </c>
      <c r="N2462" s="843" t="e">
        <f>SUMIF(#REF!,'8.Dgia'!A2462,#REF!)+SUMIF(#REF!,'8.Dgia'!A2462,#REF!)+SUMIF(#REF!,'8.Dgia'!A2462,#REF!)+SUMIF(#REF!,'8.Dgia'!A2462,#REF!)</f>
        <v>#REF!</v>
      </c>
      <c r="O2462" s="844"/>
      <c r="P2462" s="843" t="e">
        <f t="shared" si="107"/>
        <v>#REF!</v>
      </c>
      <c r="R2462" s="658">
        <v>1</v>
      </c>
    </row>
    <row r="2463" spans="1:18" ht="15" customHeight="1">
      <c r="A2463" s="657">
        <f>IF(B2463="",MAX($A$8:A2462)+0,MAX($A$8:A2462)+1)</f>
        <v>286</v>
      </c>
      <c r="B2463" s="835" t="str">
        <f>IF(C2463="","",COUNTA($C$10:C2464))</f>
        <v/>
      </c>
      <c r="C2463" s="362"/>
      <c r="D2463" s="851"/>
      <c r="E2463" s="852" t="s">
        <v>2033</v>
      </c>
      <c r="F2463" s="848" t="str">
        <f>VLOOKUP(E2463,DICH!B:C,2,FALSE)</f>
        <v xml:space="preserve">  C - Machine</v>
      </c>
      <c r="G2463" s="362"/>
      <c r="H2463" s="847"/>
      <c r="I2463" s="848"/>
      <c r="J2463" s="849">
        <f>SUM(J2464:J2466)</f>
        <v>480192.86971363635</v>
      </c>
      <c r="N2463" s="843" t="e">
        <f>SUMIF(#REF!,'8.Dgia'!A2463,#REF!)+SUMIF(#REF!,'8.Dgia'!A2463,#REF!)+SUMIF(#REF!,'8.Dgia'!A2463,#REF!)+SUMIF(#REF!,'8.Dgia'!A2463,#REF!)</f>
        <v>#REF!</v>
      </c>
      <c r="O2463" s="844"/>
      <c r="P2463" s="843" t="e">
        <f t="shared" si="107"/>
        <v>#REF!</v>
      </c>
    </row>
    <row r="2464" spans="1:18" ht="15" customHeight="1">
      <c r="A2464" s="657">
        <f>IF(B2464="",MAX($A$8:A2463)+0,MAX($A$8:A2463)+1)</f>
        <v>286</v>
      </c>
      <c r="B2464" s="835" t="str">
        <f>IF(C2464="","",COUNTA($C$10:C2465))</f>
        <v/>
      </c>
      <c r="C2464" s="362"/>
      <c r="D2464" s="851"/>
      <c r="E2464" s="852" t="s">
        <v>560</v>
      </c>
      <c r="F2464" s="848" t="str">
        <f>VLOOKUP(E2464,'9.may'!E:F,2,FALSE)</f>
        <v>welding machine 23kW</v>
      </c>
      <c r="G2464" s="362" t="s">
        <v>4902</v>
      </c>
      <c r="H2464" s="847">
        <v>1.73</v>
      </c>
      <c r="I2464" s="848">
        <f>VLOOKUP(E2464,'9.may'!E:W,12,FALSE)</f>
        <v>171649.155</v>
      </c>
      <c r="J2464" s="853">
        <f>+I2464*H2464</f>
        <v>296953.03814999998</v>
      </c>
      <c r="N2464" s="843" t="e">
        <f>SUMIF(#REF!,'8.Dgia'!A2464,#REF!)+SUMIF(#REF!,'8.Dgia'!A2464,#REF!)+SUMIF(#REF!,'8.Dgia'!A2464,#REF!)+SUMIF(#REF!,'8.Dgia'!A2464,#REF!)</f>
        <v>#REF!</v>
      </c>
      <c r="O2464" s="844"/>
      <c r="P2464" s="843" t="e">
        <f t="shared" si="107"/>
        <v>#REF!</v>
      </c>
    </row>
    <row r="2465" spans="1:18" ht="15" customHeight="1">
      <c r="A2465" s="657">
        <f>IF(B2465="",MAX($A$8:A2464)+0,MAX($A$8:A2464)+1)</f>
        <v>286</v>
      </c>
      <c r="B2465" s="835" t="str">
        <f>IF(C2465="","",COUNTA($C$10:C2466))</f>
        <v/>
      </c>
      <c r="C2465" s="362"/>
      <c r="D2465" s="851"/>
      <c r="E2465" s="852" t="s">
        <v>1424</v>
      </c>
      <c r="F2465" s="848" t="str">
        <f>VLOOKUP(E2465,'9.may'!E:F,2,FALSE)</f>
        <v>bender cutter 5Kw</v>
      </c>
      <c r="G2465" s="362" t="s">
        <v>4902</v>
      </c>
      <c r="H2465" s="847">
        <v>0.16</v>
      </c>
      <c r="I2465" s="848">
        <f>VLOOKUP(E2465,'9.may'!E:W,12,FALSE)</f>
        <v>80291.850000000006</v>
      </c>
      <c r="J2465" s="853">
        <f>+I2465*H2465</f>
        <v>12846.696000000002</v>
      </c>
      <c r="N2465" s="843" t="e">
        <f>SUMIF(#REF!,'8.Dgia'!A2465,#REF!)+SUMIF(#REF!,'8.Dgia'!A2465,#REF!)+SUMIF(#REF!,'8.Dgia'!A2465,#REF!)+SUMIF(#REF!,'8.Dgia'!A2465,#REF!)</f>
        <v>#REF!</v>
      </c>
      <c r="O2465" s="844"/>
      <c r="P2465" s="843" t="e">
        <f t="shared" si="107"/>
        <v>#REF!</v>
      </c>
    </row>
    <row r="2466" spans="1:18" ht="15" customHeight="1">
      <c r="A2466" s="657">
        <f>IF(B2466="",MAX($A$8:A2465)+0,MAX($A$8:A2465)+1)</f>
        <v>286</v>
      </c>
      <c r="B2466" s="835" t="str">
        <f>IF(C2466="","",COUNTA($C$10:C2467))</f>
        <v/>
      </c>
      <c r="C2466" s="362"/>
      <c r="D2466" s="851"/>
      <c r="E2466" s="852" t="s">
        <v>287</v>
      </c>
      <c r="F2466" s="848" t="str">
        <f>VLOOKUP(E2466,'9.may'!E:F,2,FALSE)</f>
        <v>caterpillar crane 16T</v>
      </c>
      <c r="G2466" s="362" t="s">
        <v>4902</v>
      </c>
      <c r="H2466" s="847">
        <v>0.08</v>
      </c>
      <c r="I2466" s="848">
        <f>VLOOKUP(E2466,'9.may'!E:W,12,FALSE)</f>
        <v>2129914.1945454543</v>
      </c>
      <c r="J2466" s="853">
        <f>+I2466*H2466</f>
        <v>170393.13556363634</v>
      </c>
      <c r="N2466" s="843" t="e">
        <f>SUMIF(#REF!,'8.Dgia'!A2466,#REF!)+SUMIF(#REF!,'8.Dgia'!A2466,#REF!)+SUMIF(#REF!,'8.Dgia'!A2466,#REF!)+SUMIF(#REF!,'8.Dgia'!A2466,#REF!)</f>
        <v>#REF!</v>
      </c>
      <c r="O2466" s="844"/>
      <c r="P2466" s="843" t="e">
        <f t="shared" si="107"/>
        <v>#REF!</v>
      </c>
    </row>
    <row r="2467" spans="1:18" ht="15" customHeight="1">
      <c r="A2467" s="657">
        <f>IF(B2467="",MAX($A$8:A2466)+0,MAX($A$8:A2466)+1)</f>
        <v>287</v>
      </c>
      <c r="B2467" s="835">
        <f>IF(C2467="","",COUNTA($C$10:C2468))</f>
        <v>287</v>
      </c>
      <c r="C2467" s="835">
        <f>IF(D2467="","",1776)</f>
        <v>1776</v>
      </c>
      <c r="D2467" s="927" t="s">
        <v>220</v>
      </c>
      <c r="E2467" s="855" t="s">
        <v>2218</v>
      </c>
      <c r="F2467" s="1049" t="str">
        <f>VLOOKUP(E2467,DICH!B:C,2,FALSE)</f>
        <v>Steel plate 180x180x45 (permanent)</v>
      </c>
      <c r="G2467" s="856" t="s">
        <v>4644</v>
      </c>
      <c r="H2467" s="929"/>
      <c r="I2467" s="848"/>
      <c r="J2467" s="853"/>
      <c r="K2467" s="842">
        <f>+J2468</f>
        <v>17414415.376556262</v>
      </c>
      <c r="L2467" s="936">
        <f>+J2472</f>
        <v>2134538.25</v>
      </c>
      <c r="M2467" s="936">
        <f>+J2473</f>
        <v>480192.86971363635</v>
      </c>
      <c r="N2467" s="843" t="e">
        <f>SUMIF(#REF!,'8.Dgia'!A2467,#REF!)+SUMIF(#REF!,'8.Dgia'!A2467,#REF!)+SUMIF(#REF!,'8.Dgia'!A2467,#REF!)+SUMIF(#REF!,'8.Dgia'!A2467,#REF!)</f>
        <v>#REF!</v>
      </c>
      <c r="O2467" s="844"/>
      <c r="P2467" s="843" t="e">
        <f t="shared" si="106"/>
        <v>#REF!</v>
      </c>
    </row>
    <row r="2468" spans="1:18" ht="15" customHeight="1">
      <c r="A2468" s="657">
        <f>IF(B2468="",MAX($A$8:A2467)+0,MAX($A$8:A2467)+1)</f>
        <v>287</v>
      </c>
      <c r="B2468" s="835" t="str">
        <f>IF(C2468="","",COUNTA($C$10:C2469))</f>
        <v/>
      </c>
      <c r="C2468" s="362"/>
      <c r="D2468" s="851"/>
      <c r="E2468" s="852" t="s">
        <v>2032</v>
      </c>
      <c r="F2468" s="848" t="str">
        <f>VLOOKUP(E2468,DICH!B:C,2,FALSE)</f>
        <v xml:space="preserve">  A - Material</v>
      </c>
      <c r="G2468" s="856"/>
      <c r="H2468" s="847"/>
      <c r="I2468" s="848"/>
      <c r="J2468" s="849">
        <f>SUM(J2469:J2471)</f>
        <v>17414415.376556262</v>
      </c>
      <c r="N2468" s="843" t="e">
        <f>SUMIF(#REF!,'8.Dgia'!A2468,#REF!)+SUMIF(#REF!,'8.Dgia'!A2468,#REF!)+SUMIF(#REF!,'8.Dgia'!A2468,#REF!)+SUMIF(#REF!,'8.Dgia'!A2468,#REF!)</f>
        <v>#REF!</v>
      </c>
      <c r="O2468" s="844"/>
      <c r="P2468" s="843" t="e">
        <f t="shared" si="106"/>
        <v>#REF!</v>
      </c>
    </row>
    <row r="2469" spans="1:18" ht="15" customHeight="1">
      <c r="A2469" s="657">
        <f>IF(B2469="",MAX($A$8:A2468)+0,MAX($A$8:A2468)+1)</f>
        <v>287</v>
      </c>
      <c r="B2469" s="835" t="str">
        <f>IF(C2469="","",COUNTA($C$10:C2470))</f>
        <v/>
      </c>
      <c r="C2469" s="362"/>
      <c r="D2469" s="851"/>
      <c r="E2469" s="852" t="s">
        <v>513</v>
      </c>
      <c r="F2469" s="848" t="str">
        <f>VLOOKUP(E2469,DICH!B:C,2,FALSE)</f>
        <v>Steel plate 180x180x45</v>
      </c>
      <c r="G2469" s="362" t="s">
        <v>622</v>
      </c>
      <c r="H2469" s="847">
        <v>1020</v>
      </c>
      <c r="I2469" s="848">
        <f>VLOOKUP(E2469,'11.gia '!$B:$I,8,FALSE)</f>
        <v>16703.248369172808</v>
      </c>
      <c r="J2469" s="853">
        <f>I2469*H2469</f>
        <v>17037313.336556263</v>
      </c>
      <c r="N2469" s="843" t="e">
        <f>SUMIF(#REF!,'8.Dgia'!A2469,#REF!)+SUMIF(#REF!,'8.Dgia'!A2469,#REF!)+SUMIF(#REF!,'8.Dgia'!A2469,#REF!)+SUMIF(#REF!,'8.Dgia'!A2469,#REF!)</f>
        <v>#REF!</v>
      </c>
      <c r="O2469" s="844"/>
      <c r="P2469" s="843" t="e">
        <f t="shared" si="106"/>
        <v>#REF!</v>
      </c>
    </row>
    <row r="2470" spans="1:18" ht="15" customHeight="1">
      <c r="A2470" s="657">
        <f>IF(B2470="",MAX($A$8:A2469)+0,MAX($A$8:A2469)+1)</f>
        <v>287</v>
      </c>
      <c r="B2470" s="835" t="str">
        <f>IF(C2470="","",COUNTA($C$10:C2471))</f>
        <v/>
      </c>
      <c r="C2470" s="362"/>
      <c r="D2470" s="851"/>
      <c r="E2470" s="852" t="s">
        <v>459</v>
      </c>
      <c r="F2470" s="848" t="str">
        <f>VLOOKUP(E2470,DICH!B:C,2,FALSE)</f>
        <v>Steel ware</v>
      </c>
      <c r="G2470" s="362" t="s">
        <v>558</v>
      </c>
      <c r="H2470" s="847">
        <v>14.28</v>
      </c>
      <c r="I2470" s="848">
        <f>VLOOKUP(E2470,'11.gia '!$B:$I,8,FALSE)</f>
        <v>17143</v>
      </c>
      <c r="J2470" s="853">
        <f>I2470*H2470</f>
        <v>244802.03999999998</v>
      </c>
      <c r="N2470" s="843" t="e">
        <f>SUMIF(#REF!,'8.Dgia'!A2470,#REF!)+SUMIF(#REF!,'8.Dgia'!A2470,#REF!)+SUMIF(#REF!,'8.Dgia'!A2470,#REF!)+SUMIF(#REF!,'8.Dgia'!A2470,#REF!)</f>
        <v>#REF!</v>
      </c>
      <c r="O2470" s="844"/>
      <c r="P2470" s="843" t="e">
        <f t="shared" si="106"/>
        <v>#REF!</v>
      </c>
    </row>
    <row r="2471" spans="1:18" ht="15" customHeight="1">
      <c r="A2471" s="657">
        <f>IF(B2471="",MAX($A$8:A2470)+0,MAX($A$8:A2470)+1)</f>
        <v>287</v>
      </c>
      <c r="B2471" s="835" t="str">
        <f>IF(C2471="","",COUNTA($C$10:C2472))</f>
        <v/>
      </c>
      <c r="C2471" s="362"/>
      <c r="D2471" s="851"/>
      <c r="E2471" s="852" t="s">
        <v>559</v>
      </c>
      <c r="F2471" s="848" t="str">
        <f>VLOOKUP(E2471,DICH!B:C,2,FALSE)</f>
        <v>welding electrode</v>
      </c>
      <c r="G2471" s="362" t="s">
        <v>558</v>
      </c>
      <c r="H2471" s="847">
        <v>6.93</v>
      </c>
      <c r="I2471" s="848">
        <f>VLOOKUP(E2471,'11.gia '!$B:$I,8,FALSE)</f>
        <v>19090.909090909088</v>
      </c>
      <c r="J2471" s="853">
        <f>I2471*H2471</f>
        <v>132299.99999999997</v>
      </c>
      <c r="N2471" s="843" t="e">
        <f>SUMIF(#REF!,'8.Dgia'!A2471,#REF!)+SUMIF(#REF!,'8.Dgia'!A2471,#REF!)+SUMIF(#REF!,'8.Dgia'!A2471,#REF!)+SUMIF(#REF!,'8.Dgia'!A2471,#REF!)</f>
        <v>#REF!</v>
      </c>
      <c r="O2471" s="844"/>
      <c r="P2471" s="843" t="e">
        <f t="shared" si="106"/>
        <v>#REF!</v>
      </c>
    </row>
    <row r="2472" spans="1:18" ht="15" customHeight="1">
      <c r="A2472" s="657">
        <f>IF(B2472="",MAX($A$8:A2471)+0,MAX($A$8:A2471)+1)</f>
        <v>287</v>
      </c>
      <c r="B2472" s="835" t="str">
        <f>IF(C2472="","",COUNTA($C$10:C2473))</f>
        <v/>
      </c>
      <c r="C2472" s="362"/>
      <c r="D2472" s="851"/>
      <c r="E2472" s="852" t="s">
        <v>2039</v>
      </c>
      <c r="F2472" s="848" t="str">
        <f>VLOOKUP(E2472,DICH!B:C,2,FALSE)</f>
        <v xml:space="preserve">  B - Labour 4.0/7</v>
      </c>
      <c r="G2472" s="362" t="s">
        <v>4899</v>
      </c>
      <c r="H2472" s="847">
        <v>9.75</v>
      </c>
      <c r="I2472" s="848">
        <f>VLOOKUP(E2472,'16.NC'!$C$11:$F$22,4,FALSE)</f>
        <v>218927</v>
      </c>
      <c r="J2472" s="849">
        <f>I2472*H2472</f>
        <v>2134538.25</v>
      </c>
      <c r="N2472" s="843" t="e">
        <f>SUMIF(#REF!,'8.Dgia'!A2472,#REF!)+SUMIF(#REF!,'8.Dgia'!A2472,#REF!)+SUMIF(#REF!,'8.Dgia'!A2472,#REF!)+SUMIF(#REF!,'8.Dgia'!A2472,#REF!)</f>
        <v>#REF!</v>
      </c>
      <c r="O2472" s="844"/>
      <c r="P2472" s="843" t="e">
        <f t="shared" si="106"/>
        <v>#REF!</v>
      </c>
      <c r="R2472" s="658">
        <v>1</v>
      </c>
    </row>
    <row r="2473" spans="1:18" ht="15" customHeight="1">
      <c r="A2473" s="657">
        <f>IF(B2473="",MAX($A$8:A2472)+0,MAX($A$8:A2472)+1)</f>
        <v>287</v>
      </c>
      <c r="B2473" s="835" t="str">
        <f>IF(C2473="","",COUNTA($C$10:C2474))</f>
        <v/>
      </c>
      <c r="C2473" s="362"/>
      <c r="D2473" s="851"/>
      <c r="E2473" s="852" t="s">
        <v>2033</v>
      </c>
      <c r="F2473" s="848" t="str">
        <f>VLOOKUP(E2473,DICH!B:C,2,FALSE)</f>
        <v xml:space="preserve">  C - Machine</v>
      </c>
      <c r="G2473" s="362"/>
      <c r="H2473" s="847"/>
      <c r="I2473" s="848"/>
      <c r="J2473" s="849">
        <f>SUM(J2474:J2476)</f>
        <v>480192.86971363635</v>
      </c>
      <c r="N2473" s="843" t="e">
        <f>SUMIF(#REF!,'8.Dgia'!A2473,#REF!)+SUMIF(#REF!,'8.Dgia'!A2473,#REF!)+SUMIF(#REF!,'8.Dgia'!A2473,#REF!)+SUMIF(#REF!,'8.Dgia'!A2473,#REF!)</f>
        <v>#REF!</v>
      </c>
      <c r="O2473" s="844"/>
      <c r="P2473" s="843" t="e">
        <f t="shared" si="106"/>
        <v>#REF!</v>
      </c>
    </row>
    <row r="2474" spans="1:18" ht="15" customHeight="1">
      <c r="A2474" s="657">
        <f>IF(B2474="",MAX($A$8:A2473)+0,MAX($A$8:A2473)+1)</f>
        <v>287</v>
      </c>
      <c r="B2474" s="835" t="str">
        <f>IF(C2474="","",COUNTA($C$10:C2475))</f>
        <v/>
      </c>
      <c r="C2474" s="362"/>
      <c r="D2474" s="851"/>
      <c r="E2474" s="852" t="s">
        <v>560</v>
      </c>
      <c r="F2474" s="848" t="str">
        <f>VLOOKUP(E2474,'9.may'!E:F,2,FALSE)</f>
        <v>welding machine 23kW</v>
      </c>
      <c r="G2474" s="362" t="s">
        <v>4902</v>
      </c>
      <c r="H2474" s="847">
        <v>1.73</v>
      </c>
      <c r="I2474" s="848">
        <f>VLOOKUP(E2474,'9.may'!E:W,12,FALSE)</f>
        <v>171649.155</v>
      </c>
      <c r="J2474" s="853">
        <f>+I2474*H2474</f>
        <v>296953.03814999998</v>
      </c>
      <c r="N2474" s="843" t="e">
        <f>SUMIF(#REF!,'8.Dgia'!A2474,#REF!)+SUMIF(#REF!,'8.Dgia'!A2474,#REF!)+SUMIF(#REF!,'8.Dgia'!A2474,#REF!)+SUMIF(#REF!,'8.Dgia'!A2474,#REF!)</f>
        <v>#REF!</v>
      </c>
      <c r="O2474" s="844"/>
      <c r="P2474" s="843" t="e">
        <f t="shared" si="106"/>
        <v>#REF!</v>
      </c>
    </row>
    <row r="2475" spans="1:18" ht="15" customHeight="1">
      <c r="A2475" s="657">
        <f>IF(B2475="",MAX($A$8:A2474)+0,MAX($A$8:A2474)+1)</f>
        <v>287</v>
      </c>
      <c r="B2475" s="835" t="str">
        <f>IF(C2475="","",COUNTA($C$10:C2476))</f>
        <v/>
      </c>
      <c r="C2475" s="362"/>
      <c r="D2475" s="851"/>
      <c r="E2475" s="852" t="s">
        <v>1424</v>
      </c>
      <c r="F2475" s="848" t="str">
        <f>VLOOKUP(E2475,'9.may'!E:F,2,FALSE)</f>
        <v>bender cutter 5Kw</v>
      </c>
      <c r="G2475" s="362" t="s">
        <v>4902</v>
      </c>
      <c r="H2475" s="847">
        <v>0.16</v>
      </c>
      <c r="I2475" s="848">
        <f>VLOOKUP(E2475,'9.may'!E:W,12,FALSE)</f>
        <v>80291.850000000006</v>
      </c>
      <c r="J2475" s="853">
        <f>+I2475*H2475</f>
        <v>12846.696000000002</v>
      </c>
      <c r="N2475" s="843" t="e">
        <f>SUMIF(#REF!,'8.Dgia'!A2475,#REF!)+SUMIF(#REF!,'8.Dgia'!A2475,#REF!)+SUMIF(#REF!,'8.Dgia'!A2475,#REF!)+SUMIF(#REF!,'8.Dgia'!A2475,#REF!)</f>
        <v>#REF!</v>
      </c>
      <c r="O2475" s="844"/>
      <c r="P2475" s="843" t="e">
        <f t="shared" si="106"/>
        <v>#REF!</v>
      </c>
    </row>
    <row r="2476" spans="1:18" ht="15" customHeight="1">
      <c r="A2476" s="657">
        <f>IF(B2476="",MAX($A$8:A2475)+0,MAX($A$8:A2475)+1)</f>
        <v>287</v>
      </c>
      <c r="B2476" s="835" t="str">
        <f>IF(C2476="","",COUNTA($C$10:C2477))</f>
        <v/>
      </c>
      <c r="C2476" s="362"/>
      <c r="D2476" s="851"/>
      <c r="E2476" s="852" t="s">
        <v>287</v>
      </c>
      <c r="F2476" s="848" t="str">
        <f>VLOOKUP(E2476,'9.may'!E:F,2,FALSE)</f>
        <v>caterpillar crane 16T</v>
      </c>
      <c r="G2476" s="362" t="s">
        <v>4902</v>
      </c>
      <c r="H2476" s="847">
        <v>0.08</v>
      </c>
      <c r="I2476" s="848">
        <f>VLOOKUP(E2476,'9.may'!E:W,12,FALSE)</f>
        <v>2129914.1945454543</v>
      </c>
      <c r="J2476" s="853">
        <f>+I2476*H2476</f>
        <v>170393.13556363634</v>
      </c>
      <c r="N2476" s="843" t="e">
        <f>SUMIF(#REF!,'8.Dgia'!A2476,#REF!)+SUMIF(#REF!,'8.Dgia'!A2476,#REF!)+SUMIF(#REF!,'8.Dgia'!A2476,#REF!)+SUMIF(#REF!,'8.Dgia'!A2476,#REF!)</f>
        <v>#REF!</v>
      </c>
      <c r="O2476" s="844"/>
      <c r="P2476" s="843" t="e">
        <f t="shared" si="106"/>
        <v>#REF!</v>
      </c>
    </row>
    <row r="2477" spans="1:18" ht="15" customHeight="1">
      <c r="A2477" s="657">
        <f>IF(B2477="",MAX($A$8:A2476)+0,MAX($A$8:A2476)+1)</f>
        <v>288</v>
      </c>
      <c r="B2477" s="835">
        <f>IF(C2477="","",COUNTA($C$10:C2478))</f>
        <v>288</v>
      </c>
      <c r="C2477" s="835">
        <f>IF(D2477="","",1776)</f>
        <v>1776</v>
      </c>
      <c r="D2477" s="927" t="s">
        <v>220</v>
      </c>
      <c r="E2477" s="855" t="s">
        <v>3460</v>
      </c>
      <c r="F2477" s="1049" t="str">
        <f>VLOOKUP(E2477,DICH!B:C,2,FALSE)</f>
        <v>Steel plate 180x180x45 (taken back, amor=2%*9tháng+7%)</v>
      </c>
      <c r="G2477" s="856" t="s">
        <v>4644</v>
      </c>
      <c r="H2477" s="929"/>
      <c r="I2477" s="848"/>
      <c r="J2477" s="853"/>
      <c r="K2477" s="842">
        <f>+J2478</f>
        <v>4636430.3741390659</v>
      </c>
      <c r="L2477" s="936">
        <f>+J2482</f>
        <v>2134538.25</v>
      </c>
      <c r="M2477" s="936">
        <f>+J2483</f>
        <v>480192.86971363635</v>
      </c>
      <c r="N2477" s="843" t="e">
        <f>SUMIF(#REF!,'8.Dgia'!A2477,#REF!)+SUMIF(#REF!,'8.Dgia'!A2477,#REF!)+SUMIF(#REF!,'8.Dgia'!A2477,#REF!)+SUMIF(#REF!,'8.Dgia'!A2477,#REF!)</f>
        <v>#REF!</v>
      </c>
      <c r="O2477" s="844"/>
      <c r="P2477" s="843" t="e">
        <f t="shared" si="106"/>
        <v>#REF!</v>
      </c>
    </row>
    <row r="2478" spans="1:18" ht="15" customHeight="1">
      <c r="A2478" s="657">
        <f>IF(B2478="",MAX($A$8:A2477)+0,MAX($A$8:A2477)+1)</f>
        <v>288</v>
      </c>
      <c r="B2478" s="835" t="str">
        <f>IF(C2478="","",COUNTA($C$10:C2479))</f>
        <v/>
      </c>
      <c r="C2478" s="362"/>
      <c r="D2478" s="851"/>
      <c r="E2478" s="852" t="s">
        <v>2032</v>
      </c>
      <c r="F2478" s="848" t="str">
        <f>VLOOKUP(E2478,DICH!B:C,2,FALSE)</f>
        <v xml:space="preserve">  A - Material</v>
      </c>
      <c r="G2478" s="856"/>
      <c r="H2478" s="847"/>
      <c r="I2478" s="848"/>
      <c r="J2478" s="849">
        <f>SUM(J2479:J2481)</f>
        <v>4636430.3741390659</v>
      </c>
      <c r="N2478" s="843" t="e">
        <f>SUMIF(#REF!,'8.Dgia'!A2478,#REF!)+SUMIF(#REF!,'8.Dgia'!A2478,#REF!)+SUMIF(#REF!,'8.Dgia'!A2478,#REF!)+SUMIF(#REF!,'8.Dgia'!A2478,#REF!)</f>
        <v>#REF!</v>
      </c>
      <c r="O2478" s="844"/>
      <c r="P2478" s="843" t="e">
        <f t="shared" si="106"/>
        <v>#REF!</v>
      </c>
    </row>
    <row r="2479" spans="1:18" ht="15" customHeight="1">
      <c r="A2479" s="657">
        <f>IF(B2479="",MAX($A$8:A2478)+0,MAX($A$8:A2478)+1)</f>
        <v>288</v>
      </c>
      <c r="B2479" s="835" t="str">
        <f>IF(C2479="","",COUNTA($C$10:C2480))</f>
        <v/>
      </c>
      <c r="C2479" s="362"/>
      <c r="D2479" s="851" t="s">
        <v>2255</v>
      </c>
      <c r="E2479" s="852" t="s">
        <v>513</v>
      </c>
      <c r="F2479" s="848" t="str">
        <f>VLOOKUP(E2479,DICH!B:C,2,FALSE)</f>
        <v>Steel plate 180x180x45</v>
      </c>
      <c r="G2479" s="362" t="s">
        <v>622</v>
      </c>
      <c r="H2479" s="847">
        <f>1020*(2%*9+7%)</f>
        <v>255</v>
      </c>
      <c r="I2479" s="848">
        <f>VLOOKUP(E2479,'11.gia '!$B:$I,8,FALSE)</f>
        <v>16703.248369172808</v>
      </c>
      <c r="J2479" s="853">
        <f>I2479*H2479</f>
        <v>4259328.3341390658</v>
      </c>
      <c r="N2479" s="843" t="e">
        <f>SUMIF(#REF!,'8.Dgia'!A2479,#REF!)+SUMIF(#REF!,'8.Dgia'!A2479,#REF!)+SUMIF(#REF!,'8.Dgia'!A2479,#REF!)+SUMIF(#REF!,'8.Dgia'!A2479,#REF!)</f>
        <v>#REF!</v>
      </c>
      <c r="O2479" s="844"/>
      <c r="P2479" s="843" t="e">
        <f t="shared" si="106"/>
        <v>#REF!</v>
      </c>
    </row>
    <row r="2480" spans="1:18" ht="15" customHeight="1">
      <c r="A2480" s="657">
        <f>IF(B2480="",MAX($A$8:A2479)+0,MAX($A$8:A2479)+1)</f>
        <v>288</v>
      </c>
      <c r="B2480" s="835" t="str">
        <f>IF(C2480="","",COUNTA($C$10:C2481))</f>
        <v/>
      </c>
      <c r="C2480" s="362"/>
      <c r="D2480" s="851"/>
      <c r="E2480" s="852" t="s">
        <v>459</v>
      </c>
      <c r="F2480" s="848" t="str">
        <f>VLOOKUP(E2480,DICH!B:C,2,FALSE)</f>
        <v>Steel ware</v>
      </c>
      <c r="G2480" s="362" t="s">
        <v>558</v>
      </c>
      <c r="H2480" s="847">
        <v>14.28</v>
      </c>
      <c r="I2480" s="848">
        <f>VLOOKUP(E2480,'11.gia '!$B:$I,8,FALSE)</f>
        <v>17143</v>
      </c>
      <c r="J2480" s="853">
        <f>I2480*H2480</f>
        <v>244802.03999999998</v>
      </c>
      <c r="N2480" s="843" t="e">
        <f>SUMIF(#REF!,'8.Dgia'!A2480,#REF!)+SUMIF(#REF!,'8.Dgia'!A2480,#REF!)+SUMIF(#REF!,'8.Dgia'!A2480,#REF!)+SUMIF(#REF!,'8.Dgia'!A2480,#REF!)</f>
        <v>#REF!</v>
      </c>
      <c r="O2480" s="844"/>
      <c r="P2480" s="843" t="e">
        <f t="shared" si="106"/>
        <v>#REF!</v>
      </c>
    </row>
    <row r="2481" spans="1:18" ht="15" customHeight="1">
      <c r="A2481" s="657">
        <f>IF(B2481="",MAX($A$8:A2480)+0,MAX($A$8:A2480)+1)</f>
        <v>288</v>
      </c>
      <c r="B2481" s="835" t="str">
        <f>IF(C2481="","",COUNTA($C$10:C2482))</f>
        <v/>
      </c>
      <c r="C2481" s="362"/>
      <c r="D2481" s="851"/>
      <c r="E2481" s="852" t="s">
        <v>559</v>
      </c>
      <c r="F2481" s="848" t="str">
        <f>VLOOKUP(E2481,DICH!B:C,2,FALSE)</f>
        <v>welding electrode</v>
      </c>
      <c r="G2481" s="362" t="s">
        <v>558</v>
      </c>
      <c r="H2481" s="847">
        <v>6.93</v>
      </c>
      <c r="I2481" s="848">
        <f>VLOOKUP(E2481,'11.gia '!$B:$I,8,FALSE)</f>
        <v>19090.909090909088</v>
      </c>
      <c r="J2481" s="853">
        <f>I2481*H2481</f>
        <v>132299.99999999997</v>
      </c>
      <c r="N2481" s="843" t="e">
        <f>SUMIF(#REF!,'8.Dgia'!A2481,#REF!)+SUMIF(#REF!,'8.Dgia'!A2481,#REF!)+SUMIF(#REF!,'8.Dgia'!A2481,#REF!)+SUMIF(#REF!,'8.Dgia'!A2481,#REF!)</f>
        <v>#REF!</v>
      </c>
      <c r="O2481" s="844"/>
      <c r="P2481" s="843" t="e">
        <f t="shared" si="106"/>
        <v>#REF!</v>
      </c>
    </row>
    <row r="2482" spans="1:18" ht="15" customHeight="1">
      <c r="A2482" s="657">
        <f>IF(B2482="",MAX($A$8:A2481)+0,MAX($A$8:A2481)+1)</f>
        <v>288</v>
      </c>
      <c r="B2482" s="835" t="str">
        <f>IF(C2482="","",COUNTA($C$10:C2483))</f>
        <v/>
      </c>
      <c r="C2482" s="362"/>
      <c r="D2482" s="851"/>
      <c r="E2482" s="852" t="s">
        <v>2039</v>
      </c>
      <c r="F2482" s="848" t="str">
        <f>VLOOKUP(E2482,DICH!B:C,2,FALSE)</f>
        <v xml:space="preserve">  B - Labour 4.0/7</v>
      </c>
      <c r="G2482" s="362" t="s">
        <v>4899</v>
      </c>
      <c r="H2482" s="847">
        <v>9.75</v>
      </c>
      <c r="I2482" s="848">
        <f>VLOOKUP(E2482,'16.NC'!$C$11:$F$22,4,FALSE)</f>
        <v>218927</v>
      </c>
      <c r="J2482" s="849">
        <f>I2482*H2482</f>
        <v>2134538.25</v>
      </c>
      <c r="N2482" s="843" t="e">
        <f>SUMIF(#REF!,'8.Dgia'!A2482,#REF!)+SUMIF(#REF!,'8.Dgia'!A2482,#REF!)+SUMIF(#REF!,'8.Dgia'!A2482,#REF!)+SUMIF(#REF!,'8.Dgia'!A2482,#REF!)</f>
        <v>#REF!</v>
      </c>
      <c r="O2482" s="844"/>
      <c r="P2482" s="843" t="e">
        <f t="shared" si="106"/>
        <v>#REF!</v>
      </c>
      <c r="R2482" s="658">
        <v>1</v>
      </c>
    </row>
    <row r="2483" spans="1:18" ht="15" customHeight="1">
      <c r="A2483" s="657">
        <f>IF(B2483="",MAX($A$8:A2482)+0,MAX($A$8:A2482)+1)</f>
        <v>288</v>
      </c>
      <c r="B2483" s="835" t="str">
        <f>IF(C2483="","",COUNTA($C$10:C2484))</f>
        <v/>
      </c>
      <c r="C2483" s="362"/>
      <c r="D2483" s="851"/>
      <c r="E2483" s="852" t="s">
        <v>2033</v>
      </c>
      <c r="F2483" s="848" t="str">
        <f>VLOOKUP(E2483,DICH!B:C,2,FALSE)</f>
        <v xml:space="preserve">  C - Machine</v>
      </c>
      <c r="G2483" s="362"/>
      <c r="H2483" s="847"/>
      <c r="I2483" s="848"/>
      <c r="J2483" s="849">
        <f>SUM(J2484:J2486)</f>
        <v>480192.86971363635</v>
      </c>
      <c r="N2483" s="843" t="e">
        <f>SUMIF(#REF!,'8.Dgia'!A2483,#REF!)+SUMIF(#REF!,'8.Dgia'!A2483,#REF!)+SUMIF(#REF!,'8.Dgia'!A2483,#REF!)+SUMIF(#REF!,'8.Dgia'!A2483,#REF!)</f>
        <v>#REF!</v>
      </c>
      <c r="O2483" s="844"/>
      <c r="P2483" s="843" t="e">
        <f t="shared" si="106"/>
        <v>#REF!</v>
      </c>
    </row>
    <row r="2484" spans="1:18" ht="15" customHeight="1">
      <c r="A2484" s="657">
        <f>IF(B2484="",MAX($A$8:A2483)+0,MAX($A$8:A2483)+1)</f>
        <v>288</v>
      </c>
      <c r="B2484" s="835" t="str">
        <f>IF(C2484="","",COUNTA($C$10:C2485))</f>
        <v/>
      </c>
      <c r="C2484" s="362"/>
      <c r="D2484" s="851"/>
      <c r="E2484" s="852" t="s">
        <v>560</v>
      </c>
      <c r="F2484" s="848" t="str">
        <f>VLOOKUP(E2484,'9.may'!E:F,2,FALSE)</f>
        <v>welding machine 23kW</v>
      </c>
      <c r="G2484" s="362" t="s">
        <v>4902</v>
      </c>
      <c r="H2484" s="847">
        <v>1.73</v>
      </c>
      <c r="I2484" s="848">
        <f>VLOOKUP(E2484,'9.may'!E:W,12,FALSE)</f>
        <v>171649.155</v>
      </c>
      <c r="J2484" s="853">
        <f>+I2484*H2484</f>
        <v>296953.03814999998</v>
      </c>
      <c r="N2484" s="843" t="e">
        <f>SUMIF(#REF!,'8.Dgia'!A2484,#REF!)+SUMIF(#REF!,'8.Dgia'!A2484,#REF!)+SUMIF(#REF!,'8.Dgia'!A2484,#REF!)+SUMIF(#REF!,'8.Dgia'!A2484,#REF!)</f>
        <v>#REF!</v>
      </c>
      <c r="O2484" s="844"/>
      <c r="P2484" s="843" t="e">
        <f t="shared" si="106"/>
        <v>#REF!</v>
      </c>
    </row>
    <row r="2485" spans="1:18" ht="15" customHeight="1">
      <c r="A2485" s="657">
        <f>IF(B2485="",MAX($A$8:A2484)+0,MAX($A$8:A2484)+1)</f>
        <v>288</v>
      </c>
      <c r="B2485" s="835" t="str">
        <f>IF(C2485="","",COUNTA($C$10:C2486))</f>
        <v/>
      </c>
      <c r="C2485" s="362"/>
      <c r="D2485" s="851"/>
      <c r="E2485" s="852" t="s">
        <v>1424</v>
      </c>
      <c r="F2485" s="848" t="str">
        <f>VLOOKUP(E2485,'9.may'!E:F,2,FALSE)</f>
        <v>bender cutter 5Kw</v>
      </c>
      <c r="G2485" s="362" t="s">
        <v>4902</v>
      </c>
      <c r="H2485" s="847">
        <v>0.16</v>
      </c>
      <c r="I2485" s="848">
        <f>VLOOKUP(E2485,'9.may'!E:W,12,FALSE)</f>
        <v>80291.850000000006</v>
      </c>
      <c r="J2485" s="853">
        <f>+I2485*H2485</f>
        <v>12846.696000000002</v>
      </c>
      <c r="N2485" s="843" t="e">
        <f>SUMIF(#REF!,'8.Dgia'!A2485,#REF!)+SUMIF(#REF!,'8.Dgia'!A2485,#REF!)+SUMIF(#REF!,'8.Dgia'!A2485,#REF!)+SUMIF(#REF!,'8.Dgia'!A2485,#REF!)</f>
        <v>#REF!</v>
      </c>
      <c r="O2485" s="844"/>
      <c r="P2485" s="843" t="e">
        <f t="shared" si="106"/>
        <v>#REF!</v>
      </c>
    </row>
    <row r="2486" spans="1:18" ht="15" customHeight="1">
      <c r="A2486" s="657">
        <f>IF(B2486="",MAX($A$8:A2485)+0,MAX($A$8:A2485)+1)</f>
        <v>288</v>
      </c>
      <c r="B2486" s="835" t="str">
        <f>IF(C2486="","",COUNTA($C$10:C2487))</f>
        <v/>
      </c>
      <c r="C2486" s="362"/>
      <c r="D2486" s="851"/>
      <c r="E2486" s="852" t="s">
        <v>287</v>
      </c>
      <c r="F2486" s="848" t="str">
        <f>VLOOKUP(E2486,'9.may'!E:F,2,FALSE)</f>
        <v>caterpillar crane 16T</v>
      </c>
      <c r="G2486" s="362" t="s">
        <v>4902</v>
      </c>
      <c r="H2486" s="847">
        <v>0.08</v>
      </c>
      <c r="I2486" s="848">
        <f>VLOOKUP(E2486,'9.may'!E:W,12,FALSE)</f>
        <v>2129914.1945454543</v>
      </c>
      <c r="J2486" s="853">
        <f>+I2486*H2486</f>
        <v>170393.13556363634</v>
      </c>
      <c r="K2486" s="939"/>
      <c r="L2486" s="939"/>
      <c r="M2486" s="939"/>
      <c r="N2486" s="843" t="e">
        <f>SUMIF(#REF!,'8.Dgia'!A2486,#REF!)+SUMIF(#REF!,'8.Dgia'!A2486,#REF!)+SUMIF(#REF!,'8.Dgia'!A2486,#REF!)+SUMIF(#REF!,'8.Dgia'!A2486,#REF!)</f>
        <v>#REF!</v>
      </c>
      <c r="O2486" s="940"/>
      <c r="P2486" s="843" t="e">
        <f t="shared" si="106"/>
        <v>#REF!</v>
      </c>
    </row>
    <row r="2487" spans="1:18" ht="15" customHeight="1">
      <c r="A2487" s="657">
        <f>IF(B2487="",MAX($A$8:A2486)+0,MAX($A$8:A2486)+1)</f>
        <v>289</v>
      </c>
      <c r="B2487" s="835">
        <f>IF(C2487="","",COUNTA($C$10:C2488))</f>
        <v>289</v>
      </c>
      <c r="C2487" s="835">
        <f>IF(D2487="","",1776)</f>
        <v>1776</v>
      </c>
      <c r="D2487" s="927" t="s">
        <v>220</v>
      </c>
      <c r="E2487" s="855" t="s">
        <v>3459</v>
      </c>
      <c r="F2487" s="1049" t="str">
        <f>VLOOKUP(E2487,DICH!B:C,2,FALSE)</f>
        <v>Steel plate 180x180x45 (taken back, amor=2%*1tháng+7%)</v>
      </c>
      <c r="G2487" s="856" t="s">
        <v>4644</v>
      </c>
      <c r="H2487" s="941"/>
      <c r="I2487" s="848"/>
      <c r="J2487" s="853"/>
      <c r="K2487" s="842">
        <f>+J2488</f>
        <v>1910460.2402900641</v>
      </c>
      <c r="L2487" s="936">
        <f>+J2492</f>
        <v>2134538.25</v>
      </c>
      <c r="M2487" s="936">
        <f>+J2493</f>
        <v>480192.86971363635</v>
      </c>
      <c r="N2487" s="843" t="e">
        <f>SUMIF(#REF!,'8.Dgia'!A2487,#REF!)+SUMIF(#REF!,'8.Dgia'!A2487,#REF!)+SUMIF(#REF!,'8.Dgia'!A2487,#REF!)+SUMIF(#REF!,'8.Dgia'!A2487,#REF!)</f>
        <v>#REF!</v>
      </c>
      <c r="O2487" s="844"/>
      <c r="P2487" s="843" t="e">
        <f t="shared" ref="P2487:P2496" si="108">$H2487*N2487*(1+O2487%)</f>
        <v>#REF!</v>
      </c>
    </row>
    <row r="2488" spans="1:18" ht="15" customHeight="1">
      <c r="A2488" s="657">
        <f>IF(B2488="",MAX($A$8:A2487)+0,MAX($A$8:A2487)+1)</f>
        <v>289</v>
      </c>
      <c r="B2488" s="835" t="str">
        <f>IF(C2488="","",COUNTA($C$10:C2489))</f>
        <v/>
      </c>
      <c r="C2488" s="362"/>
      <c r="D2488" s="851"/>
      <c r="E2488" s="852" t="s">
        <v>2032</v>
      </c>
      <c r="F2488" s="848" t="str">
        <f>VLOOKUP(E2488,DICH!B:C,2,FALSE)</f>
        <v xml:space="preserve">  A - Material</v>
      </c>
      <c r="G2488" s="856"/>
      <c r="H2488" s="847"/>
      <c r="I2488" s="848"/>
      <c r="J2488" s="849">
        <f>SUM(J2489:J2491)</f>
        <v>1910460.2402900641</v>
      </c>
      <c r="N2488" s="843" t="e">
        <f>SUMIF(#REF!,'8.Dgia'!A2488,#REF!)+SUMIF(#REF!,'8.Dgia'!A2488,#REF!)+SUMIF(#REF!,'8.Dgia'!A2488,#REF!)+SUMIF(#REF!,'8.Dgia'!A2488,#REF!)</f>
        <v>#REF!</v>
      </c>
      <c r="O2488" s="844"/>
      <c r="P2488" s="843" t="e">
        <f t="shared" si="108"/>
        <v>#REF!</v>
      </c>
    </row>
    <row r="2489" spans="1:18" ht="15" customHeight="1">
      <c r="A2489" s="657">
        <f>IF(B2489="",MAX($A$8:A2488)+0,MAX($A$8:A2488)+1)</f>
        <v>289</v>
      </c>
      <c r="B2489" s="835" t="str">
        <f>IF(C2489="","",COUNTA($C$10:C2490))</f>
        <v/>
      </c>
      <c r="C2489" s="362"/>
      <c r="D2489" s="851" t="s">
        <v>2255</v>
      </c>
      <c r="E2489" s="852" t="s">
        <v>513</v>
      </c>
      <c r="F2489" s="848" t="str">
        <f>VLOOKUP(E2489,DICH!B:C,2,FALSE)</f>
        <v>Steel plate 180x180x45</v>
      </c>
      <c r="G2489" s="362" t="s">
        <v>622</v>
      </c>
      <c r="H2489" s="847">
        <f>1020*(2%*1+7%)</f>
        <v>91.800000000000011</v>
      </c>
      <c r="I2489" s="848">
        <f>VLOOKUP(E2489,'11.gia '!$B:$I,8,FALSE)</f>
        <v>16703.248369172808</v>
      </c>
      <c r="J2489" s="853">
        <f>I2489*H2489</f>
        <v>1533358.2002900641</v>
      </c>
      <c r="N2489" s="843" t="e">
        <f>SUMIF(#REF!,'8.Dgia'!A2489,#REF!)+SUMIF(#REF!,'8.Dgia'!A2489,#REF!)+SUMIF(#REF!,'8.Dgia'!A2489,#REF!)+SUMIF(#REF!,'8.Dgia'!A2489,#REF!)</f>
        <v>#REF!</v>
      </c>
      <c r="O2489" s="844"/>
      <c r="P2489" s="843" t="e">
        <f t="shared" si="108"/>
        <v>#REF!</v>
      </c>
    </row>
    <row r="2490" spans="1:18" ht="15" customHeight="1">
      <c r="A2490" s="657">
        <f>IF(B2490="",MAX($A$8:A2489)+0,MAX($A$8:A2489)+1)</f>
        <v>289</v>
      </c>
      <c r="B2490" s="835" t="str">
        <f>IF(C2490="","",COUNTA($C$10:C2491))</f>
        <v/>
      </c>
      <c r="C2490" s="362"/>
      <c r="D2490" s="851"/>
      <c r="E2490" s="852" t="s">
        <v>459</v>
      </c>
      <c r="F2490" s="848" t="str">
        <f>VLOOKUP(E2490,DICH!B:C,2,FALSE)</f>
        <v>Steel ware</v>
      </c>
      <c r="G2490" s="362" t="s">
        <v>558</v>
      </c>
      <c r="H2490" s="847">
        <v>14.28</v>
      </c>
      <c r="I2490" s="848">
        <f>VLOOKUP(E2490,'11.gia '!$B:$I,8,FALSE)</f>
        <v>17143</v>
      </c>
      <c r="J2490" s="853">
        <f>I2490*H2490</f>
        <v>244802.03999999998</v>
      </c>
      <c r="N2490" s="843" t="e">
        <f>SUMIF(#REF!,'8.Dgia'!A2490,#REF!)+SUMIF(#REF!,'8.Dgia'!A2490,#REF!)+SUMIF(#REF!,'8.Dgia'!A2490,#REF!)+SUMIF(#REF!,'8.Dgia'!A2490,#REF!)</f>
        <v>#REF!</v>
      </c>
      <c r="O2490" s="844"/>
      <c r="P2490" s="843" t="e">
        <f t="shared" si="108"/>
        <v>#REF!</v>
      </c>
    </row>
    <row r="2491" spans="1:18" ht="15" customHeight="1">
      <c r="A2491" s="657">
        <f>IF(B2491="",MAX($A$8:A2490)+0,MAX($A$8:A2490)+1)</f>
        <v>289</v>
      </c>
      <c r="B2491" s="835" t="str">
        <f>IF(C2491="","",COUNTA($C$10:C2492))</f>
        <v/>
      </c>
      <c r="C2491" s="362"/>
      <c r="D2491" s="851"/>
      <c r="E2491" s="852" t="s">
        <v>559</v>
      </c>
      <c r="F2491" s="848" t="str">
        <f>VLOOKUP(E2491,DICH!B:C,2,FALSE)</f>
        <v>welding electrode</v>
      </c>
      <c r="G2491" s="362" t="s">
        <v>558</v>
      </c>
      <c r="H2491" s="847">
        <v>6.93</v>
      </c>
      <c r="I2491" s="848">
        <f>VLOOKUP(E2491,'11.gia '!$B:$I,8,FALSE)</f>
        <v>19090.909090909088</v>
      </c>
      <c r="J2491" s="853">
        <f>I2491*H2491</f>
        <v>132299.99999999997</v>
      </c>
      <c r="N2491" s="843" t="e">
        <f>SUMIF(#REF!,'8.Dgia'!A2491,#REF!)+SUMIF(#REF!,'8.Dgia'!A2491,#REF!)+SUMIF(#REF!,'8.Dgia'!A2491,#REF!)+SUMIF(#REF!,'8.Dgia'!A2491,#REF!)</f>
        <v>#REF!</v>
      </c>
      <c r="O2491" s="844"/>
      <c r="P2491" s="843" t="e">
        <f t="shared" si="108"/>
        <v>#REF!</v>
      </c>
    </row>
    <row r="2492" spans="1:18" ht="15" customHeight="1">
      <c r="A2492" s="657">
        <f>IF(B2492="",MAX($A$8:A2491)+0,MAX($A$8:A2491)+1)</f>
        <v>289</v>
      </c>
      <c r="B2492" s="835" t="str">
        <f>IF(C2492="","",COUNTA($C$10:C2493))</f>
        <v/>
      </c>
      <c r="C2492" s="362"/>
      <c r="D2492" s="851"/>
      <c r="E2492" s="852" t="s">
        <v>2039</v>
      </c>
      <c r="F2492" s="848" t="str">
        <f>VLOOKUP(E2492,DICH!B:C,2,FALSE)</f>
        <v xml:space="preserve">  B - Labour 4.0/7</v>
      </c>
      <c r="G2492" s="362" t="s">
        <v>4899</v>
      </c>
      <c r="H2492" s="847">
        <v>9.75</v>
      </c>
      <c r="I2492" s="848">
        <f>VLOOKUP(E2492,'16.NC'!$C$11:$F$22,4,FALSE)</f>
        <v>218927</v>
      </c>
      <c r="J2492" s="849">
        <f>I2492*H2492</f>
        <v>2134538.25</v>
      </c>
      <c r="N2492" s="843" t="e">
        <f>SUMIF(#REF!,'8.Dgia'!A2492,#REF!)+SUMIF(#REF!,'8.Dgia'!A2492,#REF!)+SUMIF(#REF!,'8.Dgia'!A2492,#REF!)+SUMIF(#REF!,'8.Dgia'!A2492,#REF!)</f>
        <v>#REF!</v>
      </c>
      <c r="O2492" s="844"/>
      <c r="P2492" s="843" t="e">
        <f t="shared" si="108"/>
        <v>#REF!</v>
      </c>
      <c r="R2492" s="658">
        <v>1</v>
      </c>
    </row>
    <row r="2493" spans="1:18" ht="15" customHeight="1">
      <c r="A2493" s="657">
        <f>IF(B2493="",MAX($A$8:A2492)+0,MAX($A$8:A2492)+1)</f>
        <v>289</v>
      </c>
      <c r="B2493" s="835" t="str">
        <f>IF(C2493="","",COUNTA($C$10:C2494))</f>
        <v/>
      </c>
      <c r="C2493" s="362"/>
      <c r="D2493" s="851"/>
      <c r="E2493" s="852" t="s">
        <v>2033</v>
      </c>
      <c r="F2493" s="848" t="str">
        <f>VLOOKUP(E2493,DICH!B:C,2,FALSE)</f>
        <v xml:space="preserve">  C - Machine</v>
      </c>
      <c r="G2493" s="362"/>
      <c r="H2493" s="847"/>
      <c r="I2493" s="848"/>
      <c r="J2493" s="849">
        <f>SUM(J2494:J2496)</f>
        <v>480192.86971363635</v>
      </c>
      <c r="N2493" s="843" t="e">
        <f>SUMIF(#REF!,'8.Dgia'!A2493,#REF!)+SUMIF(#REF!,'8.Dgia'!A2493,#REF!)+SUMIF(#REF!,'8.Dgia'!A2493,#REF!)+SUMIF(#REF!,'8.Dgia'!A2493,#REF!)</f>
        <v>#REF!</v>
      </c>
      <c r="O2493" s="844"/>
      <c r="P2493" s="843" t="e">
        <f t="shared" si="108"/>
        <v>#REF!</v>
      </c>
    </row>
    <row r="2494" spans="1:18" ht="15" customHeight="1">
      <c r="A2494" s="657">
        <f>IF(B2494="",MAX($A$8:A2493)+0,MAX($A$8:A2493)+1)</f>
        <v>289</v>
      </c>
      <c r="B2494" s="835" t="str">
        <f>IF(C2494="","",COUNTA($C$10:C2495))</f>
        <v/>
      </c>
      <c r="C2494" s="362"/>
      <c r="D2494" s="851"/>
      <c r="E2494" s="852" t="s">
        <v>560</v>
      </c>
      <c r="F2494" s="848" t="str">
        <f>VLOOKUP(E2494,'9.may'!E:F,2,FALSE)</f>
        <v>welding machine 23kW</v>
      </c>
      <c r="G2494" s="362" t="s">
        <v>4902</v>
      </c>
      <c r="H2494" s="847">
        <v>1.73</v>
      </c>
      <c r="I2494" s="848">
        <f>VLOOKUP(E2494,'9.may'!E:W,12,FALSE)</f>
        <v>171649.155</v>
      </c>
      <c r="J2494" s="853">
        <f>+I2494*H2494</f>
        <v>296953.03814999998</v>
      </c>
      <c r="N2494" s="843" t="e">
        <f>SUMIF(#REF!,'8.Dgia'!A2494,#REF!)+SUMIF(#REF!,'8.Dgia'!A2494,#REF!)+SUMIF(#REF!,'8.Dgia'!A2494,#REF!)+SUMIF(#REF!,'8.Dgia'!A2494,#REF!)</f>
        <v>#REF!</v>
      </c>
      <c r="O2494" s="844"/>
      <c r="P2494" s="843" t="e">
        <f t="shared" si="108"/>
        <v>#REF!</v>
      </c>
    </row>
    <row r="2495" spans="1:18" ht="15" customHeight="1">
      <c r="A2495" s="657">
        <f>IF(B2495="",MAX($A$8:A2494)+0,MAX($A$8:A2494)+1)</f>
        <v>289</v>
      </c>
      <c r="B2495" s="835" t="str">
        <f>IF(C2495="","",COUNTA($C$10:C2496))</f>
        <v/>
      </c>
      <c r="C2495" s="362"/>
      <c r="D2495" s="851"/>
      <c r="E2495" s="852" t="s">
        <v>1424</v>
      </c>
      <c r="F2495" s="848" t="str">
        <f>VLOOKUP(E2495,'9.may'!E:F,2,FALSE)</f>
        <v>bender cutter 5Kw</v>
      </c>
      <c r="G2495" s="362" t="s">
        <v>4902</v>
      </c>
      <c r="H2495" s="847">
        <v>0.16</v>
      </c>
      <c r="I2495" s="848">
        <f>VLOOKUP(E2495,'9.may'!E:W,12,FALSE)</f>
        <v>80291.850000000006</v>
      </c>
      <c r="J2495" s="853">
        <f>+I2495*H2495</f>
        <v>12846.696000000002</v>
      </c>
      <c r="N2495" s="843" t="e">
        <f>SUMIF(#REF!,'8.Dgia'!A2495,#REF!)+SUMIF(#REF!,'8.Dgia'!A2495,#REF!)+SUMIF(#REF!,'8.Dgia'!A2495,#REF!)+SUMIF(#REF!,'8.Dgia'!A2495,#REF!)</f>
        <v>#REF!</v>
      </c>
      <c r="O2495" s="844"/>
      <c r="P2495" s="843" t="e">
        <f t="shared" si="108"/>
        <v>#REF!</v>
      </c>
    </row>
    <row r="2496" spans="1:18" ht="15" customHeight="1">
      <c r="A2496" s="657">
        <f>IF(B2496="",MAX($A$8:A2495)+0,MAX($A$8:A2495)+1)</f>
        <v>289</v>
      </c>
      <c r="B2496" s="835" t="str">
        <f>IF(C2496="","",COUNTA($C$10:C2497))</f>
        <v/>
      </c>
      <c r="C2496" s="362"/>
      <c r="D2496" s="851"/>
      <c r="E2496" s="852" t="s">
        <v>287</v>
      </c>
      <c r="F2496" s="848" t="str">
        <f>VLOOKUP(E2496,'9.may'!E:F,2,FALSE)</f>
        <v>caterpillar crane 16T</v>
      </c>
      <c r="G2496" s="362" t="s">
        <v>4902</v>
      </c>
      <c r="H2496" s="847">
        <v>0.08</v>
      </c>
      <c r="I2496" s="848">
        <f>VLOOKUP(E2496,'9.may'!E:W,12,FALSE)</f>
        <v>2129914.1945454543</v>
      </c>
      <c r="J2496" s="853">
        <f>+I2496*H2496</f>
        <v>170393.13556363634</v>
      </c>
      <c r="K2496" s="939"/>
      <c r="L2496" s="939"/>
      <c r="M2496" s="939"/>
      <c r="N2496" s="843" t="e">
        <f>SUMIF(#REF!,'8.Dgia'!A2496,#REF!)+SUMIF(#REF!,'8.Dgia'!A2496,#REF!)+SUMIF(#REF!,'8.Dgia'!A2496,#REF!)+SUMIF(#REF!,'8.Dgia'!A2496,#REF!)</f>
        <v>#REF!</v>
      </c>
      <c r="O2496" s="940"/>
      <c r="P2496" s="843" t="e">
        <f t="shared" si="108"/>
        <v>#REF!</v>
      </c>
    </row>
    <row r="2497" spans="1:18" ht="27.75" customHeight="1">
      <c r="A2497" s="657">
        <f>IF(B2497="",MAX($A$8:A2496)+0,MAX($A$8:A2496)+1)</f>
        <v>290</v>
      </c>
      <c r="B2497" s="835">
        <f>IF(C2497="","",COUNTA($C$10:C2498))</f>
        <v>290</v>
      </c>
      <c r="C2497" s="835">
        <f>IF(D2497="","",1776)</f>
        <v>1776</v>
      </c>
      <c r="D2497" s="851" t="s">
        <v>172</v>
      </c>
      <c r="E2497" s="855" t="s">
        <v>171</v>
      </c>
      <c r="F2497" s="1049" t="str">
        <f>VLOOKUP(E2497,DICH!B:C,2,FALSE)</f>
        <v>Installing formwork, formwork supporting system of cantilever girder on land</v>
      </c>
      <c r="G2497" s="942" t="s">
        <v>4645</v>
      </c>
      <c r="H2497" s="847"/>
      <c r="I2497" s="848"/>
      <c r="J2497" s="857"/>
      <c r="K2497" s="842">
        <f>+J2498</f>
        <v>160540.07856840483</v>
      </c>
      <c r="L2497" s="842">
        <f>+J2504</f>
        <v>418660</v>
      </c>
      <c r="M2497" s="842">
        <f>+J2505</f>
        <v>163543.33196488637</v>
      </c>
      <c r="N2497" s="843" t="e">
        <f>SUMIF(#REF!,'8.Dgia'!A2497,#REF!)+SUMIF(#REF!,'8.Dgia'!A2497,#REF!)+SUMIF(#REF!,'8.Dgia'!A2497,#REF!)+SUMIF(#REF!,'8.Dgia'!A2497,#REF!)</f>
        <v>#REF!</v>
      </c>
      <c r="O2497" s="844"/>
      <c r="P2497" s="843" t="e">
        <f t="shared" si="106"/>
        <v>#REF!</v>
      </c>
    </row>
    <row r="2498" spans="1:18" s="658" customFormat="1" ht="15" customHeight="1">
      <c r="A2498" s="657">
        <f>IF(B2498="",MAX($A$8:A2497)+0,MAX($A$8:A2497)+1)</f>
        <v>290</v>
      </c>
      <c r="B2498" s="835" t="str">
        <f>IF(C2498="","",COUNTA($C$10:C2499))</f>
        <v/>
      </c>
      <c r="C2498" s="362"/>
      <c r="D2498" s="845"/>
      <c r="E2498" s="852" t="s">
        <v>2032</v>
      </c>
      <c r="F2498" s="848" t="str">
        <f>VLOOKUP(E2498,DICH!B:C,2,FALSE)</f>
        <v xml:space="preserve">  A - Material</v>
      </c>
      <c r="G2498" s="846"/>
      <c r="H2498" s="847"/>
      <c r="I2498" s="848"/>
      <c r="J2498" s="849">
        <f>SUM(J2499:J2503)</f>
        <v>160540.07856840483</v>
      </c>
      <c r="K2498" s="850"/>
      <c r="L2498" s="850"/>
      <c r="M2498" s="850"/>
      <c r="N2498" s="843" t="e">
        <f>SUMIF(#REF!,'8.Dgia'!A2498,#REF!)+SUMIF(#REF!,'8.Dgia'!A2498,#REF!)+SUMIF(#REF!,'8.Dgia'!A2498,#REF!)+SUMIF(#REF!,'8.Dgia'!A2498,#REF!)</f>
        <v>#REF!</v>
      </c>
      <c r="O2498" s="844"/>
      <c r="P2498" s="843" t="e">
        <f t="shared" si="106"/>
        <v>#REF!</v>
      </c>
    </row>
    <row r="2499" spans="1:18" ht="15" customHeight="1">
      <c r="A2499" s="657">
        <f>IF(B2499="",MAX($A$8:A2498)+0,MAX($A$8:A2498)+1)</f>
        <v>290</v>
      </c>
      <c r="B2499" s="835" t="str">
        <f>IF(C2499="","",COUNTA($C$10:C2500))</f>
        <v/>
      </c>
      <c r="C2499" s="362"/>
      <c r="D2499" s="851"/>
      <c r="E2499" s="852" t="s">
        <v>84</v>
      </c>
      <c r="F2499" s="848" t="str">
        <f>VLOOKUP(E2499,DICH!B:C,2,FALSE)</f>
        <v>High strengthen bar D36 (kg)</v>
      </c>
      <c r="G2499" s="362" t="s">
        <v>558</v>
      </c>
      <c r="H2499" s="847">
        <v>0.73</v>
      </c>
      <c r="I2499" s="848">
        <f>VLOOKUP(E2499,'11.gia '!$B:$I,8,FALSE)</f>
        <v>86980.172563393309</v>
      </c>
      <c r="J2499" s="853">
        <f>I2499*H2499</f>
        <v>63495.525971277115</v>
      </c>
      <c r="N2499" s="843" t="e">
        <f>SUMIF(#REF!,'8.Dgia'!A2499,#REF!)+SUMIF(#REF!,'8.Dgia'!A2499,#REF!)+SUMIF(#REF!,'8.Dgia'!A2499,#REF!)+SUMIF(#REF!,'8.Dgia'!A2499,#REF!)</f>
        <v>#REF!</v>
      </c>
      <c r="O2499" s="844">
        <f>+$H$2503</f>
        <v>10</v>
      </c>
      <c r="P2499" s="843" t="e">
        <f t="shared" si="106"/>
        <v>#REF!</v>
      </c>
    </row>
    <row r="2500" spans="1:18" ht="15" customHeight="1">
      <c r="A2500" s="657">
        <f>IF(B2500="",MAX($A$8:A2499)+0,MAX($A$8:A2499)+1)</f>
        <v>290</v>
      </c>
      <c r="B2500" s="835" t="str">
        <f>IF(C2500="","",COUNTA($C$10:C2501))</f>
        <v/>
      </c>
      <c r="C2500" s="362"/>
      <c r="D2500" s="851"/>
      <c r="E2500" s="852" t="s">
        <v>372</v>
      </c>
      <c r="F2500" s="848" t="str">
        <f>VLOOKUP(E2500,DICH!B:C,2,FALSE)</f>
        <v>Bbolt D22</v>
      </c>
      <c r="G2500" s="362" t="s">
        <v>4649</v>
      </c>
      <c r="H2500" s="847">
        <v>0.42</v>
      </c>
      <c r="I2500" s="848">
        <f>VLOOKUP(E2500,'11.gia '!$B:$I,8,FALSE)</f>
        <v>10000</v>
      </c>
      <c r="J2500" s="853">
        <f>I2500*H2500</f>
        <v>4200</v>
      </c>
      <c r="N2500" s="843" t="e">
        <f>SUMIF(#REF!,'8.Dgia'!A2500,#REF!)+SUMIF(#REF!,'8.Dgia'!A2500,#REF!)+SUMIF(#REF!,'8.Dgia'!A2500,#REF!)+SUMIF(#REF!,'8.Dgia'!A2500,#REF!)</f>
        <v>#REF!</v>
      </c>
      <c r="O2500" s="844">
        <f>+$H$2503</f>
        <v>10</v>
      </c>
      <c r="P2500" s="843" t="e">
        <f t="shared" si="106"/>
        <v>#REF!</v>
      </c>
    </row>
    <row r="2501" spans="1:18" ht="15" customHeight="1">
      <c r="A2501" s="657">
        <f>IF(B2501="",MAX($A$8:A2500)+0,MAX($A$8:A2500)+1)</f>
        <v>290</v>
      </c>
      <c r="B2501" s="835" t="str">
        <f>IF(C2501="","",COUNTA($C$10:C2502))</f>
        <v/>
      </c>
      <c r="C2501" s="362"/>
      <c r="D2501" s="851"/>
      <c r="E2501" s="852" t="s">
        <v>617</v>
      </c>
      <c r="F2501" s="848" t="str">
        <f>VLOOKUP(E2501,DICH!B:C,2,FALSE)</f>
        <v>turn buckle D38mm</v>
      </c>
      <c r="G2501" s="362" t="s">
        <v>4649</v>
      </c>
      <c r="H2501" s="847">
        <v>0.05</v>
      </c>
      <c r="I2501" s="848">
        <f>VLOOKUP(E2501,'11.gia '!$B:$I,8,FALSE)</f>
        <v>65000</v>
      </c>
      <c r="J2501" s="853">
        <f>I2501*H2501</f>
        <v>3250</v>
      </c>
      <c r="N2501" s="843" t="e">
        <f>SUMIF(#REF!,'8.Dgia'!A2501,#REF!)+SUMIF(#REF!,'8.Dgia'!A2501,#REF!)+SUMIF(#REF!,'8.Dgia'!A2501,#REF!)+SUMIF(#REF!,'8.Dgia'!A2501,#REF!)</f>
        <v>#REF!</v>
      </c>
      <c r="O2501" s="844">
        <f>+$H$2503</f>
        <v>10</v>
      </c>
      <c r="P2501" s="843" t="e">
        <f t="shared" si="106"/>
        <v>#REF!</v>
      </c>
    </row>
    <row r="2502" spans="1:18" ht="15" customHeight="1">
      <c r="A2502" s="657">
        <f>IF(B2502="",MAX($A$8:A2501)+0,MAX($A$8:A2501)+1)</f>
        <v>290</v>
      </c>
      <c r="B2502" s="835" t="str">
        <f>IF(C2502="","",COUNTA($C$10:C2503))</f>
        <v/>
      </c>
      <c r="C2502" s="362"/>
      <c r="D2502" s="851"/>
      <c r="E2502" s="852" t="s">
        <v>134</v>
      </c>
      <c r="F2502" s="848" t="str">
        <f>VLOOKUP(E2502,DICH!B:C,2,FALSE)</f>
        <v>Wooden</v>
      </c>
      <c r="G2502" s="362" t="s">
        <v>545</v>
      </c>
      <c r="H2502" s="847">
        <v>1.4999999999999999E-2</v>
      </c>
      <c r="I2502" s="848">
        <f>VLOOKUP(E2502,'11.gia '!$B:$I,8,FALSE)</f>
        <v>5000000</v>
      </c>
      <c r="J2502" s="853">
        <f>I2502*H2502</f>
        <v>75000</v>
      </c>
      <c r="N2502" s="843" t="e">
        <f>SUMIF(#REF!,'8.Dgia'!A2502,#REF!)+SUMIF(#REF!,'8.Dgia'!A2502,#REF!)+SUMIF(#REF!,'8.Dgia'!A2502,#REF!)+SUMIF(#REF!,'8.Dgia'!A2502,#REF!)</f>
        <v>#REF!</v>
      </c>
      <c r="O2502" s="844">
        <f>+$H$2503</f>
        <v>10</v>
      </c>
      <c r="P2502" s="843" t="e">
        <f t="shared" si="106"/>
        <v>#REF!</v>
      </c>
    </row>
    <row r="2503" spans="1:18" ht="15" customHeight="1">
      <c r="A2503" s="657">
        <f>IF(B2503="",MAX($A$8:A2502)+0,MAX($A$8:A2502)+1)</f>
        <v>290</v>
      </c>
      <c r="B2503" s="835" t="str">
        <f>IF(C2503="","",COUNTA($C$10:C2504))</f>
        <v/>
      </c>
      <c r="C2503" s="362"/>
      <c r="D2503" s="851"/>
      <c r="E2503" s="852" t="s">
        <v>555</v>
      </c>
      <c r="F2503" s="848" t="str">
        <f>VLOOKUP(E2503,DICH!B:C,2,FALSE)</f>
        <v>Other material</v>
      </c>
      <c r="G2503" s="362" t="s">
        <v>554</v>
      </c>
      <c r="H2503" s="847">
        <v>10</v>
      </c>
      <c r="I2503" s="848">
        <f>SUM(J2499:J2502)</f>
        <v>145945.52597127712</v>
      </c>
      <c r="J2503" s="853">
        <f>I2503*H2503%</f>
        <v>14594.552597127713</v>
      </c>
      <c r="N2503" s="843" t="e">
        <f>SUMIF(#REF!,'8.Dgia'!A2503,#REF!)+SUMIF(#REF!,'8.Dgia'!A2503,#REF!)+SUMIF(#REF!,'8.Dgia'!A2503,#REF!)+SUMIF(#REF!,'8.Dgia'!A2503,#REF!)</f>
        <v>#REF!</v>
      </c>
      <c r="O2503" s="844"/>
      <c r="P2503" s="843" t="e">
        <f t="shared" si="106"/>
        <v>#REF!</v>
      </c>
    </row>
    <row r="2504" spans="1:18" s="658" customFormat="1" ht="15" customHeight="1">
      <c r="A2504" s="657">
        <f>IF(B2504="",MAX($A$8:A2503)+0,MAX($A$8:A2503)+1)</f>
        <v>290</v>
      </c>
      <c r="B2504" s="835" t="str">
        <f>IF(C2504="","",COUNTA($C$10:C2505))</f>
        <v/>
      </c>
      <c r="C2504" s="362"/>
      <c r="D2504" s="845"/>
      <c r="E2504" s="852" t="s">
        <v>2040</v>
      </c>
      <c r="F2504" s="848" t="str">
        <f>VLOOKUP(E2504,DICH!B:C,2,FALSE)</f>
        <v xml:space="preserve">  B - Labour 4.5/7</v>
      </c>
      <c r="G2504" s="362" t="s">
        <v>4899</v>
      </c>
      <c r="H2504" s="847">
        <v>1.76</v>
      </c>
      <c r="I2504" s="848">
        <f>VLOOKUP(E2504,'16.NC'!$C$11:$F$22,4,FALSE)</f>
        <v>237875</v>
      </c>
      <c r="J2504" s="849">
        <f>I2504*H2504</f>
        <v>418660</v>
      </c>
      <c r="K2504" s="850"/>
      <c r="L2504" s="850"/>
      <c r="M2504" s="850"/>
      <c r="N2504" s="843" t="e">
        <f>SUMIF(#REF!,'8.Dgia'!A2504,#REF!)+SUMIF(#REF!,'8.Dgia'!A2504,#REF!)+SUMIF(#REF!,'8.Dgia'!A2504,#REF!)+SUMIF(#REF!,'8.Dgia'!A2504,#REF!)</f>
        <v>#REF!</v>
      </c>
      <c r="O2504" s="844"/>
      <c r="P2504" s="843" t="e">
        <f t="shared" si="106"/>
        <v>#REF!</v>
      </c>
      <c r="R2504" s="658">
        <v>1</v>
      </c>
    </row>
    <row r="2505" spans="1:18" s="658" customFormat="1" ht="15" customHeight="1">
      <c r="A2505" s="657">
        <f>IF(B2505="",MAX($A$8:A2504)+0,MAX($A$8:A2504)+1)</f>
        <v>290</v>
      </c>
      <c r="B2505" s="835" t="str">
        <f>IF(C2505="","",COUNTA($C$10:C2506))</f>
        <v/>
      </c>
      <c r="C2505" s="362"/>
      <c r="D2505" s="845"/>
      <c r="E2505" s="852" t="s">
        <v>2033</v>
      </c>
      <c r="F2505" s="848" t="str">
        <f>VLOOKUP(E2505,DICH!B:C,2,FALSE)</f>
        <v xml:space="preserve">  C - Machine</v>
      </c>
      <c r="G2505" s="846"/>
      <c r="H2505" s="847"/>
      <c r="I2505" s="848"/>
      <c r="J2505" s="849">
        <f>SUM(J2506:J2509)</f>
        <v>163543.33196488637</v>
      </c>
      <c r="K2505" s="850"/>
      <c r="L2505" s="850"/>
      <c r="M2505" s="850"/>
      <c r="N2505" s="843" t="e">
        <f>SUMIF(#REF!,'8.Dgia'!A2505,#REF!)+SUMIF(#REF!,'8.Dgia'!A2505,#REF!)+SUMIF(#REF!,'8.Dgia'!A2505,#REF!)+SUMIF(#REF!,'8.Dgia'!A2505,#REF!)</f>
        <v>#REF!</v>
      </c>
      <c r="O2505" s="844"/>
      <c r="P2505" s="843" t="e">
        <f t="shared" si="106"/>
        <v>#REF!</v>
      </c>
    </row>
    <row r="2506" spans="1:18" ht="15" customHeight="1">
      <c r="A2506" s="657">
        <f>IF(B2506="",MAX($A$8:A2505)+0,MAX($A$8:A2505)+1)</f>
        <v>290</v>
      </c>
      <c r="B2506" s="835" t="str">
        <f>IF(C2506="","",COUNTA($C$10:C2507))</f>
        <v/>
      </c>
      <c r="C2506" s="362"/>
      <c r="D2506" s="851"/>
      <c r="E2506" s="852" t="s">
        <v>612</v>
      </c>
      <c r="F2506" s="848" t="str">
        <f>VLOOKUP(E2506,'9.may'!E:F,2,FALSE)</f>
        <v>jack 50T</v>
      </c>
      <c r="G2506" s="362" t="s">
        <v>4902</v>
      </c>
      <c r="H2506" s="847">
        <v>0.25</v>
      </c>
      <c r="I2506" s="848">
        <f>VLOOKUP(E2506,'9.may'!E:W,12,FALSE)</f>
        <v>209878.78500000003</v>
      </c>
      <c r="J2506" s="853">
        <f>I2506*H2506</f>
        <v>52469.696250000008</v>
      </c>
      <c r="N2506" s="843" t="e">
        <f>SUMIF(#REF!,'8.Dgia'!A2506,#REF!)+SUMIF(#REF!,'8.Dgia'!A2506,#REF!)+SUMIF(#REF!,'8.Dgia'!A2506,#REF!)+SUMIF(#REF!,'8.Dgia'!A2506,#REF!)</f>
        <v>#REF!</v>
      </c>
      <c r="O2506" s="844">
        <f>+$H$2509</f>
        <v>5</v>
      </c>
      <c r="P2506" s="843" t="e">
        <f t="shared" si="106"/>
        <v>#REF!</v>
      </c>
    </row>
    <row r="2507" spans="1:18" ht="15" customHeight="1">
      <c r="A2507" s="657">
        <f>IF(B2507="",MAX($A$8:A2506)+0,MAX($A$8:A2506)+1)</f>
        <v>290</v>
      </c>
      <c r="B2507" s="835" t="str">
        <f>IF(C2507="","",COUNTA($C$10:C2508))</f>
        <v/>
      </c>
      <c r="C2507" s="362"/>
      <c r="D2507" s="851"/>
      <c r="E2507" s="852" t="s">
        <v>289</v>
      </c>
      <c r="F2507" s="848" t="str">
        <f>VLOOKUP(E2507,'9.may'!E:F,2,FALSE)</f>
        <v>caterpillar crane 50T</v>
      </c>
      <c r="G2507" s="362" t="s">
        <v>4902</v>
      </c>
      <c r="H2507" s="847">
        <v>1.4999999999999999E-2</v>
      </c>
      <c r="I2507" s="848">
        <f>VLOOKUP(E2507,'9.may'!E:W,12,FALSE)</f>
        <v>3833693.9468181818</v>
      </c>
      <c r="J2507" s="853">
        <f>I2507*H2507</f>
        <v>57505.409202272727</v>
      </c>
      <c r="N2507" s="843" t="e">
        <f>SUMIF(#REF!,'8.Dgia'!A2507,#REF!)+SUMIF(#REF!,'8.Dgia'!A2507,#REF!)+SUMIF(#REF!,'8.Dgia'!A2507,#REF!)+SUMIF(#REF!,'8.Dgia'!A2507,#REF!)</f>
        <v>#REF!</v>
      </c>
      <c r="O2507" s="844">
        <f>+$H$2509</f>
        <v>5</v>
      </c>
      <c r="P2507" s="843" t="e">
        <f t="shared" si="106"/>
        <v>#REF!</v>
      </c>
    </row>
    <row r="2508" spans="1:18" ht="15" customHeight="1">
      <c r="A2508" s="657">
        <f>IF(B2508="",MAX($A$8:A2507)+0,MAX($A$8:A2507)+1)</f>
        <v>290</v>
      </c>
      <c r="B2508" s="835" t="str">
        <f>IF(C2508="","",COUNTA($C$10:C2509))</f>
        <v/>
      </c>
      <c r="C2508" s="362"/>
      <c r="D2508" s="851"/>
      <c r="E2508" s="852" t="s">
        <v>556</v>
      </c>
      <c r="F2508" s="848" t="str">
        <f>VLOOKUP(E2508,'9.may'!E:F,2,FALSE)</f>
        <v>barge 400Ton</v>
      </c>
      <c r="G2508" s="362" t="s">
        <v>4902</v>
      </c>
      <c r="H2508" s="847">
        <v>0.04</v>
      </c>
      <c r="I2508" s="848">
        <f>VLOOKUP(E2508,'9.may'!E:W,12,FALSE)</f>
        <v>1144511.22</v>
      </c>
      <c r="J2508" s="853">
        <f>I2508*H2508</f>
        <v>45780.448799999998</v>
      </c>
      <c r="N2508" s="843" t="e">
        <f>SUMIF(#REF!,'8.Dgia'!A2508,#REF!)+SUMIF(#REF!,'8.Dgia'!A2508,#REF!)+SUMIF(#REF!,'8.Dgia'!A2508,#REF!)+SUMIF(#REF!,'8.Dgia'!A2508,#REF!)</f>
        <v>#REF!</v>
      </c>
      <c r="O2508" s="844">
        <f>+$H$2509</f>
        <v>5</v>
      </c>
      <c r="P2508" s="843" t="e">
        <f t="shared" ref="P2508:P2576" si="109">$H2508*N2508*(1+O2508%)</f>
        <v>#REF!</v>
      </c>
    </row>
    <row r="2509" spans="1:18" ht="15" customHeight="1">
      <c r="A2509" s="657">
        <f>IF(B2509="",MAX($A$8:A2508)+0,MAX($A$8:A2508)+1)</f>
        <v>290</v>
      </c>
      <c r="B2509" s="835" t="str">
        <f>IF(C2509="","",COUNTA($C$10:C2510))</f>
        <v/>
      </c>
      <c r="C2509" s="362"/>
      <c r="D2509" s="851"/>
      <c r="E2509" s="852" t="s">
        <v>553</v>
      </c>
      <c r="F2509" s="848" t="str">
        <f>VLOOKUP(E2509,DICH!B:C,2,FALSE)</f>
        <v>Other machine</v>
      </c>
      <c r="G2509" s="362" t="s">
        <v>554</v>
      </c>
      <c r="H2509" s="847">
        <v>5</v>
      </c>
      <c r="I2509" s="848">
        <f>SUM(J2506:J2508)</f>
        <v>155755.55425227273</v>
      </c>
      <c r="J2509" s="853">
        <f>I2509*H2509%</f>
        <v>7787.777712613637</v>
      </c>
      <c r="N2509" s="843" t="e">
        <f>SUMIF(#REF!,'8.Dgia'!A2509,#REF!)+SUMIF(#REF!,'8.Dgia'!A2509,#REF!)+SUMIF(#REF!,'8.Dgia'!A2509,#REF!)+SUMIF(#REF!,'8.Dgia'!A2509,#REF!)</f>
        <v>#REF!</v>
      </c>
      <c r="O2509" s="844"/>
      <c r="P2509" s="843" t="e">
        <f t="shared" si="109"/>
        <v>#REF!</v>
      </c>
    </row>
    <row r="2510" spans="1:18" ht="27.75" customHeight="1">
      <c r="A2510" s="657">
        <f>IF(B2510="",MAX($A$8:A2509)+0,MAX($A$8:A2509)+1)</f>
        <v>291</v>
      </c>
      <c r="B2510" s="835">
        <f>IF(C2510="","",COUNTA($C$10:C2511))</f>
        <v>291</v>
      </c>
      <c r="C2510" s="835">
        <f>IF(D2510="","",1776)</f>
        <v>1776</v>
      </c>
      <c r="D2510" s="851" t="s">
        <v>173</v>
      </c>
      <c r="E2510" s="855" t="s">
        <v>174</v>
      </c>
      <c r="F2510" s="1049" t="str">
        <f>VLOOKUP(E2510,DICH!B:C,2,FALSE)</f>
        <v>Removing, transpotring formwork, formwork supporting system of cantilever girder on land</v>
      </c>
      <c r="G2510" s="942" t="s">
        <v>4646</v>
      </c>
      <c r="H2510" s="847"/>
      <c r="I2510" s="848"/>
      <c r="J2510" s="857"/>
      <c r="K2510" s="842">
        <f>+J2511</f>
        <v>135152.06649070265</v>
      </c>
      <c r="L2510" s="842">
        <f>+J2519</f>
        <v>297343.75</v>
      </c>
      <c r="M2510" s="842">
        <f>+J2520</f>
        <v>233188.25210386363</v>
      </c>
      <c r="N2510" s="843" t="e">
        <f>SUMIF(#REF!,'8.Dgia'!A2510,#REF!)+SUMIF(#REF!,'8.Dgia'!A2510,#REF!)+SUMIF(#REF!,'8.Dgia'!A2510,#REF!)+SUMIF(#REF!,'8.Dgia'!A2510,#REF!)</f>
        <v>#REF!</v>
      </c>
      <c r="O2510" s="844"/>
      <c r="P2510" s="843" t="e">
        <f t="shared" si="109"/>
        <v>#REF!</v>
      </c>
    </row>
    <row r="2511" spans="1:18" s="658" customFormat="1" ht="15" customHeight="1">
      <c r="A2511" s="657">
        <f>IF(B2511="",MAX($A$8:A2510)+0,MAX($A$8:A2510)+1)</f>
        <v>291</v>
      </c>
      <c r="B2511" s="835" t="str">
        <f>IF(C2511="","",COUNTA($C$10:C2512))</f>
        <v/>
      </c>
      <c r="C2511" s="362"/>
      <c r="D2511" s="845"/>
      <c r="E2511" s="852" t="s">
        <v>2032</v>
      </c>
      <c r="F2511" s="848" t="str">
        <f>VLOOKUP(E2511,DICH!B:C,2,FALSE)</f>
        <v xml:space="preserve">  A - Material</v>
      </c>
      <c r="G2511" s="846"/>
      <c r="H2511" s="847"/>
      <c r="I2511" s="848"/>
      <c r="J2511" s="849">
        <f>SUM(J2512:J2518)</f>
        <v>135152.06649070265</v>
      </c>
      <c r="K2511" s="850"/>
      <c r="L2511" s="850"/>
      <c r="M2511" s="850"/>
      <c r="N2511" s="843" t="e">
        <f>SUMIF(#REF!,'8.Dgia'!A2511,#REF!)+SUMIF(#REF!,'8.Dgia'!A2511,#REF!)+SUMIF(#REF!,'8.Dgia'!A2511,#REF!)+SUMIF(#REF!,'8.Dgia'!A2511,#REF!)</f>
        <v>#REF!</v>
      </c>
      <c r="O2511" s="844"/>
      <c r="P2511" s="843" t="e">
        <f t="shared" si="109"/>
        <v>#REF!</v>
      </c>
    </row>
    <row r="2512" spans="1:18" ht="15" customHeight="1">
      <c r="A2512" s="657">
        <f>IF(B2512="",MAX($A$8:A2511)+0,MAX($A$8:A2511)+1)</f>
        <v>291</v>
      </c>
      <c r="B2512" s="835" t="str">
        <f>IF(C2512="","",COUNTA($C$10:C2513))</f>
        <v/>
      </c>
      <c r="C2512" s="362"/>
      <c r="D2512" s="851"/>
      <c r="E2512" s="852" t="s">
        <v>84</v>
      </c>
      <c r="F2512" s="848" t="str">
        <f>VLOOKUP(E2512,DICH!B:C,2,FALSE)</f>
        <v>High strengthen bar D36 (kg)</v>
      </c>
      <c r="G2512" s="362" t="s">
        <v>558</v>
      </c>
      <c r="H2512" s="847">
        <v>0.73</v>
      </c>
      <c r="I2512" s="848">
        <f>VLOOKUP(E2512,'11.gia '!$B:$I,8,FALSE)</f>
        <v>86980.172563393309</v>
      </c>
      <c r="J2512" s="853">
        <f t="shared" ref="J2512:J2517" si="110">I2512*H2512</f>
        <v>63495.525971277115</v>
      </c>
      <c r="N2512" s="843" t="e">
        <f>SUMIF(#REF!,'8.Dgia'!A2512,#REF!)+SUMIF(#REF!,'8.Dgia'!A2512,#REF!)+SUMIF(#REF!,'8.Dgia'!A2512,#REF!)+SUMIF(#REF!,'8.Dgia'!A2512,#REF!)</f>
        <v>#REF!</v>
      </c>
      <c r="O2512" s="844">
        <f t="shared" ref="O2512:O2517" si="111">+$H$2518</f>
        <v>2</v>
      </c>
      <c r="P2512" s="843" t="e">
        <f t="shared" si="109"/>
        <v>#REF!</v>
      </c>
    </row>
    <row r="2513" spans="1:18" ht="15" customHeight="1">
      <c r="A2513" s="657">
        <f>IF(B2513="",MAX($A$8:A2512)+0,MAX($A$8:A2512)+1)</f>
        <v>291</v>
      </c>
      <c r="B2513" s="835" t="str">
        <f>IF(C2513="","",COUNTA($C$10:C2514))</f>
        <v/>
      </c>
      <c r="C2513" s="362"/>
      <c r="D2513" s="851"/>
      <c r="E2513" s="852" t="s">
        <v>372</v>
      </c>
      <c r="F2513" s="848" t="str">
        <f>VLOOKUP(E2513,DICH!B:C,2,FALSE)</f>
        <v>Bbolt D22</v>
      </c>
      <c r="G2513" s="362" t="s">
        <v>4649</v>
      </c>
      <c r="H2513" s="847">
        <v>0.11</v>
      </c>
      <c r="I2513" s="848">
        <f>VLOOKUP(E2513,'11.gia '!$B:$I,8,FALSE)</f>
        <v>10000</v>
      </c>
      <c r="J2513" s="853">
        <f t="shared" si="110"/>
        <v>1100</v>
      </c>
      <c r="N2513" s="843" t="e">
        <f>SUMIF(#REF!,'8.Dgia'!A2513,#REF!)+SUMIF(#REF!,'8.Dgia'!A2513,#REF!)+SUMIF(#REF!,'8.Dgia'!A2513,#REF!)+SUMIF(#REF!,'8.Dgia'!A2513,#REF!)</f>
        <v>#REF!</v>
      </c>
      <c r="O2513" s="844">
        <f t="shared" si="111"/>
        <v>2</v>
      </c>
      <c r="P2513" s="843" t="e">
        <f t="shared" si="109"/>
        <v>#REF!</v>
      </c>
    </row>
    <row r="2514" spans="1:18" ht="15" customHeight="1">
      <c r="A2514" s="657">
        <f>IF(B2514="",MAX($A$8:A2513)+0,MAX($A$8:A2513)+1)</f>
        <v>291</v>
      </c>
      <c r="B2514" s="835" t="str">
        <f>IF(C2514="","",COUNTA($C$10:C2515))</f>
        <v/>
      </c>
      <c r="C2514" s="362"/>
      <c r="D2514" s="851"/>
      <c r="E2514" s="852" t="s">
        <v>617</v>
      </c>
      <c r="F2514" s="848" t="str">
        <f>VLOOKUP(E2514,DICH!B:C,2,FALSE)</f>
        <v>turn buckle D38mm</v>
      </c>
      <c r="G2514" s="362" t="s">
        <v>4649</v>
      </c>
      <c r="H2514" s="847">
        <v>0.05</v>
      </c>
      <c r="I2514" s="848">
        <f>VLOOKUP(E2514,'11.gia '!$B:$I,8,FALSE)</f>
        <v>65000</v>
      </c>
      <c r="J2514" s="853">
        <f t="shared" si="110"/>
        <v>3250</v>
      </c>
      <c r="N2514" s="843" t="e">
        <f>SUMIF(#REF!,'8.Dgia'!A2514,#REF!)+SUMIF(#REF!,'8.Dgia'!A2514,#REF!)+SUMIF(#REF!,'8.Dgia'!A2514,#REF!)+SUMIF(#REF!,'8.Dgia'!A2514,#REF!)</f>
        <v>#REF!</v>
      </c>
      <c r="O2514" s="844">
        <f t="shared" si="111"/>
        <v>2</v>
      </c>
      <c r="P2514" s="843" t="e">
        <f t="shared" si="109"/>
        <v>#REF!</v>
      </c>
    </row>
    <row r="2515" spans="1:18" ht="15" customHeight="1">
      <c r="A2515" s="657">
        <f>IF(B2515="",MAX($A$8:A2514)+0,MAX($A$8:A2514)+1)</f>
        <v>291</v>
      </c>
      <c r="B2515" s="835" t="str">
        <f>IF(C2515="","",COUNTA($C$10:C2516))</f>
        <v/>
      </c>
      <c r="C2515" s="362"/>
      <c r="D2515" s="851"/>
      <c r="E2515" s="852" t="s">
        <v>615</v>
      </c>
      <c r="F2515" s="848" t="str">
        <f>VLOOKUP(E2515,DICH!B:C,2,FALSE)</f>
        <v>Oil CS46</v>
      </c>
      <c r="G2515" s="362" t="s">
        <v>558</v>
      </c>
      <c r="H2515" s="847">
        <v>0.15</v>
      </c>
      <c r="I2515" s="848">
        <f>VLOOKUP(E2515,'11.gia '!$B:$I,8,FALSE)</f>
        <v>17454</v>
      </c>
      <c r="J2515" s="853">
        <f t="shared" si="110"/>
        <v>2618.1</v>
      </c>
      <c r="N2515" s="843" t="e">
        <f>SUMIF(#REF!,'8.Dgia'!A2515,#REF!)+SUMIF(#REF!,'8.Dgia'!A2515,#REF!)+SUMIF(#REF!,'8.Dgia'!A2515,#REF!)+SUMIF(#REF!,'8.Dgia'!A2515,#REF!)</f>
        <v>#REF!</v>
      </c>
      <c r="O2515" s="844">
        <f t="shared" si="111"/>
        <v>2</v>
      </c>
      <c r="P2515" s="843" t="e">
        <f t="shared" si="109"/>
        <v>#REF!</v>
      </c>
    </row>
    <row r="2516" spans="1:18" ht="15" customHeight="1">
      <c r="A2516" s="657">
        <f>IF(B2516="",MAX($A$8:A2515)+0,MAX($A$8:A2515)+1)</f>
        <v>291</v>
      </c>
      <c r="B2516" s="835" t="str">
        <f>IF(C2516="","",COUNTA($C$10:C2517))</f>
        <v/>
      </c>
      <c r="C2516" s="362"/>
      <c r="D2516" s="851"/>
      <c r="E2516" s="852" t="s">
        <v>616</v>
      </c>
      <c r="F2516" s="848" t="str">
        <f>VLOOKUP(E2516,DICH!B:C,2,FALSE)</f>
        <v>Lubricant grease</v>
      </c>
      <c r="G2516" s="362" t="s">
        <v>558</v>
      </c>
      <c r="H2516" s="847">
        <v>0.14000000000000001</v>
      </c>
      <c r="I2516" s="848">
        <f>VLOOKUP(E2516,'11.gia '!$B:$I,8,FALSE)</f>
        <v>14560</v>
      </c>
      <c r="J2516" s="853">
        <f t="shared" si="110"/>
        <v>2038.4</v>
      </c>
      <c r="N2516" s="843" t="e">
        <f>SUMIF(#REF!,'8.Dgia'!A2516,#REF!)+SUMIF(#REF!,'8.Dgia'!A2516,#REF!)+SUMIF(#REF!,'8.Dgia'!A2516,#REF!)+SUMIF(#REF!,'8.Dgia'!A2516,#REF!)</f>
        <v>#REF!</v>
      </c>
      <c r="O2516" s="844">
        <f t="shared" si="111"/>
        <v>2</v>
      </c>
      <c r="P2516" s="843" t="e">
        <f t="shared" si="109"/>
        <v>#REF!</v>
      </c>
    </row>
    <row r="2517" spans="1:18" ht="15" customHeight="1">
      <c r="A2517" s="657">
        <f>IF(B2517="",MAX($A$8:A2516)+0,MAX($A$8:A2516)+1)</f>
        <v>291</v>
      </c>
      <c r="B2517" s="835" t="str">
        <f>IF(C2517="","",COUNTA($C$10:C2518))</f>
        <v/>
      </c>
      <c r="C2517" s="362"/>
      <c r="D2517" s="851"/>
      <c r="E2517" s="852" t="s">
        <v>134</v>
      </c>
      <c r="F2517" s="848" t="str">
        <f>VLOOKUP(E2517,DICH!B:C,2,FALSE)</f>
        <v>Wooden</v>
      </c>
      <c r="G2517" s="362" t="s">
        <v>545</v>
      </c>
      <c r="H2517" s="847">
        <v>1.2E-2</v>
      </c>
      <c r="I2517" s="848">
        <f>VLOOKUP(E2517,'11.gia '!$B:$I,8,FALSE)</f>
        <v>5000000</v>
      </c>
      <c r="J2517" s="853">
        <f t="shared" si="110"/>
        <v>60000</v>
      </c>
      <c r="N2517" s="843" t="e">
        <f>SUMIF(#REF!,'8.Dgia'!A2517,#REF!)+SUMIF(#REF!,'8.Dgia'!A2517,#REF!)+SUMIF(#REF!,'8.Dgia'!A2517,#REF!)+SUMIF(#REF!,'8.Dgia'!A2517,#REF!)</f>
        <v>#REF!</v>
      </c>
      <c r="O2517" s="844">
        <f t="shared" si="111"/>
        <v>2</v>
      </c>
      <c r="P2517" s="843" t="e">
        <f t="shared" si="109"/>
        <v>#REF!</v>
      </c>
    </row>
    <row r="2518" spans="1:18" ht="15" customHeight="1">
      <c r="A2518" s="657">
        <f>IF(B2518="",MAX($A$8:A2517)+0,MAX($A$8:A2517)+1)</f>
        <v>291</v>
      </c>
      <c r="B2518" s="835" t="str">
        <f>IF(C2518="","",COUNTA($C$10:C2519))</f>
        <v/>
      </c>
      <c r="C2518" s="362"/>
      <c r="D2518" s="851"/>
      <c r="E2518" s="852" t="s">
        <v>555</v>
      </c>
      <c r="F2518" s="848" t="str">
        <f>VLOOKUP(E2518,DICH!B:C,2,FALSE)</f>
        <v>Other material</v>
      </c>
      <c r="G2518" s="362" t="s">
        <v>554</v>
      </c>
      <c r="H2518" s="847">
        <v>2</v>
      </c>
      <c r="I2518" s="848">
        <f>SUM(J2512:J2517)</f>
        <v>132502.02597127712</v>
      </c>
      <c r="J2518" s="853">
        <f>I2518*H2518%</f>
        <v>2650.0405194255427</v>
      </c>
      <c r="N2518" s="843" t="e">
        <f>SUMIF(#REF!,'8.Dgia'!A2518,#REF!)+SUMIF(#REF!,'8.Dgia'!A2518,#REF!)+SUMIF(#REF!,'8.Dgia'!A2518,#REF!)+SUMIF(#REF!,'8.Dgia'!A2518,#REF!)</f>
        <v>#REF!</v>
      </c>
      <c r="O2518" s="844"/>
      <c r="P2518" s="843" t="e">
        <f t="shared" si="109"/>
        <v>#REF!</v>
      </c>
    </row>
    <row r="2519" spans="1:18" s="658" customFormat="1" ht="15" customHeight="1">
      <c r="A2519" s="657">
        <f>IF(B2519="",MAX($A$8:A2518)+0,MAX($A$8:A2518)+1)</f>
        <v>291</v>
      </c>
      <c r="B2519" s="835" t="str">
        <f>IF(C2519="","",COUNTA($C$10:C2520))</f>
        <v/>
      </c>
      <c r="C2519" s="362"/>
      <c r="D2519" s="845"/>
      <c r="E2519" s="852" t="s">
        <v>2040</v>
      </c>
      <c r="F2519" s="848" t="str">
        <f>VLOOKUP(E2519,DICH!B:C,2,FALSE)</f>
        <v xml:space="preserve">  B - Labour 4.5/7</v>
      </c>
      <c r="G2519" s="362" t="s">
        <v>4899</v>
      </c>
      <c r="H2519" s="847">
        <v>1.25</v>
      </c>
      <c r="I2519" s="848">
        <f>VLOOKUP(E2519,'16.NC'!$C$11:$F$22,4,FALSE)</f>
        <v>237875</v>
      </c>
      <c r="J2519" s="849">
        <f>I2519*H2519</f>
        <v>297343.75</v>
      </c>
      <c r="K2519" s="850"/>
      <c r="L2519" s="850"/>
      <c r="M2519" s="850"/>
      <c r="N2519" s="843" t="e">
        <f>SUMIF(#REF!,'8.Dgia'!A2519,#REF!)+SUMIF(#REF!,'8.Dgia'!A2519,#REF!)+SUMIF(#REF!,'8.Dgia'!A2519,#REF!)+SUMIF(#REF!,'8.Dgia'!A2519,#REF!)</f>
        <v>#REF!</v>
      </c>
      <c r="O2519" s="844"/>
      <c r="P2519" s="843" t="e">
        <f t="shared" si="109"/>
        <v>#REF!</v>
      </c>
      <c r="R2519" s="658">
        <v>1</v>
      </c>
    </row>
    <row r="2520" spans="1:18" s="658" customFormat="1" ht="15" customHeight="1">
      <c r="A2520" s="657">
        <f>IF(B2520="",MAX($A$8:A2519)+0,MAX($A$8:A2519)+1)</f>
        <v>291</v>
      </c>
      <c r="B2520" s="835" t="str">
        <f>IF(C2520="","",COUNTA($C$10:C2521))</f>
        <v/>
      </c>
      <c r="C2520" s="362"/>
      <c r="D2520" s="845"/>
      <c r="E2520" s="852" t="s">
        <v>2033</v>
      </c>
      <c r="F2520" s="848" t="str">
        <f>VLOOKUP(E2520,DICH!B:C,2,FALSE)</f>
        <v xml:space="preserve">  C - Machine</v>
      </c>
      <c r="G2520" s="846"/>
      <c r="H2520" s="847"/>
      <c r="I2520" s="848"/>
      <c r="J2520" s="849">
        <f>SUM(J2521:J2524)</f>
        <v>233188.25210386363</v>
      </c>
      <c r="K2520" s="850"/>
      <c r="L2520" s="850"/>
      <c r="M2520" s="850"/>
      <c r="N2520" s="843" t="e">
        <f>SUMIF(#REF!,'8.Dgia'!A2520,#REF!)+SUMIF(#REF!,'8.Dgia'!A2520,#REF!)+SUMIF(#REF!,'8.Dgia'!A2520,#REF!)+SUMIF(#REF!,'8.Dgia'!A2520,#REF!)</f>
        <v>#REF!</v>
      </c>
      <c r="O2520" s="844"/>
      <c r="P2520" s="843" t="e">
        <f t="shared" si="109"/>
        <v>#REF!</v>
      </c>
    </row>
    <row r="2521" spans="1:18" ht="15" customHeight="1">
      <c r="A2521" s="657">
        <f>IF(B2521="",MAX($A$8:A2520)+0,MAX($A$8:A2520)+1)</f>
        <v>291</v>
      </c>
      <c r="B2521" s="835" t="str">
        <f>IF(C2521="","",COUNTA($C$10:C2522))</f>
        <v/>
      </c>
      <c r="C2521" s="362"/>
      <c r="D2521" s="851"/>
      <c r="E2521" s="852" t="s">
        <v>612</v>
      </c>
      <c r="F2521" s="848" t="str">
        <f>VLOOKUP(E2521,'9.may'!E:F,2,FALSE)</f>
        <v>jack 50T</v>
      </c>
      <c r="G2521" s="362" t="s">
        <v>4902</v>
      </c>
      <c r="H2521" s="847">
        <v>0.25</v>
      </c>
      <c r="I2521" s="848">
        <f>VLOOKUP(E2521,'9.may'!E:W,12,FALSE)</f>
        <v>209878.78500000003</v>
      </c>
      <c r="J2521" s="853">
        <f>I2521*H2521</f>
        <v>52469.696250000008</v>
      </c>
      <c r="N2521" s="843" t="e">
        <f>SUMIF(#REF!,'8.Dgia'!A2521,#REF!)+SUMIF(#REF!,'8.Dgia'!A2521,#REF!)+SUMIF(#REF!,'8.Dgia'!A2521,#REF!)+SUMIF(#REF!,'8.Dgia'!A2521,#REF!)</f>
        <v>#REF!</v>
      </c>
      <c r="O2521" s="844">
        <f>+$H$2524</f>
        <v>5</v>
      </c>
      <c r="P2521" s="843" t="e">
        <f t="shared" si="109"/>
        <v>#REF!</v>
      </c>
    </row>
    <row r="2522" spans="1:18" ht="15" customHeight="1">
      <c r="A2522" s="657">
        <f>IF(B2522="",MAX($A$8:A2521)+0,MAX($A$8:A2521)+1)</f>
        <v>291</v>
      </c>
      <c r="B2522" s="835" t="str">
        <f>IF(C2522="","",COUNTA($C$10:C2523))</f>
        <v/>
      </c>
      <c r="C2522" s="362"/>
      <c r="D2522" s="851"/>
      <c r="E2522" s="852" t="s">
        <v>614</v>
      </c>
      <c r="F2522" s="848" t="str">
        <f>VLOOKUP(E2522,'9.may'!E:F,2,FALSE)</f>
        <v>electric winch 3Ton</v>
      </c>
      <c r="G2522" s="362" t="s">
        <v>4902</v>
      </c>
      <c r="H2522" s="847">
        <v>0.15</v>
      </c>
      <c r="I2522" s="848">
        <f>VLOOKUP(E2522,'9.may'!E:W,12,FALSE)</f>
        <v>108443.97000000002</v>
      </c>
      <c r="J2522" s="853">
        <f>I2522*H2522</f>
        <v>16266.595500000001</v>
      </c>
      <c r="N2522" s="843" t="e">
        <f>SUMIF(#REF!,'8.Dgia'!A2522,#REF!)+SUMIF(#REF!,'8.Dgia'!A2522,#REF!)+SUMIF(#REF!,'8.Dgia'!A2522,#REF!)+SUMIF(#REF!,'8.Dgia'!A2522,#REF!)</f>
        <v>#REF!</v>
      </c>
      <c r="O2522" s="844">
        <f>+$H$2524</f>
        <v>5</v>
      </c>
      <c r="P2522" s="843" t="e">
        <f t="shared" si="109"/>
        <v>#REF!</v>
      </c>
    </row>
    <row r="2523" spans="1:18" ht="15" customHeight="1">
      <c r="A2523" s="657">
        <f>IF(B2523="",MAX($A$8:A2522)+0,MAX($A$8:A2522)+1)</f>
        <v>291</v>
      </c>
      <c r="B2523" s="835" t="str">
        <f>IF(C2523="","",COUNTA($C$10:C2524))</f>
        <v/>
      </c>
      <c r="C2523" s="362"/>
      <c r="D2523" s="851"/>
      <c r="E2523" s="852" t="s">
        <v>289</v>
      </c>
      <c r="F2523" s="848" t="str">
        <f>VLOOKUP(E2523,'9.may'!E:F,2,FALSE)</f>
        <v>caterpillar crane 50T</v>
      </c>
      <c r="G2523" s="362" t="s">
        <v>4902</v>
      </c>
      <c r="H2523" s="847">
        <v>0.04</v>
      </c>
      <c r="I2523" s="848">
        <f>VLOOKUP(E2523,'9.may'!E:W,12,FALSE)</f>
        <v>3833693.9468181818</v>
      </c>
      <c r="J2523" s="853">
        <f>I2523*H2523</f>
        <v>153347.75787272726</v>
      </c>
      <c r="N2523" s="843" t="e">
        <f>SUMIF(#REF!,'8.Dgia'!A2523,#REF!)+SUMIF(#REF!,'8.Dgia'!A2523,#REF!)+SUMIF(#REF!,'8.Dgia'!A2523,#REF!)+SUMIF(#REF!,'8.Dgia'!A2523,#REF!)</f>
        <v>#REF!</v>
      </c>
      <c r="O2523" s="844">
        <f>+$H$2524</f>
        <v>5</v>
      </c>
      <c r="P2523" s="843" t="e">
        <f t="shared" si="109"/>
        <v>#REF!</v>
      </c>
    </row>
    <row r="2524" spans="1:18" ht="15" customHeight="1">
      <c r="A2524" s="657">
        <f>IF(B2524="",MAX($A$8:A2523)+0,MAX($A$8:A2523)+1)</f>
        <v>291</v>
      </c>
      <c r="B2524" s="835" t="str">
        <f>IF(C2524="","",COUNTA($C$10:C2525))</f>
        <v/>
      </c>
      <c r="C2524" s="362"/>
      <c r="D2524" s="851"/>
      <c r="E2524" s="852" t="s">
        <v>553</v>
      </c>
      <c r="F2524" s="848" t="str">
        <f>VLOOKUP(E2524,DICH!B:C,2,FALSE)</f>
        <v>Other machine</v>
      </c>
      <c r="G2524" s="362" t="s">
        <v>554</v>
      </c>
      <c r="H2524" s="847">
        <v>5</v>
      </c>
      <c r="I2524" s="848">
        <f>SUM(J2521:J2523)</f>
        <v>222084.04962272727</v>
      </c>
      <c r="J2524" s="853">
        <f>I2524*H2524%</f>
        <v>11104.202481136364</v>
      </c>
      <c r="N2524" s="843" t="e">
        <f>SUMIF(#REF!,'8.Dgia'!A2524,#REF!)+SUMIF(#REF!,'8.Dgia'!A2524,#REF!)+SUMIF(#REF!,'8.Dgia'!A2524,#REF!)+SUMIF(#REF!,'8.Dgia'!A2524,#REF!)</f>
        <v>#REF!</v>
      </c>
      <c r="O2524" s="844"/>
      <c r="P2524" s="843" t="e">
        <f t="shared" si="109"/>
        <v>#REF!</v>
      </c>
    </row>
    <row r="2525" spans="1:18" ht="15" customHeight="1">
      <c r="A2525" s="657">
        <f>IF(B2525="",MAX($A$8:A2524)+0,MAX($A$8:A2524)+1)</f>
        <v>292</v>
      </c>
      <c r="B2525" s="835">
        <f>IF(C2525="","",COUNTA($C$10:C2526))</f>
        <v>292</v>
      </c>
      <c r="C2525" s="835">
        <f>IF(D2525="","",1776)</f>
        <v>1776</v>
      </c>
      <c r="D2525" s="851" t="s">
        <v>176</v>
      </c>
      <c r="E2525" s="855" t="s">
        <v>2146</v>
      </c>
      <c r="F2525" s="1049" t="str">
        <f>VLOOKUP(E2525,DICH!B:C,2,FALSE)</f>
        <v>Driving steel sheet pile (land), L&gt;12m, soil C1 (on land)</v>
      </c>
      <c r="G2525" s="856" t="s">
        <v>546</v>
      </c>
      <c r="H2525" s="847"/>
      <c r="I2525" s="848"/>
      <c r="J2525" s="853"/>
      <c r="L2525" s="842">
        <f>+J2526</f>
        <v>1904664.9</v>
      </c>
      <c r="M2525" s="842">
        <f>+J2527</f>
        <v>8046412.5934854541</v>
      </c>
      <c r="N2525" s="843" t="e">
        <f>SUMIF(#REF!,'8.Dgia'!A2525,#REF!)+SUMIF(#REF!,'8.Dgia'!A2525,#REF!)+SUMIF(#REF!,'8.Dgia'!A2525,#REF!)+SUMIF(#REF!,'8.Dgia'!A2525,#REF!)</f>
        <v>#REF!</v>
      </c>
      <c r="O2525" s="844"/>
      <c r="P2525" s="843" t="e">
        <f t="shared" si="109"/>
        <v>#REF!</v>
      </c>
    </row>
    <row r="2526" spans="1:18" s="658" customFormat="1" ht="15" customHeight="1">
      <c r="A2526" s="657">
        <f>IF(B2526="",MAX($A$8:A2525)+0,MAX($A$8:A2525)+1)</f>
        <v>292</v>
      </c>
      <c r="B2526" s="835" t="str">
        <f>IF(C2526="","",COUNTA($C$10:C2527))</f>
        <v/>
      </c>
      <c r="C2526" s="362"/>
      <c r="D2526" s="845"/>
      <c r="E2526" s="852" t="s">
        <v>2039</v>
      </c>
      <c r="F2526" s="848" t="str">
        <f>VLOOKUP(E2526,DICH!B:C,2,FALSE)</f>
        <v xml:space="preserve">  B - Labour 4.0/7</v>
      </c>
      <c r="G2526" s="362" t="s">
        <v>4899</v>
      </c>
      <c r="H2526" s="847">
        <v>8.6999999999999993</v>
      </c>
      <c r="I2526" s="848">
        <f>VLOOKUP(E2526,'16.NC'!$C$11:$F$22,4,FALSE)</f>
        <v>218927</v>
      </c>
      <c r="J2526" s="849">
        <f>I2526*H2526</f>
        <v>1904664.9</v>
      </c>
      <c r="K2526" s="850"/>
      <c r="L2526" s="850"/>
      <c r="M2526" s="850"/>
      <c r="N2526" s="843" t="e">
        <f>SUMIF(#REF!,'8.Dgia'!A2526,#REF!)+SUMIF(#REF!,'8.Dgia'!A2526,#REF!)+SUMIF(#REF!,'8.Dgia'!A2526,#REF!)+SUMIF(#REF!,'8.Dgia'!A2526,#REF!)</f>
        <v>#REF!</v>
      </c>
      <c r="O2526" s="844"/>
      <c r="P2526" s="843" t="e">
        <f t="shared" si="109"/>
        <v>#REF!</v>
      </c>
      <c r="R2526" s="658">
        <v>1</v>
      </c>
    </row>
    <row r="2527" spans="1:18" s="658" customFormat="1" ht="15" customHeight="1">
      <c r="A2527" s="657">
        <f>IF(B2527="",MAX($A$8:A2526)+0,MAX($A$8:A2526)+1)</f>
        <v>292</v>
      </c>
      <c r="B2527" s="835" t="str">
        <f>IF(C2527="","",COUNTA($C$10:C2528))</f>
        <v/>
      </c>
      <c r="C2527" s="362"/>
      <c r="D2527" s="845"/>
      <c r="E2527" s="852" t="s">
        <v>2033</v>
      </c>
      <c r="F2527" s="848" t="str">
        <f>VLOOKUP(E2527,DICH!B:C,2,FALSE)</f>
        <v xml:space="preserve">  C - Machine</v>
      </c>
      <c r="G2527" s="846"/>
      <c r="H2527" s="847"/>
      <c r="I2527" s="848"/>
      <c r="J2527" s="849">
        <f>SUM(J2528:J2529)</f>
        <v>8046412.5934854541</v>
      </c>
      <c r="K2527" s="850"/>
      <c r="L2527" s="850"/>
      <c r="M2527" s="850"/>
      <c r="N2527" s="843" t="e">
        <f>SUMIF(#REF!,'8.Dgia'!A2527,#REF!)+SUMIF(#REF!,'8.Dgia'!A2527,#REF!)+SUMIF(#REF!,'8.Dgia'!A2527,#REF!)+SUMIF(#REF!,'8.Dgia'!A2527,#REF!)</f>
        <v>#REF!</v>
      </c>
      <c r="O2527" s="844"/>
      <c r="P2527" s="843" t="e">
        <f t="shared" si="109"/>
        <v>#REF!</v>
      </c>
    </row>
    <row r="2528" spans="1:18" ht="15" customHeight="1">
      <c r="A2528" s="657">
        <f>IF(B2528="",MAX($A$8:A2527)+0,MAX($A$8:A2527)+1)</f>
        <v>292</v>
      </c>
      <c r="B2528" s="835" t="str">
        <f>IF(C2528="","",COUNTA($C$10:C2529))</f>
        <v/>
      </c>
      <c r="C2528" s="362"/>
      <c r="D2528" s="851"/>
      <c r="E2528" s="852" t="s">
        <v>1501</v>
      </c>
      <c r="F2528" s="848" t="str">
        <f>VLOOKUP(E2528,'9.may'!E:F,2,FALSE)</f>
        <v>pile driver, diesel self-propelled hammer 1.8T</v>
      </c>
      <c r="G2528" s="362" t="s">
        <v>4902</v>
      </c>
      <c r="H2528" s="847">
        <v>2.9</v>
      </c>
      <c r="I2528" s="848">
        <f>VLOOKUP(E2528,'9.may'!E:W,12,FALSE)</f>
        <v>2693810.7109090909</v>
      </c>
      <c r="J2528" s="853">
        <f>I2528*H2528</f>
        <v>7812051.0616363632</v>
      </c>
      <c r="N2528" s="843" t="e">
        <f>SUMIF(#REF!,'8.Dgia'!A2528,#REF!)+SUMIF(#REF!,'8.Dgia'!A2528,#REF!)+SUMIF(#REF!,'8.Dgia'!A2528,#REF!)+SUMIF(#REF!,'8.Dgia'!A2528,#REF!)</f>
        <v>#REF!</v>
      </c>
      <c r="O2528" s="844">
        <f>+$H$2529</f>
        <v>3</v>
      </c>
      <c r="P2528" s="843" t="e">
        <f t="shared" si="109"/>
        <v>#REF!</v>
      </c>
    </row>
    <row r="2529" spans="1:18" ht="15" customHeight="1">
      <c r="A2529" s="657">
        <f>IF(B2529="",MAX($A$8:A2528)+0,MAX($A$8:A2528)+1)</f>
        <v>292</v>
      </c>
      <c r="B2529" s="835" t="str">
        <f>IF(C2529="","",COUNTA($C$10:C2530))</f>
        <v/>
      </c>
      <c r="C2529" s="362"/>
      <c r="D2529" s="851"/>
      <c r="E2529" s="852" t="s">
        <v>553</v>
      </c>
      <c r="F2529" s="848" t="str">
        <f>VLOOKUP(E2529,DICH!B:C,2,FALSE)</f>
        <v>Other machine</v>
      </c>
      <c r="G2529" s="362" t="s">
        <v>554</v>
      </c>
      <c r="H2529" s="847">
        <v>3</v>
      </c>
      <c r="I2529" s="848">
        <f>SUM(J2528:J2528)</f>
        <v>7812051.0616363632</v>
      </c>
      <c r="J2529" s="853">
        <f>I2529*H2529%</f>
        <v>234361.53184909088</v>
      </c>
      <c r="N2529" s="843" t="e">
        <f>SUMIF(#REF!,'8.Dgia'!A2529,#REF!)+SUMIF(#REF!,'8.Dgia'!A2529,#REF!)+SUMIF(#REF!,'8.Dgia'!A2529,#REF!)+SUMIF(#REF!,'8.Dgia'!A2529,#REF!)</f>
        <v>#REF!</v>
      </c>
      <c r="O2529" s="844"/>
      <c r="P2529" s="843" t="e">
        <f t="shared" si="109"/>
        <v>#REF!</v>
      </c>
    </row>
    <row r="2530" spans="1:18" ht="29.25" customHeight="1">
      <c r="A2530" s="657">
        <f>IF(B2530="",MAX($A$8:A2529)+0,MAX($A$8:A2529)+1)</f>
        <v>293</v>
      </c>
      <c r="B2530" s="835">
        <f>IF(C2530="","",COUNTA($C$10:C2531))</f>
        <v>293</v>
      </c>
      <c r="C2530" s="835">
        <f>IF(D2530="","",1776)</f>
        <v>1776</v>
      </c>
      <c r="D2530" s="851" t="s">
        <v>177</v>
      </c>
      <c r="E2530" s="855" t="s">
        <v>2148</v>
      </c>
      <c r="F2530" s="1049" t="str">
        <f>VLOOKUP(E2530,DICH!B:C,2,FALSE)</f>
        <v>Driven steel pile on land, L&gt;10m, soil C1 (on land)</v>
      </c>
      <c r="G2530" s="856" t="s">
        <v>546</v>
      </c>
      <c r="H2530" s="847"/>
      <c r="I2530" s="848"/>
      <c r="J2530" s="853"/>
      <c r="L2530" s="842">
        <f>+J2531</f>
        <v>1374861.56</v>
      </c>
      <c r="M2530" s="842">
        <f>+J2532</f>
        <v>4630697.9874714362</v>
      </c>
      <c r="N2530" s="843" t="e">
        <f>SUMIF(#REF!,'8.Dgia'!A2530,#REF!)+SUMIF(#REF!,'8.Dgia'!A2530,#REF!)+SUMIF(#REF!,'8.Dgia'!A2530,#REF!)+SUMIF(#REF!,'8.Dgia'!A2530,#REF!)</f>
        <v>#REF!</v>
      </c>
      <c r="O2530" s="844"/>
      <c r="P2530" s="843" t="e">
        <f t="shared" si="109"/>
        <v>#REF!</v>
      </c>
    </row>
    <row r="2531" spans="1:18" s="658" customFormat="1" ht="15" customHeight="1">
      <c r="A2531" s="657">
        <f>IF(B2531="",MAX($A$8:A2530)+0,MAX($A$8:A2530)+1)</f>
        <v>293</v>
      </c>
      <c r="B2531" s="835" t="str">
        <f>IF(C2531="","",COUNTA($C$10:C2532))</f>
        <v/>
      </c>
      <c r="C2531" s="362"/>
      <c r="D2531" s="845"/>
      <c r="E2531" s="852" t="s">
        <v>2039</v>
      </c>
      <c r="F2531" s="848" t="str">
        <f>VLOOKUP(E2531,DICH!B:C,2,FALSE)</f>
        <v xml:space="preserve">  B - Labour 4.0/7</v>
      </c>
      <c r="G2531" s="362" t="s">
        <v>4899</v>
      </c>
      <c r="H2531" s="847">
        <v>6.28</v>
      </c>
      <c r="I2531" s="848">
        <f>VLOOKUP(E2531,'16.NC'!$C$11:$F$22,4,FALSE)</f>
        <v>218927</v>
      </c>
      <c r="J2531" s="849">
        <f>I2531*H2531</f>
        <v>1374861.56</v>
      </c>
      <c r="K2531" s="850"/>
      <c r="L2531" s="850"/>
      <c r="M2531" s="850"/>
      <c r="N2531" s="843" t="e">
        <f>SUMIF(#REF!,'8.Dgia'!A2531,#REF!)+SUMIF(#REF!,'8.Dgia'!A2531,#REF!)+SUMIF(#REF!,'8.Dgia'!A2531,#REF!)+SUMIF(#REF!,'8.Dgia'!A2531,#REF!)</f>
        <v>#REF!</v>
      </c>
      <c r="O2531" s="844"/>
      <c r="P2531" s="843" t="e">
        <f t="shared" si="109"/>
        <v>#REF!</v>
      </c>
      <c r="R2531" s="658">
        <v>1</v>
      </c>
    </row>
    <row r="2532" spans="1:18" s="658" customFormat="1" ht="15" customHeight="1">
      <c r="A2532" s="657">
        <f>IF(B2532="",MAX($A$8:A2531)+0,MAX($A$8:A2531)+1)</f>
        <v>293</v>
      </c>
      <c r="B2532" s="835" t="str">
        <f>IF(C2532="","",COUNTA($C$10:C2533))</f>
        <v/>
      </c>
      <c r="C2532" s="362"/>
      <c r="D2532" s="845"/>
      <c r="E2532" s="852" t="s">
        <v>2033</v>
      </c>
      <c r="F2532" s="848" t="str">
        <f>VLOOKUP(E2532,DICH!B:C,2,FALSE)</f>
        <v xml:space="preserve">  C - Machine</v>
      </c>
      <c r="G2532" s="846"/>
      <c r="H2532" s="847"/>
      <c r="I2532" s="848"/>
      <c r="J2532" s="849">
        <f>SUM(J2533:J2534)</f>
        <v>4630697.9874714362</v>
      </c>
      <c r="K2532" s="850"/>
      <c r="L2532" s="850"/>
      <c r="M2532" s="850"/>
      <c r="N2532" s="843" t="e">
        <f>SUMIF(#REF!,'8.Dgia'!A2532,#REF!)+SUMIF(#REF!,'8.Dgia'!A2532,#REF!)+SUMIF(#REF!,'8.Dgia'!A2532,#REF!)+SUMIF(#REF!,'8.Dgia'!A2532,#REF!)</f>
        <v>#REF!</v>
      </c>
      <c r="O2532" s="844"/>
      <c r="P2532" s="843" t="e">
        <f t="shared" si="109"/>
        <v>#REF!</v>
      </c>
    </row>
    <row r="2533" spans="1:18" ht="15" customHeight="1">
      <c r="A2533" s="657">
        <f>IF(B2533="",MAX($A$8:A2532)+0,MAX($A$8:A2532)+1)</f>
        <v>293</v>
      </c>
      <c r="B2533" s="835" t="str">
        <f>IF(C2533="","",COUNTA($C$10:C2534))</f>
        <v/>
      </c>
      <c r="C2533" s="362"/>
      <c r="D2533" s="851"/>
      <c r="E2533" s="852" t="s">
        <v>270</v>
      </c>
      <c r="F2533" s="848" t="str">
        <f>VLOOKUP(E2533,'9.may'!E:F,2,FALSE)</f>
        <v>pile driver, diesel hammer 1.2T</v>
      </c>
      <c r="G2533" s="362" t="s">
        <v>4902</v>
      </c>
      <c r="H2533" s="847">
        <v>3.14</v>
      </c>
      <c r="I2533" s="848">
        <f>VLOOKUP(E2533,'9.may'!E:W,12,FALSE)</f>
        <v>1452950.327090909</v>
      </c>
      <c r="J2533" s="853">
        <f>I2533*H2533</f>
        <v>4562264.0270654541</v>
      </c>
      <c r="N2533" s="843" t="e">
        <f>SUMIF(#REF!,'8.Dgia'!A2533,#REF!)+SUMIF(#REF!,'8.Dgia'!A2533,#REF!)+SUMIF(#REF!,'8.Dgia'!A2533,#REF!)+SUMIF(#REF!,'8.Dgia'!A2533,#REF!)</f>
        <v>#REF!</v>
      </c>
      <c r="O2533" s="844">
        <f>+$H$2534</f>
        <v>1.5</v>
      </c>
      <c r="P2533" s="843" t="e">
        <f t="shared" si="109"/>
        <v>#REF!</v>
      </c>
    </row>
    <row r="2534" spans="1:18" ht="15" customHeight="1">
      <c r="A2534" s="657">
        <f>IF(B2534="",MAX($A$8:A2533)+0,MAX($A$8:A2533)+1)</f>
        <v>293</v>
      </c>
      <c r="B2534" s="835" t="str">
        <f>IF(C2534="","",COUNTA($C$10:C2535))</f>
        <v/>
      </c>
      <c r="C2534" s="362"/>
      <c r="D2534" s="851"/>
      <c r="E2534" s="852" t="s">
        <v>553</v>
      </c>
      <c r="F2534" s="848" t="str">
        <f>VLOOKUP(E2534,DICH!B:C,2,FALSE)</f>
        <v>Other machine</v>
      </c>
      <c r="G2534" s="362" t="s">
        <v>554</v>
      </c>
      <c r="H2534" s="847">
        <v>1.5</v>
      </c>
      <c r="I2534" s="848">
        <f>SUM(J2533:J2533)</f>
        <v>4562264.0270654541</v>
      </c>
      <c r="J2534" s="853">
        <f>I2534*H2534%</f>
        <v>68433.960405981808</v>
      </c>
      <c r="N2534" s="843" t="e">
        <f>SUMIF(#REF!,'8.Dgia'!A2534,#REF!)+SUMIF(#REF!,'8.Dgia'!A2534,#REF!)+SUMIF(#REF!,'8.Dgia'!A2534,#REF!)+SUMIF(#REF!,'8.Dgia'!A2534,#REF!)</f>
        <v>#REF!</v>
      </c>
      <c r="O2534" s="844"/>
      <c r="P2534" s="843" t="e">
        <f t="shared" si="109"/>
        <v>#REF!</v>
      </c>
    </row>
    <row r="2535" spans="1:18" ht="27" customHeight="1">
      <c r="A2535" s="657">
        <f>IF(B2535="",MAX($A$8:A2534)+0,MAX($A$8:A2534)+1)</f>
        <v>294</v>
      </c>
      <c r="B2535" s="835">
        <f>IF(C2535="","",COUNTA($C$10:C2536))</f>
        <v>294</v>
      </c>
      <c r="C2535" s="835">
        <f>IF(D2535="","",1776)</f>
        <v>1776</v>
      </c>
      <c r="D2535" s="851" t="s">
        <v>177</v>
      </c>
      <c r="E2535" s="855" t="s">
        <v>5161</v>
      </c>
      <c r="F2535" s="1049" t="str">
        <f>VLOOKUP(E2535,[5]DICH!B$1:C$65536,2,FALSE)</f>
        <v>Driven steel pile on land, L&lt;10m, soil C1 (on land)</v>
      </c>
      <c r="G2535" s="856" t="s">
        <v>546</v>
      </c>
      <c r="H2535" s="847"/>
      <c r="I2535" s="848"/>
      <c r="J2535" s="853"/>
      <c r="L2535" s="842">
        <f>+J2536</f>
        <v>972035.88000000012</v>
      </c>
      <c r="M2535" s="842">
        <f>+J2537</f>
        <v>3290060.7206646549</v>
      </c>
      <c r="N2535" s="843" t="e">
        <f>SUMIF(#REF!,'8.Dgia'!A2535,#REF!)+SUMIF(#REF!,'8.Dgia'!A2535,#REF!)+SUMIF(#REF!,'8.Dgia'!A2535,#REF!)+SUMIF(#REF!,'8.Dgia'!A2535,#REF!)</f>
        <v>#REF!</v>
      </c>
      <c r="O2535" s="844"/>
      <c r="P2535" s="843" t="e">
        <f>$H2535*N2535*(1+O2535%)</f>
        <v>#REF!</v>
      </c>
    </row>
    <row r="2536" spans="1:18" s="658" customFormat="1" ht="15" customHeight="1">
      <c r="A2536" s="657">
        <f>IF(B2536="",MAX($A$8:A2535)+0,MAX($A$8:A2535)+1)</f>
        <v>294</v>
      </c>
      <c r="B2536" s="835" t="str">
        <f>IF(C2536="","",COUNTA($C$10:C2537))</f>
        <v/>
      </c>
      <c r="C2536" s="362"/>
      <c r="D2536" s="845"/>
      <c r="E2536" s="852" t="s">
        <v>2039</v>
      </c>
      <c r="F2536" s="848" t="str">
        <f>VLOOKUP(E2536,DICH!B:C,2,FALSE)</f>
        <v xml:space="preserve">  B - Labour 4.0/7</v>
      </c>
      <c r="G2536" s="362" t="s">
        <v>4899</v>
      </c>
      <c r="H2536" s="847">
        <v>4.4400000000000004</v>
      </c>
      <c r="I2536" s="848">
        <f>VLOOKUP(E2536,'16.NC'!$C$11:$F$22,4,FALSE)</f>
        <v>218927</v>
      </c>
      <c r="J2536" s="849">
        <f>I2536*H2536</f>
        <v>972035.88000000012</v>
      </c>
      <c r="K2536" s="850"/>
      <c r="L2536" s="850"/>
      <c r="M2536" s="850"/>
      <c r="N2536" s="843" t="e">
        <f>SUMIF(#REF!,'8.Dgia'!A2536,#REF!)+SUMIF(#REF!,'8.Dgia'!A2536,#REF!)+SUMIF(#REF!,'8.Dgia'!A2536,#REF!)+SUMIF(#REF!,'8.Dgia'!A2536,#REF!)</f>
        <v>#REF!</v>
      </c>
      <c r="O2536" s="844"/>
      <c r="P2536" s="843" t="e">
        <f>$H2536*N2536*(1+O2536%)</f>
        <v>#REF!</v>
      </c>
      <c r="R2536" s="658">
        <v>1</v>
      </c>
    </row>
    <row r="2537" spans="1:18" s="658" customFormat="1" ht="15" customHeight="1">
      <c r="A2537" s="657">
        <f>IF(B2537="",MAX($A$8:A2536)+0,MAX($A$8:A2536)+1)</f>
        <v>294</v>
      </c>
      <c r="B2537" s="835" t="str">
        <f>IF(C2537="","",COUNTA($C$10:C2538))</f>
        <v/>
      </c>
      <c r="C2537" s="362"/>
      <c r="D2537" s="845"/>
      <c r="E2537" s="852" t="s">
        <v>2033</v>
      </c>
      <c r="F2537" s="848" t="str">
        <f>VLOOKUP(E2537,DICH!B:C,2,FALSE)</f>
        <v xml:space="preserve">  C - Machine</v>
      </c>
      <c r="G2537" s="846"/>
      <c r="H2537" s="847"/>
      <c r="I2537" s="848"/>
      <c r="J2537" s="849">
        <f>SUM(J2538:J2539)</f>
        <v>3290060.7206646549</v>
      </c>
      <c r="K2537" s="850"/>
      <c r="L2537" s="850"/>
      <c r="M2537" s="850"/>
      <c r="N2537" s="843" t="e">
        <f>SUMIF(#REF!,'8.Dgia'!A2537,#REF!)+SUMIF(#REF!,'8.Dgia'!A2537,#REF!)+SUMIF(#REF!,'8.Dgia'!A2537,#REF!)+SUMIF(#REF!,'8.Dgia'!A2537,#REF!)</f>
        <v>#REF!</v>
      </c>
      <c r="O2537" s="844"/>
      <c r="P2537" s="843" t="e">
        <f>$H2537*N2537*(1+O2537%)</f>
        <v>#REF!</v>
      </c>
    </row>
    <row r="2538" spans="1:18" ht="15" customHeight="1">
      <c r="A2538" s="657">
        <f>IF(B2538="",MAX($A$8:A2537)+0,MAX($A$8:A2537)+1)</f>
        <v>294</v>
      </c>
      <c r="B2538" s="835" t="str">
        <f>IF(C2538="","",COUNTA($C$10:C2539))</f>
        <v/>
      </c>
      <c r="C2538" s="362"/>
      <c r="D2538" s="851"/>
      <c r="E2538" s="852" t="s">
        <v>270</v>
      </c>
      <c r="F2538" s="848" t="str">
        <f>VLOOKUP(E2538,'9.may'!E:F,2,FALSE)</f>
        <v>pile driver, diesel hammer 1.2T</v>
      </c>
      <c r="G2538" s="362" t="s">
        <v>4902</v>
      </c>
      <c r="H2538" s="847">
        <v>2.2200000000000002</v>
      </c>
      <c r="I2538" s="848">
        <f>VLOOKUP(E2538,'9.may'!E:W,12,FALSE)</f>
        <v>1452950.327090909</v>
      </c>
      <c r="J2538" s="853">
        <f>I2538*H2538</f>
        <v>3225549.7261418183</v>
      </c>
      <c r="N2538" s="843" t="e">
        <f>SUMIF(#REF!,'8.Dgia'!A2538,#REF!)+SUMIF(#REF!,'8.Dgia'!A2538,#REF!)+SUMIF(#REF!,'8.Dgia'!A2538,#REF!)+SUMIF(#REF!,'8.Dgia'!A2538,#REF!)</f>
        <v>#REF!</v>
      </c>
      <c r="O2538" s="844">
        <v>2</v>
      </c>
      <c r="P2538" s="843" t="e">
        <f>$H2538*N2538*(1+O2538%)</f>
        <v>#REF!</v>
      </c>
    </row>
    <row r="2539" spans="1:18" ht="15" customHeight="1">
      <c r="A2539" s="657">
        <f>IF(B2539="",MAX($A$8:A2538)+0,MAX($A$8:A2538)+1)</f>
        <v>294</v>
      </c>
      <c r="B2539" s="835" t="str">
        <f>IF(C2539="","",COUNTA($C$10:C2540))</f>
        <v/>
      </c>
      <c r="C2539" s="362"/>
      <c r="D2539" s="851"/>
      <c r="E2539" s="852" t="s">
        <v>553</v>
      </c>
      <c r="F2539" s="848" t="str">
        <f>VLOOKUP(E2539,DICH!B:C,2,FALSE)</f>
        <v>Other machine</v>
      </c>
      <c r="G2539" s="362" t="s">
        <v>554</v>
      </c>
      <c r="H2539" s="847">
        <v>2</v>
      </c>
      <c r="I2539" s="848">
        <f>SUM(J2538:J2538)</f>
        <v>3225549.7261418183</v>
      </c>
      <c r="J2539" s="853">
        <f>I2539*H2539%</f>
        <v>64510.994522836365</v>
      </c>
      <c r="N2539" s="843" t="e">
        <f>SUMIF(#REF!,'8.Dgia'!A2539,#REF!)+SUMIF(#REF!,'8.Dgia'!A2539,#REF!)+SUMIF(#REF!,'8.Dgia'!A2539,#REF!)+SUMIF(#REF!,'8.Dgia'!A2539,#REF!)</f>
        <v>#REF!</v>
      </c>
      <c r="O2539" s="844"/>
      <c r="P2539" s="843" t="e">
        <f>$H2539*N2539*(1+O2539%)</f>
        <v>#REF!</v>
      </c>
    </row>
    <row r="2540" spans="1:18" ht="15" customHeight="1">
      <c r="A2540" s="657">
        <f>IF(B2540="",MAX($A$8:A2539)+0,MAX($A$8:A2539)+1)</f>
        <v>295</v>
      </c>
      <c r="B2540" s="835">
        <f>IF(C2540="","",COUNTA($C$10:C2541))</f>
        <v>295</v>
      </c>
      <c r="C2540" s="835">
        <f>IF(D2540="","",1776)</f>
        <v>1776</v>
      </c>
      <c r="D2540" s="851" t="s">
        <v>178</v>
      </c>
      <c r="E2540" s="855" t="s">
        <v>3487</v>
      </c>
      <c r="F2540" s="1049" t="str">
        <f>VLOOKUP(E2540,DICH!B:C,2,FALSE)</f>
        <v>Removing shaped steel pile/ casing (on land)</v>
      </c>
      <c r="G2540" s="856" t="s">
        <v>546</v>
      </c>
      <c r="H2540" s="847"/>
      <c r="I2540" s="848"/>
      <c r="J2540" s="853"/>
      <c r="L2540" s="842">
        <f>+J2541</f>
        <v>582345.82000000007</v>
      </c>
      <c r="M2540" s="842">
        <f>+J2542</f>
        <v>3782196.2874550913</v>
      </c>
      <c r="N2540" s="843" t="e">
        <f>SUMIF(#REF!,'8.Dgia'!A2540,#REF!)+SUMIF(#REF!,'8.Dgia'!A2540,#REF!)+SUMIF(#REF!,'8.Dgia'!A2540,#REF!)+SUMIF(#REF!,'8.Dgia'!A2540,#REF!)</f>
        <v>#REF!</v>
      </c>
      <c r="O2540" s="844"/>
      <c r="P2540" s="843" t="e">
        <f t="shared" si="109"/>
        <v>#REF!</v>
      </c>
    </row>
    <row r="2541" spans="1:18" s="658" customFormat="1" ht="15" customHeight="1">
      <c r="A2541" s="657">
        <f>IF(B2541="",MAX($A$8:A2540)+0,MAX($A$8:A2540)+1)</f>
        <v>295</v>
      </c>
      <c r="B2541" s="835" t="str">
        <f>IF(C2541="","",COUNTA($C$10:C2542))</f>
        <v/>
      </c>
      <c r="C2541" s="362"/>
      <c r="D2541" s="845"/>
      <c r="E2541" s="852" t="s">
        <v>2039</v>
      </c>
      <c r="F2541" s="848" t="str">
        <f>VLOOKUP(E2541,DICH!B:C,2,FALSE)</f>
        <v xml:space="preserve">  B - Labour 4.0/7</v>
      </c>
      <c r="G2541" s="362" t="s">
        <v>4899</v>
      </c>
      <c r="H2541" s="847">
        <v>2.66</v>
      </c>
      <c r="I2541" s="848">
        <f>VLOOKUP(E2541,'16.NC'!$C$11:$F$22,4,FALSE)</f>
        <v>218927</v>
      </c>
      <c r="J2541" s="849">
        <f>I2541*H2541</f>
        <v>582345.82000000007</v>
      </c>
      <c r="K2541" s="850"/>
      <c r="L2541" s="850"/>
      <c r="M2541" s="850"/>
      <c r="N2541" s="843" t="e">
        <f>SUMIF(#REF!,'8.Dgia'!A2541,#REF!)+SUMIF(#REF!,'8.Dgia'!A2541,#REF!)+SUMIF(#REF!,'8.Dgia'!A2541,#REF!)+SUMIF(#REF!,'8.Dgia'!A2541,#REF!)</f>
        <v>#REF!</v>
      </c>
      <c r="O2541" s="844"/>
      <c r="P2541" s="843" t="e">
        <f t="shared" si="109"/>
        <v>#REF!</v>
      </c>
      <c r="R2541" s="658">
        <v>1</v>
      </c>
    </row>
    <row r="2542" spans="1:18" s="658" customFormat="1" ht="15" customHeight="1">
      <c r="A2542" s="657">
        <f>IF(B2542="",MAX($A$8:A2541)+0,MAX($A$8:A2541)+1)</f>
        <v>295</v>
      </c>
      <c r="B2542" s="835" t="str">
        <f>IF(C2542="","",COUNTA($C$10:C2543))</f>
        <v/>
      </c>
      <c r="C2542" s="362"/>
      <c r="D2542" s="845"/>
      <c r="E2542" s="852" t="s">
        <v>2033</v>
      </c>
      <c r="F2542" s="848" t="str">
        <f>VLOOKUP(E2542,DICH!B:C,2,FALSE)</f>
        <v xml:space="preserve">  C - Machine</v>
      </c>
      <c r="G2542" s="846"/>
      <c r="H2542" s="847"/>
      <c r="I2542" s="848"/>
      <c r="J2542" s="849">
        <f>SUM(J2543:J2544)</f>
        <v>3782196.2874550913</v>
      </c>
      <c r="K2542" s="850"/>
      <c r="L2542" s="850"/>
      <c r="M2542" s="850"/>
      <c r="N2542" s="843" t="e">
        <f>SUMIF(#REF!,'8.Dgia'!A2542,#REF!)+SUMIF(#REF!,'8.Dgia'!A2542,#REF!)+SUMIF(#REF!,'8.Dgia'!A2542,#REF!)+SUMIF(#REF!,'8.Dgia'!A2542,#REF!)</f>
        <v>#REF!</v>
      </c>
      <c r="O2542" s="844"/>
      <c r="P2542" s="843" t="e">
        <f t="shared" si="109"/>
        <v>#REF!</v>
      </c>
    </row>
    <row r="2543" spans="1:18" ht="15" customHeight="1">
      <c r="A2543" s="657">
        <f>IF(B2543="",MAX($A$8:A2542)+0,MAX($A$8:A2542)+1)</f>
        <v>295</v>
      </c>
      <c r="B2543" s="835" t="str">
        <f>IF(C2543="","",COUNTA($C$10:C2544))</f>
        <v/>
      </c>
      <c r="C2543" s="362"/>
      <c r="D2543" s="851"/>
      <c r="E2543" s="852" t="s">
        <v>288</v>
      </c>
      <c r="F2543" s="848" t="str">
        <f>VLOOKUP(E2543,'9.may'!E:F,2,FALSE)</f>
        <v>caterpillar crane 25T</v>
      </c>
      <c r="G2543" s="362" t="s">
        <v>4902</v>
      </c>
      <c r="H2543" s="847">
        <v>1.33</v>
      </c>
      <c r="I2543" s="848">
        <f>VLOOKUP(E2543,'9.may'!E:W,12,FALSE)</f>
        <v>2787996.6736363638</v>
      </c>
      <c r="J2543" s="853">
        <f>I2543*H2543</f>
        <v>3708035.575936364</v>
      </c>
      <c r="N2543" s="843" t="e">
        <f>SUMIF(#REF!,'8.Dgia'!A2543,#REF!)+SUMIF(#REF!,'8.Dgia'!A2543,#REF!)+SUMIF(#REF!,'8.Dgia'!A2543,#REF!)+SUMIF(#REF!,'8.Dgia'!A2543,#REF!)</f>
        <v>#REF!</v>
      </c>
      <c r="O2543" s="844">
        <f>+$H$2544</f>
        <v>2</v>
      </c>
      <c r="P2543" s="843" t="e">
        <f t="shared" si="109"/>
        <v>#REF!</v>
      </c>
    </row>
    <row r="2544" spans="1:18" ht="15" customHeight="1">
      <c r="A2544" s="657">
        <f>IF(B2544="",MAX($A$8:A2543)+0,MAX($A$8:A2543)+1)</f>
        <v>295</v>
      </c>
      <c r="B2544" s="835" t="str">
        <f>IF(C2544="","",COUNTA($C$10:C2545))</f>
        <v/>
      </c>
      <c r="C2544" s="362"/>
      <c r="D2544" s="851"/>
      <c r="E2544" s="852" t="s">
        <v>553</v>
      </c>
      <c r="F2544" s="848" t="str">
        <f>VLOOKUP(E2544,DICH!B:C,2,FALSE)</f>
        <v>Other machine</v>
      </c>
      <c r="G2544" s="362" t="s">
        <v>554</v>
      </c>
      <c r="H2544" s="847">
        <v>2</v>
      </c>
      <c r="I2544" s="848">
        <f>SUM(J2543:J2543)</f>
        <v>3708035.575936364</v>
      </c>
      <c r="J2544" s="853">
        <f>I2544*H2544%</f>
        <v>74160.711518727287</v>
      </c>
      <c r="N2544" s="843" t="e">
        <f>SUMIF(#REF!,'8.Dgia'!A2544,#REF!)+SUMIF(#REF!,'8.Dgia'!A2544,#REF!)+SUMIF(#REF!,'8.Dgia'!A2544,#REF!)+SUMIF(#REF!,'8.Dgia'!A2544,#REF!)</f>
        <v>#REF!</v>
      </c>
      <c r="O2544" s="844"/>
      <c r="P2544" s="843" t="e">
        <f t="shared" si="109"/>
        <v>#REF!</v>
      </c>
    </row>
    <row r="2545" spans="1:18" ht="15" customHeight="1">
      <c r="A2545" s="657">
        <f>IF(B2545="",MAX($A$8:A2544)+0,MAX($A$8:A2544)+1)</f>
        <v>296</v>
      </c>
      <c r="B2545" s="835">
        <f>IF(C2545="","",COUNTA($C$10:C2546))</f>
        <v>296</v>
      </c>
      <c r="C2545" s="835">
        <f>IF(D2545="","",1776)</f>
        <v>1776</v>
      </c>
      <c r="D2545" s="851" t="s">
        <v>179</v>
      </c>
      <c r="E2545" s="855" t="s">
        <v>4021</v>
      </c>
      <c r="F2545" s="1049" t="str">
        <f>VLOOKUP(E2545,DICH!B:C,2,FALSE)</f>
        <v>Concrete C20, stone 4x6</v>
      </c>
      <c r="G2545" s="856" t="s">
        <v>545</v>
      </c>
      <c r="H2545" s="847"/>
      <c r="I2545" s="848"/>
      <c r="J2545" s="853"/>
      <c r="K2545" s="842">
        <f>+J2546</f>
        <v>895377.92313296907</v>
      </c>
      <c r="L2545" s="842">
        <f>+J2552</f>
        <v>226024.37</v>
      </c>
      <c r="M2545" s="842">
        <f>+J2553</f>
        <v>121589.150240175</v>
      </c>
      <c r="N2545" s="843" t="e">
        <f>SUMIF(#REF!,'8.Dgia'!A2545,#REF!)+SUMIF(#REF!,'8.Dgia'!A2545,#REF!)+SUMIF(#REF!,'8.Dgia'!A2545,#REF!)+SUMIF(#REF!,'8.Dgia'!A2545,#REF!)</f>
        <v>#REF!</v>
      </c>
      <c r="O2545" s="844"/>
      <c r="P2545" s="843" t="e">
        <f t="shared" si="109"/>
        <v>#REF!</v>
      </c>
    </row>
    <row r="2546" spans="1:18" s="658" customFormat="1" ht="15" customHeight="1">
      <c r="A2546" s="657">
        <f>IF(B2546="",MAX($A$8:A2545)+0,MAX($A$8:A2545)+1)</f>
        <v>296</v>
      </c>
      <c r="B2546" s="835" t="str">
        <f>IF(C2546="","",COUNTA($C$10:C2547))</f>
        <v/>
      </c>
      <c r="C2546" s="362"/>
      <c r="D2546" s="845"/>
      <c r="E2546" s="852" t="s">
        <v>2032</v>
      </c>
      <c r="F2546" s="848" t="str">
        <f>VLOOKUP(E2546,DICH!B:C,2,FALSE)</f>
        <v xml:space="preserve">  A - Material</v>
      </c>
      <c r="G2546" s="846"/>
      <c r="H2546" s="847"/>
      <c r="I2546" s="848"/>
      <c r="J2546" s="849">
        <f>SUM(J2547:J2551)</f>
        <v>895377.92313296907</v>
      </c>
      <c r="K2546" s="850"/>
      <c r="L2546" s="850"/>
      <c r="M2546" s="850"/>
      <c r="N2546" s="843" t="e">
        <f>SUMIF(#REF!,'8.Dgia'!A2546,#REF!)+SUMIF(#REF!,'8.Dgia'!A2546,#REF!)+SUMIF(#REF!,'8.Dgia'!A2546,#REF!)+SUMIF(#REF!,'8.Dgia'!A2546,#REF!)</f>
        <v>#REF!</v>
      </c>
      <c r="O2546" s="844"/>
      <c r="P2546" s="843" t="e">
        <f t="shared" si="109"/>
        <v>#REF!</v>
      </c>
    </row>
    <row r="2547" spans="1:18" ht="15" customHeight="1">
      <c r="A2547" s="657">
        <f>IF(B2547="",MAX($A$8:A2546)+0,MAX($A$8:A2546)+1)</f>
        <v>296</v>
      </c>
      <c r="B2547" s="835" t="str">
        <f>IF(C2547="","",COUNTA($C$10:C2548))</f>
        <v/>
      </c>
      <c r="C2547" s="851"/>
      <c r="D2547" s="851" t="str">
        <f>+'10.PLV'!$C$83</f>
        <v>C3244</v>
      </c>
      <c r="E2547" s="852" t="str">
        <f>+'10.PLV'!$D$83</f>
        <v>Vữa bê tông đá 4x6 C20 SN 6-8</v>
      </c>
      <c r="F2547" s="848" t="str">
        <f>VLOOKUP(E2547,DICH!B:C,2,FALSE)</f>
        <v>Concrete motar C20 stone 4x6 slump 6-8</v>
      </c>
      <c r="G2547" s="362" t="s">
        <v>545</v>
      </c>
      <c r="H2547" s="847">
        <v>1.0149999999999999</v>
      </c>
      <c r="I2547" s="848">
        <f>VLOOKUP(E2547,'11.gia '!B:I,8,FALSE)</f>
        <v>796865.36865138682</v>
      </c>
      <c r="J2547" s="853">
        <f>I2547*H2547</f>
        <v>808818.34918115754</v>
      </c>
      <c r="N2547" s="843" t="e">
        <f>SUMIF(#REF!,'8.Dgia'!A2547,#REF!)+SUMIF(#REF!,'8.Dgia'!A2547,#REF!)+SUMIF(#REF!,'8.Dgia'!A2547,#REF!)+SUMIF(#REF!,'8.Dgia'!A2547,#REF!)</f>
        <v>#REF!</v>
      </c>
      <c r="O2547" s="844"/>
      <c r="P2547" s="843" t="e">
        <f t="shared" si="109"/>
        <v>#REF!</v>
      </c>
    </row>
    <row r="2548" spans="1:18" ht="15" customHeight="1">
      <c r="A2548" s="657">
        <f>IF(B2548="",MAX($A$8:A2547)+0,MAX($A$8:A2547)+1)</f>
        <v>296</v>
      </c>
      <c r="B2548" s="835" t="str">
        <f>IF(C2548="","",COUNTA($C$10:C2549))</f>
        <v/>
      </c>
      <c r="C2548" s="362"/>
      <c r="D2548" s="851"/>
      <c r="E2548" s="852" t="s">
        <v>134</v>
      </c>
      <c r="F2548" s="848" t="str">
        <f>VLOOKUP(E2548,DICH!B:C,2,FALSE)</f>
        <v>Wooden</v>
      </c>
      <c r="G2548" s="362" t="s">
        <v>545</v>
      </c>
      <c r="H2548" s="847">
        <v>1.4999999999999999E-2</v>
      </c>
      <c r="I2548" s="848">
        <f>VLOOKUP(E2548,'11.gia '!$B:$I,8,FALSE)</f>
        <v>5000000</v>
      </c>
      <c r="J2548" s="853">
        <f>I2548*H2548</f>
        <v>75000</v>
      </c>
      <c r="N2548" s="843" t="e">
        <f>SUMIF(#REF!,'8.Dgia'!A2548,#REF!)+SUMIF(#REF!,'8.Dgia'!A2548,#REF!)+SUMIF(#REF!,'8.Dgia'!A2548,#REF!)+SUMIF(#REF!,'8.Dgia'!A2548,#REF!)</f>
        <v>#REF!</v>
      </c>
      <c r="O2548" s="844"/>
      <c r="P2548" s="843" t="e">
        <f t="shared" si="109"/>
        <v>#REF!</v>
      </c>
    </row>
    <row r="2549" spans="1:18" ht="15" customHeight="1">
      <c r="A2549" s="657">
        <f>IF(B2549="",MAX($A$8:A2548)+0,MAX($A$8:A2548)+1)</f>
        <v>296</v>
      </c>
      <c r="B2549" s="835" t="str">
        <f>IF(C2549="","",COUNTA($C$10:C2550))</f>
        <v/>
      </c>
      <c r="C2549" s="362"/>
      <c r="D2549" s="851"/>
      <c r="E2549" s="852" t="s">
        <v>460</v>
      </c>
      <c r="F2549" s="848" t="str">
        <f>VLOOKUP(E2549,DICH!B:C,2,FALSE)</f>
        <v>Nail</v>
      </c>
      <c r="G2549" s="362" t="s">
        <v>558</v>
      </c>
      <c r="H2549" s="847">
        <v>0.122</v>
      </c>
      <c r="I2549" s="848">
        <f>VLOOKUP(E2549,'11.gia '!$B:$I,8,FALSE)</f>
        <v>17143</v>
      </c>
      <c r="J2549" s="853">
        <f>I2549*H2549</f>
        <v>2091.4459999999999</v>
      </c>
      <c r="N2549" s="843" t="e">
        <f>SUMIF(#REF!,'8.Dgia'!A2549,#REF!)+SUMIF(#REF!,'8.Dgia'!A2549,#REF!)+SUMIF(#REF!,'8.Dgia'!A2549,#REF!)+SUMIF(#REF!,'8.Dgia'!A2549,#REF!)</f>
        <v>#REF!</v>
      </c>
      <c r="O2549" s="844"/>
      <c r="P2549" s="843" t="e">
        <f t="shared" si="109"/>
        <v>#REF!</v>
      </c>
    </row>
    <row r="2550" spans="1:18" ht="15" customHeight="1">
      <c r="A2550" s="657">
        <f>IF(B2550="",MAX($A$8:A2549)+0,MAX($A$8:A2549)+1)</f>
        <v>296</v>
      </c>
      <c r="B2550" s="835" t="str">
        <f>IF(C2550="","",COUNTA($C$10:C2551))</f>
        <v/>
      </c>
      <c r="C2550" s="362"/>
      <c r="D2550" s="851"/>
      <c r="E2550" s="852" t="s">
        <v>465</v>
      </c>
      <c r="F2550" s="848" t="str">
        <f>VLOOKUP(E2550,DICH!B:C,2,FALSE)</f>
        <v>Casing nail</v>
      </c>
      <c r="G2550" s="362" t="s">
        <v>4649</v>
      </c>
      <c r="H2550" s="847">
        <v>0.60299999999999998</v>
      </c>
      <c r="I2550" s="848">
        <f>VLOOKUP(E2550,'11.gia '!$B:$I,8,FALSE)</f>
        <v>1000</v>
      </c>
      <c r="J2550" s="853">
        <f>I2550*H2550</f>
        <v>603</v>
      </c>
      <c r="N2550" s="843" t="e">
        <f>SUMIF(#REF!,'8.Dgia'!A2550,#REF!)+SUMIF(#REF!,'8.Dgia'!A2550,#REF!)+SUMIF(#REF!,'8.Dgia'!A2550,#REF!)+SUMIF(#REF!,'8.Dgia'!A2550,#REF!)</f>
        <v>#REF!</v>
      </c>
      <c r="O2550" s="844"/>
      <c r="P2550" s="843" t="e">
        <f t="shared" si="109"/>
        <v>#REF!</v>
      </c>
    </row>
    <row r="2551" spans="1:18" ht="15" customHeight="1">
      <c r="A2551" s="657">
        <f>IF(B2551="",MAX($A$8:A2550)+0,MAX($A$8:A2550)+1)</f>
        <v>296</v>
      </c>
      <c r="B2551" s="835" t="str">
        <f>IF(C2551="","",COUNTA($C$10:C2552))</f>
        <v/>
      </c>
      <c r="C2551" s="362"/>
      <c r="D2551" s="851"/>
      <c r="E2551" s="852" t="s">
        <v>555</v>
      </c>
      <c r="F2551" s="848" t="str">
        <f>VLOOKUP(E2551,DICH!B:C,2,FALSE)</f>
        <v>Other material</v>
      </c>
      <c r="G2551" s="362" t="s">
        <v>554</v>
      </c>
      <c r="H2551" s="847">
        <v>1</v>
      </c>
      <c r="I2551" s="848">
        <f>SUM(J2547:J2550)</f>
        <v>886512.79518115753</v>
      </c>
      <c r="J2551" s="853">
        <f>I2551*H2551%</f>
        <v>8865.1279518115753</v>
      </c>
      <c r="N2551" s="843" t="e">
        <f>SUMIF(#REF!,'8.Dgia'!A2551,#REF!)+SUMIF(#REF!,'8.Dgia'!A2551,#REF!)+SUMIF(#REF!,'8.Dgia'!A2551,#REF!)+SUMIF(#REF!,'8.Dgia'!A2551,#REF!)</f>
        <v>#REF!</v>
      </c>
      <c r="O2551" s="844"/>
      <c r="P2551" s="843" t="e">
        <f t="shared" si="109"/>
        <v>#REF!</v>
      </c>
    </row>
    <row r="2552" spans="1:18" s="658" customFormat="1" ht="15" customHeight="1">
      <c r="A2552" s="657">
        <f>IF(B2552="",MAX($A$8:A2551)+0,MAX($A$8:A2551)+1)</f>
        <v>296</v>
      </c>
      <c r="B2552" s="835" t="str">
        <f>IF(C2552="","",COUNTA($C$10:C2553))</f>
        <v/>
      </c>
      <c r="C2552" s="362"/>
      <c r="D2552" s="845"/>
      <c r="E2552" s="852" t="s">
        <v>2038</v>
      </c>
      <c r="F2552" s="848" t="str">
        <f>VLOOKUP(E2552,DICH!B:C,2,FALSE)</f>
        <v xml:space="preserve">  B - Labour 3.0/7</v>
      </c>
      <c r="G2552" s="362" t="s">
        <v>4899</v>
      </c>
      <c r="H2552" s="847">
        <v>1.21</v>
      </c>
      <c r="I2552" s="848">
        <f>VLOOKUP(E2552,'16.NC'!$C$11:$F$22,4,FALSE)</f>
        <v>186797</v>
      </c>
      <c r="J2552" s="849">
        <f>I2552*H2552</f>
        <v>226024.37</v>
      </c>
      <c r="K2552" s="850"/>
      <c r="L2552" s="850"/>
      <c r="M2552" s="850"/>
      <c r="N2552" s="843" t="e">
        <f>SUMIF(#REF!,'8.Dgia'!A2552,#REF!)+SUMIF(#REF!,'8.Dgia'!A2552,#REF!)+SUMIF(#REF!,'8.Dgia'!A2552,#REF!)+SUMIF(#REF!,'8.Dgia'!A2552,#REF!)</f>
        <v>#REF!</v>
      </c>
      <c r="O2552" s="844"/>
      <c r="P2552" s="843" t="e">
        <f t="shared" si="109"/>
        <v>#REF!</v>
      </c>
      <c r="R2552" s="658">
        <v>1</v>
      </c>
    </row>
    <row r="2553" spans="1:18" s="658" customFormat="1" ht="15" customHeight="1">
      <c r="A2553" s="657">
        <f>IF(B2553="",MAX($A$8:A2552)+0,MAX($A$8:A2552)+1)</f>
        <v>296</v>
      </c>
      <c r="B2553" s="835" t="str">
        <f>IF(C2553="","",COUNTA($C$10:C2554))</f>
        <v/>
      </c>
      <c r="C2553" s="362"/>
      <c r="D2553" s="845"/>
      <c r="E2553" s="852" t="s">
        <v>2033</v>
      </c>
      <c r="F2553" s="848" t="str">
        <f>VLOOKUP(E2553,DICH!B:C,2,FALSE)</f>
        <v xml:space="preserve">  C - Machine</v>
      </c>
      <c r="G2553" s="846"/>
      <c r="H2553" s="847"/>
      <c r="I2553" s="848"/>
      <c r="J2553" s="849">
        <f>SUM(J2554:J2556)</f>
        <v>121589.150240175</v>
      </c>
      <c r="K2553" s="850"/>
      <c r="L2553" s="850"/>
      <c r="M2553" s="850"/>
      <c r="N2553" s="843" t="e">
        <f>SUMIF(#REF!,'8.Dgia'!A2553,#REF!)+SUMIF(#REF!,'8.Dgia'!A2553,#REF!)+SUMIF(#REF!,'8.Dgia'!A2553,#REF!)+SUMIF(#REF!,'8.Dgia'!A2553,#REF!)</f>
        <v>#REF!</v>
      </c>
      <c r="O2553" s="844"/>
      <c r="P2553" s="843" t="e">
        <f t="shared" si="109"/>
        <v>#REF!</v>
      </c>
    </row>
    <row r="2554" spans="1:18" ht="15" customHeight="1">
      <c r="A2554" s="657">
        <f>IF(B2554="",MAX($A$8:A2553)+0,MAX($A$8:A2553)+1)</f>
        <v>296</v>
      </c>
      <c r="B2554" s="835" t="str">
        <f>IF(C2554="","",COUNTA($C$10:C2555))</f>
        <v/>
      </c>
      <c r="C2554" s="362"/>
      <c r="D2554" s="851"/>
      <c r="E2554" s="852" t="s">
        <v>1182</v>
      </c>
      <c r="F2554" s="848" t="str">
        <f>VLOOKUP(E2554,'9.may'!E:F,2,FALSE)</f>
        <v>concrete pump truck 50m3/h</v>
      </c>
      <c r="G2554" s="362" t="s">
        <v>4902</v>
      </c>
      <c r="H2554" s="847">
        <v>3.3000000000000002E-2</v>
      </c>
      <c r="I2554" s="848">
        <f>VLOOKUP(E2554,'9.may'!E:W,12,FALSE)</f>
        <v>3446390.13</v>
      </c>
      <c r="J2554" s="853">
        <f>I2554*H2554</f>
        <v>113730.87429000001</v>
      </c>
      <c r="N2554" s="843" t="e">
        <f>SUMIF(#REF!,'8.Dgia'!A2554,#REF!)+SUMIF(#REF!,'8.Dgia'!A2554,#REF!)+SUMIF(#REF!,'8.Dgia'!A2554,#REF!)+SUMIF(#REF!,'8.Dgia'!A2554,#REF!)</f>
        <v>#REF!</v>
      </c>
      <c r="O2554" s="844"/>
      <c r="P2554" s="843" t="e">
        <f t="shared" si="109"/>
        <v>#REF!</v>
      </c>
    </row>
    <row r="2555" spans="1:18" ht="15" customHeight="1">
      <c r="A2555" s="657">
        <f>IF(B2555="",MAX($A$8:A2554)+0,MAX($A$8:A2554)+1)</f>
        <v>296</v>
      </c>
      <c r="B2555" s="835" t="str">
        <f>IF(C2555="","",COUNTA($C$10:C2556))</f>
        <v/>
      </c>
      <c r="C2555" s="362"/>
      <c r="D2555" s="851"/>
      <c r="E2555" s="852" t="s">
        <v>620</v>
      </c>
      <c r="F2555" s="848" t="str">
        <f>VLOOKUP(E2555,'9.may'!E:F,2,FALSE)</f>
        <v>concrete vibrating compactor 1.5Kw</v>
      </c>
      <c r="G2555" s="362" t="s">
        <v>4902</v>
      </c>
      <c r="H2555" s="847">
        <v>8.8999999999999996E-2</v>
      </c>
      <c r="I2555" s="848">
        <f>VLOOKUP(E2555,'9.may'!E:W,12,FALSE)</f>
        <v>74768.797500000001</v>
      </c>
      <c r="J2555" s="853">
        <f>I2555*H2555</f>
        <v>6654.4229774999994</v>
      </c>
      <c r="N2555" s="843" t="e">
        <f>SUMIF(#REF!,'8.Dgia'!A2555,#REF!)+SUMIF(#REF!,'8.Dgia'!A2555,#REF!)+SUMIF(#REF!,'8.Dgia'!A2555,#REF!)+SUMIF(#REF!,'8.Dgia'!A2555,#REF!)</f>
        <v>#REF!</v>
      </c>
      <c r="O2555" s="844"/>
      <c r="P2555" s="843" t="e">
        <f t="shared" si="109"/>
        <v>#REF!</v>
      </c>
    </row>
    <row r="2556" spans="1:18" ht="15" customHeight="1">
      <c r="A2556" s="657">
        <f>IF(B2556="",MAX($A$8:A2555)+0,MAX($A$8:A2555)+1)</f>
        <v>296</v>
      </c>
      <c r="B2556" s="835" t="str">
        <f>IF(C2556="","",COUNTA($C$10:C2557))</f>
        <v/>
      </c>
      <c r="C2556" s="362"/>
      <c r="D2556" s="851"/>
      <c r="E2556" s="852" t="s">
        <v>553</v>
      </c>
      <c r="F2556" s="848" t="str">
        <f>VLOOKUP(E2556,DICH!B:C,2,FALSE)</f>
        <v>Other machine</v>
      </c>
      <c r="G2556" s="362" t="s">
        <v>554</v>
      </c>
      <c r="H2556" s="847">
        <v>1</v>
      </c>
      <c r="I2556" s="848">
        <f>SUM(J2554:J2555)</f>
        <v>120385.29726750001</v>
      </c>
      <c r="J2556" s="853">
        <f>I2556*H2556%</f>
        <v>1203.852972675</v>
      </c>
      <c r="N2556" s="843" t="e">
        <f>SUMIF(#REF!,'8.Dgia'!A2556,#REF!)+SUMIF(#REF!,'8.Dgia'!A2556,#REF!)+SUMIF(#REF!,'8.Dgia'!A2556,#REF!)+SUMIF(#REF!,'8.Dgia'!A2556,#REF!)</f>
        <v>#REF!</v>
      </c>
      <c r="O2556" s="844"/>
      <c r="P2556" s="843" t="e">
        <f t="shared" si="109"/>
        <v>#REF!</v>
      </c>
    </row>
    <row r="2557" spans="1:18" ht="15" customHeight="1">
      <c r="A2557" s="657">
        <f>IF(B2557="",MAX($A$8:A2556)+0,MAX($A$8:A2556)+1)</f>
        <v>297</v>
      </c>
      <c r="B2557" s="835">
        <f>IF(C2557="","",COUNTA($C$10:C2558))</f>
        <v>297</v>
      </c>
      <c r="C2557" s="835">
        <f>IF(D2557="","",1776)</f>
        <v>1776</v>
      </c>
      <c r="D2557" s="851" t="s">
        <v>183</v>
      </c>
      <c r="E2557" s="855" t="s">
        <v>184</v>
      </c>
      <c r="F2557" s="1049" t="str">
        <f>VLOOKUP(E2557,DICH!B:C,2,FALSE)</f>
        <v>Installing ulltrasonic pipe D60</v>
      </c>
      <c r="G2557" s="856" t="s">
        <v>546</v>
      </c>
      <c r="H2557" s="847"/>
      <c r="I2557" s="848"/>
      <c r="J2557" s="853"/>
      <c r="K2557" s="842">
        <f>+J2558</f>
        <v>2369316.3299999996</v>
      </c>
      <c r="L2557" s="842">
        <f>+J2564</f>
        <v>3044958.62</v>
      </c>
      <c r="N2557" s="843" t="e">
        <f>SUMIF(#REF!,'8.Dgia'!A2557,#REF!)+SUMIF(#REF!,'8.Dgia'!A2557,#REF!)+SUMIF(#REF!,'8.Dgia'!A2557,#REF!)+SUMIF(#REF!,'8.Dgia'!A2557,#REF!)</f>
        <v>#REF!</v>
      </c>
      <c r="O2557" s="844"/>
      <c r="P2557" s="843" t="e">
        <f t="shared" si="109"/>
        <v>#REF!</v>
      </c>
    </row>
    <row r="2558" spans="1:18" s="658" customFormat="1" ht="15" customHeight="1">
      <c r="A2558" s="657">
        <f>IF(B2558="",MAX($A$8:A2557)+0,MAX($A$8:A2557)+1)</f>
        <v>297</v>
      </c>
      <c r="B2558" s="835" t="str">
        <f>IF(C2558="","",COUNTA($C$10:C2559))</f>
        <v/>
      </c>
      <c r="C2558" s="362"/>
      <c r="D2558" s="845"/>
      <c r="E2558" s="852" t="s">
        <v>2032</v>
      </c>
      <c r="F2558" s="848" t="str">
        <f>VLOOKUP(E2558,DICH!B:C,2,FALSE)</f>
        <v xml:space="preserve">  A - Material</v>
      </c>
      <c r="G2558" s="846"/>
      <c r="H2558" s="847"/>
      <c r="I2558" s="848"/>
      <c r="J2558" s="849">
        <f>SUM(J2559:J2563)</f>
        <v>2369316.3299999996</v>
      </c>
      <c r="K2558" s="850"/>
      <c r="L2558" s="850"/>
      <c r="M2558" s="850"/>
      <c r="N2558" s="843" t="e">
        <f>SUMIF(#REF!,'8.Dgia'!A2558,#REF!)+SUMIF(#REF!,'8.Dgia'!A2558,#REF!)+SUMIF(#REF!,'8.Dgia'!A2558,#REF!)+SUMIF(#REF!,'8.Dgia'!A2558,#REF!)</f>
        <v>#REF!</v>
      </c>
      <c r="O2558" s="844"/>
      <c r="P2558" s="843" t="e">
        <f t="shared" si="109"/>
        <v>#REF!</v>
      </c>
    </row>
    <row r="2559" spans="1:18" ht="15" customHeight="1">
      <c r="A2559" s="657">
        <f>IF(B2559="",MAX($A$8:A2558)+0,MAX($A$8:A2558)+1)</f>
        <v>297</v>
      </c>
      <c r="B2559" s="835" t="str">
        <f>IF(C2559="","",COUNTA($C$10:C2560))</f>
        <v/>
      </c>
      <c r="C2559" s="362"/>
      <c r="D2559" s="851"/>
      <c r="E2559" s="852" t="s">
        <v>668</v>
      </c>
      <c r="F2559" s="848" t="str">
        <f>VLOOKUP(E2559,DICH!B:C,2,FALSE)</f>
        <v>Pipe PVC D60</v>
      </c>
      <c r="G2559" s="362" t="s">
        <v>543</v>
      </c>
      <c r="H2559" s="847">
        <f>100.5</f>
        <v>100.5</v>
      </c>
      <c r="I2559" s="848">
        <f>VLOOKUP(E2559,'11.gia '!$B:$I,8,FALSE)</f>
        <v>22600</v>
      </c>
      <c r="J2559" s="853">
        <f>I2559*H2559</f>
        <v>2271300</v>
      </c>
      <c r="N2559" s="843" t="e">
        <f>SUMIF(#REF!,'8.Dgia'!A2559,#REF!)+SUMIF(#REF!,'8.Dgia'!A2559,#REF!)+SUMIF(#REF!,'8.Dgia'!A2559,#REF!)+SUMIF(#REF!,'8.Dgia'!A2559,#REF!)</f>
        <v>#REF!</v>
      </c>
      <c r="O2559" s="844"/>
      <c r="P2559" s="843" t="e">
        <f t="shared" si="109"/>
        <v>#REF!</v>
      </c>
    </row>
    <row r="2560" spans="1:18" ht="15" customHeight="1">
      <c r="A2560" s="657">
        <f>IF(B2560="",MAX($A$8:A2559)+0,MAX($A$8:A2559)+1)</f>
        <v>297</v>
      </c>
      <c r="B2560" s="835" t="str">
        <f>IF(C2560="","",COUNTA($C$10:C2561))</f>
        <v/>
      </c>
      <c r="C2560" s="362"/>
      <c r="D2560" s="851"/>
      <c r="E2560" s="852" t="s">
        <v>631</v>
      </c>
      <c r="F2560" s="848" t="str">
        <f>VLOOKUP(E2560,DICH!B:C,2,FALSE)</f>
        <v>Stell pipe nipple D60</v>
      </c>
      <c r="G2560" s="362" t="s">
        <v>4649</v>
      </c>
      <c r="H2560" s="847">
        <v>12</v>
      </c>
      <c r="I2560" s="848">
        <f>VLOOKUP(E2560,'11.gia '!$B:$I,8,FALSE)</f>
        <v>7000</v>
      </c>
      <c r="J2560" s="853">
        <f>I2560*H2560</f>
        <v>84000</v>
      </c>
      <c r="N2560" s="843" t="e">
        <f>SUMIF(#REF!,'8.Dgia'!A2560,#REF!)+SUMIF(#REF!,'8.Dgia'!A2560,#REF!)+SUMIF(#REF!,'8.Dgia'!A2560,#REF!)+SUMIF(#REF!,'8.Dgia'!A2560,#REF!)</f>
        <v>#REF!</v>
      </c>
      <c r="O2560" s="844"/>
      <c r="P2560" s="843" t="e">
        <f t="shared" si="109"/>
        <v>#REF!</v>
      </c>
    </row>
    <row r="2561" spans="1:18" ht="15" customHeight="1">
      <c r="A2561" s="657">
        <f>IF(B2561="",MAX($A$8:A2560)+0,MAX($A$8:A2560)+1)</f>
        <v>297</v>
      </c>
      <c r="B2561" s="835" t="str">
        <f>IF(C2561="","",COUNTA($C$10:C2562))</f>
        <v/>
      </c>
      <c r="C2561" s="362"/>
      <c r="D2561" s="851"/>
      <c r="E2561" s="852" t="s">
        <v>476</v>
      </c>
      <c r="F2561" s="848" t="str">
        <f>VLOOKUP(E2561,DICH!B:C,2,FALSE)</f>
        <v>Alcohol for washing</v>
      </c>
      <c r="G2561" s="362" t="s">
        <v>558</v>
      </c>
      <c r="H2561" s="847">
        <v>6.6000000000000003E-2</v>
      </c>
      <c r="I2561" s="848">
        <f>VLOOKUP(E2561,'11.gia '!$B:$I,8,FALSE)</f>
        <v>7000</v>
      </c>
      <c r="J2561" s="853">
        <f>I2561*H2561</f>
        <v>462</v>
      </c>
      <c r="N2561" s="843" t="e">
        <f>SUMIF(#REF!,'8.Dgia'!A2561,#REF!)+SUMIF(#REF!,'8.Dgia'!A2561,#REF!)+SUMIF(#REF!,'8.Dgia'!A2561,#REF!)+SUMIF(#REF!,'8.Dgia'!A2561,#REF!)</f>
        <v>#REF!</v>
      </c>
      <c r="O2561" s="844"/>
      <c r="P2561" s="843" t="e">
        <f t="shared" si="109"/>
        <v>#REF!</v>
      </c>
    </row>
    <row r="2562" spans="1:18" ht="15" customHeight="1">
      <c r="A2562" s="657">
        <f>IF(B2562="",MAX($A$8:A2561)+0,MAX($A$8:A2561)+1)</f>
        <v>297</v>
      </c>
      <c r="B2562" s="835" t="str">
        <f>IF(C2562="","",COUNTA($C$10:C2563))</f>
        <v/>
      </c>
      <c r="C2562" s="362"/>
      <c r="D2562" s="851"/>
      <c r="E2562" s="852" t="s">
        <v>360</v>
      </c>
      <c r="F2562" s="848" t="str">
        <f>VLOOKUP(E2562,DICH!B:C,2,FALSE)</f>
        <v>glue</v>
      </c>
      <c r="G2562" s="362" t="s">
        <v>558</v>
      </c>
      <c r="H2562" s="847">
        <v>0.13200000000000001</v>
      </c>
      <c r="I2562" s="848">
        <f>VLOOKUP(E2562,'11.gia '!$B:$I,8,FALSE)</f>
        <v>100900</v>
      </c>
      <c r="J2562" s="853">
        <f>I2562*H2562</f>
        <v>13318.800000000001</v>
      </c>
      <c r="N2562" s="843" t="e">
        <f>SUMIF(#REF!,'8.Dgia'!A2562,#REF!)+SUMIF(#REF!,'8.Dgia'!A2562,#REF!)+SUMIF(#REF!,'8.Dgia'!A2562,#REF!)+SUMIF(#REF!,'8.Dgia'!A2562,#REF!)</f>
        <v>#REF!</v>
      </c>
      <c r="O2562" s="844"/>
      <c r="P2562" s="843" t="e">
        <f t="shared" si="109"/>
        <v>#REF!</v>
      </c>
    </row>
    <row r="2563" spans="1:18" ht="15" customHeight="1">
      <c r="A2563" s="657">
        <f>IF(B2563="",MAX($A$8:A2562)+0,MAX($A$8:A2562)+1)</f>
        <v>297</v>
      </c>
      <c r="B2563" s="835" t="str">
        <f>IF(C2563="","",COUNTA($C$10:C2564))</f>
        <v/>
      </c>
      <c r="C2563" s="362"/>
      <c r="D2563" s="851"/>
      <c r="E2563" s="852" t="s">
        <v>555</v>
      </c>
      <c r="F2563" s="848" t="str">
        <f>VLOOKUP(E2563,DICH!B:C,2,FALSE)</f>
        <v>Other material</v>
      </c>
      <c r="G2563" s="362" t="s">
        <v>554</v>
      </c>
      <c r="H2563" s="847">
        <v>0.01</v>
      </c>
      <c r="I2563" s="848">
        <f>SUM(J2559:J2560)</f>
        <v>2355300</v>
      </c>
      <c r="J2563" s="853">
        <f>I2563*H2563%</f>
        <v>235.53</v>
      </c>
      <c r="N2563" s="843" t="e">
        <f>SUMIF(#REF!,'8.Dgia'!A2563,#REF!)+SUMIF(#REF!,'8.Dgia'!A2563,#REF!)+SUMIF(#REF!,'8.Dgia'!A2563,#REF!)+SUMIF(#REF!,'8.Dgia'!A2563,#REF!)</f>
        <v>#REF!</v>
      </c>
      <c r="O2563" s="844"/>
      <c r="P2563" s="843" t="e">
        <f t="shared" si="109"/>
        <v>#REF!</v>
      </c>
    </row>
    <row r="2564" spans="1:18" s="658" customFormat="1" ht="15" customHeight="1">
      <c r="A2564" s="657">
        <f>IF(B2564="",MAX($A$8:A2563)+0,MAX($A$8:A2563)+1)</f>
        <v>297</v>
      </c>
      <c r="B2564" s="835" t="str">
        <f>IF(C2564="","",COUNTA($C$10:C2565))</f>
        <v/>
      </c>
      <c r="C2564" s="362"/>
      <c r="D2564" s="845"/>
      <c r="E2564" s="852" t="s">
        <v>2037</v>
      </c>
      <c r="F2564" s="848" t="str">
        <f>VLOOKUP(E2564,DICH!B:C,2,FALSE)</f>
        <v xml:space="preserve">  B - Labour 3.5/7</v>
      </c>
      <c r="G2564" s="362" t="s">
        <v>4899</v>
      </c>
      <c r="H2564" s="847">
        <v>15.01</v>
      </c>
      <c r="I2564" s="848">
        <f>VLOOKUP(E2564,'16.NC'!$C$11:$F$22,4,FALSE)</f>
        <v>202862</v>
      </c>
      <c r="J2564" s="849">
        <f>I2564*H2564</f>
        <v>3044958.62</v>
      </c>
      <c r="K2564" s="850"/>
      <c r="L2564" s="850"/>
      <c r="M2564" s="850"/>
      <c r="N2564" s="843" t="e">
        <f>SUMIF(#REF!,'8.Dgia'!A2564,#REF!)+SUMIF(#REF!,'8.Dgia'!A2564,#REF!)+SUMIF(#REF!,'8.Dgia'!A2564,#REF!)+SUMIF(#REF!,'8.Dgia'!A2564,#REF!)</f>
        <v>#REF!</v>
      </c>
      <c r="O2564" s="844"/>
      <c r="P2564" s="843" t="e">
        <f t="shared" si="109"/>
        <v>#REF!</v>
      </c>
      <c r="R2564" s="658">
        <v>1</v>
      </c>
    </row>
    <row r="2565" spans="1:18" ht="15" customHeight="1">
      <c r="A2565" s="657">
        <f>IF(B2565="",MAX($A$8:A2564)+0,MAX($A$8:A2564)+1)</f>
        <v>298</v>
      </c>
      <c r="B2565" s="835">
        <f>IF(C2565="","",COUNTA($C$10:C2566))</f>
        <v>298</v>
      </c>
      <c r="C2565" s="835">
        <f>IF(D2565="","",1776)</f>
        <v>1776</v>
      </c>
      <c r="D2565" s="851" t="s">
        <v>186</v>
      </c>
      <c r="E2565" s="855" t="s">
        <v>185</v>
      </c>
      <c r="F2565" s="1049" t="str">
        <f>VLOOKUP(E2565,DICH!B:C,2,FALSE)</f>
        <v>Installing ulltrasonic pipe D114</v>
      </c>
      <c r="G2565" s="856" t="s">
        <v>546</v>
      </c>
      <c r="H2565" s="847"/>
      <c r="I2565" s="848"/>
      <c r="J2565" s="853"/>
      <c r="K2565" s="842">
        <f>+J2566</f>
        <v>8358473.25</v>
      </c>
      <c r="L2565" s="842">
        <f>+J2572</f>
        <v>4748999.42</v>
      </c>
      <c r="N2565" s="843" t="e">
        <f>SUMIF(#REF!,'8.Dgia'!A2565,#REF!)+SUMIF(#REF!,'8.Dgia'!A2565,#REF!)+SUMIF(#REF!,'8.Dgia'!A2565,#REF!)+SUMIF(#REF!,'8.Dgia'!A2565,#REF!)</f>
        <v>#REF!</v>
      </c>
      <c r="O2565" s="844"/>
      <c r="P2565" s="843" t="e">
        <f t="shared" si="109"/>
        <v>#REF!</v>
      </c>
    </row>
    <row r="2566" spans="1:18" s="658" customFormat="1" ht="15" customHeight="1">
      <c r="A2566" s="657">
        <f>IF(B2566="",MAX($A$8:A2565)+0,MAX($A$8:A2565)+1)</f>
        <v>298</v>
      </c>
      <c r="B2566" s="835" t="str">
        <f>IF(C2566="","",COUNTA($C$10:C2567))</f>
        <v/>
      </c>
      <c r="C2566" s="362"/>
      <c r="D2566" s="845"/>
      <c r="E2566" s="852" t="s">
        <v>2032</v>
      </c>
      <c r="F2566" s="848" t="str">
        <f>VLOOKUP(E2566,DICH!B:C,2,FALSE)</f>
        <v xml:space="preserve">  A - Material</v>
      </c>
      <c r="G2566" s="846"/>
      <c r="H2566" s="847"/>
      <c r="I2566" s="848"/>
      <c r="J2566" s="849">
        <f>SUM(J2567:J2571)</f>
        <v>8358473.25</v>
      </c>
      <c r="K2566" s="850"/>
      <c r="L2566" s="850"/>
      <c r="M2566" s="850"/>
      <c r="N2566" s="843" t="e">
        <f>SUMIF(#REF!,'8.Dgia'!A2566,#REF!)+SUMIF(#REF!,'8.Dgia'!A2566,#REF!)+SUMIF(#REF!,'8.Dgia'!A2566,#REF!)+SUMIF(#REF!,'8.Dgia'!A2566,#REF!)</f>
        <v>#REF!</v>
      </c>
      <c r="O2566" s="844"/>
      <c r="P2566" s="843" t="e">
        <f t="shared" si="109"/>
        <v>#REF!</v>
      </c>
    </row>
    <row r="2567" spans="1:18" ht="15" customHeight="1">
      <c r="A2567" s="657">
        <f>IF(B2567="",MAX($A$8:A2566)+0,MAX($A$8:A2566)+1)</f>
        <v>298</v>
      </c>
      <c r="B2567" s="835" t="str">
        <f>IF(C2567="","",COUNTA($C$10:C2568))</f>
        <v/>
      </c>
      <c r="C2567" s="362"/>
      <c r="D2567" s="851"/>
      <c r="E2567" s="852" t="s">
        <v>2021</v>
      </c>
      <c r="F2567" s="848" t="str">
        <f>VLOOKUP(E2567,DICH!B:C,2,FALSE)</f>
        <v>Pipe PVC D114</v>
      </c>
      <c r="G2567" s="362" t="s">
        <v>543</v>
      </c>
      <c r="H2567" s="847">
        <f>100.5</f>
        <v>100.5</v>
      </c>
      <c r="I2567" s="848">
        <f>VLOOKUP(E2567,'11.gia '!$B:$I,8,FALSE)</f>
        <v>81000</v>
      </c>
      <c r="J2567" s="853">
        <f>I2567*H2567</f>
        <v>8140500</v>
      </c>
      <c r="N2567" s="843" t="e">
        <f>SUMIF(#REF!,'8.Dgia'!A2567,#REF!)+SUMIF(#REF!,'8.Dgia'!A2567,#REF!)+SUMIF(#REF!,'8.Dgia'!A2567,#REF!)+SUMIF(#REF!,'8.Dgia'!A2567,#REF!)</f>
        <v>#REF!</v>
      </c>
      <c r="O2567" s="844"/>
      <c r="P2567" s="843" t="e">
        <f t="shared" si="109"/>
        <v>#REF!</v>
      </c>
    </row>
    <row r="2568" spans="1:18" ht="15" customHeight="1">
      <c r="A2568" s="657">
        <f>IF(B2568="",MAX($A$8:A2567)+0,MAX($A$8:A2567)+1)</f>
        <v>298</v>
      </c>
      <c r="B2568" s="835" t="str">
        <f>IF(C2568="","",COUNTA($C$10:C2569))</f>
        <v/>
      </c>
      <c r="C2568" s="362"/>
      <c r="D2568" s="851"/>
      <c r="E2568" s="852" t="s">
        <v>632</v>
      </c>
      <c r="F2568" s="848" t="str">
        <f>VLOOKUP(E2568,DICH!B:C,2,FALSE)</f>
        <v>Stell pipe nipple D114</v>
      </c>
      <c r="G2568" s="362" t="s">
        <v>4649</v>
      </c>
      <c r="H2568" s="847">
        <v>12</v>
      </c>
      <c r="I2568" s="848">
        <f>VLOOKUP(E2568,'11.gia '!$B:$I,8,FALSE)</f>
        <v>16000</v>
      </c>
      <c r="J2568" s="853">
        <f>I2568*H2568</f>
        <v>192000</v>
      </c>
      <c r="N2568" s="843" t="e">
        <f>SUMIF(#REF!,'8.Dgia'!A2568,#REF!)+SUMIF(#REF!,'8.Dgia'!A2568,#REF!)+SUMIF(#REF!,'8.Dgia'!A2568,#REF!)+SUMIF(#REF!,'8.Dgia'!A2568,#REF!)</f>
        <v>#REF!</v>
      </c>
      <c r="O2568" s="844"/>
      <c r="P2568" s="843" t="e">
        <f t="shared" si="109"/>
        <v>#REF!</v>
      </c>
    </row>
    <row r="2569" spans="1:18" ht="15" customHeight="1">
      <c r="A2569" s="657">
        <f>IF(B2569="",MAX($A$8:A2568)+0,MAX($A$8:A2568)+1)</f>
        <v>298</v>
      </c>
      <c r="B2569" s="835" t="str">
        <f>IF(C2569="","",COUNTA($C$10:C2570))</f>
        <v/>
      </c>
      <c r="C2569" s="362"/>
      <c r="D2569" s="851"/>
      <c r="E2569" s="852" t="s">
        <v>476</v>
      </c>
      <c r="F2569" s="848" t="str">
        <f>VLOOKUP(E2569,DICH!B:C,2,FALSE)</f>
        <v>Alcohol for washing</v>
      </c>
      <c r="G2569" s="362" t="s">
        <v>558</v>
      </c>
      <c r="H2569" s="847">
        <v>0.13200000000000001</v>
      </c>
      <c r="I2569" s="848">
        <f>VLOOKUP(E2569,'11.gia '!$B:$I,8,FALSE)</f>
        <v>7000</v>
      </c>
      <c r="J2569" s="853">
        <f>I2569*H2569</f>
        <v>924</v>
      </c>
      <c r="N2569" s="843" t="e">
        <f>SUMIF(#REF!,'8.Dgia'!A2569,#REF!)+SUMIF(#REF!,'8.Dgia'!A2569,#REF!)+SUMIF(#REF!,'8.Dgia'!A2569,#REF!)+SUMIF(#REF!,'8.Dgia'!A2569,#REF!)</f>
        <v>#REF!</v>
      </c>
      <c r="O2569" s="844"/>
      <c r="P2569" s="843" t="e">
        <f t="shared" si="109"/>
        <v>#REF!</v>
      </c>
    </row>
    <row r="2570" spans="1:18" ht="15" customHeight="1">
      <c r="A2570" s="657">
        <f>IF(B2570="",MAX($A$8:A2569)+0,MAX($A$8:A2569)+1)</f>
        <v>298</v>
      </c>
      <c r="B2570" s="835" t="str">
        <f>IF(C2570="","",COUNTA($C$10:C2571))</f>
        <v/>
      </c>
      <c r="C2570" s="362"/>
      <c r="D2570" s="851"/>
      <c r="E2570" s="852" t="s">
        <v>360</v>
      </c>
      <c r="F2570" s="848" t="str">
        <f>VLOOKUP(E2570,DICH!B:C,2,FALSE)</f>
        <v>glue</v>
      </c>
      <c r="G2570" s="362" t="s">
        <v>558</v>
      </c>
      <c r="H2570" s="847">
        <v>0.24</v>
      </c>
      <c r="I2570" s="848">
        <f>VLOOKUP(E2570,'11.gia '!$B:$I,8,FALSE)</f>
        <v>100900</v>
      </c>
      <c r="J2570" s="853">
        <f>I2570*H2570</f>
        <v>24216</v>
      </c>
      <c r="N2570" s="843" t="e">
        <f>SUMIF(#REF!,'8.Dgia'!A2570,#REF!)+SUMIF(#REF!,'8.Dgia'!A2570,#REF!)+SUMIF(#REF!,'8.Dgia'!A2570,#REF!)+SUMIF(#REF!,'8.Dgia'!A2570,#REF!)</f>
        <v>#REF!</v>
      </c>
      <c r="O2570" s="844"/>
      <c r="P2570" s="843" t="e">
        <f t="shared" si="109"/>
        <v>#REF!</v>
      </c>
    </row>
    <row r="2571" spans="1:18" ht="15" customHeight="1">
      <c r="A2571" s="657">
        <f>IF(B2571="",MAX($A$8:A2570)+0,MAX($A$8:A2570)+1)</f>
        <v>298</v>
      </c>
      <c r="B2571" s="835" t="str">
        <f>IF(C2571="","",COUNTA($C$10:C2572))</f>
        <v/>
      </c>
      <c r="C2571" s="362"/>
      <c r="D2571" s="851"/>
      <c r="E2571" s="852" t="s">
        <v>555</v>
      </c>
      <c r="F2571" s="848" t="str">
        <f>VLOOKUP(E2571,DICH!B:C,2,FALSE)</f>
        <v>Other material</v>
      </c>
      <c r="G2571" s="362" t="s">
        <v>554</v>
      </c>
      <c r="H2571" s="847">
        <v>0.01</v>
      </c>
      <c r="I2571" s="848">
        <f>SUM(J2567:J2568)</f>
        <v>8332500</v>
      </c>
      <c r="J2571" s="853">
        <f>I2571*H2571%</f>
        <v>833.25</v>
      </c>
      <c r="N2571" s="843" t="e">
        <f>SUMIF(#REF!,'8.Dgia'!A2571,#REF!)+SUMIF(#REF!,'8.Dgia'!A2571,#REF!)+SUMIF(#REF!,'8.Dgia'!A2571,#REF!)+SUMIF(#REF!,'8.Dgia'!A2571,#REF!)</f>
        <v>#REF!</v>
      </c>
      <c r="O2571" s="844"/>
      <c r="P2571" s="843" t="e">
        <f t="shared" si="109"/>
        <v>#REF!</v>
      </c>
    </row>
    <row r="2572" spans="1:18" s="658" customFormat="1" ht="15" customHeight="1">
      <c r="A2572" s="657">
        <f>IF(B2572="",MAX($A$8:A2571)+0,MAX($A$8:A2571)+1)</f>
        <v>298</v>
      </c>
      <c r="B2572" s="835" t="str">
        <f>IF(C2572="","",COUNTA($C$10:C2573))</f>
        <v/>
      </c>
      <c r="C2572" s="362"/>
      <c r="D2572" s="845"/>
      <c r="E2572" s="852" t="s">
        <v>2037</v>
      </c>
      <c r="F2572" s="848" t="str">
        <f>VLOOKUP(E2572,DICH!B:C,2,FALSE)</f>
        <v xml:space="preserve">  B - Labour 3.5/7</v>
      </c>
      <c r="G2572" s="362" t="s">
        <v>4899</v>
      </c>
      <c r="H2572" s="847">
        <v>23.41</v>
      </c>
      <c r="I2572" s="848">
        <f>VLOOKUP(E2572,'16.NC'!$C$11:$F$22,4,FALSE)</f>
        <v>202862</v>
      </c>
      <c r="J2572" s="849">
        <f>I2572*H2572</f>
        <v>4748999.42</v>
      </c>
      <c r="K2572" s="850"/>
      <c r="L2572" s="850"/>
      <c r="M2572" s="850"/>
      <c r="N2572" s="843" t="e">
        <f>SUMIF(#REF!,'8.Dgia'!A2572,#REF!)+SUMIF(#REF!,'8.Dgia'!A2572,#REF!)+SUMIF(#REF!,'8.Dgia'!A2572,#REF!)+SUMIF(#REF!,'8.Dgia'!A2572,#REF!)</f>
        <v>#REF!</v>
      </c>
      <c r="O2572" s="844"/>
      <c r="P2572" s="843" t="e">
        <f t="shared" si="109"/>
        <v>#REF!</v>
      </c>
      <c r="R2572" s="658">
        <v>1</v>
      </c>
    </row>
    <row r="2573" spans="1:18" ht="15" customHeight="1">
      <c r="A2573" s="657">
        <f>IF(B2573="",MAX($A$8:A2572)+0,MAX($A$8:A2572)+1)</f>
        <v>299</v>
      </c>
      <c r="B2573" s="835">
        <f>IF(C2573="","",COUNTA($C$10:C2574))</f>
        <v>299</v>
      </c>
      <c r="C2573" s="835">
        <f>IF(D2573="","",1776)</f>
        <v>1776</v>
      </c>
      <c r="D2573" s="851" t="s">
        <v>691</v>
      </c>
      <c r="E2573" s="855" t="s">
        <v>4044</v>
      </c>
      <c r="F2573" s="1049" t="str">
        <f>VLOOKUP(E2573,DICH!B:C,2,FALSE)</f>
        <v>Concrete C20 (stone 1x2)</v>
      </c>
      <c r="G2573" s="856" t="s">
        <v>545</v>
      </c>
      <c r="H2573" s="847"/>
      <c r="I2573" s="848"/>
      <c r="J2573" s="853"/>
      <c r="K2573" s="842">
        <f>+J2574</f>
        <v>902132.22389552847</v>
      </c>
      <c r="L2573" s="842">
        <f>+J2577</f>
        <v>480068.29</v>
      </c>
      <c r="M2573" s="842">
        <f>+J2578</f>
        <v>17142.550500000001</v>
      </c>
      <c r="N2573" s="843" t="e">
        <f>SUMIF(#REF!,'8.Dgia'!A2573,#REF!)+SUMIF(#REF!,'8.Dgia'!A2573,#REF!)+SUMIF(#REF!,'8.Dgia'!A2573,#REF!)+SUMIF(#REF!,'8.Dgia'!A2573,#REF!)</f>
        <v>#REF!</v>
      </c>
      <c r="O2573" s="844"/>
      <c r="P2573" s="843" t="e">
        <f t="shared" si="109"/>
        <v>#REF!</v>
      </c>
    </row>
    <row r="2574" spans="1:18" ht="15" customHeight="1">
      <c r="A2574" s="657">
        <f>IF(B2574="",MAX($A$8:A2573)+0,MAX($A$8:A2573)+1)</f>
        <v>299</v>
      </c>
      <c r="B2574" s="835" t="str">
        <f>IF(C2574="","",COUNTA($C$10:C2575))</f>
        <v/>
      </c>
      <c r="C2574" s="362"/>
      <c r="D2574" s="362"/>
      <c r="E2574" s="852" t="s">
        <v>2032</v>
      </c>
      <c r="F2574" s="848" t="str">
        <f>VLOOKUP(E2574,DICH!B:C,2,FALSE)</f>
        <v xml:space="preserve">  A - Material</v>
      </c>
      <c r="G2574" s="362"/>
      <c r="H2574" s="847"/>
      <c r="I2574" s="848"/>
      <c r="J2574" s="849">
        <f>SUM(J2575:J2576)</f>
        <v>902132.22389552847</v>
      </c>
      <c r="N2574" s="843" t="e">
        <f>SUMIF(#REF!,'8.Dgia'!A2574,#REF!)+SUMIF(#REF!,'8.Dgia'!A2574,#REF!)+SUMIF(#REF!,'8.Dgia'!A2574,#REF!)+SUMIF(#REF!,'8.Dgia'!A2574,#REF!)</f>
        <v>#REF!</v>
      </c>
      <c r="O2574" s="844"/>
      <c r="P2574" s="843" t="e">
        <f t="shared" si="109"/>
        <v>#REF!</v>
      </c>
    </row>
    <row r="2575" spans="1:18" ht="15" customHeight="1">
      <c r="A2575" s="657">
        <f>IF(B2575="",MAX($A$8:A2574)+0,MAX($A$8:A2574)+1)</f>
        <v>299</v>
      </c>
      <c r="B2575" s="835" t="str">
        <f>IF(C2575="","",COUNTA($C$10:C2576))</f>
        <v/>
      </c>
      <c r="C2575" s="851"/>
      <c r="D2575" s="851" t="str">
        <f>+'10.PLV'!$C$17</f>
        <v>C3124</v>
      </c>
      <c r="E2575" s="852" t="str">
        <f>+'10.PLV'!$D$17</f>
        <v>Vữa bê tông đá 1x2 C20 SN 2-4</v>
      </c>
      <c r="F2575" s="848" t="str">
        <f>VLOOKUP(E2575,DICH!B:C,2,FALSE)</f>
        <v>Concrete motar C20 stone 1x2 slump 2-4</v>
      </c>
      <c r="G2575" s="847" t="s">
        <v>545</v>
      </c>
      <c r="H2575" s="847">
        <v>1.0149999999999999</v>
      </c>
      <c r="I2575" s="848">
        <f>VLOOKUP(E2575,'11.gia '!B:I,8,FALSE)</f>
        <v>884378.32894201751</v>
      </c>
      <c r="J2575" s="853">
        <f>I2575*H2575</f>
        <v>897644.00387614768</v>
      </c>
      <c r="N2575" s="843" t="e">
        <f>SUMIF(#REF!,'8.Dgia'!A2575,#REF!)+SUMIF(#REF!,'8.Dgia'!A2575,#REF!)+SUMIF(#REF!,'8.Dgia'!A2575,#REF!)+SUMIF(#REF!,'8.Dgia'!A2575,#REF!)</f>
        <v>#REF!</v>
      </c>
      <c r="O2575" s="844">
        <f>+$H$2576</f>
        <v>0.5</v>
      </c>
      <c r="P2575" s="843" t="e">
        <f t="shared" si="109"/>
        <v>#REF!</v>
      </c>
    </row>
    <row r="2576" spans="1:18" ht="15" customHeight="1">
      <c r="A2576" s="657">
        <f>IF(B2576="",MAX($A$8:A2575)+0,MAX($A$8:A2575)+1)</f>
        <v>299</v>
      </c>
      <c r="B2576" s="835" t="str">
        <f>IF(C2576="","",COUNTA($C$10:C2577))</f>
        <v/>
      </c>
      <c r="C2576" s="362"/>
      <c r="D2576" s="362"/>
      <c r="E2576" s="852" t="s">
        <v>555</v>
      </c>
      <c r="F2576" s="848" t="str">
        <f>VLOOKUP(E2576,DICH!B:C,2,FALSE)</f>
        <v>Other material</v>
      </c>
      <c r="G2576" s="362" t="s">
        <v>554</v>
      </c>
      <c r="H2576" s="847">
        <v>0.5</v>
      </c>
      <c r="I2576" s="848">
        <f>+J2575</f>
        <v>897644.00387614768</v>
      </c>
      <c r="J2576" s="853">
        <f>I2576*H2576%</f>
        <v>4488.2200193807384</v>
      </c>
      <c r="N2576" s="843" t="e">
        <f>SUMIF(#REF!,'8.Dgia'!A2576,#REF!)+SUMIF(#REF!,'8.Dgia'!A2576,#REF!)+SUMIF(#REF!,'8.Dgia'!A2576,#REF!)+SUMIF(#REF!,'8.Dgia'!A2576,#REF!)</f>
        <v>#REF!</v>
      </c>
      <c r="O2576" s="844"/>
      <c r="P2576" s="843" t="e">
        <f t="shared" si="109"/>
        <v>#REF!</v>
      </c>
    </row>
    <row r="2577" spans="1:18" ht="15" customHeight="1">
      <c r="A2577" s="657">
        <f>IF(B2577="",MAX($A$8:A2576)+0,MAX($A$8:A2576)+1)</f>
        <v>299</v>
      </c>
      <c r="B2577" s="835" t="str">
        <f>IF(C2577="","",COUNTA($C$10:C2578))</f>
        <v/>
      </c>
      <c r="C2577" s="362"/>
      <c r="D2577" s="362"/>
      <c r="E2577" s="852" t="s">
        <v>2038</v>
      </c>
      <c r="F2577" s="848" t="str">
        <f>VLOOKUP(E2577,DICH!B:C,2,FALSE)</f>
        <v xml:space="preserve">  B - Labour 3.0/7</v>
      </c>
      <c r="G2577" s="883" t="s">
        <v>4899</v>
      </c>
      <c r="H2577" s="847">
        <v>2.57</v>
      </c>
      <c r="I2577" s="848">
        <f>VLOOKUP(E2577,'16.NC'!$C$11:$F$22,4,FALSE)</f>
        <v>186797</v>
      </c>
      <c r="J2577" s="849">
        <f>I2577*H2577</f>
        <v>480068.29</v>
      </c>
      <c r="N2577" s="843" t="e">
        <f>SUMIF(#REF!,'8.Dgia'!A2577,#REF!)+SUMIF(#REF!,'8.Dgia'!A2577,#REF!)+SUMIF(#REF!,'8.Dgia'!A2577,#REF!)+SUMIF(#REF!,'8.Dgia'!A2577,#REF!)</f>
        <v>#REF!</v>
      </c>
      <c r="O2577" s="844"/>
      <c r="P2577" s="843" t="e">
        <f t="shared" ref="P2577:P2645" si="112">$H2577*N2577*(1+O2577%)</f>
        <v>#REF!</v>
      </c>
      <c r="R2577" s="658">
        <v>1</v>
      </c>
    </row>
    <row r="2578" spans="1:18" ht="15" customHeight="1">
      <c r="A2578" s="657">
        <f>IF(B2578="",MAX($A$8:A2577)+0,MAX($A$8:A2577)+1)</f>
        <v>299</v>
      </c>
      <c r="B2578" s="835" t="str">
        <f>IF(C2578="","",COUNTA($C$10:C2579))</f>
        <v/>
      </c>
      <c r="C2578" s="362"/>
      <c r="D2578" s="362"/>
      <c r="E2578" s="852" t="s">
        <v>2033</v>
      </c>
      <c r="F2578" s="848" t="str">
        <f>VLOOKUP(E2578,DICH!B:C,2,FALSE)</f>
        <v xml:space="preserve">  C - Machine</v>
      </c>
      <c r="G2578" s="883"/>
      <c r="H2578" s="847"/>
      <c r="I2578" s="848"/>
      <c r="J2578" s="849">
        <f>+J2579</f>
        <v>17142.550500000001</v>
      </c>
      <c r="N2578" s="843" t="e">
        <f>SUMIF(#REF!,'8.Dgia'!A2578,#REF!)+SUMIF(#REF!,'8.Dgia'!A2578,#REF!)+SUMIF(#REF!,'8.Dgia'!A2578,#REF!)+SUMIF(#REF!,'8.Dgia'!A2578,#REF!)</f>
        <v>#REF!</v>
      </c>
      <c r="O2578" s="844"/>
      <c r="P2578" s="843" t="e">
        <f t="shared" si="112"/>
        <v>#REF!</v>
      </c>
    </row>
    <row r="2579" spans="1:18" ht="15" customHeight="1">
      <c r="A2579" s="657">
        <f>IF(B2579="",MAX($A$8:A2578)+0,MAX($A$8:A2578)+1)</f>
        <v>299</v>
      </c>
      <c r="B2579" s="835" t="str">
        <f>IF(C2579="","",COUNTA($C$10:C2580))</f>
        <v/>
      </c>
      <c r="C2579" s="362"/>
      <c r="D2579" s="851"/>
      <c r="E2579" s="852" t="s">
        <v>73</v>
      </c>
      <c r="F2579" s="848" t="str">
        <f>VLOOKUP(E2579,'9.may'!E:F,2,FALSE)</f>
        <v>concrete mixer 250L</v>
      </c>
      <c r="G2579" s="362" t="s">
        <v>4902</v>
      </c>
      <c r="H2579" s="847">
        <v>9.5000000000000001E-2</v>
      </c>
      <c r="I2579" s="848">
        <f>VLOOKUP(E2579,'9.may'!E:W,12,FALSE)</f>
        <v>180447.90000000002</v>
      </c>
      <c r="J2579" s="853">
        <f>I2579*H2579</f>
        <v>17142.550500000001</v>
      </c>
      <c r="N2579" s="843" t="e">
        <f>SUMIF(#REF!,'8.Dgia'!A2579,#REF!)+SUMIF(#REF!,'8.Dgia'!A2579,#REF!)+SUMIF(#REF!,'8.Dgia'!A2579,#REF!)+SUMIF(#REF!,'8.Dgia'!A2579,#REF!)</f>
        <v>#REF!</v>
      </c>
      <c r="O2579" s="844"/>
      <c r="P2579" s="843" t="e">
        <f t="shared" si="112"/>
        <v>#REF!</v>
      </c>
    </row>
    <row r="2580" spans="1:18" ht="15" customHeight="1">
      <c r="A2580" s="657">
        <f>IF(B2580="",MAX($A$8:A2579)+0,MAX($A$8:A2579)+1)</f>
        <v>300</v>
      </c>
      <c r="B2580" s="835">
        <f>IF(C2580="","",COUNTA($C$10:C2581))</f>
        <v>300</v>
      </c>
      <c r="C2580" s="835">
        <f>IF(D2580="","",1776)</f>
        <v>1776</v>
      </c>
      <c r="D2580" s="851" t="s">
        <v>188</v>
      </c>
      <c r="E2580" s="855" t="s">
        <v>189</v>
      </c>
      <c r="F2580" s="1049" t="str">
        <f>VLOOKUP(E2580,DICH!B:C,2,FALSE)</f>
        <v>Motar C10</v>
      </c>
      <c r="G2580" s="856" t="s">
        <v>545</v>
      </c>
      <c r="H2580" s="847"/>
      <c r="I2580" s="848"/>
      <c r="J2580" s="857"/>
      <c r="K2580" s="842">
        <f>+J2581</f>
        <v>699012.00804521237</v>
      </c>
      <c r="L2580" s="842">
        <f>+J2583</f>
        <v>773542.06666666677</v>
      </c>
      <c r="M2580" s="842">
        <f>+J2584</f>
        <v>11355.0656</v>
      </c>
      <c r="N2580" s="843" t="e">
        <f>SUMIF(#REF!,'8.Dgia'!A2580,#REF!)+SUMIF(#REF!,'8.Dgia'!A2580,#REF!)+SUMIF(#REF!,'8.Dgia'!A2580,#REF!)+SUMIF(#REF!,'8.Dgia'!A2580,#REF!)</f>
        <v>#REF!</v>
      </c>
      <c r="O2580" s="844"/>
      <c r="P2580" s="843" t="e">
        <f t="shared" si="112"/>
        <v>#REF!</v>
      </c>
    </row>
    <row r="2581" spans="1:18" s="658" customFormat="1" ht="15" customHeight="1">
      <c r="A2581" s="657">
        <f>IF(B2581="",MAX($A$8:A2580)+0,MAX($A$8:A2580)+1)</f>
        <v>300</v>
      </c>
      <c r="B2581" s="835" t="str">
        <f>IF(C2581="","",COUNTA($C$10:C2582))</f>
        <v/>
      </c>
      <c r="C2581" s="361"/>
      <c r="D2581" s="361" t="s">
        <v>190</v>
      </c>
      <c r="E2581" s="852" t="s">
        <v>2032</v>
      </c>
      <c r="F2581" s="848" t="str">
        <f>VLOOKUP(E2581,DICH!B:C,2,FALSE)</f>
        <v xml:space="preserve">  A - Material</v>
      </c>
      <c r="G2581" s="846"/>
      <c r="H2581" s="847"/>
      <c r="I2581" s="848"/>
      <c r="J2581" s="849">
        <f>SUM(J2582:J2582)</f>
        <v>699012.00804521237</v>
      </c>
      <c r="K2581" s="850"/>
      <c r="L2581" s="850"/>
      <c r="M2581" s="850"/>
      <c r="N2581" s="843" t="e">
        <f>SUMIF(#REF!,'8.Dgia'!A2581,#REF!)+SUMIF(#REF!,'8.Dgia'!A2581,#REF!)+SUMIF(#REF!,'8.Dgia'!A2581,#REF!)+SUMIF(#REF!,'8.Dgia'!A2581,#REF!)</f>
        <v>#REF!</v>
      </c>
      <c r="O2581" s="844"/>
      <c r="P2581" s="843" t="e">
        <f t="shared" si="112"/>
        <v>#REF!</v>
      </c>
    </row>
    <row r="2582" spans="1:18" ht="15" customHeight="1">
      <c r="A2582" s="657">
        <f>IF(B2582="",MAX($A$8:A2581)+0,MAX($A$8:A2581)+1)</f>
        <v>300</v>
      </c>
      <c r="B2582" s="835" t="str">
        <f>IF(C2582="","",COUNTA($C$10:C2583))</f>
        <v/>
      </c>
      <c r="C2582" s="851"/>
      <c r="D2582" s="851" t="str">
        <f>'10.PLV'!$C$115</f>
        <v>B2215</v>
      </c>
      <c r="E2582" s="852" t="str">
        <f>'10.PLV'!$D$115</f>
        <v>Vữa xi măng C10</v>
      </c>
      <c r="F2582" s="848" t="str">
        <f>VLOOKUP(E2582,DICH!B:C,2,FALSE)</f>
        <v>Cement motar C10</v>
      </c>
      <c r="G2582" s="362" t="s">
        <v>545</v>
      </c>
      <c r="H2582" s="859">
        <f>0.035/3*100</f>
        <v>1.1666666666666667</v>
      </c>
      <c r="I2582" s="848">
        <f>VLOOKUP(E2582,'11.gia '!B:I,8,FALSE)</f>
        <v>599153.14975303912</v>
      </c>
      <c r="J2582" s="853">
        <f>I2582*H2582</f>
        <v>699012.00804521237</v>
      </c>
      <c r="N2582" s="843" t="e">
        <f>SUMIF(#REF!,'8.Dgia'!A2582,#REF!)+SUMIF(#REF!,'8.Dgia'!A2582,#REF!)+SUMIF(#REF!,'8.Dgia'!A2582,#REF!)+SUMIF(#REF!,'8.Dgia'!A2582,#REF!)</f>
        <v>#REF!</v>
      </c>
      <c r="O2582" s="844"/>
      <c r="P2582" s="843" t="e">
        <f t="shared" si="112"/>
        <v>#REF!</v>
      </c>
    </row>
    <row r="2583" spans="1:18" s="658" customFormat="1" ht="15" customHeight="1">
      <c r="A2583" s="657">
        <f>IF(B2583="",MAX($A$8:A2582)+0,MAX($A$8:A2582)+1)</f>
        <v>300</v>
      </c>
      <c r="B2583" s="835" t="str">
        <f>IF(C2583="","",COUNTA($C$10:C2584))</f>
        <v/>
      </c>
      <c r="C2583" s="860"/>
      <c r="D2583" s="851"/>
      <c r="E2583" s="661" t="s">
        <v>2039</v>
      </c>
      <c r="F2583" s="848" t="str">
        <f>VLOOKUP(E2583,DICH!B:C,2,FALSE)</f>
        <v xml:space="preserve">  B - Labour 4.0/7</v>
      </c>
      <c r="G2583" s="362" t="s">
        <v>4899</v>
      </c>
      <c r="H2583" s="865">
        <f>0.106/3*100</f>
        <v>3.5333333333333337</v>
      </c>
      <c r="I2583" s="848">
        <f>VLOOKUP(E2583,'16.NC'!$C$11:$F$22,4,FALSE)</f>
        <v>218927</v>
      </c>
      <c r="J2583" s="849">
        <f>I2583*H2583</f>
        <v>773542.06666666677</v>
      </c>
      <c r="K2583" s="850">
        <f>I2583*1.062</f>
        <v>232500.47400000002</v>
      </c>
      <c r="L2583" s="850"/>
      <c r="M2583" s="850"/>
      <c r="N2583" s="843" t="e">
        <f>SUMIF(#REF!,'8.Dgia'!A2583,#REF!)+SUMIF(#REF!,'8.Dgia'!A2583,#REF!)+SUMIF(#REF!,'8.Dgia'!A2583,#REF!)+SUMIF(#REF!,'8.Dgia'!A2583,#REF!)</f>
        <v>#REF!</v>
      </c>
      <c r="O2583" s="844"/>
      <c r="P2583" s="843" t="e">
        <f t="shared" si="112"/>
        <v>#REF!</v>
      </c>
      <c r="R2583" s="658">
        <v>1</v>
      </c>
    </row>
    <row r="2584" spans="1:18" s="658" customFormat="1" ht="15" customHeight="1">
      <c r="A2584" s="657">
        <f>IF(B2584="",MAX($A$8:A2583)+0,MAX($A$8:A2583)+1)</f>
        <v>300</v>
      </c>
      <c r="B2584" s="835" t="str">
        <f>IF(C2584="","",COUNTA($C$10:C2585))</f>
        <v/>
      </c>
      <c r="C2584" s="860"/>
      <c r="D2584" s="851"/>
      <c r="E2584" s="852" t="s">
        <v>2033</v>
      </c>
      <c r="F2584" s="848" t="str">
        <f>VLOOKUP(E2584,DICH!B:C,2,FALSE)</f>
        <v xml:space="preserve">  C - Machine</v>
      </c>
      <c r="G2584" s="846"/>
      <c r="H2584" s="865"/>
      <c r="I2584" s="848"/>
      <c r="J2584" s="849">
        <f>J2585</f>
        <v>11355.0656</v>
      </c>
      <c r="K2584" s="850"/>
      <c r="L2584" s="850"/>
      <c r="M2584" s="850"/>
      <c r="N2584" s="843" t="e">
        <f>SUMIF(#REF!,'8.Dgia'!A2584,#REF!)+SUMIF(#REF!,'8.Dgia'!A2584,#REF!)+SUMIF(#REF!,'8.Dgia'!A2584,#REF!)+SUMIF(#REF!,'8.Dgia'!A2584,#REF!)</f>
        <v>#REF!</v>
      </c>
      <c r="O2584" s="844"/>
      <c r="P2584" s="843" t="e">
        <f t="shared" si="112"/>
        <v>#REF!</v>
      </c>
    </row>
    <row r="2585" spans="1:18" ht="15" customHeight="1">
      <c r="A2585" s="657">
        <f>IF(B2585="",MAX($A$8:A2584)+0,MAX($A$8:A2584)+1)</f>
        <v>300</v>
      </c>
      <c r="B2585" s="835" t="str">
        <f>IF(C2585="","",COUNTA($C$10:C2586))</f>
        <v/>
      </c>
      <c r="C2585" s="861"/>
      <c r="D2585" s="324"/>
      <c r="E2585" s="852" t="s">
        <v>576</v>
      </c>
      <c r="F2585" s="848" t="str">
        <f>VLOOKUP(E2585,'9.may'!E:F,2,FALSE)</f>
        <v>mortar mixer 80L</v>
      </c>
      <c r="G2585" s="362" t="s">
        <v>4902</v>
      </c>
      <c r="H2585" s="865">
        <f>0.004/3*100</f>
        <v>0.13333333333333333</v>
      </c>
      <c r="I2585" s="848">
        <f>VLOOKUP(E2585,'9.may'!E:W,12,FALSE)</f>
        <v>85162.991999999998</v>
      </c>
      <c r="J2585" s="853">
        <f>I2585*H2585</f>
        <v>11355.0656</v>
      </c>
      <c r="N2585" s="843" t="e">
        <f>SUMIF(#REF!,'8.Dgia'!A2585,#REF!)+SUMIF(#REF!,'8.Dgia'!A2585,#REF!)+SUMIF(#REF!,'8.Dgia'!A2585,#REF!)+SUMIF(#REF!,'8.Dgia'!A2585,#REF!)</f>
        <v>#REF!</v>
      </c>
      <c r="O2585" s="844"/>
      <c r="P2585" s="843" t="e">
        <f t="shared" si="112"/>
        <v>#REF!</v>
      </c>
    </row>
    <row r="2586" spans="1:18" ht="15" customHeight="1">
      <c r="A2586" s="657">
        <f>IF(B2586="",MAX($A$8:A2585)+0,MAX($A$8:A2585)+1)</f>
        <v>301</v>
      </c>
      <c r="B2586" s="835">
        <f>IF(C2586="","",COUNTA($C$10:C2587))</f>
        <v>301</v>
      </c>
      <c r="C2586" s="362">
        <v>0</v>
      </c>
      <c r="D2586" s="851" t="s">
        <v>306</v>
      </c>
      <c r="E2586" s="870" t="s">
        <v>2073</v>
      </c>
      <c r="F2586" s="848" t="str">
        <f>VLOOKUP(E2586,DICH!B:C,2,FALSE)</f>
        <v>Charging for de-settlement 1000 ton system</v>
      </c>
      <c r="G2586" s="856" t="s">
        <v>643</v>
      </c>
      <c r="H2586" s="847"/>
      <c r="I2586" s="848"/>
      <c r="J2586" s="853"/>
      <c r="L2586" s="842">
        <f>+J2588</f>
        <v>2801955</v>
      </c>
      <c r="M2586" s="842">
        <f>+J2589</f>
        <v>35253388.352727279</v>
      </c>
      <c r="N2586" s="843" t="e">
        <f>SUMIF(#REF!,'8.Dgia'!A2586,#REF!)+SUMIF(#REF!,'8.Dgia'!A2586,#REF!)+SUMIF(#REF!,'8.Dgia'!A2586,#REF!)+SUMIF(#REF!,'8.Dgia'!A2586,#REF!)</f>
        <v>#REF!</v>
      </c>
      <c r="O2586" s="844"/>
      <c r="P2586" s="843" t="e">
        <f t="shared" si="112"/>
        <v>#REF!</v>
      </c>
    </row>
    <row r="2587" spans="1:18" ht="30" customHeight="1">
      <c r="A2587" s="657">
        <f>IF(B2587="",MAX($A$8:A2586)+0,MAX($A$8:A2586)+1)</f>
        <v>301</v>
      </c>
      <c r="B2587" s="835" t="str">
        <f>IF(C2587="","",COUNTA($C$10:C2588))</f>
        <v/>
      </c>
      <c r="C2587" s="835"/>
      <c r="D2587" s="851"/>
      <c r="E2587" s="943" t="s">
        <v>3545</v>
      </c>
      <c r="F2587" s="848" t="str">
        <f>VLOOKUP(E2587,DICH!B:C,2,FALSE)</f>
        <v>Using 4 buoy 250 ton in 10 days</v>
      </c>
      <c r="G2587" s="856"/>
      <c r="H2587" s="847"/>
      <c r="I2587" s="848"/>
      <c r="J2587" s="853"/>
      <c r="N2587" s="843" t="e">
        <f>SUMIF(#REF!,'8.Dgia'!A2587,#REF!)+SUMIF(#REF!,'8.Dgia'!A2587,#REF!)+SUMIF(#REF!,'8.Dgia'!A2587,#REF!)+SUMIF(#REF!,'8.Dgia'!A2587,#REF!)</f>
        <v>#REF!</v>
      </c>
      <c r="O2587" s="844"/>
      <c r="P2587" s="843" t="e">
        <f t="shared" si="112"/>
        <v>#REF!</v>
      </c>
    </row>
    <row r="2588" spans="1:18" ht="22.5" customHeight="1">
      <c r="A2588" s="657">
        <f>IF(B2588="",MAX($A$8:A2587)+0,MAX($A$8:A2587)+1)</f>
        <v>301</v>
      </c>
      <c r="B2588" s="835" t="str">
        <f>IF(C2588="","",COUNTA($C$10:C2589))</f>
        <v/>
      </c>
      <c r="C2588" s="362"/>
      <c r="D2588" s="362" t="s">
        <v>657</v>
      </c>
      <c r="E2588" s="666" t="s">
        <v>2038</v>
      </c>
      <c r="F2588" s="848" t="str">
        <f>VLOOKUP(E2588,DICH!B:C,2,FALSE)</f>
        <v xml:space="preserve">  B - Labour 3.0/7</v>
      </c>
      <c r="G2588" s="883" t="s">
        <v>4899</v>
      </c>
      <c r="H2588" s="847">
        <v>15</v>
      </c>
      <c r="I2588" s="848">
        <f>VLOOKUP(E2588,'16.NC'!$C$11:$F$22,4,FALSE)</f>
        <v>186797</v>
      </c>
      <c r="J2588" s="849">
        <f>I2588*H2588</f>
        <v>2801955</v>
      </c>
      <c r="N2588" s="843" t="e">
        <f>SUMIF(#REF!,'8.Dgia'!A2588,#REF!)+SUMIF(#REF!,'8.Dgia'!A2588,#REF!)+SUMIF(#REF!,'8.Dgia'!A2588,#REF!)+SUMIF(#REF!,'8.Dgia'!A2588,#REF!)</f>
        <v>#REF!</v>
      </c>
      <c r="O2588" s="844"/>
      <c r="P2588" s="843" t="e">
        <f t="shared" si="112"/>
        <v>#REF!</v>
      </c>
      <c r="R2588" s="658">
        <v>1</v>
      </c>
    </row>
    <row r="2589" spans="1:18" ht="15" customHeight="1">
      <c r="A2589" s="657">
        <f>IF(B2589="",MAX($A$8:A2588)+0,MAX($A$8:A2588)+1)</f>
        <v>301</v>
      </c>
      <c r="B2589" s="835" t="str">
        <f>IF(C2589="","",COUNTA($C$10:C2590))</f>
        <v/>
      </c>
      <c r="C2589" s="362"/>
      <c r="D2589" s="362"/>
      <c r="E2589" s="852" t="s">
        <v>2033</v>
      </c>
      <c r="F2589" s="848" t="str">
        <f>VLOOKUP(E2589,DICH!B:C,2,FALSE)</f>
        <v xml:space="preserve">  C - Machine</v>
      </c>
      <c r="G2589" s="883"/>
      <c r="H2589" s="847"/>
      <c r="I2589" s="848"/>
      <c r="J2589" s="849">
        <f>SUM(J2590:J2593)</f>
        <v>35253388.352727279</v>
      </c>
      <c r="N2589" s="843" t="e">
        <f>SUMIF(#REF!,'8.Dgia'!A2589,#REF!)+SUMIF(#REF!,'8.Dgia'!A2589,#REF!)+SUMIF(#REF!,'8.Dgia'!A2589,#REF!)+SUMIF(#REF!,'8.Dgia'!A2589,#REF!)</f>
        <v>#REF!</v>
      </c>
      <c r="O2589" s="844"/>
      <c r="P2589" s="843" t="e">
        <f t="shared" si="112"/>
        <v>#REF!</v>
      </c>
    </row>
    <row r="2590" spans="1:18" ht="15" customHeight="1">
      <c r="A2590" s="657">
        <f>IF(B2590="",MAX($A$8:A2589)+0,MAX($A$8:A2589)+1)</f>
        <v>301</v>
      </c>
      <c r="B2590" s="835" t="str">
        <f>IF(C2590="","",COUNTA($C$10:C2591))</f>
        <v/>
      </c>
      <c r="C2590" s="362"/>
      <c r="D2590" s="362"/>
      <c r="E2590" s="852" t="s">
        <v>426</v>
      </c>
      <c r="F2590" s="848" t="str">
        <f>VLOOKUP(E2590,'9.may'!E:F,2,FALSE)</f>
        <v>Steel buoy 250T</v>
      </c>
      <c r="G2590" s="362" t="s">
        <v>4902</v>
      </c>
      <c r="H2590" s="847">
        <f>3*10*4</f>
        <v>120</v>
      </c>
      <c r="I2590" s="848">
        <f>VLOOKUP(E2590,'9.may'!E:W,12,FALSE)</f>
        <v>148624.77000000002</v>
      </c>
      <c r="J2590" s="853">
        <f>I2590*H2590</f>
        <v>17834972.400000002</v>
      </c>
      <c r="N2590" s="843" t="e">
        <f>SUMIF(#REF!,'8.Dgia'!A2590,#REF!)+SUMIF(#REF!,'8.Dgia'!A2590,#REF!)+SUMIF(#REF!,'8.Dgia'!A2590,#REF!)+SUMIF(#REF!,'8.Dgia'!A2590,#REF!)</f>
        <v>#REF!</v>
      </c>
      <c r="O2590" s="844"/>
      <c r="P2590" s="843"/>
    </row>
    <row r="2591" spans="1:18" ht="15" customHeight="1">
      <c r="A2591" s="657">
        <f>IF(B2591="",MAX($A$8:A2590)+0,MAX($A$8:A2590)+1)</f>
        <v>301</v>
      </c>
      <c r="B2591" s="835" t="str">
        <f>IF(C2591="","",COUNTA($C$10:C2592))</f>
        <v/>
      </c>
      <c r="C2591" s="362"/>
      <c r="D2591" s="362"/>
      <c r="E2591" s="852" t="s">
        <v>3488</v>
      </c>
      <c r="F2591" s="848" t="str">
        <f>VLOOKUP(E2591,DICH!B:C,2,FALSE)</f>
        <v>(3 shift/day x 10days x 4 buoy)</v>
      </c>
      <c r="G2591" s="362"/>
      <c r="H2591" s="847"/>
      <c r="I2591" s="848"/>
      <c r="J2591" s="849"/>
      <c r="N2591" s="843" t="e">
        <f>SUMIF(#REF!,'8.Dgia'!A2591,#REF!)+SUMIF(#REF!,'8.Dgia'!A2591,#REF!)+SUMIF(#REF!,'8.Dgia'!A2591,#REF!)+SUMIF(#REF!,'8.Dgia'!A2591,#REF!)</f>
        <v>#REF!</v>
      </c>
      <c r="O2591" s="844"/>
      <c r="P2591" s="843"/>
    </row>
    <row r="2592" spans="1:18" ht="15" customHeight="1">
      <c r="A2592" s="657">
        <f>IF(B2592="",MAX($A$8:A2591)+0,MAX($A$8:A2591)+1)</f>
        <v>301</v>
      </c>
      <c r="B2592" s="835" t="str">
        <f>IF(C2592="","",COUNTA($C$10:C2593))</f>
        <v/>
      </c>
      <c r="C2592" s="851"/>
      <c r="D2592" s="944"/>
      <c r="E2592" s="852" t="s">
        <v>1286</v>
      </c>
      <c r="F2592" s="848" t="str">
        <f>VLOOKUP(E2592,'9.may'!E:F,2,FALSE)</f>
        <v>water pump 100CV</v>
      </c>
      <c r="G2592" s="362" t="s">
        <v>4902</v>
      </c>
      <c r="H2592" s="847">
        <v>4</v>
      </c>
      <c r="I2592" s="848">
        <f>VLOOKUP(E2592,'9.may'!E:W,12,FALSE)</f>
        <v>1566607.3145454545</v>
      </c>
      <c r="J2592" s="853">
        <f>I2592*H2592</f>
        <v>6266429.2581818178</v>
      </c>
      <c r="N2592" s="843" t="e">
        <f>SUMIF(#REF!,'8.Dgia'!A2592,#REF!)+SUMIF(#REF!,'8.Dgia'!A2592,#REF!)+SUMIF(#REF!,'8.Dgia'!A2592,#REF!)+SUMIF(#REF!,'8.Dgia'!A2592,#REF!)</f>
        <v>#REF!</v>
      </c>
      <c r="O2592" s="844"/>
      <c r="P2592" s="843" t="e">
        <f t="shared" si="112"/>
        <v>#REF!</v>
      </c>
    </row>
    <row r="2593" spans="1:18" ht="15" customHeight="1">
      <c r="A2593" s="657">
        <f>IF(B2593="",MAX($A$8:A2592)+0,MAX($A$8:A2592)+1)</f>
        <v>301</v>
      </c>
      <c r="B2593" s="835" t="str">
        <f>IF(C2593="","",COUNTA($C$10:C2594))</f>
        <v/>
      </c>
      <c r="C2593" s="851"/>
      <c r="D2593" s="944" t="s">
        <v>94</v>
      </c>
      <c r="E2593" s="852" t="s">
        <v>288</v>
      </c>
      <c r="F2593" s="848" t="str">
        <f>VLOOKUP(E2593,'9.may'!E:F,2,FALSE)</f>
        <v>caterpillar crane 25T</v>
      </c>
      <c r="G2593" s="362" t="s">
        <v>4902</v>
      </c>
      <c r="H2593" s="847">
        <v>4</v>
      </c>
      <c r="I2593" s="848">
        <f>VLOOKUP(E2593,'9.may'!E:W,12,FALSE)</f>
        <v>2787996.6736363638</v>
      </c>
      <c r="J2593" s="853">
        <f>I2593*H2593</f>
        <v>11151986.694545455</v>
      </c>
      <c r="N2593" s="843" t="e">
        <f>SUMIF(#REF!,'8.Dgia'!A2593,#REF!)+SUMIF(#REF!,'8.Dgia'!A2593,#REF!)+SUMIF(#REF!,'8.Dgia'!A2593,#REF!)+SUMIF(#REF!,'8.Dgia'!A2593,#REF!)</f>
        <v>#REF!</v>
      </c>
      <c r="O2593" s="844"/>
      <c r="P2593" s="843" t="e">
        <f t="shared" si="112"/>
        <v>#REF!</v>
      </c>
    </row>
    <row r="2594" spans="1:18" ht="15" customHeight="1">
      <c r="A2594" s="657">
        <f>IF(B2594="",MAX($A$8:A2593)+0,MAX($A$8:A2593)+1)</f>
        <v>302</v>
      </c>
      <c r="B2594" s="835">
        <f>IF(C2594="","",COUNTA($C$10:C2595))</f>
        <v>302</v>
      </c>
      <c r="C2594" s="362">
        <v>0</v>
      </c>
      <c r="D2594" s="851" t="s">
        <v>306</v>
      </c>
      <c r="E2594" s="870" t="s">
        <v>5579</v>
      </c>
      <c r="F2594" s="1049" t="s">
        <v>4197</v>
      </c>
      <c r="G2594" s="856" t="s">
        <v>643</v>
      </c>
      <c r="H2594" s="847"/>
      <c r="I2594" s="848"/>
      <c r="J2594" s="853"/>
      <c r="L2594" s="842">
        <f>+J2596</f>
        <v>2801955</v>
      </c>
      <c r="M2594" s="842">
        <f>+J2597</f>
        <v>36764313.752727278</v>
      </c>
      <c r="N2594" s="843" t="e">
        <f>SUMIF(#REF!,'8.Dgia'!A2594,#REF!)+SUMIF(#REF!,'8.Dgia'!A2594,#REF!)+SUMIF(#REF!,'8.Dgia'!A2594,#REF!)+SUMIF(#REF!,'8.Dgia'!A2594,#REF!)</f>
        <v>#REF!</v>
      </c>
      <c r="O2594" s="844"/>
      <c r="P2594" s="843" t="e">
        <f>$H2594*N2594*(1+O2594%)</f>
        <v>#REF!</v>
      </c>
    </row>
    <row r="2595" spans="1:18" ht="30" customHeight="1">
      <c r="A2595" s="657">
        <f>IF(B2595="",MAX($A$8:A2594)+0,MAX($A$8:A2594)+1)</f>
        <v>302</v>
      </c>
      <c r="B2595" s="835" t="str">
        <f>IF(C2595="","",COUNTA($C$10:C2596))</f>
        <v/>
      </c>
      <c r="C2595" s="835"/>
      <c r="D2595" s="851"/>
      <c r="E2595" s="943" t="s">
        <v>3544</v>
      </c>
      <c r="F2595" s="848" t="str">
        <f>VLOOKUP(E2595,DICH!B:C,2,FALSE)</f>
        <v>Using 2 buoy 250 ton and 2 buoy 200 ton in 10 days</v>
      </c>
      <c r="G2595" s="856"/>
      <c r="H2595" s="847"/>
      <c r="I2595" s="848"/>
      <c r="J2595" s="853"/>
      <c r="N2595" s="843" t="e">
        <f>SUMIF(#REF!,'8.Dgia'!A2595,#REF!)+SUMIF(#REF!,'8.Dgia'!A2595,#REF!)+SUMIF(#REF!,'8.Dgia'!A2595,#REF!)+SUMIF(#REF!,'8.Dgia'!A2595,#REF!)</f>
        <v>#REF!</v>
      </c>
      <c r="O2595" s="844"/>
      <c r="P2595" s="843" t="e">
        <f>$H2595*N2595*(1+O2595%)</f>
        <v>#REF!</v>
      </c>
    </row>
    <row r="2596" spans="1:18" ht="22.5" customHeight="1">
      <c r="A2596" s="657">
        <f>IF(B2596="",MAX($A$8:A2595)+0,MAX($A$8:A2595)+1)</f>
        <v>302</v>
      </c>
      <c r="B2596" s="835" t="str">
        <f>IF(C2596="","",COUNTA($C$10:C2597))</f>
        <v/>
      </c>
      <c r="C2596" s="362"/>
      <c r="D2596" s="362" t="s">
        <v>657</v>
      </c>
      <c r="E2596" s="666" t="s">
        <v>2038</v>
      </c>
      <c r="F2596" s="848" t="str">
        <f>VLOOKUP(E2596,DICH!B:C,2,FALSE)</f>
        <v xml:space="preserve">  B - Labour 3.0/7</v>
      </c>
      <c r="G2596" s="883" t="s">
        <v>4899</v>
      </c>
      <c r="H2596" s="847">
        <v>15</v>
      </c>
      <c r="I2596" s="848">
        <f>VLOOKUP(E2596,'16.NC'!$C$11:$F$22,4,FALSE)</f>
        <v>186797</v>
      </c>
      <c r="J2596" s="849">
        <f>I2596*H2596</f>
        <v>2801955</v>
      </c>
      <c r="N2596" s="843" t="e">
        <f>SUMIF(#REF!,'8.Dgia'!A2596,#REF!)+SUMIF(#REF!,'8.Dgia'!A2596,#REF!)+SUMIF(#REF!,'8.Dgia'!A2596,#REF!)+SUMIF(#REF!,'8.Dgia'!A2596,#REF!)</f>
        <v>#REF!</v>
      </c>
      <c r="O2596" s="844"/>
      <c r="P2596" s="843" t="e">
        <f>$H2596*N2596*(1+O2596%)</f>
        <v>#REF!</v>
      </c>
      <c r="R2596" s="658">
        <v>1</v>
      </c>
    </row>
    <row r="2597" spans="1:18" ht="15" customHeight="1">
      <c r="A2597" s="657">
        <f>IF(B2597="",MAX($A$8:A2596)+0,MAX($A$8:A2596)+1)</f>
        <v>302</v>
      </c>
      <c r="B2597" s="835" t="str">
        <f>IF(C2597="","",COUNTA($C$10:C2598))</f>
        <v/>
      </c>
      <c r="C2597" s="362"/>
      <c r="D2597" s="362"/>
      <c r="E2597" s="852" t="s">
        <v>2033</v>
      </c>
      <c r="F2597" s="848" t="str">
        <f>VLOOKUP(E2597,DICH!B:C,2,FALSE)</f>
        <v xml:space="preserve">  C - Machine</v>
      </c>
      <c r="G2597" s="883"/>
      <c r="H2597" s="847"/>
      <c r="I2597" s="848"/>
      <c r="J2597" s="849">
        <f>SUM(J2598:J2602)</f>
        <v>36764313.752727278</v>
      </c>
      <c r="N2597" s="843" t="e">
        <f>SUMIF(#REF!,'8.Dgia'!A2597,#REF!)+SUMIF(#REF!,'8.Dgia'!A2597,#REF!)+SUMIF(#REF!,'8.Dgia'!A2597,#REF!)+SUMIF(#REF!,'8.Dgia'!A2597,#REF!)</f>
        <v>#REF!</v>
      </c>
      <c r="O2597" s="844"/>
      <c r="P2597" s="843" t="e">
        <f>$H2597*N2597*(1+O2597%)</f>
        <v>#REF!</v>
      </c>
    </row>
    <row r="2598" spans="1:18" ht="15" customHeight="1">
      <c r="A2598" s="657">
        <f>IF(B2598="",MAX($A$8:A2597)+0,MAX($A$8:A2597)+1)</f>
        <v>302</v>
      </c>
      <c r="B2598" s="835" t="str">
        <f>IF(C2598="","",COUNTA($C$10:C2599))</f>
        <v/>
      </c>
      <c r="C2598" s="362"/>
      <c r="D2598" s="362"/>
      <c r="E2598" s="852" t="s">
        <v>426</v>
      </c>
      <c r="F2598" s="848" t="str">
        <f>VLOOKUP(E2598,'9.may'!E:F,2,FALSE)</f>
        <v>Steel buoy 250T</v>
      </c>
      <c r="G2598" s="362" t="s">
        <v>4902</v>
      </c>
      <c r="H2598" s="847">
        <f>3*10*2</f>
        <v>60</v>
      </c>
      <c r="I2598" s="848">
        <f>VLOOKUP(E2598,'9.may'!E:W,12,FALSE)</f>
        <v>148624.77000000002</v>
      </c>
      <c r="J2598" s="853">
        <f>I2598*H2598</f>
        <v>8917486.2000000011</v>
      </c>
      <c r="N2598" s="843" t="e">
        <f>SUMIF(#REF!,'8.Dgia'!A2598,#REF!)+SUMIF(#REF!,'8.Dgia'!A2598,#REF!)+SUMIF(#REF!,'8.Dgia'!A2598,#REF!)+SUMIF(#REF!,'8.Dgia'!A2598,#REF!)</f>
        <v>#REF!</v>
      </c>
      <c r="O2598" s="844"/>
      <c r="P2598" s="843"/>
    </row>
    <row r="2599" spans="1:18" ht="15" customHeight="1">
      <c r="A2599" s="657">
        <f>IF(B2599="",MAX($A$8:A2598)+0,MAX($A$8:A2598)+1)</f>
        <v>302</v>
      </c>
      <c r="B2599" s="835" t="str">
        <f>IF(C2599="","",COUNTA($C$10:C2600))</f>
        <v/>
      </c>
      <c r="C2599" s="362"/>
      <c r="D2599" s="362"/>
      <c r="E2599" s="852" t="s">
        <v>349</v>
      </c>
      <c r="F2599" s="848" t="str">
        <f>VLOOKUP(E2599,'9.may'!E:F,2,FALSE)</f>
        <v>steel buoy 200T</v>
      </c>
      <c r="G2599" s="362" t="s">
        <v>4902</v>
      </c>
      <c r="H2599" s="847">
        <f>3*10*2</f>
        <v>60</v>
      </c>
      <c r="I2599" s="848">
        <f>VLOOKUP(E2599,'9.may'!E:W,12,FALSE)</f>
        <v>173806.86000000002</v>
      </c>
      <c r="J2599" s="853">
        <f>I2599*H2599</f>
        <v>10428411.600000001</v>
      </c>
      <c r="N2599" s="843" t="e">
        <f>SUMIF(#REF!,'8.Dgia'!A2599,#REF!)+SUMIF(#REF!,'8.Dgia'!A2599,#REF!)+SUMIF(#REF!,'8.Dgia'!A2599,#REF!)+SUMIF(#REF!,'8.Dgia'!A2599,#REF!)</f>
        <v>#REF!</v>
      </c>
      <c r="O2599" s="844"/>
      <c r="P2599" s="843"/>
    </row>
    <row r="2600" spans="1:18" ht="15" customHeight="1">
      <c r="A2600" s="657">
        <f>IF(B2600="",MAX($A$8:A2599)+0,MAX($A$8:A2599)+1)</f>
        <v>302</v>
      </c>
      <c r="B2600" s="835" t="str">
        <f>IF(C2600="","",COUNTA($C$10:C2601))</f>
        <v/>
      </c>
      <c r="C2600" s="362"/>
      <c r="D2600" s="362"/>
      <c r="E2600" s="852" t="s">
        <v>427</v>
      </c>
      <c r="F2600" s="848" t="str">
        <f>VLOOKUP(E2600,DICH!B:C,2,FALSE)</f>
        <v>(3 shift/day x 10days x 2 buoy)</v>
      </c>
      <c r="G2600" s="362"/>
      <c r="H2600" s="847"/>
      <c r="I2600" s="848"/>
      <c r="J2600" s="853"/>
      <c r="N2600" s="843" t="e">
        <f>SUMIF(#REF!,'8.Dgia'!A2600,#REF!)+SUMIF(#REF!,'8.Dgia'!A2600,#REF!)+SUMIF(#REF!,'8.Dgia'!A2600,#REF!)+SUMIF(#REF!,'8.Dgia'!A2600,#REF!)</f>
        <v>#REF!</v>
      </c>
      <c r="O2600" s="844"/>
      <c r="P2600" s="843"/>
    </row>
    <row r="2601" spans="1:18" ht="15" customHeight="1">
      <c r="A2601" s="657">
        <f>IF(B2601="",MAX($A$8:A2600)+0,MAX($A$8:A2600)+1)</f>
        <v>302</v>
      </c>
      <c r="B2601" s="835" t="str">
        <f>IF(C2601="","",COUNTA($C$10:C2602))</f>
        <v/>
      </c>
      <c r="C2601" s="851"/>
      <c r="D2601" s="944"/>
      <c r="E2601" s="852" t="s">
        <v>1286</v>
      </c>
      <c r="F2601" s="848" t="str">
        <f>VLOOKUP(E2601,'9.may'!E:F,2,FALSE)</f>
        <v>water pump 100CV</v>
      </c>
      <c r="G2601" s="362" t="s">
        <v>4902</v>
      </c>
      <c r="H2601" s="847">
        <v>4</v>
      </c>
      <c r="I2601" s="848">
        <f>VLOOKUP(E2601,'9.may'!E:W,12,FALSE)</f>
        <v>1566607.3145454545</v>
      </c>
      <c r="J2601" s="853">
        <f>I2601*H2601</f>
        <v>6266429.2581818178</v>
      </c>
      <c r="N2601" s="843" t="e">
        <f>SUMIF(#REF!,'8.Dgia'!A2601,#REF!)+SUMIF(#REF!,'8.Dgia'!A2601,#REF!)+SUMIF(#REF!,'8.Dgia'!A2601,#REF!)+SUMIF(#REF!,'8.Dgia'!A2601,#REF!)</f>
        <v>#REF!</v>
      </c>
      <c r="O2601" s="844"/>
      <c r="P2601" s="843" t="e">
        <f>$H2601*N2601*(1+O2601%)</f>
        <v>#REF!</v>
      </c>
    </row>
    <row r="2602" spans="1:18" ht="15" customHeight="1">
      <c r="A2602" s="657">
        <f>IF(B2602="",MAX($A$8:A2601)+0,MAX($A$8:A2601)+1)</f>
        <v>302</v>
      </c>
      <c r="B2602" s="835" t="str">
        <f>IF(C2602="","",COUNTA($C$10:C2603))</f>
        <v/>
      </c>
      <c r="C2602" s="851"/>
      <c r="D2602" s="944" t="s">
        <v>94</v>
      </c>
      <c r="E2602" s="852" t="s">
        <v>288</v>
      </c>
      <c r="F2602" s="848" t="str">
        <f>VLOOKUP(E2602,'9.may'!E:F,2,FALSE)</f>
        <v>caterpillar crane 25T</v>
      </c>
      <c r="G2602" s="362" t="s">
        <v>4902</v>
      </c>
      <c r="H2602" s="847">
        <v>4</v>
      </c>
      <c r="I2602" s="848">
        <f>VLOOKUP(E2602,'9.may'!E:W,12,FALSE)</f>
        <v>2787996.6736363638</v>
      </c>
      <c r="J2602" s="853">
        <f>I2602*H2602</f>
        <v>11151986.694545455</v>
      </c>
      <c r="N2602" s="843" t="e">
        <f>SUMIF(#REF!,'8.Dgia'!A2602,#REF!)+SUMIF(#REF!,'8.Dgia'!A2602,#REF!)+SUMIF(#REF!,'8.Dgia'!A2602,#REF!)+SUMIF(#REF!,'8.Dgia'!A2602,#REF!)</f>
        <v>#REF!</v>
      </c>
      <c r="O2602" s="844"/>
      <c r="P2602" s="843" t="e">
        <f>$H2602*N2602*(1+O2602%)</f>
        <v>#REF!</v>
      </c>
    </row>
    <row r="2603" spans="1:18" ht="15" customHeight="1">
      <c r="A2603" s="657">
        <f>IF(B2603="",MAX($A$8:A2602)+0,MAX($A$8:A2602)+1)</f>
        <v>303</v>
      </c>
      <c r="B2603" s="835">
        <f>IF(C2603="","",COUNTA($C$10:C2604))</f>
        <v>303</v>
      </c>
      <c r="C2603" s="362">
        <v>0</v>
      </c>
      <c r="D2603" s="851" t="s">
        <v>306</v>
      </c>
      <c r="E2603" s="870" t="s">
        <v>424</v>
      </c>
      <c r="F2603" s="848" t="str">
        <f>VLOOKUP(E2603,DICH!B:C,2,FALSE)</f>
        <v>Charging for de-settlement 500 ton system</v>
      </c>
      <c r="G2603" s="856" t="s">
        <v>643</v>
      </c>
      <c r="H2603" s="847"/>
      <c r="I2603" s="848"/>
      <c r="J2603" s="853"/>
      <c r="L2603" s="842">
        <f>+J2605</f>
        <v>2801955</v>
      </c>
      <c r="M2603" s="842">
        <f>+J2606</f>
        <v>8709207.9763636366</v>
      </c>
      <c r="N2603" s="843" t="e">
        <f>SUMIF(#REF!,'8.Dgia'!A2603,#REF!)+SUMIF(#REF!,'8.Dgia'!A2603,#REF!)+SUMIF(#REF!,'8.Dgia'!A2603,#REF!)+SUMIF(#REF!,'8.Dgia'!A2603,#REF!)</f>
        <v>#REF!</v>
      </c>
      <c r="O2603" s="844"/>
      <c r="P2603" s="843" t="e">
        <f t="shared" si="112"/>
        <v>#REF!</v>
      </c>
    </row>
    <row r="2604" spans="1:18" ht="30.75" customHeight="1">
      <c r="A2604" s="657">
        <f>IF(B2604="",MAX($A$8:A2603)+0,MAX($A$8:A2603)+1)</f>
        <v>303</v>
      </c>
      <c r="B2604" s="835" t="str">
        <f>IF(C2604="","",COUNTA($C$10:C2605))</f>
        <v/>
      </c>
      <c r="C2604" s="835"/>
      <c r="D2604" s="851"/>
      <c r="E2604" s="943" t="s">
        <v>4898</v>
      </c>
      <c r="F2604" s="848" t="str">
        <f>VLOOKUP(E2604,DICH!B:C,2,FALSE)</f>
        <v>Using 2 buoy 250 ton in 10 days</v>
      </c>
      <c r="G2604" s="856"/>
      <c r="H2604" s="847"/>
      <c r="I2604" s="848"/>
      <c r="J2604" s="853"/>
      <c r="N2604" s="843" t="e">
        <f>SUMIF(#REF!,'8.Dgia'!A2604,#REF!)+SUMIF(#REF!,'8.Dgia'!A2604,#REF!)+SUMIF(#REF!,'8.Dgia'!A2604,#REF!)+SUMIF(#REF!,'8.Dgia'!A2604,#REF!)</f>
        <v>#REF!</v>
      </c>
      <c r="O2604" s="844"/>
      <c r="P2604" s="843" t="e">
        <f t="shared" si="112"/>
        <v>#REF!</v>
      </c>
    </row>
    <row r="2605" spans="1:18" ht="24" customHeight="1">
      <c r="A2605" s="657">
        <f>IF(B2605="",MAX($A$8:A2604)+0,MAX($A$8:A2604)+1)</f>
        <v>303</v>
      </c>
      <c r="B2605" s="835" t="str">
        <f>IF(C2605="","",COUNTA($C$10:C2606))</f>
        <v/>
      </c>
      <c r="C2605" s="362"/>
      <c r="D2605" s="362" t="s">
        <v>657</v>
      </c>
      <c r="E2605" s="666" t="s">
        <v>2038</v>
      </c>
      <c r="F2605" s="848" t="str">
        <f>VLOOKUP(E2605,DICH!B:C,2,FALSE)</f>
        <v xml:space="preserve">  B - Labour 3.0/7</v>
      </c>
      <c r="G2605" s="883" t="s">
        <v>4899</v>
      </c>
      <c r="H2605" s="847">
        <v>15</v>
      </c>
      <c r="I2605" s="848">
        <f>VLOOKUP(E2605,'16.NC'!$C$11:$F$22,4,FALSE)</f>
        <v>186797</v>
      </c>
      <c r="J2605" s="849">
        <f>I2605*H2605</f>
        <v>2801955</v>
      </c>
      <c r="N2605" s="843" t="e">
        <f>SUMIF(#REF!,'8.Dgia'!A2605,#REF!)+SUMIF(#REF!,'8.Dgia'!A2605,#REF!)+SUMIF(#REF!,'8.Dgia'!A2605,#REF!)+SUMIF(#REF!,'8.Dgia'!A2605,#REF!)</f>
        <v>#REF!</v>
      </c>
      <c r="O2605" s="844"/>
      <c r="P2605" s="843" t="e">
        <f t="shared" si="112"/>
        <v>#REF!</v>
      </c>
      <c r="R2605" s="658">
        <v>1</v>
      </c>
    </row>
    <row r="2606" spans="1:18" ht="15" customHeight="1">
      <c r="A2606" s="657">
        <f>IF(B2606="",MAX($A$8:A2605)+0,MAX($A$8:A2605)+1)</f>
        <v>303</v>
      </c>
      <c r="B2606" s="835" t="str">
        <f>IF(C2606="","",COUNTA($C$10:C2607))</f>
        <v/>
      </c>
      <c r="C2606" s="362"/>
      <c r="D2606" s="362"/>
      <c r="E2606" s="852" t="s">
        <v>2033</v>
      </c>
      <c r="F2606" s="848" t="str">
        <f>VLOOKUP(E2606,DICH!B:C,2,FALSE)</f>
        <v xml:space="preserve">  C - Machine</v>
      </c>
      <c r="G2606" s="883"/>
      <c r="H2606" s="847"/>
      <c r="I2606" s="848"/>
      <c r="J2606" s="849">
        <f>SUM(J2609:J2610)</f>
        <v>8709207.9763636366</v>
      </c>
      <c r="N2606" s="843" t="e">
        <f>SUMIF(#REF!,'8.Dgia'!A2606,#REF!)+SUMIF(#REF!,'8.Dgia'!A2606,#REF!)+SUMIF(#REF!,'8.Dgia'!A2606,#REF!)+SUMIF(#REF!,'8.Dgia'!A2606,#REF!)</f>
        <v>#REF!</v>
      </c>
      <c r="O2606" s="844"/>
      <c r="P2606" s="843" t="e">
        <f t="shared" si="112"/>
        <v>#REF!</v>
      </c>
    </row>
    <row r="2607" spans="1:18" ht="15" customHeight="1">
      <c r="A2607" s="657">
        <f>IF(B2607="",MAX($A$8:A2606)+0,MAX($A$8:A2606)+1)</f>
        <v>303</v>
      </c>
      <c r="B2607" s="835" t="str">
        <f>IF(C2607="","",COUNTA($C$10:C2608))</f>
        <v/>
      </c>
      <c r="C2607" s="362"/>
      <c r="D2607" s="362"/>
      <c r="E2607" s="852" t="s">
        <v>426</v>
      </c>
      <c r="F2607" s="848" t="str">
        <f>VLOOKUP(E2607,'9.may'!E:F,2,FALSE)</f>
        <v>Steel buoy 250T</v>
      </c>
      <c r="G2607" s="362" t="s">
        <v>4902</v>
      </c>
      <c r="H2607" s="847">
        <f>3*10*2</f>
        <v>60</v>
      </c>
      <c r="I2607" s="848">
        <f>VLOOKUP(E2607,'9.may'!E:W,12,FALSE)</f>
        <v>148624.77000000002</v>
      </c>
      <c r="J2607" s="853">
        <f>I2607*H2607</f>
        <v>8917486.2000000011</v>
      </c>
      <c r="N2607" s="843" t="e">
        <f>SUMIF(#REF!,'8.Dgia'!A2607,#REF!)+SUMIF(#REF!,'8.Dgia'!A2607,#REF!)+SUMIF(#REF!,'8.Dgia'!A2607,#REF!)+SUMIF(#REF!,'8.Dgia'!A2607,#REF!)</f>
        <v>#REF!</v>
      </c>
      <c r="O2607" s="844"/>
      <c r="P2607" s="843"/>
    </row>
    <row r="2608" spans="1:18" ht="15" customHeight="1">
      <c r="A2608" s="657">
        <f>IF(B2608="",MAX($A$8:A2607)+0,MAX($A$8:A2607)+1)</f>
        <v>303</v>
      </c>
      <c r="B2608" s="835" t="str">
        <f>IF(C2608="","",COUNTA($C$10:C2609))</f>
        <v/>
      </c>
      <c r="C2608" s="362"/>
      <c r="D2608" s="362"/>
      <c r="E2608" s="852" t="s">
        <v>427</v>
      </c>
      <c r="F2608" s="848" t="str">
        <f>VLOOKUP(E2608,DICH!B:C,2,FALSE)</f>
        <v>(3 shift/day x 10days x 2 buoy)</v>
      </c>
      <c r="G2608" s="362"/>
      <c r="H2608" s="847"/>
      <c r="I2608" s="848"/>
      <c r="J2608" s="849"/>
      <c r="N2608" s="843" t="e">
        <f>SUMIF(#REF!,'8.Dgia'!A2608,#REF!)+SUMIF(#REF!,'8.Dgia'!A2608,#REF!)+SUMIF(#REF!,'8.Dgia'!A2608,#REF!)+SUMIF(#REF!,'8.Dgia'!A2608,#REF!)</f>
        <v>#REF!</v>
      </c>
      <c r="O2608" s="844"/>
      <c r="P2608" s="843"/>
    </row>
    <row r="2609" spans="1:18" ht="15" customHeight="1">
      <c r="A2609" s="657">
        <f>IF(B2609="",MAX($A$8:A2608)+0,MAX($A$8:A2608)+1)</f>
        <v>303</v>
      </c>
      <c r="B2609" s="835" t="str">
        <f>IF(C2609="","",COUNTA($C$10:C2610))</f>
        <v/>
      </c>
      <c r="C2609" s="851"/>
      <c r="D2609" s="944"/>
      <c r="E2609" s="852" t="s">
        <v>1286</v>
      </c>
      <c r="F2609" s="848" t="str">
        <f>VLOOKUP(E2609,'9.may'!E:F,2,FALSE)</f>
        <v>water pump 100CV</v>
      </c>
      <c r="G2609" s="362" t="s">
        <v>4902</v>
      </c>
      <c r="H2609" s="847">
        <v>2</v>
      </c>
      <c r="I2609" s="848">
        <f>VLOOKUP(E2609,'9.may'!E:W,12,FALSE)</f>
        <v>1566607.3145454545</v>
      </c>
      <c r="J2609" s="853">
        <f>I2609*H2609</f>
        <v>3133214.6290909089</v>
      </c>
      <c r="N2609" s="843" t="e">
        <f>SUMIF(#REF!,'8.Dgia'!A2609,#REF!)+SUMIF(#REF!,'8.Dgia'!A2609,#REF!)+SUMIF(#REF!,'8.Dgia'!A2609,#REF!)+SUMIF(#REF!,'8.Dgia'!A2609,#REF!)</f>
        <v>#REF!</v>
      </c>
      <c r="O2609" s="844"/>
      <c r="P2609" s="843" t="e">
        <f t="shared" si="112"/>
        <v>#REF!</v>
      </c>
    </row>
    <row r="2610" spans="1:18" ht="15" customHeight="1">
      <c r="A2610" s="657">
        <f>IF(B2610="",MAX($A$8:A2609)+0,MAX($A$8:A2609)+1)</f>
        <v>303</v>
      </c>
      <c r="B2610" s="835" t="str">
        <f>IF(C2610="","",COUNTA($C$10:C2611))</f>
        <v/>
      </c>
      <c r="C2610" s="851"/>
      <c r="D2610" s="944" t="s">
        <v>94</v>
      </c>
      <c r="E2610" s="852" t="s">
        <v>288</v>
      </c>
      <c r="F2610" s="848" t="str">
        <f>VLOOKUP(E2610,'9.may'!E:F,2,FALSE)</f>
        <v>caterpillar crane 25T</v>
      </c>
      <c r="G2610" s="362" t="s">
        <v>4902</v>
      </c>
      <c r="H2610" s="847">
        <f>H2609</f>
        <v>2</v>
      </c>
      <c r="I2610" s="848">
        <f>VLOOKUP(E2610,'9.may'!E:W,12,FALSE)</f>
        <v>2787996.6736363638</v>
      </c>
      <c r="J2610" s="853">
        <f>I2610*H2610</f>
        <v>5575993.3472727276</v>
      </c>
      <c r="N2610" s="843" t="e">
        <f>SUMIF(#REF!,'8.Dgia'!A2610,#REF!)+SUMIF(#REF!,'8.Dgia'!A2610,#REF!)+SUMIF(#REF!,'8.Dgia'!A2610,#REF!)+SUMIF(#REF!,'8.Dgia'!A2610,#REF!)</f>
        <v>#REF!</v>
      </c>
      <c r="O2610" s="844"/>
      <c r="P2610" s="843" t="e">
        <f t="shared" si="112"/>
        <v>#REF!</v>
      </c>
    </row>
    <row r="2611" spans="1:18" ht="15" customHeight="1">
      <c r="A2611" s="657">
        <f>IF(B2611="",MAX($A$8:A2610)+0,MAX($A$8:A2610)+1)</f>
        <v>304</v>
      </c>
      <c r="B2611" s="835">
        <f>IF(C2611="","",COUNTA($C$10:C2612))</f>
        <v>304</v>
      </c>
      <c r="C2611" s="835">
        <f>IF(D2611="","",1776)</f>
        <v>1776</v>
      </c>
      <c r="D2611" s="851" t="s">
        <v>223</v>
      </c>
      <c r="E2611" s="870" t="s">
        <v>228</v>
      </c>
      <c r="F2611" s="1049" t="str">
        <f>VLOOKUP(E2611,DICH!B:C,2,FALSE)</f>
        <v>Formwork of girder</v>
      </c>
      <c r="G2611" s="856" t="s">
        <v>548</v>
      </c>
      <c r="H2611" s="847"/>
      <c r="I2611" s="848"/>
      <c r="J2611" s="853"/>
      <c r="K2611" s="842" t="e">
        <f>+J2612</f>
        <v>#N/A</v>
      </c>
      <c r="L2611" s="842">
        <f>+J2622</f>
        <v>404387.5</v>
      </c>
      <c r="M2611" s="842">
        <f>+J2623</f>
        <v>25573.2458415</v>
      </c>
      <c r="N2611" s="843" t="e">
        <f>SUMIF(#REF!,'8.Dgia'!A2611,#REF!)+SUMIF(#REF!,'8.Dgia'!A2611,#REF!)+SUMIF(#REF!,'8.Dgia'!A2611,#REF!)+SUMIF(#REF!,'8.Dgia'!A2611,#REF!)</f>
        <v>#REF!</v>
      </c>
      <c r="O2611" s="844"/>
      <c r="P2611" s="843" t="e">
        <f t="shared" si="112"/>
        <v>#REF!</v>
      </c>
    </row>
    <row r="2612" spans="1:18" ht="15" customHeight="1">
      <c r="A2612" s="657">
        <f>IF(B2612="",MAX($A$8:A2611)+0,MAX($A$8:A2611)+1)</f>
        <v>304</v>
      </c>
      <c r="B2612" s="835" t="str">
        <f>IF(C2612="","",COUNTA($C$10:C2613))</f>
        <v/>
      </c>
      <c r="C2612" s="362"/>
      <c r="D2612" s="362"/>
      <c r="E2612" s="661" t="s">
        <v>2032</v>
      </c>
      <c r="F2612" s="848" t="str">
        <f>VLOOKUP(E2612,DICH!B:C,2,FALSE)</f>
        <v xml:space="preserve">  A - Material</v>
      </c>
      <c r="G2612" s="846"/>
      <c r="H2612" s="847"/>
      <c r="I2612" s="848"/>
      <c r="J2612" s="849" t="e">
        <f>SUM(J2613:J2621)</f>
        <v>#N/A</v>
      </c>
      <c r="N2612" s="843" t="e">
        <f>SUMIF(#REF!,'8.Dgia'!A2612,#REF!)+SUMIF(#REF!,'8.Dgia'!A2612,#REF!)+SUMIF(#REF!,'8.Dgia'!A2612,#REF!)+SUMIF(#REF!,'8.Dgia'!A2612,#REF!)</f>
        <v>#REF!</v>
      </c>
      <c r="O2612" s="844"/>
      <c r="P2612" s="843" t="e">
        <f t="shared" si="112"/>
        <v>#REF!</v>
      </c>
    </row>
    <row r="2613" spans="1:18" ht="15" customHeight="1">
      <c r="A2613" s="657">
        <f>IF(B2613="",MAX($A$8:A2612)+0,MAX($A$8:A2612)+1)</f>
        <v>304</v>
      </c>
      <c r="B2613" s="835" t="str">
        <f>IF(C2613="","",COUNTA($C$10:C2614))</f>
        <v/>
      </c>
      <c r="C2613" s="362"/>
      <c r="D2613" s="362"/>
      <c r="E2613" s="852" t="s">
        <v>562</v>
      </c>
      <c r="F2613" s="848" t="str">
        <f>VLOOKUP(E2613,DICH!B:C,2,FALSE)</f>
        <v>Plate steel</v>
      </c>
      <c r="G2613" s="362" t="s">
        <v>558</v>
      </c>
      <c r="H2613" s="847">
        <v>3.6</v>
      </c>
      <c r="I2613" s="848">
        <f>VLOOKUP(E2613,'11.gia '!$B:$I,8,FALSE)</f>
        <v>12871.348287272725</v>
      </c>
      <c r="J2613" s="853">
        <f t="shared" ref="J2613:J2620" si="113">I2613*H2613</f>
        <v>46336.853834181813</v>
      </c>
      <c r="N2613" s="843" t="e">
        <f>SUMIF(#REF!,'8.Dgia'!A2613,#REF!)+SUMIF(#REF!,'8.Dgia'!A2613,#REF!)+SUMIF(#REF!,'8.Dgia'!A2613,#REF!)+SUMIF(#REF!,'8.Dgia'!A2613,#REF!)</f>
        <v>#REF!</v>
      </c>
      <c r="O2613" s="844"/>
      <c r="P2613" s="843" t="e">
        <f t="shared" si="112"/>
        <v>#REF!</v>
      </c>
    </row>
    <row r="2614" spans="1:18" ht="15" customHeight="1">
      <c r="A2614" s="657">
        <f>IF(B2614="",MAX($A$8:A2613)+0,MAX($A$8:A2613)+1)</f>
        <v>304</v>
      </c>
      <c r="B2614" s="835" t="str">
        <f>IF(C2614="","",COUNTA($C$10:C2615))</f>
        <v/>
      </c>
      <c r="C2614" s="362"/>
      <c r="D2614" s="362"/>
      <c r="E2614" s="852" t="s">
        <v>563</v>
      </c>
      <c r="F2614" s="848" t="str">
        <f>VLOOKUP(E2614,DICH!B:C,2,FALSE)</f>
        <v>Shaped steel</v>
      </c>
      <c r="G2614" s="362" t="s">
        <v>558</v>
      </c>
      <c r="H2614" s="847">
        <v>1.56</v>
      </c>
      <c r="I2614" s="848">
        <f>VLOOKUP(E2614,'11.gia '!$B:$I,8,FALSE)</f>
        <v>16703.248369172808</v>
      </c>
      <c r="J2614" s="853">
        <f t="shared" si="113"/>
        <v>26057.067455909582</v>
      </c>
      <c r="N2614" s="843" t="e">
        <f>SUMIF(#REF!,'8.Dgia'!A2614,#REF!)+SUMIF(#REF!,'8.Dgia'!A2614,#REF!)+SUMIF(#REF!,'8.Dgia'!A2614,#REF!)+SUMIF(#REF!,'8.Dgia'!A2614,#REF!)</f>
        <v>#REF!</v>
      </c>
      <c r="O2614" s="844"/>
      <c r="P2614" s="843" t="e">
        <f t="shared" si="112"/>
        <v>#REF!</v>
      </c>
    </row>
    <row r="2615" spans="1:18" ht="15" customHeight="1">
      <c r="A2615" s="657">
        <f>IF(B2615="",MAX($A$8:A2614)+0,MAX($A$8:A2614)+1)</f>
        <v>304</v>
      </c>
      <c r="B2615" s="835" t="str">
        <f>IF(C2615="","",COUNTA($C$10:C2616))</f>
        <v/>
      </c>
      <c r="C2615" s="362"/>
      <c r="D2615" s="362"/>
      <c r="E2615" s="852" t="s">
        <v>559</v>
      </c>
      <c r="F2615" s="848" t="str">
        <f>VLOOKUP(E2615,DICH!B:C,2,FALSE)</f>
        <v>welding electrode</v>
      </c>
      <c r="G2615" s="362" t="s">
        <v>558</v>
      </c>
      <c r="H2615" s="847">
        <v>0.16500000000000001</v>
      </c>
      <c r="I2615" s="848">
        <f>VLOOKUP(E2615,'11.gia '!$B:$I,8,FALSE)</f>
        <v>19090.909090909088</v>
      </c>
      <c r="J2615" s="853">
        <f t="shared" si="113"/>
        <v>3149.9999999999995</v>
      </c>
      <c r="N2615" s="843" t="e">
        <f>SUMIF(#REF!,'8.Dgia'!A2615,#REF!)+SUMIF(#REF!,'8.Dgia'!A2615,#REF!)+SUMIF(#REF!,'8.Dgia'!A2615,#REF!)+SUMIF(#REF!,'8.Dgia'!A2615,#REF!)</f>
        <v>#REF!</v>
      </c>
      <c r="O2615" s="844"/>
      <c r="P2615" s="843" t="e">
        <f t="shared" si="112"/>
        <v>#REF!</v>
      </c>
    </row>
    <row r="2616" spans="1:18" ht="15" customHeight="1">
      <c r="A2616" s="657">
        <f>IF(B2616="",MAX($A$8:A2615)+0,MAX($A$8:A2615)+1)</f>
        <v>304</v>
      </c>
      <c r="B2616" s="835" t="str">
        <f>IF(C2616="","",COUNTA($C$10:C2617))</f>
        <v/>
      </c>
      <c r="C2616" s="362"/>
      <c r="D2616" s="362"/>
      <c r="E2616" s="852" t="s">
        <v>564</v>
      </c>
      <c r="F2616" s="848" t="str">
        <f>VLOOKUP(E2616,DICH!B:C,2,FALSE)</f>
        <v>oxygen</v>
      </c>
      <c r="G2616" s="362" t="s">
        <v>4647</v>
      </c>
      <c r="H2616" s="847">
        <v>1.7999999999999999E-2</v>
      </c>
      <c r="I2616" s="848">
        <f>VLOOKUP(E2616,'11.gia '!$B:$I,8,FALSE)</f>
        <v>48000</v>
      </c>
      <c r="J2616" s="853">
        <f t="shared" si="113"/>
        <v>863.99999999999989</v>
      </c>
      <c r="N2616" s="843" t="e">
        <f>SUMIF(#REF!,'8.Dgia'!A2616,#REF!)+SUMIF(#REF!,'8.Dgia'!A2616,#REF!)+SUMIF(#REF!,'8.Dgia'!A2616,#REF!)+SUMIF(#REF!,'8.Dgia'!A2616,#REF!)</f>
        <v>#REF!</v>
      </c>
      <c r="O2616" s="844"/>
      <c r="P2616" s="843" t="e">
        <f t="shared" si="112"/>
        <v>#REF!</v>
      </c>
    </row>
    <row r="2617" spans="1:18" ht="15" customHeight="1">
      <c r="A2617" s="657">
        <f>IF(B2617="",MAX($A$8:A2616)+0,MAX($A$8:A2616)+1)</f>
        <v>304</v>
      </c>
      <c r="B2617" s="835" t="str">
        <f>IF(C2617="","",COUNTA($C$10:C2618))</f>
        <v/>
      </c>
      <c r="C2617" s="362"/>
      <c r="D2617" s="362"/>
      <c r="E2617" s="852" t="s">
        <v>566</v>
      </c>
      <c r="F2617" s="848" t="str">
        <f>VLOOKUP(E2617,DICH!B:C,2,FALSE)</f>
        <v>Calcium carbide</v>
      </c>
      <c r="G2617" s="362" t="s">
        <v>558</v>
      </c>
      <c r="H2617" s="847">
        <v>7.6999999999999999E-2</v>
      </c>
      <c r="I2617" s="848">
        <f>VLOOKUP(E2617,'11.gia '!$B:$I,8,FALSE)</f>
        <v>14000</v>
      </c>
      <c r="J2617" s="853">
        <f t="shared" si="113"/>
        <v>1078</v>
      </c>
      <c r="N2617" s="843" t="e">
        <f>SUMIF(#REF!,'8.Dgia'!A2617,#REF!)+SUMIF(#REF!,'8.Dgia'!A2617,#REF!)+SUMIF(#REF!,'8.Dgia'!A2617,#REF!)+SUMIF(#REF!,'8.Dgia'!A2617,#REF!)</f>
        <v>#REF!</v>
      </c>
      <c r="O2617" s="844"/>
      <c r="P2617" s="843" t="e">
        <f t="shared" si="112"/>
        <v>#REF!</v>
      </c>
    </row>
    <row r="2618" spans="1:18" ht="15" customHeight="1">
      <c r="A2618" s="657">
        <f>IF(B2618="",MAX($A$8:A2617)+0,MAX($A$8:A2617)+1)</f>
        <v>304</v>
      </c>
      <c r="B2618" s="835" t="str">
        <f>IF(C2618="","",COUNTA($C$10:C2619))</f>
        <v/>
      </c>
      <c r="C2618" s="362"/>
      <c r="D2618" s="362"/>
      <c r="E2618" s="852" t="s">
        <v>473</v>
      </c>
      <c r="F2618" s="848" t="str">
        <f>VLOOKUP(E2618,DICH!B:C,2,FALSE)</f>
        <v>turn buckle</v>
      </c>
      <c r="G2618" s="362" t="s">
        <v>558</v>
      </c>
      <c r="H2618" s="847">
        <v>3.2000000000000001E-2</v>
      </c>
      <c r="I2618" s="848">
        <f>VLOOKUP(E2618,'11.gia '!$B:$I,8,FALSE)</f>
        <v>25000</v>
      </c>
      <c r="J2618" s="853">
        <f t="shared" si="113"/>
        <v>800</v>
      </c>
      <c r="N2618" s="843" t="e">
        <f>SUMIF(#REF!,'8.Dgia'!A2618,#REF!)+SUMIF(#REF!,'8.Dgia'!A2618,#REF!)+SUMIF(#REF!,'8.Dgia'!A2618,#REF!)+SUMIF(#REF!,'8.Dgia'!A2618,#REF!)</f>
        <v>#REF!</v>
      </c>
      <c r="O2618" s="844"/>
      <c r="P2618" s="843" t="e">
        <f t="shared" si="112"/>
        <v>#REF!</v>
      </c>
    </row>
    <row r="2619" spans="1:18" ht="15" customHeight="1">
      <c r="A2619" s="657">
        <f>IF(B2619="",MAX($A$8:A2618)+0,MAX($A$8:A2618)+1)</f>
        <v>304</v>
      </c>
      <c r="B2619" s="835" t="str">
        <f>IF(C2619="","",COUNTA($C$10:C2620))</f>
        <v/>
      </c>
      <c r="C2619" s="362"/>
      <c r="D2619" s="362"/>
      <c r="E2619" s="852" t="s">
        <v>224</v>
      </c>
      <c r="F2619" s="848" t="str">
        <f>VLOOKUP(E2619,DICH!B:C,2,FALSE)</f>
        <v>Lubricant grease</v>
      </c>
      <c r="G2619" s="362" t="s">
        <v>558</v>
      </c>
      <c r="H2619" s="847">
        <v>0.52</v>
      </c>
      <c r="I2619" s="848">
        <f>VLOOKUP(E2619,'11.gia '!$B:$I,8,FALSE)</f>
        <v>15000</v>
      </c>
      <c r="J2619" s="853">
        <f t="shared" si="113"/>
        <v>7800</v>
      </c>
      <c r="N2619" s="843" t="e">
        <f>SUMIF(#REF!,'8.Dgia'!A2619,#REF!)+SUMIF(#REF!,'8.Dgia'!A2619,#REF!)+SUMIF(#REF!,'8.Dgia'!A2619,#REF!)+SUMIF(#REF!,'8.Dgia'!A2619,#REF!)</f>
        <v>#REF!</v>
      </c>
      <c r="O2619" s="844"/>
      <c r="P2619" s="843" t="e">
        <f t="shared" si="112"/>
        <v>#REF!</v>
      </c>
    </row>
    <row r="2620" spans="1:18" ht="15" customHeight="1">
      <c r="A2620" s="657">
        <f>IF(B2620="",MAX($A$8:A2619)+0,MAX($A$8:A2619)+1)</f>
        <v>304</v>
      </c>
      <c r="B2620" s="835" t="str">
        <f>IF(C2620="","",COUNTA($C$10:C2621))</f>
        <v/>
      </c>
      <c r="C2620" s="362"/>
      <c r="D2620" s="362"/>
      <c r="E2620" s="852" t="s">
        <v>225</v>
      </c>
      <c r="F2620" s="848" t="str">
        <f>VLOOKUP(E2620,DICH!B:C,2,FALSE)</f>
        <v>Bbolt M25x105</v>
      </c>
      <c r="G2620" s="362" t="s">
        <v>558</v>
      </c>
      <c r="H2620" s="847">
        <v>0.62</v>
      </c>
      <c r="I2620" s="848" t="e">
        <f>VLOOKUP(E2620,'11.gia '!$B:$I,8,FALSE)</f>
        <v>#N/A</v>
      </c>
      <c r="J2620" s="853" t="e">
        <f t="shared" si="113"/>
        <v>#N/A</v>
      </c>
      <c r="N2620" s="843" t="e">
        <f>SUMIF(#REF!,'8.Dgia'!A2620,#REF!)+SUMIF(#REF!,'8.Dgia'!A2620,#REF!)+SUMIF(#REF!,'8.Dgia'!A2620,#REF!)+SUMIF(#REF!,'8.Dgia'!A2620,#REF!)</f>
        <v>#REF!</v>
      </c>
      <c r="O2620" s="844"/>
      <c r="P2620" s="843" t="e">
        <f t="shared" si="112"/>
        <v>#REF!</v>
      </c>
    </row>
    <row r="2621" spans="1:18" ht="15" customHeight="1">
      <c r="A2621" s="657">
        <f>IF(B2621="",MAX($A$8:A2620)+0,MAX($A$8:A2620)+1)</f>
        <v>304</v>
      </c>
      <c r="B2621" s="835" t="str">
        <f>IF(C2621="","",COUNTA($C$10:C2622))</f>
        <v/>
      </c>
      <c r="C2621" s="362"/>
      <c r="D2621" s="362"/>
      <c r="E2621" s="852" t="s">
        <v>555</v>
      </c>
      <c r="F2621" s="848" t="str">
        <f>VLOOKUP(E2621,DICH!B:C,2,FALSE)</f>
        <v>Other material</v>
      </c>
      <c r="G2621" s="362" t="s">
        <v>554</v>
      </c>
      <c r="H2621" s="847">
        <v>3</v>
      </c>
      <c r="I2621" s="848" t="e">
        <f>SUM(J2613:J2620)</f>
        <v>#N/A</v>
      </c>
      <c r="J2621" s="853" t="e">
        <f>I2621*H2621%</f>
        <v>#N/A</v>
      </c>
      <c r="N2621" s="843" t="e">
        <f>SUMIF(#REF!,'8.Dgia'!A2621,#REF!)+SUMIF(#REF!,'8.Dgia'!A2621,#REF!)+SUMIF(#REF!,'8.Dgia'!A2621,#REF!)+SUMIF(#REF!,'8.Dgia'!A2621,#REF!)</f>
        <v>#REF!</v>
      </c>
      <c r="O2621" s="844"/>
      <c r="P2621" s="843" t="e">
        <f t="shared" si="112"/>
        <v>#REF!</v>
      </c>
    </row>
    <row r="2622" spans="1:18" ht="15" customHeight="1">
      <c r="A2622" s="657">
        <f>IF(B2622="",MAX($A$8:A2621)+0,MAX($A$8:A2621)+1)</f>
        <v>304</v>
      </c>
      <c r="B2622" s="835" t="str">
        <f>IF(C2622="","",COUNTA($C$10:C2623))</f>
        <v/>
      </c>
      <c r="C2622" s="362"/>
      <c r="D2622" s="362"/>
      <c r="E2622" s="661" t="s">
        <v>2040</v>
      </c>
      <c r="F2622" s="848" t="str">
        <f>VLOOKUP(E2622,DICH!B:C,2,FALSE)</f>
        <v xml:space="preserve">  B - Labour 4.5/7</v>
      </c>
      <c r="G2622" s="362" t="s">
        <v>4899</v>
      </c>
      <c r="H2622" s="847">
        <v>1.7</v>
      </c>
      <c r="I2622" s="848">
        <f>VLOOKUP(E2622,'16.NC'!$C$11:$F$22,4,FALSE)</f>
        <v>237875</v>
      </c>
      <c r="J2622" s="849">
        <f>I2622*H2622</f>
        <v>404387.5</v>
      </c>
      <c r="N2622" s="843" t="e">
        <f>SUMIF(#REF!,'8.Dgia'!A2622,#REF!)+SUMIF(#REF!,'8.Dgia'!A2622,#REF!)+SUMIF(#REF!,'8.Dgia'!A2622,#REF!)+SUMIF(#REF!,'8.Dgia'!A2622,#REF!)</f>
        <v>#REF!</v>
      </c>
      <c r="O2622" s="844"/>
      <c r="P2622" s="843" t="e">
        <f t="shared" si="112"/>
        <v>#REF!</v>
      </c>
      <c r="R2622" s="658">
        <v>1</v>
      </c>
    </row>
    <row r="2623" spans="1:18" ht="15" customHeight="1">
      <c r="A2623" s="657">
        <f>IF(B2623="",MAX($A$8:A2622)+0,MAX($A$8:A2622)+1)</f>
        <v>304</v>
      </c>
      <c r="B2623" s="835" t="str">
        <f>IF(C2623="","",COUNTA($C$10:C2624))</f>
        <v/>
      </c>
      <c r="C2623" s="362"/>
      <c r="D2623" s="362"/>
      <c r="E2623" s="852" t="s">
        <v>2033</v>
      </c>
      <c r="F2623" s="848" t="str">
        <f>VLOOKUP(E2623,DICH!B:C,2,FALSE)</f>
        <v xml:space="preserve">  C - Machine</v>
      </c>
      <c r="G2623" s="846"/>
      <c r="H2623" s="847"/>
      <c r="I2623" s="848"/>
      <c r="J2623" s="849">
        <f>SUM(J2624:J2628)</f>
        <v>25573.2458415</v>
      </c>
      <c r="N2623" s="843" t="e">
        <f>SUMIF(#REF!,'8.Dgia'!A2623,#REF!)+SUMIF(#REF!,'8.Dgia'!A2623,#REF!)+SUMIF(#REF!,'8.Dgia'!A2623,#REF!)+SUMIF(#REF!,'8.Dgia'!A2623,#REF!)</f>
        <v>#REF!</v>
      </c>
      <c r="O2623" s="844"/>
      <c r="P2623" s="843" t="e">
        <f t="shared" si="112"/>
        <v>#REF!</v>
      </c>
    </row>
    <row r="2624" spans="1:18" ht="15" customHeight="1">
      <c r="A2624" s="657">
        <f>IF(B2624="",MAX($A$8:A2623)+0,MAX($A$8:A2623)+1)</f>
        <v>304</v>
      </c>
      <c r="B2624" s="835" t="str">
        <f>IF(C2624="","",COUNTA($C$10:C2625))</f>
        <v/>
      </c>
      <c r="C2624" s="362"/>
      <c r="D2624" s="362"/>
      <c r="E2624" s="852" t="s">
        <v>560</v>
      </c>
      <c r="F2624" s="848" t="str">
        <f>VLOOKUP(E2624,'9.may'!E:F,2,FALSE)</f>
        <v>welding machine 23kW</v>
      </c>
      <c r="G2624" s="362" t="s">
        <v>4902</v>
      </c>
      <c r="H2624" s="847">
        <v>4.4999999999999998E-2</v>
      </c>
      <c r="I2624" s="848">
        <f>VLOOKUP(E2624,'9.may'!E:W,12,FALSE)</f>
        <v>171649.155</v>
      </c>
      <c r="J2624" s="853">
        <f>I2624*H2624</f>
        <v>7724.2119749999993</v>
      </c>
      <c r="N2624" s="843" t="e">
        <f>SUMIF(#REF!,'8.Dgia'!A2624,#REF!)+SUMIF(#REF!,'8.Dgia'!A2624,#REF!)+SUMIF(#REF!,'8.Dgia'!A2624,#REF!)+SUMIF(#REF!,'8.Dgia'!A2624,#REF!)</f>
        <v>#REF!</v>
      </c>
      <c r="O2624" s="844"/>
      <c r="P2624" s="843" t="e">
        <f t="shared" si="112"/>
        <v>#REF!</v>
      </c>
    </row>
    <row r="2625" spans="1:18" ht="15" customHeight="1">
      <c r="A2625" s="657">
        <f>IF(B2625="",MAX($A$8:A2624)+0,MAX($A$8:A2624)+1)</f>
        <v>304</v>
      </c>
      <c r="B2625" s="835" t="str">
        <f>IF(C2625="","",COUNTA($C$10:C2626))</f>
        <v/>
      </c>
      <c r="C2625" s="362"/>
      <c r="D2625" s="362"/>
      <c r="E2625" s="852" t="s">
        <v>1424</v>
      </c>
      <c r="F2625" s="848" t="str">
        <f>VLOOKUP(E2625,'9.may'!E:F,2,FALSE)</f>
        <v>bender cutter 5Kw</v>
      </c>
      <c r="G2625" s="362" t="s">
        <v>4902</v>
      </c>
      <c r="H2625" s="847">
        <v>2.5000000000000001E-3</v>
      </c>
      <c r="I2625" s="848">
        <f>VLOOKUP(E2625,'9.may'!E:W,12,FALSE)</f>
        <v>80291.850000000006</v>
      </c>
      <c r="J2625" s="853">
        <f>I2625*H2625</f>
        <v>200.72962500000003</v>
      </c>
      <c r="N2625" s="843" t="e">
        <f>SUMIF(#REF!,'8.Dgia'!A2625,#REF!)+SUMIF(#REF!,'8.Dgia'!A2625,#REF!)+SUMIF(#REF!,'8.Dgia'!A2625,#REF!)+SUMIF(#REF!,'8.Dgia'!A2625,#REF!)</f>
        <v>#REF!</v>
      </c>
      <c r="O2625" s="844"/>
      <c r="P2625" s="843" t="e">
        <f t="shared" si="112"/>
        <v>#REF!</v>
      </c>
    </row>
    <row r="2626" spans="1:18" ht="15" customHeight="1">
      <c r="A2626" s="657">
        <f>IF(B2626="",MAX($A$8:A2625)+0,MAX($A$8:A2625)+1)</f>
        <v>304</v>
      </c>
      <c r="B2626" s="835" t="str">
        <f>IF(C2626="","",COUNTA($C$10:C2627))</f>
        <v/>
      </c>
      <c r="C2626" s="362"/>
      <c r="D2626" s="362"/>
      <c r="E2626" s="852" t="s">
        <v>614</v>
      </c>
      <c r="F2626" s="848" t="str">
        <f>VLOOKUP(E2626,'9.may'!E:F,2,FALSE)</f>
        <v>electric winch 3Ton</v>
      </c>
      <c r="G2626" s="362" t="s">
        <v>4902</v>
      </c>
      <c r="H2626" s="847">
        <v>0.01</v>
      </c>
      <c r="I2626" s="848">
        <f>VLOOKUP(E2626,'9.may'!E:W,12,FALSE)</f>
        <v>108443.97000000002</v>
      </c>
      <c r="J2626" s="853">
        <f>I2626*H2626</f>
        <v>1084.4397000000001</v>
      </c>
      <c r="N2626" s="843" t="e">
        <f>SUMIF(#REF!,'8.Dgia'!A2626,#REF!)+SUMIF(#REF!,'8.Dgia'!A2626,#REF!)+SUMIF(#REF!,'8.Dgia'!A2626,#REF!)+SUMIF(#REF!,'8.Dgia'!A2626,#REF!)</f>
        <v>#REF!</v>
      </c>
      <c r="O2626" s="844"/>
      <c r="P2626" s="843" t="e">
        <f t="shared" si="112"/>
        <v>#REF!</v>
      </c>
    </row>
    <row r="2627" spans="1:18" ht="15" customHeight="1">
      <c r="A2627" s="657">
        <f>IF(B2627="",MAX($A$8:A2626)+0,MAX($A$8:A2626)+1)</f>
        <v>304</v>
      </c>
      <c r="B2627" s="835" t="str">
        <f>IF(C2627="","",COUNTA($C$10:C2628))</f>
        <v/>
      </c>
      <c r="C2627" s="362"/>
      <c r="D2627" s="362"/>
      <c r="E2627" s="852" t="s">
        <v>286</v>
      </c>
      <c r="F2627" s="848" t="str">
        <f>VLOOKUP(E2627,'9.may'!E:F,2,FALSE)</f>
        <v>tyre crane 16T</v>
      </c>
      <c r="G2627" s="362" t="s">
        <v>4902</v>
      </c>
      <c r="H2627" s="847">
        <v>8.0000000000000002E-3</v>
      </c>
      <c r="I2627" s="848">
        <f>VLOOKUP(E2627,'9.may'!E:W,12,FALSE)</f>
        <v>2023241.85</v>
      </c>
      <c r="J2627" s="853">
        <f>I2627*H2627</f>
        <v>16185.934800000001</v>
      </c>
      <c r="N2627" s="843" t="e">
        <f>SUMIF(#REF!,'8.Dgia'!A2627,#REF!)+SUMIF(#REF!,'8.Dgia'!A2627,#REF!)+SUMIF(#REF!,'8.Dgia'!A2627,#REF!)+SUMIF(#REF!,'8.Dgia'!A2627,#REF!)</f>
        <v>#REF!</v>
      </c>
      <c r="O2627" s="844"/>
      <c r="P2627" s="843" t="e">
        <f t="shared" si="112"/>
        <v>#REF!</v>
      </c>
    </row>
    <row r="2628" spans="1:18" ht="15" customHeight="1">
      <c r="A2628" s="657">
        <f>IF(B2628="",MAX($A$8:A2627)+0,MAX($A$8:A2627)+1)</f>
        <v>304</v>
      </c>
      <c r="B2628" s="835" t="str">
        <f>IF(C2628="","",COUNTA($C$10:C2629))</f>
        <v/>
      </c>
      <c r="C2628" s="362"/>
      <c r="D2628" s="362"/>
      <c r="E2628" s="852" t="s">
        <v>553</v>
      </c>
      <c r="F2628" s="848" t="str">
        <f>VLOOKUP(E2628,DICH!B:C,2,FALSE)</f>
        <v>Other machine</v>
      </c>
      <c r="G2628" s="362" t="s">
        <v>554</v>
      </c>
      <c r="H2628" s="847">
        <v>1.5</v>
      </c>
      <c r="I2628" s="848">
        <f>SUM(J2624:J2627)</f>
        <v>25195.3161</v>
      </c>
      <c r="J2628" s="853">
        <f>I2628*H2628%</f>
        <v>377.92974149999998</v>
      </c>
      <c r="N2628" s="843" t="e">
        <f>SUMIF(#REF!,'8.Dgia'!A2628,#REF!)+SUMIF(#REF!,'8.Dgia'!A2628,#REF!)+SUMIF(#REF!,'8.Dgia'!A2628,#REF!)+SUMIF(#REF!,'8.Dgia'!A2628,#REF!)</f>
        <v>#REF!</v>
      </c>
      <c r="O2628" s="844"/>
      <c r="P2628" s="843" t="e">
        <f t="shared" si="112"/>
        <v>#REF!</v>
      </c>
    </row>
    <row r="2629" spans="1:18" ht="15" customHeight="1">
      <c r="A2629" s="657">
        <f>IF(B2629="",MAX($A$8:A2628)+0,MAX($A$8:A2628)+1)</f>
        <v>305</v>
      </c>
      <c r="B2629" s="835">
        <f>IF(C2629="","",COUNTA($C$10:C2630))</f>
        <v>305</v>
      </c>
      <c r="C2629" s="835" t="s">
        <v>2051</v>
      </c>
      <c r="D2629" s="851" t="s">
        <v>2056</v>
      </c>
      <c r="E2629" s="870" t="s">
        <v>227</v>
      </c>
      <c r="F2629" s="1049" t="str">
        <f>VLOOKUP(E2629,DICH!B:C,2,FALSE)</f>
        <v>Install &amp; remove inter formwork by steel super T beam, co=1.4</v>
      </c>
      <c r="G2629" s="856" t="s">
        <v>548</v>
      </c>
      <c r="H2629" s="847">
        <v>1</v>
      </c>
      <c r="I2629" s="848"/>
      <c r="J2629" s="853"/>
      <c r="K2629" s="842">
        <f>+J2630</f>
        <v>5239.090909090909</v>
      </c>
      <c r="L2629" s="842">
        <f>+J2634</f>
        <v>104665</v>
      </c>
      <c r="M2629" s="842">
        <f>+J2635</f>
        <v>86583.25708523998</v>
      </c>
      <c r="N2629" s="843" t="e">
        <f>SUMIF(#REF!,'8.Dgia'!A2629,#REF!)+SUMIF(#REF!,'8.Dgia'!A2629,#REF!)+SUMIF(#REF!,'8.Dgia'!A2629,#REF!)+SUMIF(#REF!,'8.Dgia'!A2629,#REF!)</f>
        <v>#REF!</v>
      </c>
      <c r="O2629" s="844"/>
      <c r="P2629" s="843" t="e">
        <f t="shared" si="112"/>
        <v>#REF!</v>
      </c>
    </row>
    <row r="2630" spans="1:18" ht="15" customHeight="1">
      <c r="A2630" s="657">
        <f>IF(B2630="",MAX($A$8:A2629)+0,MAX($A$8:A2629)+1)</f>
        <v>305</v>
      </c>
      <c r="B2630" s="835" t="str">
        <f>IF(C2630="","",COUNTA($C$10:C2631))</f>
        <v/>
      </c>
      <c r="C2630" s="362"/>
      <c r="D2630" s="362"/>
      <c r="E2630" s="661" t="s">
        <v>2032</v>
      </c>
      <c r="F2630" s="848" t="str">
        <f>VLOOKUP(E2630,DICH!B:C,2,FALSE)</f>
        <v xml:space="preserve">  A - Material</v>
      </c>
      <c r="G2630" s="846"/>
      <c r="H2630" s="847"/>
      <c r="I2630" s="848"/>
      <c r="J2630" s="849">
        <f>SUM(J2631:J2633)</f>
        <v>5239.090909090909</v>
      </c>
      <c r="N2630" s="843" t="e">
        <f>SUMIF(#REF!,'8.Dgia'!A2630,#REF!)+SUMIF(#REF!,'8.Dgia'!A2630,#REF!)+SUMIF(#REF!,'8.Dgia'!A2630,#REF!)+SUMIF(#REF!,'8.Dgia'!A2630,#REF!)</f>
        <v>#REF!</v>
      </c>
      <c r="O2630" s="844"/>
      <c r="P2630" s="843" t="e">
        <f t="shared" si="112"/>
        <v>#REF!</v>
      </c>
    </row>
    <row r="2631" spans="1:18" ht="15" customHeight="1">
      <c r="A2631" s="657">
        <f>IF(B2631="",MAX($A$8:A2630)+0,MAX($A$8:A2630)+1)</f>
        <v>305</v>
      </c>
      <c r="B2631" s="835" t="str">
        <f>IF(C2631="","",COUNTA($C$10:C2632))</f>
        <v/>
      </c>
      <c r="C2631" s="362"/>
      <c r="D2631" s="362"/>
      <c r="E2631" s="852" t="s">
        <v>559</v>
      </c>
      <c r="F2631" s="848" t="str">
        <f>VLOOKUP(E2631,DICH!B:C,2,FALSE)</f>
        <v>welding electrode</v>
      </c>
      <c r="G2631" s="362" t="s">
        <v>558</v>
      </c>
      <c r="H2631" s="847">
        <f>0.18*H2629</f>
        <v>0.18</v>
      </c>
      <c r="I2631" s="848">
        <f>VLOOKUP(E2631,'11.gia '!$B:$I,8,FALSE)</f>
        <v>19090.909090909088</v>
      </c>
      <c r="J2631" s="853">
        <f>I2631*H2631</f>
        <v>3436.3636363636356</v>
      </c>
      <c r="N2631" s="843" t="e">
        <f>SUMIF(#REF!,'8.Dgia'!A2631,#REF!)+SUMIF(#REF!,'8.Dgia'!A2631,#REF!)+SUMIF(#REF!,'8.Dgia'!A2631,#REF!)+SUMIF(#REF!,'8.Dgia'!A2631,#REF!)</f>
        <v>#REF!</v>
      </c>
      <c r="O2631" s="844">
        <f>+$H$2633</f>
        <v>2</v>
      </c>
      <c r="P2631" s="843" t="e">
        <f t="shared" si="112"/>
        <v>#REF!</v>
      </c>
    </row>
    <row r="2632" spans="1:18" ht="15" customHeight="1">
      <c r="A2632" s="657">
        <f>IF(B2632="",MAX($A$8:A2631)+0,MAX($A$8:A2631)+1)</f>
        <v>305</v>
      </c>
      <c r="B2632" s="835" t="str">
        <f>IF(C2632="","",COUNTA($C$10:C2633))</f>
        <v/>
      </c>
      <c r="C2632" s="362"/>
      <c r="D2632" s="362"/>
      <c r="E2632" s="852" t="s">
        <v>406</v>
      </c>
      <c r="F2632" s="848" t="str">
        <f>VLOOKUP(E2632,DICH!B:C,2,FALSE)</f>
        <v xml:space="preserve">Grinding stone </v>
      </c>
      <c r="G2632" s="362" t="s">
        <v>573</v>
      </c>
      <c r="H2632" s="847">
        <f>0.068*H2629</f>
        <v>6.8000000000000005E-2</v>
      </c>
      <c r="I2632" s="848">
        <f>VLOOKUP(E2632,'11.gia '!$B:$I,8,FALSE)</f>
        <v>25000</v>
      </c>
      <c r="J2632" s="853">
        <f>I2632*H2632</f>
        <v>1700.0000000000002</v>
      </c>
      <c r="N2632" s="843" t="e">
        <f>SUMIF(#REF!,'8.Dgia'!A2632,#REF!)+SUMIF(#REF!,'8.Dgia'!A2632,#REF!)+SUMIF(#REF!,'8.Dgia'!A2632,#REF!)+SUMIF(#REF!,'8.Dgia'!A2632,#REF!)</f>
        <v>#REF!</v>
      </c>
      <c r="O2632" s="844">
        <f>+$H$2633</f>
        <v>2</v>
      </c>
      <c r="P2632" s="843" t="e">
        <f t="shared" si="112"/>
        <v>#REF!</v>
      </c>
    </row>
    <row r="2633" spans="1:18" ht="15" customHeight="1">
      <c r="A2633" s="657">
        <f>IF(B2633="",MAX($A$8:A2632)+0,MAX($A$8:A2632)+1)</f>
        <v>305</v>
      </c>
      <c r="B2633" s="835" t="str">
        <f>IF(C2633="","",COUNTA($C$10:C2634))</f>
        <v/>
      </c>
      <c r="C2633" s="362"/>
      <c r="D2633" s="362"/>
      <c r="E2633" s="852" t="s">
        <v>555</v>
      </c>
      <c r="F2633" s="848" t="str">
        <f>VLOOKUP(E2633,DICH!B:C,2,FALSE)</f>
        <v>Other material</v>
      </c>
      <c r="G2633" s="362" t="s">
        <v>554</v>
      </c>
      <c r="H2633" s="847">
        <v>2</v>
      </c>
      <c r="I2633" s="848">
        <f>SUM(J2631:J2632)</f>
        <v>5136.363636363636</v>
      </c>
      <c r="J2633" s="853">
        <f>I2633*H2633%</f>
        <v>102.72727272727272</v>
      </c>
      <c r="N2633" s="843" t="e">
        <f>SUMIF(#REF!,'8.Dgia'!A2633,#REF!)+SUMIF(#REF!,'8.Dgia'!A2633,#REF!)+SUMIF(#REF!,'8.Dgia'!A2633,#REF!)+SUMIF(#REF!,'8.Dgia'!A2633,#REF!)</f>
        <v>#REF!</v>
      </c>
      <c r="O2633" s="844"/>
      <c r="P2633" s="843" t="e">
        <f t="shared" si="112"/>
        <v>#REF!</v>
      </c>
    </row>
    <row r="2634" spans="1:18" ht="15" customHeight="1">
      <c r="A2634" s="657">
        <f>IF(B2634="",MAX($A$8:A2633)+0,MAX($A$8:A2633)+1)</f>
        <v>305</v>
      </c>
      <c r="B2634" s="835" t="str">
        <f>IF(C2634="","",COUNTA($C$10:C2635))</f>
        <v/>
      </c>
      <c r="C2634" s="362"/>
      <c r="D2634" s="362"/>
      <c r="E2634" s="661" t="s">
        <v>2040</v>
      </c>
      <c r="F2634" s="848" t="str">
        <f>VLOOKUP(E2634,DICH!B:C,2,FALSE)</f>
        <v xml:space="preserve">  B - Labour 4.5/7</v>
      </c>
      <c r="G2634" s="362" t="s">
        <v>4899</v>
      </c>
      <c r="H2634" s="847">
        <f>0.44*H2629</f>
        <v>0.44</v>
      </c>
      <c r="I2634" s="848">
        <f>VLOOKUP(E2634,'16.NC'!$C$11:$F$22,4,FALSE)</f>
        <v>237875</v>
      </c>
      <c r="J2634" s="849">
        <f>I2634*H2634</f>
        <v>104665</v>
      </c>
      <c r="N2634" s="843" t="e">
        <f>SUMIF(#REF!,'8.Dgia'!A2634,#REF!)+SUMIF(#REF!,'8.Dgia'!A2634,#REF!)+SUMIF(#REF!,'8.Dgia'!A2634,#REF!)+SUMIF(#REF!,'8.Dgia'!A2634,#REF!)</f>
        <v>#REF!</v>
      </c>
      <c r="O2634" s="844"/>
      <c r="P2634" s="843" t="e">
        <f t="shared" si="112"/>
        <v>#REF!</v>
      </c>
      <c r="R2634" s="658">
        <v>1</v>
      </c>
    </row>
    <row r="2635" spans="1:18" ht="15" customHeight="1">
      <c r="A2635" s="657">
        <f>IF(B2635="",MAX($A$8:A2634)+0,MAX($A$8:A2634)+1)</f>
        <v>305</v>
      </c>
      <c r="B2635" s="835" t="str">
        <f>IF(C2635="","",COUNTA($C$10:C2636))</f>
        <v/>
      </c>
      <c r="C2635" s="362"/>
      <c r="D2635" s="362"/>
      <c r="E2635" s="852" t="s">
        <v>2033</v>
      </c>
      <c r="F2635" s="848" t="str">
        <f>VLOOKUP(E2635,DICH!B:C,2,FALSE)</f>
        <v xml:space="preserve">  C - Machine</v>
      </c>
      <c r="G2635" s="846"/>
      <c r="H2635" s="847"/>
      <c r="I2635" s="848"/>
      <c r="J2635" s="849">
        <f>SUM(J2636:J2639)</f>
        <v>86583.25708523998</v>
      </c>
      <c r="N2635" s="843" t="e">
        <f>SUMIF(#REF!,'8.Dgia'!A2635,#REF!)+SUMIF(#REF!,'8.Dgia'!A2635,#REF!)+SUMIF(#REF!,'8.Dgia'!A2635,#REF!)+SUMIF(#REF!,'8.Dgia'!A2635,#REF!)</f>
        <v>#REF!</v>
      </c>
      <c r="O2635" s="844"/>
      <c r="P2635" s="843" t="e">
        <f t="shared" si="112"/>
        <v>#REF!</v>
      </c>
    </row>
    <row r="2636" spans="1:18" ht="15" customHeight="1">
      <c r="A2636" s="657">
        <f>IF(B2636="",MAX($A$8:A2635)+0,MAX($A$8:A2635)+1)</f>
        <v>305</v>
      </c>
      <c r="B2636" s="835" t="str">
        <f>IF(C2636="","",COUNTA($C$10:C2637))</f>
        <v/>
      </c>
      <c r="C2636" s="362"/>
      <c r="D2636" s="362"/>
      <c r="E2636" s="852" t="s">
        <v>560</v>
      </c>
      <c r="F2636" s="848" t="str">
        <f>VLOOKUP(E2636,'9.may'!E:F,2,FALSE)</f>
        <v>welding machine 23kW</v>
      </c>
      <c r="G2636" s="362" t="s">
        <v>4902</v>
      </c>
      <c r="H2636" s="847">
        <f>0.02*H2629</f>
        <v>0.02</v>
      </c>
      <c r="I2636" s="848">
        <f>VLOOKUP(E2636,'9.may'!E:W,12,FALSE)</f>
        <v>171649.155</v>
      </c>
      <c r="J2636" s="853">
        <f>I2636*H2636</f>
        <v>3432.9830999999999</v>
      </c>
      <c r="N2636" s="843" t="e">
        <f>SUMIF(#REF!,'8.Dgia'!A2636,#REF!)+SUMIF(#REF!,'8.Dgia'!A2636,#REF!)+SUMIF(#REF!,'8.Dgia'!A2636,#REF!)+SUMIF(#REF!,'8.Dgia'!A2636,#REF!)</f>
        <v>#REF!</v>
      </c>
      <c r="O2636" s="844">
        <f>+$H$2639</f>
        <v>2</v>
      </c>
      <c r="P2636" s="843" t="e">
        <f t="shared" si="112"/>
        <v>#REF!</v>
      </c>
    </row>
    <row r="2637" spans="1:18" ht="15" customHeight="1">
      <c r="A2637" s="657">
        <f>IF(B2637="",MAX($A$8:A2636)+0,MAX($A$8:A2636)+1)</f>
        <v>305</v>
      </c>
      <c r="B2637" s="835" t="str">
        <f>IF(C2637="","",COUNTA($C$10:C2638))</f>
        <v/>
      </c>
      <c r="C2637" s="362"/>
      <c r="D2637" s="362"/>
      <c r="E2637" s="852" t="s">
        <v>1437</v>
      </c>
      <c r="F2637" s="848" t="str">
        <f>VLOOKUP(E2637,'9.may'!E:F,2,FALSE)</f>
        <v>sharpener 2.7kW</v>
      </c>
      <c r="G2637" s="362" t="s">
        <v>4902</v>
      </c>
      <c r="H2637" s="847">
        <f>0.02*H2629</f>
        <v>0.02</v>
      </c>
      <c r="I2637" s="848">
        <f>VLOOKUP(E2637,'9.may'!E:W,12,FALSE)</f>
        <v>67591.852499999994</v>
      </c>
      <c r="J2637" s="853">
        <f>I2637*H2637</f>
        <v>1351.8370499999999</v>
      </c>
      <c r="N2637" s="843" t="e">
        <f>SUMIF(#REF!,'8.Dgia'!A2637,#REF!)+SUMIF(#REF!,'8.Dgia'!A2637,#REF!)+SUMIF(#REF!,'8.Dgia'!A2637,#REF!)+SUMIF(#REF!,'8.Dgia'!A2637,#REF!)</f>
        <v>#REF!</v>
      </c>
      <c r="O2637" s="844">
        <f>+$H$2639</f>
        <v>2</v>
      </c>
      <c r="P2637" s="843" t="e">
        <f t="shared" si="112"/>
        <v>#REF!</v>
      </c>
    </row>
    <row r="2638" spans="1:18" ht="15" customHeight="1">
      <c r="A2638" s="657">
        <f>IF(B2638="",MAX($A$8:A2637)+0,MAX($A$8:A2637)+1)</f>
        <v>305</v>
      </c>
      <c r="B2638" s="835" t="str">
        <f>IF(C2638="","",COUNTA($C$10:C2639))</f>
        <v/>
      </c>
      <c r="C2638" s="362"/>
      <c r="D2638" s="362"/>
      <c r="E2638" s="852" t="s">
        <v>1074</v>
      </c>
      <c r="F2638" s="848" t="str">
        <f>VLOOKUP(E2638,'9.may'!E:F,2,FALSE)</f>
        <v>beam-launch crane</v>
      </c>
      <c r="G2638" s="362" t="s">
        <v>4902</v>
      </c>
      <c r="H2638" s="847">
        <f>0.018*H2629</f>
        <v>1.7999999999999999E-2</v>
      </c>
      <c r="I2638" s="848">
        <f>VLOOKUP(E2638,'9.may'!E:W,12,FALSE)</f>
        <v>4450040.3339999998</v>
      </c>
      <c r="J2638" s="853">
        <f>I2638*H2638</f>
        <v>80100.726011999985</v>
      </c>
      <c r="N2638" s="843" t="e">
        <f>SUMIF(#REF!,'8.Dgia'!A2638,#REF!)+SUMIF(#REF!,'8.Dgia'!A2638,#REF!)+SUMIF(#REF!,'8.Dgia'!A2638,#REF!)+SUMIF(#REF!,'8.Dgia'!A2638,#REF!)</f>
        <v>#REF!</v>
      </c>
      <c r="O2638" s="844">
        <f>+$H$2639</f>
        <v>2</v>
      </c>
      <c r="P2638" s="843" t="e">
        <f t="shared" si="112"/>
        <v>#REF!</v>
      </c>
    </row>
    <row r="2639" spans="1:18" ht="15" customHeight="1">
      <c r="A2639" s="657">
        <f>IF(B2639="",MAX($A$8:A2638)+0,MAX($A$8:A2638)+1)</f>
        <v>305</v>
      </c>
      <c r="B2639" s="835" t="str">
        <f>IF(C2639="","",COUNTA($C$10:C2640))</f>
        <v/>
      </c>
      <c r="C2639" s="362"/>
      <c r="D2639" s="362"/>
      <c r="E2639" s="852" t="s">
        <v>553</v>
      </c>
      <c r="F2639" s="848" t="str">
        <f>VLOOKUP(E2639,DICH!B:C,2,FALSE)</f>
        <v>Other machine</v>
      </c>
      <c r="G2639" s="362" t="s">
        <v>554</v>
      </c>
      <c r="H2639" s="847">
        <v>2</v>
      </c>
      <c r="I2639" s="848">
        <f>SUM(J2636:J2638)</f>
        <v>84885.546161999984</v>
      </c>
      <c r="J2639" s="853">
        <f>I2639*H2639%</f>
        <v>1697.7109232399998</v>
      </c>
      <c r="N2639" s="843" t="e">
        <f>SUMIF(#REF!,'8.Dgia'!A2639,#REF!)+SUMIF(#REF!,'8.Dgia'!A2639,#REF!)+SUMIF(#REF!,'8.Dgia'!A2639,#REF!)+SUMIF(#REF!,'8.Dgia'!A2639,#REF!)</f>
        <v>#REF!</v>
      </c>
      <c r="O2639" s="844"/>
      <c r="P2639" s="843" t="e">
        <f t="shared" si="112"/>
        <v>#REF!</v>
      </c>
    </row>
    <row r="2640" spans="1:18" ht="15" customHeight="1">
      <c r="A2640" s="657">
        <f>IF(B2640="",MAX($A$8:A2639)+0,MAX($A$8:A2639)+1)</f>
        <v>306</v>
      </c>
      <c r="B2640" s="835">
        <f>IF(C2640="","",COUNTA($C$10:C2641))</f>
        <v>306</v>
      </c>
      <c r="C2640" s="835">
        <v>159</v>
      </c>
      <c r="D2640" s="851" t="s">
        <v>397</v>
      </c>
      <c r="E2640" s="870" t="s">
        <v>230</v>
      </c>
      <c r="F2640" s="1049" t="str">
        <f>VLOOKUP(E2640,DICH!B:C,2,FALSE)</f>
        <v>Non - shringkage motar covering ultrasonic pipe</v>
      </c>
      <c r="G2640" s="856" t="s">
        <v>545</v>
      </c>
      <c r="H2640" s="847"/>
      <c r="I2640" s="848"/>
      <c r="J2640" s="853"/>
      <c r="K2640" s="842">
        <f>+J2641</f>
        <v>3467477.9954116358</v>
      </c>
      <c r="L2640" s="842">
        <f>+J2646</f>
        <v>7815693.9000000004</v>
      </c>
      <c r="M2640" s="842">
        <f>+J2647</f>
        <v>102972.00913200001</v>
      </c>
      <c r="N2640" s="843" t="e">
        <f>SUMIF(#REF!,'8.Dgia'!A2640,#REF!)+SUMIF(#REF!,'8.Dgia'!A2640,#REF!)+SUMIF(#REF!,'8.Dgia'!A2640,#REF!)+SUMIF(#REF!,'8.Dgia'!A2640,#REF!)</f>
        <v>#REF!</v>
      </c>
      <c r="O2640" s="844"/>
      <c r="P2640" s="843" t="e">
        <f t="shared" si="112"/>
        <v>#REF!</v>
      </c>
    </row>
    <row r="2641" spans="1:18" s="658" customFormat="1" ht="15" customHeight="1">
      <c r="A2641" s="657">
        <f>IF(B2641="",MAX($A$8:A2640)+0,MAX($A$8:A2640)+1)</f>
        <v>306</v>
      </c>
      <c r="B2641" s="835" t="str">
        <f>IF(C2641="","",COUNTA($C$10:C2642))</f>
        <v/>
      </c>
      <c r="C2641" s="362"/>
      <c r="D2641" s="845"/>
      <c r="E2641" s="661" t="s">
        <v>2032</v>
      </c>
      <c r="F2641" s="848" t="str">
        <f>VLOOKUP(E2641,DICH!B:C,2,FALSE)</f>
        <v xml:space="preserve">  A - Material</v>
      </c>
      <c r="G2641" s="846"/>
      <c r="H2641" s="847"/>
      <c r="I2641" s="848"/>
      <c r="J2641" s="849">
        <f>SUM(J2642:J2645)</f>
        <v>3467477.9954116358</v>
      </c>
      <c r="K2641" s="850"/>
      <c r="L2641" s="850"/>
      <c r="M2641" s="850"/>
      <c r="N2641" s="843" t="e">
        <f>SUMIF(#REF!,'8.Dgia'!A2641,#REF!)+SUMIF(#REF!,'8.Dgia'!A2641,#REF!)+SUMIF(#REF!,'8.Dgia'!A2641,#REF!)+SUMIF(#REF!,'8.Dgia'!A2641,#REF!)</f>
        <v>#REF!</v>
      </c>
      <c r="O2641" s="844"/>
      <c r="P2641" s="843" t="e">
        <f t="shared" si="112"/>
        <v>#REF!</v>
      </c>
    </row>
    <row r="2642" spans="1:18" ht="15" customHeight="1">
      <c r="A2642" s="657">
        <f>IF(B2642="",MAX($A$8:A2641)+0,MAX($A$8:A2641)+1)</f>
        <v>306</v>
      </c>
      <c r="B2642" s="835" t="str">
        <f>IF(C2642="","",COUNTA($C$10:C2643))</f>
        <v/>
      </c>
      <c r="C2642" s="851"/>
      <c r="D2642" s="851"/>
      <c r="E2642" s="852" t="s">
        <v>458</v>
      </c>
      <c r="F2642" s="848" t="str">
        <f>VLOOKUP(E2642,DICH!B:C,2,FALSE)</f>
        <v>cement PC40</v>
      </c>
      <c r="G2642" s="362" t="s">
        <v>558</v>
      </c>
      <c r="H2642" s="847">
        <v>1410</v>
      </c>
      <c r="I2642" s="848">
        <f>VLOOKUP(E2642,'11.gia '!$B:$I,8,FALSE)</f>
        <v>1507.3863054545452</v>
      </c>
      <c r="J2642" s="853">
        <f>I2642*H2642</f>
        <v>2125414.6906909086</v>
      </c>
      <c r="N2642" s="843" t="e">
        <f>SUMIF(#REF!,'8.Dgia'!A2642,#REF!)+SUMIF(#REF!,'8.Dgia'!A2642,#REF!)+SUMIF(#REF!,'8.Dgia'!A2642,#REF!)+SUMIF(#REF!,'8.Dgia'!A2642,#REF!)</f>
        <v>#REF!</v>
      </c>
      <c r="O2642" s="844">
        <f>+$H$2645</f>
        <v>3</v>
      </c>
      <c r="P2642" s="843" t="e">
        <f t="shared" si="112"/>
        <v>#REF!</v>
      </c>
    </row>
    <row r="2643" spans="1:18" ht="15" customHeight="1">
      <c r="A2643" s="657">
        <f>IF(B2643="",MAX($A$8:A2642)+0,MAX($A$8:A2642)+1)</f>
        <v>306</v>
      </c>
      <c r="B2643" s="835" t="str">
        <f>IF(C2643="","",COUNTA($C$10:C2644))</f>
        <v/>
      </c>
      <c r="C2643" s="851"/>
      <c r="D2643" s="851"/>
      <c r="E2643" s="852" t="s">
        <v>90</v>
      </c>
      <c r="F2643" s="848" t="str">
        <f>VLOOKUP(E2643,DICH!B:C,2,FALSE)</f>
        <v>Sikament R4</v>
      </c>
      <c r="G2643" s="362" t="s">
        <v>558</v>
      </c>
      <c r="H2643" s="847">
        <v>8.11</v>
      </c>
      <c r="I2643" s="848">
        <f>VLOOKUP(E2643,'11.gia '!$B:$I,8,FALSE)</f>
        <v>17280</v>
      </c>
      <c r="J2643" s="853">
        <f>I2643*H2643</f>
        <v>140140.79999999999</v>
      </c>
      <c r="N2643" s="843" t="e">
        <f>SUMIF(#REF!,'8.Dgia'!A2643,#REF!)+SUMIF(#REF!,'8.Dgia'!A2643,#REF!)+SUMIF(#REF!,'8.Dgia'!A2643,#REF!)+SUMIF(#REF!,'8.Dgia'!A2643,#REF!)</f>
        <v>#REF!</v>
      </c>
      <c r="O2643" s="844">
        <f>+$H$2645</f>
        <v>3</v>
      </c>
      <c r="P2643" s="843" t="e">
        <f t="shared" si="112"/>
        <v>#REF!</v>
      </c>
    </row>
    <row r="2644" spans="1:18" ht="15" customHeight="1">
      <c r="A2644" s="657">
        <f>IF(B2644="",MAX($A$8:A2643)+0,MAX($A$8:A2643)+1)</f>
        <v>306</v>
      </c>
      <c r="B2644" s="835" t="str">
        <f>IF(C2644="","",COUNTA($C$10:C2645))</f>
        <v/>
      </c>
      <c r="C2644" s="851"/>
      <c r="D2644" s="851"/>
      <c r="E2644" s="852" t="s">
        <v>91</v>
      </c>
      <c r="F2644" s="848" t="str">
        <f>VLOOKUP(E2644,DICH!B:C,2,FALSE)</f>
        <v>Sika IntraplastZ</v>
      </c>
      <c r="G2644" s="362" t="s">
        <v>558</v>
      </c>
      <c r="H2644" s="847">
        <v>14.1</v>
      </c>
      <c r="I2644" s="848">
        <f>VLOOKUP(E2644,'11.gia '!$B:$I,8,FALSE)</f>
        <v>78080</v>
      </c>
      <c r="J2644" s="853">
        <f>I2644*H2644</f>
        <v>1100928</v>
      </c>
      <c r="N2644" s="843" t="e">
        <f>SUMIF(#REF!,'8.Dgia'!A2644,#REF!)+SUMIF(#REF!,'8.Dgia'!A2644,#REF!)+SUMIF(#REF!,'8.Dgia'!A2644,#REF!)+SUMIF(#REF!,'8.Dgia'!A2644,#REF!)</f>
        <v>#REF!</v>
      </c>
      <c r="O2644" s="844">
        <f>+$H$2645</f>
        <v>3</v>
      </c>
      <c r="P2644" s="843" t="e">
        <f t="shared" si="112"/>
        <v>#REF!</v>
      </c>
    </row>
    <row r="2645" spans="1:18" ht="15" customHeight="1">
      <c r="A2645" s="657">
        <f>IF(B2645="",MAX($A$8:A2644)+0,MAX($A$8:A2644)+1)</f>
        <v>306</v>
      </c>
      <c r="B2645" s="835" t="str">
        <f>IF(C2645="","",COUNTA($C$10:C2646))</f>
        <v/>
      </c>
      <c r="C2645" s="362"/>
      <c r="D2645" s="851"/>
      <c r="E2645" s="852" t="s">
        <v>555</v>
      </c>
      <c r="F2645" s="848" t="str">
        <f>VLOOKUP(E2645,DICH!B:C,2,FALSE)</f>
        <v>Other material</v>
      </c>
      <c r="G2645" s="362" t="s">
        <v>554</v>
      </c>
      <c r="H2645" s="847">
        <v>3</v>
      </c>
      <c r="I2645" s="848">
        <f>SUM(J2642:J2644)</f>
        <v>3366483.4906909084</v>
      </c>
      <c r="J2645" s="853">
        <f>I2645*H2645%</f>
        <v>100994.50472072724</v>
      </c>
      <c r="N2645" s="843" t="e">
        <f>SUMIF(#REF!,'8.Dgia'!A2645,#REF!)+SUMIF(#REF!,'8.Dgia'!A2645,#REF!)+SUMIF(#REF!,'8.Dgia'!A2645,#REF!)+SUMIF(#REF!,'8.Dgia'!A2645,#REF!)</f>
        <v>#REF!</v>
      </c>
      <c r="O2645" s="844"/>
      <c r="P2645" s="843" t="e">
        <f t="shared" si="112"/>
        <v>#REF!</v>
      </c>
    </row>
    <row r="2646" spans="1:18" s="658" customFormat="1" ht="15" customHeight="1">
      <c r="A2646" s="657">
        <f>IF(B2646="",MAX($A$8:A2645)+0,MAX($A$8:A2645)+1)</f>
        <v>306</v>
      </c>
      <c r="B2646" s="835" t="str">
        <f>IF(C2646="","",COUNTA($C$10:C2647))</f>
        <v/>
      </c>
      <c r="C2646" s="362"/>
      <c r="D2646" s="845"/>
      <c r="E2646" s="661" t="s">
        <v>2039</v>
      </c>
      <c r="F2646" s="848" t="str">
        <f>VLOOKUP(E2646,DICH!B:C,2,FALSE)</f>
        <v xml:space="preserve">  B - Labour 4.0/7</v>
      </c>
      <c r="G2646" s="362" t="s">
        <v>4899</v>
      </c>
      <c r="H2646" s="847">
        <v>35.700000000000003</v>
      </c>
      <c r="I2646" s="848">
        <f>VLOOKUP(E2646,'16.NC'!$C$11:$F$22,4,FALSE)</f>
        <v>218927</v>
      </c>
      <c r="J2646" s="849">
        <f>I2646*H2646</f>
        <v>7815693.9000000004</v>
      </c>
      <c r="K2646" s="850">
        <f>J2646*1.171</f>
        <v>9152177.5569000002</v>
      </c>
      <c r="L2646" s="850"/>
      <c r="M2646" s="850"/>
      <c r="N2646" s="843" t="e">
        <f>SUMIF(#REF!,'8.Dgia'!A2646,#REF!)+SUMIF(#REF!,'8.Dgia'!A2646,#REF!)+SUMIF(#REF!,'8.Dgia'!A2646,#REF!)+SUMIF(#REF!,'8.Dgia'!A2646,#REF!)</f>
        <v>#REF!</v>
      </c>
      <c r="O2646" s="844"/>
      <c r="P2646" s="843" t="e">
        <f t="shared" ref="P2646:P2713" si="114">$H2646*N2646*(1+O2646%)</f>
        <v>#REF!</v>
      </c>
      <c r="R2646" s="658">
        <v>1</v>
      </c>
    </row>
    <row r="2647" spans="1:18" s="658" customFormat="1" ht="15" customHeight="1">
      <c r="A2647" s="657">
        <f>IF(B2647="",MAX($A$8:A2646)+0,MAX($A$8:A2646)+1)</f>
        <v>306</v>
      </c>
      <c r="B2647" s="835" t="str">
        <f>IF(C2647="","",COUNTA($C$10:C2648))</f>
        <v/>
      </c>
      <c r="C2647" s="362"/>
      <c r="D2647" s="845"/>
      <c r="E2647" s="852" t="s">
        <v>2033</v>
      </c>
      <c r="F2647" s="848" t="str">
        <f>VLOOKUP(E2647,DICH!B:C,2,FALSE)</f>
        <v xml:space="preserve">  C - Machine</v>
      </c>
      <c r="G2647" s="846"/>
      <c r="H2647" s="847"/>
      <c r="I2647" s="848"/>
      <c r="J2647" s="849">
        <f>SUM(J2648:J2651)</f>
        <v>102972.00913200001</v>
      </c>
      <c r="K2647" s="850"/>
      <c r="L2647" s="850"/>
      <c r="M2647" s="850"/>
      <c r="N2647" s="843" t="e">
        <f>SUMIF(#REF!,'8.Dgia'!A2647,#REF!)+SUMIF(#REF!,'8.Dgia'!A2647,#REF!)+SUMIF(#REF!,'8.Dgia'!A2647,#REF!)+SUMIF(#REF!,'8.Dgia'!A2647,#REF!)</f>
        <v>#REF!</v>
      </c>
      <c r="O2647" s="844"/>
      <c r="P2647" s="843" t="e">
        <f t="shared" si="114"/>
        <v>#REF!</v>
      </c>
    </row>
    <row r="2648" spans="1:18" ht="15" customHeight="1">
      <c r="A2648" s="657">
        <f>IF(B2648="",MAX($A$8:A2647)+0,MAX($A$8:A2647)+1)</f>
        <v>306</v>
      </c>
      <c r="B2648" s="835" t="str">
        <f>IF(C2648="","",COUNTA($C$10:C2649))</f>
        <v/>
      </c>
      <c r="C2648" s="362"/>
      <c r="D2648" s="851"/>
      <c r="E2648" s="852" t="s">
        <v>576</v>
      </c>
      <c r="F2648" s="848" t="str">
        <f>VLOOKUP(E2648,'9.may'!E:F,2,FALSE)</f>
        <v>mortar mixer 80L</v>
      </c>
      <c r="G2648" s="362" t="s">
        <v>4902</v>
      </c>
      <c r="H2648" s="867">
        <v>0.2</v>
      </c>
      <c r="I2648" s="848">
        <f>VLOOKUP(E2648,'9.may'!E:W,12,FALSE)</f>
        <v>85162.991999999998</v>
      </c>
      <c r="J2648" s="853">
        <f>I2648*H2648</f>
        <v>17032.598399999999</v>
      </c>
      <c r="N2648" s="843" t="e">
        <f>SUMIF(#REF!,'8.Dgia'!A2648,#REF!)+SUMIF(#REF!,'8.Dgia'!A2648,#REF!)+SUMIF(#REF!,'8.Dgia'!A2648,#REF!)+SUMIF(#REF!,'8.Dgia'!A2648,#REF!)</f>
        <v>#REF!</v>
      </c>
      <c r="O2648" s="844">
        <f>+$H$2651</f>
        <v>3</v>
      </c>
      <c r="P2648" s="843" t="e">
        <f t="shared" si="114"/>
        <v>#REF!</v>
      </c>
    </row>
    <row r="2649" spans="1:18" ht="15" customHeight="1">
      <c r="A2649" s="657">
        <f>IF(B2649="",MAX($A$8:A2648)+0,MAX($A$8:A2648)+1)</f>
        <v>306</v>
      </c>
      <c r="B2649" s="835" t="str">
        <f>IF(C2649="","",COUNTA($C$10:C2650))</f>
        <v/>
      </c>
      <c r="C2649" s="362"/>
      <c r="D2649" s="851"/>
      <c r="E2649" s="852" t="s">
        <v>1172</v>
      </c>
      <c r="F2649" s="848" t="str">
        <f>VLOOKUP(E2649,'9.may'!E:F,2,FALSE)</f>
        <v>mortar pump 2m3/h</v>
      </c>
      <c r="G2649" s="362" t="s">
        <v>4902</v>
      </c>
      <c r="H2649" s="867">
        <v>0.2</v>
      </c>
      <c r="I2649" s="848">
        <f>VLOOKUP(E2649,'9.may'!E:W,12,FALSE)</f>
        <v>211608.30000000002</v>
      </c>
      <c r="J2649" s="853">
        <f>I2649*H2649</f>
        <v>42321.66</v>
      </c>
      <c r="N2649" s="843" t="e">
        <f>SUMIF(#REF!,'8.Dgia'!A2649,#REF!)+SUMIF(#REF!,'8.Dgia'!A2649,#REF!)+SUMIF(#REF!,'8.Dgia'!A2649,#REF!)+SUMIF(#REF!,'8.Dgia'!A2649,#REF!)</f>
        <v>#REF!</v>
      </c>
      <c r="O2649" s="844">
        <f>+$H$2651</f>
        <v>3</v>
      </c>
      <c r="P2649" s="843" t="e">
        <f t="shared" si="114"/>
        <v>#REF!</v>
      </c>
    </row>
    <row r="2650" spans="1:18" ht="15" customHeight="1">
      <c r="A2650" s="657">
        <f>IF(B2650="",MAX($A$8:A2649)+0,MAX($A$8:A2649)+1)</f>
        <v>306</v>
      </c>
      <c r="B2650" s="835" t="str">
        <f>IF(C2650="","",COUNTA($C$10:C2651))</f>
        <v/>
      </c>
      <c r="C2650" s="362"/>
      <c r="D2650" s="851"/>
      <c r="E2650" s="852" t="s">
        <v>393</v>
      </c>
      <c r="F2650" s="848" t="str">
        <f>VLOOKUP(E2650,'9.may'!E:F,2,FALSE)</f>
        <v>water pump 20kW</v>
      </c>
      <c r="G2650" s="362" t="s">
        <v>4902</v>
      </c>
      <c r="H2650" s="867">
        <v>0.2</v>
      </c>
      <c r="I2650" s="848">
        <f>VLOOKUP(E2650,'9.may'!E:W,12,FALSE)</f>
        <v>203092.83000000002</v>
      </c>
      <c r="J2650" s="853">
        <f>I2650*H2650</f>
        <v>40618.566000000006</v>
      </c>
      <c r="N2650" s="843" t="e">
        <f>SUMIF(#REF!,'8.Dgia'!A2650,#REF!)+SUMIF(#REF!,'8.Dgia'!A2650,#REF!)+SUMIF(#REF!,'8.Dgia'!A2650,#REF!)+SUMIF(#REF!,'8.Dgia'!A2650,#REF!)</f>
        <v>#REF!</v>
      </c>
      <c r="O2650" s="844">
        <f>+$H$2651</f>
        <v>3</v>
      </c>
      <c r="P2650" s="843" t="e">
        <f t="shared" si="114"/>
        <v>#REF!</v>
      </c>
    </row>
    <row r="2651" spans="1:18" ht="15" customHeight="1">
      <c r="A2651" s="657">
        <f>IF(B2651="",MAX($A$8:A2650)+0,MAX($A$8:A2650)+1)</f>
        <v>306</v>
      </c>
      <c r="B2651" s="835" t="str">
        <f>IF(C2651="","",COUNTA($C$10:C2652))</f>
        <v/>
      </c>
      <c r="C2651" s="362"/>
      <c r="D2651" s="851"/>
      <c r="E2651" s="852" t="s">
        <v>553</v>
      </c>
      <c r="F2651" s="848" t="str">
        <f>VLOOKUP(E2651,DICH!B:C,2,FALSE)</f>
        <v>Other machine</v>
      </c>
      <c r="G2651" s="362" t="s">
        <v>554</v>
      </c>
      <c r="H2651" s="847">
        <v>3</v>
      </c>
      <c r="I2651" s="848">
        <f>SUM(J2648:J2650)</f>
        <v>99972.824400000012</v>
      </c>
      <c r="J2651" s="853">
        <f>I2651*H2651%</f>
        <v>2999.1847320000002</v>
      </c>
      <c r="N2651" s="843" t="e">
        <f>SUMIF(#REF!,'8.Dgia'!A2651,#REF!)+SUMIF(#REF!,'8.Dgia'!A2651,#REF!)+SUMIF(#REF!,'8.Dgia'!A2651,#REF!)+SUMIF(#REF!,'8.Dgia'!A2651,#REF!)</f>
        <v>#REF!</v>
      </c>
      <c r="O2651" s="844"/>
      <c r="P2651" s="843" t="e">
        <f t="shared" si="114"/>
        <v>#REF!</v>
      </c>
    </row>
    <row r="2652" spans="1:18" ht="15" customHeight="1">
      <c r="A2652" s="657">
        <f>IF(B2652="",MAX($A$8:A2651)+0,MAX($A$8:A2651)+1)</f>
        <v>307</v>
      </c>
      <c r="B2652" s="835">
        <f>IF(C2652="","",COUNTA($C$10:C2653))</f>
        <v>307</v>
      </c>
      <c r="C2652" s="835">
        <f>IF(D2652="","",1776)</f>
        <v>1776</v>
      </c>
      <c r="D2652" s="851" t="s">
        <v>380</v>
      </c>
      <c r="E2652" s="870" t="s">
        <v>379</v>
      </c>
      <c r="F2652" s="1049" t="str">
        <f>VLOOKUP(E2652,DICH!B:C,2,FALSE)</f>
        <v>Excavating stone</v>
      </c>
      <c r="G2652" s="856" t="s">
        <v>544</v>
      </c>
      <c r="H2652" s="847"/>
      <c r="I2652" s="848"/>
      <c r="J2652" s="853"/>
      <c r="L2652" s="842">
        <f>+J2653</f>
        <v>223409.212</v>
      </c>
      <c r="M2652" s="842">
        <f>+J2654</f>
        <v>1285861.400476909</v>
      </c>
      <c r="N2652" s="843" t="s">
        <v>457</v>
      </c>
      <c r="O2652" s="844"/>
      <c r="P2652" s="843" t="s">
        <v>457</v>
      </c>
    </row>
    <row r="2653" spans="1:18" s="658" customFormat="1" ht="15" customHeight="1">
      <c r="A2653" s="657">
        <f>IF(B2653="",MAX($A$8:A2652)+0,MAX($A$8:A2652)+1)</f>
        <v>307</v>
      </c>
      <c r="B2653" s="835" t="str">
        <f>IF(C2653="","",COUNTA($C$10:C2654))</f>
        <v/>
      </c>
      <c r="C2653" s="362"/>
      <c r="D2653" s="845"/>
      <c r="E2653" s="661" t="s">
        <v>2038</v>
      </c>
      <c r="F2653" s="848" t="str">
        <f>VLOOKUP(E2653,DICH!B:C,2,FALSE)</f>
        <v xml:space="preserve">  B - Labour 3.0/7</v>
      </c>
      <c r="G2653" s="362" t="s">
        <v>4899</v>
      </c>
      <c r="H2653" s="847">
        <v>1.196</v>
      </c>
      <c r="I2653" s="848">
        <f>VLOOKUP(E2653,'16.NC'!$C$11:$F$22,4,FALSE)</f>
        <v>186797</v>
      </c>
      <c r="J2653" s="849">
        <f>I2653*H2653</f>
        <v>223409.212</v>
      </c>
      <c r="K2653" s="850"/>
      <c r="L2653" s="850"/>
      <c r="M2653" s="850"/>
      <c r="N2653" s="843" t="s">
        <v>457</v>
      </c>
      <c r="O2653" s="844"/>
      <c r="P2653" s="843" t="s">
        <v>457</v>
      </c>
      <c r="R2653" s="658">
        <v>1</v>
      </c>
    </row>
    <row r="2654" spans="1:18" s="658" customFormat="1" ht="15" customHeight="1">
      <c r="A2654" s="657">
        <f>IF(B2654="",MAX($A$8:A2653)+0,MAX($A$8:A2653)+1)</f>
        <v>307</v>
      </c>
      <c r="B2654" s="835" t="str">
        <f>IF(C2654="","",COUNTA($C$10:C2655))</f>
        <v/>
      </c>
      <c r="C2654" s="362"/>
      <c r="D2654" s="845"/>
      <c r="E2654" s="852" t="s">
        <v>2033</v>
      </c>
      <c r="F2654" s="848" t="str">
        <f>VLOOKUP(E2654,DICH!B:C,2,FALSE)</f>
        <v xml:space="preserve">  C - Machine</v>
      </c>
      <c r="G2654" s="846"/>
      <c r="H2654" s="847"/>
      <c r="I2654" s="848"/>
      <c r="J2654" s="849">
        <f>SUM(J2655:J2656)</f>
        <v>1285861.400476909</v>
      </c>
      <c r="K2654" s="850"/>
      <c r="L2654" s="850"/>
      <c r="M2654" s="850"/>
      <c r="N2654" s="843" t="s">
        <v>457</v>
      </c>
      <c r="O2654" s="844"/>
      <c r="P2654" s="843" t="s">
        <v>457</v>
      </c>
    </row>
    <row r="2655" spans="1:18" ht="15" customHeight="1">
      <c r="A2655" s="657">
        <f>IF(B2655="",MAX($A$8:A2654)+0,MAX($A$8:A2654)+1)</f>
        <v>307</v>
      </c>
      <c r="B2655" s="835" t="str">
        <f>IF(C2655="","",COUNTA($C$10:C2656))</f>
        <v/>
      </c>
      <c r="C2655" s="362"/>
      <c r="D2655" s="851"/>
      <c r="E2655" s="852" t="s">
        <v>294</v>
      </c>
      <c r="F2655" s="848" t="str">
        <f>VLOOKUP(E2655,'9.may'!E:F,2,FALSE)</f>
        <v>avulsion excavator 1.25m3</v>
      </c>
      <c r="G2655" s="362" t="s">
        <v>4902</v>
      </c>
      <c r="H2655" s="847">
        <v>0.32800000000000001</v>
      </c>
      <c r="I2655" s="848">
        <f>VLOOKUP(E2655,'9.may'!E:W,12,FALSE)</f>
        <v>3579797.9165454544</v>
      </c>
      <c r="J2655" s="853">
        <f>I2655*H2655</f>
        <v>1174173.7166269091</v>
      </c>
      <c r="N2655" s="843" t="s">
        <v>457</v>
      </c>
      <c r="O2655" s="844"/>
      <c r="P2655" s="843" t="s">
        <v>457</v>
      </c>
    </row>
    <row r="2656" spans="1:18" ht="15" customHeight="1">
      <c r="A2656" s="657">
        <f>IF(B2656="",MAX($A$8:A2655)+0,MAX($A$8:A2655)+1)</f>
        <v>307</v>
      </c>
      <c r="B2656" s="835" t="str">
        <f>IF(C2656="","",COUNTA($C$10:C2657))</f>
        <v/>
      </c>
      <c r="C2656" s="362"/>
      <c r="D2656" s="851"/>
      <c r="E2656" s="852" t="s">
        <v>624</v>
      </c>
      <c r="F2656" s="848" t="str">
        <f>VLOOKUP(E2656,'9.may'!E:F,2,FALSE)</f>
        <v>bulldozer 108CV</v>
      </c>
      <c r="G2656" s="362" t="s">
        <v>4902</v>
      </c>
      <c r="H2656" s="847">
        <v>5.7000000000000002E-2</v>
      </c>
      <c r="I2656" s="848">
        <f>VLOOKUP(E2656,'9.may'!E:W,12,FALSE)</f>
        <v>1959433.0499999998</v>
      </c>
      <c r="J2656" s="853">
        <f>I2656*H2656</f>
        <v>111687.68384999999</v>
      </c>
      <c r="N2656" s="843" t="s">
        <v>457</v>
      </c>
      <c r="O2656" s="844"/>
      <c r="P2656" s="843" t="s">
        <v>457</v>
      </c>
    </row>
    <row r="2657" spans="1:18" ht="15" customHeight="1">
      <c r="A2657" s="657">
        <f>IF(B2657="",MAX($A$8:A2656)+0,MAX($A$8:A2656)+1)</f>
        <v>308</v>
      </c>
      <c r="B2657" s="835">
        <f>IF(C2657="","",COUNTA($C$10:C2658))</f>
        <v>308</v>
      </c>
      <c r="C2657" s="835">
        <f>IF(D2657="","",1776)</f>
        <v>1776</v>
      </c>
      <c r="D2657" s="362" t="s">
        <v>2055</v>
      </c>
      <c r="E2657" s="945" t="s">
        <v>2029</v>
      </c>
      <c r="F2657" s="1049" t="str">
        <f>VLOOKUP(E2657,DICH!B:C,2,FALSE)</f>
        <v>Bedding stone 1x2</v>
      </c>
      <c r="G2657" s="882" t="s">
        <v>545</v>
      </c>
      <c r="H2657" s="882"/>
      <c r="I2657" s="848"/>
      <c r="J2657" s="853"/>
      <c r="K2657" s="842">
        <f>+J2658</f>
        <v>452986.58253687649</v>
      </c>
      <c r="L2657" s="842">
        <f>+J2661</f>
        <v>324011.96000000002</v>
      </c>
      <c r="M2657" s="872"/>
      <c r="N2657" s="843" t="e">
        <f>SUMIF(#REF!,'8.Dgia'!A2657,#REF!)+SUMIF(#REF!,'8.Dgia'!A2657,#REF!)+SUMIF(#REF!,'8.Dgia'!A2657,#REF!)+SUMIF(#REF!,'8.Dgia'!A2657,#REF!)</f>
        <v>#REF!</v>
      </c>
      <c r="O2657" s="844"/>
      <c r="P2657" s="843" t="e">
        <f t="shared" si="114"/>
        <v>#REF!</v>
      </c>
    </row>
    <row r="2658" spans="1:18" ht="15" customHeight="1">
      <c r="A2658" s="657">
        <f>IF(B2658="",MAX($A$8:A2657)+0,MAX($A$8:A2657)+1)</f>
        <v>308</v>
      </c>
      <c r="B2658" s="835" t="str">
        <f>IF(C2658="","",COUNTA($C$10:C2659))</f>
        <v/>
      </c>
      <c r="C2658" s="362"/>
      <c r="D2658" s="362"/>
      <c r="E2658" s="666" t="s">
        <v>2032</v>
      </c>
      <c r="F2658" s="848" t="str">
        <f>VLOOKUP(E2658,DICH!B:C,2,FALSE)</f>
        <v xml:space="preserve">  A - Material</v>
      </c>
      <c r="G2658" s="847"/>
      <c r="H2658" s="847"/>
      <c r="I2658" s="848"/>
      <c r="J2658" s="849">
        <f>SUM(J2659:J2660)</f>
        <v>452986.58253687649</v>
      </c>
      <c r="M2658" s="872"/>
      <c r="N2658" s="843" t="e">
        <f>SUMIF(#REF!,'8.Dgia'!A2658,#REF!)+SUMIF(#REF!,'8.Dgia'!A2658,#REF!)+SUMIF(#REF!,'8.Dgia'!A2658,#REF!)+SUMIF(#REF!,'8.Dgia'!A2658,#REF!)</f>
        <v>#REF!</v>
      </c>
      <c r="O2658" s="844"/>
      <c r="P2658" s="843" t="e">
        <f t="shared" si="114"/>
        <v>#REF!</v>
      </c>
    </row>
    <row r="2659" spans="1:18" ht="15" customHeight="1">
      <c r="A2659" s="657">
        <f>IF(B2659="",MAX($A$8:A2658)+0,MAX($A$8:A2658)+1)</f>
        <v>308</v>
      </c>
      <c r="B2659" s="835" t="str">
        <f>IF(C2659="","",COUNTA($C$10:C2660))</f>
        <v/>
      </c>
      <c r="C2659" s="362"/>
      <c r="D2659" s="362"/>
      <c r="E2659" s="852" t="s">
        <v>750</v>
      </c>
      <c r="F2659" s="848" t="str">
        <f>VLOOKUP(E2659,DICH!B:C,2,FALSE)</f>
        <v>Stone 1x2</v>
      </c>
      <c r="G2659" s="847" t="s">
        <v>545</v>
      </c>
      <c r="H2659" s="847">
        <v>1.2</v>
      </c>
      <c r="I2659" s="848">
        <f>VLOOKUP(E2659,'11.gia '!$B:$I,8,FALSE)</f>
        <v>354185.41224953817</v>
      </c>
      <c r="J2659" s="853">
        <f>I2659*H2659</f>
        <v>425022.49469944579</v>
      </c>
      <c r="M2659" s="872"/>
      <c r="N2659" s="843" t="e">
        <f>SUMIF(#REF!,'8.Dgia'!A2659,#REF!)+SUMIF(#REF!,'8.Dgia'!A2659,#REF!)+SUMIF(#REF!,'8.Dgia'!A2659,#REF!)+SUMIF(#REF!,'8.Dgia'!A2659,#REF!)</f>
        <v>#REF!</v>
      </c>
      <c r="O2659" s="844"/>
      <c r="P2659" s="843" t="e">
        <f t="shared" si="114"/>
        <v>#REF!</v>
      </c>
    </row>
    <row r="2660" spans="1:18" ht="15" customHeight="1">
      <c r="A2660" s="657">
        <f>IF(B2660="",MAX($A$8:A2659)+0,MAX($A$8:A2659)+1)</f>
        <v>308</v>
      </c>
      <c r="B2660" s="835" t="str">
        <f>IF(C2660="","",COUNTA($C$10:C2661))</f>
        <v/>
      </c>
      <c r="C2660" s="362"/>
      <c r="D2660" s="362"/>
      <c r="E2660" s="852" t="s">
        <v>602</v>
      </c>
      <c r="F2660" s="848" t="str">
        <f>VLOOKUP(E2660,DICH!B:C,2,FALSE)</f>
        <v>Find sand</v>
      </c>
      <c r="G2660" s="847" t="s">
        <v>545</v>
      </c>
      <c r="H2660" s="847">
        <v>0.3</v>
      </c>
      <c r="I2660" s="848">
        <f>VLOOKUP(E2660,'11.gia '!$B:$I,8,FALSE)</f>
        <v>93213.626124769085</v>
      </c>
      <c r="J2660" s="853">
        <f>I2660*H2660</f>
        <v>27964.087837430725</v>
      </c>
      <c r="M2660" s="872"/>
      <c r="N2660" s="843" t="e">
        <f>SUMIF(#REF!,'8.Dgia'!A2660,#REF!)+SUMIF(#REF!,'8.Dgia'!A2660,#REF!)+SUMIF(#REF!,'8.Dgia'!A2660,#REF!)+SUMIF(#REF!,'8.Dgia'!A2660,#REF!)</f>
        <v>#REF!</v>
      </c>
      <c r="O2660" s="844"/>
      <c r="P2660" s="843" t="e">
        <f t="shared" si="114"/>
        <v>#REF!</v>
      </c>
    </row>
    <row r="2661" spans="1:18" ht="15" customHeight="1">
      <c r="A2661" s="657">
        <f>IF(B2661="",MAX($A$8:A2660)+0,MAX($A$8:A2660)+1)</f>
        <v>308</v>
      </c>
      <c r="B2661" s="835" t="str">
        <f>IF(C2661="","",COUNTA($C$10:C2662))</f>
        <v/>
      </c>
      <c r="C2661" s="362"/>
      <c r="D2661" s="362"/>
      <c r="E2661" s="666" t="s">
        <v>2039</v>
      </c>
      <c r="F2661" s="848" t="str">
        <f>VLOOKUP(E2661,DICH!B:C,2,FALSE)</f>
        <v xml:space="preserve">  B - Labour 4.0/7</v>
      </c>
      <c r="G2661" s="847" t="s">
        <v>4899</v>
      </c>
      <c r="H2661" s="847">
        <v>1.48</v>
      </c>
      <c r="I2661" s="848">
        <f>VLOOKUP(E2661,'16.NC'!$C$11:$F$22,4,FALSE)</f>
        <v>218927</v>
      </c>
      <c r="J2661" s="849">
        <f>I2661*H2661</f>
        <v>324011.96000000002</v>
      </c>
      <c r="M2661" s="872"/>
      <c r="N2661" s="843" t="e">
        <f>SUMIF(#REF!,'8.Dgia'!A2661,#REF!)+SUMIF(#REF!,'8.Dgia'!A2661,#REF!)+SUMIF(#REF!,'8.Dgia'!A2661,#REF!)+SUMIF(#REF!,'8.Dgia'!A2661,#REF!)</f>
        <v>#REF!</v>
      </c>
      <c r="O2661" s="844"/>
      <c r="P2661" s="843" t="e">
        <f t="shared" si="114"/>
        <v>#REF!</v>
      </c>
      <c r="R2661" s="658">
        <v>1</v>
      </c>
    </row>
    <row r="2662" spans="1:18" ht="15" customHeight="1">
      <c r="A2662" s="657">
        <f>IF(B2662="",MAX($A$8:A2661)+0,MAX($A$8:A2661)+1)</f>
        <v>309</v>
      </c>
      <c r="B2662" s="835">
        <f>IF(C2662="","",COUNTA($C$10:C2663))</f>
        <v>309</v>
      </c>
      <c r="C2662" s="835">
        <f>IF(D2662="","",1776)</f>
        <v>1776</v>
      </c>
      <c r="D2662" s="362" t="s">
        <v>2055</v>
      </c>
      <c r="E2662" s="945" t="s">
        <v>750</v>
      </c>
      <c r="F2662" s="1049" t="str">
        <f>VLOOKUP(E2662,DICH!B:C,2,FALSE)</f>
        <v>Stone 1x2</v>
      </c>
      <c r="G2662" s="882" t="s">
        <v>545</v>
      </c>
      <c r="H2662" s="882"/>
      <c r="I2662" s="848"/>
      <c r="J2662" s="853"/>
      <c r="K2662" s="842">
        <f>+J2663</f>
        <v>425022.49469944579</v>
      </c>
      <c r="L2662" s="842">
        <f>+J2665</f>
        <v>324011.96000000002</v>
      </c>
      <c r="M2662" s="872"/>
      <c r="N2662" s="843" t="e">
        <f>SUMIF(#REF!,'8.Dgia'!A2662,#REF!)+SUMIF(#REF!,'8.Dgia'!A2662,#REF!)+SUMIF(#REF!,'8.Dgia'!A2662,#REF!)+SUMIF(#REF!,'8.Dgia'!A2662,#REF!)</f>
        <v>#REF!</v>
      </c>
      <c r="O2662" s="844"/>
      <c r="P2662" s="843" t="e">
        <f>$H2662*N2662*(1+O2662%)</f>
        <v>#REF!</v>
      </c>
    </row>
    <row r="2663" spans="1:18" ht="15" customHeight="1">
      <c r="A2663" s="657">
        <f>IF(B2663="",MAX($A$8:A2662)+0,MAX($A$8:A2662)+1)</f>
        <v>309</v>
      </c>
      <c r="B2663" s="835" t="str">
        <f>IF(C2663="","",COUNTA($C$10:C2664))</f>
        <v/>
      </c>
      <c r="C2663" s="362"/>
      <c r="D2663" s="362"/>
      <c r="E2663" s="666" t="s">
        <v>2032</v>
      </c>
      <c r="F2663" s="848" t="str">
        <f>VLOOKUP(E2663,DICH!B:C,2,FALSE)</f>
        <v xml:space="preserve">  A - Material</v>
      </c>
      <c r="G2663" s="847"/>
      <c r="H2663" s="847"/>
      <c r="I2663" s="848"/>
      <c r="J2663" s="849">
        <f>SUM(J2664:J2664)</f>
        <v>425022.49469944579</v>
      </c>
      <c r="M2663" s="872"/>
      <c r="N2663" s="843" t="e">
        <f>SUMIF(#REF!,'8.Dgia'!A2663,#REF!)+SUMIF(#REF!,'8.Dgia'!A2663,#REF!)+SUMIF(#REF!,'8.Dgia'!A2663,#REF!)+SUMIF(#REF!,'8.Dgia'!A2663,#REF!)</f>
        <v>#REF!</v>
      </c>
      <c r="O2663" s="844"/>
      <c r="P2663" s="843" t="e">
        <f>$H2663*N2663*(1+O2663%)</f>
        <v>#REF!</v>
      </c>
    </row>
    <row r="2664" spans="1:18" ht="15" customHeight="1">
      <c r="A2664" s="657">
        <f>IF(B2664="",MAX($A$8:A2663)+0,MAX($A$8:A2663)+1)</f>
        <v>309</v>
      </c>
      <c r="B2664" s="835" t="str">
        <f>IF(C2664="","",COUNTA($C$10:C2665))</f>
        <v/>
      </c>
      <c r="C2664" s="362"/>
      <c r="D2664" s="362"/>
      <c r="E2664" s="852" t="s">
        <v>750</v>
      </c>
      <c r="F2664" s="848" t="str">
        <f>VLOOKUP(E2664,DICH!B:C,2,FALSE)</f>
        <v>Stone 1x2</v>
      </c>
      <c r="G2664" s="847" t="s">
        <v>545</v>
      </c>
      <c r="H2664" s="847">
        <v>1.2</v>
      </c>
      <c r="I2664" s="848">
        <f>VLOOKUP(E2664,'11.gia '!$B:$I,8,FALSE)</f>
        <v>354185.41224953817</v>
      </c>
      <c r="J2664" s="853">
        <f>I2664*H2664</f>
        <v>425022.49469944579</v>
      </c>
      <c r="M2664" s="872"/>
      <c r="N2664" s="843" t="e">
        <f>SUMIF(#REF!,'8.Dgia'!A2664,#REF!)+SUMIF(#REF!,'8.Dgia'!A2664,#REF!)+SUMIF(#REF!,'8.Dgia'!A2664,#REF!)+SUMIF(#REF!,'8.Dgia'!A2664,#REF!)</f>
        <v>#REF!</v>
      </c>
      <c r="O2664" s="844"/>
      <c r="P2664" s="843" t="e">
        <f>$H2664*N2664*(1+O2664%)</f>
        <v>#REF!</v>
      </c>
    </row>
    <row r="2665" spans="1:18" ht="15" customHeight="1">
      <c r="A2665" s="657">
        <f>IF(B2665="",MAX($A$8:A2664)+0,MAX($A$8:A2664)+1)</f>
        <v>309</v>
      </c>
      <c r="B2665" s="835" t="str">
        <f>IF(C2665="","",COUNTA($C$10:C2666))</f>
        <v/>
      </c>
      <c r="C2665" s="362"/>
      <c r="D2665" s="362"/>
      <c r="E2665" s="666" t="s">
        <v>2039</v>
      </c>
      <c r="F2665" s="848" t="str">
        <f>VLOOKUP(E2665,DICH!B:C,2,FALSE)</f>
        <v xml:space="preserve">  B - Labour 4.0/7</v>
      </c>
      <c r="G2665" s="847" t="s">
        <v>4899</v>
      </c>
      <c r="H2665" s="847">
        <v>1.48</v>
      </c>
      <c r="I2665" s="848">
        <f>VLOOKUP(E2665,'16.NC'!$C$11:$F$22,4,FALSE)</f>
        <v>218927</v>
      </c>
      <c r="J2665" s="849">
        <f>I2665*H2665</f>
        <v>324011.96000000002</v>
      </c>
      <c r="M2665" s="872"/>
      <c r="N2665" s="843" t="e">
        <f>SUMIF(#REF!,'8.Dgia'!A2665,#REF!)+SUMIF(#REF!,'8.Dgia'!A2665,#REF!)+SUMIF(#REF!,'8.Dgia'!A2665,#REF!)+SUMIF(#REF!,'8.Dgia'!A2665,#REF!)</f>
        <v>#REF!</v>
      </c>
      <c r="O2665" s="844"/>
      <c r="P2665" s="843" t="e">
        <f>$H2665*N2665*(1+O2665%)</f>
        <v>#REF!</v>
      </c>
      <c r="R2665" s="658">
        <v>1</v>
      </c>
    </row>
    <row r="2666" spans="1:18" ht="15" customHeight="1">
      <c r="A2666" s="657">
        <f>IF(B2666="",MAX($A$8:A2665)+0,MAX($A$8:A2665)+1)</f>
        <v>310</v>
      </c>
      <c r="B2666" s="835">
        <f>IF(C2666="","",COUNTA($C$10:C2667))</f>
        <v>310</v>
      </c>
      <c r="C2666" s="835">
        <f>IF(D2666="","",1776)</f>
        <v>1776</v>
      </c>
      <c r="D2666" s="362" t="s">
        <v>2057</v>
      </c>
      <c r="E2666" s="855" t="s">
        <v>2058</v>
      </c>
      <c r="F2666" s="1049" t="str">
        <f>VLOOKUP(E2666,DICH!B:C,2,FALSE)</f>
        <v>masonry with mortar, C10 (plane)</v>
      </c>
      <c r="G2666" s="882" t="s">
        <v>545</v>
      </c>
      <c r="H2666" s="906"/>
      <c r="I2666" s="895"/>
      <c r="J2666" s="903"/>
      <c r="K2666" s="842">
        <f>+J2667</f>
        <v>630303.84887394588</v>
      </c>
      <c r="L2666" s="842">
        <f>+J2671</f>
        <v>421952.96</v>
      </c>
      <c r="N2666" s="843" t="e">
        <f>SUMIF(#REF!,'8.Dgia'!A2666,#REF!)+SUMIF(#REF!,'8.Dgia'!A2666,#REF!)+SUMIF(#REF!,'8.Dgia'!A2666,#REF!)+SUMIF(#REF!,'8.Dgia'!A2666,#REF!)</f>
        <v>#REF!</v>
      </c>
      <c r="O2666" s="844"/>
      <c r="P2666" s="843" t="e">
        <f t="shared" si="114"/>
        <v>#REF!</v>
      </c>
    </row>
    <row r="2667" spans="1:18" ht="15" customHeight="1">
      <c r="A2667" s="657">
        <f>IF(B2667="",MAX($A$8:A2666)+0,MAX($A$8:A2666)+1)</f>
        <v>310</v>
      </c>
      <c r="B2667" s="835" t="str">
        <f>IF(C2667="","",COUNTA($C$10:C2668))</f>
        <v/>
      </c>
      <c r="C2667" s="362"/>
      <c r="D2667" s="362"/>
      <c r="E2667" s="852" t="s">
        <v>2032</v>
      </c>
      <c r="F2667" s="848" t="str">
        <f>VLOOKUP(E2667,DICH!B:C,2,FALSE)</f>
        <v xml:space="preserve">  A - Material</v>
      </c>
      <c r="G2667" s="883"/>
      <c r="H2667" s="906"/>
      <c r="I2667" s="895"/>
      <c r="J2667" s="904">
        <f>SUM(J2668:J2670)</f>
        <v>630303.84887394588</v>
      </c>
      <c r="N2667" s="843" t="e">
        <f>SUMIF(#REF!,'8.Dgia'!A2667,#REF!)+SUMIF(#REF!,'8.Dgia'!A2667,#REF!)+SUMIF(#REF!,'8.Dgia'!A2667,#REF!)+SUMIF(#REF!,'8.Dgia'!A2667,#REF!)</f>
        <v>#REF!</v>
      </c>
      <c r="O2667" s="844"/>
      <c r="P2667" s="843" t="e">
        <f t="shared" si="114"/>
        <v>#REF!</v>
      </c>
    </row>
    <row r="2668" spans="1:18" ht="15" customHeight="1">
      <c r="A2668" s="657">
        <f>IF(B2668="",MAX($A$8:A2667)+0,MAX($A$8:A2667)+1)</f>
        <v>310</v>
      </c>
      <c r="B2668" s="835" t="str">
        <f>IF(C2668="","",COUNTA($C$10:C2669))</f>
        <v/>
      </c>
      <c r="C2668" s="362"/>
      <c r="D2668" s="362"/>
      <c r="E2668" s="852" t="s">
        <v>599</v>
      </c>
      <c r="F2668" s="848" t="str">
        <f>VLOOKUP(E2668,DICH!B:C,2,FALSE)</f>
        <v>Masory</v>
      </c>
      <c r="G2668" s="847" t="s">
        <v>545</v>
      </c>
      <c r="H2668" s="847">
        <v>1.2</v>
      </c>
      <c r="I2668" s="848">
        <f>VLOOKUP(E2668,'11.gia '!$B:$I,8,FALSE)</f>
        <v>301292.57724953815</v>
      </c>
      <c r="J2668" s="853">
        <f>I2668*H2668</f>
        <v>361551.09269944578</v>
      </c>
      <c r="N2668" s="843" t="e">
        <f>SUMIF(#REF!,'8.Dgia'!A2668,#REF!)+SUMIF(#REF!,'8.Dgia'!A2668,#REF!)+SUMIF(#REF!,'8.Dgia'!A2668,#REF!)+SUMIF(#REF!,'8.Dgia'!A2668,#REF!)</f>
        <v>#REF!</v>
      </c>
      <c r="O2668" s="844"/>
      <c r="P2668" s="843" t="e">
        <f t="shared" si="114"/>
        <v>#REF!</v>
      </c>
    </row>
    <row r="2669" spans="1:18" ht="15" customHeight="1">
      <c r="A2669" s="657">
        <f>IF(B2669="",MAX($A$8:A2668)+0,MAX($A$8:A2668)+1)</f>
        <v>310</v>
      </c>
      <c r="B2669" s="835" t="str">
        <f>IF(C2669="","",COUNTA($C$10:C2670))</f>
        <v/>
      </c>
      <c r="C2669" s="362"/>
      <c r="D2669" s="362"/>
      <c r="E2669" s="852" t="s">
        <v>4</v>
      </c>
      <c r="F2669" s="848" t="str">
        <f>VLOOKUP(E2669,DICH!B:C,2,FALSE)</f>
        <v>Stone 4x6</v>
      </c>
      <c r="G2669" s="847" t="s">
        <v>545</v>
      </c>
      <c r="H2669" s="847">
        <v>5.7000000000000002E-2</v>
      </c>
      <c r="I2669" s="848">
        <f>VLOOKUP(E2669,'11.gia '!$B:$I,8,FALSE)</f>
        <v>300147.95224953815</v>
      </c>
      <c r="J2669" s="853">
        <f>I2669*H2669</f>
        <v>17108.433278223674</v>
      </c>
      <c r="N2669" s="843" t="e">
        <f>SUMIF(#REF!,'8.Dgia'!A2669,#REF!)+SUMIF(#REF!,'8.Dgia'!A2669,#REF!)+SUMIF(#REF!,'8.Dgia'!A2669,#REF!)+SUMIF(#REF!,'8.Dgia'!A2669,#REF!)</f>
        <v>#REF!</v>
      </c>
      <c r="O2669" s="844"/>
      <c r="P2669" s="843" t="e">
        <f t="shared" si="114"/>
        <v>#REF!</v>
      </c>
    </row>
    <row r="2670" spans="1:18" ht="15" customHeight="1">
      <c r="A2670" s="657">
        <f>IF(B2670="",MAX($A$8:A2669)+0,MAX($A$8:A2669)+1)</f>
        <v>310</v>
      </c>
      <c r="B2670" s="835" t="str">
        <f>IF(C2670="","",COUNTA($C$10:C2671))</f>
        <v/>
      </c>
      <c r="C2670" s="851"/>
      <c r="D2670" s="851" t="str">
        <f>+'10.PLV'!$C$115</f>
        <v>B2215</v>
      </c>
      <c r="E2670" s="852" t="str">
        <f>+'10.PLV'!$D$115</f>
        <v>Vữa xi măng C10</v>
      </c>
      <c r="F2670" s="848" t="str">
        <f>VLOOKUP(E2670,DICH!B:C,2,FALSE)</f>
        <v>Cement motar C10</v>
      </c>
      <c r="G2670" s="847" t="s">
        <v>545</v>
      </c>
      <c r="H2670" s="847">
        <v>0.42</v>
      </c>
      <c r="I2670" s="848">
        <f>VLOOKUP(E2670,'11.gia '!B:I,8,FALSE)</f>
        <v>599153.14975303912</v>
      </c>
      <c r="J2670" s="853">
        <f>I2670*H2670</f>
        <v>251644.32289627643</v>
      </c>
      <c r="N2670" s="843" t="e">
        <f>SUMIF(#REF!,'8.Dgia'!A2670,#REF!)+SUMIF(#REF!,'8.Dgia'!A2670,#REF!)+SUMIF(#REF!,'8.Dgia'!A2670,#REF!)+SUMIF(#REF!,'8.Dgia'!A2670,#REF!)</f>
        <v>#REF!</v>
      </c>
      <c r="O2670" s="844"/>
      <c r="P2670" s="843" t="e">
        <f t="shared" si="114"/>
        <v>#REF!</v>
      </c>
    </row>
    <row r="2671" spans="1:18" ht="15" customHeight="1">
      <c r="A2671" s="657">
        <f>IF(B2671="",MAX($A$8:A2670)+0,MAX($A$8:A2670)+1)</f>
        <v>310</v>
      </c>
      <c r="B2671" s="835" t="str">
        <f>IF(C2671="","",COUNTA($C$10:C2672))</f>
        <v/>
      </c>
      <c r="C2671" s="362"/>
      <c r="D2671" s="362"/>
      <c r="E2671" s="852" t="s">
        <v>2037</v>
      </c>
      <c r="F2671" s="848" t="str">
        <f>VLOOKUP(E2671,DICH!B:C,2,FALSE)</f>
        <v xml:space="preserve">  B - Labour 3.5/7</v>
      </c>
      <c r="G2671" s="883" t="s">
        <v>4899</v>
      </c>
      <c r="H2671" s="847">
        <v>2.08</v>
      </c>
      <c r="I2671" s="848">
        <f>VLOOKUP(E2671,'16.NC'!$C$11:$F$22,4,FALSE)</f>
        <v>202862</v>
      </c>
      <c r="J2671" s="849">
        <f>I2671*H2671</f>
        <v>421952.96</v>
      </c>
      <c r="N2671" s="843" t="e">
        <f>SUMIF(#REF!,'8.Dgia'!A2671,#REF!)+SUMIF(#REF!,'8.Dgia'!A2671,#REF!)+SUMIF(#REF!,'8.Dgia'!A2671,#REF!)+SUMIF(#REF!,'8.Dgia'!A2671,#REF!)</f>
        <v>#REF!</v>
      </c>
      <c r="O2671" s="844"/>
      <c r="P2671" s="843" t="e">
        <f t="shared" si="114"/>
        <v>#REF!</v>
      </c>
      <c r="R2671" s="658">
        <v>1</v>
      </c>
    </row>
    <row r="2672" spans="1:18" ht="15" customHeight="1">
      <c r="A2672" s="657">
        <f>IF(B2672="",MAX($A$8:A2671)+0,MAX($A$8:A2671)+1)</f>
        <v>311</v>
      </c>
      <c r="B2672" s="835">
        <f>IF(C2672="","",COUNTA($C$10:C2673))</f>
        <v>311</v>
      </c>
      <c r="C2672" s="835">
        <f>IF(D2672="","",1776)</f>
        <v>1776</v>
      </c>
      <c r="D2672" s="362" t="s">
        <v>2059</v>
      </c>
      <c r="E2672" s="855" t="s">
        <v>2060</v>
      </c>
      <c r="F2672" s="1049" t="str">
        <f>VLOOKUP(E2672,DICH!B:C,2,FALSE)</f>
        <v>Installing PVC D100</v>
      </c>
      <c r="G2672" s="882" t="s">
        <v>546</v>
      </c>
      <c r="H2672" s="847"/>
      <c r="I2672" s="848"/>
      <c r="J2672" s="853"/>
      <c r="K2672" s="842">
        <f>+J2673</f>
        <v>7282828.21</v>
      </c>
      <c r="L2672" s="842">
        <f>+J2678</f>
        <v>2740665.62</v>
      </c>
      <c r="M2672" s="872"/>
      <c r="N2672" s="843" t="e">
        <f>SUMIF(#REF!,'8.Dgia'!A2672,#REF!)+SUMIF(#REF!,'8.Dgia'!A2672,#REF!)+SUMIF(#REF!,'8.Dgia'!A2672,#REF!)+SUMIF(#REF!,'8.Dgia'!A2672,#REF!)</f>
        <v>#REF!</v>
      </c>
      <c r="O2672" s="844"/>
      <c r="P2672" s="843" t="e">
        <f t="shared" si="114"/>
        <v>#REF!</v>
      </c>
    </row>
    <row r="2673" spans="1:18" ht="15" customHeight="1">
      <c r="A2673" s="657">
        <f>IF(B2673="",MAX($A$8:A2672)+0,MAX($A$8:A2672)+1)</f>
        <v>311</v>
      </c>
      <c r="B2673" s="835" t="str">
        <f>IF(C2673="","",COUNTA($C$10:C2674))</f>
        <v/>
      </c>
      <c r="C2673" s="361"/>
      <c r="D2673" s="361"/>
      <c r="E2673" s="852" t="s">
        <v>2032</v>
      </c>
      <c r="F2673" s="848" t="str">
        <f>VLOOKUP(E2673,DICH!B:C,2,FALSE)</f>
        <v xml:space="preserve">  A - Material</v>
      </c>
      <c r="G2673" s="921"/>
      <c r="H2673" s="847"/>
      <c r="I2673" s="848"/>
      <c r="J2673" s="849">
        <f>SUM(J2674:J2677)</f>
        <v>7282828.21</v>
      </c>
      <c r="M2673" s="872"/>
      <c r="N2673" s="843" t="e">
        <f>SUMIF(#REF!,'8.Dgia'!A2673,#REF!)+SUMIF(#REF!,'8.Dgia'!A2673,#REF!)+SUMIF(#REF!,'8.Dgia'!A2673,#REF!)+SUMIF(#REF!,'8.Dgia'!A2673,#REF!)</f>
        <v>#REF!</v>
      </c>
      <c r="O2673" s="844"/>
      <c r="P2673" s="843" t="e">
        <f t="shared" si="114"/>
        <v>#REF!</v>
      </c>
    </row>
    <row r="2674" spans="1:18" ht="15" customHeight="1">
      <c r="A2674" s="657">
        <f>IF(B2674="",MAX($A$8:A2673)+0,MAX($A$8:A2673)+1)</f>
        <v>311</v>
      </c>
      <c r="B2674" s="835" t="str">
        <f>IF(C2674="","",COUNTA($C$10:C2675))</f>
        <v/>
      </c>
      <c r="C2674" s="362"/>
      <c r="D2674" s="362"/>
      <c r="E2674" s="852" t="s">
        <v>2061</v>
      </c>
      <c r="F2674" s="848" t="str">
        <f>VLOOKUP(E2674,DICH!B:C,2,FALSE)</f>
        <v>Pipe PVC D100</v>
      </c>
      <c r="G2674" s="847" t="s">
        <v>543</v>
      </c>
      <c r="H2674" s="847">
        <v>101</v>
      </c>
      <c r="I2674" s="848">
        <f>VLOOKUP(E2674,'11.gia '!$B:$I,8,FALSE)</f>
        <v>72100</v>
      </c>
      <c r="J2674" s="853">
        <f>I2674*H2674</f>
        <v>7282100</v>
      </c>
      <c r="M2674" s="872"/>
      <c r="N2674" s="843" t="e">
        <f>SUMIF(#REF!,'8.Dgia'!A2674,#REF!)+SUMIF(#REF!,'8.Dgia'!A2674,#REF!)+SUMIF(#REF!,'8.Dgia'!A2674,#REF!)+SUMIF(#REF!,'8.Dgia'!A2674,#REF!)</f>
        <v>#REF!</v>
      </c>
      <c r="O2674" s="844">
        <f>+$H$2677</f>
        <v>0.01</v>
      </c>
      <c r="P2674" s="843" t="e">
        <f t="shared" si="114"/>
        <v>#REF!</v>
      </c>
    </row>
    <row r="2675" spans="1:18" s="2009" customFormat="1" ht="15" customHeight="1">
      <c r="A2675" s="2009">
        <f>IF(B2675="",MAX($A$8:A2674)+0,MAX($A$8:A2674)+1)</f>
        <v>311</v>
      </c>
      <c r="B2675" s="2137" t="str">
        <f>IF(C2675="","",COUNTA($C$10:C2676))</f>
        <v/>
      </c>
      <c r="C2675" s="2138"/>
      <c r="D2675" s="2138"/>
      <c r="E2675" s="2140" t="s">
        <v>476</v>
      </c>
      <c r="F2675" s="848" t="str">
        <f>VLOOKUP(E2675,DICH!B:C,2,FALSE)</f>
        <v>Alcohol for washing</v>
      </c>
      <c r="G2675" s="2141" t="s">
        <v>558</v>
      </c>
      <c r="H2675" s="2146"/>
      <c r="I2675" s="2142">
        <f>VLOOKUP(E2675,'11.gia '!$B:$I,8,FALSE)</f>
        <v>7000</v>
      </c>
      <c r="J2675" s="2143" t="s">
        <v>2084</v>
      </c>
      <c r="K2675" s="2010"/>
      <c r="L2675" s="2010"/>
      <c r="M2675" s="2147"/>
      <c r="N2675" s="2144" t="e">
        <f>SUMIF(#REF!,'8.Dgia'!A2675,#REF!)+SUMIF(#REF!,'8.Dgia'!A2675,#REF!)+SUMIF(#REF!,'8.Dgia'!A2675,#REF!)+SUMIF(#REF!,'8.Dgia'!A2675,#REF!)</f>
        <v>#REF!</v>
      </c>
      <c r="O2675" s="2145">
        <f>+$H$2677</f>
        <v>0.01</v>
      </c>
      <c r="P2675" s="2144" t="e">
        <f t="shared" si="114"/>
        <v>#REF!</v>
      </c>
    </row>
    <row r="2676" spans="1:18" s="2009" customFormat="1" ht="15" customHeight="1">
      <c r="A2676" s="2009">
        <f>IF(B2676="",MAX($A$8:A2675)+0,MAX($A$8:A2675)+1)</f>
        <v>311</v>
      </c>
      <c r="B2676" s="2137" t="str">
        <f>IF(C2676="","",COUNTA($C$10:C2677))</f>
        <v/>
      </c>
      <c r="C2676" s="2138"/>
      <c r="D2676" s="2138"/>
      <c r="E2676" s="2140" t="s">
        <v>360</v>
      </c>
      <c r="F2676" s="848" t="str">
        <f>VLOOKUP(E2676,DICH!B:C,2,FALSE)</f>
        <v>glue</v>
      </c>
      <c r="G2676" s="2141" t="s">
        <v>558</v>
      </c>
      <c r="H2676" s="2146"/>
      <c r="I2676" s="2142">
        <f>VLOOKUP(E2676,'11.gia '!$B:$I,8,FALSE)</f>
        <v>100900</v>
      </c>
      <c r="J2676" s="2143" t="s">
        <v>2084</v>
      </c>
      <c r="K2676" s="2010"/>
      <c r="L2676" s="2010"/>
      <c r="M2676" s="2147"/>
      <c r="N2676" s="2144" t="e">
        <f>SUMIF(#REF!,'8.Dgia'!A2676,#REF!)+SUMIF(#REF!,'8.Dgia'!A2676,#REF!)+SUMIF(#REF!,'8.Dgia'!A2676,#REF!)+SUMIF(#REF!,'8.Dgia'!A2676,#REF!)</f>
        <v>#REF!</v>
      </c>
      <c r="O2676" s="2145">
        <f>+$H$2677</f>
        <v>0.01</v>
      </c>
      <c r="P2676" s="2144" t="e">
        <f t="shared" si="114"/>
        <v>#REF!</v>
      </c>
    </row>
    <row r="2677" spans="1:18" ht="15" customHeight="1">
      <c r="A2677" s="657">
        <f>IF(B2677="",MAX($A$8:A2676)+0,MAX($A$8:A2676)+1)</f>
        <v>311</v>
      </c>
      <c r="B2677" s="835" t="str">
        <f>IF(C2677="","",COUNTA($C$10:C2678))</f>
        <v/>
      </c>
      <c r="C2677" s="362"/>
      <c r="D2677" s="362"/>
      <c r="E2677" s="852" t="s">
        <v>555</v>
      </c>
      <c r="F2677" s="848" t="str">
        <f>VLOOKUP(E2677,DICH!B:C,2,FALSE)</f>
        <v>Other material</v>
      </c>
      <c r="G2677" s="362" t="s">
        <v>554</v>
      </c>
      <c r="H2677" s="847">
        <v>0.01</v>
      </c>
      <c r="I2677" s="848">
        <f>SUM(J2674:J2676)</f>
        <v>7282100</v>
      </c>
      <c r="J2677" s="853">
        <f>I2677*H2677%</f>
        <v>728.21</v>
      </c>
      <c r="M2677" s="872"/>
      <c r="N2677" s="843" t="e">
        <f>SUMIF(#REF!,'8.Dgia'!A2677,#REF!)+SUMIF(#REF!,'8.Dgia'!A2677,#REF!)+SUMIF(#REF!,'8.Dgia'!A2677,#REF!)+SUMIF(#REF!,'8.Dgia'!A2677,#REF!)</f>
        <v>#REF!</v>
      </c>
      <c r="O2677" s="844"/>
      <c r="P2677" s="843" t="e">
        <f t="shared" si="114"/>
        <v>#REF!</v>
      </c>
    </row>
    <row r="2678" spans="1:18" ht="15" customHeight="1">
      <c r="A2678" s="657">
        <f>IF(B2678="",MAX($A$8:A2677)+0,MAX($A$8:A2677)+1)</f>
        <v>311</v>
      </c>
      <c r="B2678" s="835" t="str">
        <f>IF(C2678="","",COUNTA($C$10:C2679))</f>
        <v/>
      </c>
      <c r="C2678" s="362"/>
      <c r="D2678" s="362"/>
      <c r="E2678" s="852" t="s">
        <v>2037</v>
      </c>
      <c r="F2678" s="848" t="str">
        <f>VLOOKUP(E2678,DICH!B:C,2,FALSE)</f>
        <v xml:space="preserve">  B - Labour 3.5/7</v>
      </c>
      <c r="G2678" s="847" t="s">
        <v>4899</v>
      </c>
      <c r="H2678" s="865">
        <v>13.51</v>
      </c>
      <c r="I2678" s="848">
        <f>VLOOKUP(E2678,'16.NC'!$C$11:$F$22,4,FALSE)</f>
        <v>202862</v>
      </c>
      <c r="J2678" s="849">
        <f>I2678*H2678</f>
        <v>2740665.62</v>
      </c>
      <c r="M2678" s="872"/>
      <c r="N2678" s="843" t="e">
        <f>SUMIF(#REF!,'8.Dgia'!A2678,#REF!)+SUMIF(#REF!,'8.Dgia'!A2678,#REF!)+SUMIF(#REF!,'8.Dgia'!A2678,#REF!)+SUMIF(#REF!,'8.Dgia'!A2678,#REF!)</f>
        <v>#REF!</v>
      </c>
      <c r="O2678" s="844"/>
      <c r="P2678" s="843" t="e">
        <f t="shared" si="114"/>
        <v>#REF!</v>
      </c>
      <c r="R2678" s="658">
        <v>1</v>
      </c>
    </row>
    <row r="2679" spans="1:18" ht="15" customHeight="1">
      <c r="A2679" s="657">
        <f>IF(B2679="",MAX($A$8:A2678)+0,MAX($A$8:A2678)+1)</f>
        <v>312</v>
      </c>
      <c r="B2679" s="835">
        <f>IF(C2679="","",COUNTA($C$10:C2680))</f>
        <v>312</v>
      </c>
      <c r="C2679" s="835">
        <f>IF(D2679="","",1776)</f>
        <v>1776</v>
      </c>
      <c r="D2679" s="851" t="s">
        <v>609</v>
      </c>
      <c r="E2679" s="855" t="s">
        <v>3622</v>
      </c>
      <c r="F2679" s="1049" t="str">
        <f>VLOOKUP(E2679,DICH!B:C,2,FALSE)</f>
        <v>Install duct 20x75mm</v>
      </c>
      <c r="G2679" s="856" t="s">
        <v>543</v>
      </c>
      <c r="H2679" s="847"/>
      <c r="I2679" s="848"/>
      <c r="J2679" s="857"/>
      <c r="K2679" s="842">
        <f>+J2680</f>
        <v>32271.234805418542</v>
      </c>
      <c r="L2679" s="842">
        <f>+J2687</f>
        <v>45196.25</v>
      </c>
      <c r="M2679" s="842">
        <f>+J2688</f>
        <v>1855.7290631250005</v>
      </c>
      <c r="N2679" s="843" t="e">
        <f>SUMIF(#REF!,'8.Dgia'!A2679,#REF!)+SUMIF(#REF!,'8.Dgia'!A2679,#REF!)+SUMIF(#REF!,'8.Dgia'!A2679,#REF!)+SUMIF(#REF!,'8.Dgia'!A2679,#REF!)</f>
        <v>#REF!</v>
      </c>
      <c r="O2679" s="844"/>
      <c r="P2679" s="843" t="e">
        <f t="shared" si="114"/>
        <v>#REF!</v>
      </c>
    </row>
    <row r="2680" spans="1:18" s="658" customFormat="1" ht="15" customHeight="1">
      <c r="A2680" s="657">
        <f>IF(B2680="",MAX($A$8:A2679)+0,MAX($A$8:A2679)+1)</f>
        <v>312</v>
      </c>
      <c r="B2680" s="835" t="str">
        <f>IF(C2680="","",COUNTA($C$10:C2681))</f>
        <v/>
      </c>
      <c r="C2680" s="362"/>
      <c r="D2680" s="845"/>
      <c r="E2680" s="852" t="s">
        <v>2032</v>
      </c>
      <c r="F2680" s="848" t="str">
        <f>VLOOKUP(E2680,DICH!B:C,2,FALSE)</f>
        <v xml:space="preserve">  A - Material</v>
      </c>
      <c r="G2680" s="846"/>
      <c r="H2680" s="847"/>
      <c r="I2680" s="848"/>
      <c r="J2680" s="849">
        <f>SUM(J2681:J2686)</f>
        <v>32271.234805418542</v>
      </c>
      <c r="K2680" s="850"/>
      <c r="L2680" s="850"/>
      <c r="M2680" s="850"/>
      <c r="N2680" s="843" t="e">
        <f>SUMIF(#REF!,'8.Dgia'!A2680,#REF!)+SUMIF(#REF!,'8.Dgia'!A2680,#REF!)+SUMIF(#REF!,'8.Dgia'!A2680,#REF!)+SUMIF(#REF!,'8.Dgia'!A2680,#REF!)</f>
        <v>#REF!</v>
      </c>
      <c r="O2680" s="844"/>
      <c r="P2680" s="843" t="e">
        <f t="shared" si="114"/>
        <v>#REF!</v>
      </c>
    </row>
    <row r="2681" spans="1:18" ht="15" customHeight="1">
      <c r="A2681" s="657">
        <f>IF(B2681="",MAX($A$8:A2680)+0,MAX($A$8:A2680)+1)</f>
        <v>312</v>
      </c>
      <c r="B2681" s="835" t="str">
        <f>IF(C2681="","",COUNTA($C$10:C2682))</f>
        <v/>
      </c>
      <c r="C2681" s="362"/>
      <c r="D2681" s="851"/>
      <c r="E2681" s="852" t="s">
        <v>2067</v>
      </c>
      <c r="F2681" s="848" t="str">
        <f>VLOOKUP(E2681,DICH!B:C,2,FALSE)</f>
        <v>Duct 20x75</v>
      </c>
      <c r="G2681" s="362" t="s">
        <v>543</v>
      </c>
      <c r="H2681" s="847">
        <v>1.02</v>
      </c>
      <c r="I2681" s="848">
        <f>VLOOKUP(E2681,'11.gia '!$B:$I,8,FALSE)</f>
        <v>26363.63636363636</v>
      </c>
      <c r="J2681" s="853">
        <f>I2681*H2681</f>
        <v>26890.909090909088</v>
      </c>
      <c r="N2681" s="843" t="e">
        <f>SUMIF(#REF!,'8.Dgia'!A2681,#REF!)+SUMIF(#REF!,'8.Dgia'!A2681,#REF!)+SUMIF(#REF!,'8.Dgia'!A2681,#REF!)+SUMIF(#REF!,'8.Dgia'!A2681,#REF!)</f>
        <v>#REF!</v>
      </c>
      <c r="O2681" s="844">
        <f>+$H$2686</f>
        <v>1</v>
      </c>
      <c r="P2681" s="843" t="e">
        <f t="shared" si="114"/>
        <v>#REF!</v>
      </c>
    </row>
    <row r="2682" spans="1:18" ht="15" customHeight="1">
      <c r="A2682" s="657">
        <f>IF(B2682="",MAX($A$8:A2681)+0,MAX($A$8:A2681)+1)</f>
        <v>312</v>
      </c>
      <c r="B2682" s="835" t="str">
        <f>IF(C2682="","",COUNTA($C$10:C2683))</f>
        <v/>
      </c>
      <c r="C2682" s="362"/>
      <c r="D2682" s="851"/>
      <c r="E2682" s="852" t="s">
        <v>2154</v>
      </c>
      <c r="F2682" s="848" t="str">
        <f>VLOOKUP(E2682,DICH!B:C,2,FALSE)</f>
        <v>joint duct 20x75</v>
      </c>
      <c r="G2682" s="362" t="s">
        <v>543</v>
      </c>
      <c r="H2682" s="847">
        <v>0.06</v>
      </c>
      <c r="I2682" s="848">
        <f>VLOOKUP(E2682,'11.gia '!$B:$I,8,FALSE)</f>
        <v>26363.63636363636</v>
      </c>
      <c r="J2682" s="853">
        <f>I2682*H2682</f>
        <v>1581.8181818181815</v>
      </c>
      <c r="N2682" s="843" t="e">
        <f>SUMIF(#REF!,'8.Dgia'!A2682,#REF!)+SUMIF(#REF!,'8.Dgia'!A2682,#REF!)+SUMIF(#REF!,'8.Dgia'!A2682,#REF!)+SUMIF(#REF!,'8.Dgia'!A2682,#REF!)</f>
        <v>#REF!</v>
      </c>
      <c r="O2682" s="844">
        <f>+$H$2686</f>
        <v>1</v>
      </c>
      <c r="P2682" s="843" t="e">
        <f t="shared" si="114"/>
        <v>#REF!</v>
      </c>
    </row>
    <row r="2683" spans="1:18" ht="15" customHeight="1">
      <c r="A2683" s="657">
        <f>IF(B2683="",MAX($A$8:A2682)+0,MAX($A$8:A2682)+1)</f>
        <v>312</v>
      </c>
      <c r="B2683" s="835" t="str">
        <f>IF(C2683="","",COUNTA($C$10:C2684))</f>
        <v/>
      </c>
      <c r="C2683" s="362"/>
      <c r="D2683" s="851"/>
      <c r="E2683" s="852" t="s">
        <v>371</v>
      </c>
      <c r="F2683" s="848" t="str">
        <f>VLOOKUP(E2683,DICH!B:C,2,FALSE)</f>
        <v>steel bar D&lt;=10</v>
      </c>
      <c r="G2683" s="362" t="s">
        <v>558</v>
      </c>
      <c r="H2683" s="847">
        <v>0.19</v>
      </c>
      <c r="I2683" s="848">
        <f>VLOOKUP(E2683,'11.gia '!$B:$I,8,FALSE)</f>
        <v>16754.075560000001</v>
      </c>
      <c r="J2683" s="853">
        <f>I2683*H2683</f>
        <v>3183.2743564000002</v>
      </c>
      <c r="N2683" s="843" t="e">
        <f>SUMIF(#REF!,'8.Dgia'!A2683,#REF!)+SUMIF(#REF!,'8.Dgia'!A2683,#REF!)+SUMIF(#REF!,'8.Dgia'!A2683,#REF!)+SUMIF(#REF!,'8.Dgia'!A2683,#REF!)</f>
        <v>#REF!</v>
      </c>
      <c r="O2683" s="844">
        <f>+$H$2686</f>
        <v>1</v>
      </c>
      <c r="P2683" s="843" t="e">
        <f t="shared" si="114"/>
        <v>#REF!</v>
      </c>
    </row>
    <row r="2684" spans="1:18" ht="15" customHeight="1">
      <c r="A2684" s="657">
        <f>IF(B2684="",MAX($A$8:A2683)+0,MAX($A$8:A2683)+1)</f>
        <v>312</v>
      </c>
      <c r="B2684" s="835" t="str">
        <f>IF(C2684="","",COUNTA($C$10:C2685))</f>
        <v/>
      </c>
      <c r="C2684" s="362"/>
      <c r="D2684" s="851"/>
      <c r="E2684" s="852" t="s">
        <v>459</v>
      </c>
      <c r="F2684" s="848" t="str">
        <f>VLOOKUP(E2684,DICH!B:C,2,FALSE)</f>
        <v>Steel ware</v>
      </c>
      <c r="G2684" s="362" t="s">
        <v>558</v>
      </c>
      <c r="H2684" s="847">
        <v>1.2E-2</v>
      </c>
      <c r="I2684" s="848">
        <f>VLOOKUP(E2684,'11.gia '!$B:$I,8,FALSE)</f>
        <v>17143</v>
      </c>
      <c r="J2684" s="853">
        <f>I2684*H2684</f>
        <v>205.71600000000001</v>
      </c>
      <c r="N2684" s="843" t="e">
        <f>SUMIF(#REF!,'8.Dgia'!A2684,#REF!)+SUMIF(#REF!,'8.Dgia'!A2684,#REF!)+SUMIF(#REF!,'8.Dgia'!A2684,#REF!)+SUMIF(#REF!,'8.Dgia'!A2684,#REF!)</f>
        <v>#REF!</v>
      </c>
      <c r="O2684" s="844">
        <f>+$H$2686</f>
        <v>1</v>
      </c>
      <c r="P2684" s="843" t="e">
        <f t="shared" si="114"/>
        <v>#REF!</v>
      </c>
    </row>
    <row r="2685" spans="1:18" ht="15" customHeight="1">
      <c r="A2685" s="657">
        <f>IF(B2685="",MAX($A$8:A2684)+0,MAX($A$8:A2684)+1)</f>
        <v>312</v>
      </c>
      <c r="B2685" s="835" t="str">
        <f>IF(C2685="","",COUNTA($C$10:C2686))</f>
        <v/>
      </c>
      <c r="C2685" s="362"/>
      <c r="D2685" s="851"/>
      <c r="E2685" s="852" t="s">
        <v>575</v>
      </c>
      <c r="F2685" s="848" t="str">
        <f>VLOOKUP(E2685,DICH!B:C,2,FALSE)</f>
        <v>Saw</v>
      </c>
      <c r="G2685" s="362" t="s">
        <v>4649</v>
      </c>
      <c r="H2685" s="847">
        <v>0.02</v>
      </c>
      <c r="I2685" s="848">
        <f>VLOOKUP(E2685,'11.gia '!$B:$I,8,FALSE)</f>
        <v>4500</v>
      </c>
      <c r="J2685" s="853">
        <f>I2685*H2685</f>
        <v>90</v>
      </c>
      <c r="N2685" s="843" t="e">
        <f>SUMIF(#REF!,'8.Dgia'!A2685,#REF!)+SUMIF(#REF!,'8.Dgia'!A2685,#REF!)+SUMIF(#REF!,'8.Dgia'!A2685,#REF!)+SUMIF(#REF!,'8.Dgia'!A2685,#REF!)</f>
        <v>#REF!</v>
      </c>
      <c r="O2685" s="844">
        <f>+$H$2686</f>
        <v>1</v>
      </c>
      <c r="P2685" s="843" t="e">
        <f t="shared" si="114"/>
        <v>#REF!</v>
      </c>
    </row>
    <row r="2686" spans="1:18" ht="15" customHeight="1">
      <c r="A2686" s="657">
        <f>IF(B2686="",MAX($A$8:A2685)+0,MAX($A$8:A2685)+1)</f>
        <v>312</v>
      </c>
      <c r="B2686" s="835" t="str">
        <f>IF(C2686="","",COUNTA($C$10:C2687))</f>
        <v/>
      </c>
      <c r="C2686" s="362"/>
      <c r="D2686" s="851"/>
      <c r="E2686" s="852" t="s">
        <v>555</v>
      </c>
      <c r="F2686" s="848" t="str">
        <f>VLOOKUP(E2686,DICH!B:C,2,FALSE)</f>
        <v>Other material</v>
      </c>
      <c r="G2686" s="362" t="s">
        <v>554</v>
      </c>
      <c r="H2686" s="847">
        <v>1</v>
      </c>
      <c r="I2686" s="848">
        <f>SUM(J2681:J2685)</f>
        <v>31951.71762912727</v>
      </c>
      <c r="J2686" s="853">
        <f>I2686*H2686%</f>
        <v>319.51717629127273</v>
      </c>
      <c r="N2686" s="843" t="e">
        <f>SUMIF(#REF!,'8.Dgia'!A2686,#REF!)+SUMIF(#REF!,'8.Dgia'!A2686,#REF!)+SUMIF(#REF!,'8.Dgia'!A2686,#REF!)+SUMIF(#REF!,'8.Dgia'!A2686,#REF!)</f>
        <v>#REF!</v>
      </c>
      <c r="O2686" s="844"/>
      <c r="P2686" s="843" t="e">
        <f t="shared" si="114"/>
        <v>#REF!</v>
      </c>
    </row>
    <row r="2687" spans="1:18" s="658" customFormat="1" ht="15" customHeight="1">
      <c r="A2687" s="657">
        <f>IF(B2687="",MAX($A$8:A2686)+0,MAX($A$8:A2686)+1)</f>
        <v>312</v>
      </c>
      <c r="B2687" s="835" t="str">
        <f>IF(C2687="","",COUNTA($C$10:C2688))</f>
        <v/>
      </c>
      <c r="C2687" s="362"/>
      <c r="D2687" s="845"/>
      <c r="E2687" s="852" t="s">
        <v>2040</v>
      </c>
      <c r="F2687" s="848" t="str">
        <f>VLOOKUP(E2687,DICH!B:C,2,FALSE)</f>
        <v xml:space="preserve">  B - Labour 4.5/7</v>
      </c>
      <c r="G2687" s="362" t="s">
        <v>4899</v>
      </c>
      <c r="H2687" s="847">
        <v>0.19</v>
      </c>
      <c r="I2687" s="848">
        <f>VLOOKUP(E2687,'16.NC'!$C$11:$F$22,4,FALSE)</f>
        <v>237875</v>
      </c>
      <c r="J2687" s="849">
        <f>I2687*H2687</f>
        <v>45196.25</v>
      </c>
      <c r="K2687" s="850"/>
      <c r="L2687" s="850"/>
      <c r="M2687" s="850"/>
      <c r="N2687" s="843" t="e">
        <f>SUMIF(#REF!,'8.Dgia'!A2687,#REF!)+SUMIF(#REF!,'8.Dgia'!A2687,#REF!)+SUMIF(#REF!,'8.Dgia'!A2687,#REF!)+SUMIF(#REF!,'8.Dgia'!A2687,#REF!)</f>
        <v>#REF!</v>
      </c>
      <c r="O2687" s="844"/>
      <c r="P2687" s="843" t="e">
        <f t="shared" si="114"/>
        <v>#REF!</v>
      </c>
      <c r="R2687" s="658">
        <v>1</v>
      </c>
    </row>
    <row r="2688" spans="1:18" s="658" customFormat="1" ht="15" customHeight="1">
      <c r="A2688" s="657">
        <f>IF(B2688="",MAX($A$8:A2687)+0,MAX($A$8:A2687)+1)</f>
        <v>312</v>
      </c>
      <c r="B2688" s="835" t="str">
        <f>IF(C2688="","",COUNTA($C$10:C2689))</f>
        <v/>
      </c>
      <c r="C2688" s="362"/>
      <c r="D2688" s="845"/>
      <c r="E2688" s="852" t="s">
        <v>2033</v>
      </c>
      <c r="F2688" s="848" t="str">
        <f>VLOOKUP(E2688,DICH!B:C,2,FALSE)</f>
        <v xml:space="preserve">  C - Machine</v>
      </c>
      <c r="G2688" s="846"/>
      <c r="H2688" s="847"/>
      <c r="I2688" s="848"/>
      <c r="J2688" s="849">
        <f>SUM(J2689:J2690)</f>
        <v>1855.7290631250005</v>
      </c>
      <c r="K2688" s="850"/>
      <c r="L2688" s="850"/>
      <c r="M2688" s="850"/>
      <c r="N2688" s="843" t="e">
        <f>SUMIF(#REF!,'8.Dgia'!A2688,#REF!)+SUMIF(#REF!,'8.Dgia'!A2688,#REF!)+SUMIF(#REF!,'8.Dgia'!A2688,#REF!)+SUMIF(#REF!,'8.Dgia'!A2688,#REF!)</f>
        <v>#REF!</v>
      </c>
      <c r="O2688" s="844"/>
      <c r="P2688" s="843" t="e">
        <f t="shared" si="114"/>
        <v>#REF!</v>
      </c>
    </row>
    <row r="2689" spans="1:16" ht="15" customHeight="1">
      <c r="A2689" s="657">
        <f>IF(B2689="",MAX($A$8:A2688)+0,MAX($A$8:A2688)+1)</f>
        <v>312</v>
      </c>
      <c r="B2689" s="835" t="str">
        <f>IF(C2689="","",COUNTA($C$10:C2690))</f>
        <v/>
      </c>
      <c r="C2689" s="362"/>
      <c r="D2689" s="851"/>
      <c r="E2689" s="852" t="s">
        <v>1428</v>
      </c>
      <c r="F2689" s="848" t="str">
        <f>VLOOKUP(E2689,'9.may'!E:F,2,FALSE)</f>
        <v>metal sawer 1.7kW</v>
      </c>
      <c r="G2689" s="362" t="s">
        <v>4902</v>
      </c>
      <c r="H2689" s="847">
        <v>2.5000000000000001E-2</v>
      </c>
      <c r="I2689" s="848">
        <f>VLOOKUP(E2689,'9.may'!E:W,12,FALSE)</f>
        <v>70694.440500000012</v>
      </c>
      <c r="J2689" s="853">
        <f>I2689*H2689</f>
        <v>1767.3610125000005</v>
      </c>
      <c r="N2689" s="843" t="e">
        <f>SUMIF(#REF!,'8.Dgia'!A2689,#REF!)+SUMIF(#REF!,'8.Dgia'!A2689,#REF!)+SUMIF(#REF!,'8.Dgia'!A2689,#REF!)+SUMIF(#REF!,'8.Dgia'!A2689,#REF!)</f>
        <v>#REF!</v>
      </c>
      <c r="O2689" s="844">
        <f>+$H$2690</f>
        <v>5</v>
      </c>
      <c r="P2689" s="843" t="e">
        <f t="shared" si="114"/>
        <v>#REF!</v>
      </c>
    </row>
    <row r="2690" spans="1:16" ht="15" customHeight="1">
      <c r="A2690" s="657">
        <f>IF(B2690="",MAX($A$8:A2689)+0,MAX($A$8:A2689)+1)</f>
        <v>312</v>
      </c>
      <c r="B2690" s="835" t="str">
        <f>IF(C2690="","",COUNTA($C$10:C2691))</f>
        <v/>
      </c>
      <c r="C2690" s="362"/>
      <c r="D2690" s="851"/>
      <c r="E2690" s="852" t="s">
        <v>553</v>
      </c>
      <c r="F2690" s="848" t="str">
        <f>VLOOKUP(E2690,DICH!B:C,2,FALSE)</f>
        <v>Other machine</v>
      </c>
      <c r="G2690" s="362" t="s">
        <v>554</v>
      </c>
      <c r="H2690" s="847">
        <v>5</v>
      </c>
      <c r="I2690" s="848">
        <f>J2689</f>
        <v>1767.3610125000005</v>
      </c>
      <c r="J2690" s="853">
        <f>I2690*H2690%</f>
        <v>88.368050625000024</v>
      </c>
      <c r="N2690" s="843" t="e">
        <f>SUMIF(#REF!,'8.Dgia'!A2690,#REF!)+SUMIF(#REF!,'8.Dgia'!A2690,#REF!)+SUMIF(#REF!,'8.Dgia'!A2690,#REF!)+SUMIF(#REF!,'8.Dgia'!A2690,#REF!)</f>
        <v>#REF!</v>
      </c>
      <c r="O2690" s="844"/>
      <c r="P2690" s="843" t="e">
        <f t="shared" si="114"/>
        <v>#REF!</v>
      </c>
    </row>
    <row r="2691" spans="1:16" ht="15" customHeight="1">
      <c r="A2691" s="657">
        <f>IF(B2691="",MAX($A$8:A2690)+0,MAX($A$8:A2690)+1)</f>
        <v>313</v>
      </c>
      <c r="B2691" s="835">
        <f>IF(C2691="","",COUNTA($C$10:C2692))</f>
        <v>313</v>
      </c>
      <c r="C2691" s="362">
        <v>0</v>
      </c>
      <c r="D2691" s="851" t="s">
        <v>306</v>
      </c>
      <c r="E2691" s="855" t="s">
        <v>3420</v>
      </c>
      <c r="F2691" s="848" t="str">
        <f>VLOOKUP(E2691,DICH!B:C,2,FALSE)</f>
        <v>Bbolt M24x290</v>
      </c>
      <c r="G2691" s="856" t="s">
        <v>4651</v>
      </c>
      <c r="H2691" s="882"/>
      <c r="I2691" s="848"/>
      <c r="J2691" s="853"/>
      <c r="K2691" s="842">
        <f>+J2692</f>
        <v>10000</v>
      </c>
      <c r="N2691" s="843" t="e">
        <f>SUMIF(#REF!,'8.Dgia'!A2691,#REF!)+SUMIF(#REF!,'8.Dgia'!A2691,#REF!)+SUMIF(#REF!,'8.Dgia'!A2691,#REF!)+SUMIF(#REF!,'8.Dgia'!A2691,#REF!)</f>
        <v>#REF!</v>
      </c>
      <c r="O2691" s="844"/>
      <c r="P2691" s="843" t="e">
        <f t="shared" si="114"/>
        <v>#REF!</v>
      </c>
    </row>
    <row r="2692" spans="1:16" s="658" customFormat="1" ht="15" customHeight="1">
      <c r="A2692" s="657">
        <f>IF(B2692="",MAX($A$8:A2691)+0,MAX($A$8:A2691)+1)</f>
        <v>313</v>
      </c>
      <c r="B2692" s="835" t="str">
        <f>IF(C2692="","",COUNTA($C$10:C2693))</f>
        <v/>
      </c>
      <c r="C2692" s="362"/>
      <c r="D2692" s="845"/>
      <c r="E2692" s="852" t="s">
        <v>2032</v>
      </c>
      <c r="F2692" s="848" t="str">
        <f>VLOOKUP(E2692,DICH!B:C,2,FALSE)</f>
        <v xml:space="preserve">  A - Material</v>
      </c>
      <c r="G2692" s="846"/>
      <c r="H2692" s="847"/>
      <c r="I2692" s="848"/>
      <c r="J2692" s="849">
        <f>+J2693</f>
        <v>10000</v>
      </c>
      <c r="K2692" s="850"/>
      <c r="L2692" s="850"/>
      <c r="M2692" s="850"/>
      <c r="N2692" s="843" t="e">
        <f>SUMIF(#REF!,'8.Dgia'!A2692,#REF!)+SUMIF(#REF!,'8.Dgia'!A2692,#REF!)+SUMIF(#REF!,'8.Dgia'!A2692,#REF!)+SUMIF(#REF!,'8.Dgia'!A2692,#REF!)</f>
        <v>#REF!</v>
      </c>
      <c r="O2692" s="844"/>
      <c r="P2692" s="843" t="e">
        <f t="shared" si="114"/>
        <v>#REF!</v>
      </c>
    </row>
    <row r="2693" spans="1:16" ht="15" customHeight="1">
      <c r="A2693" s="657">
        <f>IF(B2693="",MAX($A$8:A2692)+0,MAX($A$8:A2692)+1)</f>
        <v>313</v>
      </c>
      <c r="B2693" s="835" t="str">
        <f>IF(C2693="","",COUNTA($C$10:C2694))</f>
        <v/>
      </c>
      <c r="C2693" s="851"/>
      <c r="D2693" s="851"/>
      <c r="E2693" s="852" t="s">
        <v>3420</v>
      </c>
      <c r="F2693" s="848" t="str">
        <f>VLOOKUP(E2693,DICH!B:C,2,FALSE)</f>
        <v>Bbolt M24x290</v>
      </c>
      <c r="G2693" s="362" t="s">
        <v>4651</v>
      </c>
      <c r="H2693" s="847">
        <v>1</v>
      </c>
      <c r="I2693" s="848">
        <f>VLOOKUP(E2693,'11.gia '!$B:$I,8,FALSE)</f>
        <v>10000</v>
      </c>
      <c r="J2693" s="853">
        <f>I2693*H2693</f>
        <v>10000</v>
      </c>
      <c r="N2693" s="843" t="e">
        <f>SUMIF(#REF!,'8.Dgia'!A2693,#REF!)+SUMIF(#REF!,'8.Dgia'!A2693,#REF!)+SUMIF(#REF!,'8.Dgia'!A2693,#REF!)+SUMIF(#REF!,'8.Dgia'!A2693,#REF!)</f>
        <v>#REF!</v>
      </c>
      <c r="O2693" s="844"/>
      <c r="P2693" s="843" t="e">
        <f t="shared" si="114"/>
        <v>#REF!</v>
      </c>
    </row>
    <row r="2694" spans="1:16" ht="15" customHeight="1">
      <c r="A2694" s="657">
        <f>IF(B2694="",MAX($A$8:A2693)+0,MAX($A$8:A2693)+1)</f>
        <v>314</v>
      </c>
      <c r="B2694" s="835">
        <f>IF(C2694="","",COUNTA($C$10:C2695))</f>
        <v>314</v>
      </c>
      <c r="C2694" s="362">
        <v>0</v>
      </c>
      <c r="D2694" s="851" t="s">
        <v>306</v>
      </c>
      <c r="E2694" s="855" t="s">
        <v>3421</v>
      </c>
      <c r="F2694" s="848" t="str">
        <f>VLOOKUP(E2694,DICH!B:C,2,FALSE)</f>
        <v>Bbolt M8x50</v>
      </c>
      <c r="G2694" s="856" t="s">
        <v>4651</v>
      </c>
      <c r="H2694" s="882"/>
      <c r="I2694" s="848"/>
      <c r="J2694" s="853"/>
      <c r="K2694" s="842">
        <f>+J2695</f>
        <v>1200</v>
      </c>
      <c r="N2694" s="843" t="e">
        <f>SUMIF(#REF!,'8.Dgia'!A2694,#REF!)+SUMIF(#REF!,'8.Dgia'!A2694,#REF!)+SUMIF(#REF!,'8.Dgia'!A2694,#REF!)+SUMIF(#REF!,'8.Dgia'!A2694,#REF!)</f>
        <v>#REF!</v>
      </c>
      <c r="O2694" s="844"/>
      <c r="P2694" s="843" t="e">
        <f t="shared" si="114"/>
        <v>#REF!</v>
      </c>
    </row>
    <row r="2695" spans="1:16" s="658" customFormat="1" ht="15" customHeight="1">
      <c r="A2695" s="657">
        <f>IF(B2695="",MAX($A$8:A2694)+0,MAX($A$8:A2694)+1)</f>
        <v>314</v>
      </c>
      <c r="B2695" s="835" t="str">
        <f>IF(C2695="","",COUNTA($C$10:C2696))</f>
        <v/>
      </c>
      <c r="C2695" s="362"/>
      <c r="D2695" s="845"/>
      <c r="E2695" s="852" t="s">
        <v>2032</v>
      </c>
      <c r="F2695" s="848" t="str">
        <f>VLOOKUP(E2695,DICH!B:C,2,FALSE)</f>
        <v xml:space="preserve">  A - Material</v>
      </c>
      <c r="G2695" s="846"/>
      <c r="H2695" s="847"/>
      <c r="I2695" s="848"/>
      <c r="J2695" s="849">
        <f>+J2696</f>
        <v>1200</v>
      </c>
      <c r="K2695" s="850"/>
      <c r="L2695" s="850"/>
      <c r="M2695" s="850"/>
      <c r="N2695" s="843" t="e">
        <f>SUMIF(#REF!,'8.Dgia'!A2695,#REF!)+SUMIF(#REF!,'8.Dgia'!A2695,#REF!)+SUMIF(#REF!,'8.Dgia'!A2695,#REF!)+SUMIF(#REF!,'8.Dgia'!A2695,#REF!)</f>
        <v>#REF!</v>
      </c>
      <c r="O2695" s="844"/>
      <c r="P2695" s="843" t="e">
        <f t="shared" si="114"/>
        <v>#REF!</v>
      </c>
    </row>
    <row r="2696" spans="1:16" ht="15" customHeight="1">
      <c r="A2696" s="657">
        <f>IF(B2696="",MAX($A$8:A2695)+0,MAX($A$8:A2695)+1)</f>
        <v>314</v>
      </c>
      <c r="B2696" s="835" t="str">
        <f>IF(C2696="","",COUNTA($C$10:C2697))</f>
        <v/>
      </c>
      <c r="C2696" s="851"/>
      <c r="D2696" s="851"/>
      <c r="E2696" s="852" t="s">
        <v>3421</v>
      </c>
      <c r="F2696" s="848" t="str">
        <f>VLOOKUP(E2696,DICH!B:C,2,FALSE)</f>
        <v>Bbolt M8x50</v>
      </c>
      <c r="G2696" s="362" t="s">
        <v>4651</v>
      </c>
      <c r="H2696" s="847">
        <v>1</v>
      </c>
      <c r="I2696" s="848">
        <f>VLOOKUP(E2696,'11.gia '!$B:$I,8,FALSE)</f>
        <v>1200</v>
      </c>
      <c r="J2696" s="853">
        <f>I2696*H2696</f>
        <v>1200</v>
      </c>
      <c r="N2696" s="843" t="e">
        <f>SUMIF(#REF!,'8.Dgia'!A2696,#REF!)+SUMIF(#REF!,'8.Dgia'!A2696,#REF!)+SUMIF(#REF!,'8.Dgia'!A2696,#REF!)+SUMIF(#REF!,'8.Dgia'!A2696,#REF!)</f>
        <v>#REF!</v>
      </c>
      <c r="O2696" s="844"/>
      <c r="P2696" s="843" t="e">
        <f t="shared" si="114"/>
        <v>#REF!</v>
      </c>
    </row>
    <row r="2697" spans="1:16" ht="29.25" customHeight="1">
      <c r="A2697" s="657">
        <f>IF(B2697="",MAX($A$8:A2696)+0,MAX($A$8:A2696)+1)</f>
        <v>315</v>
      </c>
      <c r="B2697" s="835">
        <f>IF(C2697="","",COUNTA($C$10:C2698))</f>
        <v>315</v>
      </c>
      <c r="C2697" s="835">
        <f>IF(D2697="","",1776)</f>
        <v>1776</v>
      </c>
      <c r="D2697" s="851" t="s">
        <v>2053</v>
      </c>
      <c r="E2697" s="855" t="s">
        <v>5573</v>
      </c>
      <c r="F2697" s="1049" t="s">
        <v>5574</v>
      </c>
      <c r="G2697" s="856" t="s">
        <v>4644</v>
      </c>
      <c r="H2697" s="847"/>
      <c r="I2697" s="848"/>
      <c r="J2697" s="909"/>
      <c r="K2697" s="842">
        <f>+J2698</f>
        <v>2598114.4631173112</v>
      </c>
      <c r="L2697" s="842">
        <f>+J2705</f>
        <v>4949939.47</v>
      </c>
      <c r="M2697" s="842">
        <f>+J2706</f>
        <v>1271422.0785818181</v>
      </c>
      <c r="N2697" s="843" t="e">
        <f>SUMIF(#REF!,'8.Dgia'!A2697,#REF!)+SUMIF(#REF!,'8.Dgia'!A2697,#REF!)+SUMIF(#REF!,'8.Dgia'!A2697,#REF!)+SUMIF(#REF!,'8.Dgia'!A2697,#REF!)</f>
        <v>#REF!</v>
      </c>
      <c r="O2697" s="844"/>
      <c r="P2697" s="843" t="e">
        <f t="shared" si="114"/>
        <v>#REF!</v>
      </c>
    </row>
    <row r="2698" spans="1:16" ht="15" customHeight="1">
      <c r="A2698" s="657">
        <f>IF(B2698="",MAX($A$8:A2697)+0,MAX($A$8:A2697)+1)</f>
        <v>315</v>
      </c>
      <c r="B2698" s="835" t="str">
        <f>IF(C2698="","",COUNTA($C$10:C2699))</f>
        <v/>
      </c>
      <c r="C2698" s="362"/>
      <c r="D2698" s="851"/>
      <c r="E2698" s="852" t="s">
        <v>2032</v>
      </c>
      <c r="F2698" s="848" t="str">
        <f>VLOOKUP(E2698,DICH!B:C,2,FALSE)</f>
        <v xml:space="preserve">  A - Material</v>
      </c>
      <c r="G2698" s="856"/>
      <c r="H2698" s="847"/>
      <c r="I2698" s="848"/>
      <c r="J2698" s="849">
        <f>SUM(J2699:J2704)</f>
        <v>2598114.4631173112</v>
      </c>
      <c r="N2698" s="843" t="e">
        <f>SUMIF(#REF!,'8.Dgia'!A2698,#REF!)+SUMIF(#REF!,'8.Dgia'!A2698,#REF!)+SUMIF(#REF!,'8.Dgia'!A2698,#REF!)+SUMIF(#REF!,'8.Dgia'!A2698,#REF!)</f>
        <v>#REF!</v>
      </c>
      <c r="O2698" s="844"/>
      <c r="P2698" s="843" t="e">
        <f t="shared" si="114"/>
        <v>#REF!</v>
      </c>
    </row>
    <row r="2699" spans="1:16" ht="15" customHeight="1">
      <c r="A2699" s="657">
        <f>IF(B2699="",MAX($A$8:A2698)+0,MAX($A$8:A2698)+1)</f>
        <v>315</v>
      </c>
      <c r="B2699" s="835" t="str">
        <f>IF(C2699="","",COUNTA($C$10:C2700))</f>
        <v/>
      </c>
      <c r="C2699" s="362"/>
      <c r="D2699" s="851" t="s">
        <v>2255</v>
      </c>
      <c r="E2699" s="852" t="s">
        <v>563</v>
      </c>
      <c r="F2699" s="848" t="str">
        <f>VLOOKUP(E2699,DICH!B:C,2,FALSE)</f>
        <v>Shaped steel</v>
      </c>
      <c r="G2699" s="362" t="s">
        <v>622</v>
      </c>
      <c r="H2699" s="847">
        <f>697.85*(2%*2+7%)</f>
        <v>76.763500000000008</v>
      </c>
      <c r="I2699" s="848">
        <f>VLOOKUP(E2699,'11.gia '!$B:$I,8,FALSE)</f>
        <v>16703.248369172808</v>
      </c>
      <c r="J2699" s="853">
        <f>I2699*H2699</f>
        <v>1282199.8061869971</v>
      </c>
      <c r="N2699" s="843" t="e">
        <f>SUMIF(#REF!,'8.Dgia'!A2699,#REF!)+SUMIF(#REF!,'8.Dgia'!A2699,#REF!)+SUMIF(#REF!,'8.Dgia'!A2699,#REF!)+SUMIF(#REF!,'8.Dgia'!A2699,#REF!)</f>
        <v>#REF!</v>
      </c>
      <c r="O2699" s="844">
        <f>+$H$2704</f>
        <v>5</v>
      </c>
      <c r="P2699" s="843" t="e">
        <f t="shared" si="114"/>
        <v>#REF!</v>
      </c>
    </row>
    <row r="2700" spans="1:16" ht="15" customHeight="1">
      <c r="A2700" s="657">
        <f>IF(B2700="",MAX($A$8:A2699)+0,MAX($A$8:A2699)+1)</f>
        <v>315</v>
      </c>
      <c r="B2700" s="835" t="str">
        <f>IF(C2700="","",COUNTA($C$10:C2701))</f>
        <v/>
      </c>
      <c r="C2700" s="362"/>
      <c r="D2700" s="851" t="s">
        <v>2255</v>
      </c>
      <c r="E2700" s="852" t="s">
        <v>562</v>
      </c>
      <c r="F2700" s="848" t="str">
        <f>VLOOKUP(E2700,DICH!B:C,2,FALSE)</f>
        <v>Plate steel</v>
      </c>
      <c r="G2700" s="362" t="s">
        <v>558</v>
      </c>
      <c r="H2700" s="847">
        <f>362.15*(2%*2+7%)</f>
        <v>39.836500000000001</v>
      </c>
      <c r="I2700" s="848">
        <f>VLOOKUP(E2700,'11.gia '!$B:$I,8,FALSE)</f>
        <v>12871.348287272725</v>
      </c>
      <c r="J2700" s="853">
        <f>I2700*H2700</f>
        <v>512749.46604593995</v>
      </c>
      <c r="N2700" s="843" t="e">
        <f>SUMIF(#REF!,'8.Dgia'!A2700,#REF!)+SUMIF(#REF!,'8.Dgia'!A2700,#REF!)+SUMIF(#REF!,'8.Dgia'!A2700,#REF!)+SUMIF(#REF!,'8.Dgia'!A2700,#REF!)</f>
        <v>#REF!</v>
      </c>
      <c r="O2700" s="844">
        <f>+$H$2704</f>
        <v>5</v>
      </c>
      <c r="P2700" s="843" t="e">
        <f t="shared" si="114"/>
        <v>#REF!</v>
      </c>
    </row>
    <row r="2701" spans="1:16" ht="15" customHeight="1">
      <c r="A2701" s="657">
        <f>IF(B2701="",MAX($A$8:A2700)+0,MAX($A$8:A2700)+1)</f>
        <v>315</v>
      </c>
      <c r="B2701" s="835" t="str">
        <f>IF(C2701="","",COUNTA($C$10:C2702))</f>
        <v/>
      </c>
      <c r="C2701" s="362"/>
      <c r="D2701" s="851"/>
      <c r="E2701" s="852" t="s">
        <v>559</v>
      </c>
      <c r="F2701" s="848" t="str">
        <f>VLOOKUP(E2701,DICH!B:C,2,FALSE)</f>
        <v>welding electrode</v>
      </c>
      <c r="G2701" s="362" t="s">
        <v>558</v>
      </c>
      <c r="H2701" s="847">
        <v>24.15</v>
      </c>
      <c r="I2701" s="848">
        <f>VLOOKUP(E2701,'11.gia '!$B:$I,8,FALSE)</f>
        <v>19090.909090909088</v>
      </c>
      <c r="J2701" s="853">
        <f>I2701*H2701</f>
        <v>461045.45454545447</v>
      </c>
      <c r="N2701" s="843" t="e">
        <f>SUMIF(#REF!,'8.Dgia'!A2701,#REF!)+SUMIF(#REF!,'8.Dgia'!A2701,#REF!)+SUMIF(#REF!,'8.Dgia'!A2701,#REF!)+SUMIF(#REF!,'8.Dgia'!A2701,#REF!)</f>
        <v>#REF!</v>
      </c>
      <c r="O2701" s="844">
        <f>+$H$2704</f>
        <v>5</v>
      </c>
      <c r="P2701" s="843" t="e">
        <f t="shared" si="114"/>
        <v>#REF!</v>
      </c>
    </row>
    <row r="2702" spans="1:16" ht="15" customHeight="1">
      <c r="A2702" s="657">
        <f>IF(B2702="",MAX($A$8:A2701)+0,MAX($A$8:A2701)+1)</f>
        <v>315</v>
      </c>
      <c r="B2702" s="835" t="str">
        <f>IF(C2702="","",COUNTA($C$10:C2703))</f>
        <v/>
      </c>
      <c r="C2702" s="362"/>
      <c r="D2702" s="851"/>
      <c r="E2702" s="852" t="s">
        <v>564</v>
      </c>
      <c r="F2702" s="848" t="str">
        <f>VLOOKUP(E2702,DICH!B:C,2,FALSE)</f>
        <v>oxygen</v>
      </c>
      <c r="G2702" s="362" t="s">
        <v>4647</v>
      </c>
      <c r="H2702" s="847">
        <v>2.1</v>
      </c>
      <c r="I2702" s="848">
        <f>VLOOKUP(E2702,'11.gia '!$B:$I,8,FALSE)</f>
        <v>48000</v>
      </c>
      <c r="J2702" s="853">
        <f>I2702*H2702</f>
        <v>100800</v>
      </c>
      <c r="N2702" s="843" t="e">
        <f>SUMIF(#REF!,'8.Dgia'!A2702,#REF!)+SUMIF(#REF!,'8.Dgia'!A2702,#REF!)+SUMIF(#REF!,'8.Dgia'!A2702,#REF!)+SUMIF(#REF!,'8.Dgia'!A2702,#REF!)</f>
        <v>#REF!</v>
      </c>
      <c r="O2702" s="844">
        <f>+$H$2704</f>
        <v>5</v>
      </c>
      <c r="P2702" s="843" t="e">
        <f t="shared" si="114"/>
        <v>#REF!</v>
      </c>
    </row>
    <row r="2703" spans="1:16" ht="15" customHeight="1">
      <c r="A2703" s="657">
        <f>IF(B2703="",MAX($A$8:A2702)+0,MAX($A$8:A2702)+1)</f>
        <v>315</v>
      </c>
      <c r="B2703" s="835" t="str">
        <f>IF(C2703="","",COUNTA($C$10:C2704))</f>
        <v/>
      </c>
      <c r="C2703" s="362"/>
      <c r="D2703" s="851"/>
      <c r="E2703" s="852" t="s">
        <v>566</v>
      </c>
      <c r="F2703" s="848" t="str">
        <f>VLOOKUP(E2703,DICH!B:C,2,FALSE)</f>
        <v>Calcium carbide</v>
      </c>
      <c r="G2703" s="362" t="s">
        <v>558</v>
      </c>
      <c r="H2703" s="847">
        <v>8.4</v>
      </c>
      <c r="I2703" s="848">
        <f>VLOOKUP(E2703,'11.gia '!$B:$I,8,FALSE)</f>
        <v>14000</v>
      </c>
      <c r="J2703" s="853">
        <f>I2703*H2703</f>
        <v>117600</v>
      </c>
      <c r="N2703" s="843" t="e">
        <f>SUMIF(#REF!,'8.Dgia'!A2703,#REF!)+SUMIF(#REF!,'8.Dgia'!A2703,#REF!)+SUMIF(#REF!,'8.Dgia'!A2703,#REF!)+SUMIF(#REF!,'8.Dgia'!A2703,#REF!)</f>
        <v>#REF!</v>
      </c>
      <c r="O2703" s="844">
        <f>+$H$2704</f>
        <v>5</v>
      </c>
      <c r="P2703" s="843" t="e">
        <f t="shared" si="114"/>
        <v>#REF!</v>
      </c>
    </row>
    <row r="2704" spans="1:16" ht="15" customHeight="1">
      <c r="A2704" s="657">
        <f>IF(B2704="",MAX($A$8:A2703)+0,MAX($A$8:A2703)+1)</f>
        <v>315</v>
      </c>
      <c r="B2704" s="835" t="str">
        <f>IF(C2704="","",COUNTA($C$10:C2705))</f>
        <v/>
      </c>
      <c r="C2704" s="362"/>
      <c r="D2704" s="851"/>
      <c r="E2704" s="852" t="s">
        <v>555</v>
      </c>
      <c r="F2704" s="848" t="str">
        <f>VLOOKUP(E2704,DICH!B:C,2,FALSE)</f>
        <v>Other material</v>
      </c>
      <c r="G2704" s="362" t="s">
        <v>554</v>
      </c>
      <c r="H2704" s="847">
        <v>5</v>
      </c>
      <c r="I2704" s="848">
        <f>SUM(J2699:J2703)</f>
        <v>2474394.7267783917</v>
      </c>
      <c r="J2704" s="853">
        <f>I2704*H2704%</f>
        <v>123719.7363389196</v>
      </c>
      <c r="N2704" s="843" t="e">
        <f>SUMIF(#REF!,'8.Dgia'!A2704,#REF!)+SUMIF(#REF!,'8.Dgia'!A2704,#REF!)+SUMIF(#REF!,'8.Dgia'!A2704,#REF!)+SUMIF(#REF!,'8.Dgia'!A2704,#REF!)</f>
        <v>#REF!</v>
      </c>
      <c r="O2704" s="844"/>
      <c r="P2704" s="843" t="e">
        <f t="shared" si="114"/>
        <v>#REF!</v>
      </c>
    </row>
    <row r="2705" spans="1:18" ht="15" customHeight="1">
      <c r="A2705" s="657">
        <f>IF(B2705="",MAX($A$8:A2704)+0,MAX($A$8:A2704)+1)</f>
        <v>315</v>
      </c>
      <c r="B2705" s="835" t="str">
        <f>IF(C2705="","",COUNTA($C$10:C2706))</f>
        <v/>
      </c>
      <c r="C2705" s="362"/>
      <c r="D2705" s="851"/>
      <c r="E2705" s="852" t="s">
        <v>2039</v>
      </c>
      <c r="F2705" s="848" t="str">
        <f>VLOOKUP(E2705,DICH!B:C,2,FALSE)</f>
        <v xml:space="preserve">  B - Labour 4.0/7</v>
      </c>
      <c r="G2705" s="362" t="s">
        <v>4899</v>
      </c>
      <c r="H2705" s="847">
        <f>22.61</f>
        <v>22.61</v>
      </c>
      <c r="I2705" s="848">
        <f>VLOOKUP(E2705,'16.NC'!$C$11:$F$22,4,FALSE)</f>
        <v>218927</v>
      </c>
      <c r="J2705" s="849">
        <f>I2705*H2705</f>
        <v>4949939.47</v>
      </c>
      <c r="N2705" s="843" t="e">
        <f>SUMIF(#REF!,'8.Dgia'!A2705,#REF!)+SUMIF(#REF!,'8.Dgia'!A2705,#REF!)+SUMIF(#REF!,'8.Dgia'!A2705,#REF!)+SUMIF(#REF!,'8.Dgia'!A2705,#REF!)</f>
        <v>#REF!</v>
      </c>
      <c r="O2705" s="844"/>
      <c r="P2705" s="843" t="e">
        <f t="shared" si="114"/>
        <v>#REF!</v>
      </c>
      <c r="R2705" s="658">
        <v>1</v>
      </c>
    </row>
    <row r="2706" spans="1:18" ht="15" customHeight="1">
      <c r="A2706" s="657">
        <f>IF(B2706="",MAX($A$8:A2705)+0,MAX($A$8:A2705)+1)</f>
        <v>315</v>
      </c>
      <c r="B2706" s="835" t="str">
        <f>IF(C2706="","",COUNTA($C$10:C2707))</f>
        <v/>
      </c>
      <c r="C2706" s="362"/>
      <c r="D2706" s="851"/>
      <c r="E2706" s="852" t="s">
        <v>2033</v>
      </c>
      <c r="F2706" s="848" t="str">
        <f>VLOOKUP(E2706,DICH!B:C,2,FALSE)</f>
        <v xml:space="preserve">  C - Machine</v>
      </c>
      <c r="G2706" s="362"/>
      <c r="H2706" s="847"/>
      <c r="I2706" s="848"/>
      <c r="J2706" s="849">
        <f>SUM(J2707:J2709)</f>
        <v>1271422.0785818181</v>
      </c>
      <c r="N2706" s="843" t="e">
        <f>SUMIF(#REF!,'8.Dgia'!A2706,#REF!)+SUMIF(#REF!,'8.Dgia'!A2706,#REF!)+SUMIF(#REF!,'8.Dgia'!A2706,#REF!)+SUMIF(#REF!,'8.Dgia'!A2706,#REF!)</f>
        <v>#REF!</v>
      </c>
      <c r="O2706" s="844"/>
      <c r="P2706" s="843" t="e">
        <f t="shared" si="114"/>
        <v>#REF!</v>
      </c>
    </row>
    <row r="2707" spans="1:18" ht="15" customHeight="1">
      <c r="A2707" s="657">
        <f>IF(B2707="",MAX($A$8:A2706)+0,MAX($A$8:A2706)+1)</f>
        <v>315</v>
      </c>
      <c r="B2707" s="835" t="str">
        <f>IF(C2707="","",COUNTA($C$10:C2708))</f>
        <v/>
      </c>
      <c r="C2707" s="362"/>
      <c r="D2707" s="851"/>
      <c r="E2707" s="852" t="s">
        <v>560</v>
      </c>
      <c r="F2707" s="848" t="str">
        <f>VLOOKUP(E2707,'9.may'!E:F,2,FALSE)</f>
        <v>welding machine 23kW</v>
      </c>
      <c r="G2707" s="362" t="s">
        <v>4902</v>
      </c>
      <c r="H2707" s="847">
        <f>4.6</f>
        <v>4.5999999999999996</v>
      </c>
      <c r="I2707" s="848">
        <f>VLOOKUP(E2707,'9.may'!E:W,12,FALSE)</f>
        <v>171649.155</v>
      </c>
      <c r="J2707" s="853">
        <f>I2707*H2707</f>
        <v>789586.1129999999</v>
      </c>
      <c r="N2707" s="843" t="e">
        <f>SUMIF(#REF!,'8.Dgia'!A2707,#REF!)+SUMIF(#REF!,'8.Dgia'!A2707,#REF!)+SUMIF(#REF!,'8.Dgia'!A2707,#REF!)+SUMIF(#REF!,'8.Dgia'!A2707,#REF!)</f>
        <v>#REF!</v>
      </c>
      <c r="O2707" s="844"/>
      <c r="P2707" s="843" t="e">
        <f t="shared" si="114"/>
        <v>#REF!</v>
      </c>
    </row>
    <row r="2708" spans="1:18" ht="15" customHeight="1">
      <c r="A2708" s="657">
        <f>IF(B2708="",MAX($A$8:A2707)+0,MAX($A$8:A2707)+1)</f>
        <v>315</v>
      </c>
      <c r="B2708" s="835" t="str">
        <f>IF(C2708="","",COUNTA($C$10:C2709))</f>
        <v/>
      </c>
      <c r="C2708" s="362"/>
      <c r="D2708" s="851"/>
      <c r="E2708" s="852" t="s">
        <v>1417</v>
      </c>
      <c r="F2708" s="848" t="str">
        <f>VLOOKUP(E2708,'9.may'!E:F,2,FALSE)</f>
        <v>Cutting machine 15Kw</v>
      </c>
      <c r="G2708" s="362" t="s">
        <v>4902</v>
      </c>
      <c r="H2708" s="847">
        <f>0.4</f>
        <v>0.4</v>
      </c>
      <c r="I2708" s="848">
        <f>VLOOKUP(E2708,'9.may'!E:W,12,FALSE)</f>
        <v>204698.78999999998</v>
      </c>
      <c r="J2708" s="853">
        <f>I2708*H2708</f>
        <v>81879.516000000003</v>
      </c>
      <c r="N2708" s="843" t="e">
        <f>SUMIF(#REF!,'8.Dgia'!A2708,#REF!)+SUMIF(#REF!,'8.Dgia'!A2708,#REF!)+SUMIF(#REF!,'8.Dgia'!A2708,#REF!)+SUMIF(#REF!,'8.Dgia'!A2708,#REF!)</f>
        <v>#REF!</v>
      </c>
      <c r="O2708" s="844"/>
      <c r="P2708" s="843" t="e">
        <f t="shared" si="114"/>
        <v>#REF!</v>
      </c>
    </row>
    <row r="2709" spans="1:18" ht="15" customHeight="1">
      <c r="A2709" s="657">
        <f>IF(B2709="",MAX($A$8:A2708)+0,MAX($A$8:A2708)+1)</f>
        <v>315</v>
      </c>
      <c r="B2709" s="835" t="str">
        <f>IF(C2709="","",COUNTA($C$10:C2710))</f>
        <v/>
      </c>
      <c r="C2709" s="362"/>
      <c r="D2709" s="851"/>
      <c r="E2709" s="852" t="s">
        <v>1038</v>
      </c>
      <c r="F2709" s="848" t="str">
        <f>VLOOKUP(E2709,'9.may'!E:F,2,FALSE)</f>
        <v>caterpillar crane 10T/ crawler crane 10T</v>
      </c>
      <c r="G2709" s="362" t="s">
        <v>4902</v>
      </c>
      <c r="H2709" s="847">
        <f>0.27</f>
        <v>0.27</v>
      </c>
      <c r="I2709" s="848">
        <f>VLOOKUP(E2709,'9.may'!E:W,12,FALSE)</f>
        <v>1481320.1836363636</v>
      </c>
      <c r="J2709" s="853">
        <f>I2709*H2709</f>
        <v>399956.44958181819</v>
      </c>
      <c r="N2709" s="843" t="e">
        <f>SUMIF(#REF!,'8.Dgia'!A2709,#REF!)+SUMIF(#REF!,'8.Dgia'!A2709,#REF!)+SUMIF(#REF!,'8.Dgia'!A2709,#REF!)+SUMIF(#REF!,'8.Dgia'!A2709,#REF!)</f>
        <v>#REF!</v>
      </c>
      <c r="O2709" s="844"/>
      <c r="P2709" s="843" t="e">
        <f t="shared" si="114"/>
        <v>#REF!</v>
      </c>
    </row>
    <row r="2710" spans="1:18" ht="28.5" customHeight="1">
      <c r="A2710" s="657">
        <f>IF(B2710="",MAX($A$8:A2709)+0,MAX($A$8:A2709)+1)</f>
        <v>316</v>
      </c>
      <c r="B2710" s="835">
        <f>IF(C2710="","",COUNTA($C$10:C2711))</f>
        <v>316</v>
      </c>
      <c r="C2710" s="835">
        <f>IF(D2710="","",1776)</f>
        <v>1776</v>
      </c>
      <c r="D2710" s="851" t="s">
        <v>2053</v>
      </c>
      <c r="E2710" s="855" t="s">
        <v>5617</v>
      </c>
      <c r="F2710" s="1049" t="s">
        <v>5575</v>
      </c>
      <c r="G2710" s="856" t="s">
        <v>4644</v>
      </c>
      <c r="H2710" s="847"/>
      <c r="I2710" s="848"/>
      <c r="J2710" s="909"/>
      <c r="K2710" s="842">
        <f>+J2711</f>
        <v>2426778.3962223488</v>
      </c>
      <c r="L2710" s="842">
        <f>+J2718</f>
        <v>4947750.2</v>
      </c>
      <c r="M2710" s="842">
        <f>+J2719</f>
        <v>1271422.0785818181</v>
      </c>
      <c r="N2710" s="843" t="e">
        <f>SUMIF(#REF!,'8.Dgia'!A2710,#REF!)+SUMIF(#REF!,'8.Dgia'!A2710,#REF!)+SUMIF(#REF!,'8.Dgia'!A2710,#REF!)+SUMIF(#REF!,'8.Dgia'!A2710,#REF!)</f>
        <v>#REF!</v>
      </c>
      <c r="O2710" s="844"/>
      <c r="P2710" s="843" t="e">
        <f t="shared" si="114"/>
        <v>#REF!</v>
      </c>
    </row>
    <row r="2711" spans="1:18" ht="15" customHeight="1">
      <c r="A2711" s="657">
        <f>IF(B2711="",MAX($A$8:A2710)+0,MAX($A$8:A2710)+1)</f>
        <v>316</v>
      </c>
      <c r="B2711" s="835" t="str">
        <f>IF(C2711="","",COUNTA($C$10:C2712))</f>
        <v/>
      </c>
      <c r="C2711" s="362"/>
      <c r="D2711" s="851"/>
      <c r="E2711" s="852" t="s">
        <v>2032</v>
      </c>
      <c r="F2711" s="848" t="str">
        <f>VLOOKUP(E2711,DICH!B:C,2,FALSE)</f>
        <v xml:space="preserve">  A - Material</v>
      </c>
      <c r="G2711" s="856"/>
      <c r="H2711" s="847"/>
      <c r="I2711" s="848"/>
      <c r="J2711" s="849">
        <f>SUM(J2712:J2717)</f>
        <v>2426778.3962223488</v>
      </c>
      <c r="N2711" s="843" t="e">
        <f>SUMIF(#REF!,'8.Dgia'!A2711,#REF!)+SUMIF(#REF!,'8.Dgia'!A2711,#REF!)+SUMIF(#REF!,'8.Dgia'!A2711,#REF!)+SUMIF(#REF!,'8.Dgia'!A2711,#REF!)</f>
        <v>#REF!</v>
      </c>
      <c r="O2711" s="844"/>
      <c r="P2711" s="843" t="e">
        <f t="shared" si="114"/>
        <v>#REF!</v>
      </c>
    </row>
    <row r="2712" spans="1:18" ht="15" customHeight="1">
      <c r="A2712" s="657">
        <f>IF(B2712="",MAX($A$8:A2711)+0,MAX($A$8:A2711)+1)</f>
        <v>316</v>
      </c>
      <c r="B2712" s="835" t="str">
        <f>IF(C2712="","",COUNTA($C$10:C2713))</f>
        <v/>
      </c>
      <c r="C2712" s="362"/>
      <c r="D2712" s="851" t="s">
        <v>2255</v>
      </c>
      <c r="E2712" s="852" t="s">
        <v>563</v>
      </c>
      <c r="F2712" s="848" t="str">
        <f>VLOOKUP(E2712,DICH!B:C,2,FALSE)</f>
        <v>Shaped steel</v>
      </c>
      <c r="G2712" s="362" t="s">
        <v>622</v>
      </c>
      <c r="H2712" s="847">
        <f>697.85*(2%*1.5+7%)</f>
        <v>69.785000000000011</v>
      </c>
      <c r="I2712" s="848">
        <f>VLOOKUP(E2712,'11.gia '!$B:$I,8,FALSE)</f>
        <v>16703.248369172808</v>
      </c>
      <c r="J2712" s="853">
        <f>I2712*H2712</f>
        <v>1165636.1874427246</v>
      </c>
      <c r="N2712" s="843" t="e">
        <f>SUMIF(#REF!,'8.Dgia'!A2712,#REF!)+SUMIF(#REF!,'8.Dgia'!A2712,#REF!)+SUMIF(#REF!,'8.Dgia'!A2712,#REF!)+SUMIF(#REF!,'8.Dgia'!A2712,#REF!)</f>
        <v>#REF!</v>
      </c>
      <c r="O2712" s="844">
        <f>+$H$2717</f>
        <v>5</v>
      </c>
      <c r="P2712" s="843" t="e">
        <f t="shared" si="114"/>
        <v>#REF!</v>
      </c>
    </row>
    <row r="2713" spans="1:18" ht="15" customHeight="1">
      <c r="A2713" s="657">
        <f>IF(B2713="",MAX($A$8:A2712)+0,MAX($A$8:A2712)+1)</f>
        <v>316</v>
      </c>
      <c r="B2713" s="835" t="str">
        <f>IF(C2713="","",COUNTA($C$10:C2714))</f>
        <v/>
      </c>
      <c r="C2713" s="362"/>
      <c r="D2713" s="851" t="s">
        <v>2255</v>
      </c>
      <c r="E2713" s="852" t="s">
        <v>562</v>
      </c>
      <c r="F2713" s="848" t="str">
        <f>VLOOKUP(E2713,DICH!B:C,2,FALSE)</f>
        <v>Plate steel</v>
      </c>
      <c r="G2713" s="362" t="s">
        <v>558</v>
      </c>
      <c r="H2713" s="847">
        <f>362.15*(2%*1.5+7%)</f>
        <v>36.214999999999996</v>
      </c>
      <c r="I2713" s="848">
        <f>VLOOKUP(E2713,'11.gia '!$B:$I,8,FALSE)</f>
        <v>12871.348287272725</v>
      </c>
      <c r="J2713" s="853">
        <f>I2713*H2713</f>
        <v>466135.87822358171</v>
      </c>
      <c r="N2713" s="843" t="e">
        <f>SUMIF(#REF!,'8.Dgia'!A2713,#REF!)+SUMIF(#REF!,'8.Dgia'!A2713,#REF!)+SUMIF(#REF!,'8.Dgia'!A2713,#REF!)+SUMIF(#REF!,'8.Dgia'!A2713,#REF!)</f>
        <v>#REF!</v>
      </c>
      <c r="O2713" s="844">
        <f>+$H$2717</f>
        <v>5</v>
      </c>
      <c r="P2713" s="843" t="e">
        <f t="shared" si="114"/>
        <v>#REF!</v>
      </c>
    </row>
    <row r="2714" spans="1:18" ht="15" customHeight="1">
      <c r="A2714" s="657">
        <f>IF(B2714="",MAX($A$8:A2713)+0,MAX($A$8:A2713)+1)</f>
        <v>316</v>
      </c>
      <c r="B2714" s="835" t="str">
        <f>IF(C2714="","",COUNTA($C$10:C2715))</f>
        <v/>
      </c>
      <c r="C2714" s="362"/>
      <c r="D2714" s="851"/>
      <c r="E2714" s="852" t="s">
        <v>559</v>
      </c>
      <c r="F2714" s="848" t="str">
        <f>VLOOKUP(E2714,DICH!B:C,2,FALSE)</f>
        <v>welding electrode</v>
      </c>
      <c r="G2714" s="362" t="s">
        <v>558</v>
      </c>
      <c r="H2714" s="847">
        <v>24.15</v>
      </c>
      <c r="I2714" s="848">
        <f>VLOOKUP(E2714,'11.gia '!$B:$I,8,FALSE)</f>
        <v>19090.909090909088</v>
      </c>
      <c r="J2714" s="853">
        <f>I2714*H2714</f>
        <v>461045.45454545447</v>
      </c>
      <c r="N2714" s="843" t="e">
        <f>SUMIF(#REF!,'8.Dgia'!A2714,#REF!)+SUMIF(#REF!,'8.Dgia'!A2714,#REF!)+SUMIF(#REF!,'8.Dgia'!A2714,#REF!)+SUMIF(#REF!,'8.Dgia'!A2714,#REF!)</f>
        <v>#REF!</v>
      </c>
      <c r="O2714" s="844">
        <f>+$H$2717</f>
        <v>5</v>
      </c>
      <c r="P2714" s="843" t="e">
        <f t="shared" ref="P2714:P2802" si="115">$H2714*N2714*(1+O2714%)</f>
        <v>#REF!</v>
      </c>
    </row>
    <row r="2715" spans="1:18" ht="15" customHeight="1">
      <c r="A2715" s="657">
        <f>IF(B2715="",MAX($A$8:A2714)+0,MAX($A$8:A2714)+1)</f>
        <v>316</v>
      </c>
      <c r="B2715" s="835" t="str">
        <f>IF(C2715="","",COUNTA($C$10:C2716))</f>
        <v/>
      </c>
      <c r="C2715" s="362"/>
      <c r="D2715" s="851"/>
      <c r="E2715" s="852" t="s">
        <v>564</v>
      </c>
      <c r="F2715" s="848" t="str">
        <f>VLOOKUP(E2715,DICH!B:C,2,FALSE)</f>
        <v>oxygen</v>
      </c>
      <c r="G2715" s="362" t="s">
        <v>4647</v>
      </c>
      <c r="H2715" s="847">
        <v>2.1</v>
      </c>
      <c r="I2715" s="848">
        <f>VLOOKUP(E2715,'11.gia '!$B:$I,8,FALSE)</f>
        <v>48000</v>
      </c>
      <c r="J2715" s="853">
        <f>I2715*H2715</f>
        <v>100800</v>
      </c>
      <c r="N2715" s="843" t="e">
        <f>SUMIF(#REF!,'8.Dgia'!A2715,#REF!)+SUMIF(#REF!,'8.Dgia'!A2715,#REF!)+SUMIF(#REF!,'8.Dgia'!A2715,#REF!)+SUMIF(#REF!,'8.Dgia'!A2715,#REF!)</f>
        <v>#REF!</v>
      </c>
      <c r="O2715" s="844">
        <f>+$H$2717</f>
        <v>5</v>
      </c>
      <c r="P2715" s="843" t="e">
        <f t="shared" si="115"/>
        <v>#REF!</v>
      </c>
    </row>
    <row r="2716" spans="1:18" ht="15" customHeight="1">
      <c r="A2716" s="657">
        <f>IF(B2716="",MAX($A$8:A2715)+0,MAX($A$8:A2715)+1)</f>
        <v>316</v>
      </c>
      <c r="B2716" s="835" t="str">
        <f>IF(C2716="","",COUNTA($C$10:C2717))</f>
        <v/>
      </c>
      <c r="C2716" s="362"/>
      <c r="D2716" s="851"/>
      <c r="E2716" s="852" t="s">
        <v>566</v>
      </c>
      <c r="F2716" s="848" t="str">
        <f>VLOOKUP(E2716,DICH!B:C,2,FALSE)</f>
        <v>Calcium carbide</v>
      </c>
      <c r="G2716" s="362" t="s">
        <v>558</v>
      </c>
      <c r="H2716" s="847">
        <v>8.4</v>
      </c>
      <c r="I2716" s="848">
        <f>VLOOKUP(E2716,'11.gia '!$B:$I,8,FALSE)</f>
        <v>14000</v>
      </c>
      <c r="J2716" s="853">
        <f>I2716*H2716</f>
        <v>117600</v>
      </c>
      <c r="N2716" s="843" t="e">
        <f>SUMIF(#REF!,'8.Dgia'!A2716,#REF!)+SUMIF(#REF!,'8.Dgia'!A2716,#REF!)+SUMIF(#REF!,'8.Dgia'!A2716,#REF!)+SUMIF(#REF!,'8.Dgia'!A2716,#REF!)</f>
        <v>#REF!</v>
      </c>
      <c r="O2716" s="844">
        <f>+$H$2717</f>
        <v>5</v>
      </c>
      <c r="P2716" s="843" t="e">
        <f t="shared" si="115"/>
        <v>#REF!</v>
      </c>
    </row>
    <row r="2717" spans="1:18" ht="15" customHeight="1">
      <c r="A2717" s="657">
        <f>IF(B2717="",MAX($A$8:A2716)+0,MAX($A$8:A2716)+1)</f>
        <v>316</v>
      </c>
      <c r="B2717" s="835" t="str">
        <f>IF(C2717="","",COUNTA($C$10:C2718))</f>
        <v/>
      </c>
      <c r="C2717" s="362"/>
      <c r="D2717" s="851"/>
      <c r="E2717" s="852" t="s">
        <v>555</v>
      </c>
      <c r="F2717" s="848" t="str">
        <f>VLOOKUP(E2717,DICH!B:C,2,FALSE)</f>
        <v>Other material</v>
      </c>
      <c r="G2717" s="362" t="s">
        <v>554</v>
      </c>
      <c r="H2717" s="847">
        <v>5</v>
      </c>
      <c r="I2717" s="848">
        <f>SUM(J2712:J2716)</f>
        <v>2311217.5202117609</v>
      </c>
      <c r="J2717" s="853">
        <f>I2717*H2717%</f>
        <v>115560.87601058805</v>
      </c>
      <c r="N2717" s="843" t="e">
        <f>SUMIF(#REF!,'8.Dgia'!A2717,#REF!)+SUMIF(#REF!,'8.Dgia'!A2717,#REF!)+SUMIF(#REF!,'8.Dgia'!A2717,#REF!)+SUMIF(#REF!,'8.Dgia'!A2717,#REF!)</f>
        <v>#REF!</v>
      </c>
      <c r="O2717" s="844"/>
      <c r="P2717" s="843" t="e">
        <f t="shared" si="115"/>
        <v>#REF!</v>
      </c>
    </row>
    <row r="2718" spans="1:18" ht="15" customHeight="1">
      <c r="A2718" s="657">
        <f>IF(B2718="",MAX($A$8:A2717)+0,MAX($A$8:A2717)+1)</f>
        <v>316</v>
      </c>
      <c r="B2718" s="835" t="str">
        <f>IF(C2718="","",COUNTA($C$10:C2719))</f>
        <v/>
      </c>
      <c r="C2718" s="362"/>
      <c r="D2718" s="851"/>
      <c r="E2718" s="852" t="s">
        <v>2039</v>
      </c>
      <c r="F2718" s="848" t="str">
        <f>VLOOKUP(E2718,DICH!B:C,2,FALSE)</f>
        <v xml:space="preserve">  B - Labour 4.0/7</v>
      </c>
      <c r="G2718" s="362" t="s">
        <v>4899</v>
      </c>
      <c r="H2718" s="847">
        <f>22.6</f>
        <v>22.6</v>
      </c>
      <c r="I2718" s="848">
        <f>VLOOKUP(E2718,'16.NC'!$C$11:$F$22,4,FALSE)</f>
        <v>218927</v>
      </c>
      <c r="J2718" s="849">
        <f>I2718*H2718</f>
        <v>4947750.2</v>
      </c>
      <c r="N2718" s="843" t="e">
        <f>SUMIF(#REF!,'8.Dgia'!A2718,#REF!)+SUMIF(#REF!,'8.Dgia'!A2718,#REF!)+SUMIF(#REF!,'8.Dgia'!A2718,#REF!)+SUMIF(#REF!,'8.Dgia'!A2718,#REF!)</f>
        <v>#REF!</v>
      </c>
      <c r="O2718" s="844"/>
      <c r="P2718" s="843" t="e">
        <f t="shared" si="115"/>
        <v>#REF!</v>
      </c>
      <c r="R2718" s="658">
        <v>1</v>
      </c>
    </row>
    <row r="2719" spans="1:18" ht="15" customHeight="1">
      <c r="A2719" s="657">
        <f>IF(B2719="",MAX($A$8:A2718)+0,MAX($A$8:A2718)+1)</f>
        <v>316</v>
      </c>
      <c r="B2719" s="835" t="str">
        <f>IF(C2719="","",COUNTA($C$10:C2720))</f>
        <v/>
      </c>
      <c r="C2719" s="362"/>
      <c r="D2719" s="851"/>
      <c r="E2719" s="852" t="s">
        <v>2033</v>
      </c>
      <c r="F2719" s="848" t="str">
        <f>VLOOKUP(E2719,DICH!B:C,2,FALSE)</f>
        <v xml:space="preserve">  C - Machine</v>
      </c>
      <c r="G2719" s="362"/>
      <c r="H2719" s="847"/>
      <c r="I2719" s="848"/>
      <c r="J2719" s="849">
        <f>SUM(J2720:J2722)</f>
        <v>1271422.0785818181</v>
      </c>
      <c r="N2719" s="843" t="e">
        <f>SUMIF(#REF!,'8.Dgia'!A2719,#REF!)+SUMIF(#REF!,'8.Dgia'!A2719,#REF!)+SUMIF(#REF!,'8.Dgia'!A2719,#REF!)+SUMIF(#REF!,'8.Dgia'!A2719,#REF!)</f>
        <v>#REF!</v>
      </c>
      <c r="O2719" s="844"/>
      <c r="P2719" s="843" t="e">
        <f t="shared" si="115"/>
        <v>#REF!</v>
      </c>
    </row>
    <row r="2720" spans="1:18" ht="15" customHeight="1">
      <c r="A2720" s="657">
        <f>IF(B2720="",MAX($A$8:A2719)+0,MAX($A$8:A2719)+1)</f>
        <v>316</v>
      </c>
      <c r="B2720" s="835" t="str">
        <f>IF(C2720="","",COUNTA($C$10:C2721))</f>
        <v/>
      </c>
      <c r="C2720" s="362"/>
      <c r="D2720" s="851"/>
      <c r="E2720" s="852" t="s">
        <v>560</v>
      </c>
      <c r="F2720" s="848" t="str">
        <f>VLOOKUP(E2720,'9.may'!E:F,2,FALSE)</f>
        <v>welding machine 23kW</v>
      </c>
      <c r="G2720" s="362" t="s">
        <v>4902</v>
      </c>
      <c r="H2720" s="847">
        <f>4.6</f>
        <v>4.5999999999999996</v>
      </c>
      <c r="I2720" s="848">
        <f>VLOOKUP(E2720,'9.may'!E:W,12,FALSE)</f>
        <v>171649.155</v>
      </c>
      <c r="J2720" s="853">
        <f>I2720*H2720</f>
        <v>789586.1129999999</v>
      </c>
      <c r="N2720" s="843" t="e">
        <f>SUMIF(#REF!,'8.Dgia'!A2720,#REF!)+SUMIF(#REF!,'8.Dgia'!A2720,#REF!)+SUMIF(#REF!,'8.Dgia'!A2720,#REF!)+SUMIF(#REF!,'8.Dgia'!A2720,#REF!)</f>
        <v>#REF!</v>
      </c>
      <c r="O2720" s="844"/>
      <c r="P2720" s="843" t="e">
        <f t="shared" si="115"/>
        <v>#REF!</v>
      </c>
    </row>
    <row r="2721" spans="1:16" ht="15" customHeight="1">
      <c r="A2721" s="657">
        <f>IF(B2721="",MAX($A$8:A2720)+0,MAX($A$8:A2720)+1)</f>
        <v>316</v>
      </c>
      <c r="B2721" s="835" t="str">
        <f>IF(C2721="","",COUNTA($C$10:C2722))</f>
        <v/>
      </c>
      <c r="C2721" s="362"/>
      <c r="D2721" s="851"/>
      <c r="E2721" s="852" t="s">
        <v>1417</v>
      </c>
      <c r="F2721" s="848" t="str">
        <f>VLOOKUP(E2721,'9.may'!E:F,2,FALSE)</f>
        <v>Cutting machine 15Kw</v>
      </c>
      <c r="G2721" s="362" t="s">
        <v>4902</v>
      </c>
      <c r="H2721" s="847">
        <f>0.4</f>
        <v>0.4</v>
      </c>
      <c r="I2721" s="848">
        <f>VLOOKUP(E2721,'9.may'!E:W,12,FALSE)</f>
        <v>204698.78999999998</v>
      </c>
      <c r="J2721" s="853">
        <f>I2721*H2721</f>
        <v>81879.516000000003</v>
      </c>
      <c r="N2721" s="843" t="e">
        <f>SUMIF(#REF!,'8.Dgia'!A2721,#REF!)+SUMIF(#REF!,'8.Dgia'!A2721,#REF!)+SUMIF(#REF!,'8.Dgia'!A2721,#REF!)+SUMIF(#REF!,'8.Dgia'!A2721,#REF!)</f>
        <v>#REF!</v>
      </c>
      <c r="O2721" s="844"/>
      <c r="P2721" s="843" t="e">
        <f t="shared" si="115"/>
        <v>#REF!</v>
      </c>
    </row>
    <row r="2722" spans="1:16" ht="15" customHeight="1">
      <c r="A2722" s="657">
        <f>IF(B2722="",MAX($A$8:A2721)+0,MAX($A$8:A2721)+1)</f>
        <v>316</v>
      </c>
      <c r="B2722" s="835" t="str">
        <f>IF(C2722="","",COUNTA($C$10:C2723))</f>
        <v/>
      </c>
      <c r="C2722" s="362"/>
      <c r="D2722" s="851"/>
      <c r="E2722" s="852" t="s">
        <v>1038</v>
      </c>
      <c r="F2722" s="848" t="str">
        <f>VLOOKUP(E2722,'9.may'!E:F,2,FALSE)</f>
        <v>caterpillar crane 10T/ crawler crane 10T</v>
      </c>
      <c r="G2722" s="362" t="s">
        <v>4902</v>
      </c>
      <c r="H2722" s="847">
        <f>0.27</f>
        <v>0.27</v>
      </c>
      <c r="I2722" s="848">
        <f>VLOOKUP(E2722,'9.may'!E:W,12,FALSE)</f>
        <v>1481320.1836363636</v>
      </c>
      <c r="J2722" s="853">
        <f>I2722*H2722</f>
        <v>399956.44958181819</v>
      </c>
      <c r="N2722" s="843" t="e">
        <f>SUMIF(#REF!,'8.Dgia'!A2722,#REF!)+SUMIF(#REF!,'8.Dgia'!A2722,#REF!)+SUMIF(#REF!,'8.Dgia'!A2722,#REF!)+SUMIF(#REF!,'8.Dgia'!A2722,#REF!)</f>
        <v>#REF!</v>
      </c>
      <c r="O2722" s="844"/>
      <c r="P2722" s="843" t="e">
        <f t="shared" si="115"/>
        <v>#REF!</v>
      </c>
    </row>
    <row r="2723" spans="1:16" ht="28.5" customHeight="1">
      <c r="A2723" s="657">
        <f>IF(B2723="",MAX($A$8:A2722)+0,MAX($A$8:A2722)+1)</f>
        <v>317</v>
      </c>
      <c r="B2723" s="835">
        <f>IF(C2723="","",COUNTA($C$10:C2724))</f>
        <v>317</v>
      </c>
      <c r="C2723" s="835">
        <f>IF(D2723="","",1776)</f>
        <v>1776</v>
      </c>
      <c r="D2723" s="851" t="s">
        <v>2053</v>
      </c>
      <c r="E2723" s="855" t="s">
        <v>5618</v>
      </c>
      <c r="F2723" s="1049" t="s">
        <v>5620</v>
      </c>
      <c r="G2723" s="856" t="s">
        <v>4644</v>
      </c>
      <c r="H2723" s="847"/>
      <c r="I2723" s="848"/>
      <c r="J2723" s="909"/>
      <c r="K2723" s="842">
        <f>+J2724</f>
        <v>1631772.0656663063</v>
      </c>
      <c r="N2723" s="843" t="e">
        <f>SUMIF(#REF!,'8.Dgia'!A2723,#REF!)+SUMIF(#REF!,'8.Dgia'!A2723,#REF!)+SUMIF(#REF!,'8.Dgia'!A2723,#REF!)+SUMIF(#REF!,'8.Dgia'!A2723,#REF!)</f>
        <v>#REF!</v>
      </c>
      <c r="O2723" s="844"/>
      <c r="P2723" s="843" t="e">
        <f t="shared" si="115"/>
        <v>#REF!</v>
      </c>
    </row>
    <row r="2724" spans="1:16" ht="15" customHeight="1">
      <c r="A2724" s="657">
        <f>IF(B2724="",MAX($A$8:A2723)+0,MAX($A$8:A2723)+1)</f>
        <v>317</v>
      </c>
      <c r="B2724" s="835" t="str">
        <f>IF(C2724="","",COUNTA($C$10:C2725))</f>
        <v/>
      </c>
      <c r="C2724" s="362"/>
      <c r="D2724" s="851"/>
      <c r="E2724" s="852" t="s">
        <v>2032</v>
      </c>
      <c r="F2724" s="848" t="str">
        <f>VLOOKUP(E2724,DICH!B:C,2,FALSE)</f>
        <v xml:space="preserve">  A - Material</v>
      </c>
      <c r="G2724" s="856"/>
      <c r="H2724" s="847"/>
      <c r="I2724" s="848"/>
      <c r="J2724" s="849">
        <f>SUM(J2725:J2726)</f>
        <v>1631772.0656663063</v>
      </c>
      <c r="N2724" s="843" t="e">
        <f>SUMIF(#REF!,'8.Dgia'!A2724,#REF!)+SUMIF(#REF!,'8.Dgia'!A2724,#REF!)+SUMIF(#REF!,'8.Dgia'!A2724,#REF!)+SUMIF(#REF!,'8.Dgia'!A2724,#REF!)</f>
        <v>#REF!</v>
      </c>
      <c r="O2724" s="844"/>
      <c r="P2724" s="843" t="e">
        <f t="shared" si="115"/>
        <v>#REF!</v>
      </c>
    </row>
    <row r="2725" spans="1:16" ht="15" customHeight="1">
      <c r="A2725" s="657">
        <f>IF(B2725="",MAX($A$8:A2724)+0,MAX($A$8:A2724)+1)</f>
        <v>317</v>
      </c>
      <c r="B2725" s="835" t="str">
        <f>IF(C2725="","",COUNTA($C$10:C2726))</f>
        <v/>
      </c>
      <c r="C2725" s="362"/>
      <c r="D2725" s="851" t="s">
        <v>2255</v>
      </c>
      <c r="E2725" s="852" t="s">
        <v>563</v>
      </c>
      <c r="F2725" s="848" t="str">
        <f>VLOOKUP(E2725,DICH!B:C,2,FALSE)</f>
        <v>Shaped steel</v>
      </c>
      <c r="G2725" s="362" t="s">
        <v>622</v>
      </c>
      <c r="H2725" s="847">
        <f>697.85*(2%*1.5+7%)</f>
        <v>69.785000000000011</v>
      </c>
      <c r="I2725" s="848">
        <f>VLOOKUP(E2725,'11.gia '!$B:$I,8,FALSE)</f>
        <v>16703.248369172808</v>
      </c>
      <c r="J2725" s="853">
        <f>I2725*H2725</f>
        <v>1165636.1874427246</v>
      </c>
      <c r="N2725" s="843" t="e">
        <f>SUMIF(#REF!,'8.Dgia'!A2725,#REF!)+SUMIF(#REF!,'8.Dgia'!A2725,#REF!)+SUMIF(#REF!,'8.Dgia'!A2725,#REF!)+SUMIF(#REF!,'8.Dgia'!A2725,#REF!)</f>
        <v>#REF!</v>
      </c>
      <c r="O2725" s="844"/>
      <c r="P2725" s="843" t="e">
        <f t="shared" si="115"/>
        <v>#REF!</v>
      </c>
    </row>
    <row r="2726" spans="1:16" ht="15" customHeight="1">
      <c r="A2726" s="657">
        <f>IF(B2726="",MAX($A$8:A2725)+0,MAX($A$8:A2725)+1)</f>
        <v>317</v>
      </c>
      <c r="B2726" s="835" t="str">
        <f>IF(C2726="","",COUNTA($C$10:C2727))</f>
        <v/>
      </c>
      <c r="C2726" s="362"/>
      <c r="D2726" s="851" t="s">
        <v>2255</v>
      </c>
      <c r="E2726" s="852" t="s">
        <v>562</v>
      </c>
      <c r="F2726" s="848" t="str">
        <f>VLOOKUP(E2726,DICH!B:C,2,FALSE)</f>
        <v>Plate steel</v>
      </c>
      <c r="G2726" s="362" t="s">
        <v>558</v>
      </c>
      <c r="H2726" s="847">
        <f>362.15*(2%*1.5+7%)</f>
        <v>36.214999999999996</v>
      </c>
      <c r="I2726" s="848">
        <f>VLOOKUP(E2726,'11.gia '!$B:$I,8,FALSE)</f>
        <v>12871.348287272725</v>
      </c>
      <c r="J2726" s="853">
        <f>I2726*H2726</f>
        <v>466135.87822358171</v>
      </c>
      <c r="N2726" s="843" t="e">
        <f>SUMIF(#REF!,'8.Dgia'!A2726,#REF!)+SUMIF(#REF!,'8.Dgia'!A2726,#REF!)+SUMIF(#REF!,'8.Dgia'!A2726,#REF!)+SUMIF(#REF!,'8.Dgia'!A2726,#REF!)</f>
        <v>#REF!</v>
      </c>
      <c r="O2726" s="844"/>
      <c r="P2726" s="843" t="e">
        <f t="shared" si="115"/>
        <v>#REF!</v>
      </c>
    </row>
    <row r="2727" spans="1:16" ht="28.5" customHeight="1">
      <c r="A2727" s="657">
        <f>IF(B2727="",MAX($A$8:A2726)+0,MAX($A$8:A2726)+1)</f>
        <v>318</v>
      </c>
      <c r="B2727" s="835">
        <f>IF(C2727="","",COUNTA($C$10:C2728))</f>
        <v>318</v>
      </c>
      <c r="C2727" s="835">
        <f>IF(D2727="","",1776)</f>
        <v>1776</v>
      </c>
      <c r="D2727" s="851" t="s">
        <v>2053</v>
      </c>
      <c r="E2727" s="855" t="s">
        <v>5619</v>
      </c>
      <c r="F2727" s="1049" t="s">
        <v>5621</v>
      </c>
      <c r="G2727" s="856" t="s">
        <v>4644</v>
      </c>
      <c r="H2727" s="847"/>
      <c r="I2727" s="848"/>
      <c r="J2727" s="909"/>
      <c r="K2727" s="842">
        <f>+J2728</f>
        <v>1631772.0656663063</v>
      </c>
      <c r="N2727" s="843" t="e">
        <f>SUMIF(#REF!,'8.Dgia'!A2727,#REF!)+SUMIF(#REF!,'8.Dgia'!A2727,#REF!)+SUMIF(#REF!,'8.Dgia'!A2727,#REF!)+SUMIF(#REF!,'8.Dgia'!A2727,#REF!)</f>
        <v>#REF!</v>
      </c>
      <c r="O2727" s="844"/>
      <c r="P2727" s="843" t="e">
        <f t="shared" si="115"/>
        <v>#REF!</v>
      </c>
    </row>
    <row r="2728" spans="1:16" ht="15" customHeight="1">
      <c r="A2728" s="657">
        <f>IF(B2728="",MAX($A$8:A2727)+0,MAX($A$8:A2727)+1)</f>
        <v>318</v>
      </c>
      <c r="B2728" s="835" t="str">
        <f>IF(C2728="","",COUNTA($C$10:C2729))</f>
        <v/>
      </c>
      <c r="C2728" s="362"/>
      <c r="D2728" s="851"/>
      <c r="E2728" s="852" t="s">
        <v>2032</v>
      </c>
      <c r="F2728" s="848" t="str">
        <f>VLOOKUP(E2728,DICH!B:C,2,FALSE)</f>
        <v xml:space="preserve">  A - Material</v>
      </c>
      <c r="G2728" s="856"/>
      <c r="H2728" s="847"/>
      <c r="I2728" s="848"/>
      <c r="J2728" s="849">
        <f>SUM(J2729:J2730)</f>
        <v>1631772.0656663063</v>
      </c>
      <c r="N2728" s="843" t="e">
        <f>SUMIF(#REF!,'8.Dgia'!A2728,#REF!)+SUMIF(#REF!,'8.Dgia'!A2728,#REF!)+SUMIF(#REF!,'8.Dgia'!A2728,#REF!)+SUMIF(#REF!,'8.Dgia'!A2728,#REF!)</f>
        <v>#REF!</v>
      </c>
      <c r="O2728" s="844"/>
      <c r="P2728" s="843" t="e">
        <f t="shared" si="115"/>
        <v>#REF!</v>
      </c>
    </row>
    <row r="2729" spans="1:16" ht="15" customHeight="1">
      <c r="A2729" s="657">
        <f>IF(B2729="",MAX($A$8:A2728)+0,MAX($A$8:A2728)+1)</f>
        <v>318</v>
      </c>
      <c r="B2729" s="835" t="str">
        <f>IF(C2729="","",COUNTA($C$10:C2730))</f>
        <v/>
      </c>
      <c r="C2729" s="362"/>
      <c r="D2729" s="851" t="s">
        <v>2255</v>
      </c>
      <c r="E2729" s="852" t="s">
        <v>563</v>
      </c>
      <c r="F2729" s="848" t="str">
        <f>VLOOKUP(E2729,DICH!B:C,2,FALSE)</f>
        <v>Shaped steel</v>
      </c>
      <c r="G2729" s="362" t="s">
        <v>622</v>
      </c>
      <c r="H2729" s="847">
        <f>697.85*(2%*1.5+7%)</f>
        <v>69.785000000000011</v>
      </c>
      <c r="I2729" s="848">
        <f>VLOOKUP(E2729,'11.gia '!$B:$I,8,FALSE)</f>
        <v>16703.248369172808</v>
      </c>
      <c r="J2729" s="853">
        <f>I2729*H2729</f>
        <v>1165636.1874427246</v>
      </c>
      <c r="N2729" s="843" t="e">
        <f>SUMIF(#REF!,'8.Dgia'!A2729,#REF!)+SUMIF(#REF!,'8.Dgia'!A2729,#REF!)+SUMIF(#REF!,'8.Dgia'!A2729,#REF!)+SUMIF(#REF!,'8.Dgia'!A2729,#REF!)</f>
        <v>#REF!</v>
      </c>
      <c r="O2729" s="844"/>
      <c r="P2729" s="843" t="e">
        <f t="shared" si="115"/>
        <v>#REF!</v>
      </c>
    </row>
    <row r="2730" spans="1:16" ht="15" customHeight="1">
      <c r="A2730" s="657">
        <f>IF(B2730="",MAX($A$8:A2729)+0,MAX($A$8:A2729)+1)</f>
        <v>318</v>
      </c>
      <c r="B2730" s="835" t="str">
        <f>IF(C2730="","",COUNTA($C$10:C2731))</f>
        <v/>
      </c>
      <c r="C2730" s="362"/>
      <c r="D2730" s="851" t="s">
        <v>2255</v>
      </c>
      <c r="E2730" s="852" t="s">
        <v>562</v>
      </c>
      <c r="F2730" s="848" t="str">
        <f>VLOOKUP(E2730,DICH!B:C,2,FALSE)</f>
        <v>Plate steel</v>
      </c>
      <c r="G2730" s="362" t="s">
        <v>558</v>
      </c>
      <c r="H2730" s="847">
        <f>362.15*(2%*1.5+7%)</f>
        <v>36.214999999999996</v>
      </c>
      <c r="I2730" s="848">
        <f>VLOOKUP(E2730,'11.gia '!$B:$I,8,FALSE)</f>
        <v>12871.348287272725</v>
      </c>
      <c r="J2730" s="853">
        <f>I2730*H2730</f>
        <v>466135.87822358171</v>
      </c>
      <c r="N2730" s="843" t="e">
        <f>SUMIF(#REF!,'8.Dgia'!A2730,#REF!)+SUMIF(#REF!,'8.Dgia'!A2730,#REF!)+SUMIF(#REF!,'8.Dgia'!A2730,#REF!)+SUMIF(#REF!,'8.Dgia'!A2730,#REF!)</f>
        <v>#REF!</v>
      </c>
      <c r="O2730" s="844"/>
      <c r="P2730" s="843" t="e">
        <f t="shared" si="115"/>
        <v>#REF!</v>
      </c>
    </row>
    <row r="2731" spans="1:16" ht="28.5" customHeight="1">
      <c r="A2731" s="657">
        <f>IF(B2731="",MAX($A$8:A2730)+0,MAX($A$8:A2730)+1)</f>
        <v>319</v>
      </c>
      <c r="B2731" s="835">
        <f>IF(C2731="","",COUNTA($C$10:C2732))</f>
        <v>319</v>
      </c>
      <c r="C2731" s="835">
        <f>IF(D2731="","",1776)</f>
        <v>1776</v>
      </c>
      <c r="D2731" s="851" t="s">
        <v>2053</v>
      </c>
      <c r="E2731" s="855" t="s">
        <v>3491</v>
      </c>
      <c r="F2731" s="1049" t="str">
        <f>VLOOKUP(E2731,DICH!B:C,2,FALSE)</f>
        <v>Scaffolding constructing box culvert 2x3x3 (amor main material=2%*1 months+7%)</v>
      </c>
      <c r="G2731" s="856" t="s">
        <v>4644</v>
      </c>
      <c r="H2731" s="847"/>
      <c r="I2731" s="848"/>
      <c r="J2731" s="909"/>
      <c r="K2731" s="842">
        <f>+J2732</f>
        <v>2255442.3293273863</v>
      </c>
      <c r="L2731" s="842">
        <f>+J2739</f>
        <v>4947750.2</v>
      </c>
      <c r="M2731" s="842">
        <f>+J2740</f>
        <v>1271422.0785818181</v>
      </c>
      <c r="N2731" s="843" t="e">
        <f>SUMIF(#REF!,'8.Dgia'!A2731,#REF!)+SUMIF(#REF!,'8.Dgia'!A2731,#REF!)+SUMIF(#REF!,'8.Dgia'!A2731,#REF!)+SUMIF(#REF!,'8.Dgia'!A2731,#REF!)</f>
        <v>#REF!</v>
      </c>
      <c r="O2731" s="844"/>
      <c r="P2731" s="843" t="e">
        <f t="shared" si="115"/>
        <v>#REF!</v>
      </c>
    </row>
    <row r="2732" spans="1:16" ht="15" customHeight="1">
      <c r="A2732" s="657">
        <f>IF(B2732="",MAX($A$8:A2731)+0,MAX($A$8:A2731)+1)</f>
        <v>319</v>
      </c>
      <c r="B2732" s="835" t="str">
        <f>IF(C2732="","",COUNTA($C$10:C2733))</f>
        <v/>
      </c>
      <c r="C2732" s="362"/>
      <c r="D2732" s="851"/>
      <c r="E2732" s="852" t="s">
        <v>2032</v>
      </c>
      <c r="F2732" s="848" t="str">
        <f>VLOOKUP(E2732,DICH!B:C,2,FALSE)</f>
        <v xml:space="preserve">  A - Material</v>
      </c>
      <c r="G2732" s="856"/>
      <c r="H2732" s="847"/>
      <c r="I2732" s="848"/>
      <c r="J2732" s="849">
        <f>SUM(J2733:J2738)</f>
        <v>2255442.3293273863</v>
      </c>
      <c r="N2732" s="843" t="e">
        <f>SUMIF(#REF!,'8.Dgia'!A2732,#REF!)+SUMIF(#REF!,'8.Dgia'!A2732,#REF!)+SUMIF(#REF!,'8.Dgia'!A2732,#REF!)+SUMIF(#REF!,'8.Dgia'!A2732,#REF!)</f>
        <v>#REF!</v>
      </c>
      <c r="O2732" s="844"/>
      <c r="P2732" s="843" t="e">
        <f t="shared" si="115"/>
        <v>#REF!</v>
      </c>
    </row>
    <row r="2733" spans="1:16" ht="15" customHeight="1">
      <c r="A2733" s="657">
        <f>IF(B2733="",MAX($A$8:A2732)+0,MAX($A$8:A2732)+1)</f>
        <v>319</v>
      </c>
      <c r="B2733" s="835" t="str">
        <f>IF(C2733="","",COUNTA($C$10:C2734))</f>
        <v/>
      </c>
      <c r="C2733" s="362"/>
      <c r="D2733" s="851" t="s">
        <v>2255</v>
      </c>
      <c r="E2733" s="852" t="s">
        <v>563</v>
      </c>
      <c r="F2733" s="848" t="str">
        <f>VLOOKUP(E2733,DICH!B:C,2,FALSE)</f>
        <v>Shaped steel</v>
      </c>
      <c r="G2733" s="362" t="s">
        <v>622</v>
      </c>
      <c r="H2733" s="847">
        <f>697.85*(2%*1+7%)</f>
        <v>62.806500000000007</v>
      </c>
      <c r="I2733" s="848">
        <f>VLOOKUP(E2733,'11.gia '!$B:$I,8,FALSE)</f>
        <v>16703.248369172808</v>
      </c>
      <c r="J2733" s="853">
        <f>I2733*H2733</f>
        <v>1049072.5686984521</v>
      </c>
      <c r="N2733" s="843" t="e">
        <f>SUMIF(#REF!,'8.Dgia'!A2733,#REF!)+SUMIF(#REF!,'8.Dgia'!A2733,#REF!)+SUMIF(#REF!,'8.Dgia'!A2733,#REF!)+SUMIF(#REF!,'8.Dgia'!A2733,#REF!)</f>
        <v>#REF!</v>
      </c>
      <c r="O2733" s="844">
        <f>+$H$2717</f>
        <v>5</v>
      </c>
      <c r="P2733" s="843" t="e">
        <f t="shared" si="115"/>
        <v>#REF!</v>
      </c>
    </row>
    <row r="2734" spans="1:16" ht="15" customHeight="1">
      <c r="A2734" s="657">
        <f>IF(B2734="",MAX($A$8:A2733)+0,MAX($A$8:A2733)+1)</f>
        <v>319</v>
      </c>
      <c r="B2734" s="835" t="str">
        <f>IF(C2734="","",COUNTA($C$10:C2735))</f>
        <v/>
      </c>
      <c r="C2734" s="362"/>
      <c r="D2734" s="851" t="s">
        <v>2255</v>
      </c>
      <c r="E2734" s="852" t="s">
        <v>562</v>
      </c>
      <c r="F2734" s="848" t="str">
        <f>VLOOKUP(E2734,DICH!B:C,2,FALSE)</f>
        <v>Plate steel</v>
      </c>
      <c r="G2734" s="362" t="s">
        <v>558</v>
      </c>
      <c r="H2734" s="847">
        <f>362.15*(2%*1+7%)</f>
        <v>32.593499999999999</v>
      </c>
      <c r="I2734" s="848">
        <f>VLOOKUP(E2734,'11.gia '!$B:$I,8,FALSE)</f>
        <v>12871.348287272725</v>
      </c>
      <c r="J2734" s="853">
        <f>I2734*H2734</f>
        <v>419522.29040122358</v>
      </c>
      <c r="N2734" s="843" t="e">
        <f>SUMIF(#REF!,'8.Dgia'!A2734,#REF!)+SUMIF(#REF!,'8.Dgia'!A2734,#REF!)+SUMIF(#REF!,'8.Dgia'!A2734,#REF!)+SUMIF(#REF!,'8.Dgia'!A2734,#REF!)</f>
        <v>#REF!</v>
      </c>
      <c r="O2734" s="844">
        <f>+$H$2717</f>
        <v>5</v>
      </c>
      <c r="P2734" s="843" t="e">
        <f t="shared" si="115"/>
        <v>#REF!</v>
      </c>
    </row>
    <row r="2735" spans="1:16" ht="15" customHeight="1">
      <c r="A2735" s="657">
        <f>IF(B2735="",MAX($A$8:A2734)+0,MAX($A$8:A2734)+1)</f>
        <v>319</v>
      </c>
      <c r="B2735" s="835" t="str">
        <f>IF(C2735="","",COUNTA($C$10:C2736))</f>
        <v/>
      </c>
      <c r="C2735" s="362"/>
      <c r="D2735" s="851"/>
      <c r="E2735" s="852" t="s">
        <v>559</v>
      </c>
      <c r="F2735" s="848" t="str">
        <f>VLOOKUP(E2735,DICH!B:C,2,FALSE)</f>
        <v>welding electrode</v>
      </c>
      <c r="G2735" s="362" t="s">
        <v>558</v>
      </c>
      <c r="H2735" s="847">
        <v>24.15</v>
      </c>
      <c r="I2735" s="848">
        <f>VLOOKUP(E2735,'11.gia '!$B:$I,8,FALSE)</f>
        <v>19090.909090909088</v>
      </c>
      <c r="J2735" s="853">
        <f>I2735*H2735</f>
        <v>461045.45454545447</v>
      </c>
      <c r="N2735" s="843" t="e">
        <f>SUMIF(#REF!,'8.Dgia'!A2735,#REF!)+SUMIF(#REF!,'8.Dgia'!A2735,#REF!)+SUMIF(#REF!,'8.Dgia'!A2735,#REF!)+SUMIF(#REF!,'8.Dgia'!A2735,#REF!)</f>
        <v>#REF!</v>
      </c>
      <c r="O2735" s="844">
        <f>+$H$2717</f>
        <v>5</v>
      </c>
      <c r="P2735" s="843" t="e">
        <f t="shared" ref="P2735:P2743" si="116">$H2735*N2735*(1+O2735%)</f>
        <v>#REF!</v>
      </c>
    </row>
    <row r="2736" spans="1:16" ht="15" customHeight="1">
      <c r="A2736" s="657">
        <f>IF(B2736="",MAX($A$8:A2735)+0,MAX($A$8:A2735)+1)</f>
        <v>319</v>
      </c>
      <c r="B2736" s="835" t="str">
        <f>IF(C2736="","",COUNTA($C$10:C2737))</f>
        <v/>
      </c>
      <c r="C2736" s="362"/>
      <c r="D2736" s="851"/>
      <c r="E2736" s="852" t="s">
        <v>564</v>
      </c>
      <c r="F2736" s="848" t="str">
        <f>VLOOKUP(E2736,DICH!B:C,2,FALSE)</f>
        <v>oxygen</v>
      </c>
      <c r="G2736" s="362" t="s">
        <v>4647</v>
      </c>
      <c r="H2736" s="847">
        <v>2.1</v>
      </c>
      <c r="I2736" s="848">
        <f>VLOOKUP(E2736,'11.gia '!$B:$I,8,FALSE)</f>
        <v>48000</v>
      </c>
      <c r="J2736" s="853">
        <f>I2736*H2736</f>
        <v>100800</v>
      </c>
      <c r="N2736" s="843" t="e">
        <f>SUMIF(#REF!,'8.Dgia'!A2736,#REF!)+SUMIF(#REF!,'8.Dgia'!A2736,#REF!)+SUMIF(#REF!,'8.Dgia'!A2736,#REF!)+SUMIF(#REF!,'8.Dgia'!A2736,#REF!)</f>
        <v>#REF!</v>
      </c>
      <c r="O2736" s="844">
        <f>+$H$2717</f>
        <v>5</v>
      </c>
      <c r="P2736" s="843" t="e">
        <f t="shared" si="116"/>
        <v>#REF!</v>
      </c>
    </row>
    <row r="2737" spans="1:18" ht="15" customHeight="1">
      <c r="A2737" s="657">
        <f>IF(B2737="",MAX($A$8:A2736)+0,MAX($A$8:A2736)+1)</f>
        <v>319</v>
      </c>
      <c r="B2737" s="835" t="str">
        <f>IF(C2737="","",COUNTA($C$10:C2738))</f>
        <v/>
      </c>
      <c r="C2737" s="362"/>
      <c r="D2737" s="851"/>
      <c r="E2737" s="852" t="s">
        <v>566</v>
      </c>
      <c r="F2737" s="848" t="str">
        <f>VLOOKUP(E2737,DICH!B:C,2,FALSE)</f>
        <v>Calcium carbide</v>
      </c>
      <c r="G2737" s="362" t="s">
        <v>558</v>
      </c>
      <c r="H2737" s="847">
        <v>8.4</v>
      </c>
      <c r="I2737" s="848">
        <f>VLOOKUP(E2737,'11.gia '!$B:$I,8,FALSE)</f>
        <v>14000</v>
      </c>
      <c r="J2737" s="853">
        <f>I2737*H2737</f>
        <v>117600</v>
      </c>
      <c r="N2737" s="843" t="e">
        <f>SUMIF(#REF!,'8.Dgia'!A2737,#REF!)+SUMIF(#REF!,'8.Dgia'!A2737,#REF!)+SUMIF(#REF!,'8.Dgia'!A2737,#REF!)+SUMIF(#REF!,'8.Dgia'!A2737,#REF!)</f>
        <v>#REF!</v>
      </c>
      <c r="O2737" s="844">
        <f>+$H$2717</f>
        <v>5</v>
      </c>
      <c r="P2737" s="843" t="e">
        <f t="shared" si="116"/>
        <v>#REF!</v>
      </c>
    </row>
    <row r="2738" spans="1:18" ht="15" customHeight="1">
      <c r="A2738" s="657">
        <f>IF(B2738="",MAX($A$8:A2737)+0,MAX($A$8:A2737)+1)</f>
        <v>319</v>
      </c>
      <c r="B2738" s="835" t="str">
        <f>IF(C2738="","",COUNTA($C$10:C2739))</f>
        <v/>
      </c>
      <c r="C2738" s="362"/>
      <c r="D2738" s="851"/>
      <c r="E2738" s="852" t="s">
        <v>555</v>
      </c>
      <c r="F2738" s="848" t="str">
        <f>VLOOKUP(E2738,DICH!B:C,2,FALSE)</f>
        <v>Other material</v>
      </c>
      <c r="G2738" s="362" t="s">
        <v>554</v>
      </c>
      <c r="H2738" s="847">
        <v>5</v>
      </c>
      <c r="I2738" s="848">
        <f>SUM(J2733:J2737)</f>
        <v>2148040.31364513</v>
      </c>
      <c r="J2738" s="853">
        <f>I2738*H2738%</f>
        <v>107402.0156822565</v>
      </c>
      <c r="N2738" s="843" t="e">
        <f>SUMIF(#REF!,'8.Dgia'!A2738,#REF!)+SUMIF(#REF!,'8.Dgia'!A2738,#REF!)+SUMIF(#REF!,'8.Dgia'!A2738,#REF!)+SUMIF(#REF!,'8.Dgia'!A2738,#REF!)</f>
        <v>#REF!</v>
      </c>
      <c r="O2738" s="844"/>
      <c r="P2738" s="843" t="e">
        <f t="shared" si="116"/>
        <v>#REF!</v>
      </c>
    </row>
    <row r="2739" spans="1:18" ht="15" customHeight="1">
      <c r="A2739" s="657">
        <f>IF(B2739="",MAX($A$8:A2738)+0,MAX($A$8:A2738)+1)</f>
        <v>319</v>
      </c>
      <c r="B2739" s="835" t="str">
        <f>IF(C2739="","",COUNTA($C$10:C2740))</f>
        <v/>
      </c>
      <c r="C2739" s="362"/>
      <c r="D2739" s="851"/>
      <c r="E2739" s="852" t="s">
        <v>2039</v>
      </c>
      <c r="F2739" s="848" t="str">
        <f>VLOOKUP(E2739,DICH!B:C,2,FALSE)</f>
        <v xml:space="preserve">  B - Labour 4.0/7</v>
      </c>
      <c r="G2739" s="362" t="s">
        <v>4899</v>
      </c>
      <c r="H2739" s="847">
        <f>22.6</f>
        <v>22.6</v>
      </c>
      <c r="I2739" s="848">
        <f>VLOOKUP(E2739,'16.NC'!$C$11:$F$22,4,FALSE)</f>
        <v>218927</v>
      </c>
      <c r="J2739" s="849">
        <f>I2739*H2739</f>
        <v>4947750.2</v>
      </c>
      <c r="N2739" s="843" t="e">
        <f>SUMIF(#REF!,'8.Dgia'!A2739,#REF!)+SUMIF(#REF!,'8.Dgia'!A2739,#REF!)+SUMIF(#REF!,'8.Dgia'!A2739,#REF!)+SUMIF(#REF!,'8.Dgia'!A2739,#REF!)</f>
        <v>#REF!</v>
      </c>
      <c r="O2739" s="844"/>
      <c r="P2739" s="843" t="e">
        <f t="shared" si="116"/>
        <v>#REF!</v>
      </c>
      <c r="R2739" s="658">
        <v>1</v>
      </c>
    </row>
    <row r="2740" spans="1:18" ht="15" customHeight="1">
      <c r="A2740" s="657">
        <f>IF(B2740="",MAX($A$8:A2739)+0,MAX($A$8:A2739)+1)</f>
        <v>319</v>
      </c>
      <c r="B2740" s="835" t="str">
        <f>IF(C2740="","",COUNTA($C$10:C2741))</f>
        <v/>
      </c>
      <c r="C2740" s="362"/>
      <c r="D2740" s="851"/>
      <c r="E2740" s="852" t="s">
        <v>2033</v>
      </c>
      <c r="F2740" s="848" t="str">
        <f>VLOOKUP(E2740,DICH!B:C,2,FALSE)</f>
        <v xml:space="preserve">  C - Machine</v>
      </c>
      <c r="G2740" s="362"/>
      <c r="H2740" s="847"/>
      <c r="I2740" s="848"/>
      <c r="J2740" s="849">
        <f>SUM(J2741:J2743)</f>
        <v>1271422.0785818181</v>
      </c>
      <c r="N2740" s="843" t="e">
        <f>SUMIF(#REF!,'8.Dgia'!A2740,#REF!)+SUMIF(#REF!,'8.Dgia'!A2740,#REF!)+SUMIF(#REF!,'8.Dgia'!A2740,#REF!)+SUMIF(#REF!,'8.Dgia'!A2740,#REF!)</f>
        <v>#REF!</v>
      </c>
      <c r="O2740" s="844"/>
      <c r="P2740" s="843" t="e">
        <f t="shared" si="116"/>
        <v>#REF!</v>
      </c>
    </row>
    <row r="2741" spans="1:18" ht="15" customHeight="1">
      <c r="A2741" s="657">
        <f>IF(B2741="",MAX($A$8:A2740)+0,MAX($A$8:A2740)+1)</f>
        <v>319</v>
      </c>
      <c r="B2741" s="835" t="str">
        <f>IF(C2741="","",COUNTA($C$10:C2742))</f>
        <v/>
      </c>
      <c r="C2741" s="362"/>
      <c r="D2741" s="851"/>
      <c r="E2741" s="852" t="s">
        <v>560</v>
      </c>
      <c r="F2741" s="848" t="str">
        <f>VLOOKUP(E2741,'9.may'!E:F,2,FALSE)</f>
        <v>welding machine 23kW</v>
      </c>
      <c r="G2741" s="362" t="s">
        <v>4902</v>
      </c>
      <c r="H2741" s="847">
        <f>4.6</f>
        <v>4.5999999999999996</v>
      </c>
      <c r="I2741" s="848">
        <f>VLOOKUP(E2741,'9.may'!E:W,12,FALSE)</f>
        <v>171649.155</v>
      </c>
      <c r="J2741" s="853">
        <f>I2741*H2741</f>
        <v>789586.1129999999</v>
      </c>
      <c r="N2741" s="843" t="e">
        <f>SUMIF(#REF!,'8.Dgia'!A2741,#REF!)+SUMIF(#REF!,'8.Dgia'!A2741,#REF!)+SUMIF(#REF!,'8.Dgia'!A2741,#REF!)+SUMIF(#REF!,'8.Dgia'!A2741,#REF!)</f>
        <v>#REF!</v>
      </c>
      <c r="O2741" s="844"/>
      <c r="P2741" s="843" t="e">
        <f t="shared" si="116"/>
        <v>#REF!</v>
      </c>
    </row>
    <row r="2742" spans="1:18" ht="15" customHeight="1">
      <c r="A2742" s="657">
        <f>IF(B2742="",MAX($A$8:A2741)+0,MAX($A$8:A2741)+1)</f>
        <v>319</v>
      </c>
      <c r="B2742" s="835" t="str">
        <f>IF(C2742="","",COUNTA($C$10:C2743))</f>
        <v/>
      </c>
      <c r="C2742" s="362"/>
      <c r="D2742" s="851"/>
      <c r="E2742" s="852" t="s">
        <v>1417</v>
      </c>
      <c r="F2742" s="848" t="str">
        <f>VLOOKUP(E2742,'9.may'!E:F,2,FALSE)</f>
        <v>Cutting machine 15Kw</v>
      </c>
      <c r="G2742" s="362" t="s">
        <v>4902</v>
      </c>
      <c r="H2742" s="847">
        <f>0.4</f>
        <v>0.4</v>
      </c>
      <c r="I2742" s="848">
        <f>VLOOKUP(E2742,'9.may'!E:W,12,FALSE)</f>
        <v>204698.78999999998</v>
      </c>
      <c r="J2742" s="853">
        <f>I2742*H2742</f>
        <v>81879.516000000003</v>
      </c>
      <c r="N2742" s="843" t="e">
        <f>SUMIF(#REF!,'8.Dgia'!A2742,#REF!)+SUMIF(#REF!,'8.Dgia'!A2742,#REF!)+SUMIF(#REF!,'8.Dgia'!A2742,#REF!)+SUMIF(#REF!,'8.Dgia'!A2742,#REF!)</f>
        <v>#REF!</v>
      </c>
      <c r="O2742" s="844"/>
      <c r="P2742" s="843" t="e">
        <f t="shared" si="116"/>
        <v>#REF!</v>
      </c>
    </row>
    <row r="2743" spans="1:18" ht="15" customHeight="1">
      <c r="A2743" s="657">
        <f>IF(B2743="",MAX($A$8:A2742)+0,MAX($A$8:A2742)+1)</f>
        <v>319</v>
      </c>
      <c r="B2743" s="835" t="str">
        <f>IF(C2743="","",COUNTA($C$10:C2744))</f>
        <v/>
      </c>
      <c r="C2743" s="362"/>
      <c r="D2743" s="851"/>
      <c r="E2743" s="852" t="s">
        <v>1038</v>
      </c>
      <c r="F2743" s="848" t="str">
        <f>VLOOKUP(E2743,'9.may'!E:F,2,FALSE)</f>
        <v>caterpillar crane 10T/ crawler crane 10T</v>
      </c>
      <c r="G2743" s="362" t="s">
        <v>4902</v>
      </c>
      <c r="H2743" s="847">
        <f>0.27</f>
        <v>0.27</v>
      </c>
      <c r="I2743" s="848">
        <f>VLOOKUP(E2743,'9.may'!E:W,12,FALSE)</f>
        <v>1481320.1836363636</v>
      </c>
      <c r="J2743" s="853">
        <f>I2743*H2743</f>
        <v>399956.44958181819</v>
      </c>
      <c r="N2743" s="843" t="e">
        <f>SUMIF(#REF!,'8.Dgia'!A2743,#REF!)+SUMIF(#REF!,'8.Dgia'!A2743,#REF!)+SUMIF(#REF!,'8.Dgia'!A2743,#REF!)+SUMIF(#REF!,'8.Dgia'!A2743,#REF!)</f>
        <v>#REF!</v>
      </c>
      <c r="O2743" s="844"/>
      <c r="P2743" s="843" t="e">
        <f t="shared" si="116"/>
        <v>#REF!</v>
      </c>
    </row>
    <row r="2744" spans="1:18" ht="15" customHeight="1">
      <c r="A2744" s="657">
        <f>IF(B2744="",MAX($A$8:A2743)+0,MAX($A$8:A2743)+1)</f>
        <v>320</v>
      </c>
      <c r="B2744" s="835">
        <f>IF(C2744="","",COUNTA($C$10:C2745))</f>
        <v>320</v>
      </c>
      <c r="C2744" s="835">
        <f>IF(D2744="","",1776)</f>
        <v>1776</v>
      </c>
      <c r="D2744" s="851" t="s">
        <v>743</v>
      </c>
      <c r="E2744" s="855" t="s">
        <v>4009</v>
      </c>
      <c r="F2744" s="1049" t="str">
        <f>VLOOKUP(E2744,DICH!B:C,2,FALSE)</f>
        <v>Concrete C25 of approach slab</v>
      </c>
      <c r="G2744" s="856" t="s">
        <v>545</v>
      </c>
      <c r="H2744" s="847"/>
      <c r="I2744" s="848"/>
      <c r="J2744" s="853"/>
      <c r="K2744" s="842">
        <f>+J2745</f>
        <v>1063496.2183382923</v>
      </c>
      <c r="L2744" s="842">
        <f>+J2748</f>
        <v>306347.07999999996</v>
      </c>
      <c r="M2744" s="842">
        <f>+J2749</f>
        <v>121589.150240175</v>
      </c>
      <c r="N2744" s="843" t="e">
        <f>SUMIF(#REF!,'8.Dgia'!A2744,#REF!)+SUMIF(#REF!,'8.Dgia'!A2744,#REF!)+SUMIF(#REF!,'8.Dgia'!A2744,#REF!)+SUMIF(#REF!,'8.Dgia'!A2744,#REF!)</f>
        <v>#REF!</v>
      </c>
      <c r="O2744" s="844"/>
      <c r="P2744" s="843" t="e">
        <f t="shared" si="115"/>
        <v>#REF!</v>
      </c>
    </row>
    <row r="2745" spans="1:18" s="658" customFormat="1" ht="15" customHeight="1">
      <c r="A2745" s="657">
        <f>IF(B2745="",MAX($A$8:A2744)+0,MAX($A$8:A2744)+1)</f>
        <v>320</v>
      </c>
      <c r="B2745" s="835" t="str">
        <f>IF(C2745="","",COUNTA($C$10:C2746))</f>
        <v/>
      </c>
      <c r="C2745" s="362"/>
      <c r="D2745" s="845"/>
      <c r="E2745" s="852" t="s">
        <v>2032</v>
      </c>
      <c r="F2745" s="848" t="str">
        <f>VLOOKUP(E2745,DICH!B:C,2,FALSE)</f>
        <v xml:space="preserve">  A - Material</v>
      </c>
      <c r="G2745" s="846"/>
      <c r="H2745" s="847"/>
      <c r="I2745" s="848"/>
      <c r="J2745" s="849">
        <f>SUM(J2746:J2747)</f>
        <v>1063496.2183382923</v>
      </c>
      <c r="K2745" s="850"/>
      <c r="L2745" s="850"/>
      <c r="M2745" s="850"/>
      <c r="N2745" s="843" t="e">
        <f>SUMIF(#REF!,'8.Dgia'!A2745,#REF!)+SUMIF(#REF!,'8.Dgia'!A2745,#REF!)+SUMIF(#REF!,'8.Dgia'!A2745,#REF!)+SUMIF(#REF!,'8.Dgia'!A2745,#REF!)</f>
        <v>#REF!</v>
      </c>
      <c r="O2745" s="844"/>
      <c r="P2745" s="843" t="e">
        <f t="shared" si="115"/>
        <v>#REF!</v>
      </c>
    </row>
    <row r="2746" spans="1:18" ht="15" customHeight="1">
      <c r="A2746" s="657">
        <f>IF(B2746="",MAX($A$8:A2745)+0,MAX($A$8:A2745)+1)</f>
        <v>320</v>
      </c>
      <c r="B2746" s="835" t="str">
        <f>IF(C2746="","",COUNTA($C$10:C2747))</f>
        <v/>
      </c>
      <c r="C2746" s="851"/>
      <c r="D2746" s="851" t="str">
        <f>+'10.PLV'!$C$94</f>
        <v>C3325</v>
      </c>
      <c r="E2746" s="852" t="str">
        <f>'10.PLV'!$D$94</f>
        <v>Vữa bê tông đá 1x2 C25 (độ sụt 14-17cm)</v>
      </c>
      <c r="F2746" s="848" t="str">
        <f>VLOOKUP(E2746,DICH!B:C,2,FALSE)</f>
        <v>Concrete motar C25 stone 1x2 slump 14-17</v>
      </c>
      <c r="G2746" s="362" t="s">
        <v>662</v>
      </c>
      <c r="H2746" s="847">
        <v>1.0149999999999999</v>
      </c>
      <c r="I2746" s="848">
        <f>VLOOKUP(E2746,'11.gia '!B:I,8,FALSE)</f>
        <v>1037405.4707489562</v>
      </c>
      <c r="J2746" s="853">
        <f>I2746*H2746</f>
        <v>1052966.5528101905</v>
      </c>
      <c r="N2746" s="843" t="e">
        <f>SUMIF(#REF!,'8.Dgia'!A2746,#REF!)+SUMIF(#REF!,'8.Dgia'!A2746,#REF!)+SUMIF(#REF!,'8.Dgia'!A2746,#REF!)+SUMIF(#REF!,'8.Dgia'!A2746,#REF!)</f>
        <v>#REF!</v>
      </c>
      <c r="O2746" s="844">
        <f>+$H$2747</f>
        <v>1</v>
      </c>
      <c r="P2746" s="843" t="e">
        <f t="shared" si="115"/>
        <v>#REF!</v>
      </c>
    </row>
    <row r="2747" spans="1:18" ht="15" customHeight="1">
      <c r="A2747" s="657">
        <f>IF(B2747="",MAX($A$8:A2746)+0,MAX($A$8:A2746)+1)</f>
        <v>320</v>
      </c>
      <c r="B2747" s="835" t="str">
        <f>IF(C2747="","",COUNTA($C$10:C2748))</f>
        <v/>
      </c>
      <c r="C2747" s="362"/>
      <c r="D2747" s="851"/>
      <c r="E2747" s="852" t="s">
        <v>555</v>
      </c>
      <c r="F2747" s="848" t="str">
        <f>VLOOKUP(E2747,DICH!B:C,2,FALSE)</f>
        <v>Other material</v>
      </c>
      <c r="G2747" s="362" t="s">
        <v>554</v>
      </c>
      <c r="H2747" s="847">
        <v>1</v>
      </c>
      <c r="I2747" s="848">
        <f>+J2746</f>
        <v>1052966.5528101905</v>
      </c>
      <c r="J2747" s="853">
        <f>I2747*H2747%</f>
        <v>10529.665528101905</v>
      </c>
      <c r="N2747" s="843" t="e">
        <f>SUMIF(#REF!,'8.Dgia'!A2747,#REF!)+SUMIF(#REF!,'8.Dgia'!A2747,#REF!)+SUMIF(#REF!,'8.Dgia'!A2747,#REF!)+SUMIF(#REF!,'8.Dgia'!A2747,#REF!)</f>
        <v>#REF!</v>
      </c>
      <c r="O2747" s="844"/>
      <c r="P2747" s="843" t="e">
        <f t="shared" si="115"/>
        <v>#REF!</v>
      </c>
    </row>
    <row r="2748" spans="1:18" s="658" customFormat="1" ht="15" customHeight="1">
      <c r="A2748" s="657">
        <f>IF(B2748="",MAX($A$8:A2747)+0,MAX($A$8:A2747)+1)</f>
        <v>320</v>
      </c>
      <c r="B2748" s="835" t="str">
        <f>IF(C2748="","",COUNTA($C$10:C2749))</f>
        <v/>
      </c>
      <c r="C2748" s="362"/>
      <c r="D2748" s="845"/>
      <c r="E2748" s="852" t="s">
        <v>2038</v>
      </c>
      <c r="F2748" s="848" t="str">
        <f>VLOOKUP(E2748,DICH!B:C,2,FALSE)</f>
        <v xml:space="preserve">  B - Labour 3.0/7</v>
      </c>
      <c r="G2748" s="362" t="s">
        <v>4899</v>
      </c>
      <c r="H2748" s="847">
        <v>1.64</v>
      </c>
      <c r="I2748" s="848">
        <f>VLOOKUP(E2748,'16.NC'!$C$11:$F$22,4,FALSE)</f>
        <v>186797</v>
      </c>
      <c r="J2748" s="849">
        <f>I2748*H2748</f>
        <v>306347.07999999996</v>
      </c>
      <c r="K2748" s="850"/>
      <c r="L2748" s="850"/>
      <c r="M2748" s="850"/>
      <c r="N2748" s="843" t="e">
        <f>SUMIF(#REF!,'8.Dgia'!A2748,#REF!)+SUMIF(#REF!,'8.Dgia'!A2748,#REF!)+SUMIF(#REF!,'8.Dgia'!A2748,#REF!)+SUMIF(#REF!,'8.Dgia'!A2748,#REF!)</f>
        <v>#REF!</v>
      </c>
      <c r="O2748" s="844"/>
      <c r="P2748" s="843" t="e">
        <f t="shared" si="115"/>
        <v>#REF!</v>
      </c>
      <c r="R2748" s="658">
        <v>1</v>
      </c>
    </row>
    <row r="2749" spans="1:18" s="658" customFormat="1" ht="15" customHeight="1">
      <c r="A2749" s="657">
        <f>IF(B2749="",MAX($A$8:A2748)+0,MAX($A$8:A2748)+1)</f>
        <v>320</v>
      </c>
      <c r="B2749" s="835" t="str">
        <f>IF(C2749="","",COUNTA($C$10:C2750))</f>
        <v/>
      </c>
      <c r="C2749" s="362"/>
      <c r="D2749" s="845"/>
      <c r="E2749" s="852" t="s">
        <v>2033</v>
      </c>
      <c r="F2749" s="848" t="str">
        <f>VLOOKUP(E2749,DICH!B:C,2,FALSE)</f>
        <v xml:space="preserve">  C - Machine</v>
      </c>
      <c r="G2749" s="362"/>
      <c r="H2749" s="847"/>
      <c r="I2749" s="848"/>
      <c r="J2749" s="849">
        <f>SUM(J2750:J2752)</f>
        <v>121589.150240175</v>
      </c>
      <c r="K2749" s="850"/>
      <c r="L2749" s="850"/>
      <c r="M2749" s="850"/>
      <c r="N2749" s="843" t="e">
        <f>SUMIF(#REF!,'8.Dgia'!A2749,#REF!)+SUMIF(#REF!,'8.Dgia'!A2749,#REF!)+SUMIF(#REF!,'8.Dgia'!A2749,#REF!)+SUMIF(#REF!,'8.Dgia'!A2749,#REF!)</f>
        <v>#REF!</v>
      </c>
      <c r="O2749" s="844"/>
      <c r="P2749" s="843" t="e">
        <f t="shared" si="115"/>
        <v>#REF!</v>
      </c>
    </row>
    <row r="2750" spans="1:18" s="658" customFormat="1" ht="15" customHeight="1">
      <c r="A2750" s="657">
        <f>IF(B2750="",MAX($A$8:A2749)+0,MAX($A$8:A2749)+1)</f>
        <v>320</v>
      </c>
      <c r="B2750" s="835" t="str">
        <f>IF(C2750="","",COUNTA($C$10:C2751))</f>
        <v/>
      </c>
      <c r="C2750" s="362"/>
      <c r="D2750" s="845"/>
      <c r="E2750" s="852" t="s">
        <v>1182</v>
      </c>
      <c r="F2750" s="848" t="str">
        <f>VLOOKUP(E2750,'9.may'!E:F,2,FALSE)</f>
        <v>concrete pump truck 50m3/h</v>
      </c>
      <c r="G2750" s="362" t="s">
        <v>4902</v>
      </c>
      <c r="H2750" s="847">
        <v>3.3000000000000002E-2</v>
      </c>
      <c r="I2750" s="848">
        <f>VLOOKUP(E2750,'9.may'!E:W,12,FALSE)</f>
        <v>3446390.13</v>
      </c>
      <c r="J2750" s="853">
        <f>I2750*H2750</f>
        <v>113730.87429000001</v>
      </c>
      <c r="K2750" s="850"/>
      <c r="L2750" s="850"/>
      <c r="M2750" s="850"/>
      <c r="N2750" s="843" t="e">
        <f>SUMIF(#REF!,'8.Dgia'!A2750,#REF!)+SUMIF(#REF!,'8.Dgia'!A2750,#REF!)+SUMIF(#REF!,'8.Dgia'!A2750,#REF!)+SUMIF(#REF!,'8.Dgia'!A2750,#REF!)</f>
        <v>#REF!</v>
      </c>
      <c r="O2750" s="844">
        <f>+$H$2752</f>
        <v>1</v>
      </c>
      <c r="P2750" s="843" t="e">
        <f t="shared" si="115"/>
        <v>#REF!</v>
      </c>
    </row>
    <row r="2751" spans="1:18" s="658" customFormat="1" ht="15" customHeight="1">
      <c r="A2751" s="657">
        <f>IF(B2751="",MAX($A$8:A2750)+0,MAX($A$8:A2750)+1)</f>
        <v>320</v>
      </c>
      <c r="B2751" s="835" t="str">
        <f>IF(C2751="","",COUNTA($C$10:C2752))</f>
        <v/>
      </c>
      <c r="C2751" s="362"/>
      <c r="D2751" s="845"/>
      <c r="E2751" s="852" t="s">
        <v>293</v>
      </c>
      <c r="F2751" s="848" t="str">
        <f>VLOOKUP(E2751,'9.may'!E:F,2,FALSE)</f>
        <v>concrete vibrating compactor 1.5Kw</v>
      </c>
      <c r="G2751" s="362" t="s">
        <v>4902</v>
      </c>
      <c r="H2751" s="847">
        <v>8.8999999999999996E-2</v>
      </c>
      <c r="I2751" s="848">
        <f>VLOOKUP(E2751,'9.may'!E:W,12,FALSE)</f>
        <v>74768.797500000001</v>
      </c>
      <c r="J2751" s="853">
        <f>I2751*H2751</f>
        <v>6654.4229774999994</v>
      </c>
      <c r="K2751" s="850"/>
      <c r="L2751" s="850"/>
      <c r="M2751" s="850"/>
      <c r="N2751" s="843" t="e">
        <f>SUMIF(#REF!,'8.Dgia'!A2751,#REF!)+SUMIF(#REF!,'8.Dgia'!A2751,#REF!)+SUMIF(#REF!,'8.Dgia'!A2751,#REF!)+SUMIF(#REF!,'8.Dgia'!A2751,#REF!)</f>
        <v>#REF!</v>
      </c>
      <c r="O2751" s="844">
        <f>+$H$2752</f>
        <v>1</v>
      </c>
      <c r="P2751" s="843" t="e">
        <f t="shared" si="115"/>
        <v>#REF!</v>
      </c>
    </row>
    <row r="2752" spans="1:18" s="658" customFormat="1" ht="15" customHeight="1">
      <c r="A2752" s="657">
        <f>IF(B2752="",MAX($A$8:A2751)+0,MAX($A$8:A2751)+1)</f>
        <v>320</v>
      </c>
      <c r="B2752" s="835" t="str">
        <f>IF(C2752="","",COUNTA($C$10:C2753))</f>
        <v/>
      </c>
      <c r="C2752" s="362"/>
      <c r="D2752" s="845"/>
      <c r="E2752" s="852" t="s">
        <v>553</v>
      </c>
      <c r="F2752" s="848" t="str">
        <f>VLOOKUP(E2752,DICH!B:C,2,FALSE)</f>
        <v>Other machine</v>
      </c>
      <c r="G2752" s="362" t="s">
        <v>554</v>
      </c>
      <c r="H2752" s="847">
        <v>1</v>
      </c>
      <c r="I2752" s="848">
        <f>SUM(J2750:J2751)</f>
        <v>120385.29726750001</v>
      </c>
      <c r="J2752" s="853">
        <f>I2752*H2752%</f>
        <v>1203.852972675</v>
      </c>
      <c r="K2752" s="850"/>
      <c r="L2752" s="850"/>
      <c r="M2752" s="850"/>
      <c r="N2752" s="843" t="e">
        <f>SUMIF(#REF!,'8.Dgia'!A2752,#REF!)+SUMIF(#REF!,'8.Dgia'!A2752,#REF!)+SUMIF(#REF!,'8.Dgia'!A2752,#REF!)+SUMIF(#REF!,'8.Dgia'!A2752,#REF!)</f>
        <v>#REF!</v>
      </c>
      <c r="O2752" s="844"/>
      <c r="P2752" s="843" t="e">
        <f t="shared" si="115"/>
        <v>#REF!</v>
      </c>
    </row>
    <row r="2753" spans="1:18" ht="15" customHeight="1">
      <c r="A2753" s="657">
        <f>IF(B2753="",MAX($A$8:A2752)+0,MAX($A$8:A2752)+1)</f>
        <v>321</v>
      </c>
      <c r="B2753" s="835">
        <f>IF(C2753="","",COUNTA($C$10:C2754))</f>
        <v>321</v>
      </c>
      <c r="C2753" s="362">
        <v>0</v>
      </c>
      <c r="D2753" s="851" t="s">
        <v>306</v>
      </c>
      <c r="E2753" s="855" t="s">
        <v>2077</v>
      </c>
      <c r="F2753" s="848" t="str">
        <f>VLOOKUP(E2753,DICH!B:C,2,FALSE)</f>
        <v>Bbolt M10</v>
      </c>
      <c r="G2753" s="856" t="s">
        <v>4651</v>
      </c>
      <c r="H2753" s="882"/>
      <c r="I2753" s="848"/>
      <c r="J2753" s="853"/>
      <c r="K2753" s="842">
        <f>+J2754</f>
        <v>1200</v>
      </c>
      <c r="N2753" s="843" t="e">
        <f>SUMIF(#REF!,'8.Dgia'!A2753,#REF!)+SUMIF(#REF!,'8.Dgia'!A2753,#REF!)+SUMIF(#REF!,'8.Dgia'!A2753,#REF!)+SUMIF(#REF!,'8.Dgia'!A2753,#REF!)</f>
        <v>#REF!</v>
      </c>
      <c r="O2753" s="844"/>
      <c r="P2753" s="843" t="e">
        <f t="shared" si="115"/>
        <v>#REF!</v>
      </c>
    </row>
    <row r="2754" spans="1:18" s="658" customFormat="1" ht="15" customHeight="1">
      <c r="A2754" s="657">
        <f>IF(B2754="",MAX($A$8:A2753)+0,MAX($A$8:A2753)+1)</f>
        <v>321</v>
      </c>
      <c r="B2754" s="835" t="str">
        <f>IF(C2754="","",COUNTA($C$10:C2755))</f>
        <v/>
      </c>
      <c r="C2754" s="362"/>
      <c r="D2754" s="845"/>
      <c r="E2754" s="852" t="s">
        <v>2032</v>
      </c>
      <c r="F2754" s="848" t="str">
        <f>VLOOKUP(E2754,DICH!B:C,2,FALSE)</f>
        <v xml:space="preserve">  A - Material</v>
      </c>
      <c r="G2754" s="846"/>
      <c r="H2754" s="847"/>
      <c r="I2754" s="848"/>
      <c r="J2754" s="849">
        <f>+J2755</f>
        <v>1200</v>
      </c>
      <c r="K2754" s="850"/>
      <c r="L2754" s="850"/>
      <c r="M2754" s="850"/>
      <c r="N2754" s="843" t="e">
        <f>SUMIF(#REF!,'8.Dgia'!A2754,#REF!)+SUMIF(#REF!,'8.Dgia'!A2754,#REF!)+SUMIF(#REF!,'8.Dgia'!A2754,#REF!)+SUMIF(#REF!,'8.Dgia'!A2754,#REF!)</f>
        <v>#REF!</v>
      </c>
      <c r="O2754" s="844"/>
      <c r="P2754" s="843" t="e">
        <f t="shared" si="115"/>
        <v>#REF!</v>
      </c>
    </row>
    <row r="2755" spans="1:18" ht="15" customHeight="1">
      <c r="A2755" s="657">
        <f>IF(B2755="",MAX($A$8:A2754)+0,MAX($A$8:A2754)+1)</f>
        <v>321</v>
      </c>
      <c r="B2755" s="835" t="str">
        <f>IF(C2755="","",COUNTA($C$10:C2756))</f>
        <v/>
      </c>
      <c r="C2755" s="851"/>
      <c r="D2755" s="851"/>
      <c r="E2755" s="852" t="s">
        <v>2077</v>
      </c>
      <c r="F2755" s="848" t="str">
        <f>VLOOKUP(E2755,DICH!B:C,2,FALSE)</f>
        <v>Bbolt M10</v>
      </c>
      <c r="G2755" s="362" t="s">
        <v>4651</v>
      </c>
      <c r="H2755" s="847">
        <v>1</v>
      </c>
      <c r="I2755" s="848">
        <f>VLOOKUP(E2755,'11.gia '!$B:$I,8,FALSE)</f>
        <v>1200</v>
      </c>
      <c r="J2755" s="853">
        <f>I2755*H2755</f>
        <v>1200</v>
      </c>
      <c r="N2755" s="843" t="e">
        <f>SUMIF(#REF!,'8.Dgia'!A2755,#REF!)+SUMIF(#REF!,'8.Dgia'!A2755,#REF!)+SUMIF(#REF!,'8.Dgia'!A2755,#REF!)+SUMIF(#REF!,'8.Dgia'!A2755,#REF!)</f>
        <v>#REF!</v>
      </c>
      <c r="O2755" s="844"/>
      <c r="P2755" s="843" t="e">
        <f t="shared" si="115"/>
        <v>#REF!</v>
      </c>
    </row>
    <row r="2756" spans="1:18" ht="15" customHeight="1">
      <c r="A2756" s="657">
        <f>IF(B2756="",MAX($A$8:A2755)+0,MAX($A$8:A2755)+1)</f>
        <v>322</v>
      </c>
      <c r="B2756" s="835">
        <f>IF(C2756="","",COUNTA($C$10:C2757))</f>
        <v>322</v>
      </c>
      <c r="C2756" s="835">
        <f>IF(D2756="","",1776)</f>
        <v>1776</v>
      </c>
      <c r="D2756" s="851" t="s">
        <v>2078</v>
      </c>
      <c r="E2756" s="855" t="s">
        <v>2079</v>
      </c>
      <c r="F2756" s="1049">
        <f>VLOOKUP(E2756,DICH!B:C,2,FALSE)</f>
        <v>0</v>
      </c>
      <c r="G2756" s="856" t="s">
        <v>4644</v>
      </c>
      <c r="H2756" s="847"/>
      <c r="I2756" s="848"/>
      <c r="J2756" s="853"/>
      <c r="K2756" s="842">
        <f>+J2757</f>
        <v>17205048.9978</v>
      </c>
      <c r="L2756" s="842">
        <f>+J2760</f>
        <v>2967871.06</v>
      </c>
      <c r="M2756" s="842">
        <f>+J2761</f>
        <v>32759.074800000006</v>
      </c>
      <c r="N2756" s="843" t="e">
        <f>SUMIF(#REF!,'8.Dgia'!A2756,#REF!)+SUMIF(#REF!,'8.Dgia'!A2756,#REF!)+SUMIF(#REF!,'8.Dgia'!A2756,#REF!)+SUMIF(#REF!,'8.Dgia'!A2756,#REF!)</f>
        <v>#REF!</v>
      </c>
      <c r="O2756" s="844"/>
      <c r="P2756" s="843" t="e">
        <f t="shared" si="115"/>
        <v>#REF!</v>
      </c>
    </row>
    <row r="2757" spans="1:18" s="658" customFormat="1" ht="15" customHeight="1">
      <c r="A2757" s="657">
        <f>IF(B2757="",MAX($A$8:A2756)+0,MAX($A$8:A2756)+1)</f>
        <v>322</v>
      </c>
      <c r="B2757" s="835" t="str">
        <f>IF(C2757="","",COUNTA($C$10:C2758))</f>
        <v/>
      </c>
      <c r="C2757" s="362"/>
      <c r="D2757" s="845"/>
      <c r="E2757" s="852" t="s">
        <v>2032</v>
      </c>
      <c r="F2757" s="848" t="str">
        <f>VLOOKUP(E2757,DICH!B:C,2,FALSE)</f>
        <v xml:space="preserve">  A - Material</v>
      </c>
      <c r="G2757" s="846"/>
      <c r="H2757" s="847"/>
      <c r="I2757" s="848"/>
      <c r="J2757" s="849">
        <f>SUM(J2758:J2759)</f>
        <v>17205048.9978</v>
      </c>
      <c r="K2757" s="850"/>
      <c r="L2757" s="850"/>
      <c r="M2757" s="850"/>
      <c r="N2757" s="843" t="e">
        <f>SUMIF(#REF!,'8.Dgia'!A2757,#REF!)+SUMIF(#REF!,'8.Dgia'!A2757,#REF!)+SUMIF(#REF!,'8.Dgia'!A2757,#REF!)+SUMIF(#REF!,'8.Dgia'!A2757,#REF!)</f>
        <v>#REF!</v>
      </c>
      <c r="O2757" s="844"/>
      <c r="P2757" s="843" t="e">
        <f t="shared" si="115"/>
        <v>#REF!</v>
      </c>
    </row>
    <row r="2758" spans="1:18" ht="15" customHeight="1">
      <c r="A2758" s="657">
        <f>IF(B2758="",MAX($A$8:A2757)+0,MAX($A$8:A2757)+1)</f>
        <v>322</v>
      </c>
      <c r="B2758" s="835" t="str">
        <f>IF(C2758="","",COUNTA($C$10:C2759))</f>
        <v/>
      </c>
      <c r="C2758" s="362"/>
      <c r="D2758" s="851"/>
      <c r="E2758" s="852" t="s">
        <v>371</v>
      </c>
      <c r="F2758" s="848" t="str">
        <f>VLOOKUP(E2758,DICH!B:C,2,FALSE)</f>
        <v>steel bar D&lt;=10</v>
      </c>
      <c r="G2758" s="362" t="s">
        <v>558</v>
      </c>
      <c r="H2758" s="847">
        <v>1005</v>
      </c>
      <c r="I2758" s="848">
        <f>VLOOKUP(E2758,'11.gia '!$B:$I,8,FALSE)</f>
        <v>16754.075560000001</v>
      </c>
      <c r="J2758" s="853">
        <f>I2758*H2758</f>
        <v>16837845.937800001</v>
      </c>
      <c r="N2758" s="843" t="e">
        <f>SUMIF(#REF!,'8.Dgia'!A2758,#REF!)+SUMIF(#REF!,'8.Dgia'!A2758,#REF!)+SUMIF(#REF!,'8.Dgia'!A2758,#REF!)+SUMIF(#REF!,'8.Dgia'!A2758,#REF!)</f>
        <v>#REF!</v>
      </c>
      <c r="O2758" s="844"/>
      <c r="P2758" s="843" t="e">
        <f t="shared" si="115"/>
        <v>#REF!</v>
      </c>
    </row>
    <row r="2759" spans="1:18" ht="15" customHeight="1">
      <c r="A2759" s="657">
        <f>IF(B2759="",MAX($A$8:A2758)+0,MAX($A$8:A2758)+1)</f>
        <v>322</v>
      </c>
      <c r="B2759" s="835" t="str">
        <f>IF(C2759="","",COUNTA($C$10:C2760))</f>
        <v/>
      </c>
      <c r="C2759" s="362"/>
      <c r="D2759" s="851"/>
      <c r="E2759" s="852" t="s">
        <v>459</v>
      </c>
      <c r="F2759" s="848" t="str">
        <f>VLOOKUP(E2759,DICH!B:C,2,FALSE)</f>
        <v>Steel ware</v>
      </c>
      <c r="G2759" s="362" t="s">
        <v>558</v>
      </c>
      <c r="H2759" s="847">
        <v>21.42</v>
      </c>
      <c r="I2759" s="848">
        <f>VLOOKUP(E2759,'11.gia '!$B:$I,8,FALSE)</f>
        <v>17143</v>
      </c>
      <c r="J2759" s="853">
        <f>I2759*H2759</f>
        <v>367203.06000000006</v>
      </c>
      <c r="N2759" s="843" t="e">
        <f>SUMIF(#REF!,'8.Dgia'!A2759,#REF!)+SUMIF(#REF!,'8.Dgia'!A2759,#REF!)+SUMIF(#REF!,'8.Dgia'!A2759,#REF!)+SUMIF(#REF!,'8.Dgia'!A2759,#REF!)</f>
        <v>#REF!</v>
      </c>
      <c r="O2759" s="844"/>
      <c r="P2759" s="843" t="e">
        <f t="shared" si="115"/>
        <v>#REF!</v>
      </c>
    </row>
    <row r="2760" spans="1:18" s="658" customFormat="1" ht="15" customHeight="1">
      <c r="A2760" s="657">
        <f>IF(B2760="",MAX($A$8:A2759)+0,MAX($A$8:A2759)+1)</f>
        <v>322</v>
      </c>
      <c r="B2760" s="835" t="str">
        <f>IF(C2760="","",COUNTA($C$10:C2761))</f>
        <v/>
      </c>
      <c r="C2760" s="362"/>
      <c r="D2760" s="845"/>
      <c r="E2760" s="852" t="s">
        <v>2037</v>
      </c>
      <c r="F2760" s="848" t="str">
        <f>VLOOKUP(E2760,DICH!B:C,2,FALSE)</f>
        <v xml:space="preserve">  B - Labour 3.5/7</v>
      </c>
      <c r="G2760" s="362" t="s">
        <v>4899</v>
      </c>
      <c r="H2760" s="847">
        <v>14.63</v>
      </c>
      <c r="I2760" s="848">
        <f>VLOOKUP(E2760,'16.NC'!$C$11:$F$22,4,FALSE)</f>
        <v>202862</v>
      </c>
      <c r="J2760" s="849">
        <f>I2760*H2760</f>
        <v>2967871.06</v>
      </c>
      <c r="K2760" s="850"/>
      <c r="L2760" s="850"/>
      <c r="M2760" s="850"/>
      <c r="N2760" s="843" t="e">
        <f>SUMIF(#REF!,'8.Dgia'!A2760,#REF!)+SUMIF(#REF!,'8.Dgia'!A2760,#REF!)+SUMIF(#REF!,'8.Dgia'!A2760,#REF!)+SUMIF(#REF!,'8.Dgia'!A2760,#REF!)</f>
        <v>#REF!</v>
      </c>
      <c r="O2760" s="844"/>
      <c r="P2760" s="843" t="e">
        <f t="shared" si="115"/>
        <v>#REF!</v>
      </c>
      <c r="R2760" s="658">
        <v>1</v>
      </c>
    </row>
    <row r="2761" spans="1:18" s="658" customFormat="1" ht="15" customHeight="1">
      <c r="A2761" s="657">
        <f>IF(B2761="",MAX($A$8:A2760)+0,MAX($A$8:A2760)+1)</f>
        <v>322</v>
      </c>
      <c r="B2761" s="835" t="str">
        <f>IF(C2761="","",COUNTA($C$10:C2762))</f>
        <v/>
      </c>
      <c r="C2761" s="362"/>
      <c r="D2761" s="845"/>
      <c r="E2761" s="852" t="s">
        <v>2033</v>
      </c>
      <c r="F2761" s="848" t="str">
        <f>VLOOKUP(E2761,DICH!B:C,2,FALSE)</f>
        <v xml:space="preserve">  C - Machine</v>
      </c>
      <c r="G2761" s="846"/>
      <c r="H2761" s="847"/>
      <c r="I2761" s="848"/>
      <c r="J2761" s="849">
        <f>SUM(J2762:J2763)</f>
        <v>32759.074800000006</v>
      </c>
      <c r="K2761" s="850"/>
      <c r="L2761" s="850"/>
      <c r="M2761" s="850"/>
      <c r="N2761" s="843" t="e">
        <f>SUMIF(#REF!,'8.Dgia'!A2761,#REF!)+SUMIF(#REF!,'8.Dgia'!A2761,#REF!)+SUMIF(#REF!,'8.Dgia'!A2761,#REF!)+SUMIF(#REF!,'8.Dgia'!A2761,#REF!)</f>
        <v>#REF!</v>
      </c>
      <c r="O2761" s="844"/>
      <c r="P2761" s="843" t="e">
        <f t="shared" si="115"/>
        <v>#REF!</v>
      </c>
    </row>
    <row r="2762" spans="1:18" ht="15" customHeight="1">
      <c r="A2762" s="657">
        <f>IF(B2762="",MAX($A$8:A2761)+0,MAX($A$8:A2761)+1)</f>
        <v>322</v>
      </c>
      <c r="B2762" s="835" t="str">
        <f>IF(C2762="","",COUNTA($C$10:C2763))</f>
        <v/>
      </c>
      <c r="C2762" s="362"/>
      <c r="D2762" s="851"/>
      <c r="E2762" s="852" t="s">
        <v>1424</v>
      </c>
      <c r="F2762" s="848" t="str">
        <f>VLOOKUP(E2762,'9.may'!E:F,2,FALSE)</f>
        <v>bender cutter 5Kw</v>
      </c>
      <c r="G2762" s="362" t="s">
        <v>4902</v>
      </c>
      <c r="H2762" s="847">
        <v>0.4</v>
      </c>
      <c r="I2762" s="848">
        <f>VLOOKUP(E2762,'9.may'!E:W,12,FALSE)</f>
        <v>80291.850000000006</v>
      </c>
      <c r="J2762" s="853">
        <f>I2762*H2762</f>
        <v>32116.740000000005</v>
      </c>
      <c r="N2762" s="843" t="e">
        <f>SUMIF(#REF!,'8.Dgia'!A2762,#REF!)+SUMIF(#REF!,'8.Dgia'!A2762,#REF!)+SUMIF(#REF!,'8.Dgia'!A2762,#REF!)+SUMIF(#REF!,'8.Dgia'!A2762,#REF!)</f>
        <v>#REF!</v>
      </c>
      <c r="O2762" s="844">
        <f>+$H$2763</f>
        <v>2</v>
      </c>
      <c r="P2762" s="843" t="e">
        <f t="shared" si="115"/>
        <v>#REF!</v>
      </c>
    </row>
    <row r="2763" spans="1:18" ht="15" customHeight="1">
      <c r="A2763" s="657">
        <f>IF(B2763="",MAX($A$8:A2762)+0,MAX($A$8:A2762)+1)</f>
        <v>322</v>
      </c>
      <c r="B2763" s="835" t="str">
        <f>IF(C2763="","",COUNTA($C$10:C2764))</f>
        <v/>
      </c>
      <c r="C2763" s="362"/>
      <c r="D2763" s="851"/>
      <c r="E2763" s="852" t="s">
        <v>553</v>
      </c>
      <c r="F2763" s="848" t="str">
        <f>VLOOKUP(E2763,DICH!B:C,2,FALSE)</f>
        <v>Other machine</v>
      </c>
      <c r="G2763" s="362" t="s">
        <v>554</v>
      </c>
      <c r="H2763" s="847">
        <v>2</v>
      </c>
      <c r="I2763" s="848">
        <f>SUM(J2762:J2762)</f>
        <v>32116.740000000005</v>
      </c>
      <c r="J2763" s="853">
        <f>I2763*H2763%</f>
        <v>642.33480000000009</v>
      </c>
      <c r="N2763" s="843" t="e">
        <f>SUMIF(#REF!,'8.Dgia'!A2763,#REF!)+SUMIF(#REF!,'8.Dgia'!A2763,#REF!)+SUMIF(#REF!,'8.Dgia'!A2763,#REF!)+SUMIF(#REF!,'8.Dgia'!A2763,#REF!)</f>
        <v>#REF!</v>
      </c>
      <c r="O2763" s="844"/>
      <c r="P2763" s="843" t="e">
        <f t="shared" si="115"/>
        <v>#REF!</v>
      </c>
    </row>
    <row r="2764" spans="1:18" ht="15" customHeight="1">
      <c r="A2764" s="657">
        <f>IF(B2764="",MAX($A$8:A2763)+0,MAX($A$8:A2763)+1)</f>
        <v>323</v>
      </c>
      <c r="B2764" s="835">
        <f>IF(C2764="","",COUNTA($C$10:C2765))</f>
        <v>323</v>
      </c>
      <c r="C2764" s="362">
        <v>0</v>
      </c>
      <c r="D2764" s="851" t="s">
        <v>306</v>
      </c>
      <c r="E2764" s="855" t="s">
        <v>2080</v>
      </c>
      <c r="F2764" s="848" t="str">
        <f>VLOOKUP(E2764,DICH!B:C,2,FALSE)</f>
        <v>Bbolt M6</v>
      </c>
      <c r="G2764" s="856" t="s">
        <v>4651</v>
      </c>
      <c r="H2764" s="882"/>
      <c r="I2764" s="848"/>
      <c r="J2764" s="853"/>
      <c r="K2764" s="842">
        <f>+J2765</f>
        <v>1200</v>
      </c>
      <c r="N2764" s="843" t="e">
        <f>SUMIF(#REF!,'8.Dgia'!A2764,#REF!)+SUMIF(#REF!,'8.Dgia'!A2764,#REF!)+SUMIF(#REF!,'8.Dgia'!A2764,#REF!)+SUMIF(#REF!,'8.Dgia'!A2764,#REF!)</f>
        <v>#REF!</v>
      </c>
      <c r="O2764" s="844"/>
      <c r="P2764" s="843" t="e">
        <f t="shared" si="115"/>
        <v>#REF!</v>
      </c>
    </row>
    <row r="2765" spans="1:18" s="658" customFormat="1" ht="15" customHeight="1">
      <c r="A2765" s="657">
        <f>IF(B2765="",MAX($A$8:A2764)+0,MAX($A$8:A2764)+1)</f>
        <v>323</v>
      </c>
      <c r="B2765" s="835" t="str">
        <f>IF(C2765="","",COUNTA($C$10:C2766))</f>
        <v/>
      </c>
      <c r="C2765" s="362"/>
      <c r="D2765" s="845"/>
      <c r="E2765" s="852" t="s">
        <v>2032</v>
      </c>
      <c r="F2765" s="848" t="str">
        <f>VLOOKUP(E2765,DICH!B:C,2,FALSE)</f>
        <v xml:space="preserve">  A - Material</v>
      </c>
      <c r="G2765" s="846"/>
      <c r="H2765" s="847"/>
      <c r="I2765" s="848"/>
      <c r="J2765" s="849">
        <f>+J2766</f>
        <v>1200</v>
      </c>
      <c r="K2765" s="850"/>
      <c r="L2765" s="850"/>
      <c r="M2765" s="850"/>
      <c r="N2765" s="843" t="e">
        <f>SUMIF(#REF!,'8.Dgia'!A2765,#REF!)+SUMIF(#REF!,'8.Dgia'!A2765,#REF!)+SUMIF(#REF!,'8.Dgia'!A2765,#REF!)+SUMIF(#REF!,'8.Dgia'!A2765,#REF!)</f>
        <v>#REF!</v>
      </c>
      <c r="O2765" s="844"/>
      <c r="P2765" s="843" t="e">
        <f t="shared" si="115"/>
        <v>#REF!</v>
      </c>
    </row>
    <row r="2766" spans="1:18" ht="15" customHeight="1">
      <c r="A2766" s="657">
        <f>IF(B2766="",MAX($A$8:A2765)+0,MAX($A$8:A2765)+1)</f>
        <v>323</v>
      </c>
      <c r="B2766" s="835" t="str">
        <f>IF(C2766="","",COUNTA($C$10:C2767))</f>
        <v/>
      </c>
      <c r="C2766" s="851"/>
      <c r="D2766" s="851"/>
      <c r="E2766" s="852" t="s">
        <v>2080</v>
      </c>
      <c r="F2766" s="848" t="str">
        <f>VLOOKUP(E2766,DICH!B:C,2,FALSE)</f>
        <v>Bbolt M6</v>
      </c>
      <c r="G2766" s="362" t="s">
        <v>4651</v>
      </c>
      <c r="H2766" s="847">
        <v>1</v>
      </c>
      <c r="I2766" s="848">
        <f>VLOOKUP(E2766,'11.gia '!$B:$I,8,FALSE)</f>
        <v>1200</v>
      </c>
      <c r="J2766" s="853">
        <f>I2766*H2766</f>
        <v>1200</v>
      </c>
      <c r="N2766" s="843" t="e">
        <f>SUMIF(#REF!,'8.Dgia'!A2766,#REF!)+SUMIF(#REF!,'8.Dgia'!A2766,#REF!)+SUMIF(#REF!,'8.Dgia'!A2766,#REF!)+SUMIF(#REF!,'8.Dgia'!A2766,#REF!)</f>
        <v>#REF!</v>
      </c>
      <c r="O2766" s="844"/>
      <c r="P2766" s="843" t="e">
        <f t="shared" si="115"/>
        <v>#REF!</v>
      </c>
    </row>
    <row r="2767" spans="1:18" ht="37.5" customHeight="1">
      <c r="A2767" s="657">
        <f>IF(B2767="",MAX($A$8:A2766)+0,MAX($A$8:A2766)+1)</f>
        <v>324</v>
      </c>
      <c r="B2767" s="835">
        <f>IF(C2767="","",COUNTA($C$10:C2768))</f>
        <v>324</v>
      </c>
      <c r="C2767" s="835">
        <f>IF(D2767="","",1776)</f>
        <v>1776</v>
      </c>
      <c r="D2767" s="362" t="s">
        <v>733</v>
      </c>
      <c r="E2767" s="855" t="s">
        <v>3546</v>
      </c>
      <c r="F2767" s="1049" t="str">
        <f>VLOOKUP(E2767,DICH!B:C,2,FALSE)</f>
        <v>Product casting pipe (taken back) D1500, amor=1.17%*2months+3.5%driving,moving (4/30month/pile*12times=2months, 4days/pile)</v>
      </c>
      <c r="G2767" s="884" t="s">
        <v>4644</v>
      </c>
      <c r="H2767" s="847">
        <f>1.17%*2+3.5%</f>
        <v>5.8400000000000001E-2</v>
      </c>
      <c r="I2767" s="848"/>
      <c r="J2767" s="853"/>
      <c r="K2767" s="842">
        <f>+J2768</f>
        <v>802310.55337456032</v>
      </c>
      <c r="L2767" s="842">
        <f>+J2774</f>
        <v>257000.15</v>
      </c>
      <c r="M2767" s="842">
        <f>+J2775</f>
        <v>68740.386042804661</v>
      </c>
      <c r="N2767" s="843" t="e">
        <f>SUMIF(#REF!,'8.Dgia'!A2767,#REF!)+SUMIF(#REF!,'8.Dgia'!A2767,#REF!)+SUMIF(#REF!,'8.Dgia'!A2767,#REF!)+SUMIF(#REF!,'8.Dgia'!A2767,#REF!)</f>
        <v>#REF!</v>
      </c>
      <c r="O2767" s="844"/>
      <c r="P2767" s="843" t="e">
        <f t="shared" si="115"/>
        <v>#REF!</v>
      </c>
    </row>
    <row r="2768" spans="1:18" ht="15" customHeight="1">
      <c r="A2768" s="657">
        <f>IF(B2768="",MAX($A$8:A2767)+0,MAX($A$8:A2767)+1)</f>
        <v>324</v>
      </c>
      <c r="B2768" s="835" t="str">
        <f>IF(C2768="","",COUNTA($C$10:C2769))</f>
        <v/>
      </c>
      <c r="C2768" s="847"/>
      <c r="D2768" s="362"/>
      <c r="E2768" s="852" t="s">
        <v>2032</v>
      </c>
      <c r="F2768" s="848" t="str">
        <f>VLOOKUP(E2768,DICH!B:C,2,FALSE)</f>
        <v xml:space="preserve">  A - Material</v>
      </c>
      <c r="G2768" s="884"/>
      <c r="H2768" s="847"/>
      <c r="I2768" s="848"/>
      <c r="J2768" s="849">
        <f>SUM(J2769:J2773)</f>
        <v>802310.55337456032</v>
      </c>
      <c r="N2768" s="843" t="e">
        <f>SUMIF(#REF!,'8.Dgia'!A2768,#REF!)+SUMIF(#REF!,'8.Dgia'!A2768,#REF!)+SUMIF(#REF!,'8.Dgia'!A2768,#REF!)+SUMIF(#REF!,'8.Dgia'!A2768,#REF!)</f>
        <v>#REF!</v>
      </c>
      <c r="O2768" s="844"/>
      <c r="P2768" s="843" t="e">
        <f t="shared" si="115"/>
        <v>#REF!</v>
      </c>
    </row>
    <row r="2769" spans="1:18" ht="15" customHeight="1">
      <c r="A2769" s="657">
        <f>IF(B2769="",MAX($A$8:A2768)+0,MAX($A$8:A2768)+1)</f>
        <v>324</v>
      </c>
      <c r="B2769" s="835" t="str">
        <f>IF(C2769="","",COUNTA($C$10:C2770))</f>
        <v/>
      </c>
      <c r="C2769" s="847"/>
      <c r="D2769" s="324"/>
      <c r="E2769" s="852" t="s">
        <v>562</v>
      </c>
      <c r="F2769" s="848" t="str">
        <f>VLOOKUP(E2769,DICH!B:C,2,FALSE)</f>
        <v>Plate steel</v>
      </c>
      <c r="G2769" s="883" t="s">
        <v>558</v>
      </c>
      <c r="H2769" s="859">
        <f>1025*H2767</f>
        <v>59.86</v>
      </c>
      <c r="I2769" s="848">
        <f>VLOOKUP(E2769,'11.gia '!$B:$I,8,FALSE)</f>
        <v>12871.348287272725</v>
      </c>
      <c r="J2769" s="853">
        <f>I2769*H2769</f>
        <v>770478.90847614536</v>
      </c>
      <c r="N2769" s="843" t="e">
        <f>SUMIF(#REF!,'8.Dgia'!A2769,#REF!)+SUMIF(#REF!,'8.Dgia'!A2769,#REF!)+SUMIF(#REF!,'8.Dgia'!A2769,#REF!)+SUMIF(#REF!,'8.Dgia'!A2769,#REF!)</f>
        <v>#REF!</v>
      </c>
      <c r="O2769" s="844">
        <f>+$H$2773</f>
        <v>1.5</v>
      </c>
      <c r="P2769" s="843" t="e">
        <f t="shared" si="115"/>
        <v>#REF!</v>
      </c>
    </row>
    <row r="2770" spans="1:18" ht="15" customHeight="1">
      <c r="A2770" s="657">
        <f>IF(B2770="",MAX($A$8:A2769)+0,MAX($A$8:A2769)+1)</f>
        <v>324</v>
      </c>
      <c r="B2770" s="835" t="str">
        <f>IF(C2770="","",COUNTA($C$10:C2771))</f>
        <v/>
      </c>
      <c r="C2770" s="847"/>
      <c r="D2770" s="362"/>
      <c r="E2770" s="852" t="s">
        <v>564</v>
      </c>
      <c r="F2770" s="848" t="str">
        <f>VLOOKUP(E2770,DICH!B:C,2,FALSE)</f>
        <v>oxygen</v>
      </c>
      <c r="G2770" s="883" t="s">
        <v>4647</v>
      </c>
      <c r="H2770" s="859">
        <f>0.078*H2767</f>
        <v>4.5551999999999997E-3</v>
      </c>
      <c r="I2770" s="848">
        <f>VLOOKUP(E2770,'11.gia '!$B:$I,8,FALSE)</f>
        <v>48000</v>
      </c>
      <c r="J2770" s="853">
        <f>I2770*H2770</f>
        <v>218.64959999999999</v>
      </c>
      <c r="K2770" s="946"/>
      <c r="N2770" s="843" t="e">
        <f>SUMIF(#REF!,'8.Dgia'!A2770,#REF!)+SUMIF(#REF!,'8.Dgia'!A2770,#REF!)+SUMIF(#REF!,'8.Dgia'!A2770,#REF!)+SUMIF(#REF!,'8.Dgia'!A2770,#REF!)</f>
        <v>#REF!</v>
      </c>
      <c r="O2770" s="844">
        <f>+$H$2773</f>
        <v>1.5</v>
      </c>
      <c r="P2770" s="843" t="e">
        <f t="shared" si="115"/>
        <v>#REF!</v>
      </c>
    </row>
    <row r="2771" spans="1:18" ht="15" customHeight="1">
      <c r="A2771" s="657">
        <f>IF(B2771="",MAX($A$8:A2770)+0,MAX($A$8:A2770)+1)</f>
        <v>324</v>
      </c>
      <c r="B2771" s="835" t="str">
        <f>IF(C2771="","",COUNTA($C$10:C2772))</f>
        <v/>
      </c>
      <c r="C2771" s="847"/>
      <c r="D2771" s="362"/>
      <c r="E2771" s="852" t="s">
        <v>566</v>
      </c>
      <c r="F2771" s="848" t="str">
        <f>VLOOKUP(E2771,DICH!B:C,2,FALSE)</f>
        <v>Calcium carbide</v>
      </c>
      <c r="G2771" s="883" t="s">
        <v>558</v>
      </c>
      <c r="H2771" s="859">
        <f>0.3*H2767</f>
        <v>1.7520000000000001E-2</v>
      </c>
      <c r="I2771" s="848">
        <f>VLOOKUP(E2771,'11.gia '!$B:$I,8,FALSE)</f>
        <v>14000</v>
      </c>
      <c r="J2771" s="853">
        <f>I2771*H2771</f>
        <v>245.28</v>
      </c>
      <c r="N2771" s="843" t="e">
        <f>SUMIF(#REF!,'8.Dgia'!A2771,#REF!)+SUMIF(#REF!,'8.Dgia'!A2771,#REF!)+SUMIF(#REF!,'8.Dgia'!A2771,#REF!)+SUMIF(#REF!,'8.Dgia'!A2771,#REF!)</f>
        <v>#REF!</v>
      </c>
      <c r="O2771" s="844">
        <f>+$H$2773</f>
        <v>1.5</v>
      </c>
      <c r="P2771" s="843" t="e">
        <f t="shared" si="115"/>
        <v>#REF!</v>
      </c>
    </row>
    <row r="2772" spans="1:18" ht="15" customHeight="1">
      <c r="A2772" s="657">
        <f>IF(B2772="",MAX($A$8:A2771)+0,MAX($A$8:A2771)+1)</f>
        <v>324</v>
      </c>
      <c r="B2772" s="835" t="str">
        <f>IF(C2772="","",COUNTA($C$10:C2773))</f>
        <v/>
      </c>
      <c r="C2772" s="847"/>
      <c r="D2772" s="362"/>
      <c r="E2772" s="852" t="s">
        <v>559</v>
      </c>
      <c r="F2772" s="848" t="str">
        <f>VLOOKUP(E2772,DICH!B:C,2,FALSE)</f>
        <v>welding electrode</v>
      </c>
      <c r="G2772" s="883" t="s">
        <v>558</v>
      </c>
      <c r="H2772" s="859">
        <f>17.5*H2767</f>
        <v>1.022</v>
      </c>
      <c r="I2772" s="848">
        <f>VLOOKUP(E2772,'11.gia '!$B:$I,8,FALSE)</f>
        <v>19090.909090909088</v>
      </c>
      <c r="J2772" s="853">
        <f>I2772*H2772</f>
        <v>19510.909090909088</v>
      </c>
      <c r="N2772" s="843" t="e">
        <f>SUMIF(#REF!,'8.Dgia'!A2772,#REF!)+SUMIF(#REF!,'8.Dgia'!A2772,#REF!)+SUMIF(#REF!,'8.Dgia'!A2772,#REF!)+SUMIF(#REF!,'8.Dgia'!A2772,#REF!)</f>
        <v>#REF!</v>
      </c>
      <c r="O2772" s="844">
        <f>+$H$2773</f>
        <v>1.5</v>
      </c>
      <c r="P2772" s="843" t="e">
        <f t="shared" si="115"/>
        <v>#REF!</v>
      </c>
    </row>
    <row r="2773" spans="1:18" ht="15" customHeight="1">
      <c r="A2773" s="657">
        <f>IF(B2773="",MAX($A$8:A2772)+0,MAX($A$8:A2772)+1)</f>
        <v>324</v>
      </c>
      <c r="B2773" s="835" t="str">
        <f>IF(C2773="","",COUNTA($C$10:C2774))</f>
        <v/>
      </c>
      <c r="C2773" s="847"/>
      <c r="D2773" s="362"/>
      <c r="E2773" s="852" t="s">
        <v>555</v>
      </c>
      <c r="F2773" s="848" t="str">
        <f>VLOOKUP(E2773,DICH!B:C,2,FALSE)</f>
        <v>Other material</v>
      </c>
      <c r="G2773" s="362" t="s">
        <v>554</v>
      </c>
      <c r="H2773" s="847">
        <v>1.5</v>
      </c>
      <c r="I2773" s="848">
        <f>SUM(J2769:J2772)</f>
        <v>790453.74716705445</v>
      </c>
      <c r="J2773" s="853">
        <f>I2773*H2773%</f>
        <v>11856.806207505817</v>
      </c>
      <c r="N2773" s="843" t="e">
        <f>SUMIF(#REF!,'8.Dgia'!A2773,#REF!)+SUMIF(#REF!,'8.Dgia'!A2773,#REF!)+SUMIF(#REF!,'8.Dgia'!A2773,#REF!)+SUMIF(#REF!,'8.Dgia'!A2773,#REF!)</f>
        <v>#REF!</v>
      </c>
      <c r="O2773" s="844"/>
      <c r="P2773" s="843" t="e">
        <f t="shared" si="115"/>
        <v>#REF!</v>
      </c>
    </row>
    <row r="2774" spans="1:18" ht="15" customHeight="1">
      <c r="A2774" s="657">
        <f>IF(B2774="",MAX($A$8:A2773)+0,MAX($A$8:A2773)+1)</f>
        <v>324</v>
      </c>
      <c r="B2774" s="835" t="str">
        <f>IF(C2774="","",COUNTA($C$10:C2775))</f>
        <v/>
      </c>
      <c r="C2774" s="847"/>
      <c r="D2774" s="362"/>
      <c r="E2774" s="852" t="s">
        <v>2040</v>
      </c>
      <c r="F2774" s="848" t="str">
        <f>VLOOKUP(E2774,DICH!B:C,2,FALSE)</f>
        <v xml:space="preserve">  B - Labour 4.5/7</v>
      </c>
      <c r="G2774" s="883" t="s">
        <v>4899</v>
      </c>
      <c r="H2774" s="859">
        <f>18.5*H2769/1025</f>
        <v>1.0804</v>
      </c>
      <c r="I2774" s="848">
        <f>VLOOKUP(E2774,'16.NC'!$C$11:$F$22,4,FALSE)</f>
        <v>237875</v>
      </c>
      <c r="J2774" s="849">
        <f>I2774*H2774</f>
        <v>257000.15</v>
      </c>
      <c r="N2774" s="843" t="e">
        <f>SUMIF(#REF!,'8.Dgia'!A2774,#REF!)+SUMIF(#REF!,'8.Dgia'!A2774,#REF!)+SUMIF(#REF!,'8.Dgia'!A2774,#REF!)+SUMIF(#REF!,'8.Dgia'!A2774,#REF!)</f>
        <v>#REF!</v>
      </c>
      <c r="O2774" s="844"/>
      <c r="P2774" s="843" t="e">
        <f t="shared" si="115"/>
        <v>#REF!</v>
      </c>
      <c r="R2774" s="658">
        <v>1</v>
      </c>
    </row>
    <row r="2775" spans="1:18" ht="15" customHeight="1">
      <c r="A2775" s="657">
        <f>IF(B2775="",MAX($A$8:A2774)+0,MAX($A$8:A2774)+1)</f>
        <v>324</v>
      </c>
      <c r="B2775" s="835" t="str">
        <f>IF(C2775="","",COUNTA($C$10:C2776))</f>
        <v/>
      </c>
      <c r="C2775" s="847"/>
      <c r="D2775" s="362"/>
      <c r="E2775" s="852" t="s">
        <v>2033</v>
      </c>
      <c r="F2775" s="848" t="str">
        <f>VLOOKUP(E2775,DICH!B:C,2,FALSE)</f>
        <v xml:space="preserve">  C - Machine</v>
      </c>
      <c r="G2775" s="883"/>
      <c r="H2775" s="859"/>
      <c r="I2775" s="848"/>
      <c r="J2775" s="849">
        <f>SUM(J2776:J2779)</f>
        <v>68740.386042804661</v>
      </c>
      <c r="N2775" s="843" t="e">
        <f>SUMIF(#REF!,'8.Dgia'!A2775,#REF!)+SUMIF(#REF!,'8.Dgia'!A2775,#REF!)+SUMIF(#REF!,'8.Dgia'!A2775,#REF!)+SUMIF(#REF!,'8.Dgia'!A2775,#REF!)</f>
        <v>#REF!</v>
      </c>
      <c r="O2775" s="844"/>
      <c r="P2775" s="843" t="e">
        <f t="shared" si="115"/>
        <v>#REF!</v>
      </c>
    </row>
    <row r="2776" spans="1:18" ht="15" customHeight="1">
      <c r="A2776" s="657">
        <f>IF(B2776="",MAX($A$8:A2775)+0,MAX($A$8:A2775)+1)</f>
        <v>324</v>
      </c>
      <c r="B2776" s="835" t="str">
        <f>IF(C2776="","",COUNTA($C$10:C2777))</f>
        <v/>
      </c>
      <c r="C2776" s="847"/>
      <c r="D2776" s="362"/>
      <c r="E2776" s="852" t="s">
        <v>560</v>
      </c>
      <c r="F2776" s="848" t="str">
        <f>VLOOKUP(E2776,'9.may'!E:F,2,FALSE)</f>
        <v>welding machine 23kW</v>
      </c>
      <c r="G2776" s="883" t="s">
        <v>4902</v>
      </c>
      <c r="H2776" s="859">
        <f>3.2*H2767</f>
        <v>0.18688000000000002</v>
      </c>
      <c r="I2776" s="848">
        <f>VLOOKUP(E2776,'9.may'!E:W,12,FALSE)</f>
        <v>171649.155</v>
      </c>
      <c r="J2776" s="853">
        <f>I2776*H2776</f>
        <v>32077.794086400005</v>
      </c>
      <c r="N2776" s="843" t="e">
        <f>SUMIF(#REF!,'8.Dgia'!A2776,#REF!)+SUMIF(#REF!,'8.Dgia'!A2776,#REF!)+SUMIF(#REF!,'8.Dgia'!A2776,#REF!)+SUMIF(#REF!,'8.Dgia'!A2776,#REF!)</f>
        <v>#REF!</v>
      </c>
      <c r="O2776" s="844">
        <f>+$H$2779</f>
        <v>1</v>
      </c>
      <c r="P2776" s="843" t="e">
        <f t="shared" si="115"/>
        <v>#REF!</v>
      </c>
    </row>
    <row r="2777" spans="1:18" ht="15" customHeight="1">
      <c r="A2777" s="657">
        <f>IF(B2777="",MAX($A$8:A2776)+0,MAX($A$8:A2776)+1)</f>
        <v>324</v>
      </c>
      <c r="B2777" s="835" t="str">
        <f>IF(C2777="","",COUNTA($C$10:C2778))</f>
        <v/>
      </c>
      <c r="C2777" s="847"/>
      <c r="D2777" s="362"/>
      <c r="E2777" s="852" t="s">
        <v>1412</v>
      </c>
      <c r="F2777" s="848" t="str">
        <f>VLOOKUP(E2777,'9.may'!E:F,2,FALSE)</f>
        <v>plate roll bending machine 2.8kW</v>
      </c>
      <c r="G2777" s="883" t="s">
        <v>4902</v>
      </c>
      <c r="H2777" s="859">
        <f>0.5*H2767</f>
        <v>2.92E-2</v>
      </c>
      <c r="I2777" s="848">
        <f>VLOOKUP(E2777,'9.may'!E:W,12,FALSE)</f>
        <v>82106.406000000003</v>
      </c>
      <c r="J2777" s="853">
        <f>I2777*H2777</f>
        <v>2397.5070552000002</v>
      </c>
      <c r="N2777" s="843" t="e">
        <f>SUMIF(#REF!,'8.Dgia'!A2777,#REF!)+SUMIF(#REF!,'8.Dgia'!A2777,#REF!)+SUMIF(#REF!,'8.Dgia'!A2777,#REF!)+SUMIF(#REF!,'8.Dgia'!A2777,#REF!)</f>
        <v>#REF!</v>
      </c>
      <c r="O2777" s="844">
        <f>+$H$2779</f>
        <v>1</v>
      </c>
      <c r="P2777" s="843" t="e">
        <f t="shared" si="115"/>
        <v>#REF!</v>
      </c>
    </row>
    <row r="2778" spans="1:18" ht="15" customHeight="1">
      <c r="A2778" s="657">
        <f>IF(B2778="",MAX($A$8:A2777)+0,MAX($A$8:A2777)+1)</f>
        <v>324</v>
      </c>
      <c r="B2778" s="835" t="str">
        <f>IF(C2778="","",COUNTA($C$10:C2779))</f>
        <v/>
      </c>
      <c r="C2778" s="847"/>
      <c r="D2778" s="362"/>
      <c r="E2778" s="852" t="s">
        <v>287</v>
      </c>
      <c r="F2778" s="848" t="str">
        <f>VLOOKUP(E2778,'9.may'!E:F,2,FALSE)</f>
        <v>caterpillar crane 16T</v>
      </c>
      <c r="G2778" s="883" t="s">
        <v>4902</v>
      </c>
      <c r="H2778" s="859">
        <f>0.27*H2769/1025</f>
        <v>1.5768000000000001E-2</v>
      </c>
      <c r="I2778" s="848">
        <f>VLOOKUP(E2778,'9.may'!E:W,12,FALSE)</f>
        <v>2129914.1945454543</v>
      </c>
      <c r="J2778" s="853">
        <f>I2778*H2778</f>
        <v>33584.487019592729</v>
      </c>
      <c r="N2778" s="843" t="e">
        <f>SUMIF(#REF!,'8.Dgia'!A2778,#REF!)+SUMIF(#REF!,'8.Dgia'!A2778,#REF!)+SUMIF(#REF!,'8.Dgia'!A2778,#REF!)+SUMIF(#REF!,'8.Dgia'!A2778,#REF!)</f>
        <v>#REF!</v>
      </c>
      <c r="O2778" s="844">
        <f>+$H$2779</f>
        <v>1</v>
      </c>
      <c r="P2778" s="843" t="e">
        <f t="shared" si="115"/>
        <v>#REF!</v>
      </c>
    </row>
    <row r="2779" spans="1:18" ht="15" customHeight="1">
      <c r="A2779" s="657">
        <f>IF(B2779="",MAX($A$8:A2778)+0,MAX($A$8:A2778)+1)</f>
        <v>324</v>
      </c>
      <c r="B2779" s="835" t="str">
        <f>IF(C2779="","",COUNTA($C$10:C2780))</f>
        <v/>
      </c>
      <c r="C2779" s="847"/>
      <c r="D2779" s="362"/>
      <c r="E2779" s="852" t="s">
        <v>553</v>
      </c>
      <c r="F2779" s="848" t="str">
        <f>VLOOKUP(E2779,DICH!B:C,2,FALSE)</f>
        <v>Other machine</v>
      </c>
      <c r="G2779" s="362" t="s">
        <v>554</v>
      </c>
      <c r="H2779" s="847">
        <v>1</v>
      </c>
      <c r="I2779" s="848">
        <f>SUM(J2776:J2778)</f>
        <v>68059.78816119273</v>
      </c>
      <c r="J2779" s="853">
        <f>I2779*H2779%</f>
        <v>680.59788161192728</v>
      </c>
      <c r="N2779" s="843" t="e">
        <f>SUMIF(#REF!,'8.Dgia'!A2779,#REF!)+SUMIF(#REF!,'8.Dgia'!A2779,#REF!)+SUMIF(#REF!,'8.Dgia'!A2779,#REF!)+SUMIF(#REF!,'8.Dgia'!A2779,#REF!)</f>
        <v>#REF!</v>
      </c>
      <c r="O2779" s="844"/>
      <c r="P2779" s="843" t="e">
        <f t="shared" si="115"/>
        <v>#REF!</v>
      </c>
    </row>
    <row r="2780" spans="1:18" ht="31.5" customHeight="1">
      <c r="A2780" s="657">
        <f>IF(B2780="",MAX($A$8:A2779)+0,MAX($A$8:A2779)+1)</f>
        <v>325</v>
      </c>
      <c r="B2780" s="835">
        <f>IF(C2780="","",COUNTA($C$10:C2781))</f>
        <v>325</v>
      </c>
      <c r="C2780" s="835">
        <f>IF(D2780="","",1776)</f>
        <v>1776</v>
      </c>
      <c r="D2780" s="851" t="s">
        <v>443</v>
      </c>
      <c r="E2780" s="855" t="s">
        <v>5563</v>
      </c>
      <c r="F2780" s="1049" t="s">
        <v>5562</v>
      </c>
      <c r="G2780" s="856" t="s">
        <v>546</v>
      </c>
      <c r="H2780" s="847"/>
      <c r="I2780" s="848"/>
      <c r="J2780" s="853"/>
      <c r="K2780" s="842">
        <f>+J2781</f>
        <v>11931595.829632185</v>
      </c>
      <c r="N2780" s="843" t="e">
        <f>SUMIF(#REF!,'8.Dgia'!A2780,#REF!)+SUMIF(#REF!,'8.Dgia'!A2780,#REF!)+SUMIF(#REF!,'8.Dgia'!A2780,#REF!)+SUMIF(#REF!,'8.Dgia'!A2780,#REF!)</f>
        <v>#REF!</v>
      </c>
      <c r="O2780" s="844"/>
      <c r="P2780" s="843" t="e">
        <f t="shared" si="115"/>
        <v>#REF!</v>
      </c>
    </row>
    <row r="2781" spans="1:18" s="658" customFormat="1" ht="15" customHeight="1">
      <c r="A2781" s="657">
        <f>IF(B2781="",MAX($A$8:A2780)+0,MAX($A$8:A2780)+1)</f>
        <v>325</v>
      </c>
      <c r="B2781" s="835" t="str">
        <f>IF(C2781="","",COUNTA($C$10:C2782))</f>
        <v/>
      </c>
      <c r="C2781" s="362"/>
      <c r="D2781" s="845"/>
      <c r="E2781" s="852" t="s">
        <v>2032</v>
      </c>
      <c r="F2781" s="848" t="str">
        <f>VLOOKUP(E2781,DICH!B:C,2,FALSE)</f>
        <v xml:space="preserve">  A - Material</v>
      </c>
      <c r="G2781" s="846"/>
      <c r="H2781" s="847"/>
      <c r="I2781" s="848"/>
      <c r="J2781" s="849">
        <f>SUM(J2782:J2783)</f>
        <v>11931595.829632185</v>
      </c>
      <c r="K2781" s="850"/>
      <c r="L2781" s="850"/>
      <c r="M2781" s="850"/>
      <c r="N2781" s="843" t="e">
        <f>SUMIF(#REF!,'8.Dgia'!A2781,#REF!)+SUMIF(#REF!,'8.Dgia'!A2781,#REF!)+SUMIF(#REF!,'8.Dgia'!A2781,#REF!)+SUMIF(#REF!,'8.Dgia'!A2781,#REF!)</f>
        <v>#REF!</v>
      </c>
      <c r="O2781" s="844"/>
      <c r="P2781" s="843" t="e">
        <f t="shared" si="115"/>
        <v>#REF!</v>
      </c>
    </row>
    <row r="2782" spans="1:18" ht="15" customHeight="1">
      <c r="A2782" s="657">
        <f>IF(B2782="",MAX($A$8:A2781)+0,MAX($A$8:A2781)+1)</f>
        <v>325</v>
      </c>
      <c r="B2782" s="835" t="str">
        <f>IF(C2782="","",COUNTA($C$10:C2783))</f>
        <v/>
      </c>
      <c r="C2782" s="362"/>
      <c r="D2782" s="851"/>
      <c r="E2782" s="852" t="s">
        <v>638</v>
      </c>
      <c r="F2782" s="848" t="str">
        <f>VLOOKUP(E2782,DICH!B:C,2,FALSE)</f>
        <v>Steel sheet stake</v>
      </c>
      <c r="G2782" s="362" t="s">
        <v>628</v>
      </c>
      <c r="H2782" s="847">
        <f>100*(1.17%*1+3.5%)*2</f>
        <v>9.3400000000000016</v>
      </c>
      <c r="I2782" s="848">
        <f>VLOOKUP(E2782,'11.gia '!$B:$I,8,FALSE)</f>
        <v>1271117.2008940505</v>
      </c>
      <c r="J2782" s="853">
        <f>I2782*H2782</f>
        <v>11872234.656350434</v>
      </c>
      <c r="N2782" s="843" t="e">
        <f>SUMIF(#REF!,'8.Dgia'!A2782,#REF!)+SUMIF(#REF!,'8.Dgia'!A2782,#REF!)+SUMIF(#REF!,'8.Dgia'!A2782,#REF!)+SUMIF(#REF!,'8.Dgia'!A2782,#REF!)</f>
        <v>#REF!</v>
      </c>
      <c r="O2782" s="844">
        <f>+$H$2783</f>
        <v>0.5</v>
      </c>
      <c r="P2782" s="843" t="e">
        <f t="shared" si="115"/>
        <v>#REF!</v>
      </c>
    </row>
    <row r="2783" spans="1:18" ht="15" customHeight="1">
      <c r="A2783" s="657">
        <f>IF(B2783="",MAX($A$8:A2782)+0,MAX($A$8:A2782)+1)</f>
        <v>325</v>
      </c>
      <c r="B2783" s="835" t="str">
        <f>IF(C2783="","",COUNTA($C$10:C2784))</f>
        <v/>
      </c>
      <c r="C2783" s="362"/>
      <c r="D2783" s="851"/>
      <c r="E2783" s="852" t="s">
        <v>555</v>
      </c>
      <c r="F2783" s="848" t="str">
        <f>VLOOKUP(E2783,DICH!B:C,2,FALSE)</f>
        <v>Other material</v>
      </c>
      <c r="G2783" s="362" t="s">
        <v>554</v>
      </c>
      <c r="H2783" s="847">
        <v>0.5</v>
      </c>
      <c r="I2783" s="848">
        <f>J2782</f>
        <v>11872234.656350434</v>
      </c>
      <c r="J2783" s="853">
        <f>I2783*H2783%</f>
        <v>59361.17328175217</v>
      </c>
      <c r="N2783" s="843" t="e">
        <f>SUMIF(#REF!,'8.Dgia'!A2783,#REF!)+SUMIF(#REF!,'8.Dgia'!A2783,#REF!)+SUMIF(#REF!,'8.Dgia'!A2783,#REF!)+SUMIF(#REF!,'8.Dgia'!A2783,#REF!)</f>
        <v>#REF!</v>
      </c>
      <c r="O2783" s="844"/>
      <c r="P2783" s="843" t="e">
        <f t="shared" si="115"/>
        <v>#REF!</v>
      </c>
    </row>
    <row r="2784" spans="1:18" ht="31.5" customHeight="1">
      <c r="A2784" s="657">
        <f>IF(B2784="",MAX($A$8:A2783)+0,MAX($A$8:A2783)+1)</f>
        <v>326</v>
      </c>
      <c r="B2784" s="835">
        <f>IF(C2784="","",COUNTA($C$10:C2785))</f>
        <v>326</v>
      </c>
      <c r="C2784" s="835">
        <f>IF(D2784="","",1776)</f>
        <v>1776</v>
      </c>
      <c r="D2784" s="851" t="s">
        <v>443</v>
      </c>
      <c r="E2784" s="855" t="s">
        <v>5213</v>
      </c>
      <c r="F2784" s="1049" t="str">
        <f>VLOOKUP(E2784,DICH!B:C,2,FALSE)</f>
        <v>Sheet pile L=8m, amor=1.17%*1 months +3.5%</v>
      </c>
      <c r="G2784" s="856" t="s">
        <v>546</v>
      </c>
      <c r="H2784" s="847"/>
      <c r="I2784" s="848"/>
      <c r="J2784" s="853"/>
      <c r="K2784" s="842">
        <f>+J2785</f>
        <v>5965797.9148160927</v>
      </c>
      <c r="N2784" s="843" t="e">
        <f>SUMIF(#REF!,'8.Dgia'!A2784,#REF!)+SUMIF(#REF!,'8.Dgia'!A2784,#REF!)+SUMIF(#REF!,'8.Dgia'!A2784,#REF!)+SUMIF(#REF!,'8.Dgia'!A2784,#REF!)</f>
        <v>#REF!</v>
      </c>
      <c r="O2784" s="844"/>
      <c r="P2784" s="843" t="e">
        <f>$H2784*N2784*(1+O2784%)</f>
        <v>#REF!</v>
      </c>
    </row>
    <row r="2785" spans="1:18" s="658" customFormat="1" ht="15" customHeight="1">
      <c r="A2785" s="657">
        <f>IF(B2785="",MAX($A$8:A2784)+0,MAX($A$8:A2784)+1)</f>
        <v>326</v>
      </c>
      <c r="B2785" s="835" t="str">
        <f>IF(C2785="","",COUNTA($C$10:C2786))</f>
        <v/>
      </c>
      <c r="C2785" s="362"/>
      <c r="D2785" s="845"/>
      <c r="E2785" s="852" t="s">
        <v>2032</v>
      </c>
      <c r="F2785" s="848" t="str">
        <f>VLOOKUP(E2785,DICH!B:C,2,FALSE)</f>
        <v xml:space="preserve">  A - Material</v>
      </c>
      <c r="G2785" s="846"/>
      <c r="H2785" s="847"/>
      <c r="I2785" s="848"/>
      <c r="J2785" s="849">
        <f>SUM(J2786:J2787)</f>
        <v>5965797.9148160927</v>
      </c>
      <c r="K2785" s="850"/>
      <c r="L2785" s="850"/>
      <c r="M2785" s="850"/>
      <c r="N2785" s="843" t="e">
        <f>SUMIF(#REF!,'8.Dgia'!A2785,#REF!)+SUMIF(#REF!,'8.Dgia'!A2785,#REF!)+SUMIF(#REF!,'8.Dgia'!A2785,#REF!)+SUMIF(#REF!,'8.Dgia'!A2785,#REF!)</f>
        <v>#REF!</v>
      </c>
      <c r="O2785" s="844"/>
      <c r="P2785" s="843" t="e">
        <f>$H2785*N2785*(1+O2785%)</f>
        <v>#REF!</v>
      </c>
    </row>
    <row r="2786" spans="1:18" ht="15" customHeight="1">
      <c r="A2786" s="657">
        <f>IF(B2786="",MAX($A$8:A2785)+0,MAX($A$8:A2785)+1)</f>
        <v>326</v>
      </c>
      <c r="B2786" s="835" t="str">
        <f>IF(C2786="","",COUNTA($C$10:C2787))</f>
        <v/>
      </c>
      <c r="C2786" s="362"/>
      <c r="D2786" s="851"/>
      <c r="E2786" s="852" t="s">
        <v>638</v>
      </c>
      <c r="F2786" s="848" t="str">
        <f>VLOOKUP(E2786,DICH!B:C,2,FALSE)</f>
        <v>Steel sheet stake</v>
      </c>
      <c r="G2786" s="362" t="s">
        <v>628</v>
      </c>
      <c r="H2786" s="847">
        <f>100*(1.17%*1+3.5%)*1</f>
        <v>4.6700000000000008</v>
      </c>
      <c r="I2786" s="848">
        <f>VLOOKUP(E2786,'11.gia '!$B:$I,8,FALSE)</f>
        <v>1271117.2008940505</v>
      </c>
      <c r="J2786" s="853">
        <f>I2786*H2786</f>
        <v>5936117.3281752169</v>
      </c>
      <c r="N2786" s="843" t="e">
        <f>SUMIF(#REF!,'8.Dgia'!A2786,#REF!)+SUMIF(#REF!,'8.Dgia'!A2786,#REF!)+SUMIF(#REF!,'8.Dgia'!A2786,#REF!)+SUMIF(#REF!,'8.Dgia'!A2786,#REF!)</f>
        <v>#REF!</v>
      </c>
      <c r="O2786" s="844">
        <f>+$H$2783</f>
        <v>0.5</v>
      </c>
      <c r="P2786" s="843" t="e">
        <f>$H2786*N2786*(1+O2786%)</f>
        <v>#REF!</v>
      </c>
    </row>
    <row r="2787" spans="1:18" ht="15" customHeight="1">
      <c r="A2787" s="657">
        <f>IF(B2787="",MAX($A$8:A2786)+0,MAX($A$8:A2786)+1)</f>
        <v>326</v>
      </c>
      <c r="B2787" s="835" t="str">
        <f>IF(C2787="","",COUNTA($C$10:C2788))</f>
        <v/>
      </c>
      <c r="C2787" s="362"/>
      <c r="D2787" s="851"/>
      <c r="E2787" s="852" t="s">
        <v>555</v>
      </c>
      <c r="F2787" s="848" t="str">
        <f>VLOOKUP(E2787,DICH!B:C,2,FALSE)</f>
        <v>Other material</v>
      </c>
      <c r="G2787" s="362" t="s">
        <v>554</v>
      </c>
      <c r="H2787" s="847">
        <v>0.5</v>
      </c>
      <c r="I2787" s="848">
        <f>J2786</f>
        <v>5936117.3281752169</v>
      </c>
      <c r="J2787" s="853">
        <f>I2787*H2787%</f>
        <v>29680.586640876085</v>
      </c>
      <c r="N2787" s="843" t="e">
        <f>SUMIF(#REF!,'8.Dgia'!A2787,#REF!)+SUMIF(#REF!,'8.Dgia'!A2787,#REF!)+SUMIF(#REF!,'8.Dgia'!A2787,#REF!)+SUMIF(#REF!,'8.Dgia'!A2787,#REF!)</f>
        <v>#REF!</v>
      </c>
      <c r="O2787" s="844"/>
      <c r="P2787" s="843" t="e">
        <f>$H2787*N2787*(1+O2787%)</f>
        <v>#REF!</v>
      </c>
    </row>
    <row r="2788" spans="1:18" ht="25.5" customHeight="1">
      <c r="A2788" s="657">
        <f>IF(B2788="",MAX($A$8:A2787)+0,MAX($A$8:A2787)+1)</f>
        <v>327</v>
      </c>
      <c r="B2788" s="835">
        <f>IF(C2788="","",COUNTA($C$10:C2789))</f>
        <v>327</v>
      </c>
      <c r="C2788" s="835">
        <f>IF(D2788="","",1776)</f>
        <v>1776</v>
      </c>
      <c r="D2788" s="851" t="s">
        <v>2053</v>
      </c>
      <c r="E2788" s="855" t="s">
        <v>5567</v>
      </c>
      <c r="F2788" s="1049" t="s">
        <v>5568</v>
      </c>
      <c r="G2788" s="856" t="s">
        <v>4644</v>
      </c>
      <c r="H2788" s="847"/>
      <c r="I2788" s="848"/>
      <c r="J2788" s="909"/>
      <c r="K2788" s="842">
        <f>+J2789</f>
        <v>3552683.3320190739</v>
      </c>
      <c r="L2788" s="842">
        <f>+J2796</f>
        <v>4949939.47</v>
      </c>
      <c r="M2788" s="842">
        <f>+J2797</f>
        <v>1271422.0785818181</v>
      </c>
      <c r="N2788" s="843" t="e">
        <f>SUMIF(#REF!,'8.Dgia'!A2788,#REF!)+SUMIF(#REF!,'8.Dgia'!A2788,#REF!)+SUMIF(#REF!,'8.Dgia'!A2788,#REF!)+SUMIF(#REF!,'8.Dgia'!A2788,#REF!)</f>
        <v>#REF!</v>
      </c>
      <c r="O2788" s="844"/>
      <c r="P2788" s="843" t="e">
        <f t="shared" si="115"/>
        <v>#REF!</v>
      </c>
    </row>
    <row r="2789" spans="1:18" ht="15" customHeight="1">
      <c r="A2789" s="657">
        <f>IF(B2789="",MAX($A$8:A2788)+0,MAX($A$8:A2788)+1)</f>
        <v>327</v>
      </c>
      <c r="B2789" s="835" t="str">
        <f>IF(C2789="","",COUNTA($C$10:C2790))</f>
        <v/>
      </c>
      <c r="C2789" s="362"/>
      <c r="D2789" s="851"/>
      <c r="E2789" s="852" t="s">
        <v>2032</v>
      </c>
      <c r="F2789" s="848" t="str">
        <f>VLOOKUP(E2789,DICH!B:C,2,FALSE)</f>
        <v xml:space="preserve">  A - Material</v>
      </c>
      <c r="G2789" s="856"/>
      <c r="H2789" s="847"/>
      <c r="I2789" s="848"/>
      <c r="J2789" s="849">
        <f>SUM(J2790:J2795)</f>
        <v>3552683.3320190739</v>
      </c>
      <c r="N2789" s="843" t="e">
        <f>SUMIF(#REF!,'8.Dgia'!A2789,#REF!)+SUMIF(#REF!,'8.Dgia'!A2789,#REF!)+SUMIF(#REF!,'8.Dgia'!A2789,#REF!)+SUMIF(#REF!,'8.Dgia'!A2789,#REF!)</f>
        <v>#REF!</v>
      </c>
      <c r="O2789" s="844"/>
      <c r="P2789" s="843" t="e">
        <f t="shared" si="115"/>
        <v>#REF!</v>
      </c>
    </row>
    <row r="2790" spans="1:18" ht="15" customHeight="1">
      <c r="A2790" s="657">
        <f>IF(B2790="",MAX($A$8:A2789)+0,MAX($A$8:A2789)+1)</f>
        <v>327</v>
      </c>
      <c r="B2790" s="835" t="str">
        <f>IF(C2790="","",COUNTA($C$10:C2791))</f>
        <v/>
      </c>
      <c r="C2790" s="362"/>
      <c r="D2790" s="851" t="s">
        <v>2255</v>
      </c>
      <c r="E2790" s="852" t="s">
        <v>563</v>
      </c>
      <c r="F2790" s="848" t="str">
        <f>VLOOKUP(E2790,DICH!B:C,2,FALSE)</f>
        <v>Shaped steel</v>
      </c>
      <c r="G2790" s="362" t="s">
        <v>622</v>
      </c>
      <c r="H2790" s="847">
        <f>697.85*(2%*1+7%*2)</f>
        <v>111.65600000000001</v>
      </c>
      <c r="I2790" s="848">
        <f>VLOOKUP(E2790,'11.gia '!$B:$I,8,FALSE)</f>
        <v>16703.248369172808</v>
      </c>
      <c r="J2790" s="853">
        <f>I2790*H2790</f>
        <v>1865017.8999083592</v>
      </c>
      <c r="N2790" s="843" t="e">
        <f>SUMIF(#REF!,'8.Dgia'!A2790,#REF!)+SUMIF(#REF!,'8.Dgia'!A2790,#REF!)+SUMIF(#REF!,'8.Dgia'!A2790,#REF!)+SUMIF(#REF!,'8.Dgia'!A2790,#REF!)</f>
        <v>#REF!</v>
      </c>
      <c r="O2790" s="844">
        <f>+$H$2795</f>
        <v>5</v>
      </c>
      <c r="P2790" s="843" t="e">
        <f t="shared" si="115"/>
        <v>#REF!</v>
      </c>
    </row>
    <row r="2791" spans="1:18" ht="15" customHeight="1">
      <c r="A2791" s="657">
        <f>IF(B2791="",MAX($A$8:A2790)+0,MAX($A$8:A2790)+1)</f>
        <v>327</v>
      </c>
      <c r="B2791" s="835" t="str">
        <f>IF(C2791="","",COUNTA($C$10:C2792))</f>
        <v/>
      </c>
      <c r="C2791" s="362"/>
      <c r="D2791" s="851" t="s">
        <v>2255</v>
      </c>
      <c r="E2791" s="852" t="s">
        <v>562</v>
      </c>
      <c r="F2791" s="848" t="str">
        <f>VLOOKUP(E2791,DICH!B:C,2,FALSE)</f>
        <v>Plate steel</v>
      </c>
      <c r="G2791" s="362" t="s">
        <v>558</v>
      </c>
      <c r="H2791" s="847">
        <f>362.15*(2%*1+7%)*2</f>
        <v>65.186999999999998</v>
      </c>
      <c r="I2791" s="848">
        <f>VLOOKUP(E2791,'11.gia '!$B:$I,8,FALSE)</f>
        <v>12871.348287272725</v>
      </c>
      <c r="J2791" s="853">
        <f>I2791*H2791</f>
        <v>839044.58080244716</v>
      </c>
      <c r="N2791" s="843" t="e">
        <f>SUMIF(#REF!,'8.Dgia'!A2791,#REF!)+SUMIF(#REF!,'8.Dgia'!A2791,#REF!)+SUMIF(#REF!,'8.Dgia'!A2791,#REF!)+SUMIF(#REF!,'8.Dgia'!A2791,#REF!)</f>
        <v>#REF!</v>
      </c>
      <c r="O2791" s="844">
        <f>+$H$2795</f>
        <v>5</v>
      </c>
      <c r="P2791" s="843" t="e">
        <f t="shared" si="115"/>
        <v>#REF!</v>
      </c>
    </row>
    <row r="2792" spans="1:18" ht="15" customHeight="1">
      <c r="A2792" s="657">
        <f>IF(B2792="",MAX($A$8:A2791)+0,MAX($A$8:A2791)+1)</f>
        <v>327</v>
      </c>
      <c r="B2792" s="835" t="str">
        <f>IF(C2792="","",COUNTA($C$10:C2793))</f>
        <v/>
      </c>
      <c r="C2792" s="362"/>
      <c r="D2792" s="851"/>
      <c r="E2792" s="852" t="s">
        <v>559</v>
      </c>
      <c r="F2792" s="848" t="str">
        <f>VLOOKUP(E2792,DICH!B:C,2,FALSE)</f>
        <v>welding electrode</v>
      </c>
      <c r="G2792" s="362" t="s">
        <v>558</v>
      </c>
      <c r="H2792" s="847">
        <v>24.15</v>
      </c>
      <c r="I2792" s="848">
        <f>VLOOKUP(E2792,'11.gia '!$B:$I,8,FALSE)</f>
        <v>19090.909090909088</v>
      </c>
      <c r="J2792" s="853">
        <f>I2792*H2792</f>
        <v>461045.45454545447</v>
      </c>
      <c r="N2792" s="843" t="e">
        <f>SUMIF(#REF!,'8.Dgia'!A2792,#REF!)+SUMIF(#REF!,'8.Dgia'!A2792,#REF!)+SUMIF(#REF!,'8.Dgia'!A2792,#REF!)+SUMIF(#REF!,'8.Dgia'!A2792,#REF!)</f>
        <v>#REF!</v>
      </c>
      <c r="O2792" s="844">
        <f>+$H$2795</f>
        <v>5</v>
      </c>
      <c r="P2792" s="843" t="e">
        <f t="shared" si="115"/>
        <v>#REF!</v>
      </c>
    </row>
    <row r="2793" spans="1:18" ht="15" customHeight="1">
      <c r="A2793" s="657">
        <f>IF(B2793="",MAX($A$8:A2792)+0,MAX($A$8:A2792)+1)</f>
        <v>327</v>
      </c>
      <c r="B2793" s="835" t="str">
        <f>IF(C2793="","",COUNTA($C$10:C2794))</f>
        <v/>
      </c>
      <c r="C2793" s="362"/>
      <c r="D2793" s="851"/>
      <c r="E2793" s="852" t="s">
        <v>564</v>
      </c>
      <c r="F2793" s="848" t="str">
        <f>VLOOKUP(E2793,DICH!B:C,2,FALSE)</f>
        <v>oxygen</v>
      </c>
      <c r="G2793" s="362" t="s">
        <v>4647</v>
      </c>
      <c r="H2793" s="847">
        <v>2.1</v>
      </c>
      <c r="I2793" s="848">
        <f>VLOOKUP(E2793,'11.gia '!$B:$I,8,FALSE)</f>
        <v>48000</v>
      </c>
      <c r="J2793" s="853">
        <f>I2793*H2793</f>
        <v>100800</v>
      </c>
      <c r="N2793" s="843" t="e">
        <f>SUMIF(#REF!,'8.Dgia'!A2793,#REF!)+SUMIF(#REF!,'8.Dgia'!A2793,#REF!)+SUMIF(#REF!,'8.Dgia'!A2793,#REF!)+SUMIF(#REF!,'8.Dgia'!A2793,#REF!)</f>
        <v>#REF!</v>
      </c>
      <c r="O2793" s="844">
        <f>+$H$2795</f>
        <v>5</v>
      </c>
      <c r="P2793" s="843" t="e">
        <f t="shared" si="115"/>
        <v>#REF!</v>
      </c>
    </row>
    <row r="2794" spans="1:18" ht="15" customHeight="1">
      <c r="A2794" s="657">
        <f>IF(B2794="",MAX($A$8:A2793)+0,MAX($A$8:A2793)+1)</f>
        <v>327</v>
      </c>
      <c r="B2794" s="835" t="str">
        <f>IF(C2794="","",COUNTA($C$10:C2795))</f>
        <v/>
      </c>
      <c r="C2794" s="362"/>
      <c r="D2794" s="851"/>
      <c r="E2794" s="852" t="s">
        <v>566</v>
      </c>
      <c r="F2794" s="848" t="str">
        <f>VLOOKUP(E2794,DICH!B:C,2,FALSE)</f>
        <v>Calcium carbide</v>
      </c>
      <c r="G2794" s="362" t="s">
        <v>558</v>
      </c>
      <c r="H2794" s="847">
        <v>8.4</v>
      </c>
      <c r="I2794" s="848">
        <f>VLOOKUP(E2794,'11.gia '!$B:$I,8,FALSE)</f>
        <v>14000</v>
      </c>
      <c r="J2794" s="853">
        <f>I2794*H2794</f>
        <v>117600</v>
      </c>
      <c r="N2794" s="843" t="e">
        <f>SUMIF(#REF!,'8.Dgia'!A2794,#REF!)+SUMIF(#REF!,'8.Dgia'!A2794,#REF!)+SUMIF(#REF!,'8.Dgia'!A2794,#REF!)+SUMIF(#REF!,'8.Dgia'!A2794,#REF!)</f>
        <v>#REF!</v>
      </c>
      <c r="O2794" s="844">
        <f>+$H$2795</f>
        <v>5</v>
      </c>
      <c r="P2794" s="843" t="e">
        <f t="shared" si="115"/>
        <v>#REF!</v>
      </c>
    </row>
    <row r="2795" spans="1:18" ht="15" customHeight="1">
      <c r="A2795" s="657">
        <f>IF(B2795="",MAX($A$8:A2794)+0,MAX($A$8:A2794)+1)</f>
        <v>327</v>
      </c>
      <c r="B2795" s="835" t="str">
        <f>IF(C2795="","",COUNTA($C$10:C2796))</f>
        <v/>
      </c>
      <c r="C2795" s="362"/>
      <c r="D2795" s="851"/>
      <c r="E2795" s="852" t="s">
        <v>555</v>
      </c>
      <c r="F2795" s="848" t="str">
        <f>VLOOKUP(E2795,DICH!B:C,2,FALSE)</f>
        <v>Other material</v>
      </c>
      <c r="G2795" s="362" t="s">
        <v>554</v>
      </c>
      <c r="H2795" s="847">
        <v>5</v>
      </c>
      <c r="I2795" s="848">
        <f>SUM(J2790:J2794)</f>
        <v>3383507.9352562609</v>
      </c>
      <c r="J2795" s="853">
        <f>I2795*H2795%</f>
        <v>169175.39676281306</v>
      </c>
      <c r="N2795" s="843" t="e">
        <f>SUMIF(#REF!,'8.Dgia'!A2795,#REF!)+SUMIF(#REF!,'8.Dgia'!A2795,#REF!)+SUMIF(#REF!,'8.Dgia'!A2795,#REF!)+SUMIF(#REF!,'8.Dgia'!A2795,#REF!)</f>
        <v>#REF!</v>
      </c>
      <c r="O2795" s="844"/>
      <c r="P2795" s="843" t="e">
        <f t="shared" si="115"/>
        <v>#REF!</v>
      </c>
    </row>
    <row r="2796" spans="1:18" ht="15" customHeight="1">
      <c r="A2796" s="657">
        <f>IF(B2796="",MAX($A$8:A2795)+0,MAX($A$8:A2795)+1)</f>
        <v>327</v>
      </c>
      <c r="B2796" s="835" t="str">
        <f>IF(C2796="","",COUNTA($C$10:C2797))</f>
        <v/>
      </c>
      <c r="C2796" s="362"/>
      <c r="D2796" s="851"/>
      <c r="E2796" s="852" t="s">
        <v>2039</v>
      </c>
      <c r="F2796" s="848" t="str">
        <f>VLOOKUP(E2796,DICH!B:C,2,FALSE)</f>
        <v xml:space="preserve">  B - Labour 4.0/7</v>
      </c>
      <c r="G2796" s="362" t="s">
        <v>4899</v>
      </c>
      <c r="H2796" s="847">
        <f>22.61</f>
        <v>22.61</v>
      </c>
      <c r="I2796" s="848">
        <f>VLOOKUP(E2796,'16.NC'!$C$11:$F$22,4,FALSE)</f>
        <v>218927</v>
      </c>
      <c r="J2796" s="849">
        <f>I2796*H2796</f>
        <v>4949939.47</v>
      </c>
      <c r="N2796" s="843" t="e">
        <f>SUMIF(#REF!,'8.Dgia'!A2796,#REF!)+SUMIF(#REF!,'8.Dgia'!A2796,#REF!)+SUMIF(#REF!,'8.Dgia'!A2796,#REF!)+SUMIF(#REF!,'8.Dgia'!A2796,#REF!)</f>
        <v>#REF!</v>
      </c>
      <c r="O2796" s="844"/>
      <c r="P2796" s="843" t="e">
        <f t="shared" si="115"/>
        <v>#REF!</v>
      </c>
      <c r="R2796" s="658">
        <v>1</v>
      </c>
    </row>
    <row r="2797" spans="1:18" ht="15" customHeight="1">
      <c r="A2797" s="657">
        <f>IF(B2797="",MAX($A$8:A2796)+0,MAX($A$8:A2796)+1)</f>
        <v>327</v>
      </c>
      <c r="B2797" s="835" t="str">
        <f>IF(C2797="","",COUNTA($C$10:C2798))</f>
        <v/>
      </c>
      <c r="C2797" s="362"/>
      <c r="D2797" s="851"/>
      <c r="E2797" s="852" t="s">
        <v>2033</v>
      </c>
      <c r="F2797" s="848" t="str">
        <f>VLOOKUP(E2797,DICH!B:C,2,FALSE)</f>
        <v xml:space="preserve">  C - Machine</v>
      </c>
      <c r="G2797" s="362"/>
      <c r="H2797" s="847"/>
      <c r="I2797" s="848"/>
      <c r="J2797" s="849">
        <f>SUM(J2798:J2800)</f>
        <v>1271422.0785818181</v>
      </c>
      <c r="N2797" s="843" t="e">
        <f>SUMIF(#REF!,'8.Dgia'!A2797,#REF!)+SUMIF(#REF!,'8.Dgia'!A2797,#REF!)+SUMIF(#REF!,'8.Dgia'!A2797,#REF!)+SUMIF(#REF!,'8.Dgia'!A2797,#REF!)</f>
        <v>#REF!</v>
      </c>
      <c r="O2797" s="844"/>
      <c r="P2797" s="843" t="e">
        <f t="shared" si="115"/>
        <v>#REF!</v>
      </c>
    </row>
    <row r="2798" spans="1:18" ht="15" customHeight="1">
      <c r="A2798" s="657">
        <f>IF(B2798="",MAX($A$8:A2797)+0,MAX($A$8:A2797)+1)</f>
        <v>327</v>
      </c>
      <c r="B2798" s="835" t="str">
        <f>IF(C2798="","",COUNTA($C$10:C2799))</f>
        <v/>
      </c>
      <c r="C2798" s="362"/>
      <c r="D2798" s="851"/>
      <c r="E2798" s="852" t="s">
        <v>560</v>
      </c>
      <c r="F2798" s="848" t="str">
        <f>VLOOKUP(E2798,'9.may'!E:F,2,FALSE)</f>
        <v>welding machine 23kW</v>
      </c>
      <c r="G2798" s="362" t="s">
        <v>4902</v>
      </c>
      <c r="H2798" s="847">
        <f>4.6</f>
        <v>4.5999999999999996</v>
      </c>
      <c r="I2798" s="848">
        <f>VLOOKUP(E2798,'9.may'!E:W,12,FALSE)</f>
        <v>171649.155</v>
      </c>
      <c r="J2798" s="853">
        <f>I2798*H2798</f>
        <v>789586.1129999999</v>
      </c>
      <c r="N2798" s="843" t="e">
        <f>SUMIF(#REF!,'8.Dgia'!A2798,#REF!)+SUMIF(#REF!,'8.Dgia'!A2798,#REF!)+SUMIF(#REF!,'8.Dgia'!A2798,#REF!)+SUMIF(#REF!,'8.Dgia'!A2798,#REF!)</f>
        <v>#REF!</v>
      </c>
      <c r="O2798" s="844"/>
      <c r="P2798" s="843" t="e">
        <f t="shared" si="115"/>
        <v>#REF!</v>
      </c>
    </row>
    <row r="2799" spans="1:18" ht="15" customHeight="1">
      <c r="A2799" s="657">
        <f>IF(B2799="",MAX($A$8:A2798)+0,MAX($A$8:A2798)+1)</f>
        <v>327</v>
      </c>
      <c r="B2799" s="835" t="str">
        <f>IF(C2799="","",COUNTA($C$10:C2800))</f>
        <v/>
      </c>
      <c r="C2799" s="362"/>
      <c r="D2799" s="851"/>
      <c r="E2799" s="852" t="s">
        <v>1417</v>
      </c>
      <c r="F2799" s="848" t="str">
        <f>VLOOKUP(E2799,'9.may'!E:F,2,FALSE)</f>
        <v>Cutting machine 15Kw</v>
      </c>
      <c r="G2799" s="362" t="s">
        <v>4902</v>
      </c>
      <c r="H2799" s="847">
        <f>0.4</f>
        <v>0.4</v>
      </c>
      <c r="I2799" s="848">
        <f>VLOOKUP(E2799,'9.may'!E:W,12,FALSE)</f>
        <v>204698.78999999998</v>
      </c>
      <c r="J2799" s="853">
        <f>I2799*H2799</f>
        <v>81879.516000000003</v>
      </c>
      <c r="N2799" s="843" t="e">
        <f>SUMIF(#REF!,'8.Dgia'!A2799,#REF!)+SUMIF(#REF!,'8.Dgia'!A2799,#REF!)+SUMIF(#REF!,'8.Dgia'!A2799,#REF!)+SUMIF(#REF!,'8.Dgia'!A2799,#REF!)</f>
        <v>#REF!</v>
      </c>
      <c r="O2799" s="844"/>
      <c r="P2799" s="843" t="e">
        <f t="shared" si="115"/>
        <v>#REF!</v>
      </c>
    </row>
    <row r="2800" spans="1:18" ht="15" customHeight="1">
      <c r="A2800" s="657">
        <f>IF(B2800="",MAX($A$8:A2799)+0,MAX($A$8:A2799)+1)</f>
        <v>327</v>
      </c>
      <c r="B2800" s="835" t="str">
        <f>IF(C2800="","",COUNTA($C$10:C2801))</f>
        <v/>
      </c>
      <c r="C2800" s="362"/>
      <c r="D2800" s="851"/>
      <c r="E2800" s="852" t="s">
        <v>1038</v>
      </c>
      <c r="F2800" s="848" t="str">
        <f>VLOOKUP(E2800,'9.may'!E:F,2,FALSE)</f>
        <v>caterpillar crane 10T/ crawler crane 10T</v>
      </c>
      <c r="G2800" s="362" t="s">
        <v>4902</v>
      </c>
      <c r="H2800" s="847">
        <f>0.27</f>
        <v>0.27</v>
      </c>
      <c r="I2800" s="848">
        <f>VLOOKUP(E2800,'9.may'!E:W,12,FALSE)</f>
        <v>1481320.1836363636</v>
      </c>
      <c r="J2800" s="853">
        <f>I2800*H2800</f>
        <v>399956.44958181819</v>
      </c>
      <c r="N2800" s="843" t="e">
        <f>SUMIF(#REF!,'8.Dgia'!A2800,#REF!)+SUMIF(#REF!,'8.Dgia'!A2800,#REF!)+SUMIF(#REF!,'8.Dgia'!A2800,#REF!)+SUMIF(#REF!,'8.Dgia'!A2800,#REF!)</f>
        <v>#REF!</v>
      </c>
      <c r="O2800" s="844"/>
      <c r="P2800" s="843" t="e">
        <f t="shared" si="115"/>
        <v>#REF!</v>
      </c>
    </row>
    <row r="2801" spans="1:18" ht="28.5" customHeight="1">
      <c r="A2801" s="657">
        <f>IF(B2801="",MAX($A$8:A2800)+0,MAX($A$8:A2800)+1)</f>
        <v>328</v>
      </c>
      <c r="B2801" s="835">
        <f>IF(C2801="","",COUNTA($C$10:C2802))</f>
        <v>328</v>
      </c>
      <c r="C2801" s="835">
        <f>IF(D2801="","",1776)</f>
        <v>1776</v>
      </c>
      <c r="D2801" s="851" t="s">
        <v>2053</v>
      </c>
      <c r="E2801" s="855" t="s">
        <v>3498</v>
      </c>
      <c r="F2801" s="1049" t="str">
        <f>VLOOKUP(E2801,DICH!B:C,2,FALSE)</f>
        <v>Product temporary pier by shaped steel (amor main material=2%/month*0.5month+7%)</v>
      </c>
      <c r="G2801" s="856" t="s">
        <v>4644</v>
      </c>
      <c r="H2801" s="847"/>
      <c r="I2801" s="848"/>
      <c r="J2801" s="909"/>
      <c r="K2801" s="842">
        <f>+J2802</f>
        <v>2084106.2624324246</v>
      </c>
      <c r="L2801" s="842">
        <f>+J2809</f>
        <v>4949939.47</v>
      </c>
      <c r="M2801" s="842">
        <f>+J2810</f>
        <v>1271422.0785818181</v>
      </c>
      <c r="N2801" s="843" t="e">
        <f>SUMIF(#REF!,'8.Dgia'!A2801,#REF!)+SUMIF(#REF!,'8.Dgia'!A2801,#REF!)+SUMIF(#REF!,'8.Dgia'!A2801,#REF!)+SUMIF(#REF!,'8.Dgia'!A2801,#REF!)</f>
        <v>#REF!</v>
      </c>
      <c r="O2801" s="844"/>
      <c r="P2801" s="843" t="e">
        <f t="shared" si="115"/>
        <v>#REF!</v>
      </c>
    </row>
    <row r="2802" spans="1:18" ht="15" customHeight="1">
      <c r="A2802" s="657">
        <f>IF(B2802="",MAX($A$8:A2801)+0,MAX($A$8:A2801)+1)</f>
        <v>328</v>
      </c>
      <c r="B2802" s="835" t="str">
        <f>IF(C2802="","",COUNTA($C$10:C2803))</f>
        <v/>
      </c>
      <c r="C2802" s="362"/>
      <c r="D2802" s="851"/>
      <c r="E2802" s="852" t="s">
        <v>2032</v>
      </c>
      <c r="F2802" s="848" t="str">
        <f>VLOOKUP(E2802,DICH!B:C,2,FALSE)</f>
        <v xml:space="preserve">  A - Material</v>
      </c>
      <c r="G2802" s="856"/>
      <c r="H2802" s="847"/>
      <c r="I2802" s="848"/>
      <c r="J2802" s="849">
        <f>SUM(J2803:J2808)</f>
        <v>2084106.2624324246</v>
      </c>
      <c r="N2802" s="843" t="e">
        <f>SUMIF(#REF!,'8.Dgia'!A2802,#REF!)+SUMIF(#REF!,'8.Dgia'!A2802,#REF!)+SUMIF(#REF!,'8.Dgia'!A2802,#REF!)+SUMIF(#REF!,'8.Dgia'!A2802,#REF!)</f>
        <v>#REF!</v>
      </c>
      <c r="O2802" s="844"/>
      <c r="P2802" s="843" t="e">
        <f t="shared" si="115"/>
        <v>#REF!</v>
      </c>
    </row>
    <row r="2803" spans="1:18" ht="15" customHeight="1">
      <c r="A2803" s="657">
        <f>IF(B2803="",MAX($A$8:A2802)+0,MAX($A$8:A2802)+1)</f>
        <v>328</v>
      </c>
      <c r="B2803" s="835" t="str">
        <f>IF(C2803="","",COUNTA($C$10:C2804))</f>
        <v/>
      </c>
      <c r="C2803" s="362"/>
      <c r="D2803" s="851" t="s">
        <v>2255</v>
      </c>
      <c r="E2803" s="852" t="s">
        <v>563</v>
      </c>
      <c r="F2803" s="848" t="str">
        <f>VLOOKUP(E2803,DICH!B:C,2,FALSE)</f>
        <v>Shaped steel</v>
      </c>
      <c r="G2803" s="362" t="s">
        <v>622</v>
      </c>
      <c r="H2803" s="847">
        <f>697.85*(2%*0.5+7%)</f>
        <v>55.828000000000003</v>
      </c>
      <c r="I2803" s="848">
        <f>VLOOKUP(E2803,'11.gia '!$B:$I,8,FALSE)</f>
        <v>16703.248369172808</v>
      </c>
      <c r="J2803" s="853">
        <f>I2803*H2803</f>
        <v>932508.94995417958</v>
      </c>
      <c r="N2803" s="843" t="e">
        <f>SUMIF(#REF!,'8.Dgia'!A2803,#REF!)+SUMIF(#REF!,'8.Dgia'!A2803,#REF!)+SUMIF(#REF!,'8.Dgia'!A2803,#REF!)+SUMIF(#REF!,'8.Dgia'!A2803,#REF!)</f>
        <v>#REF!</v>
      </c>
      <c r="O2803" s="844">
        <f>+$H$2808</f>
        <v>5</v>
      </c>
      <c r="P2803" s="843" t="e">
        <f t="shared" ref="P2803:P2882" si="117">$H2803*N2803*(1+O2803%)</f>
        <v>#REF!</v>
      </c>
    </row>
    <row r="2804" spans="1:18" ht="15" customHeight="1">
      <c r="A2804" s="657">
        <f>IF(B2804="",MAX($A$8:A2803)+0,MAX($A$8:A2803)+1)</f>
        <v>328</v>
      </c>
      <c r="B2804" s="835" t="str">
        <f>IF(C2804="","",COUNTA($C$10:C2805))</f>
        <v/>
      </c>
      <c r="C2804" s="362"/>
      <c r="D2804" s="851" t="s">
        <v>2255</v>
      </c>
      <c r="E2804" s="852" t="s">
        <v>562</v>
      </c>
      <c r="F2804" s="848" t="str">
        <f>VLOOKUP(E2804,DICH!B:C,2,FALSE)</f>
        <v>Plate steel</v>
      </c>
      <c r="G2804" s="362" t="s">
        <v>558</v>
      </c>
      <c r="H2804" s="847">
        <f>362.15*(2%*0.5+7%)</f>
        <v>28.971999999999998</v>
      </c>
      <c r="I2804" s="848">
        <f>VLOOKUP(E2804,'11.gia '!$B:$I,8,FALSE)</f>
        <v>12871.348287272725</v>
      </c>
      <c r="J2804" s="853">
        <f>I2804*H2804</f>
        <v>372908.7025788654</v>
      </c>
      <c r="N2804" s="843" t="e">
        <f>SUMIF(#REF!,'8.Dgia'!A2804,#REF!)+SUMIF(#REF!,'8.Dgia'!A2804,#REF!)+SUMIF(#REF!,'8.Dgia'!A2804,#REF!)+SUMIF(#REF!,'8.Dgia'!A2804,#REF!)</f>
        <v>#REF!</v>
      </c>
      <c r="O2804" s="844">
        <f>+$H$2808</f>
        <v>5</v>
      </c>
      <c r="P2804" s="843" t="e">
        <f t="shared" si="117"/>
        <v>#REF!</v>
      </c>
    </row>
    <row r="2805" spans="1:18" ht="15" customHeight="1">
      <c r="A2805" s="657">
        <f>IF(B2805="",MAX($A$8:A2804)+0,MAX($A$8:A2804)+1)</f>
        <v>328</v>
      </c>
      <c r="B2805" s="835" t="str">
        <f>IF(C2805="","",COUNTA($C$10:C2806))</f>
        <v/>
      </c>
      <c r="C2805" s="362"/>
      <c r="D2805" s="851"/>
      <c r="E2805" s="852" t="s">
        <v>559</v>
      </c>
      <c r="F2805" s="848" t="str">
        <f>VLOOKUP(E2805,DICH!B:C,2,FALSE)</f>
        <v>welding electrode</v>
      </c>
      <c r="G2805" s="362" t="s">
        <v>558</v>
      </c>
      <c r="H2805" s="847">
        <v>24.15</v>
      </c>
      <c r="I2805" s="848">
        <f>VLOOKUP(E2805,'11.gia '!$B:$I,8,FALSE)</f>
        <v>19090.909090909088</v>
      </c>
      <c r="J2805" s="853">
        <f>I2805*H2805</f>
        <v>461045.45454545447</v>
      </c>
      <c r="N2805" s="843" t="e">
        <f>SUMIF(#REF!,'8.Dgia'!A2805,#REF!)+SUMIF(#REF!,'8.Dgia'!A2805,#REF!)+SUMIF(#REF!,'8.Dgia'!A2805,#REF!)+SUMIF(#REF!,'8.Dgia'!A2805,#REF!)</f>
        <v>#REF!</v>
      </c>
      <c r="O2805" s="844">
        <f>+$H$2808</f>
        <v>5</v>
      </c>
      <c r="P2805" s="843" t="e">
        <f t="shared" si="117"/>
        <v>#REF!</v>
      </c>
    </row>
    <row r="2806" spans="1:18" ht="15" customHeight="1">
      <c r="A2806" s="657">
        <f>IF(B2806="",MAX($A$8:A2805)+0,MAX($A$8:A2805)+1)</f>
        <v>328</v>
      </c>
      <c r="B2806" s="835" t="str">
        <f>IF(C2806="","",COUNTA($C$10:C2807))</f>
        <v/>
      </c>
      <c r="C2806" s="362"/>
      <c r="D2806" s="851"/>
      <c r="E2806" s="852" t="s">
        <v>564</v>
      </c>
      <c r="F2806" s="848" t="str">
        <f>VLOOKUP(E2806,DICH!B:C,2,FALSE)</f>
        <v>oxygen</v>
      </c>
      <c r="G2806" s="362" t="s">
        <v>4647</v>
      </c>
      <c r="H2806" s="847">
        <v>2.1</v>
      </c>
      <c r="I2806" s="848">
        <f>VLOOKUP(E2806,'11.gia '!$B:$I,8,FALSE)</f>
        <v>48000</v>
      </c>
      <c r="J2806" s="853">
        <f>I2806*H2806</f>
        <v>100800</v>
      </c>
      <c r="N2806" s="843" t="e">
        <f>SUMIF(#REF!,'8.Dgia'!A2806,#REF!)+SUMIF(#REF!,'8.Dgia'!A2806,#REF!)+SUMIF(#REF!,'8.Dgia'!A2806,#REF!)+SUMIF(#REF!,'8.Dgia'!A2806,#REF!)</f>
        <v>#REF!</v>
      </c>
      <c r="O2806" s="844">
        <f>+$H$2808</f>
        <v>5</v>
      </c>
      <c r="P2806" s="843" t="e">
        <f t="shared" si="117"/>
        <v>#REF!</v>
      </c>
    </row>
    <row r="2807" spans="1:18" ht="15" customHeight="1">
      <c r="A2807" s="657">
        <f>IF(B2807="",MAX($A$8:A2806)+0,MAX($A$8:A2806)+1)</f>
        <v>328</v>
      </c>
      <c r="B2807" s="835" t="str">
        <f>IF(C2807="","",COUNTA($C$10:C2808))</f>
        <v/>
      </c>
      <c r="C2807" s="362"/>
      <c r="D2807" s="851"/>
      <c r="E2807" s="852" t="s">
        <v>566</v>
      </c>
      <c r="F2807" s="848" t="str">
        <f>VLOOKUP(E2807,DICH!B:C,2,FALSE)</f>
        <v>Calcium carbide</v>
      </c>
      <c r="G2807" s="362" t="s">
        <v>558</v>
      </c>
      <c r="H2807" s="847">
        <v>8.4</v>
      </c>
      <c r="I2807" s="848">
        <f>VLOOKUP(E2807,'11.gia '!$B:$I,8,FALSE)</f>
        <v>14000</v>
      </c>
      <c r="J2807" s="853">
        <f>I2807*H2807</f>
        <v>117600</v>
      </c>
      <c r="N2807" s="843" t="e">
        <f>SUMIF(#REF!,'8.Dgia'!A2807,#REF!)+SUMIF(#REF!,'8.Dgia'!A2807,#REF!)+SUMIF(#REF!,'8.Dgia'!A2807,#REF!)+SUMIF(#REF!,'8.Dgia'!A2807,#REF!)</f>
        <v>#REF!</v>
      </c>
      <c r="O2807" s="844">
        <f>+$H$2808</f>
        <v>5</v>
      </c>
      <c r="P2807" s="843" t="e">
        <f t="shared" si="117"/>
        <v>#REF!</v>
      </c>
    </row>
    <row r="2808" spans="1:18" ht="15" customHeight="1">
      <c r="A2808" s="657">
        <f>IF(B2808="",MAX($A$8:A2807)+0,MAX($A$8:A2807)+1)</f>
        <v>328</v>
      </c>
      <c r="B2808" s="835" t="str">
        <f>IF(C2808="","",COUNTA($C$10:C2809))</f>
        <v/>
      </c>
      <c r="C2808" s="362"/>
      <c r="D2808" s="851"/>
      <c r="E2808" s="852" t="s">
        <v>555</v>
      </c>
      <c r="F2808" s="848" t="str">
        <f>VLOOKUP(E2808,DICH!B:C,2,FALSE)</f>
        <v>Other material</v>
      </c>
      <c r="G2808" s="362" t="s">
        <v>554</v>
      </c>
      <c r="H2808" s="847">
        <v>5</v>
      </c>
      <c r="I2808" s="848">
        <f>SUM(J2803:J2807)</f>
        <v>1984863.1070784996</v>
      </c>
      <c r="J2808" s="853">
        <f>I2808*H2808%</f>
        <v>99243.155353924987</v>
      </c>
      <c r="N2808" s="843" t="e">
        <f>SUMIF(#REF!,'8.Dgia'!A2808,#REF!)+SUMIF(#REF!,'8.Dgia'!A2808,#REF!)+SUMIF(#REF!,'8.Dgia'!A2808,#REF!)+SUMIF(#REF!,'8.Dgia'!A2808,#REF!)</f>
        <v>#REF!</v>
      </c>
      <c r="O2808" s="844"/>
      <c r="P2808" s="843" t="e">
        <f t="shared" si="117"/>
        <v>#REF!</v>
      </c>
    </row>
    <row r="2809" spans="1:18" ht="15" customHeight="1">
      <c r="A2809" s="657">
        <f>IF(B2809="",MAX($A$8:A2808)+0,MAX($A$8:A2808)+1)</f>
        <v>328</v>
      </c>
      <c r="B2809" s="835" t="str">
        <f>IF(C2809="","",COUNTA($C$10:C2810))</f>
        <v/>
      </c>
      <c r="C2809" s="362"/>
      <c r="D2809" s="851"/>
      <c r="E2809" s="852" t="s">
        <v>2039</v>
      </c>
      <c r="F2809" s="848" t="str">
        <f>VLOOKUP(E2809,DICH!B:C,2,FALSE)</f>
        <v xml:space="preserve">  B - Labour 4.0/7</v>
      </c>
      <c r="G2809" s="362" t="s">
        <v>4899</v>
      </c>
      <c r="H2809" s="847">
        <f>22.61</f>
        <v>22.61</v>
      </c>
      <c r="I2809" s="848">
        <f>VLOOKUP(E2809,'16.NC'!$C$11:$F$22,4,FALSE)</f>
        <v>218927</v>
      </c>
      <c r="J2809" s="849">
        <f>I2809*H2809</f>
        <v>4949939.47</v>
      </c>
      <c r="N2809" s="843" t="e">
        <f>SUMIF(#REF!,'8.Dgia'!A2809,#REF!)+SUMIF(#REF!,'8.Dgia'!A2809,#REF!)+SUMIF(#REF!,'8.Dgia'!A2809,#REF!)+SUMIF(#REF!,'8.Dgia'!A2809,#REF!)</f>
        <v>#REF!</v>
      </c>
      <c r="O2809" s="844"/>
      <c r="P2809" s="843" t="e">
        <f t="shared" si="117"/>
        <v>#REF!</v>
      </c>
      <c r="R2809" s="658">
        <v>1</v>
      </c>
    </row>
    <row r="2810" spans="1:18" ht="15" customHeight="1">
      <c r="A2810" s="657">
        <f>IF(B2810="",MAX($A$8:A2809)+0,MAX($A$8:A2809)+1)</f>
        <v>328</v>
      </c>
      <c r="B2810" s="835" t="str">
        <f>IF(C2810="","",COUNTA($C$10:C2811))</f>
        <v/>
      </c>
      <c r="C2810" s="362"/>
      <c r="D2810" s="851"/>
      <c r="E2810" s="852" t="s">
        <v>2033</v>
      </c>
      <c r="F2810" s="848" t="str">
        <f>VLOOKUP(E2810,DICH!B:C,2,FALSE)</f>
        <v xml:space="preserve">  C - Machine</v>
      </c>
      <c r="G2810" s="362"/>
      <c r="H2810" s="847"/>
      <c r="I2810" s="848"/>
      <c r="J2810" s="849">
        <f>SUM(J2811:J2813)</f>
        <v>1271422.0785818181</v>
      </c>
      <c r="N2810" s="843" t="e">
        <f>SUMIF(#REF!,'8.Dgia'!A2810,#REF!)+SUMIF(#REF!,'8.Dgia'!A2810,#REF!)+SUMIF(#REF!,'8.Dgia'!A2810,#REF!)+SUMIF(#REF!,'8.Dgia'!A2810,#REF!)</f>
        <v>#REF!</v>
      </c>
      <c r="O2810" s="844"/>
      <c r="P2810" s="843" t="e">
        <f t="shared" si="117"/>
        <v>#REF!</v>
      </c>
    </row>
    <row r="2811" spans="1:18" ht="15" customHeight="1">
      <c r="A2811" s="657">
        <f>IF(B2811="",MAX($A$8:A2810)+0,MAX($A$8:A2810)+1)</f>
        <v>328</v>
      </c>
      <c r="B2811" s="835" t="str">
        <f>IF(C2811="","",COUNTA($C$10:C2812))</f>
        <v/>
      </c>
      <c r="C2811" s="362"/>
      <c r="D2811" s="851"/>
      <c r="E2811" s="852" t="s">
        <v>560</v>
      </c>
      <c r="F2811" s="848" t="str">
        <f>VLOOKUP(E2811,'9.may'!E:F,2,FALSE)</f>
        <v>welding machine 23kW</v>
      </c>
      <c r="G2811" s="362" t="s">
        <v>4902</v>
      </c>
      <c r="H2811" s="847">
        <f>4.6</f>
        <v>4.5999999999999996</v>
      </c>
      <c r="I2811" s="848">
        <f>VLOOKUP(E2811,'9.may'!E:W,12,FALSE)</f>
        <v>171649.155</v>
      </c>
      <c r="J2811" s="853">
        <f>I2811*H2811</f>
        <v>789586.1129999999</v>
      </c>
      <c r="N2811" s="843" t="e">
        <f>SUMIF(#REF!,'8.Dgia'!A2811,#REF!)+SUMIF(#REF!,'8.Dgia'!A2811,#REF!)+SUMIF(#REF!,'8.Dgia'!A2811,#REF!)+SUMIF(#REF!,'8.Dgia'!A2811,#REF!)</f>
        <v>#REF!</v>
      </c>
      <c r="O2811" s="844"/>
      <c r="P2811" s="843" t="e">
        <f t="shared" si="117"/>
        <v>#REF!</v>
      </c>
    </row>
    <row r="2812" spans="1:18" ht="15" customHeight="1">
      <c r="A2812" s="657">
        <f>IF(B2812="",MAX($A$8:A2811)+0,MAX($A$8:A2811)+1)</f>
        <v>328</v>
      </c>
      <c r="B2812" s="835" t="str">
        <f>IF(C2812="","",COUNTA($C$10:C2813))</f>
        <v/>
      </c>
      <c r="C2812" s="362"/>
      <c r="D2812" s="851"/>
      <c r="E2812" s="852" t="s">
        <v>1417</v>
      </c>
      <c r="F2812" s="848" t="str">
        <f>VLOOKUP(E2812,'9.may'!E:F,2,FALSE)</f>
        <v>Cutting machine 15Kw</v>
      </c>
      <c r="G2812" s="362" t="s">
        <v>4902</v>
      </c>
      <c r="H2812" s="847">
        <f>0.4</f>
        <v>0.4</v>
      </c>
      <c r="I2812" s="848">
        <f>VLOOKUP(E2812,'9.may'!E:W,12,FALSE)</f>
        <v>204698.78999999998</v>
      </c>
      <c r="J2812" s="853">
        <f>I2812*H2812</f>
        <v>81879.516000000003</v>
      </c>
      <c r="N2812" s="843" t="e">
        <f>SUMIF(#REF!,'8.Dgia'!A2812,#REF!)+SUMIF(#REF!,'8.Dgia'!A2812,#REF!)+SUMIF(#REF!,'8.Dgia'!A2812,#REF!)+SUMIF(#REF!,'8.Dgia'!A2812,#REF!)</f>
        <v>#REF!</v>
      </c>
      <c r="O2812" s="844"/>
      <c r="P2812" s="843" t="e">
        <f t="shared" si="117"/>
        <v>#REF!</v>
      </c>
    </row>
    <row r="2813" spans="1:18" ht="15" customHeight="1">
      <c r="A2813" s="657">
        <f>IF(B2813="",MAX($A$8:A2812)+0,MAX($A$8:A2812)+1)</f>
        <v>328</v>
      </c>
      <c r="B2813" s="835" t="str">
        <f>IF(C2813="","",COUNTA($C$10:C2814))</f>
        <v/>
      </c>
      <c r="C2813" s="362"/>
      <c r="D2813" s="851"/>
      <c r="E2813" s="852" t="s">
        <v>1038</v>
      </c>
      <c r="F2813" s="848" t="str">
        <f>VLOOKUP(E2813,'9.may'!E:F,2,FALSE)</f>
        <v>caterpillar crane 10T/ crawler crane 10T</v>
      </c>
      <c r="G2813" s="362" t="s">
        <v>4902</v>
      </c>
      <c r="H2813" s="847">
        <f>0.27</f>
        <v>0.27</v>
      </c>
      <c r="I2813" s="848">
        <f>VLOOKUP(E2813,'9.may'!E:W,12,FALSE)</f>
        <v>1481320.1836363636</v>
      </c>
      <c r="J2813" s="853">
        <f>I2813*H2813</f>
        <v>399956.44958181819</v>
      </c>
      <c r="N2813" s="843" t="e">
        <f>SUMIF(#REF!,'8.Dgia'!A2813,#REF!)+SUMIF(#REF!,'8.Dgia'!A2813,#REF!)+SUMIF(#REF!,'8.Dgia'!A2813,#REF!)+SUMIF(#REF!,'8.Dgia'!A2813,#REF!)</f>
        <v>#REF!</v>
      </c>
      <c r="O2813" s="844"/>
      <c r="P2813" s="843" t="e">
        <f t="shared" si="117"/>
        <v>#REF!</v>
      </c>
    </row>
    <row r="2814" spans="1:18" ht="15" customHeight="1">
      <c r="A2814" s="657">
        <f>IF(B2814="",MAX($A$8:A2813)+0,MAX($A$8:A2813)+1)</f>
        <v>329</v>
      </c>
      <c r="B2814" s="835">
        <f>IF(C2814="","",COUNTA($C$10:C2815))</f>
        <v>329</v>
      </c>
      <c r="C2814" s="835">
        <f>IF(D2814="","",1776)</f>
        <v>1776</v>
      </c>
      <c r="D2814" s="362" t="s">
        <v>2087</v>
      </c>
      <c r="E2814" s="855" t="s">
        <v>2086</v>
      </c>
      <c r="F2814" s="1049" t="str">
        <f>VLOOKUP(E2814,DICH!B:C,2,FALSE)</f>
        <v>Excavating old pavement</v>
      </c>
      <c r="G2814" s="882" t="s">
        <v>544</v>
      </c>
      <c r="H2814" s="900"/>
      <c r="I2814" s="848"/>
      <c r="J2814" s="853"/>
      <c r="L2814" s="842">
        <f>+J2815</f>
        <v>1081554.6300000001</v>
      </c>
      <c r="M2814" s="842">
        <f>+J2816</f>
        <v>1293320.3028305455</v>
      </c>
      <c r="N2814" s="843" t="e">
        <f>SUMIF(#REF!,'8.Dgia'!A2814,#REF!)+SUMIF(#REF!,'8.Dgia'!A2814,#REF!)+SUMIF(#REF!,'8.Dgia'!A2814,#REF!)+SUMIF(#REF!,'8.Dgia'!A2814,#REF!)</f>
        <v>#REF!</v>
      </c>
      <c r="O2814" s="844"/>
      <c r="P2814" s="843" t="e">
        <f t="shared" si="117"/>
        <v>#REF!</v>
      </c>
    </row>
    <row r="2815" spans="1:18" ht="15" customHeight="1">
      <c r="A2815" s="657">
        <f>IF(B2815="",MAX($A$8:A2814)+0,MAX($A$8:A2814)+1)</f>
        <v>329</v>
      </c>
      <c r="B2815" s="835" t="str">
        <f>IF(C2815="","",COUNTA($C$10:C2816))</f>
        <v/>
      </c>
      <c r="C2815" s="362"/>
      <c r="D2815" s="324"/>
      <c r="E2815" s="852" t="s">
        <v>2038</v>
      </c>
      <c r="F2815" s="848" t="str">
        <f>VLOOKUP(E2815,DICH!B:C,2,FALSE)</f>
        <v xml:space="preserve">  B - Labour 3.0/7</v>
      </c>
      <c r="G2815" s="883" t="s">
        <v>4899</v>
      </c>
      <c r="H2815" s="362">
        <v>5.79</v>
      </c>
      <c r="I2815" s="848">
        <f>VLOOKUP(E2815,'16.NC'!$C$11:$F$22,4,FALSE)</f>
        <v>186797</v>
      </c>
      <c r="J2815" s="849">
        <f>I2815*H2815</f>
        <v>1081554.6300000001</v>
      </c>
      <c r="N2815" s="843" t="e">
        <f>SUMIF(#REF!,'8.Dgia'!A2815,#REF!)+SUMIF(#REF!,'8.Dgia'!A2815,#REF!)+SUMIF(#REF!,'8.Dgia'!A2815,#REF!)+SUMIF(#REF!,'8.Dgia'!A2815,#REF!)</f>
        <v>#REF!</v>
      </c>
      <c r="O2815" s="844"/>
      <c r="P2815" s="843" t="e">
        <f t="shared" si="117"/>
        <v>#REF!</v>
      </c>
      <c r="R2815" s="658">
        <v>1</v>
      </c>
    </row>
    <row r="2816" spans="1:18" ht="15" customHeight="1">
      <c r="A2816" s="657">
        <f>IF(B2816="",MAX($A$8:A2815)+0,MAX($A$8:A2815)+1)</f>
        <v>329</v>
      </c>
      <c r="B2816" s="835" t="str">
        <f>IF(C2816="","",COUNTA($C$10:C2817))</f>
        <v/>
      </c>
      <c r="C2816" s="362"/>
      <c r="D2816" s="362"/>
      <c r="E2816" s="852" t="s">
        <v>2033</v>
      </c>
      <c r="F2816" s="848" t="str">
        <f>VLOOKUP(E2816,DICH!B:C,2,FALSE)</f>
        <v xml:space="preserve">  C - Machine</v>
      </c>
      <c r="G2816" s="883"/>
      <c r="H2816" s="900"/>
      <c r="I2816" s="848"/>
      <c r="J2816" s="849">
        <f>SUM(J2817:J2818)</f>
        <v>1293320.3028305455</v>
      </c>
      <c r="N2816" s="843" t="e">
        <f>SUMIF(#REF!,'8.Dgia'!A2816,#REF!)+SUMIF(#REF!,'8.Dgia'!A2816,#REF!)+SUMIF(#REF!,'8.Dgia'!A2816,#REF!)+SUMIF(#REF!,'8.Dgia'!A2816,#REF!)</f>
        <v>#REF!</v>
      </c>
      <c r="O2816" s="844"/>
      <c r="P2816" s="843" t="e">
        <f t="shared" si="117"/>
        <v>#REF!</v>
      </c>
    </row>
    <row r="2817" spans="1:18" ht="15" customHeight="1">
      <c r="A2817" s="657">
        <f>IF(B2817="",MAX($A$8:A2816)+0,MAX($A$8:A2816)+1)</f>
        <v>329</v>
      </c>
      <c r="B2817" s="835" t="str">
        <f>IF(C2817="","",COUNTA($C$10:C2818))</f>
        <v/>
      </c>
      <c r="C2817" s="362"/>
      <c r="D2817" s="362"/>
      <c r="E2817" s="852" t="s">
        <v>780</v>
      </c>
      <c r="F2817" s="848" t="str">
        <f>VLOOKUP(E2817,'9.may'!E:F,2,FALSE)</f>
        <v>avulsion excavator 1.6m3</v>
      </c>
      <c r="G2817" s="883" t="s">
        <v>4902</v>
      </c>
      <c r="H2817" s="900">
        <v>0.26800000000000002</v>
      </c>
      <c r="I2817" s="848">
        <f>VLOOKUP(E2817,'9.may'!E:W,12,FALSE)</f>
        <v>4328652.4456363637</v>
      </c>
      <c r="J2817" s="853">
        <f>I2817*H2817</f>
        <v>1160078.8554305455</v>
      </c>
      <c r="N2817" s="843" t="e">
        <f>SUMIF(#REF!,'8.Dgia'!A2817,#REF!)+SUMIF(#REF!,'8.Dgia'!A2817,#REF!)+SUMIF(#REF!,'8.Dgia'!A2817,#REF!)+SUMIF(#REF!,'8.Dgia'!A2817,#REF!)</f>
        <v>#REF!</v>
      </c>
      <c r="O2817" s="844"/>
      <c r="P2817" s="843" t="e">
        <f t="shared" si="117"/>
        <v>#REF!</v>
      </c>
    </row>
    <row r="2818" spans="1:18" ht="15" customHeight="1">
      <c r="A2818" s="657">
        <f>IF(B2818="",MAX($A$8:A2817)+0,MAX($A$8:A2817)+1)</f>
        <v>329</v>
      </c>
      <c r="B2818" s="835" t="str">
        <f>IF(C2818="","",COUNTA($C$10:C2819))</f>
        <v/>
      </c>
      <c r="C2818" s="362"/>
      <c r="D2818" s="362"/>
      <c r="E2818" s="852" t="s">
        <v>624</v>
      </c>
      <c r="F2818" s="848" t="str">
        <f>VLOOKUP(E2818,'9.may'!E:F,2,FALSE)</f>
        <v>bulldozer 108CV</v>
      </c>
      <c r="G2818" s="883" t="s">
        <v>4902</v>
      </c>
      <c r="H2818" s="900">
        <v>6.8000000000000005E-2</v>
      </c>
      <c r="I2818" s="848">
        <f>VLOOKUP(E2818,'9.may'!E:W,12,FALSE)</f>
        <v>1959433.0499999998</v>
      </c>
      <c r="J2818" s="853">
        <f>I2818*H2818</f>
        <v>133241.4474</v>
      </c>
      <c r="N2818" s="843" t="e">
        <f>SUMIF(#REF!,'8.Dgia'!A2818,#REF!)+SUMIF(#REF!,'8.Dgia'!A2818,#REF!)+SUMIF(#REF!,'8.Dgia'!A2818,#REF!)+SUMIF(#REF!,'8.Dgia'!A2818,#REF!)</f>
        <v>#REF!</v>
      </c>
      <c r="O2818" s="844"/>
      <c r="P2818" s="843" t="e">
        <f t="shared" si="117"/>
        <v>#REF!</v>
      </c>
    </row>
    <row r="2819" spans="1:18" ht="15" customHeight="1">
      <c r="A2819" s="657">
        <f>IF(B2819="",MAX($A$8:A2818)+0,MAX($A$8:A2818)+1)</f>
        <v>330</v>
      </c>
      <c r="B2819" s="835">
        <f>IF(C2819="","",COUNTA($C$10:C2820))</f>
        <v>330</v>
      </c>
      <c r="C2819" s="835">
        <f>IF(D2819="","",1776)</f>
        <v>1776</v>
      </c>
      <c r="D2819" s="362" t="s">
        <v>3933</v>
      </c>
      <c r="E2819" s="855" t="s">
        <v>3932</v>
      </c>
      <c r="F2819" s="1049" t="str">
        <f>VLOOKUP(E2819,DICH!B:C,2,FALSE)</f>
        <v>Excavating aggregate base course</v>
      </c>
      <c r="G2819" s="882" t="s">
        <v>544</v>
      </c>
      <c r="H2819" s="900"/>
      <c r="I2819" s="848"/>
      <c r="J2819" s="853"/>
      <c r="L2819" s="842">
        <f>+J2820</f>
        <v>1255275.8399999999</v>
      </c>
      <c r="M2819" s="842">
        <f>+J2821</f>
        <v>1832762.7131525455</v>
      </c>
      <c r="N2819" s="843" t="e">
        <f>SUMIF(#REF!,'8.Dgia'!A2819,#REF!)+SUMIF(#REF!,'8.Dgia'!A2819,#REF!)+SUMIF(#REF!,'8.Dgia'!A2819,#REF!)+SUMIF(#REF!,'8.Dgia'!A2819,#REF!)</f>
        <v>#REF!</v>
      </c>
      <c r="O2819" s="844"/>
      <c r="P2819" s="843" t="e">
        <f t="shared" ref="P2819:P2828" si="118">$H2819*N2819*(1+O2819%)</f>
        <v>#REF!</v>
      </c>
    </row>
    <row r="2820" spans="1:18" ht="15" customHeight="1">
      <c r="A2820" s="657">
        <f>IF(B2820="",MAX($A$8:A2819)+0,MAX($A$8:A2819)+1)</f>
        <v>330</v>
      </c>
      <c r="B2820" s="835" t="str">
        <f>IF(C2820="","",COUNTA($C$10:C2821))</f>
        <v/>
      </c>
      <c r="C2820" s="362"/>
      <c r="D2820" s="324"/>
      <c r="E2820" s="852" t="s">
        <v>2038</v>
      </c>
      <c r="F2820" s="848" t="str">
        <f>VLOOKUP(E2820,DICH!B:C,2,FALSE)</f>
        <v xml:space="preserve">  B - Labour 3.0/7</v>
      </c>
      <c r="G2820" s="883" t="s">
        <v>4899</v>
      </c>
      <c r="H2820" s="362">
        <v>6.72</v>
      </c>
      <c r="I2820" s="848">
        <f>VLOOKUP(E2820,'16.NC'!$C$11:$F$22,4,FALSE)</f>
        <v>186797</v>
      </c>
      <c r="J2820" s="849">
        <f>I2820*H2820</f>
        <v>1255275.8399999999</v>
      </c>
      <c r="N2820" s="843" t="e">
        <f>SUMIF(#REF!,'8.Dgia'!A2820,#REF!)+SUMIF(#REF!,'8.Dgia'!A2820,#REF!)+SUMIF(#REF!,'8.Dgia'!A2820,#REF!)+SUMIF(#REF!,'8.Dgia'!A2820,#REF!)</f>
        <v>#REF!</v>
      </c>
      <c r="O2820" s="844"/>
      <c r="P2820" s="843" t="e">
        <f t="shared" si="118"/>
        <v>#REF!</v>
      </c>
      <c r="R2820" s="658">
        <v>1</v>
      </c>
    </row>
    <row r="2821" spans="1:18" ht="15" customHeight="1">
      <c r="A2821" s="657">
        <f>IF(B2821="",MAX($A$8:A2820)+0,MAX($A$8:A2820)+1)</f>
        <v>330</v>
      </c>
      <c r="B2821" s="835" t="str">
        <f>IF(C2821="","",COUNTA($C$10:C2822))</f>
        <v/>
      </c>
      <c r="C2821" s="362"/>
      <c r="D2821" s="362"/>
      <c r="E2821" s="852" t="s">
        <v>2033</v>
      </c>
      <c r="F2821" s="848" t="str">
        <f>VLOOKUP(E2821,DICH!B:C,2,FALSE)</f>
        <v xml:space="preserve">  C - Machine</v>
      </c>
      <c r="G2821" s="883"/>
      <c r="H2821" s="900"/>
      <c r="I2821" s="848"/>
      <c r="J2821" s="849">
        <f>SUM(J2822:J2823)</f>
        <v>1832762.7131525455</v>
      </c>
      <c r="N2821" s="843" t="e">
        <f>SUMIF(#REF!,'8.Dgia'!A2821,#REF!)+SUMIF(#REF!,'8.Dgia'!A2821,#REF!)+SUMIF(#REF!,'8.Dgia'!A2821,#REF!)+SUMIF(#REF!,'8.Dgia'!A2821,#REF!)</f>
        <v>#REF!</v>
      </c>
      <c r="O2821" s="844"/>
      <c r="P2821" s="843" t="e">
        <f t="shared" si="118"/>
        <v>#REF!</v>
      </c>
    </row>
    <row r="2822" spans="1:18" ht="15" customHeight="1">
      <c r="A2822" s="657">
        <f>IF(B2822="",MAX($A$8:A2821)+0,MAX($A$8:A2821)+1)</f>
        <v>330</v>
      </c>
      <c r="B2822" s="835" t="str">
        <f>IF(C2822="","",COUNTA($C$10:C2823))</f>
        <v/>
      </c>
      <c r="C2822" s="362"/>
      <c r="D2822" s="362"/>
      <c r="E2822" s="852" t="s">
        <v>780</v>
      </c>
      <c r="F2822" s="848" t="str">
        <f>VLOOKUP(E2822,'9.may'!E:F,2,FALSE)</f>
        <v>avulsion excavator 1.6m3</v>
      </c>
      <c r="G2822" s="883" t="s">
        <v>4902</v>
      </c>
      <c r="H2822" s="900">
        <v>0.38900000000000001</v>
      </c>
      <c r="I2822" s="848">
        <f>VLOOKUP(E2822,'9.may'!E:W,12,FALSE)</f>
        <v>4328652.4456363637</v>
      </c>
      <c r="J2822" s="853">
        <f>I2822*H2822</f>
        <v>1683845.8013525456</v>
      </c>
      <c r="N2822" s="843" t="e">
        <f>SUMIF(#REF!,'8.Dgia'!A2822,#REF!)+SUMIF(#REF!,'8.Dgia'!A2822,#REF!)+SUMIF(#REF!,'8.Dgia'!A2822,#REF!)+SUMIF(#REF!,'8.Dgia'!A2822,#REF!)</f>
        <v>#REF!</v>
      </c>
      <c r="O2822" s="844"/>
      <c r="P2822" s="843" t="e">
        <f t="shared" si="118"/>
        <v>#REF!</v>
      </c>
    </row>
    <row r="2823" spans="1:18" ht="15" customHeight="1">
      <c r="A2823" s="657">
        <f>IF(B2823="",MAX($A$8:A2822)+0,MAX($A$8:A2822)+1)</f>
        <v>330</v>
      </c>
      <c r="B2823" s="835" t="str">
        <f>IF(C2823="","",COUNTA($C$10:C2824))</f>
        <v/>
      </c>
      <c r="C2823" s="362"/>
      <c r="D2823" s="362"/>
      <c r="E2823" s="852" t="s">
        <v>624</v>
      </c>
      <c r="F2823" s="848" t="str">
        <f>VLOOKUP(E2823,'9.may'!E:F,2,FALSE)</f>
        <v>bulldozer 108CV</v>
      </c>
      <c r="G2823" s="883" t="s">
        <v>4902</v>
      </c>
      <c r="H2823" s="900">
        <v>7.5999999999999998E-2</v>
      </c>
      <c r="I2823" s="848">
        <f>VLOOKUP(E2823,'9.may'!E:W,12,FALSE)</f>
        <v>1959433.0499999998</v>
      </c>
      <c r="J2823" s="853">
        <f>I2823*H2823</f>
        <v>148916.91179999997</v>
      </c>
      <c r="N2823" s="843" t="e">
        <f>SUMIF(#REF!,'8.Dgia'!A2823,#REF!)+SUMIF(#REF!,'8.Dgia'!A2823,#REF!)+SUMIF(#REF!,'8.Dgia'!A2823,#REF!)+SUMIF(#REF!,'8.Dgia'!A2823,#REF!)</f>
        <v>#REF!</v>
      </c>
      <c r="O2823" s="844"/>
      <c r="P2823" s="843" t="e">
        <f t="shared" si="118"/>
        <v>#REF!</v>
      </c>
    </row>
    <row r="2824" spans="1:18" ht="15" customHeight="1">
      <c r="A2824" s="657">
        <f>IF(B2824="",MAX($A$8:A2823)+0,MAX($A$8:A2823)+1)</f>
        <v>331</v>
      </c>
      <c r="B2824" s="835">
        <f>IF(C2824="","",COUNTA($C$10:C2825))</f>
        <v>331</v>
      </c>
      <c r="C2824" s="835">
        <f>IF(D2824="","",1776)</f>
        <v>1776</v>
      </c>
      <c r="D2824" s="362" t="s">
        <v>3935</v>
      </c>
      <c r="E2824" s="855" t="s">
        <v>3934</v>
      </c>
      <c r="F2824" s="1049" t="str">
        <f>VLOOKUP(E2824,DICH!B:C,2,FALSE)</f>
        <v>Excavating foundation, soil C1</v>
      </c>
      <c r="G2824" s="882" t="s">
        <v>544</v>
      </c>
      <c r="H2824" s="900"/>
      <c r="I2824" s="848"/>
      <c r="J2824" s="853"/>
      <c r="L2824" s="842">
        <f>+J2825</f>
        <v>726640.33000000007</v>
      </c>
      <c r="M2824" s="842">
        <f>+J2826</f>
        <v>972359.4465185455</v>
      </c>
      <c r="N2824" s="843" t="e">
        <f>SUMIF(#REF!,'8.Dgia'!A2824,#REF!)+SUMIF(#REF!,'8.Dgia'!A2824,#REF!)+SUMIF(#REF!,'8.Dgia'!A2824,#REF!)+SUMIF(#REF!,'8.Dgia'!A2824,#REF!)</f>
        <v>#REF!</v>
      </c>
      <c r="O2824" s="844"/>
      <c r="P2824" s="843" t="e">
        <f t="shared" si="118"/>
        <v>#REF!</v>
      </c>
    </row>
    <row r="2825" spans="1:18" ht="15" customHeight="1">
      <c r="A2825" s="657">
        <f>IF(B2825="",MAX($A$8:A2824)+0,MAX($A$8:A2824)+1)</f>
        <v>331</v>
      </c>
      <c r="B2825" s="835" t="str">
        <f>IF(C2825="","",COUNTA($C$10:C2826))</f>
        <v/>
      </c>
      <c r="C2825" s="362"/>
      <c r="D2825" s="324"/>
      <c r="E2825" s="852" t="s">
        <v>2038</v>
      </c>
      <c r="F2825" s="848" t="str">
        <f>VLOOKUP(E2825,DICH!B:C,2,FALSE)</f>
        <v xml:space="preserve">  B - Labour 3.0/7</v>
      </c>
      <c r="G2825" s="883" t="s">
        <v>4899</v>
      </c>
      <c r="H2825" s="362">
        <v>3.89</v>
      </c>
      <c r="I2825" s="848">
        <f>VLOOKUP(E2825,'16.NC'!$C$11:$F$22,4,FALSE)</f>
        <v>186797</v>
      </c>
      <c r="J2825" s="849">
        <f>I2825*H2825</f>
        <v>726640.33000000007</v>
      </c>
      <c r="N2825" s="843" t="e">
        <f>SUMIF(#REF!,'8.Dgia'!A2825,#REF!)+SUMIF(#REF!,'8.Dgia'!A2825,#REF!)+SUMIF(#REF!,'8.Dgia'!A2825,#REF!)+SUMIF(#REF!,'8.Dgia'!A2825,#REF!)</f>
        <v>#REF!</v>
      </c>
      <c r="O2825" s="844"/>
      <c r="P2825" s="843" t="e">
        <f t="shared" si="118"/>
        <v>#REF!</v>
      </c>
      <c r="R2825" s="658">
        <v>1</v>
      </c>
    </row>
    <row r="2826" spans="1:18" ht="15" customHeight="1">
      <c r="A2826" s="657">
        <f>IF(B2826="",MAX($A$8:A2825)+0,MAX($A$8:A2825)+1)</f>
        <v>331</v>
      </c>
      <c r="B2826" s="835" t="str">
        <f>IF(C2826="","",COUNTA($C$10:C2827))</f>
        <v/>
      </c>
      <c r="C2826" s="362"/>
      <c r="D2826" s="362"/>
      <c r="E2826" s="852" t="s">
        <v>2033</v>
      </c>
      <c r="F2826" s="848" t="str">
        <f>VLOOKUP(E2826,DICH!B:C,2,FALSE)</f>
        <v xml:space="preserve">  C - Machine</v>
      </c>
      <c r="G2826" s="883"/>
      <c r="H2826" s="900"/>
      <c r="I2826" s="848"/>
      <c r="J2826" s="849">
        <f>SUM(J2827:J2828)</f>
        <v>972359.4465185455</v>
      </c>
      <c r="N2826" s="843" t="e">
        <f>SUMIF(#REF!,'8.Dgia'!A2826,#REF!)+SUMIF(#REF!,'8.Dgia'!A2826,#REF!)+SUMIF(#REF!,'8.Dgia'!A2826,#REF!)+SUMIF(#REF!,'8.Dgia'!A2826,#REF!)</f>
        <v>#REF!</v>
      </c>
      <c r="O2826" s="844"/>
      <c r="P2826" s="843" t="e">
        <f t="shared" si="118"/>
        <v>#REF!</v>
      </c>
    </row>
    <row r="2827" spans="1:18" ht="15" customHeight="1">
      <c r="A2827" s="657">
        <f>IF(B2827="",MAX($A$8:A2826)+0,MAX($A$8:A2826)+1)</f>
        <v>331</v>
      </c>
      <c r="B2827" s="835" t="str">
        <f>IF(C2827="","",COUNTA($C$10:C2828))</f>
        <v/>
      </c>
      <c r="C2827" s="362"/>
      <c r="D2827" s="362"/>
      <c r="E2827" s="852" t="s">
        <v>780</v>
      </c>
      <c r="F2827" s="848" t="str">
        <f>VLOOKUP(E2827,'9.may'!E:F,2,FALSE)</f>
        <v>avulsion excavator 1.6m3</v>
      </c>
      <c r="G2827" s="883" t="s">
        <v>4902</v>
      </c>
      <c r="H2827" s="900">
        <v>0.20200000000000001</v>
      </c>
      <c r="I2827" s="848">
        <f>VLOOKUP(E2827,'9.may'!E:W,12,FALSE)</f>
        <v>4328652.4456363637</v>
      </c>
      <c r="J2827" s="853">
        <f>I2827*H2827</f>
        <v>874387.79401854554</v>
      </c>
      <c r="N2827" s="843" t="e">
        <f>SUMIF(#REF!,'8.Dgia'!A2827,#REF!)+SUMIF(#REF!,'8.Dgia'!A2827,#REF!)+SUMIF(#REF!,'8.Dgia'!A2827,#REF!)+SUMIF(#REF!,'8.Dgia'!A2827,#REF!)</f>
        <v>#REF!</v>
      </c>
      <c r="O2827" s="844"/>
      <c r="P2827" s="843" t="e">
        <f t="shared" si="118"/>
        <v>#REF!</v>
      </c>
    </row>
    <row r="2828" spans="1:18" ht="15" customHeight="1">
      <c r="A2828" s="657">
        <f>IF(B2828="",MAX($A$8:A2827)+0,MAX($A$8:A2827)+1)</f>
        <v>331</v>
      </c>
      <c r="B2828" s="835" t="str">
        <f>IF(C2828="","",COUNTA($C$10:C2829))</f>
        <v/>
      </c>
      <c r="C2828" s="362"/>
      <c r="D2828" s="362"/>
      <c r="E2828" s="852" t="s">
        <v>624</v>
      </c>
      <c r="F2828" s="848" t="str">
        <f>VLOOKUP(E2828,'9.may'!E:F,2,FALSE)</f>
        <v>bulldozer 108CV</v>
      </c>
      <c r="G2828" s="883" t="s">
        <v>4902</v>
      </c>
      <c r="H2828" s="900">
        <v>0.05</v>
      </c>
      <c r="I2828" s="848">
        <f>VLOOKUP(E2828,'9.may'!E:W,12,FALSE)</f>
        <v>1959433.0499999998</v>
      </c>
      <c r="J2828" s="853">
        <f>I2828*H2828</f>
        <v>97971.652499999997</v>
      </c>
      <c r="N2828" s="843" t="e">
        <f>SUMIF(#REF!,'8.Dgia'!A2828,#REF!)+SUMIF(#REF!,'8.Dgia'!A2828,#REF!)+SUMIF(#REF!,'8.Dgia'!A2828,#REF!)+SUMIF(#REF!,'8.Dgia'!A2828,#REF!)</f>
        <v>#REF!</v>
      </c>
      <c r="O2828" s="844"/>
      <c r="P2828" s="843" t="e">
        <f t="shared" si="118"/>
        <v>#REF!</v>
      </c>
    </row>
    <row r="2829" spans="1:18" ht="15" customHeight="1">
      <c r="A2829" s="657">
        <f>IF(B2829="",MAX($A$8:A2828)+0,MAX($A$8:A2828)+1)</f>
        <v>332</v>
      </c>
      <c r="B2829" s="835">
        <f>IF(C2829="","",COUNTA($C$10:C2830))</f>
        <v>332</v>
      </c>
      <c r="C2829" s="835">
        <f>IF(D2829="","",1776)</f>
        <v>1776</v>
      </c>
      <c r="D2829" s="239" t="s">
        <v>2088</v>
      </c>
      <c r="E2829" s="808" t="s">
        <v>2089</v>
      </c>
      <c r="F2829" s="1049" t="str">
        <f>VLOOKUP(E2829,DICH!B:C,2,FALSE)</f>
        <v>Transport debris 2km</v>
      </c>
      <c r="G2829" s="809" t="s">
        <v>544</v>
      </c>
      <c r="H2829" s="239"/>
      <c r="I2829" s="848"/>
      <c r="J2829" s="853"/>
      <c r="M2829" s="842">
        <f>+J2830</f>
        <v>4173410.8205999993</v>
      </c>
      <c r="N2829" s="843" t="e">
        <f>SUMIF(#REF!,'8.Dgia'!A2829,#REF!)+SUMIF(#REF!,'8.Dgia'!A2829,#REF!)+SUMIF(#REF!,'8.Dgia'!A2829,#REF!)+SUMIF(#REF!,'8.Dgia'!A2829,#REF!)</f>
        <v>#REF!</v>
      </c>
      <c r="O2829" s="844"/>
      <c r="P2829" s="843" t="e">
        <f t="shared" si="117"/>
        <v>#REF!</v>
      </c>
    </row>
    <row r="2830" spans="1:18" ht="15" customHeight="1">
      <c r="A2830" s="657">
        <f>IF(B2830="",MAX($A$8:A2829)+0,MAX($A$8:A2829)+1)</f>
        <v>332</v>
      </c>
      <c r="B2830" s="835" t="str">
        <f>IF(C2830="","",COUNTA($C$10:C2831))</f>
        <v/>
      </c>
      <c r="C2830" s="362"/>
      <c r="D2830" s="239"/>
      <c r="E2830" s="819" t="s">
        <v>2033</v>
      </c>
      <c r="F2830" s="848" t="str">
        <f>VLOOKUP(E2830,DICH!B:C,2,FALSE)</f>
        <v xml:space="preserve">  C - Machine</v>
      </c>
      <c r="G2830" s="704"/>
      <c r="H2830" s="239"/>
      <c r="I2830" s="848"/>
      <c r="J2830" s="849">
        <f>SUM(J2831:J2832)</f>
        <v>4173410.8205999993</v>
      </c>
      <c r="N2830" s="843" t="e">
        <f>SUMIF(#REF!,'8.Dgia'!A2830,#REF!)+SUMIF(#REF!,'8.Dgia'!A2830,#REF!)+SUMIF(#REF!,'8.Dgia'!A2830,#REF!)+SUMIF(#REF!,'8.Dgia'!A2830,#REF!)</f>
        <v>#REF!</v>
      </c>
      <c r="O2830" s="844"/>
      <c r="P2830" s="843" t="e">
        <f t="shared" si="117"/>
        <v>#REF!</v>
      </c>
      <c r="R2830" s="658">
        <v>1</v>
      </c>
    </row>
    <row r="2831" spans="1:18" ht="15" customHeight="1">
      <c r="A2831" s="657">
        <f>IF(B2831="",MAX($A$8:A2830)+0,MAX($A$8:A2830)+1)</f>
        <v>332</v>
      </c>
      <c r="B2831" s="835" t="str">
        <f>IF(C2831="","",COUNTA($C$10:C2832))</f>
        <v/>
      </c>
      <c r="C2831" s="362"/>
      <c r="D2831" s="947" t="s">
        <v>2090</v>
      </c>
      <c r="E2831" s="819" t="s">
        <v>921</v>
      </c>
      <c r="F2831" s="848" t="str">
        <f>VLOOKUP(E2831,'9.may'!E:F,2,FALSE)</f>
        <v>dump truck 7T</v>
      </c>
      <c r="G2831" s="704" t="s">
        <v>4902</v>
      </c>
      <c r="H2831" s="239">
        <v>1.92</v>
      </c>
      <c r="I2831" s="848">
        <f>VLOOKUP(E2831,'9.may'!E:W,12,FALSE)</f>
        <v>1548575.4436363634</v>
      </c>
      <c r="J2831" s="853">
        <f>I2831*H2831</f>
        <v>2973264.8517818176</v>
      </c>
      <c r="N2831" s="843" t="e">
        <f>SUMIF(#REF!,'8.Dgia'!A2831,#REF!)+SUMIF(#REF!,'8.Dgia'!A2831,#REF!)+SUMIF(#REF!,'8.Dgia'!A2831,#REF!)+SUMIF(#REF!,'8.Dgia'!A2831,#REF!)</f>
        <v>#REF!</v>
      </c>
      <c r="O2831" s="844"/>
      <c r="P2831" s="843" t="e">
        <f t="shared" si="117"/>
        <v>#REF!</v>
      </c>
    </row>
    <row r="2832" spans="1:18" ht="15" customHeight="1">
      <c r="A2832" s="657">
        <f>IF(B2832="",MAX($A$8:A2831)+0,MAX($A$8:A2831)+1)</f>
        <v>332</v>
      </c>
      <c r="B2832" s="835" t="str">
        <f>IF(C2832="","",COUNTA($C$10:C2833))</f>
        <v/>
      </c>
      <c r="C2832" s="362"/>
      <c r="D2832" s="947" t="s">
        <v>2091</v>
      </c>
      <c r="E2832" s="819" t="s">
        <v>921</v>
      </c>
      <c r="F2832" s="848" t="str">
        <f>VLOOKUP(E2832,'9.may'!E:F,2,FALSE)</f>
        <v>dump truck 7T</v>
      </c>
      <c r="G2832" s="704" t="s">
        <v>4902</v>
      </c>
      <c r="H2832" s="239">
        <v>0.77500000000000002</v>
      </c>
      <c r="I2832" s="848">
        <f>VLOOKUP(E2832,'9.may'!E:W,12,FALSE)</f>
        <v>1548575.4436363634</v>
      </c>
      <c r="J2832" s="853">
        <f>I2832*H2832</f>
        <v>1200145.9688181817</v>
      </c>
      <c r="N2832" s="843" t="e">
        <f>SUMIF(#REF!,'8.Dgia'!A2832,#REF!)+SUMIF(#REF!,'8.Dgia'!A2832,#REF!)+SUMIF(#REF!,'8.Dgia'!A2832,#REF!)+SUMIF(#REF!,'8.Dgia'!A2832,#REF!)</f>
        <v>#REF!</v>
      </c>
      <c r="O2832" s="844"/>
      <c r="P2832" s="843" t="e">
        <f t="shared" si="117"/>
        <v>#REF!</v>
      </c>
    </row>
    <row r="2833" spans="1:18" ht="15" customHeight="1">
      <c r="A2833" s="657">
        <f>IF(B2833="",MAX($A$8:A2832)+0,MAX($A$8:A2832)+1)</f>
        <v>333</v>
      </c>
      <c r="B2833" s="835">
        <f>IF(C2833="","",COUNTA($C$10:C2834))</f>
        <v>333</v>
      </c>
      <c r="C2833" s="835">
        <f>IF(D2833="","",1776)</f>
        <v>1776</v>
      </c>
      <c r="D2833" s="239" t="s">
        <v>5474</v>
      </c>
      <c r="E2833" s="808" t="s">
        <v>5476</v>
      </c>
      <c r="F2833" s="1049" t="s">
        <v>5477</v>
      </c>
      <c r="G2833" s="809" t="s">
        <v>544</v>
      </c>
      <c r="H2833" s="239"/>
      <c r="I2833" s="848"/>
      <c r="J2833" s="853"/>
      <c r="M2833" s="842">
        <f>+J2834</f>
        <v>3254958.983945454</v>
      </c>
      <c r="N2833" s="843" t="e">
        <f>SUMIF(#REF!,'8.Dgia'!A2833,#REF!)+SUMIF(#REF!,'8.Dgia'!A2833,#REF!)+SUMIF(#REF!,'8.Dgia'!A2833,#REF!)+SUMIF(#REF!,'8.Dgia'!A2833,#REF!)</f>
        <v>#REF!</v>
      </c>
      <c r="O2833" s="844"/>
      <c r="P2833" s="843" t="e">
        <f t="shared" si="117"/>
        <v>#REF!</v>
      </c>
      <c r="Q2833" s="657" t="s">
        <v>457</v>
      </c>
    </row>
    <row r="2834" spans="1:18" ht="15" customHeight="1">
      <c r="A2834" s="657">
        <f>IF(B2834="",MAX($A$8:A2833)+0,MAX($A$8:A2833)+1)</f>
        <v>333</v>
      </c>
      <c r="B2834" s="835" t="str">
        <f>IF(C2834="","",COUNTA($C$10:C2835))</f>
        <v/>
      </c>
      <c r="C2834" s="362"/>
      <c r="D2834" s="239"/>
      <c r="E2834" s="819" t="s">
        <v>2033</v>
      </c>
      <c r="F2834" s="848" t="str">
        <f>VLOOKUP(E2834,DICH!B:C,2,FALSE)</f>
        <v xml:space="preserve">  C - Machine</v>
      </c>
      <c r="G2834" s="704"/>
      <c r="H2834" s="239"/>
      <c r="I2834" s="848"/>
      <c r="J2834" s="849">
        <f>SUM(J2835:J2836)</f>
        <v>3254958.983945454</v>
      </c>
      <c r="N2834" s="843" t="e">
        <f>SUMIF(#REF!,'8.Dgia'!A2834,#REF!)+SUMIF(#REF!,'8.Dgia'!A2834,#REF!)+SUMIF(#REF!,'8.Dgia'!A2834,#REF!)+SUMIF(#REF!,'8.Dgia'!A2834,#REF!)</f>
        <v>#REF!</v>
      </c>
      <c r="O2834" s="844"/>
      <c r="P2834" s="843" t="e">
        <f t="shared" si="117"/>
        <v>#REF!</v>
      </c>
      <c r="Q2834" s="657" t="s">
        <v>457</v>
      </c>
      <c r="R2834" s="658">
        <v>1</v>
      </c>
    </row>
    <row r="2835" spans="1:18" ht="15" customHeight="1">
      <c r="A2835" s="657">
        <f>IF(B2835="",MAX($A$8:A2834)+0,MAX($A$8:A2834)+1)</f>
        <v>333</v>
      </c>
      <c r="B2835" s="835" t="str">
        <f>IF(C2835="","",COUNTA($C$10:C2836))</f>
        <v/>
      </c>
      <c r="C2835" s="362"/>
      <c r="D2835" s="947" t="s">
        <v>5475</v>
      </c>
      <c r="E2835" s="1305" t="s">
        <v>923</v>
      </c>
      <c r="F2835" s="848" t="str">
        <f>VLOOKUP(E2835,'9.may'!E:F,2,FALSE)</f>
        <v>dump truck 10T</v>
      </c>
      <c r="G2835" s="704" t="s">
        <v>4902</v>
      </c>
      <c r="H2835" s="239">
        <v>0.84</v>
      </c>
      <c r="I2835" s="848">
        <f>VLOOKUP(E2835,'9.may'!E:W,12,FALSE)</f>
        <v>1870666.0827272725</v>
      </c>
      <c r="J2835" s="853">
        <f>I2835*H2835</f>
        <v>1571359.5094909088</v>
      </c>
      <c r="N2835" s="843" t="e">
        <f>SUMIF(#REF!,'8.Dgia'!A2835,#REF!)+SUMIF(#REF!,'8.Dgia'!A2835,#REF!)+SUMIF(#REF!,'8.Dgia'!A2835,#REF!)+SUMIF(#REF!,'8.Dgia'!A2835,#REF!)</f>
        <v>#REF!</v>
      </c>
      <c r="O2835" s="844"/>
      <c r="P2835" s="843" t="e">
        <f t="shared" si="117"/>
        <v>#REF!</v>
      </c>
      <c r="Q2835" s="657" t="s">
        <v>457</v>
      </c>
    </row>
    <row r="2836" spans="1:18" ht="15" customHeight="1">
      <c r="A2836" s="657">
        <f>IF(B2836="",MAX($A$8:A2835)+0,MAX($A$8:A2835)+1)</f>
        <v>333</v>
      </c>
      <c r="B2836" s="835" t="str">
        <f>IF(C2836="","",COUNTA($C$10:C2837))</f>
        <v/>
      </c>
      <c r="C2836" s="362"/>
      <c r="D2836" s="947" t="s">
        <v>5474</v>
      </c>
      <c r="E2836" s="1305" t="s">
        <v>923</v>
      </c>
      <c r="F2836" s="848" t="str">
        <f>VLOOKUP(E2836,'9.may'!E:F,2,FALSE)</f>
        <v>dump truck 10T</v>
      </c>
      <c r="G2836" s="704" t="s">
        <v>4902</v>
      </c>
      <c r="H2836" s="239">
        <f>0.3*3</f>
        <v>0.89999999999999991</v>
      </c>
      <c r="I2836" s="848">
        <f>VLOOKUP(E2836,'9.may'!E:W,12,FALSE)</f>
        <v>1870666.0827272725</v>
      </c>
      <c r="J2836" s="853">
        <f>I2836*H2836</f>
        <v>1683599.4744545452</v>
      </c>
      <c r="N2836" s="843" t="e">
        <f>SUMIF(#REF!,'8.Dgia'!A2836,#REF!)+SUMIF(#REF!,'8.Dgia'!A2836,#REF!)+SUMIF(#REF!,'8.Dgia'!A2836,#REF!)+SUMIF(#REF!,'8.Dgia'!A2836,#REF!)</f>
        <v>#REF!</v>
      </c>
      <c r="O2836" s="844"/>
      <c r="P2836" s="843" t="e">
        <f t="shared" si="117"/>
        <v>#REF!</v>
      </c>
      <c r="Q2836" s="657" t="s">
        <v>457</v>
      </c>
    </row>
    <row r="2837" spans="1:18" ht="15" customHeight="1">
      <c r="A2837" s="657">
        <f>IF(B2837="",MAX($A$8:A2836)+0,MAX($A$8:A2836)+1)</f>
        <v>334</v>
      </c>
      <c r="B2837" s="835">
        <f>IF(C2837="","",COUNTA($C$10:C2838))</f>
        <v>334</v>
      </c>
      <c r="C2837" s="835">
        <f>IF(D2837="","",1776)</f>
        <v>1776</v>
      </c>
      <c r="D2837" s="239" t="s">
        <v>5506</v>
      </c>
      <c r="E2837" s="808" t="s">
        <v>5482</v>
      </c>
      <c r="F2837" s="1049" t="str">
        <f>VLOOKUP(E2837,DICH!B:C,2,FALSE)</f>
        <v>Transport by dump truck, 10T, C1, L=15Km</v>
      </c>
      <c r="G2837" s="809" t="s">
        <v>544</v>
      </c>
      <c r="H2837" s="239"/>
      <c r="I2837" s="848"/>
      <c r="J2837" s="853"/>
      <c r="M2837" s="842">
        <f>+J2838</f>
        <v>5524076.9422936365</v>
      </c>
      <c r="N2837" s="843" t="e">
        <f>SUMIF(#REF!,'8.Dgia'!A2837,#REF!)+SUMIF(#REF!,'8.Dgia'!A2837,#REF!)+SUMIF(#REF!,'8.Dgia'!A2837,#REF!)+SUMIF(#REF!,'8.Dgia'!A2837,#REF!)</f>
        <v>#REF!</v>
      </c>
      <c r="O2837" s="844"/>
      <c r="P2837" s="843" t="e">
        <f t="shared" si="117"/>
        <v>#REF!</v>
      </c>
    </row>
    <row r="2838" spans="1:18" ht="15" customHeight="1">
      <c r="A2838" s="657">
        <f>IF(B2838="",MAX($A$8:A2837)+0,MAX($A$8:A2837)+1)</f>
        <v>334</v>
      </c>
      <c r="B2838" s="835" t="str">
        <f>IF(C2838="","",COUNTA($C$10:C2839))</f>
        <v/>
      </c>
      <c r="C2838" s="362"/>
      <c r="D2838" s="239"/>
      <c r="E2838" s="819" t="s">
        <v>2033</v>
      </c>
      <c r="F2838" s="848" t="str">
        <f>VLOOKUP(E2838,DICH!B:C,2,FALSE)</f>
        <v xml:space="preserve">  C - Machine</v>
      </c>
      <c r="G2838" s="704"/>
      <c r="H2838" s="239"/>
      <c r="I2838" s="848"/>
      <c r="J2838" s="849">
        <f>SUM(J2839:J2841)</f>
        <v>5524076.9422936365</v>
      </c>
      <c r="N2838" s="843" t="e">
        <f>SUMIF(#REF!,'8.Dgia'!A2838,#REF!)+SUMIF(#REF!,'8.Dgia'!A2838,#REF!)+SUMIF(#REF!,'8.Dgia'!A2838,#REF!)+SUMIF(#REF!,'8.Dgia'!A2838,#REF!)</f>
        <v>#REF!</v>
      </c>
      <c r="O2838" s="844"/>
      <c r="P2838" s="843" t="e">
        <f t="shared" si="117"/>
        <v>#REF!</v>
      </c>
      <c r="R2838" s="658">
        <v>1</v>
      </c>
    </row>
    <row r="2839" spans="1:18" ht="15" customHeight="1">
      <c r="A2839" s="657">
        <f>IF(B2839="",MAX($A$8:A2838)+0,MAX($A$8:A2838)+1)</f>
        <v>334</v>
      </c>
      <c r="B2839" s="835" t="str">
        <f>IF(C2839="","",COUNTA($C$10:C2840))</f>
        <v/>
      </c>
      <c r="C2839" s="362"/>
      <c r="D2839" s="947" t="s">
        <v>5485</v>
      </c>
      <c r="E2839" s="819" t="s">
        <v>923</v>
      </c>
      <c r="F2839" s="848" t="str">
        <f>VLOOKUP(E2839,'9.may'!E:F,2,FALSE)</f>
        <v>dump truck 10T</v>
      </c>
      <c r="G2839" s="704" t="s">
        <v>4902</v>
      </c>
      <c r="H2839" s="239">
        <v>0.68500000000000005</v>
      </c>
      <c r="I2839" s="848">
        <f>VLOOKUP(E2839,'9.may'!E:W,12,FALSE)</f>
        <v>1870666.0827272725</v>
      </c>
      <c r="J2839" s="853">
        <f>I2839*H2839</f>
        <v>1281406.2666681819</v>
      </c>
      <c r="N2839" s="843" t="e">
        <f>SUMIF(#REF!,'8.Dgia'!A2839,#REF!)+SUMIF(#REF!,'8.Dgia'!A2839,#REF!)+SUMIF(#REF!,'8.Dgia'!A2839,#REF!)+SUMIF(#REF!,'8.Dgia'!A2839,#REF!)</f>
        <v>#REF!</v>
      </c>
      <c r="O2839" s="844"/>
      <c r="P2839" s="843" t="e">
        <f t="shared" si="117"/>
        <v>#REF!</v>
      </c>
    </row>
    <row r="2840" spans="1:18" ht="15" customHeight="1">
      <c r="A2840" s="657">
        <f>IF(B2840="",MAX($A$8:A2839)+0,MAX($A$8:A2839)+1)</f>
        <v>334</v>
      </c>
      <c r="B2840" s="835" t="str">
        <f>IF(C2840="","",COUNTA($C$10:C2841))</f>
        <v/>
      </c>
      <c r="C2840" s="362"/>
      <c r="D2840" s="947" t="s">
        <v>5507</v>
      </c>
      <c r="E2840" s="819" t="s">
        <v>923</v>
      </c>
      <c r="F2840" s="848" t="str">
        <f>VLOOKUP(E2840,'9.may'!E:F,2,FALSE)</f>
        <v>dump truck 10T</v>
      </c>
      <c r="G2840" s="704" t="s">
        <v>4902</v>
      </c>
      <c r="H2840" s="239">
        <f>0.2*7</f>
        <v>1.4000000000000001</v>
      </c>
      <c r="I2840" s="848">
        <f>VLOOKUP(E2840,'9.may'!E:W,12,FALSE)</f>
        <v>1870666.0827272725</v>
      </c>
      <c r="J2840" s="853">
        <f>I2840*H2840</f>
        <v>2618932.5158181819</v>
      </c>
      <c r="N2840" s="843" t="e">
        <f>SUMIF(#REF!,'8.Dgia'!A2840,#REF!)+SUMIF(#REF!,'8.Dgia'!A2840,#REF!)+SUMIF(#REF!,'8.Dgia'!A2840,#REF!)+SUMIF(#REF!,'8.Dgia'!A2840,#REF!)</f>
        <v>#REF!</v>
      </c>
      <c r="O2840" s="844"/>
      <c r="P2840" s="843" t="e">
        <f t="shared" si="117"/>
        <v>#REF!</v>
      </c>
    </row>
    <row r="2841" spans="1:18" ht="15" customHeight="1">
      <c r="A2841" s="657">
        <f>IF(B2841="",MAX($A$8:A2840)+0,MAX($A$8:A2840)+1)</f>
        <v>334</v>
      </c>
      <c r="B2841" s="835" t="str">
        <f>IF(C2841="","",COUNTA($C$10:C2842))</f>
        <v/>
      </c>
      <c r="C2841" s="362"/>
      <c r="D2841" s="947" t="s">
        <v>5506</v>
      </c>
      <c r="E2841" s="819" t="s">
        <v>923</v>
      </c>
      <c r="F2841" s="848" t="str">
        <f>VLOOKUP(E2841,'9.may'!E:F,2,FALSE)</f>
        <v>dump truck 10T</v>
      </c>
      <c r="G2841" s="704" t="s">
        <v>4902</v>
      </c>
      <c r="H2841" s="239">
        <f>0.124*7</f>
        <v>0.86799999999999999</v>
      </c>
      <c r="I2841" s="848">
        <f>VLOOKUP(E2841,'9.may'!E:W,12,FALSE)</f>
        <v>1870666.0827272725</v>
      </c>
      <c r="J2841" s="853">
        <f>I2841*H2841</f>
        <v>1623738.1598072725</v>
      </c>
      <c r="N2841" s="843" t="e">
        <f>SUMIF(#REF!,'8.Dgia'!A2841,#REF!)+SUMIF(#REF!,'8.Dgia'!A2841,#REF!)+SUMIF(#REF!,'8.Dgia'!A2841,#REF!)+SUMIF(#REF!,'8.Dgia'!A2841,#REF!)</f>
        <v>#REF!</v>
      </c>
      <c r="O2841" s="844"/>
      <c r="P2841" s="843" t="e">
        <f>$H2841*N2841*(1+O2841%)</f>
        <v>#REF!</v>
      </c>
    </row>
    <row r="2842" spans="1:18" ht="15" customHeight="1">
      <c r="A2842" s="657">
        <f>IF(B2842="",MAX($A$8:A2841)+0,MAX($A$8:A2841)+1)</f>
        <v>335</v>
      </c>
      <c r="B2842" s="835">
        <f>IF(C2842="","",COUNTA($C$10:C2843))</f>
        <v>335</v>
      </c>
      <c r="C2842" s="835">
        <v>0</v>
      </c>
      <c r="D2842" s="362" t="s">
        <v>306</v>
      </c>
      <c r="E2842" s="855" t="s">
        <v>2093</v>
      </c>
      <c r="F2842" s="848" t="str">
        <f>VLOOKUP(E2842,DICH!B:C,2,FALSE)</f>
        <v>Embanking clay to protect talus</v>
      </c>
      <c r="G2842" s="882" t="s">
        <v>545</v>
      </c>
      <c r="H2842" s="847"/>
      <c r="I2842" s="848"/>
      <c r="J2842" s="853"/>
      <c r="K2842" s="842">
        <f>J2843</f>
        <v>71811.688370184012</v>
      </c>
      <c r="N2842" s="843" t="e">
        <f>SUMIF(#REF!,'8.Dgia'!A2842,#REF!)+SUMIF(#REF!,'8.Dgia'!A2842,#REF!)+SUMIF(#REF!,'8.Dgia'!A2842,#REF!)+SUMIF(#REF!,'8.Dgia'!A2842,#REF!)</f>
        <v>#REF!</v>
      </c>
      <c r="O2842" s="844"/>
      <c r="P2842" s="843" t="e">
        <f t="shared" si="117"/>
        <v>#REF!</v>
      </c>
    </row>
    <row r="2843" spans="1:18" ht="15" customHeight="1">
      <c r="A2843" s="657">
        <f>IF(B2843="",MAX($A$8:A2842)+0,MAX($A$8:A2842)+1)</f>
        <v>335</v>
      </c>
      <c r="B2843" s="835" t="str">
        <f>IF(C2843="","",COUNTA($C$10:C2844))</f>
        <v/>
      </c>
      <c r="C2843" s="362"/>
      <c r="D2843" s="362"/>
      <c r="E2843" s="852" t="s">
        <v>2032</v>
      </c>
      <c r="F2843" s="848" t="str">
        <f>VLOOKUP(E2843,DICH!B:C,2,FALSE)</f>
        <v xml:space="preserve">  A - Material</v>
      </c>
      <c r="G2843" s="882"/>
      <c r="H2843" s="847"/>
      <c r="I2843" s="848"/>
      <c r="J2843" s="849">
        <f>+J2844</f>
        <v>71811.688370184012</v>
      </c>
      <c r="N2843" s="843" t="e">
        <f>SUMIF(#REF!,'8.Dgia'!A2843,#REF!)+SUMIF(#REF!,'8.Dgia'!A2843,#REF!)+SUMIF(#REF!,'8.Dgia'!A2843,#REF!)+SUMIF(#REF!,'8.Dgia'!A2843,#REF!)</f>
        <v>#REF!</v>
      </c>
      <c r="O2843" s="844"/>
      <c r="P2843" s="843" t="e">
        <f t="shared" si="117"/>
        <v>#REF!</v>
      </c>
    </row>
    <row r="2844" spans="1:18" ht="15" customHeight="1">
      <c r="A2844" s="657">
        <f>IF(B2844="",MAX($A$8:A2843)+0,MAX($A$8:A2843)+1)</f>
        <v>335</v>
      </c>
      <c r="B2844" s="835" t="str">
        <f>IF(C2844="","",COUNTA($C$10:C2845))</f>
        <v/>
      </c>
      <c r="C2844" s="362"/>
      <c r="D2844" s="362"/>
      <c r="E2844" s="852" t="s">
        <v>383</v>
      </c>
      <c r="F2844" s="848" t="str">
        <f>VLOOKUP(E2844,DICH!B:C,2,FALSE)</f>
        <v>Clay</v>
      </c>
      <c r="G2844" s="883" t="s">
        <v>545</v>
      </c>
      <c r="H2844" s="847">
        <v>1.1000000000000001</v>
      </c>
      <c r="I2844" s="848">
        <f>VLOOKUP(E2844,'11.gia '!$B:$I,8,FALSE)</f>
        <v>65283.353063803646</v>
      </c>
      <c r="J2844" s="863">
        <f>I2844*H2844</f>
        <v>71811.688370184012</v>
      </c>
      <c r="N2844" s="843" t="e">
        <f>SUMIF(#REF!,'8.Dgia'!A2844,#REF!)+SUMIF(#REF!,'8.Dgia'!A2844,#REF!)+SUMIF(#REF!,'8.Dgia'!A2844,#REF!)+SUMIF(#REF!,'8.Dgia'!A2844,#REF!)</f>
        <v>#REF!</v>
      </c>
      <c r="O2844" s="844"/>
      <c r="P2844" s="843" t="e">
        <f t="shared" si="117"/>
        <v>#REF!</v>
      </c>
    </row>
    <row r="2845" spans="1:18" ht="15" customHeight="1">
      <c r="A2845" s="657">
        <f>IF(B2845="",MAX($A$8:A2844)+0,MAX($A$8:A2844)+1)</f>
        <v>336</v>
      </c>
      <c r="B2845" s="835">
        <f>IF(C2845="","",COUNTA($C$10:C2846))</f>
        <v>336</v>
      </c>
      <c r="C2845" s="835">
        <f>IF(D2845="","",1776)</f>
        <v>1776</v>
      </c>
      <c r="D2845" s="847" t="s">
        <v>2095</v>
      </c>
      <c r="E2845" s="855" t="s">
        <v>2096</v>
      </c>
      <c r="F2845" s="1049" t="str">
        <f>VLOOKUP(E2845,DICH!B:C,2,FALSE)</f>
        <v>Embankment backfill by fine sand, K=0.90 (tamping rammer)</v>
      </c>
      <c r="G2845" s="882" t="s">
        <v>544</v>
      </c>
      <c r="H2845" s="847"/>
      <c r="I2845" s="848"/>
      <c r="J2845" s="853"/>
      <c r="K2845" s="842">
        <f>+J2846</f>
        <v>11372062.387221828</v>
      </c>
      <c r="L2845" s="842">
        <f>+J2848</f>
        <v>866738.08</v>
      </c>
      <c r="M2845" s="842">
        <f>+J2849</f>
        <v>261925.29261589088</v>
      </c>
      <c r="N2845" s="843" t="e">
        <f>SUMIF(#REF!,'8.Dgia'!A2845,#REF!)+SUMIF(#REF!,'8.Dgia'!A2845,#REF!)+SUMIF(#REF!,'8.Dgia'!A2845,#REF!)+SUMIF(#REF!,'8.Dgia'!A2845,#REF!)</f>
        <v>#REF!</v>
      </c>
      <c r="O2845" s="844"/>
      <c r="P2845" s="843" t="e">
        <f t="shared" si="117"/>
        <v>#REF!</v>
      </c>
    </row>
    <row r="2846" spans="1:18" ht="15" customHeight="1">
      <c r="A2846" s="657">
        <f>IF(B2846="",MAX($A$8:A2845)+0,MAX($A$8:A2845)+1)</f>
        <v>336</v>
      </c>
      <c r="B2846" s="835" t="str">
        <f>IF(C2846="","",COUNTA($C$10:C2847))</f>
        <v/>
      </c>
      <c r="C2846" s="362"/>
      <c r="D2846" s="847"/>
      <c r="E2846" s="852" t="s">
        <v>2032</v>
      </c>
      <c r="F2846" s="848" t="str">
        <f>VLOOKUP(E2846,DICH!B:C,2,FALSE)</f>
        <v xml:space="preserve">  A - Material</v>
      </c>
      <c r="G2846" s="884"/>
      <c r="H2846" s="847"/>
      <c r="I2846" s="848"/>
      <c r="J2846" s="849">
        <f>J2847</f>
        <v>11372062.387221828</v>
      </c>
      <c r="N2846" s="843" t="e">
        <f>SUMIF(#REF!,'8.Dgia'!A2846,#REF!)+SUMIF(#REF!,'8.Dgia'!A2846,#REF!)+SUMIF(#REF!,'8.Dgia'!A2846,#REF!)+SUMIF(#REF!,'8.Dgia'!A2846,#REF!)</f>
        <v>#REF!</v>
      </c>
      <c r="O2846" s="844"/>
      <c r="P2846" s="843" t="e">
        <f t="shared" si="117"/>
        <v>#REF!</v>
      </c>
    </row>
    <row r="2847" spans="1:18" ht="15" customHeight="1">
      <c r="A2847" s="657">
        <f>IF(B2847="",MAX($A$8:A2846)+0,MAX($A$8:A2846)+1)</f>
        <v>336</v>
      </c>
      <c r="B2847" s="835" t="str">
        <f>IF(C2847="","",COUNTA($C$10:C2848))</f>
        <v/>
      </c>
      <c r="C2847" s="362"/>
      <c r="D2847" s="847"/>
      <c r="E2847" s="852" t="s">
        <v>602</v>
      </c>
      <c r="F2847" s="848" t="str">
        <f>VLOOKUP(E2847,DICH!B:C,2,FALSE)</f>
        <v>Find sand</v>
      </c>
      <c r="G2847" s="847" t="s">
        <v>545</v>
      </c>
      <c r="H2847" s="847" t="s">
        <v>687</v>
      </c>
      <c r="I2847" s="848">
        <f>VLOOKUP(E2847,'11.gia '!$B:$I,8,FALSE)</f>
        <v>93213.626124769085</v>
      </c>
      <c r="J2847" s="853">
        <f>I2847*H2847</f>
        <v>11372062.387221828</v>
      </c>
      <c r="N2847" s="843" t="e">
        <f>SUMIF(#REF!,'8.Dgia'!A2847,#REF!)+SUMIF(#REF!,'8.Dgia'!A2847,#REF!)+SUMIF(#REF!,'8.Dgia'!A2847,#REF!)+SUMIF(#REF!,'8.Dgia'!A2847,#REF!)</f>
        <v>#REF!</v>
      </c>
      <c r="O2847" s="844"/>
      <c r="P2847" s="843" t="e">
        <f t="shared" si="117"/>
        <v>#REF!</v>
      </c>
    </row>
    <row r="2848" spans="1:18" ht="15" customHeight="1">
      <c r="A2848" s="657">
        <f>IF(B2848="",MAX($A$8:A2847)+0,MAX($A$8:A2847)+1)</f>
        <v>336</v>
      </c>
      <c r="B2848" s="835" t="str">
        <f>IF(C2848="","",COUNTA($C$10:C2849))</f>
        <v/>
      </c>
      <c r="C2848" s="362"/>
      <c r="D2848" s="847"/>
      <c r="E2848" s="852" t="s">
        <v>2038</v>
      </c>
      <c r="F2848" s="848" t="str">
        <f>VLOOKUP(E2848,DICH!B:C,2,FALSE)</f>
        <v xml:space="preserve">  B - Labour 3.0/7</v>
      </c>
      <c r="G2848" s="883" t="s">
        <v>4899</v>
      </c>
      <c r="H2848" s="847">
        <v>4.6399999999999997</v>
      </c>
      <c r="I2848" s="848">
        <f>VLOOKUP(E2848,'16.NC'!$C$11:$F$22,4,FALSE)</f>
        <v>186797</v>
      </c>
      <c r="J2848" s="849">
        <f>I2848*H2848</f>
        <v>866738.08</v>
      </c>
      <c r="N2848" s="843" t="e">
        <f>SUMIF(#REF!,'8.Dgia'!A2848,#REF!)+SUMIF(#REF!,'8.Dgia'!A2848,#REF!)+SUMIF(#REF!,'8.Dgia'!A2848,#REF!)+SUMIF(#REF!,'8.Dgia'!A2848,#REF!)</f>
        <v>#REF!</v>
      </c>
      <c r="O2848" s="844"/>
      <c r="P2848" s="843" t="e">
        <f t="shared" si="117"/>
        <v>#REF!</v>
      </c>
      <c r="R2848" s="658">
        <v>1</v>
      </c>
    </row>
    <row r="2849" spans="1:18" ht="15" customHeight="1">
      <c r="A2849" s="657">
        <f>IF(B2849="",MAX($A$8:A2848)+0,MAX($A$8:A2848)+1)</f>
        <v>336</v>
      </c>
      <c r="B2849" s="835" t="str">
        <f>IF(C2849="","",COUNTA($C$10:C2850))</f>
        <v/>
      </c>
      <c r="C2849" s="362"/>
      <c r="D2849" s="847"/>
      <c r="E2849" s="852" t="s">
        <v>2033</v>
      </c>
      <c r="F2849" s="848" t="str">
        <f>VLOOKUP(E2849,DICH!B:C,2,FALSE)</f>
        <v xml:space="preserve">  C - Machine</v>
      </c>
      <c r="G2849" s="883"/>
      <c r="H2849" s="847"/>
      <c r="I2849" s="848"/>
      <c r="J2849" s="849">
        <f>SUM(J2850:J2851)</f>
        <v>261925.29261589088</v>
      </c>
      <c r="N2849" s="843" t="e">
        <f>SUMIF(#REF!,'8.Dgia'!A2849,#REF!)+SUMIF(#REF!,'8.Dgia'!A2849,#REF!)+SUMIF(#REF!,'8.Dgia'!A2849,#REF!)+SUMIF(#REF!,'8.Dgia'!A2849,#REF!)</f>
        <v>#REF!</v>
      </c>
      <c r="O2849" s="844"/>
      <c r="P2849" s="843" t="e">
        <f t="shared" si="117"/>
        <v>#REF!</v>
      </c>
    </row>
    <row r="2850" spans="1:18" ht="15" customHeight="1">
      <c r="A2850" s="657">
        <f>IF(B2850="",MAX($A$8:A2849)+0,MAX($A$8:A2849)+1)</f>
        <v>336</v>
      </c>
      <c r="B2850" s="835" t="str">
        <f>IF(C2850="","",COUNTA($C$10:C2851))</f>
        <v/>
      </c>
      <c r="C2850" s="362"/>
      <c r="D2850" s="847"/>
      <c r="E2850" s="852" t="s">
        <v>332</v>
      </c>
      <c r="F2850" s="848" t="str">
        <f>VLOOKUP(E2850,'9.may'!E:F,2,FALSE)</f>
        <v>tamping rammer</v>
      </c>
      <c r="G2850" s="883" t="s">
        <v>4902</v>
      </c>
      <c r="H2850" s="847">
        <v>2.3199999999999998</v>
      </c>
      <c r="I2850" s="848">
        <f>VLOOKUP(E2850,'9.may'!E:W,12,FALSE)</f>
        <v>111230.37736363636</v>
      </c>
      <c r="J2850" s="853">
        <f>I2850*H2850</f>
        <v>258054.47548363634</v>
      </c>
      <c r="N2850" s="843" t="e">
        <f>SUMIF(#REF!,'8.Dgia'!A2850,#REF!)+SUMIF(#REF!,'8.Dgia'!A2850,#REF!)+SUMIF(#REF!,'8.Dgia'!A2850,#REF!)+SUMIF(#REF!,'8.Dgia'!A2850,#REF!)</f>
        <v>#REF!</v>
      </c>
      <c r="O2850" s="844">
        <f>+$H$2851</f>
        <v>1.5</v>
      </c>
      <c r="P2850" s="843" t="e">
        <f t="shared" si="117"/>
        <v>#REF!</v>
      </c>
    </row>
    <row r="2851" spans="1:18" ht="15" customHeight="1">
      <c r="A2851" s="657">
        <f>IF(B2851="",MAX($A$8:A2850)+0,MAX($A$8:A2850)+1)</f>
        <v>336</v>
      </c>
      <c r="B2851" s="835" t="str">
        <f>IF(C2851="","",COUNTA($C$10:C2852))</f>
        <v/>
      </c>
      <c r="C2851" s="362"/>
      <c r="D2851" s="847"/>
      <c r="E2851" s="852" t="s">
        <v>553</v>
      </c>
      <c r="F2851" s="848" t="str">
        <f>VLOOKUP(E2851,DICH!B:C,2,FALSE)</f>
        <v>Other machine</v>
      </c>
      <c r="G2851" s="362" t="s">
        <v>554</v>
      </c>
      <c r="H2851" s="847">
        <v>1.5</v>
      </c>
      <c r="I2851" s="848">
        <f>+J2850</f>
        <v>258054.47548363634</v>
      </c>
      <c r="J2851" s="853">
        <f>I2851*H2851%</f>
        <v>3870.817132254545</v>
      </c>
      <c r="N2851" s="843" t="e">
        <f>SUMIF(#REF!,'8.Dgia'!A2851,#REF!)+SUMIF(#REF!,'8.Dgia'!A2851,#REF!)+SUMIF(#REF!,'8.Dgia'!A2851,#REF!)+SUMIF(#REF!,'8.Dgia'!A2851,#REF!)</f>
        <v>#REF!</v>
      </c>
      <c r="O2851" s="844"/>
      <c r="P2851" s="843" t="e">
        <f t="shared" si="117"/>
        <v>#REF!</v>
      </c>
    </row>
    <row r="2852" spans="1:18" ht="15" customHeight="1">
      <c r="A2852" s="657">
        <f>IF(B2852="",MAX($A$8:A2851)+0,MAX($A$8:A2851)+1)</f>
        <v>337</v>
      </c>
      <c r="B2852" s="835">
        <f>IF(C2852="","",COUNTA($C$10:C2853))</f>
        <v>337</v>
      </c>
      <c r="C2852" s="835">
        <f>IF(D2852="","",1776)</f>
        <v>1776</v>
      </c>
      <c r="D2852" s="847" t="s">
        <v>2099</v>
      </c>
      <c r="E2852" s="855" t="s">
        <v>2098</v>
      </c>
      <c r="F2852" s="1049" t="str">
        <f>VLOOKUP(E2852,DICH!B:C,2,FALSE)</f>
        <v>Road marking, thickness 6mm</v>
      </c>
      <c r="G2852" s="882" t="s">
        <v>548</v>
      </c>
      <c r="H2852" s="847"/>
      <c r="I2852" s="848"/>
      <c r="J2852" s="853"/>
      <c r="K2852" s="842">
        <f>+J2853</f>
        <v>293029.83090909093</v>
      </c>
      <c r="L2852" s="842">
        <f>+J2860</f>
        <v>73741.250000000015</v>
      </c>
      <c r="M2852" s="842">
        <f>+J2862</f>
        <v>46189.717885320853</v>
      </c>
      <c r="N2852" s="843" t="e">
        <f>SUMIF(#REF!,'8.Dgia'!A2852,#REF!)+SUMIF(#REF!,'8.Dgia'!A2852,#REF!)+SUMIF(#REF!,'8.Dgia'!A2852,#REF!)+SUMIF(#REF!,'8.Dgia'!A2852,#REF!)</f>
        <v>#REF!</v>
      </c>
      <c r="O2852" s="844"/>
      <c r="P2852" s="843" t="e">
        <f t="shared" si="117"/>
        <v>#REF!</v>
      </c>
    </row>
    <row r="2853" spans="1:18" ht="15" customHeight="1">
      <c r="A2853" s="657">
        <f>IF(B2853="",MAX($A$8:A2852)+0,MAX($A$8:A2852)+1)</f>
        <v>337</v>
      </c>
      <c r="B2853" s="835" t="str">
        <f>IF(C2853="","",COUNTA($C$10:C2854))</f>
        <v/>
      </c>
      <c r="C2853" s="362"/>
      <c r="D2853" s="847"/>
      <c r="E2853" s="852" t="s">
        <v>2032</v>
      </c>
      <c r="F2853" s="848" t="str">
        <f>VLOOKUP(E2853,DICH!B:C,2,FALSE)</f>
        <v xml:space="preserve">  A - Material</v>
      </c>
      <c r="G2853" s="847"/>
      <c r="H2853" s="847"/>
      <c r="I2853" s="848"/>
      <c r="J2853" s="849">
        <f>SUM(J2854:J2859)</f>
        <v>293029.83090909093</v>
      </c>
      <c r="N2853" s="843" t="e">
        <f>SUMIF(#REF!,'8.Dgia'!A2853,#REF!)+SUMIF(#REF!,'8.Dgia'!A2853,#REF!)+SUMIF(#REF!,'8.Dgia'!A2853,#REF!)+SUMIF(#REF!,'8.Dgia'!A2853,#REF!)</f>
        <v>#REF!</v>
      </c>
      <c r="O2853" s="844"/>
      <c r="P2853" s="843" t="e">
        <f t="shared" si="117"/>
        <v>#REF!</v>
      </c>
    </row>
    <row r="2854" spans="1:18" ht="15" customHeight="1">
      <c r="A2854" s="657">
        <f>IF(B2854="",MAX($A$8:A2853)+0,MAX($A$8:A2853)+1)</f>
        <v>337</v>
      </c>
      <c r="B2854" s="835" t="str">
        <f>IF(C2854="","",COUNTA($C$10:C2855))</f>
        <v/>
      </c>
      <c r="C2854" s="362"/>
      <c r="D2854" s="847"/>
      <c r="E2854" s="852" t="s">
        <v>106</v>
      </c>
      <c r="F2854" s="848" t="str">
        <f>VLOOKUP(E2854,DICH!B:C,2,FALSE)</f>
        <v xml:space="preserve">Heat viscid paint </v>
      </c>
      <c r="G2854" s="847" t="s">
        <v>558</v>
      </c>
      <c r="H2854" s="847">
        <f>(7.87-5.19)*(6-3)/(3-2)+5.19</f>
        <v>13.23</v>
      </c>
      <c r="I2854" s="848">
        <f>VLOOKUP(E2854,'11.gia '!$B:$I,8,FALSE)</f>
        <v>19800</v>
      </c>
      <c r="J2854" s="853">
        <f>I2854*H2854</f>
        <v>261954</v>
      </c>
      <c r="N2854" s="843" t="e">
        <f>SUMIF(#REF!,'8.Dgia'!A2854,#REF!)+SUMIF(#REF!,'8.Dgia'!A2854,#REF!)+SUMIF(#REF!,'8.Dgia'!A2854,#REF!)+SUMIF(#REF!,'8.Dgia'!A2854,#REF!)</f>
        <v>#REF!</v>
      </c>
      <c r="O2854" s="844">
        <f>+$H$2859</f>
        <v>1</v>
      </c>
      <c r="P2854" s="843" t="e">
        <f t="shared" si="117"/>
        <v>#REF!</v>
      </c>
    </row>
    <row r="2855" spans="1:18" ht="15" customHeight="1">
      <c r="A2855" s="657">
        <f>IF(B2855="",MAX($A$8:A2854)+0,MAX($A$8:A2854)+1)</f>
        <v>337</v>
      </c>
      <c r="B2855" s="835" t="str">
        <f>IF(C2855="","",COUNTA($C$10:C2856))</f>
        <v/>
      </c>
      <c r="C2855" s="362"/>
      <c r="D2855" s="847"/>
      <c r="E2855" s="948" t="s">
        <v>2175</v>
      </c>
      <c r="F2855" s="848" t="str">
        <f>VLOOKUP(E2855,DICH!B:C,2,FALSE)</f>
        <v>=(7,87-5,19)*(6-3)/(3-2)+5,19</v>
      </c>
      <c r="G2855" s="847"/>
      <c r="H2855" s="847"/>
      <c r="I2855" s="848"/>
      <c r="J2855" s="853"/>
      <c r="N2855" s="843" t="e">
        <f>SUMIF(#REF!,'8.Dgia'!A2855,#REF!)+SUMIF(#REF!,'8.Dgia'!A2855,#REF!)+SUMIF(#REF!,'8.Dgia'!A2855,#REF!)+SUMIF(#REF!,'8.Dgia'!A2855,#REF!)</f>
        <v>#REF!</v>
      </c>
      <c r="O2855" s="844"/>
      <c r="P2855" s="843" t="e">
        <f t="shared" si="117"/>
        <v>#REF!</v>
      </c>
    </row>
    <row r="2856" spans="1:18" ht="15" customHeight="1">
      <c r="A2856" s="657">
        <f>IF(B2856="",MAX($A$8:A2855)+0,MAX($A$8:A2855)+1)</f>
        <v>337</v>
      </c>
      <c r="B2856" s="835" t="str">
        <f>IF(C2856="","",COUNTA($C$10:C2857))</f>
        <v/>
      </c>
      <c r="C2856" s="362"/>
      <c r="D2856" s="847"/>
      <c r="E2856" s="852" t="s">
        <v>126</v>
      </c>
      <c r="F2856" s="848" t="str">
        <f>VLOOKUP(E2856,DICH!B:C,2,FALSE)</f>
        <v>Paint</v>
      </c>
      <c r="G2856" s="847" t="s">
        <v>558</v>
      </c>
      <c r="H2856" s="847">
        <v>0.25</v>
      </c>
      <c r="I2856" s="848">
        <f>VLOOKUP(E2856,'11.gia '!$B:$I,8,FALSE)</f>
        <v>86666.666666666672</v>
      </c>
      <c r="J2856" s="853">
        <f>I2856*H2856</f>
        <v>21666.666666666668</v>
      </c>
      <c r="N2856" s="843" t="e">
        <f>SUMIF(#REF!,'8.Dgia'!A2856,#REF!)+SUMIF(#REF!,'8.Dgia'!A2856,#REF!)+SUMIF(#REF!,'8.Dgia'!A2856,#REF!)+SUMIF(#REF!,'8.Dgia'!A2856,#REF!)</f>
        <v>#REF!</v>
      </c>
      <c r="O2856" s="844">
        <f>+$H$2859</f>
        <v>1</v>
      </c>
      <c r="P2856" s="843" t="e">
        <f t="shared" si="117"/>
        <v>#REF!</v>
      </c>
    </row>
    <row r="2857" spans="1:18" ht="15" customHeight="1">
      <c r="A2857" s="657">
        <f>IF(B2857="",MAX($A$8:A2856)+0,MAX($A$8:A2856)+1)</f>
        <v>337</v>
      </c>
      <c r="B2857" s="835" t="str">
        <f>IF(C2857="","",COUNTA($C$10:C2858))</f>
        <v/>
      </c>
      <c r="C2857" s="362"/>
      <c r="D2857" s="847"/>
      <c r="E2857" s="852" t="s">
        <v>419</v>
      </c>
      <c r="F2857" s="848" t="str">
        <f>VLOOKUP(E2857,DICH!B:C,2,FALSE)</f>
        <v>Gas</v>
      </c>
      <c r="G2857" s="847" t="s">
        <v>558</v>
      </c>
      <c r="H2857" s="847">
        <f>(0.18-0.152)*(6-3)/(3-2)+0.152</f>
        <v>0.23599999999999999</v>
      </c>
      <c r="I2857" s="848">
        <f>VLOOKUP(E2857,'11.gia '!$B:$I,8,FALSE)</f>
        <v>27575.757575757572</v>
      </c>
      <c r="J2857" s="853">
        <f>I2857*H2857</f>
        <v>6507.8787878787871</v>
      </c>
      <c r="N2857" s="843" t="e">
        <f>SUMIF(#REF!,'8.Dgia'!A2857,#REF!)+SUMIF(#REF!,'8.Dgia'!A2857,#REF!)+SUMIF(#REF!,'8.Dgia'!A2857,#REF!)+SUMIF(#REF!,'8.Dgia'!A2857,#REF!)</f>
        <v>#REF!</v>
      </c>
      <c r="O2857" s="844">
        <f>+$H$2859</f>
        <v>1</v>
      </c>
      <c r="P2857" s="843" t="e">
        <f t="shared" si="117"/>
        <v>#REF!</v>
      </c>
    </row>
    <row r="2858" spans="1:18" ht="15" customHeight="1">
      <c r="A2858" s="657">
        <f>IF(B2858="",MAX($A$8:A2857)+0,MAX($A$8:A2857)+1)</f>
        <v>337</v>
      </c>
      <c r="B2858" s="835" t="str">
        <f>IF(C2858="","",COUNTA($C$10:C2859))</f>
        <v/>
      </c>
      <c r="C2858" s="362"/>
      <c r="D2858" s="847"/>
      <c r="E2858" s="948" t="s">
        <v>2176</v>
      </c>
      <c r="F2858" s="848" t="str">
        <f>VLOOKUP(E2858,DICH!B:C,2,FALSE)</f>
        <v>=(0,18-0,152)*(6-3)/(3-2)+0,152</v>
      </c>
      <c r="G2858" s="847"/>
      <c r="H2858" s="847"/>
      <c r="I2858" s="848"/>
      <c r="J2858" s="853"/>
      <c r="N2858" s="843" t="e">
        <f>SUMIF(#REF!,'8.Dgia'!A2858,#REF!)+SUMIF(#REF!,'8.Dgia'!A2858,#REF!)+SUMIF(#REF!,'8.Dgia'!A2858,#REF!)+SUMIF(#REF!,'8.Dgia'!A2858,#REF!)</f>
        <v>#REF!</v>
      </c>
      <c r="O2858" s="844"/>
      <c r="P2858" s="843" t="e">
        <f t="shared" si="117"/>
        <v>#REF!</v>
      </c>
    </row>
    <row r="2859" spans="1:18" ht="15" customHeight="1">
      <c r="A2859" s="657">
        <f>IF(B2859="",MAX($A$8:A2858)+0,MAX($A$8:A2858)+1)</f>
        <v>337</v>
      </c>
      <c r="B2859" s="835" t="str">
        <f>IF(C2859="","",COUNTA($C$10:C2860))</f>
        <v/>
      </c>
      <c r="C2859" s="362"/>
      <c r="D2859" s="847"/>
      <c r="E2859" s="852" t="s">
        <v>555</v>
      </c>
      <c r="F2859" s="848" t="str">
        <f>VLOOKUP(E2859,DICH!B:C,2,FALSE)</f>
        <v>Other material</v>
      </c>
      <c r="G2859" s="362" t="s">
        <v>554</v>
      </c>
      <c r="H2859" s="847">
        <v>1</v>
      </c>
      <c r="I2859" s="848">
        <f>SUM(J2854:J2857)</f>
        <v>290128.54545454547</v>
      </c>
      <c r="J2859" s="853">
        <f>I2859*H2859%</f>
        <v>2901.2854545454547</v>
      </c>
      <c r="N2859" s="843" t="e">
        <f>SUMIF(#REF!,'8.Dgia'!A2859,#REF!)+SUMIF(#REF!,'8.Dgia'!A2859,#REF!)+SUMIF(#REF!,'8.Dgia'!A2859,#REF!)+SUMIF(#REF!,'8.Dgia'!A2859,#REF!)</f>
        <v>#REF!</v>
      </c>
      <c r="O2859" s="844"/>
      <c r="P2859" s="843" t="e">
        <f t="shared" si="117"/>
        <v>#REF!</v>
      </c>
    </row>
    <row r="2860" spans="1:18" ht="15" customHeight="1">
      <c r="A2860" s="657">
        <f>IF(B2860="",MAX($A$8:A2859)+0,MAX($A$8:A2859)+1)</f>
        <v>337</v>
      </c>
      <c r="B2860" s="835" t="str">
        <f>IF(C2860="","",COUNTA($C$10:C2861))</f>
        <v/>
      </c>
      <c r="C2860" s="362"/>
      <c r="D2860" s="847"/>
      <c r="E2860" s="852" t="s">
        <v>2040</v>
      </c>
      <c r="F2860" s="848" t="str">
        <f>VLOOKUP(E2860,DICH!B:C,2,FALSE)</f>
        <v xml:space="preserve">  B - Labour 4.5/7</v>
      </c>
      <c r="G2860" s="892" t="s">
        <v>4899</v>
      </c>
      <c r="H2860" s="847">
        <f>(0.23-0.19)*(6-3)/(3-2)+0.19</f>
        <v>0.31000000000000005</v>
      </c>
      <c r="I2860" s="848">
        <f>VLOOKUP(E2860,'16.NC'!$C$11:$F$22,4,FALSE)</f>
        <v>237875</v>
      </c>
      <c r="J2860" s="849">
        <f>I2860*H2860</f>
        <v>73741.250000000015</v>
      </c>
      <c r="N2860" s="843" t="e">
        <f>SUMIF(#REF!,'8.Dgia'!A2860,#REF!)+SUMIF(#REF!,'8.Dgia'!A2860,#REF!)+SUMIF(#REF!,'8.Dgia'!A2860,#REF!)+SUMIF(#REF!,'8.Dgia'!A2860,#REF!)</f>
        <v>#REF!</v>
      </c>
      <c r="O2860" s="844"/>
      <c r="P2860" s="843" t="e">
        <f t="shared" si="117"/>
        <v>#REF!</v>
      </c>
      <c r="R2860" s="658">
        <v>1</v>
      </c>
    </row>
    <row r="2861" spans="1:18" ht="15" customHeight="1">
      <c r="A2861" s="657">
        <f>IF(B2861="",MAX($A$8:A2860)+0,MAX($A$8:A2860)+1)</f>
        <v>337</v>
      </c>
      <c r="B2861" s="835" t="str">
        <f>IF(C2861="","",COUNTA($C$10:C2862))</f>
        <v/>
      </c>
      <c r="C2861" s="362"/>
      <c r="D2861" s="847"/>
      <c r="E2861" s="948" t="s">
        <v>2177</v>
      </c>
      <c r="F2861" s="848" t="str">
        <f>VLOOKUP(E2861,DICH!B:C,2,FALSE)</f>
        <v>=(0,23-0,19)*(6-3)/(3-2)+0,19</v>
      </c>
      <c r="G2861" s="892"/>
      <c r="H2861" s="847"/>
      <c r="I2861" s="848"/>
      <c r="J2861" s="849"/>
      <c r="N2861" s="843" t="e">
        <f>SUMIF(#REF!,'8.Dgia'!A2861,#REF!)+SUMIF(#REF!,'8.Dgia'!A2861,#REF!)+SUMIF(#REF!,'8.Dgia'!A2861,#REF!)+SUMIF(#REF!,'8.Dgia'!A2861,#REF!)</f>
        <v>#REF!</v>
      </c>
      <c r="O2861" s="844"/>
      <c r="P2861" s="843" t="e">
        <f t="shared" si="117"/>
        <v>#REF!</v>
      </c>
      <c r="R2861" s="658"/>
    </row>
    <row r="2862" spans="1:18" ht="15" customHeight="1">
      <c r="A2862" s="657">
        <f>IF(B2862="",MAX($A$8:A2861)+0,MAX($A$8:A2861)+1)</f>
        <v>337</v>
      </c>
      <c r="B2862" s="835" t="str">
        <f>IF(C2862="","",COUNTA($C$10:C2863))</f>
        <v/>
      </c>
      <c r="C2862" s="362"/>
      <c r="D2862" s="847"/>
      <c r="E2862" s="852" t="s">
        <v>2033</v>
      </c>
      <c r="F2862" s="848" t="str">
        <f>VLOOKUP(E2862,DICH!B:C,2,FALSE)</f>
        <v xml:space="preserve">  C - Machine</v>
      </c>
      <c r="G2862" s="847"/>
      <c r="H2862" s="847"/>
      <c r="I2862" s="848"/>
      <c r="J2862" s="849">
        <f>SUM(J2863:J2866)</f>
        <v>46189.717885320853</v>
      </c>
      <c r="N2862" s="843" t="e">
        <f>SUMIF(#REF!,'8.Dgia'!A2862,#REF!)+SUMIF(#REF!,'8.Dgia'!A2862,#REF!)+SUMIF(#REF!,'8.Dgia'!A2862,#REF!)+SUMIF(#REF!,'8.Dgia'!A2862,#REF!)</f>
        <v>#REF!</v>
      </c>
      <c r="O2862" s="844"/>
      <c r="P2862" s="843" t="e">
        <f t="shared" si="117"/>
        <v>#REF!</v>
      </c>
    </row>
    <row r="2863" spans="1:18" ht="15" customHeight="1">
      <c r="A2863" s="657">
        <f>IF(B2863="",MAX($A$8:A2862)+0,MAX($A$8:A2862)+1)</f>
        <v>337</v>
      </c>
      <c r="B2863" s="835" t="str">
        <f>IF(C2863="","",COUNTA($C$10:C2864))</f>
        <v/>
      </c>
      <c r="C2863" s="362"/>
      <c r="D2863" s="847"/>
      <c r="E2863" s="852" t="s">
        <v>369</v>
      </c>
      <c r="F2863" s="848" t="str">
        <f>VLOOKUP(E2863,'9.may'!E:F,2,FALSE)</f>
        <v>Equipment paint denounce THK10A</v>
      </c>
      <c r="G2863" s="847" t="s">
        <v>4902</v>
      </c>
      <c r="H2863" s="847">
        <v>0.04</v>
      </c>
      <c r="I2863" s="848">
        <f>VLOOKUP(E2863,'9.may'!E:W,12,FALSE)</f>
        <v>133431.15</v>
      </c>
      <c r="J2863" s="853">
        <f>I2863*H2863</f>
        <v>5337.2460000000001</v>
      </c>
      <c r="N2863" s="843" t="e">
        <f>SUMIF(#REF!,'8.Dgia'!A2863,#REF!)+SUMIF(#REF!,'8.Dgia'!A2863,#REF!)+SUMIF(#REF!,'8.Dgia'!A2863,#REF!)+SUMIF(#REF!,'8.Dgia'!A2863,#REF!)</f>
        <v>#REF!</v>
      </c>
      <c r="O2863" s="844">
        <f>+$H$2866</f>
        <v>2</v>
      </c>
      <c r="P2863" s="843" t="e">
        <f t="shared" si="117"/>
        <v>#REF!</v>
      </c>
    </row>
    <row r="2864" spans="1:18" ht="15" customHeight="1">
      <c r="A2864" s="657">
        <f>IF(B2864="",MAX($A$8:A2863)+0,MAX($A$8:A2863)+1)</f>
        <v>337</v>
      </c>
      <c r="B2864" s="835" t="str">
        <f>IF(C2864="","",COUNTA($C$10:C2865))</f>
        <v/>
      </c>
      <c r="C2864" s="362"/>
      <c r="D2864" s="847"/>
      <c r="E2864" s="852" t="s">
        <v>370</v>
      </c>
      <c r="F2864" s="848" t="str">
        <f>VLOOKUP(E2864,'9.may'!E:F,2,FALSE)</f>
        <v>paint furnace YHK 3A</v>
      </c>
      <c r="G2864" s="847" t="s">
        <v>4902</v>
      </c>
      <c r="H2864" s="847">
        <v>0.04</v>
      </c>
      <c r="I2864" s="848">
        <f>VLOOKUP(E2864,'9.may'!E:W,12,FALSE)</f>
        <v>581752.06365269469</v>
      </c>
      <c r="J2864" s="853">
        <f>I2864*H2864</f>
        <v>23270.082546107787</v>
      </c>
      <c r="N2864" s="843" t="e">
        <f>SUMIF(#REF!,'8.Dgia'!A2864,#REF!)+SUMIF(#REF!,'8.Dgia'!A2864,#REF!)+SUMIF(#REF!,'8.Dgia'!A2864,#REF!)+SUMIF(#REF!,'8.Dgia'!A2864,#REF!)</f>
        <v>#REF!</v>
      </c>
      <c r="O2864" s="844">
        <f>+$H$2866</f>
        <v>2</v>
      </c>
      <c r="P2864" s="843" t="e">
        <f t="shared" si="117"/>
        <v>#REF!</v>
      </c>
    </row>
    <row r="2865" spans="1:18" ht="15" customHeight="1">
      <c r="A2865" s="657">
        <f>IF(B2865="",MAX($A$8:A2864)+0,MAX($A$8:A2864)+1)</f>
        <v>337</v>
      </c>
      <c r="B2865" s="835" t="str">
        <f>IF(C2865="","",COUNTA($C$10:C2866))</f>
        <v/>
      </c>
      <c r="C2865" s="362"/>
      <c r="D2865" s="847"/>
      <c r="E2865" s="852" t="s">
        <v>1981</v>
      </c>
      <c r="F2865" s="848" t="str">
        <f>VLOOKUP(E2865,'9.may'!E:F,2,FALSE)</f>
        <v>dump truck 2.5T</v>
      </c>
      <c r="G2865" s="847" t="s">
        <v>4902</v>
      </c>
      <c r="H2865" s="847">
        <v>3.2000000000000001E-2</v>
      </c>
      <c r="I2865" s="848">
        <f>VLOOKUP(E2865,'9.may'!E:W,12,FALSE)</f>
        <v>521147.14363636356</v>
      </c>
      <c r="J2865" s="853">
        <f>I2865*H2865</f>
        <v>16676.708596363635</v>
      </c>
      <c r="N2865" s="843" t="e">
        <f>SUMIF(#REF!,'8.Dgia'!A2865,#REF!)+SUMIF(#REF!,'8.Dgia'!A2865,#REF!)+SUMIF(#REF!,'8.Dgia'!A2865,#REF!)+SUMIF(#REF!,'8.Dgia'!A2865,#REF!)</f>
        <v>#REF!</v>
      </c>
      <c r="O2865" s="844">
        <f>+$H$2866</f>
        <v>2</v>
      </c>
      <c r="P2865" s="843" t="e">
        <f t="shared" si="117"/>
        <v>#REF!</v>
      </c>
    </row>
    <row r="2866" spans="1:18" ht="15" customHeight="1">
      <c r="A2866" s="657">
        <f>IF(B2866="",MAX($A$8:A2865)+0,MAX($A$8:A2865)+1)</f>
        <v>337</v>
      </c>
      <c r="B2866" s="835" t="str">
        <f>IF(C2866="","",COUNTA($C$10:C2867))</f>
        <v/>
      </c>
      <c r="C2866" s="362"/>
      <c r="D2866" s="847"/>
      <c r="E2866" s="852" t="s">
        <v>553</v>
      </c>
      <c r="F2866" s="848" t="str">
        <f>VLOOKUP(E2866,DICH!B:C,2,FALSE)</f>
        <v>Other machine</v>
      </c>
      <c r="G2866" s="362" t="s">
        <v>554</v>
      </c>
      <c r="H2866" s="847">
        <v>2</v>
      </c>
      <c r="I2866" s="848">
        <f>SUM(J2863:J2865)</f>
        <v>45284.037142471425</v>
      </c>
      <c r="J2866" s="853">
        <f>I2866*H2866%</f>
        <v>905.6807428494285</v>
      </c>
      <c r="N2866" s="843" t="e">
        <f>SUMIF(#REF!,'8.Dgia'!A2866,#REF!)+SUMIF(#REF!,'8.Dgia'!A2866,#REF!)+SUMIF(#REF!,'8.Dgia'!A2866,#REF!)+SUMIF(#REF!,'8.Dgia'!A2866,#REF!)</f>
        <v>#REF!</v>
      </c>
      <c r="O2866" s="844"/>
      <c r="P2866" s="843" t="e">
        <f t="shared" si="117"/>
        <v>#REF!</v>
      </c>
    </row>
    <row r="2867" spans="1:18" ht="15" customHeight="1">
      <c r="A2867" s="657">
        <f>IF(B2867="",MAX($A$8:A2866)+0,MAX($A$8:A2866)+1)</f>
        <v>338</v>
      </c>
      <c r="B2867" s="835">
        <f>IF(C2867="","",COUNTA($C$10:C2868))</f>
        <v>338</v>
      </c>
      <c r="C2867" s="835">
        <f>IF(D2867="","",1776)</f>
        <v>1776</v>
      </c>
      <c r="D2867" s="847" t="s">
        <v>2100</v>
      </c>
      <c r="E2867" s="855" t="s">
        <v>3648</v>
      </c>
      <c r="F2867" s="1049" t="str">
        <f>VLOOKUP(E2867,DICH!B:C,2,FALSE)</f>
        <v>Rectangular traffic sign 2x1m, amorM=0.5</v>
      </c>
      <c r="G2867" s="882" t="s">
        <v>4649</v>
      </c>
      <c r="H2867" s="847"/>
      <c r="I2867" s="848"/>
      <c r="J2867" s="853"/>
      <c r="K2867" s="842">
        <f>+J2868</f>
        <v>1000000</v>
      </c>
      <c r="L2867" s="842">
        <f>+J2870</f>
        <v>97318.92</v>
      </c>
      <c r="M2867" s="842">
        <f>+J2871</f>
        <v>7738.762517045453</v>
      </c>
      <c r="N2867" s="843" t="e">
        <f>SUMIF(#REF!,'8.Dgia'!A2867,#REF!)+SUMIF(#REF!,'8.Dgia'!A2867,#REF!)+SUMIF(#REF!,'8.Dgia'!A2867,#REF!)+SUMIF(#REF!,'8.Dgia'!A2867,#REF!)</f>
        <v>#REF!</v>
      </c>
      <c r="O2867" s="844"/>
      <c r="P2867" s="843" t="s">
        <v>2489</v>
      </c>
    </row>
    <row r="2868" spans="1:18" ht="15" customHeight="1">
      <c r="A2868" s="657">
        <f>IF(B2868="",MAX($A$8:A2867)+0,MAX($A$8:A2867)+1)</f>
        <v>338</v>
      </c>
      <c r="B2868" s="835" t="str">
        <f>IF(C2868="","",COUNTA($C$10:C2869))</f>
        <v/>
      </c>
      <c r="C2868" s="362"/>
      <c r="D2868" s="847"/>
      <c r="E2868" s="852" t="s">
        <v>2032</v>
      </c>
      <c r="F2868" s="848" t="str">
        <f>VLOOKUP(E2868,DICH!B:C,2,FALSE)</f>
        <v xml:space="preserve">  A - Material</v>
      </c>
      <c r="G2868" s="847"/>
      <c r="H2868" s="847"/>
      <c r="I2868" s="848"/>
      <c r="J2868" s="849">
        <f>SUM(J2869:J2869)</f>
        <v>1000000</v>
      </c>
      <c r="N2868" s="843" t="e">
        <f>SUMIF(#REF!,'8.Dgia'!A2868,#REF!)+SUMIF(#REF!,'8.Dgia'!A2868,#REF!)+SUMIF(#REF!,'8.Dgia'!A2868,#REF!)+SUMIF(#REF!,'8.Dgia'!A2868,#REF!)</f>
        <v>#REF!</v>
      </c>
      <c r="O2868" s="844"/>
      <c r="P2868" s="843" t="s">
        <v>2489</v>
      </c>
    </row>
    <row r="2869" spans="1:18" ht="15" customHeight="1">
      <c r="A2869" s="657">
        <f>IF(B2869="",MAX($A$8:A2868)+0,MAX($A$8:A2868)+1)</f>
        <v>338</v>
      </c>
      <c r="B2869" s="835" t="str">
        <f>IF(C2869="","",COUNTA($C$10:C2870))</f>
        <v/>
      </c>
      <c r="C2869" s="362"/>
      <c r="D2869" s="847" t="s">
        <v>3647</v>
      </c>
      <c r="E2869" s="852" t="s">
        <v>3566</v>
      </c>
      <c r="F2869" s="848" t="str">
        <f>VLOOKUP(E2869,DICH!B:C,2,FALSE)</f>
        <v>Rectangular traffic sign 2x1m</v>
      </c>
      <c r="G2869" s="847" t="s">
        <v>4649</v>
      </c>
      <c r="H2869" s="847">
        <f>1*0.5</f>
        <v>0.5</v>
      </c>
      <c r="I2869" s="848">
        <f>VLOOKUP(E2869,'11.gia '!$B:$I,8,FALSE)</f>
        <v>2000000</v>
      </c>
      <c r="J2869" s="853">
        <f>I2869*H2869</f>
        <v>1000000</v>
      </c>
      <c r="N2869" s="843" t="e">
        <f>SUMIF(#REF!,'8.Dgia'!A2869,#REF!)+SUMIF(#REF!,'8.Dgia'!A2869,#REF!)+SUMIF(#REF!,'8.Dgia'!A2869,#REF!)+SUMIF(#REF!,'8.Dgia'!A2869,#REF!)</f>
        <v>#REF!</v>
      </c>
      <c r="O2869" s="844"/>
      <c r="P2869" s="843" t="s">
        <v>2489</v>
      </c>
    </row>
    <row r="2870" spans="1:18" ht="15" customHeight="1">
      <c r="A2870" s="657">
        <f>IF(B2870="",MAX($A$8:A2869)+0,MAX($A$8:A2869)+1)</f>
        <v>338</v>
      </c>
      <c r="B2870" s="835" t="str">
        <f>IF(C2870="","",COUNTA($C$10:C2871))</f>
        <v/>
      </c>
      <c r="C2870" s="362"/>
      <c r="D2870" s="847" t="s">
        <v>2226</v>
      </c>
      <c r="E2870" s="852" t="s">
        <v>2041</v>
      </c>
      <c r="F2870" s="848" t="str">
        <f>VLOOKUP(E2870,DICH!B:C,2,FALSE)</f>
        <v xml:space="preserve">  B - Labour 3.7/7</v>
      </c>
      <c r="G2870" s="892" t="s">
        <v>4899</v>
      </c>
      <c r="H2870" s="847">
        <f>0.93*0.5</f>
        <v>0.46500000000000002</v>
      </c>
      <c r="I2870" s="848">
        <f>VLOOKUP(E2870,'16.NC'!$C$11:$F$22,4,FALSE)</f>
        <v>209288</v>
      </c>
      <c r="J2870" s="849">
        <f>I2870*H2870</f>
        <v>97318.92</v>
      </c>
      <c r="N2870" s="843" t="e">
        <f>SUMIF(#REF!,'8.Dgia'!A2870,#REF!)+SUMIF(#REF!,'8.Dgia'!A2870,#REF!)+SUMIF(#REF!,'8.Dgia'!A2870,#REF!)+SUMIF(#REF!,'8.Dgia'!A2870,#REF!)</f>
        <v>#REF!</v>
      </c>
      <c r="O2870" s="844"/>
      <c r="P2870" s="843" t="s">
        <v>2489</v>
      </c>
      <c r="R2870" s="658">
        <v>1</v>
      </c>
    </row>
    <row r="2871" spans="1:18" ht="15" customHeight="1">
      <c r="A2871" s="657">
        <f>IF(B2871="",MAX($A$8:A2870)+0,MAX($A$8:A2870)+1)</f>
        <v>338</v>
      </c>
      <c r="B2871" s="835" t="str">
        <f>IF(C2871="","",COUNTA($C$10:C2872))</f>
        <v/>
      </c>
      <c r="C2871" s="362"/>
      <c r="D2871" s="847" t="s">
        <v>2226</v>
      </c>
      <c r="E2871" s="852" t="s">
        <v>2033</v>
      </c>
      <c r="F2871" s="848" t="str">
        <f>VLOOKUP(E2871,DICH!B:C,2,FALSE)</f>
        <v xml:space="preserve">  C - Machine</v>
      </c>
      <c r="G2871" s="847"/>
      <c r="H2871" s="847"/>
      <c r="I2871" s="848"/>
      <c r="J2871" s="849">
        <f>SUM(J2872:J2872)</f>
        <v>7738.762517045453</v>
      </c>
      <c r="N2871" s="843" t="e">
        <f>SUMIF(#REF!,'8.Dgia'!A2871,#REF!)+SUMIF(#REF!,'8.Dgia'!A2871,#REF!)+SUMIF(#REF!,'8.Dgia'!A2871,#REF!)+SUMIF(#REF!,'8.Dgia'!A2871,#REF!)</f>
        <v>#REF!</v>
      </c>
      <c r="O2871" s="844"/>
      <c r="P2871" s="843" t="s">
        <v>2489</v>
      </c>
    </row>
    <row r="2872" spans="1:18" ht="15" customHeight="1">
      <c r="A2872" s="657">
        <f>IF(B2872="",MAX($A$8:A2871)+0,MAX($A$8:A2871)+1)</f>
        <v>338</v>
      </c>
      <c r="B2872" s="835" t="str">
        <f>IF(C2872="","",COUNTA($C$10:C2873))</f>
        <v/>
      </c>
      <c r="C2872" s="362"/>
      <c r="D2872" s="847"/>
      <c r="E2872" s="852" t="s">
        <v>916</v>
      </c>
      <c r="F2872" s="848" t="str">
        <f>VLOOKUP(E2872,'9.may'!E:F,2,FALSE)</f>
        <v>dump truck 2.5T</v>
      </c>
      <c r="G2872" s="847" t="s">
        <v>4902</v>
      </c>
      <c r="H2872" s="847">
        <f>0.025*0.5</f>
        <v>1.2500000000000001E-2</v>
      </c>
      <c r="I2872" s="848">
        <f>VLOOKUP(E2872,'9.may'!E:W,12,FALSE)</f>
        <v>619101.00136363623</v>
      </c>
      <c r="J2872" s="853">
        <f>I2872*H2872</f>
        <v>7738.762517045453</v>
      </c>
      <c r="N2872" s="843" t="e">
        <f>SUMIF(#REF!,'8.Dgia'!A2872,#REF!)+SUMIF(#REF!,'8.Dgia'!A2872,#REF!)+SUMIF(#REF!,'8.Dgia'!A2872,#REF!)+SUMIF(#REF!,'8.Dgia'!A2872,#REF!)</f>
        <v>#REF!</v>
      </c>
      <c r="O2872" s="844"/>
      <c r="P2872" s="843" t="s">
        <v>2489</v>
      </c>
    </row>
    <row r="2873" spans="1:18" ht="15" customHeight="1">
      <c r="A2873" s="657">
        <f>IF(B2873="",MAX($A$8:A2872)+0,MAX($A$8:A2872)+1)</f>
        <v>339</v>
      </c>
      <c r="B2873" s="835">
        <f>IF(C2873="","",COUNTA($C$10:C2874))</f>
        <v>339</v>
      </c>
      <c r="C2873" s="835">
        <f>IF(D2873="","",1776)</f>
        <v>1776</v>
      </c>
      <c r="D2873" s="847" t="s">
        <v>2100</v>
      </c>
      <c r="E2873" s="855" t="s">
        <v>3649</v>
      </c>
      <c r="F2873" s="1049" t="str">
        <f>VLOOKUP(E2873,DICH!B:C,2,FALSE)</f>
        <v>Rectangular traffic sign 1.2x0.25m, amorM=0.5</v>
      </c>
      <c r="G2873" s="882" t="s">
        <v>4649</v>
      </c>
      <c r="H2873" s="847"/>
      <c r="I2873" s="848"/>
      <c r="J2873" s="853"/>
      <c r="K2873" s="842">
        <f>+J2874</f>
        <v>150000</v>
      </c>
      <c r="L2873" s="842">
        <f>+J2876</f>
        <v>97318.92</v>
      </c>
      <c r="M2873" s="842">
        <f>+J2877</f>
        <v>7738.762517045453</v>
      </c>
      <c r="N2873" s="843" t="e">
        <f>SUMIF(#REF!,'8.Dgia'!A2873,#REF!)+SUMIF(#REF!,'8.Dgia'!A2873,#REF!)+SUMIF(#REF!,'8.Dgia'!A2873,#REF!)+SUMIF(#REF!,'8.Dgia'!A2873,#REF!)</f>
        <v>#REF!</v>
      </c>
      <c r="O2873" s="844"/>
      <c r="P2873" s="843" t="s">
        <v>2489</v>
      </c>
    </row>
    <row r="2874" spans="1:18" ht="15" customHeight="1">
      <c r="A2874" s="657">
        <f>IF(B2874="",MAX($A$8:A2873)+0,MAX($A$8:A2873)+1)</f>
        <v>339</v>
      </c>
      <c r="B2874" s="835" t="str">
        <f>IF(C2874="","",COUNTA($C$10:C2875))</f>
        <v/>
      </c>
      <c r="C2874" s="362"/>
      <c r="D2874" s="847"/>
      <c r="E2874" s="852" t="s">
        <v>2032</v>
      </c>
      <c r="F2874" s="848" t="str">
        <f>VLOOKUP(E2874,DICH!B:C,2,FALSE)</f>
        <v xml:space="preserve">  A - Material</v>
      </c>
      <c r="G2874" s="847"/>
      <c r="H2874" s="847"/>
      <c r="I2874" s="848"/>
      <c r="J2874" s="849">
        <f>SUM(J2875:J2875)</f>
        <v>150000</v>
      </c>
      <c r="N2874" s="843" t="e">
        <f>SUMIF(#REF!,'8.Dgia'!A2874,#REF!)+SUMIF(#REF!,'8.Dgia'!A2874,#REF!)+SUMIF(#REF!,'8.Dgia'!A2874,#REF!)+SUMIF(#REF!,'8.Dgia'!A2874,#REF!)</f>
        <v>#REF!</v>
      </c>
      <c r="O2874" s="844"/>
      <c r="P2874" s="843" t="s">
        <v>2489</v>
      </c>
    </row>
    <row r="2875" spans="1:18" ht="15" customHeight="1">
      <c r="A2875" s="657">
        <f>IF(B2875="",MAX($A$8:A2874)+0,MAX($A$8:A2874)+1)</f>
        <v>339</v>
      </c>
      <c r="B2875" s="835" t="str">
        <f>IF(C2875="","",COUNTA($C$10:C2876))</f>
        <v/>
      </c>
      <c r="C2875" s="362"/>
      <c r="D2875" s="847" t="s">
        <v>3647</v>
      </c>
      <c r="E2875" s="852" t="s">
        <v>3567</v>
      </c>
      <c r="F2875" s="848" t="str">
        <f>VLOOKUP(E2875,DICH!B:C,2,FALSE)</f>
        <v>Rectangular traffic sign 1.2x0.25m</v>
      </c>
      <c r="G2875" s="847" t="s">
        <v>4649</v>
      </c>
      <c r="H2875" s="847">
        <f>1*0.5</f>
        <v>0.5</v>
      </c>
      <c r="I2875" s="848">
        <f>VLOOKUP(E2875,'11.gia '!$B:$I,8,FALSE)</f>
        <v>300000</v>
      </c>
      <c r="J2875" s="853">
        <f>I2875*H2875</f>
        <v>150000</v>
      </c>
      <c r="N2875" s="843" t="e">
        <f>SUMIF(#REF!,'8.Dgia'!A2875,#REF!)+SUMIF(#REF!,'8.Dgia'!A2875,#REF!)+SUMIF(#REF!,'8.Dgia'!A2875,#REF!)+SUMIF(#REF!,'8.Dgia'!A2875,#REF!)</f>
        <v>#REF!</v>
      </c>
      <c r="O2875" s="844"/>
      <c r="P2875" s="843" t="s">
        <v>2489</v>
      </c>
    </row>
    <row r="2876" spans="1:18" ht="15" customHeight="1">
      <c r="A2876" s="657">
        <f>IF(B2876="",MAX($A$8:A2875)+0,MAX($A$8:A2875)+1)</f>
        <v>339</v>
      </c>
      <c r="B2876" s="835" t="str">
        <f>IF(C2876="","",COUNTA($C$10:C2877))</f>
        <v/>
      </c>
      <c r="C2876" s="362"/>
      <c r="D2876" s="847" t="s">
        <v>2226</v>
      </c>
      <c r="E2876" s="852" t="s">
        <v>2041</v>
      </c>
      <c r="F2876" s="848" t="str">
        <f>VLOOKUP(E2876,DICH!B:C,2,FALSE)</f>
        <v xml:space="preserve">  B - Labour 3.7/7</v>
      </c>
      <c r="G2876" s="892" t="s">
        <v>4899</v>
      </c>
      <c r="H2876" s="847">
        <f>0.93*0.5</f>
        <v>0.46500000000000002</v>
      </c>
      <c r="I2876" s="848">
        <f>VLOOKUP(E2876,'16.NC'!$C$11:$F$22,4,FALSE)</f>
        <v>209288</v>
      </c>
      <c r="J2876" s="849">
        <f>I2876*H2876</f>
        <v>97318.92</v>
      </c>
      <c r="N2876" s="843" t="e">
        <f>SUMIF(#REF!,'8.Dgia'!A2876,#REF!)+SUMIF(#REF!,'8.Dgia'!A2876,#REF!)+SUMIF(#REF!,'8.Dgia'!A2876,#REF!)+SUMIF(#REF!,'8.Dgia'!A2876,#REF!)</f>
        <v>#REF!</v>
      </c>
      <c r="O2876" s="844"/>
      <c r="P2876" s="843" t="s">
        <v>2489</v>
      </c>
      <c r="R2876" s="658">
        <v>1</v>
      </c>
    </row>
    <row r="2877" spans="1:18" ht="15" customHeight="1">
      <c r="A2877" s="657">
        <f>IF(B2877="",MAX($A$8:A2876)+0,MAX($A$8:A2876)+1)</f>
        <v>339</v>
      </c>
      <c r="B2877" s="835" t="str">
        <f>IF(C2877="","",COUNTA($C$10:C2878))</f>
        <v/>
      </c>
      <c r="C2877" s="362"/>
      <c r="D2877" s="847" t="s">
        <v>2226</v>
      </c>
      <c r="E2877" s="852" t="s">
        <v>2033</v>
      </c>
      <c r="F2877" s="848" t="str">
        <f>VLOOKUP(E2877,DICH!B:C,2,FALSE)</f>
        <v xml:space="preserve">  C - Machine</v>
      </c>
      <c r="G2877" s="847"/>
      <c r="H2877" s="847"/>
      <c r="I2877" s="848"/>
      <c r="J2877" s="849">
        <f>SUM(J2878:J2878)</f>
        <v>7738.762517045453</v>
      </c>
      <c r="N2877" s="843" t="e">
        <f>SUMIF(#REF!,'8.Dgia'!A2877,#REF!)+SUMIF(#REF!,'8.Dgia'!A2877,#REF!)+SUMIF(#REF!,'8.Dgia'!A2877,#REF!)+SUMIF(#REF!,'8.Dgia'!A2877,#REF!)</f>
        <v>#REF!</v>
      </c>
      <c r="O2877" s="844"/>
      <c r="P2877" s="843" t="s">
        <v>2489</v>
      </c>
    </row>
    <row r="2878" spans="1:18" ht="15" customHeight="1">
      <c r="A2878" s="657">
        <f>IF(B2878="",MAX($A$8:A2877)+0,MAX($A$8:A2877)+1)</f>
        <v>339</v>
      </c>
      <c r="B2878" s="835" t="str">
        <f>IF(C2878="","",COUNTA($C$10:C2879))</f>
        <v/>
      </c>
      <c r="C2878" s="362"/>
      <c r="D2878" s="847"/>
      <c r="E2878" s="852" t="s">
        <v>916</v>
      </c>
      <c r="F2878" s="848" t="str">
        <f>VLOOKUP(E2878,'9.may'!E:F,2,FALSE)</f>
        <v>dump truck 2.5T</v>
      </c>
      <c r="G2878" s="847" t="s">
        <v>4902</v>
      </c>
      <c r="H2878" s="847">
        <f>0.025*0.5</f>
        <v>1.2500000000000001E-2</v>
      </c>
      <c r="I2878" s="848">
        <f>VLOOKUP(E2878,'9.may'!E:W,12,FALSE)</f>
        <v>619101.00136363623</v>
      </c>
      <c r="J2878" s="853">
        <f>I2878*H2878</f>
        <v>7738.762517045453</v>
      </c>
      <c r="N2878" s="843" t="e">
        <f>SUMIF(#REF!,'8.Dgia'!A2878,#REF!)+SUMIF(#REF!,'8.Dgia'!A2878,#REF!)+SUMIF(#REF!,'8.Dgia'!A2878,#REF!)+SUMIF(#REF!,'8.Dgia'!A2878,#REF!)</f>
        <v>#REF!</v>
      </c>
      <c r="O2878" s="844"/>
      <c r="P2878" s="843" t="s">
        <v>2489</v>
      </c>
    </row>
    <row r="2879" spans="1:18" ht="15" customHeight="1">
      <c r="A2879" s="657">
        <f>IF(B2879="",MAX($A$8:A2878)+0,MAX($A$8:A2878)+1)</f>
        <v>340</v>
      </c>
      <c r="B2879" s="835">
        <f>IF(C2879="","",COUNTA($C$10:C2880))</f>
        <v>340</v>
      </c>
      <c r="C2879" s="835">
        <f>IF(D2879="","",1776)</f>
        <v>1776</v>
      </c>
      <c r="D2879" s="847" t="s">
        <v>2100</v>
      </c>
      <c r="E2879" s="855" t="s">
        <v>2050</v>
      </c>
      <c r="F2879" s="1049" t="str">
        <f>VLOOKUP(E2879,DICH!B:C,2,FALSE)</f>
        <v>Rectangular traffic sign 2.4x1.5m</v>
      </c>
      <c r="G2879" s="882" t="s">
        <v>4649</v>
      </c>
      <c r="H2879" s="847"/>
      <c r="I2879" s="848"/>
      <c r="J2879" s="853"/>
      <c r="K2879" s="842">
        <f>+J2880</f>
        <v>3600000</v>
      </c>
      <c r="L2879" s="842">
        <f>+J2882</f>
        <v>97318.92</v>
      </c>
      <c r="M2879" s="842">
        <f>+J2883</f>
        <v>7738.762517045453</v>
      </c>
      <c r="N2879" s="843" t="e">
        <f>SUMIF(#REF!,'8.Dgia'!A2879,#REF!)+SUMIF(#REF!,'8.Dgia'!A2879,#REF!)+SUMIF(#REF!,'8.Dgia'!A2879,#REF!)+SUMIF(#REF!,'8.Dgia'!A2879,#REF!)</f>
        <v>#REF!</v>
      </c>
      <c r="O2879" s="844"/>
      <c r="P2879" s="843" t="e">
        <f t="shared" si="117"/>
        <v>#REF!</v>
      </c>
    </row>
    <row r="2880" spans="1:18" ht="15" customHeight="1">
      <c r="A2880" s="657">
        <f>IF(B2880="",MAX($A$8:A2879)+0,MAX($A$8:A2879)+1)</f>
        <v>340</v>
      </c>
      <c r="B2880" s="835" t="str">
        <f>IF(C2880="","",COUNTA($C$10:C2881))</f>
        <v/>
      </c>
      <c r="C2880" s="362"/>
      <c r="D2880" s="847"/>
      <c r="E2880" s="852" t="s">
        <v>2032</v>
      </c>
      <c r="F2880" s="848" t="str">
        <f>VLOOKUP(E2880,DICH!B:C,2,FALSE)</f>
        <v xml:space="preserve">  A - Material</v>
      </c>
      <c r="G2880" s="847"/>
      <c r="H2880" s="847"/>
      <c r="I2880" s="848"/>
      <c r="J2880" s="849">
        <f>SUM(J2881:J2881)</f>
        <v>3600000</v>
      </c>
      <c r="N2880" s="843" t="e">
        <f>SUMIF(#REF!,'8.Dgia'!A2880,#REF!)+SUMIF(#REF!,'8.Dgia'!A2880,#REF!)+SUMIF(#REF!,'8.Dgia'!A2880,#REF!)+SUMIF(#REF!,'8.Dgia'!A2880,#REF!)</f>
        <v>#REF!</v>
      </c>
      <c r="O2880" s="844"/>
      <c r="P2880" s="843" t="e">
        <f t="shared" si="117"/>
        <v>#REF!</v>
      </c>
    </row>
    <row r="2881" spans="1:18" ht="15" customHeight="1">
      <c r="A2881" s="657">
        <f>IF(B2881="",MAX($A$8:A2880)+0,MAX($A$8:A2880)+1)</f>
        <v>340</v>
      </c>
      <c r="B2881" s="835" t="str">
        <f>IF(C2881="","",COUNTA($C$10:C2882))</f>
        <v/>
      </c>
      <c r="C2881" s="362"/>
      <c r="D2881" s="847"/>
      <c r="E2881" s="852" t="s">
        <v>2050</v>
      </c>
      <c r="F2881" s="848" t="str">
        <f>VLOOKUP(E2881,DICH!B:C,2,FALSE)</f>
        <v>Rectangular traffic sign 2.4x1.5m</v>
      </c>
      <c r="G2881" s="847" t="s">
        <v>4649</v>
      </c>
      <c r="H2881" s="847">
        <v>1</v>
      </c>
      <c r="I2881" s="848">
        <f>VLOOKUP(E2881,'11.gia '!$B:$I,8,FALSE)</f>
        <v>3600000</v>
      </c>
      <c r="J2881" s="853">
        <f>I2881*H2881</f>
        <v>3600000</v>
      </c>
      <c r="N2881" s="843" t="e">
        <f>SUMIF(#REF!,'8.Dgia'!A2881,#REF!)+SUMIF(#REF!,'8.Dgia'!A2881,#REF!)+SUMIF(#REF!,'8.Dgia'!A2881,#REF!)+SUMIF(#REF!,'8.Dgia'!A2881,#REF!)</f>
        <v>#REF!</v>
      </c>
      <c r="O2881" s="844"/>
      <c r="P2881" s="843" t="e">
        <f t="shared" si="117"/>
        <v>#REF!</v>
      </c>
    </row>
    <row r="2882" spans="1:18" ht="15" customHeight="1">
      <c r="A2882" s="657">
        <f>IF(B2882="",MAX($A$8:A2881)+0,MAX($A$8:A2881)+1)</f>
        <v>340</v>
      </c>
      <c r="B2882" s="835" t="str">
        <f>IF(C2882="","",COUNTA($C$10:C2883))</f>
        <v/>
      </c>
      <c r="C2882" s="362"/>
      <c r="D2882" s="847" t="s">
        <v>2226</v>
      </c>
      <c r="E2882" s="852" t="s">
        <v>2041</v>
      </c>
      <c r="F2882" s="848" t="str">
        <f>VLOOKUP(E2882,DICH!B:C,2,FALSE)</f>
        <v xml:space="preserve">  B - Labour 3.7/7</v>
      </c>
      <c r="G2882" s="892" t="s">
        <v>4899</v>
      </c>
      <c r="H2882" s="847">
        <f>0.93*0.5</f>
        <v>0.46500000000000002</v>
      </c>
      <c r="I2882" s="848">
        <f>VLOOKUP(E2882,'16.NC'!$C$11:$F$22,4,FALSE)</f>
        <v>209288</v>
      </c>
      <c r="J2882" s="849">
        <f>I2882*H2882</f>
        <v>97318.92</v>
      </c>
      <c r="N2882" s="843" t="e">
        <f>SUMIF(#REF!,'8.Dgia'!A2882,#REF!)+SUMIF(#REF!,'8.Dgia'!A2882,#REF!)+SUMIF(#REF!,'8.Dgia'!A2882,#REF!)+SUMIF(#REF!,'8.Dgia'!A2882,#REF!)</f>
        <v>#REF!</v>
      </c>
      <c r="O2882" s="844"/>
      <c r="P2882" s="843" t="e">
        <f t="shared" si="117"/>
        <v>#REF!</v>
      </c>
      <c r="R2882" s="658">
        <v>1</v>
      </c>
    </row>
    <row r="2883" spans="1:18" ht="15" customHeight="1">
      <c r="A2883" s="657">
        <f>IF(B2883="",MAX($A$8:A2882)+0,MAX($A$8:A2882)+1)</f>
        <v>340</v>
      </c>
      <c r="B2883" s="835" t="str">
        <f>IF(C2883="","",COUNTA($C$10:C2884))</f>
        <v/>
      </c>
      <c r="C2883" s="362"/>
      <c r="D2883" s="847" t="s">
        <v>2226</v>
      </c>
      <c r="E2883" s="852" t="s">
        <v>2033</v>
      </c>
      <c r="F2883" s="848" t="str">
        <f>VLOOKUP(E2883,DICH!B:C,2,FALSE)</f>
        <v xml:space="preserve">  C - Machine</v>
      </c>
      <c r="G2883" s="847"/>
      <c r="H2883" s="847"/>
      <c r="I2883" s="848"/>
      <c r="J2883" s="849">
        <f>SUM(J2884:J2884)</f>
        <v>7738.762517045453</v>
      </c>
      <c r="N2883" s="843" t="e">
        <f>SUMIF(#REF!,'8.Dgia'!A2883,#REF!)+SUMIF(#REF!,'8.Dgia'!A2883,#REF!)+SUMIF(#REF!,'8.Dgia'!A2883,#REF!)+SUMIF(#REF!,'8.Dgia'!A2883,#REF!)</f>
        <v>#REF!</v>
      </c>
      <c r="O2883" s="844"/>
      <c r="P2883" s="843" t="e">
        <f t="shared" ref="P2883:P2976" si="119">$H2883*N2883*(1+O2883%)</f>
        <v>#REF!</v>
      </c>
    </row>
    <row r="2884" spans="1:18" ht="15" customHeight="1">
      <c r="A2884" s="657">
        <f>IF(B2884="",MAX($A$8:A2883)+0,MAX($A$8:A2883)+1)</f>
        <v>340</v>
      </c>
      <c r="B2884" s="835" t="str">
        <f>IF(C2884="","",COUNTA($C$10:C2885))</f>
        <v/>
      </c>
      <c r="C2884" s="362"/>
      <c r="D2884" s="847"/>
      <c r="E2884" s="852" t="s">
        <v>916</v>
      </c>
      <c r="F2884" s="848" t="str">
        <f>VLOOKUP(E2884,'9.may'!E:F,2,FALSE)</f>
        <v>dump truck 2.5T</v>
      </c>
      <c r="G2884" s="847" t="s">
        <v>4902</v>
      </c>
      <c r="H2884" s="847">
        <f>0.025*0.5</f>
        <v>1.2500000000000001E-2</v>
      </c>
      <c r="I2884" s="848">
        <f>VLOOKUP(E2884,'9.may'!E:W,12,FALSE)</f>
        <v>619101.00136363623</v>
      </c>
      <c r="J2884" s="853">
        <f>I2884*H2884</f>
        <v>7738.762517045453</v>
      </c>
      <c r="N2884" s="843" t="e">
        <f>SUMIF(#REF!,'8.Dgia'!A2884,#REF!)+SUMIF(#REF!,'8.Dgia'!A2884,#REF!)+SUMIF(#REF!,'8.Dgia'!A2884,#REF!)+SUMIF(#REF!,'8.Dgia'!A2884,#REF!)</f>
        <v>#REF!</v>
      </c>
      <c r="O2884" s="844"/>
      <c r="P2884" s="843" t="e">
        <f t="shared" si="119"/>
        <v>#REF!</v>
      </c>
    </row>
    <row r="2885" spans="1:18" ht="15" customHeight="1">
      <c r="A2885" s="657">
        <f>IF(B2885="",MAX($A$8:A2884)+0,MAX($A$8:A2884)+1)</f>
        <v>341</v>
      </c>
      <c r="B2885" s="835">
        <f>IF(C2885="","",COUNTA($C$10:C2886))</f>
        <v>341</v>
      </c>
      <c r="C2885" s="835">
        <f>IF(D2885="","",1776)</f>
        <v>1776</v>
      </c>
      <c r="D2885" s="847" t="s">
        <v>2100</v>
      </c>
      <c r="E2885" s="855" t="s">
        <v>3952</v>
      </c>
      <c r="F2885" s="1049" t="str">
        <f>VLOOKUP(E2885,DICH!B:C,2,FALSE)</f>
        <v>Rectangular traffic sign 1.6x1.0m</v>
      </c>
      <c r="G2885" s="882" t="s">
        <v>4649</v>
      </c>
      <c r="H2885" s="847"/>
      <c r="I2885" s="848"/>
      <c r="J2885" s="853"/>
      <c r="K2885" s="842">
        <f>+J2886</f>
        <v>1600000</v>
      </c>
      <c r="L2885" s="842">
        <f>+J2888</f>
        <v>97318.92</v>
      </c>
      <c r="M2885" s="842">
        <f>+J2889</f>
        <v>7738.762517045453</v>
      </c>
      <c r="N2885" s="843" t="e">
        <f>SUMIF(#REF!,'8.Dgia'!A2885,#REF!)+SUMIF(#REF!,'8.Dgia'!A2885,#REF!)+SUMIF(#REF!,'8.Dgia'!A2885,#REF!)+SUMIF(#REF!,'8.Dgia'!A2885,#REF!)</f>
        <v>#REF!</v>
      </c>
      <c r="O2885" s="844"/>
      <c r="P2885" s="843" t="e">
        <f t="shared" si="119"/>
        <v>#REF!</v>
      </c>
    </row>
    <row r="2886" spans="1:18" ht="15" customHeight="1">
      <c r="A2886" s="657">
        <f>IF(B2886="",MAX($A$8:A2885)+0,MAX($A$8:A2885)+1)</f>
        <v>341</v>
      </c>
      <c r="B2886" s="835" t="str">
        <f>IF(C2886="","",COUNTA($C$10:C2887))</f>
        <v/>
      </c>
      <c r="C2886" s="362"/>
      <c r="D2886" s="847"/>
      <c r="E2886" s="852" t="s">
        <v>2032</v>
      </c>
      <c r="F2886" s="848" t="str">
        <f>VLOOKUP(E2886,DICH!B:C,2,FALSE)</f>
        <v xml:space="preserve">  A - Material</v>
      </c>
      <c r="G2886" s="847"/>
      <c r="H2886" s="847"/>
      <c r="I2886" s="848"/>
      <c r="J2886" s="849">
        <f>SUM(J2887:J2887)</f>
        <v>1600000</v>
      </c>
      <c r="N2886" s="843" t="e">
        <f>SUMIF(#REF!,'8.Dgia'!A2886,#REF!)+SUMIF(#REF!,'8.Dgia'!A2886,#REF!)+SUMIF(#REF!,'8.Dgia'!A2886,#REF!)+SUMIF(#REF!,'8.Dgia'!A2886,#REF!)</f>
        <v>#REF!</v>
      </c>
      <c r="O2886" s="844"/>
      <c r="P2886" s="843" t="e">
        <f t="shared" si="119"/>
        <v>#REF!</v>
      </c>
    </row>
    <row r="2887" spans="1:18" ht="15" customHeight="1">
      <c r="A2887" s="657">
        <f>IF(B2887="",MAX($A$8:A2886)+0,MAX($A$8:A2886)+1)</f>
        <v>341</v>
      </c>
      <c r="B2887" s="835" t="str">
        <f>IF(C2887="","",COUNTA($C$10:C2888))</f>
        <v/>
      </c>
      <c r="C2887" s="362"/>
      <c r="D2887" s="847"/>
      <c r="E2887" s="852" t="s">
        <v>3952</v>
      </c>
      <c r="F2887" s="848" t="str">
        <f>VLOOKUP(E2887,DICH!B:C,2,FALSE)</f>
        <v>Rectangular traffic sign 1.6x1.0m</v>
      </c>
      <c r="G2887" s="847" t="s">
        <v>4649</v>
      </c>
      <c r="H2887" s="847">
        <v>1</v>
      </c>
      <c r="I2887" s="848">
        <f>VLOOKUP(E2887,'11.gia '!$B:$I,8,FALSE)</f>
        <v>1600000</v>
      </c>
      <c r="J2887" s="853">
        <f>I2887*H2887</f>
        <v>1600000</v>
      </c>
      <c r="N2887" s="843" t="e">
        <f>SUMIF(#REF!,'8.Dgia'!A2887,#REF!)+SUMIF(#REF!,'8.Dgia'!A2887,#REF!)+SUMIF(#REF!,'8.Dgia'!A2887,#REF!)+SUMIF(#REF!,'8.Dgia'!A2887,#REF!)</f>
        <v>#REF!</v>
      </c>
      <c r="O2887" s="844"/>
      <c r="P2887" s="843" t="e">
        <f t="shared" si="119"/>
        <v>#REF!</v>
      </c>
    </row>
    <row r="2888" spans="1:18" ht="15" customHeight="1">
      <c r="A2888" s="657">
        <f>IF(B2888="",MAX($A$8:A2887)+0,MAX($A$8:A2887)+1)</f>
        <v>341</v>
      </c>
      <c r="B2888" s="835" t="str">
        <f>IF(C2888="","",COUNTA($C$10:C2889))</f>
        <v/>
      </c>
      <c r="C2888" s="362"/>
      <c r="D2888" s="847" t="s">
        <v>2226</v>
      </c>
      <c r="E2888" s="852" t="s">
        <v>2041</v>
      </c>
      <c r="F2888" s="848" t="str">
        <f>VLOOKUP(E2888,DICH!B:C,2,FALSE)</f>
        <v xml:space="preserve">  B - Labour 3.7/7</v>
      </c>
      <c r="G2888" s="892" t="s">
        <v>4899</v>
      </c>
      <c r="H2888" s="847">
        <f>0.93*0.5</f>
        <v>0.46500000000000002</v>
      </c>
      <c r="I2888" s="848">
        <f>VLOOKUP(E2888,'16.NC'!$C$11:$F$22,4,FALSE)</f>
        <v>209288</v>
      </c>
      <c r="J2888" s="849">
        <f>I2888*H2888</f>
        <v>97318.92</v>
      </c>
      <c r="N2888" s="843" t="e">
        <f>SUMIF(#REF!,'8.Dgia'!A2888,#REF!)+SUMIF(#REF!,'8.Dgia'!A2888,#REF!)+SUMIF(#REF!,'8.Dgia'!A2888,#REF!)+SUMIF(#REF!,'8.Dgia'!A2888,#REF!)</f>
        <v>#REF!</v>
      </c>
      <c r="O2888" s="844"/>
      <c r="P2888" s="843" t="e">
        <f t="shared" si="119"/>
        <v>#REF!</v>
      </c>
      <c r="R2888" s="658">
        <v>1</v>
      </c>
    </row>
    <row r="2889" spans="1:18" ht="15" customHeight="1">
      <c r="A2889" s="657">
        <f>IF(B2889="",MAX($A$8:A2888)+0,MAX($A$8:A2888)+1)</f>
        <v>341</v>
      </c>
      <c r="B2889" s="835" t="str">
        <f>IF(C2889="","",COUNTA($C$10:C2890))</f>
        <v/>
      </c>
      <c r="C2889" s="362"/>
      <c r="D2889" s="847" t="s">
        <v>2226</v>
      </c>
      <c r="E2889" s="852" t="s">
        <v>2033</v>
      </c>
      <c r="F2889" s="848" t="str">
        <f>VLOOKUP(E2889,DICH!B:C,2,FALSE)</f>
        <v xml:space="preserve">  C - Machine</v>
      </c>
      <c r="G2889" s="847"/>
      <c r="H2889" s="847"/>
      <c r="I2889" s="848"/>
      <c r="J2889" s="849">
        <f>SUM(J2890:J2890)</f>
        <v>7738.762517045453</v>
      </c>
      <c r="N2889" s="843" t="e">
        <f>SUMIF(#REF!,'8.Dgia'!A2889,#REF!)+SUMIF(#REF!,'8.Dgia'!A2889,#REF!)+SUMIF(#REF!,'8.Dgia'!A2889,#REF!)+SUMIF(#REF!,'8.Dgia'!A2889,#REF!)</f>
        <v>#REF!</v>
      </c>
      <c r="O2889" s="844"/>
      <c r="P2889" s="843" t="e">
        <f t="shared" si="119"/>
        <v>#REF!</v>
      </c>
    </row>
    <row r="2890" spans="1:18" ht="15" customHeight="1">
      <c r="A2890" s="657">
        <f>IF(B2890="",MAX($A$8:A2889)+0,MAX($A$8:A2889)+1)</f>
        <v>341</v>
      </c>
      <c r="B2890" s="835" t="str">
        <f>IF(C2890="","",COUNTA($C$10:C2891))</f>
        <v/>
      </c>
      <c r="C2890" s="362"/>
      <c r="D2890" s="847"/>
      <c r="E2890" s="852" t="s">
        <v>916</v>
      </c>
      <c r="F2890" s="848" t="str">
        <f>VLOOKUP(E2890,'9.may'!E:F,2,FALSE)</f>
        <v>dump truck 2.5T</v>
      </c>
      <c r="G2890" s="847" t="s">
        <v>4902</v>
      </c>
      <c r="H2890" s="847">
        <f>0.025*0.5</f>
        <v>1.2500000000000001E-2</v>
      </c>
      <c r="I2890" s="848">
        <f>VLOOKUP(E2890,'9.may'!E:W,12,FALSE)</f>
        <v>619101.00136363623</v>
      </c>
      <c r="J2890" s="853">
        <f>I2890*H2890</f>
        <v>7738.762517045453</v>
      </c>
      <c r="N2890" s="843" t="e">
        <f>SUMIF(#REF!,'8.Dgia'!A2890,#REF!)+SUMIF(#REF!,'8.Dgia'!A2890,#REF!)+SUMIF(#REF!,'8.Dgia'!A2890,#REF!)+SUMIF(#REF!,'8.Dgia'!A2890,#REF!)</f>
        <v>#REF!</v>
      </c>
      <c r="O2890" s="844"/>
      <c r="P2890" s="843" t="e">
        <f t="shared" si="119"/>
        <v>#REF!</v>
      </c>
    </row>
    <row r="2891" spans="1:18" ht="15" customHeight="1">
      <c r="A2891" s="657">
        <f>IF(B2891="",MAX($A$8:A2890)+0,MAX($A$8:A2890)+1)</f>
        <v>342</v>
      </c>
      <c r="B2891" s="835">
        <f>IF(C2891="","",COUNTA($C$10:C2892))</f>
        <v>342</v>
      </c>
      <c r="C2891" s="835">
        <f>IF(D2891="","",1776)</f>
        <v>1776</v>
      </c>
      <c r="D2891" s="847" t="s">
        <v>2100</v>
      </c>
      <c r="E2891" s="855" t="s">
        <v>3953</v>
      </c>
      <c r="F2891" s="1049" t="str">
        <f>VLOOKUP(E2891,DICH!B:C,2,FALSE)</f>
        <v>Rectangular traffic sign 0.9x0.45m</v>
      </c>
      <c r="G2891" s="882" t="s">
        <v>4649</v>
      </c>
      <c r="H2891" s="847"/>
      <c r="I2891" s="848"/>
      <c r="J2891" s="853"/>
      <c r="K2891" s="842">
        <f>+J2892</f>
        <v>405000</v>
      </c>
      <c r="L2891" s="842">
        <f>+J2894</f>
        <v>97318.92</v>
      </c>
      <c r="M2891" s="842">
        <f>+J2895</f>
        <v>7738.762517045453</v>
      </c>
      <c r="N2891" s="843" t="e">
        <f>SUMIF(#REF!,'8.Dgia'!A2891,#REF!)+SUMIF(#REF!,'8.Dgia'!A2891,#REF!)+SUMIF(#REF!,'8.Dgia'!A2891,#REF!)+SUMIF(#REF!,'8.Dgia'!A2891,#REF!)</f>
        <v>#REF!</v>
      </c>
      <c r="O2891" s="844"/>
      <c r="P2891" s="843" t="e">
        <f t="shared" si="119"/>
        <v>#REF!</v>
      </c>
    </row>
    <row r="2892" spans="1:18" ht="15" customHeight="1">
      <c r="A2892" s="657">
        <f>IF(B2892="",MAX($A$8:A2891)+0,MAX($A$8:A2891)+1)</f>
        <v>342</v>
      </c>
      <c r="B2892" s="835" t="str">
        <f>IF(C2892="","",COUNTA($C$10:C2893))</f>
        <v/>
      </c>
      <c r="C2892" s="362"/>
      <c r="D2892" s="847"/>
      <c r="E2892" s="852" t="s">
        <v>2032</v>
      </c>
      <c r="F2892" s="848" t="str">
        <f>VLOOKUP(E2892,DICH!B:C,2,FALSE)</f>
        <v xml:space="preserve">  A - Material</v>
      </c>
      <c r="G2892" s="847"/>
      <c r="H2892" s="847"/>
      <c r="I2892" s="848"/>
      <c r="J2892" s="849">
        <f>SUM(J2893:J2893)</f>
        <v>405000</v>
      </c>
      <c r="N2892" s="843" t="e">
        <f>SUMIF(#REF!,'8.Dgia'!A2892,#REF!)+SUMIF(#REF!,'8.Dgia'!A2892,#REF!)+SUMIF(#REF!,'8.Dgia'!A2892,#REF!)+SUMIF(#REF!,'8.Dgia'!A2892,#REF!)</f>
        <v>#REF!</v>
      </c>
      <c r="O2892" s="844"/>
      <c r="P2892" s="843" t="e">
        <f t="shared" si="119"/>
        <v>#REF!</v>
      </c>
    </row>
    <row r="2893" spans="1:18" ht="15" customHeight="1">
      <c r="A2893" s="657">
        <f>IF(B2893="",MAX($A$8:A2892)+0,MAX($A$8:A2892)+1)</f>
        <v>342</v>
      </c>
      <c r="B2893" s="835" t="str">
        <f>IF(C2893="","",COUNTA($C$10:C2894))</f>
        <v/>
      </c>
      <c r="C2893" s="362"/>
      <c r="D2893" s="847"/>
      <c r="E2893" s="852" t="s">
        <v>3953</v>
      </c>
      <c r="F2893" s="848" t="str">
        <f>VLOOKUP(E2893,DICH!B:C,2,FALSE)</f>
        <v>Rectangular traffic sign 0.9x0.45m</v>
      </c>
      <c r="G2893" s="847" t="s">
        <v>4649</v>
      </c>
      <c r="H2893" s="847">
        <v>1</v>
      </c>
      <c r="I2893" s="848">
        <f>VLOOKUP(E2893,'11.gia '!$B:$I,8,FALSE)</f>
        <v>405000</v>
      </c>
      <c r="J2893" s="853">
        <f>I2893*H2893</f>
        <v>405000</v>
      </c>
      <c r="N2893" s="843" t="e">
        <f>SUMIF(#REF!,'8.Dgia'!A2893,#REF!)+SUMIF(#REF!,'8.Dgia'!A2893,#REF!)+SUMIF(#REF!,'8.Dgia'!A2893,#REF!)+SUMIF(#REF!,'8.Dgia'!A2893,#REF!)</f>
        <v>#REF!</v>
      </c>
      <c r="O2893" s="844"/>
      <c r="P2893" s="843" t="e">
        <f t="shared" si="119"/>
        <v>#REF!</v>
      </c>
    </row>
    <row r="2894" spans="1:18" ht="15" customHeight="1">
      <c r="A2894" s="657">
        <f>IF(B2894="",MAX($A$8:A2893)+0,MAX($A$8:A2893)+1)</f>
        <v>342</v>
      </c>
      <c r="B2894" s="835" t="str">
        <f>IF(C2894="","",COUNTA($C$10:C2895))</f>
        <v/>
      </c>
      <c r="C2894" s="362"/>
      <c r="D2894" s="847" t="s">
        <v>2226</v>
      </c>
      <c r="E2894" s="852" t="s">
        <v>2041</v>
      </c>
      <c r="F2894" s="848" t="str">
        <f>VLOOKUP(E2894,DICH!B:C,2,FALSE)</f>
        <v xml:space="preserve">  B - Labour 3.7/7</v>
      </c>
      <c r="G2894" s="892" t="s">
        <v>4899</v>
      </c>
      <c r="H2894" s="847">
        <f>0.93*0.5</f>
        <v>0.46500000000000002</v>
      </c>
      <c r="I2894" s="848">
        <f>VLOOKUP(E2894,'16.NC'!$C$11:$F$22,4,FALSE)</f>
        <v>209288</v>
      </c>
      <c r="J2894" s="849">
        <f>I2894*H2894</f>
        <v>97318.92</v>
      </c>
      <c r="N2894" s="843" t="e">
        <f>SUMIF(#REF!,'8.Dgia'!A2894,#REF!)+SUMIF(#REF!,'8.Dgia'!A2894,#REF!)+SUMIF(#REF!,'8.Dgia'!A2894,#REF!)+SUMIF(#REF!,'8.Dgia'!A2894,#REF!)</f>
        <v>#REF!</v>
      </c>
      <c r="O2894" s="844"/>
      <c r="P2894" s="843" t="e">
        <f t="shared" si="119"/>
        <v>#REF!</v>
      </c>
      <c r="R2894" s="658">
        <v>1</v>
      </c>
    </row>
    <row r="2895" spans="1:18" ht="15" customHeight="1">
      <c r="A2895" s="657">
        <f>IF(B2895="",MAX($A$8:A2894)+0,MAX($A$8:A2894)+1)</f>
        <v>342</v>
      </c>
      <c r="B2895" s="835" t="str">
        <f>IF(C2895="","",COUNTA($C$10:C2896))</f>
        <v/>
      </c>
      <c r="C2895" s="362"/>
      <c r="D2895" s="847" t="s">
        <v>2226</v>
      </c>
      <c r="E2895" s="852" t="s">
        <v>2033</v>
      </c>
      <c r="F2895" s="848" t="str">
        <f>VLOOKUP(E2895,DICH!B:C,2,FALSE)</f>
        <v xml:space="preserve">  C - Machine</v>
      </c>
      <c r="G2895" s="847"/>
      <c r="H2895" s="847"/>
      <c r="I2895" s="848"/>
      <c r="J2895" s="849">
        <f>SUM(J2896:J2896)</f>
        <v>7738.762517045453</v>
      </c>
      <c r="N2895" s="843" t="e">
        <f>SUMIF(#REF!,'8.Dgia'!A2895,#REF!)+SUMIF(#REF!,'8.Dgia'!A2895,#REF!)+SUMIF(#REF!,'8.Dgia'!A2895,#REF!)+SUMIF(#REF!,'8.Dgia'!A2895,#REF!)</f>
        <v>#REF!</v>
      </c>
      <c r="O2895" s="844"/>
      <c r="P2895" s="843" t="e">
        <f t="shared" si="119"/>
        <v>#REF!</v>
      </c>
    </row>
    <row r="2896" spans="1:18" ht="15" customHeight="1">
      <c r="A2896" s="657">
        <f>IF(B2896="",MAX($A$8:A2895)+0,MAX($A$8:A2895)+1)</f>
        <v>342</v>
      </c>
      <c r="B2896" s="835" t="str">
        <f>IF(C2896="","",COUNTA($C$10:C2897))</f>
        <v/>
      </c>
      <c r="C2896" s="362"/>
      <c r="D2896" s="847"/>
      <c r="E2896" s="852" t="s">
        <v>916</v>
      </c>
      <c r="F2896" s="848" t="str">
        <f>VLOOKUP(E2896,'9.may'!E:F,2,FALSE)</f>
        <v>dump truck 2.5T</v>
      </c>
      <c r="G2896" s="847" t="s">
        <v>4902</v>
      </c>
      <c r="H2896" s="847">
        <f>0.025*0.5</f>
        <v>1.2500000000000001E-2</v>
      </c>
      <c r="I2896" s="848">
        <f>VLOOKUP(E2896,'9.may'!E:W,12,FALSE)</f>
        <v>619101.00136363623</v>
      </c>
      <c r="J2896" s="853">
        <f>I2896*H2896</f>
        <v>7738.762517045453</v>
      </c>
      <c r="N2896" s="843" t="e">
        <f>SUMIF(#REF!,'8.Dgia'!A2896,#REF!)+SUMIF(#REF!,'8.Dgia'!A2896,#REF!)+SUMIF(#REF!,'8.Dgia'!A2896,#REF!)+SUMIF(#REF!,'8.Dgia'!A2896,#REF!)</f>
        <v>#REF!</v>
      </c>
      <c r="O2896" s="844"/>
      <c r="P2896" s="843" t="e">
        <f t="shared" si="119"/>
        <v>#REF!</v>
      </c>
    </row>
    <row r="2897" spans="1:18" ht="15" customHeight="1">
      <c r="A2897" s="657">
        <f>IF(B2897="",MAX($A$8:A2896)+0,MAX($A$8:A2896)+1)</f>
        <v>343</v>
      </c>
      <c r="B2897" s="835">
        <f>IF(C2897="","",COUNTA($C$10:C2898))</f>
        <v>343</v>
      </c>
      <c r="C2897" s="835">
        <f>IF(D2897="","",1776)</f>
        <v>1776</v>
      </c>
      <c r="D2897" s="847" t="s">
        <v>2100</v>
      </c>
      <c r="E2897" s="855" t="s">
        <v>3955</v>
      </c>
      <c r="F2897" s="1049" t="str">
        <f>VLOOKUP(E2897,DICH!B:C,2,FALSE)</f>
        <v>Rectangular traffic sign 0.7x0.3m</v>
      </c>
      <c r="G2897" s="882" t="s">
        <v>4649</v>
      </c>
      <c r="H2897" s="847"/>
      <c r="I2897" s="848"/>
      <c r="J2897" s="853"/>
      <c r="K2897" s="842">
        <f>+J2898</f>
        <v>210000</v>
      </c>
      <c r="L2897" s="842">
        <f>+J2900</f>
        <v>97318.92</v>
      </c>
      <c r="M2897" s="842">
        <f>+J2901</f>
        <v>7738.762517045453</v>
      </c>
      <c r="N2897" s="843" t="e">
        <f>SUMIF(#REF!,'8.Dgia'!A2897,#REF!)+SUMIF(#REF!,'8.Dgia'!A2897,#REF!)+SUMIF(#REF!,'8.Dgia'!A2897,#REF!)+SUMIF(#REF!,'8.Dgia'!A2897,#REF!)</f>
        <v>#REF!</v>
      </c>
      <c r="O2897" s="844"/>
      <c r="P2897" s="843" t="e">
        <f t="shared" ref="P2897:P2902" si="120">$H2897*N2897*(1+O2897%)</f>
        <v>#REF!</v>
      </c>
    </row>
    <row r="2898" spans="1:18" ht="15" customHeight="1">
      <c r="A2898" s="657">
        <f>IF(B2898="",MAX($A$8:A2897)+0,MAX($A$8:A2897)+1)</f>
        <v>343</v>
      </c>
      <c r="B2898" s="835" t="str">
        <f>IF(C2898="","",COUNTA($C$10:C2899))</f>
        <v/>
      </c>
      <c r="C2898" s="362"/>
      <c r="D2898" s="847"/>
      <c r="E2898" s="852" t="s">
        <v>2032</v>
      </c>
      <c r="F2898" s="848" t="str">
        <f>VLOOKUP(E2898,DICH!B:C,2,FALSE)</f>
        <v xml:space="preserve">  A - Material</v>
      </c>
      <c r="G2898" s="847"/>
      <c r="H2898" s="847"/>
      <c r="I2898" s="848"/>
      <c r="J2898" s="849">
        <f>SUM(J2899:J2899)</f>
        <v>210000</v>
      </c>
      <c r="N2898" s="843" t="e">
        <f>SUMIF(#REF!,'8.Dgia'!A2898,#REF!)+SUMIF(#REF!,'8.Dgia'!A2898,#REF!)+SUMIF(#REF!,'8.Dgia'!A2898,#REF!)+SUMIF(#REF!,'8.Dgia'!A2898,#REF!)</f>
        <v>#REF!</v>
      </c>
      <c r="O2898" s="844"/>
      <c r="P2898" s="843" t="e">
        <f t="shared" si="120"/>
        <v>#REF!</v>
      </c>
    </row>
    <row r="2899" spans="1:18" ht="15" customHeight="1">
      <c r="A2899" s="657">
        <f>IF(B2899="",MAX($A$8:A2898)+0,MAX($A$8:A2898)+1)</f>
        <v>343</v>
      </c>
      <c r="B2899" s="835" t="str">
        <f>IF(C2899="","",COUNTA($C$10:C2900))</f>
        <v/>
      </c>
      <c r="C2899" s="362"/>
      <c r="D2899" s="847"/>
      <c r="E2899" s="852" t="s">
        <v>3955</v>
      </c>
      <c r="F2899" s="848" t="str">
        <f>VLOOKUP(E2899,DICH!B:C,2,FALSE)</f>
        <v>Rectangular traffic sign 0.7x0.3m</v>
      </c>
      <c r="G2899" s="847" t="s">
        <v>4649</v>
      </c>
      <c r="H2899" s="847">
        <v>1</v>
      </c>
      <c r="I2899" s="848">
        <f>VLOOKUP(E2899,'11.gia '!$B:$I,8,FALSE)</f>
        <v>210000</v>
      </c>
      <c r="J2899" s="853">
        <f>I2899*H2899</f>
        <v>210000</v>
      </c>
      <c r="N2899" s="843" t="e">
        <f>SUMIF(#REF!,'8.Dgia'!A2899,#REF!)+SUMIF(#REF!,'8.Dgia'!A2899,#REF!)+SUMIF(#REF!,'8.Dgia'!A2899,#REF!)+SUMIF(#REF!,'8.Dgia'!A2899,#REF!)</f>
        <v>#REF!</v>
      </c>
      <c r="O2899" s="844"/>
      <c r="P2899" s="843" t="e">
        <f t="shared" si="120"/>
        <v>#REF!</v>
      </c>
    </row>
    <row r="2900" spans="1:18" ht="15" customHeight="1">
      <c r="A2900" s="657">
        <f>IF(B2900="",MAX($A$8:A2899)+0,MAX($A$8:A2899)+1)</f>
        <v>343</v>
      </c>
      <c r="B2900" s="835" t="str">
        <f>IF(C2900="","",COUNTA($C$10:C2901))</f>
        <v/>
      </c>
      <c r="C2900" s="362"/>
      <c r="D2900" s="847" t="s">
        <v>2226</v>
      </c>
      <c r="E2900" s="852" t="s">
        <v>2041</v>
      </c>
      <c r="F2900" s="848" t="str">
        <f>VLOOKUP(E2900,DICH!B:C,2,FALSE)</f>
        <v xml:space="preserve">  B - Labour 3.7/7</v>
      </c>
      <c r="G2900" s="892" t="s">
        <v>4899</v>
      </c>
      <c r="H2900" s="847">
        <f>0.93*0.5</f>
        <v>0.46500000000000002</v>
      </c>
      <c r="I2900" s="848">
        <f>VLOOKUP(E2900,'16.NC'!$C$11:$F$22,4,FALSE)</f>
        <v>209288</v>
      </c>
      <c r="J2900" s="849">
        <f>I2900*H2900</f>
        <v>97318.92</v>
      </c>
      <c r="N2900" s="843" t="e">
        <f>SUMIF(#REF!,'8.Dgia'!A2900,#REF!)+SUMIF(#REF!,'8.Dgia'!A2900,#REF!)+SUMIF(#REF!,'8.Dgia'!A2900,#REF!)+SUMIF(#REF!,'8.Dgia'!A2900,#REF!)</f>
        <v>#REF!</v>
      </c>
      <c r="O2900" s="844"/>
      <c r="P2900" s="843" t="e">
        <f t="shared" si="120"/>
        <v>#REF!</v>
      </c>
      <c r="R2900" s="658">
        <v>1</v>
      </c>
    </row>
    <row r="2901" spans="1:18" ht="15" customHeight="1">
      <c r="A2901" s="657">
        <f>IF(B2901="",MAX($A$8:A2900)+0,MAX($A$8:A2900)+1)</f>
        <v>343</v>
      </c>
      <c r="B2901" s="835" t="str">
        <f>IF(C2901="","",COUNTA($C$10:C2902))</f>
        <v/>
      </c>
      <c r="C2901" s="362"/>
      <c r="D2901" s="847" t="s">
        <v>2226</v>
      </c>
      <c r="E2901" s="852" t="s">
        <v>2033</v>
      </c>
      <c r="F2901" s="848" t="str">
        <f>VLOOKUP(E2901,DICH!B:C,2,FALSE)</f>
        <v xml:space="preserve">  C - Machine</v>
      </c>
      <c r="G2901" s="847"/>
      <c r="H2901" s="847"/>
      <c r="I2901" s="848"/>
      <c r="J2901" s="849">
        <f>SUM(J2902:J2902)</f>
        <v>7738.762517045453</v>
      </c>
      <c r="N2901" s="843" t="e">
        <f>SUMIF(#REF!,'8.Dgia'!A2901,#REF!)+SUMIF(#REF!,'8.Dgia'!A2901,#REF!)+SUMIF(#REF!,'8.Dgia'!A2901,#REF!)+SUMIF(#REF!,'8.Dgia'!A2901,#REF!)</f>
        <v>#REF!</v>
      </c>
      <c r="O2901" s="844"/>
      <c r="P2901" s="843" t="e">
        <f t="shared" si="120"/>
        <v>#REF!</v>
      </c>
    </row>
    <row r="2902" spans="1:18" ht="15" customHeight="1">
      <c r="A2902" s="657">
        <f>IF(B2902="",MAX($A$8:A2901)+0,MAX($A$8:A2901)+1)</f>
        <v>343</v>
      </c>
      <c r="B2902" s="835" t="str">
        <f>IF(C2902="","",COUNTA($C$10:C2903))</f>
        <v/>
      </c>
      <c r="C2902" s="362"/>
      <c r="D2902" s="847"/>
      <c r="E2902" s="852" t="s">
        <v>916</v>
      </c>
      <c r="F2902" s="848" t="str">
        <f>VLOOKUP(E2902,'9.may'!E:F,2,FALSE)</f>
        <v>dump truck 2.5T</v>
      </c>
      <c r="G2902" s="847" t="s">
        <v>4902</v>
      </c>
      <c r="H2902" s="847">
        <f>0.025*0.5</f>
        <v>1.2500000000000001E-2</v>
      </c>
      <c r="I2902" s="848">
        <f>VLOOKUP(E2902,'9.may'!E:W,12,FALSE)</f>
        <v>619101.00136363623</v>
      </c>
      <c r="J2902" s="853">
        <f>I2902*H2902</f>
        <v>7738.762517045453</v>
      </c>
      <c r="N2902" s="843" t="e">
        <f>SUMIF(#REF!,'8.Dgia'!A2902,#REF!)+SUMIF(#REF!,'8.Dgia'!A2902,#REF!)+SUMIF(#REF!,'8.Dgia'!A2902,#REF!)+SUMIF(#REF!,'8.Dgia'!A2902,#REF!)</f>
        <v>#REF!</v>
      </c>
      <c r="O2902" s="844"/>
      <c r="P2902" s="843" t="e">
        <f t="shared" si="120"/>
        <v>#REF!</v>
      </c>
    </row>
    <row r="2903" spans="1:18" ht="15" customHeight="1">
      <c r="A2903" s="657">
        <f>IF(B2903="",MAX($A$8:A2902)+0,MAX($A$8:A2902)+1)</f>
        <v>344</v>
      </c>
      <c r="B2903" s="835">
        <f>IF(C2903="","",COUNTA($C$10:C2904))</f>
        <v>344</v>
      </c>
      <c r="C2903" s="835">
        <f>IF(D2903="","",1776)</f>
        <v>1776</v>
      </c>
      <c r="D2903" s="847" t="s">
        <v>2100</v>
      </c>
      <c r="E2903" s="855" t="s">
        <v>3954</v>
      </c>
      <c r="F2903" s="1049" t="str">
        <f>VLOOKUP(E2903,DICH!B:C,2,FALSE)</f>
        <v>Square traffic sign 0.6x0.6m</v>
      </c>
      <c r="G2903" s="882" t="s">
        <v>4649</v>
      </c>
      <c r="H2903" s="847"/>
      <c r="I2903" s="848"/>
      <c r="J2903" s="853"/>
      <c r="K2903" s="842">
        <f>+J2904</f>
        <v>360000</v>
      </c>
      <c r="L2903" s="842">
        <f>+J2906</f>
        <v>97318.92</v>
      </c>
      <c r="M2903" s="842">
        <f>+J2907</f>
        <v>7738.762517045453</v>
      </c>
      <c r="N2903" s="843" t="e">
        <f>SUMIF(#REF!,'8.Dgia'!A2903,#REF!)+SUMIF(#REF!,'8.Dgia'!A2903,#REF!)+SUMIF(#REF!,'8.Dgia'!A2903,#REF!)+SUMIF(#REF!,'8.Dgia'!A2903,#REF!)</f>
        <v>#REF!</v>
      </c>
      <c r="O2903" s="844"/>
      <c r="P2903" s="843" t="e">
        <f t="shared" ref="P2903:P2914" si="121">$H2903*N2903*(1+O2903%)</f>
        <v>#REF!</v>
      </c>
    </row>
    <row r="2904" spans="1:18" ht="15" customHeight="1">
      <c r="A2904" s="657">
        <f>IF(B2904="",MAX($A$8:A2903)+0,MAX($A$8:A2903)+1)</f>
        <v>344</v>
      </c>
      <c r="B2904" s="835" t="str">
        <f>IF(C2904="","",COUNTA($C$10:C2905))</f>
        <v/>
      </c>
      <c r="C2904" s="362"/>
      <c r="D2904" s="847"/>
      <c r="E2904" s="852" t="s">
        <v>2032</v>
      </c>
      <c r="F2904" s="848" t="str">
        <f>VLOOKUP(E2904,DICH!B:C,2,FALSE)</f>
        <v xml:space="preserve">  A - Material</v>
      </c>
      <c r="G2904" s="847"/>
      <c r="H2904" s="847"/>
      <c r="I2904" s="848"/>
      <c r="J2904" s="849">
        <f>SUM(J2905:J2905)</f>
        <v>360000</v>
      </c>
      <c r="N2904" s="843" t="e">
        <f>SUMIF(#REF!,'8.Dgia'!A2904,#REF!)+SUMIF(#REF!,'8.Dgia'!A2904,#REF!)+SUMIF(#REF!,'8.Dgia'!A2904,#REF!)+SUMIF(#REF!,'8.Dgia'!A2904,#REF!)</f>
        <v>#REF!</v>
      </c>
      <c r="O2904" s="844"/>
      <c r="P2904" s="843" t="e">
        <f t="shared" si="121"/>
        <v>#REF!</v>
      </c>
    </row>
    <row r="2905" spans="1:18" ht="15" customHeight="1">
      <c r="A2905" s="657">
        <f>IF(B2905="",MAX($A$8:A2904)+0,MAX($A$8:A2904)+1)</f>
        <v>344</v>
      </c>
      <c r="B2905" s="835" t="str">
        <f>IF(C2905="","",COUNTA($C$10:C2906))</f>
        <v/>
      </c>
      <c r="C2905" s="362"/>
      <c r="D2905" s="847"/>
      <c r="E2905" s="852" t="s">
        <v>3954</v>
      </c>
      <c r="F2905" s="848" t="str">
        <f>VLOOKUP(E2905,DICH!B:C,2,FALSE)</f>
        <v>Square traffic sign 0.6x0.6m</v>
      </c>
      <c r="G2905" s="847" t="s">
        <v>4649</v>
      </c>
      <c r="H2905" s="847">
        <v>1</v>
      </c>
      <c r="I2905" s="848">
        <f>VLOOKUP(E2905,'11.gia '!$B:$I,8,FALSE)</f>
        <v>360000</v>
      </c>
      <c r="J2905" s="853">
        <f>I2905*H2905</f>
        <v>360000</v>
      </c>
      <c r="N2905" s="843" t="e">
        <f>SUMIF(#REF!,'8.Dgia'!A2905,#REF!)+SUMIF(#REF!,'8.Dgia'!A2905,#REF!)+SUMIF(#REF!,'8.Dgia'!A2905,#REF!)+SUMIF(#REF!,'8.Dgia'!A2905,#REF!)</f>
        <v>#REF!</v>
      </c>
      <c r="O2905" s="844"/>
      <c r="P2905" s="843" t="e">
        <f t="shared" si="121"/>
        <v>#REF!</v>
      </c>
    </row>
    <row r="2906" spans="1:18" ht="15" customHeight="1">
      <c r="A2906" s="657">
        <f>IF(B2906="",MAX($A$8:A2905)+0,MAX($A$8:A2905)+1)</f>
        <v>344</v>
      </c>
      <c r="B2906" s="835" t="str">
        <f>IF(C2906="","",COUNTA($C$10:C2907))</f>
        <v/>
      </c>
      <c r="C2906" s="362"/>
      <c r="D2906" s="847" t="s">
        <v>2226</v>
      </c>
      <c r="E2906" s="852" t="s">
        <v>2041</v>
      </c>
      <c r="F2906" s="848" t="str">
        <f>VLOOKUP(E2906,DICH!B:C,2,FALSE)</f>
        <v xml:space="preserve">  B - Labour 3.7/7</v>
      </c>
      <c r="G2906" s="892" t="s">
        <v>4899</v>
      </c>
      <c r="H2906" s="847">
        <f>0.93*0.5</f>
        <v>0.46500000000000002</v>
      </c>
      <c r="I2906" s="848">
        <f>VLOOKUP(E2906,'16.NC'!$C$11:$F$22,4,FALSE)</f>
        <v>209288</v>
      </c>
      <c r="J2906" s="849">
        <f>I2906*H2906</f>
        <v>97318.92</v>
      </c>
      <c r="N2906" s="843" t="e">
        <f>SUMIF(#REF!,'8.Dgia'!A2906,#REF!)+SUMIF(#REF!,'8.Dgia'!A2906,#REF!)+SUMIF(#REF!,'8.Dgia'!A2906,#REF!)+SUMIF(#REF!,'8.Dgia'!A2906,#REF!)</f>
        <v>#REF!</v>
      </c>
      <c r="O2906" s="844"/>
      <c r="P2906" s="843" t="e">
        <f t="shared" si="121"/>
        <v>#REF!</v>
      </c>
      <c r="R2906" s="658">
        <v>1</v>
      </c>
    </row>
    <row r="2907" spans="1:18" ht="15" customHeight="1">
      <c r="A2907" s="657">
        <f>IF(B2907="",MAX($A$8:A2906)+0,MAX($A$8:A2906)+1)</f>
        <v>344</v>
      </c>
      <c r="B2907" s="835" t="str">
        <f>IF(C2907="","",COUNTA($C$10:C2908))</f>
        <v/>
      </c>
      <c r="C2907" s="362"/>
      <c r="D2907" s="847" t="s">
        <v>2226</v>
      </c>
      <c r="E2907" s="852" t="s">
        <v>2033</v>
      </c>
      <c r="F2907" s="848" t="str">
        <f>VLOOKUP(E2907,DICH!B:C,2,FALSE)</f>
        <v xml:space="preserve">  C - Machine</v>
      </c>
      <c r="G2907" s="847"/>
      <c r="H2907" s="847"/>
      <c r="I2907" s="848"/>
      <c r="J2907" s="849">
        <f>SUM(J2908:J2908)</f>
        <v>7738.762517045453</v>
      </c>
      <c r="N2907" s="843" t="e">
        <f>SUMIF(#REF!,'8.Dgia'!A2907,#REF!)+SUMIF(#REF!,'8.Dgia'!A2907,#REF!)+SUMIF(#REF!,'8.Dgia'!A2907,#REF!)+SUMIF(#REF!,'8.Dgia'!A2907,#REF!)</f>
        <v>#REF!</v>
      </c>
      <c r="O2907" s="844"/>
      <c r="P2907" s="843" t="e">
        <f t="shared" si="121"/>
        <v>#REF!</v>
      </c>
    </row>
    <row r="2908" spans="1:18" ht="15" customHeight="1">
      <c r="A2908" s="657">
        <f>IF(B2908="",MAX($A$8:A2907)+0,MAX($A$8:A2907)+1)</f>
        <v>344</v>
      </c>
      <c r="B2908" s="835" t="str">
        <f>IF(C2908="","",COUNTA($C$10:C2909))</f>
        <v/>
      </c>
      <c r="C2908" s="362"/>
      <c r="D2908" s="847"/>
      <c r="E2908" s="852" t="s">
        <v>916</v>
      </c>
      <c r="F2908" s="848" t="str">
        <f>VLOOKUP(E2908,'9.may'!E:F,2,FALSE)</f>
        <v>dump truck 2.5T</v>
      </c>
      <c r="G2908" s="847" t="s">
        <v>4902</v>
      </c>
      <c r="H2908" s="847">
        <f>0.025*0.5</f>
        <v>1.2500000000000001E-2</v>
      </c>
      <c r="I2908" s="848">
        <f>VLOOKUP(E2908,'9.may'!E:W,12,FALSE)</f>
        <v>619101.00136363623</v>
      </c>
      <c r="J2908" s="853">
        <f>I2908*H2908</f>
        <v>7738.762517045453</v>
      </c>
      <c r="N2908" s="843" t="e">
        <f>SUMIF(#REF!,'8.Dgia'!A2908,#REF!)+SUMIF(#REF!,'8.Dgia'!A2908,#REF!)+SUMIF(#REF!,'8.Dgia'!A2908,#REF!)+SUMIF(#REF!,'8.Dgia'!A2908,#REF!)</f>
        <v>#REF!</v>
      </c>
      <c r="O2908" s="844"/>
      <c r="P2908" s="843" t="e">
        <f t="shared" si="121"/>
        <v>#REF!</v>
      </c>
    </row>
    <row r="2909" spans="1:18" ht="15" customHeight="1">
      <c r="A2909" s="657">
        <f>IF(B2909="",MAX($A$8:A2908)+0,MAX($A$8:A2908)+1)</f>
        <v>345</v>
      </c>
      <c r="B2909" s="835">
        <f>IF(C2909="","",COUNTA($C$10:C2910))</f>
        <v>345</v>
      </c>
      <c r="C2909" s="835">
        <f>IF(D2909="","",1776)</f>
        <v>1776</v>
      </c>
      <c r="D2909" s="847" t="s">
        <v>2101</v>
      </c>
      <c r="E2909" s="855" t="s">
        <v>3956</v>
      </c>
      <c r="F2909" s="1049" t="str">
        <f>VLOOKUP(E2909,DICH!B:C,2,FALSE)</f>
        <v>Triangle traffic sign 0.7m</v>
      </c>
      <c r="G2909" s="882" t="s">
        <v>4649</v>
      </c>
      <c r="H2909" s="847"/>
      <c r="I2909" s="848"/>
      <c r="J2909" s="853"/>
      <c r="K2909" s="842">
        <f>+J2910</f>
        <v>253000</v>
      </c>
      <c r="L2909" s="842">
        <f>+J2912</f>
        <v>130805</v>
      </c>
      <c r="M2909" s="842">
        <f>+J2913</f>
        <v>7738.762517045453</v>
      </c>
      <c r="N2909" s="843" t="e">
        <f>SUMIF(#REF!,'8.Dgia'!A2909,#REF!)+SUMIF(#REF!,'8.Dgia'!A2909,#REF!)+SUMIF(#REF!,'8.Dgia'!A2909,#REF!)+SUMIF(#REF!,'8.Dgia'!A2909,#REF!)</f>
        <v>#REF!</v>
      </c>
      <c r="O2909" s="844"/>
      <c r="P2909" s="843" t="e">
        <f t="shared" si="121"/>
        <v>#REF!</v>
      </c>
    </row>
    <row r="2910" spans="1:18" ht="15" customHeight="1">
      <c r="A2910" s="657">
        <f>IF(B2910="",MAX($A$8:A2909)+0,MAX($A$8:A2909)+1)</f>
        <v>345</v>
      </c>
      <c r="B2910" s="835" t="str">
        <f>IF(C2910="","",COUNTA($C$10:C2911))</f>
        <v/>
      </c>
      <c r="C2910" s="362"/>
      <c r="D2910" s="847"/>
      <c r="E2910" s="852" t="s">
        <v>2032</v>
      </c>
      <c r="F2910" s="848" t="str">
        <f>VLOOKUP(E2910,DICH!B:C,2,FALSE)</f>
        <v xml:space="preserve">  A - Material</v>
      </c>
      <c r="G2910" s="847"/>
      <c r="H2910" s="847"/>
      <c r="I2910" s="848"/>
      <c r="J2910" s="849">
        <f>SUM(J2911:J2911)</f>
        <v>253000</v>
      </c>
      <c r="N2910" s="843" t="e">
        <f>SUMIF(#REF!,'8.Dgia'!A2910,#REF!)+SUMIF(#REF!,'8.Dgia'!A2910,#REF!)+SUMIF(#REF!,'8.Dgia'!A2910,#REF!)+SUMIF(#REF!,'8.Dgia'!A2910,#REF!)</f>
        <v>#REF!</v>
      </c>
      <c r="O2910" s="844"/>
      <c r="P2910" s="843" t="e">
        <f t="shared" si="121"/>
        <v>#REF!</v>
      </c>
    </row>
    <row r="2911" spans="1:18" ht="15" customHeight="1">
      <c r="A2911" s="657">
        <f>IF(B2911="",MAX($A$8:A2910)+0,MAX($A$8:A2910)+1)</f>
        <v>345</v>
      </c>
      <c r="B2911" s="835" t="str">
        <f>IF(C2911="","",COUNTA($C$10:C2912))</f>
        <v/>
      </c>
      <c r="C2911" s="362"/>
      <c r="D2911" s="847"/>
      <c r="E2911" s="852" t="s">
        <v>3956</v>
      </c>
      <c r="F2911" s="848" t="str">
        <f>VLOOKUP(E2911,DICH!B:C,2,FALSE)</f>
        <v>Triangle traffic sign 0.7m</v>
      </c>
      <c r="G2911" s="847" t="s">
        <v>4649</v>
      </c>
      <c r="H2911" s="847">
        <v>1</v>
      </c>
      <c r="I2911" s="848">
        <f>VLOOKUP(E2911,'11.gia '!$B:$I,8,FALSE)</f>
        <v>253000</v>
      </c>
      <c r="J2911" s="853">
        <f>I2911*H2911</f>
        <v>253000</v>
      </c>
      <c r="N2911" s="843" t="e">
        <f>SUMIF(#REF!,'8.Dgia'!A2911,#REF!)+SUMIF(#REF!,'8.Dgia'!A2911,#REF!)+SUMIF(#REF!,'8.Dgia'!A2911,#REF!)+SUMIF(#REF!,'8.Dgia'!A2911,#REF!)</f>
        <v>#REF!</v>
      </c>
      <c r="O2911" s="844"/>
      <c r="P2911" s="843" t="e">
        <f t="shared" si="121"/>
        <v>#REF!</v>
      </c>
    </row>
    <row r="2912" spans="1:18" ht="15" customHeight="1">
      <c r="A2912" s="657">
        <f>IF(B2912="",MAX($A$8:A2911)+0,MAX($A$8:A2911)+1)</f>
        <v>345</v>
      </c>
      <c r="B2912" s="835" t="str">
        <f>IF(C2912="","",COUNTA($C$10:C2913))</f>
        <v/>
      </c>
      <c r="C2912" s="362"/>
      <c r="D2912" s="847" t="s">
        <v>2226</v>
      </c>
      <c r="E2912" s="852" t="s">
        <v>2041</v>
      </c>
      <c r="F2912" s="848" t="str">
        <f>VLOOKUP(E2912,DICH!B:C,2,FALSE)</f>
        <v xml:space="preserve">  B - Labour 3.7/7</v>
      </c>
      <c r="G2912" s="892" t="s">
        <v>4899</v>
      </c>
      <c r="H2912" s="847">
        <f>1.25*0.5</f>
        <v>0.625</v>
      </c>
      <c r="I2912" s="848">
        <f>VLOOKUP(E2912,'16.NC'!$C$11:$F$22,4,FALSE)</f>
        <v>209288</v>
      </c>
      <c r="J2912" s="849">
        <f>I2912*H2912</f>
        <v>130805</v>
      </c>
      <c r="N2912" s="843" t="e">
        <f>SUMIF(#REF!,'8.Dgia'!A2912,#REF!)+SUMIF(#REF!,'8.Dgia'!A2912,#REF!)+SUMIF(#REF!,'8.Dgia'!A2912,#REF!)+SUMIF(#REF!,'8.Dgia'!A2912,#REF!)</f>
        <v>#REF!</v>
      </c>
      <c r="O2912" s="844"/>
      <c r="P2912" s="843" t="e">
        <f t="shared" si="121"/>
        <v>#REF!</v>
      </c>
      <c r="R2912" s="658">
        <v>1</v>
      </c>
    </row>
    <row r="2913" spans="1:18" ht="15" customHeight="1">
      <c r="A2913" s="657">
        <f>IF(B2913="",MAX($A$8:A2912)+0,MAX($A$8:A2912)+1)</f>
        <v>345</v>
      </c>
      <c r="B2913" s="835" t="str">
        <f>IF(C2913="","",COUNTA($C$10:C2914))</f>
        <v/>
      </c>
      <c r="C2913" s="362"/>
      <c r="D2913" s="847" t="s">
        <v>2226</v>
      </c>
      <c r="E2913" s="852" t="s">
        <v>2033</v>
      </c>
      <c r="F2913" s="848" t="str">
        <f>VLOOKUP(E2913,DICH!B:C,2,FALSE)</f>
        <v xml:space="preserve">  C - Machine</v>
      </c>
      <c r="G2913" s="847"/>
      <c r="H2913" s="847"/>
      <c r="I2913" s="848"/>
      <c r="J2913" s="849">
        <f>SUM(J2914:J2914)</f>
        <v>7738.762517045453</v>
      </c>
      <c r="N2913" s="843" t="e">
        <f>SUMIF(#REF!,'8.Dgia'!A2913,#REF!)+SUMIF(#REF!,'8.Dgia'!A2913,#REF!)+SUMIF(#REF!,'8.Dgia'!A2913,#REF!)+SUMIF(#REF!,'8.Dgia'!A2913,#REF!)</f>
        <v>#REF!</v>
      </c>
      <c r="O2913" s="844"/>
      <c r="P2913" s="843" t="e">
        <f t="shared" si="121"/>
        <v>#REF!</v>
      </c>
    </row>
    <row r="2914" spans="1:18" ht="15" customHeight="1">
      <c r="A2914" s="657">
        <f>IF(B2914="",MAX($A$8:A2913)+0,MAX($A$8:A2913)+1)</f>
        <v>345</v>
      </c>
      <c r="B2914" s="835" t="str">
        <f>IF(C2914="","",COUNTA($C$10:C2915))</f>
        <v/>
      </c>
      <c r="C2914" s="362"/>
      <c r="D2914" s="847"/>
      <c r="E2914" s="852" t="s">
        <v>916</v>
      </c>
      <c r="F2914" s="848" t="str">
        <f>VLOOKUP(E2914,'9.may'!E:F,2,FALSE)</f>
        <v>dump truck 2.5T</v>
      </c>
      <c r="G2914" s="847" t="s">
        <v>4902</v>
      </c>
      <c r="H2914" s="847">
        <f>0.025*0.5</f>
        <v>1.2500000000000001E-2</v>
      </c>
      <c r="I2914" s="848">
        <f>VLOOKUP(E2914,'9.may'!E:W,12,FALSE)</f>
        <v>619101.00136363623</v>
      </c>
      <c r="J2914" s="853">
        <f>I2914*H2914</f>
        <v>7738.762517045453</v>
      </c>
      <c r="N2914" s="843" t="e">
        <f>SUMIF(#REF!,'8.Dgia'!A2914,#REF!)+SUMIF(#REF!,'8.Dgia'!A2914,#REF!)+SUMIF(#REF!,'8.Dgia'!A2914,#REF!)+SUMIF(#REF!,'8.Dgia'!A2914,#REF!)</f>
        <v>#REF!</v>
      </c>
      <c r="O2914" s="844"/>
      <c r="P2914" s="843" t="e">
        <f t="shared" si="121"/>
        <v>#REF!</v>
      </c>
    </row>
    <row r="2915" spans="1:18" ht="15" customHeight="1">
      <c r="A2915" s="657">
        <f>IF(B2915="",MAX($A$8:A2914)+0,MAX($A$8:A2914)+1)</f>
        <v>346</v>
      </c>
      <c r="B2915" s="835">
        <f>IF(C2915="","",COUNTA($C$10:C2916))</f>
        <v>346</v>
      </c>
      <c r="C2915" s="835">
        <f>IF(D2915="","",1776)</f>
        <v>1776</v>
      </c>
      <c r="D2915" s="847" t="s">
        <v>2101</v>
      </c>
      <c r="E2915" s="855" t="s">
        <v>2027</v>
      </c>
      <c r="F2915" s="1049" t="str">
        <f>VLOOKUP(E2915,DICH!B:C,2,FALSE)</f>
        <v>Triangle traffic sign 0.87m</v>
      </c>
      <c r="G2915" s="882" t="s">
        <v>4649</v>
      </c>
      <c r="H2915" s="847"/>
      <c r="I2915" s="848"/>
      <c r="J2915" s="853"/>
      <c r="K2915" s="842">
        <f>+J2916</f>
        <v>380000</v>
      </c>
      <c r="L2915" s="842">
        <f>+J2918</f>
        <v>130805</v>
      </c>
      <c r="M2915" s="842">
        <f>+J2919</f>
        <v>7738.762517045453</v>
      </c>
      <c r="N2915" s="843" t="e">
        <f>SUMIF(#REF!,'8.Dgia'!A2915,#REF!)+SUMIF(#REF!,'8.Dgia'!A2915,#REF!)+SUMIF(#REF!,'8.Dgia'!A2915,#REF!)+SUMIF(#REF!,'8.Dgia'!A2915,#REF!)</f>
        <v>#REF!</v>
      </c>
      <c r="O2915" s="844"/>
      <c r="P2915" s="843" t="e">
        <f t="shared" si="119"/>
        <v>#REF!</v>
      </c>
    </row>
    <row r="2916" spans="1:18" ht="15" customHeight="1">
      <c r="A2916" s="657">
        <f>IF(B2916="",MAX($A$8:A2915)+0,MAX($A$8:A2915)+1)</f>
        <v>346</v>
      </c>
      <c r="B2916" s="835" t="str">
        <f>IF(C2916="","",COUNTA($C$10:C2917))</f>
        <v/>
      </c>
      <c r="C2916" s="362"/>
      <c r="D2916" s="847"/>
      <c r="E2916" s="852" t="s">
        <v>2032</v>
      </c>
      <c r="F2916" s="848" t="str">
        <f>VLOOKUP(E2916,DICH!B:C,2,FALSE)</f>
        <v xml:space="preserve">  A - Material</v>
      </c>
      <c r="G2916" s="847"/>
      <c r="H2916" s="847"/>
      <c r="I2916" s="848"/>
      <c r="J2916" s="849">
        <f>SUM(J2917:J2917)</f>
        <v>380000</v>
      </c>
      <c r="N2916" s="843" t="e">
        <f>SUMIF(#REF!,'8.Dgia'!A2916,#REF!)+SUMIF(#REF!,'8.Dgia'!A2916,#REF!)+SUMIF(#REF!,'8.Dgia'!A2916,#REF!)+SUMIF(#REF!,'8.Dgia'!A2916,#REF!)</f>
        <v>#REF!</v>
      </c>
      <c r="O2916" s="844"/>
      <c r="P2916" s="843" t="e">
        <f t="shared" si="119"/>
        <v>#REF!</v>
      </c>
    </row>
    <row r="2917" spans="1:18" ht="15" customHeight="1">
      <c r="A2917" s="657">
        <f>IF(B2917="",MAX($A$8:A2916)+0,MAX($A$8:A2916)+1)</f>
        <v>346</v>
      </c>
      <c r="B2917" s="835" t="str">
        <f>IF(C2917="","",COUNTA($C$10:C2918))</f>
        <v/>
      </c>
      <c r="C2917" s="362"/>
      <c r="D2917" s="847"/>
      <c r="E2917" s="852" t="s">
        <v>2027</v>
      </c>
      <c r="F2917" s="848" t="str">
        <f>VLOOKUP(E2917,DICH!B:C,2,FALSE)</f>
        <v>Triangle traffic sign 0.87m</v>
      </c>
      <c r="G2917" s="847" t="s">
        <v>4649</v>
      </c>
      <c r="H2917" s="847">
        <v>1</v>
      </c>
      <c r="I2917" s="848">
        <f>VLOOKUP(E2917,'11.gia '!$B:$I,8,FALSE)</f>
        <v>380000</v>
      </c>
      <c r="J2917" s="853">
        <f>I2917*H2917</f>
        <v>380000</v>
      </c>
      <c r="N2917" s="843" t="e">
        <f>SUMIF(#REF!,'8.Dgia'!A2917,#REF!)+SUMIF(#REF!,'8.Dgia'!A2917,#REF!)+SUMIF(#REF!,'8.Dgia'!A2917,#REF!)+SUMIF(#REF!,'8.Dgia'!A2917,#REF!)</f>
        <v>#REF!</v>
      </c>
      <c r="O2917" s="844"/>
      <c r="P2917" s="843" t="e">
        <f t="shared" si="119"/>
        <v>#REF!</v>
      </c>
    </row>
    <row r="2918" spans="1:18" ht="15.75" customHeight="1">
      <c r="A2918" s="657">
        <f>IF(B2918="",MAX($A$8:A2917)+0,MAX($A$8:A2917)+1)</f>
        <v>346</v>
      </c>
      <c r="B2918" s="835" t="str">
        <f>IF(C2918="","",COUNTA($C$10:C2919))</f>
        <v/>
      </c>
      <c r="C2918" s="362"/>
      <c r="D2918" s="847" t="s">
        <v>2226</v>
      </c>
      <c r="E2918" s="852" t="s">
        <v>2041</v>
      </c>
      <c r="F2918" s="848" t="str">
        <f>VLOOKUP(E2918,DICH!B:C,2,FALSE)</f>
        <v xml:space="preserve">  B - Labour 3.7/7</v>
      </c>
      <c r="G2918" s="892" t="s">
        <v>4899</v>
      </c>
      <c r="H2918" s="847">
        <f>1.25*0.5</f>
        <v>0.625</v>
      </c>
      <c r="I2918" s="848">
        <f>VLOOKUP(E2918,'16.NC'!$C$11:$F$22,4,FALSE)</f>
        <v>209288</v>
      </c>
      <c r="J2918" s="849">
        <f>I2918*H2918</f>
        <v>130805</v>
      </c>
      <c r="N2918" s="843" t="e">
        <f>SUMIF(#REF!,'8.Dgia'!A2918,#REF!)+SUMIF(#REF!,'8.Dgia'!A2918,#REF!)+SUMIF(#REF!,'8.Dgia'!A2918,#REF!)+SUMIF(#REF!,'8.Dgia'!A2918,#REF!)</f>
        <v>#REF!</v>
      </c>
      <c r="O2918" s="844"/>
      <c r="P2918" s="843" t="e">
        <f t="shared" si="119"/>
        <v>#REF!</v>
      </c>
      <c r="R2918" s="658">
        <v>1</v>
      </c>
    </row>
    <row r="2919" spans="1:18" ht="15" customHeight="1">
      <c r="A2919" s="657">
        <f>IF(B2919="",MAX($A$8:A2918)+0,MAX($A$8:A2918)+1)</f>
        <v>346</v>
      </c>
      <c r="B2919" s="835" t="str">
        <f>IF(C2919="","",COUNTA($C$10:C2920))</f>
        <v/>
      </c>
      <c r="C2919" s="362"/>
      <c r="D2919" s="847" t="s">
        <v>2226</v>
      </c>
      <c r="E2919" s="852" t="s">
        <v>2033</v>
      </c>
      <c r="F2919" s="848" t="str">
        <f>VLOOKUP(E2919,DICH!B:C,2,FALSE)</f>
        <v xml:space="preserve">  C - Machine</v>
      </c>
      <c r="G2919" s="847"/>
      <c r="H2919" s="847"/>
      <c r="I2919" s="848"/>
      <c r="J2919" s="849">
        <f>SUM(J2920:J2920)</f>
        <v>7738.762517045453</v>
      </c>
      <c r="N2919" s="843" t="e">
        <f>SUMIF(#REF!,'8.Dgia'!A2919,#REF!)+SUMIF(#REF!,'8.Dgia'!A2919,#REF!)+SUMIF(#REF!,'8.Dgia'!A2919,#REF!)+SUMIF(#REF!,'8.Dgia'!A2919,#REF!)</f>
        <v>#REF!</v>
      </c>
      <c r="O2919" s="844"/>
      <c r="P2919" s="843" t="e">
        <f t="shared" si="119"/>
        <v>#REF!</v>
      </c>
    </row>
    <row r="2920" spans="1:18" ht="15" customHeight="1">
      <c r="A2920" s="657">
        <f>IF(B2920="",MAX($A$8:A2919)+0,MAX($A$8:A2919)+1)</f>
        <v>346</v>
      </c>
      <c r="B2920" s="835" t="str">
        <f>IF(C2920="","",COUNTA($C$10:C2921))</f>
        <v/>
      </c>
      <c r="C2920" s="362"/>
      <c r="D2920" s="847"/>
      <c r="E2920" s="852" t="s">
        <v>916</v>
      </c>
      <c r="F2920" s="848" t="str">
        <f>VLOOKUP(E2920,'9.may'!E:F,2,FALSE)</f>
        <v>dump truck 2.5T</v>
      </c>
      <c r="G2920" s="847" t="s">
        <v>4902</v>
      </c>
      <c r="H2920" s="847">
        <f>0.025*0.5</f>
        <v>1.2500000000000001E-2</v>
      </c>
      <c r="I2920" s="848">
        <f>VLOOKUP(E2920,'9.may'!E:W,12,FALSE)</f>
        <v>619101.00136363623</v>
      </c>
      <c r="J2920" s="853">
        <f>I2920*H2920</f>
        <v>7738.762517045453</v>
      </c>
      <c r="N2920" s="843" t="e">
        <f>SUMIF(#REF!,'8.Dgia'!A2920,#REF!)+SUMIF(#REF!,'8.Dgia'!A2920,#REF!)+SUMIF(#REF!,'8.Dgia'!A2920,#REF!)+SUMIF(#REF!,'8.Dgia'!A2920,#REF!)</f>
        <v>#REF!</v>
      </c>
      <c r="O2920" s="844"/>
      <c r="P2920" s="843" t="e">
        <f t="shared" si="119"/>
        <v>#REF!</v>
      </c>
    </row>
    <row r="2921" spans="1:18" ht="15" customHeight="1">
      <c r="A2921" s="657">
        <f>IF(B2921="",MAX($A$8:A2920)+0,MAX($A$8:A2920)+1)</f>
        <v>347</v>
      </c>
      <c r="B2921" s="835">
        <f>IF(C2921="","",COUNTA($C$10:C2922))</f>
        <v>347</v>
      </c>
      <c r="C2921" s="835">
        <f>IF(D2921="","",1776)</f>
        <v>1776</v>
      </c>
      <c r="D2921" s="847" t="s">
        <v>2102</v>
      </c>
      <c r="E2921" s="855" t="s">
        <v>2103</v>
      </c>
      <c r="F2921" s="1049" t="str">
        <f>VLOOKUP(E2921,DICH!B:C,2,FALSE)</f>
        <v>Circlar traffic sign 0.87m</v>
      </c>
      <c r="G2921" s="882" t="s">
        <v>4649</v>
      </c>
      <c r="H2921" s="847"/>
      <c r="I2921" s="848"/>
      <c r="J2921" s="853"/>
      <c r="K2921" s="842">
        <f>+J2922</f>
        <v>590000</v>
      </c>
      <c r="L2921" s="842">
        <f>+J2924</f>
        <v>150687.35999999999</v>
      </c>
      <c r="M2921" s="842">
        <f>+J2925</f>
        <v>7738.762517045453</v>
      </c>
      <c r="N2921" s="843" t="e">
        <f>SUMIF(#REF!,'8.Dgia'!A2921,#REF!)+SUMIF(#REF!,'8.Dgia'!A2921,#REF!)+SUMIF(#REF!,'8.Dgia'!A2921,#REF!)+SUMIF(#REF!,'8.Dgia'!A2921,#REF!)</f>
        <v>#REF!</v>
      </c>
      <c r="O2921" s="844"/>
      <c r="P2921" s="843" t="e">
        <f t="shared" si="119"/>
        <v>#REF!</v>
      </c>
    </row>
    <row r="2922" spans="1:18" ht="15" customHeight="1">
      <c r="A2922" s="657">
        <f>IF(B2922="",MAX($A$8:A2921)+0,MAX($A$8:A2921)+1)</f>
        <v>347</v>
      </c>
      <c r="B2922" s="835" t="str">
        <f>IF(C2922="","",COUNTA($C$10:C2923))</f>
        <v/>
      </c>
      <c r="C2922" s="362"/>
      <c r="D2922" s="847"/>
      <c r="E2922" s="852" t="s">
        <v>2032</v>
      </c>
      <c r="F2922" s="848" t="str">
        <f>VLOOKUP(E2922,DICH!B:C,2,FALSE)</f>
        <v xml:space="preserve">  A - Material</v>
      </c>
      <c r="G2922" s="847"/>
      <c r="H2922" s="847"/>
      <c r="I2922" s="848"/>
      <c r="J2922" s="849">
        <f>SUM(J2923:J2923)</f>
        <v>590000</v>
      </c>
      <c r="N2922" s="843" t="e">
        <f>SUMIF(#REF!,'8.Dgia'!A2922,#REF!)+SUMIF(#REF!,'8.Dgia'!A2922,#REF!)+SUMIF(#REF!,'8.Dgia'!A2922,#REF!)+SUMIF(#REF!,'8.Dgia'!A2922,#REF!)</f>
        <v>#REF!</v>
      </c>
      <c r="O2922" s="844"/>
      <c r="P2922" s="843" t="e">
        <f t="shared" si="119"/>
        <v>#REF!</v>
      </c>
    </row>
    <row r="2923" spans="1:18" ht="15" customHeight="1">
      <c r="A2923" s="657">
        <f>IF(B2923="",MAX($A$8:A2922)+0,MAX($A$8:A2922)+1)</f>
        <v>347</v>
      </c>
      <c r="B2923" s="835" t="str">
        <f>IF(C2923="","",COUNTA($C$10:C2924))</f>
        <v/>
      </c>
      <c r="C2923" s="362"/>
      <c r="D2923" s="847"/>
      <c r="E2923" s="852" t="s">
        <v>2103</v>
      </c>
      <c r="F2923" s="848" t="str">
        <f>VLOOKUP(E2923,DICH!B:C,2,FALSE)</f>
        <v>Circlar traffic sign 0.87m</v>
      </c>
      <c r="G2923" s="847" t="s">
        <v>4649</v>
      </c>
      <c r="H2923" s="847">
        <v>1</v>
      </c>
      <c r="I2923" s="848">
        <f>VLOOKUP(E2923,'11.gia '!$B:$I,8,FALSE)</f>
        <v>590000</v>
      </c>
      <c r="J2923" s="853">
        <f>I2923*H2923</f>
        <v>590000</v>
      </c>
      <c r="N2923" s="843" t="e">
        <f>SUMIF(#REF!,'8.Dgia'!A2923,#REF!)+SUMIF(#REF!,'8.Dgia'!A2923,#REF!)+SUMIF(#REF!,'8.Dgia'!A2923,#REF!)+SUMIF(#REF!,'8.Dgia'!A2923,#REF!)</f>
        <v>#REF!</v>
      </c>
      <c r="O2923" s="844"/>
      <c r="P2923" s="843" t="e">
        <f t="shared" si="119"/>
        <v>#REF!</v>
      </c>
    </row>
    <row r="2924" spans="1:18" ht="15" customHeight="1">
      <c r="A2924" s="657">
        <f>IF(B2924="",MAX($A$8:A2923)+0,MAX($A$8:A2923)+1)</f>
        <v>347</v>
      </c>
      <c r="B2924" s="835" t="str">
        <f>IF(C2924="","",COUNTA($C$10:C2925))</f>
        <v/>
      </c>
      <c r="C2924" s="362"/>
      <c r="D2924" s="847" t="s">
        <v>2226</v>
      </c>
      <c r="E2924" s="852" t="s">
        <v>2041</v>
      </c>
      <c r="F2924" s="848" t="str">
        <f>VLOOKUP(E2924,DICH!B:C,2,FALSE)</f>
        <v xml:space="preserve">  B - Labour 3.7/7</v>
      </c>
      <c r="G2924" s="892" t="s">
        <v>4899</v>
      </c>
      <c r="H2924" s="847">
        <f>1.44*0.5</f>
        <v>0.72</v>
      </c>
      <c r="I2924" s="848">
        <f>VLOOKUP(E2924,'16.NC'!$C$11:$F$22,4,FALSE)</f>
        <v>209288</v>
      </c>
      <c r="J2924" s="849">
        <f>I2924*H2924</f>
        <v>150687.35999999999</v>
      </c>
      <c r="N2924" s="843" t="e">
        <f>SUMIF(#REF!,'8.Dgia'!A2924,#REF!)+SUMIF(#REF!,'8.Dgia'!A2924,#REF!)+SUMIF(#REF!,'8.Dgia'!A2924,#REF!)+SUMIF(#REF!,'8.Dgia'!A2924,#REF!)</f>
        <v>#REF!</v>
      </c>
      <c r="O2924" s="844"/>
      <c r="P2924" s="843" t="e">
        <f t="shared" si="119"/>
        <v>#REF!</v>
      </c>
      <c r="R2924" s="658">
        <v>1</v>
      </c>
    </row>
    <row r="2925" spans="1:18" ht="15" customHeight="1">
      <c r="A2925" s="657">
        <f>IF(B2925="",MAX($A$8:A2924)+0,MAX($A$8:A2924)+1)</f>
        <v>347</v>
      </c>
      <c r="B2925" s="835" t="str">
        <f>IF(C2925="","",COUNTA($C$10:C2926))</f>
        <v/>
      </c>
      <c r="C2925" s="362"/>
      <c r="D2925" s="847" t="s">
        <v>2226</v>
      </c>
      <c r="E2925" s="852" t="s">
        <v>2033</v>
      </c>
      <c r="F2925" s="848" t="str">
        <f>VLOOKUP(E2925,DICH!B:C,2,FALSE)</f>
        <v xml:space="preserve">  C - Machine</v>
      </c>
      <c r="G2925" s="847"/>
      <c r="H2925" s="847"/>
      <c r="I2925" s="848"/>
      <c r="J2925" s="849">
        <f>SUM(J2926:J2926)</f>
        <v>7738.762517045453</v>
      </c>
      <c r="N2925" s="843" t="e">
        <f>SUMIF(#REF!,'8.Dgia'!A2925,#REF!)+SUMIF(#REF!,'8.Dgia'!A2925,#REF!)+SUMIF(#REF!,'8.Dgia'!A2925,#REF!)+SUMIF(#REF!,'8.Dgia'!A2925,#REF!)</f>
        <v>#REF!</v>
      </c>
      <c r="O2925" s="844"/>
      <c r="P2925" s="843" t="e">
        <f t="shared" si="119"/>
        <v>#REF!</v>
      </c>
    </row>
    <row r="2926" spans="1:18" ht="15" customHeight="1">
      <c r="A2926" s="657">
        <f>IF(B2926="",MAX($A$8:A2925)+0,MAX($A$8:A2925)+1)</f>
        <v>347</v>
      </c>
      <c r="B2926" s="835" t="str">
        <f>IF(C2926="","",COUNTA($C$10:C2927))</f>
        <v/>
      </c>
      <c r="C2926" s="362"/>
      <c r="D2926" s="847"/>
      <c r="E2926" s="852" t="s">
        <v>916</v>
      </c>
      <c r="F2926" s="848" t="str">
        <f>VLOOKUP(E2926,'9.may'!E:F,2,FALSE)</f>
        <v>dump truck 2.5T</v>
      </c>
      <c r="G2926" s="847" t="s">
        <v>4902</v>
      </c>
      <c r="H2926" s="847">
        <f>0.025*0.5</f>
        <v>1.2500000000000001E-2</v>
      </c>
      <c r="I2926" s="848">
        <f>VLOOKUP(E2926,'9.may'!E:W,12,FALSE)</f>
        <v>619101.00136363623</v>
      </c>
      <c r="J2926" s="853">
        <f>I2926*H2926</f>
        <v>7738.762517045453</v>
      </c>
      <c r="N2926" s="843" t="e">
        <f>SUMIF(#REF!,'8.Dgia'!A2926,#REF!)+SUMIF(#REF!,'8.Dgia'!A2926,#REF!)+SUMIF(#REF!,'8.Dgia'!A2926,#REF!)+SUMIF(#REF!,'8.Dgia'!A2926,#REF!)</f>
        <v>#REF!</v>
      </c>
      <c r="O2926" s="844"/>
      <c r="P2926" s="843" t="e">
        <f t="shared" si="119"/>
        <v>#REF!</v>
      </c>
    </row>
    <row r="2927" spans="1:18" ht="15" customHeight="1">
      <c r="A2927" s="657">
        <f>IF(B2927="",MAX($A$8:A2926)+0,MAX($A$8:A2926)+1)</f>
        <v>348</v>
      </c>
      <c r="B2927" s="835">
        <f>IF(C2927="","",COUNTA($C$10:C2928))</f>
        <v>348</v>
      </c>
      <c r="C2927" s="835">
        <f>IF(D2927="","",1776)</f>
        <v>1776</v>
      </c>
      <c r="D2927" s="847" t="s">
        <v>2102</v>
      </c>
      <c r="E2927" s="855" t="s">
        <v>3957</v>
      </c>
      <c r="F2927" s="1049" t="str">
        <f>VLOOKUP(E2927,DICH!B:C,2,FALSE)</f>
        <v>Circlar traffic sign 0.7m</v>
      </c>
      <c r="G2927" s="882" t="s">
        <v>4649</v>
      </c>
      <c r="H2927" s="847"/>
      <c r="I2927" s="848"/>
      <c r="J2927" s="853"/>
      <c r="K2927" s="842">
        <f>+J2928</f>
        <v>396000</v>
      </c>
      <c r="L2927" s="842">
        <f>+J2930</f>
        <v>150687.35999999999</v>
      </c>
      <c r="M2927" s="842">
        <f>+J2931</f>
        <v>7738.762517045453</v>
      </c>
      <c r="N2927" s="843" t="e">
        <f>SUMIF(#REF!,'8.Dgia'!A2927,#REF!)+SUMIF(#REF!,'8.Dgia'!A2927,#REF!)+SUMIF(#REF!,'8.Dgia'!A2927,#REF!)+SUMIF(#REF!,'8.Dgia'!A2927,#REF!)</f>
        <v>#REF!</v>
      </c>
      <c r="O2927" s="844"/>
      <c r="P2927" s="843" t="e">
        <f t="shared" ref="P2927:P2932" si="122">$H2927*N2927*(1+O2927%)</f>
        <v>#REF!</v>
      </c>
    </row>
    <row r="2928" spans="1:18" ht="15" customHeight="1">
      <c r="A2928" s="657">
        <f>IF(B2928="",MAX($A$8:A2927)+0,MAX($A$8:A2927)+1)</f>
        <v>348</v>
      </c>
      <c r="B2928" s="835" t="str">
        <f>IF(C2928="","",COUNTA($C$10:C2929))</f>
        <v/>
      </c>
      <c r="C2928" s="362"/>
      <c r="D2928" s="847"/>
      <c r="E2928" s="852" t="s">
        <v>2032</v>
      </c>
      <c r="F2928" s="848" t="str">
        <f>VLOOKUP(E2928,DICH!B:C,2,FALSE)</f>
        <v xml:space="preserve">  A - Material</v>
      </c>
      <c r="G2928" s="847"/>
      <c r="H2928" s="847"/>
      <c r="I2928" s="848"/>
      <c r="J2928" s="849">
        <f>SUM(J2929:J2929)</f>
        <v>396000</v>
      </c>
      <c r="N2928" s="843" t="e">
        <f>SUMIF(#REF!,'8.Dgia'!A2928,#REF!)+SUMIF(#REF!,'8.Dgia'!A2928,#REF!)+SUMIF(#REF!,'8.Dgia'!A2928,#REF!)+SUMIF(#REF!,'8.Dgia'!A2928,#REF!)</f>
        <v>#REF!</v>
      </c>
      <c r="O2928" s="844"/>
      <c r="P2928" s="843" t="e">
        <f t="shared" si="122"/>
        <v>#REF!</v>
      </c>
    </row>
    <row r="2929" spans="1:18" ht="15" customHeight="1">
      <c r="A2929" s="657">
        <f>IF(B2929="",MAX($A$8:A2928)+0,MAX($A$8:A2928)+1)</f>
        <v>348</v>
      </c>
      <c r="B2929" s="835" t="str">
        <f>IF(C2929="","",COUNTA($C$10:C2930))</f>
        <v/>
      </c>
      <c r="C2929" s="362"/>
      <c r="D2929" s="847"/>
      <c r="E2929" s="852" t="s">
        <v>3957</v>
      </c>
      <c r="F2929" s="848" t="str">
        <f>VLOOKUP(E2929,DICH!B:C,2,FALSE)</f>
        <v>Circlar traffic sign 0.7m</v>
      </c>
      <c r="G2929" s="847" t="s">
        <v>4649</v>
      </c>
      <c r="H2929" s="847">
        <v>1</v>
      </c>
      <c r="I2929" s="848">
        <f>VLOOKUP(E2929,'11.gia '!$B:$I,8,FALSE)</f>
        <v>396000</v>
      </c>
      <c r="J2929" s="853">
        <f>I2929*H2929</f>
        <v>396000</v>
      </c>
      <c r="N2929" s="843" t="e">
        <f>SUMIF(#REF!,'8.Dgia'!A2929,#REF!)+SUMIF(#REF!,'8.Dgia'!A2929,#REF!)+SUMIF(#REF!,'8.Dgia'!A2929,#REF!)+SUMIF(#REF!,'8.Dgia'!A2929,#REF!)</f>
        <v>#REF!</v>
      </c>
      <c r="O2929" s="844"/>
      <c r="P2929" s="843" t="e">
        <f t="shared" si="122"/>
        <v>#REF!</v>
      </c>
    </row>
    <row r="2930" spans="1:18" ht="15" customHeight="1">
      <c r="A2930" s="657">
        <f>IF(B2930="",MAX($A$8:A2929)+0,MAX($A$8:A2929)+1)</f>
        <v>348</v>
      </c>
      <c r="B2930" s="835" t="str">
        <f>IF(C2930="","",COUNTA($C$10:C2931))</f>
        <v/>
      </c>
      <c r="C2930" s="362"/>
      <c r="D2930" s="847" t="s">
        <v>2226</v>
      </c>
      <c r="E2930" s="852" t="s">
        <v>2041</v>
      </c>
      <c r="F2930" s="848" t="str">
        <f>VLOOKUP(E2930,DICH!B:C,2,FALSE)</f>
        <v xml:space="preserve">  B - Labour 3.7/7</v>
      </c>
      <c r="G2930" s="892" t="s">
        <v>4899</v>
      </c>
      <c r="H2930" s="847">
        <f>1.44*0.5</f>
        <v>0.72</v>
      </c>
      <c r="I2930" s="848">
        <f>VLOOKUP(E2930,'16.NC'!$C$11:$F$22,4,FALSE)</f>
        <v>209288</v>
      </c>
      <c r="J2930" s="849">
        <f>I2930*H2930</f>
        <v>150687.35999999999</v>
      </c>
      <c r="N2930" s="843" t="e">
        <f>SUMIF(#REF!,'8.Dgia'!A2930,#REF!)+SUMIF(#REF!,'8.Dgia'!A2930,#REF!)+SUMIF(#REF!,'8.Dgia'!A2930,#REF!)+SUMIF(#REF!,'8.Dgia'!A2930,#REF!)</f>
        <v>#REF!</v>
      </c>
      <c r="O2930" s="844"/>
      <c r="P2930" s="843" t="e">
        <f t="shared" si="122"/>
        <v>#REF!</v>
      </c>
      <c r="R2930" s="658">
        <v>1</v>
      </c>
    </row>
    <row r="2931" spans="1:18" ht="15" customHeight="1">
      <c r="A2931" s="657">
        <f>IF(B2931="",MAX($A$8:A2930)+0,MAX($A$8:A2930)+1)</f>
        <v>348</v>
      </c>
      <c r="B2931" s="835" t="str">
        <f>IF(C2931="","",COUNTA($C$10:C2932))</f>
        <v/>
      </c>
      <c r="C2931" s="362"/>
      <c r="D2931" s="847" t="s">
        <v>2226</v>
      </c>
      <c r="E2931" s="852" t="s">
        <v>2033</v>
      </c>
      <c r="F2931" s="848" t="str">
        <f>VLOOKUP(E2931,DICH!B:C,2,FALSE)</f>
        <v xml:space="preserve">  C - Machine</v>
      </c>
      <c r="G2931" s="847"/>
      <c r="H2931" s="847"/>
      <c r="I2931" s="848"/>
      <c r="J2931" s="849">
        <f>SUM(J2932:J2932)</f>
        <v>7738.762517045453</v>
      </c>
      <c r="N2931" s="843" t="e">
        <f>SUMIF(#REF!,'8.Dgia'!A2931,#REF!)+SUMIF(#REF!,'8.Dgia'!A2931,#REF!)+SUMIF(#REF!,'8.Dgia'!A2931,#REF!)+SUMIF(#REF!,'8.Dgia'!A2931,#REF!)</f>
        <v>#REF!</v>
      </c>
      <c r="O2931" s="844"/>
      <c r="P2931" s="843" t="e">
        <f t="shared" si="122"/>
        <v>#REF!</v>
      </c>
    </row>
    <row r="2932" spans="1:18" ht="15" customHeight="1">
      <c r="A2932" s="657">
        <f>IF(B2932="",MAX($A$8:A2931)+0,MAX($A$8:A2931)+1)</f>
        <v>348</v>
      </c>
      <c r="B2932" s="835" t="str">
        <f>IF(C2932="","",COUNTA($C$10:C2933))</f>
        <v/>
      </c>
      <c r="C2932" s="362"/>
      <c r="D2932" s="847"/>
      <c r="E2932" s="852" t="s">
        <v>916</v>
      </c>
      <c r="F2932" s="848" t="str">
        <f>VLOOKUP(E2932,'9.may'!E:F,2,FALSE)</f>
        <v>dump truck 2.5T</v>
      </c>
      <c r="G2932" s="847" t="s">
        <v>4902</v>
      </c>
      <c r="H2932" s="847">
        <f>0.025*0.5</f>
        <v>1.2500000000000001E-2</v>
      </c>
      <c r="I2932" s="848">
        <f>VLOOKUP(E2932,'9.may'!E:W,12,FALSE)</f>
        <v>619101.00136363623</v>
      </c>
      <c r="J2932" s="853">
        <f>I2932*H2932</f>
        <v>7738.762517045453</v>
      </c>
      <c r="N2932" s="843" t="e">
        <f>SUMIF(#REF!,'8.Dgia'!A2932,#REF!)+SUMIF(#REF!,'8.Dgia'!A2932,#REF!)+SUMIF(#REF!,'8.Dgia'!A2932,#REF!)+SUMIF(#REF!,'8.Dgia'!A2932,#REF!)</f>
        <v>#REF!</v>
      </c>
      <c r="O2932" s="844"/>
      <c r="P2932" s="843" t="e">
        <f t="shared" si="122"/>
        <v>#REF!</v>
      </c>
    </row>
    <row r="2933" spans="1:18" ht="15" customHeight="1">
      <c r="A2933" s="657">
        <f>IF(B2933="",MAX($A$8:A2932)+0,MAX($A$8:A2932)+1)</f>
        <v>349</v>
      </c>
      <c r="B2933" s="835">
        <f>IF(C2933="","",COUNTA($C$10:C2934))</f>
        <v>349</v>
      </c>
      <c r="C2933" s="835">
        <f>IF(D2933="","",1776)</f>
        <v>1776</v>
      </c>
      <c r="D2933" s="362" t="s">
        <v>703</v>
      </c>
      <c r="E2933" s="855" t="s">
        <v>2104</v>
      </c>
      <c r="F2933" s="1049" t="str">
        <f>VLOOKUP(E2933,DICH!B:C,2,FALSE)</f>
        <v>Signal column D80, L=3.0m</v>
      </c>
      <c r="G2933" s="856" t="s">
        <v>4649</v>
      </c>
      <c r="H2933" s="847"/>
      <c r="I2933" s="848"/>
      <c r="J2933" s="889"/>
      <c r="K2933" s="842">
        <f>+J2934</f>
        <v>258643.42880303031</v>
      </c>
      <c r="L2933" s="842">
        <f>+J2941</f>
        <v>233758.84</v>
      </c>
      <c r="M2933" s="842">
        <f>+J2942</f>
        <v>60248.859250909081</v>
      </c>
      <c r="N2933" s="843" t="e">
        <f>SUMIF(#REF!,'8.Dgia'!A2933,#REF!)+SUMIF(#REF!,'8.Dgia'!A2933,#REF!)+SUMIF(#REF!,'8.Dgia'!A2933,#REF!)+SUMIF(#REF!,'8.Dgia'!A2933,#REF!)</f>
        <v>#REF!</v>
      </c>
      <c r="O2933" s="844"/>
      <c r="P2933" s="843" t="e">
        <f t="shared" si="119"/>
        <v>#REF!</v>
      </c>
    </row>
    <row r="2934" spans="1:18" ht="15" customHeight="1">
      <c r="A2934" s="657">
        <f>IF(B2934="",MAX($A$8:A2933)+0,MAX($A$8:A2933)+1)</f>
        <v>349</v>
      </c>
      <c r="B2934" s="835" t="str">
        <f>IF(C2934="","",COUNTA($C$10:C2935))</f>
        <v/>
      </c>
      <c r="C2934" s="362"/>
      <c r="D2934" s="362"/>
      <c r="E2934" s="852" t="s">
        <v>2032</v>
      </c>
      <c r="F2934" s="848" t="str">
        <f>VLOOKUP(E2934,DICH!B:C,2,FALSE)</f>
        <v xml:space="preserve">  A - Material</v>
      </c>
      <c r="G2934" s="847"/>
      <c r="H2934" s="847"/>
      <c r="I2934" s="848"/>
      <c r="J2934" s="849">
        <f>SUM(J2935:J2940)</f>
        <v>258643.42880303031</v>
      </c>
      <c r="N2934" s="843" t="e">
        <f>SUMIF(#REF!,'8.Dgia'!A2934,#REF!)+SUMIF(#REF!,'8.Dgia'!A2934,#REF!)+SUMIF(#REF!,'8.Dgia'!A2934,#REF!)+SUMIF(#REF!,'8.Dgia'!A2934,#REF!)</f>
        <v>#REF!</v>
      </c>
      <c r="O2934" s="844"/>
      <c r="P2934" s="843" t="e">
        <f t="shared" si="119"/>
        <v>#REF!</v>
      </c>
    </row>
    <row r="2935" spans="1:18" ht="15" customHeight="1">
      <c r="A2935" s="657">
        <f>IF(B2935="",MAX($A$8:A2934)+0,MAX($A$8:A2934)+1)</f>
        <v>349</v>
      </c>
      <c r="B2935" s="835" t="str">
        <f>IF(C2935="","",COUNTA($C$10:C2936))</f>
        <v/>
      </c>
      <c r="C2935" s="362"/>
      <c r="D2935" s="362"/>
      <c r="E2935" s="852" t="s">
        <v>182</v>
      </c>
      <c r="F2935" s="848" t="str">
        <f>VLOOKUP(E2935,DICH!B:C,2,FALSE)</f>
        <v>Steel pipe D80</v>
      </c>
      <c r="G2935" s="847" t="s">
        <v>543</v>
      </c>
      <c r="H2935" s="847">
        <v>3</v>
      </c>
      <c r="I2935" s="848">
        <f>VLOOKUP(E2935,'11.gia '!$B:$I,8,FALSE)</f>
        <v>76466.666666666672</v>
      </c>
      <c r="J2935" s="853">
        <f>I2935*H2935</f>
        <v>229400</v>
      </c>
      <c r="N2935" s="843" t="e">
        <f>SUMIF(#REF!,'8.Dgia'!A2935,#REF!)+SUMIF(#REF!,'8.Dgia'!A2935,#REF!)+SUMIF(#REF!,'8.Dgia'!A2935,#REF!)+SUMIF(#REF!,'8.Dgia'!A2935,#REF!)</f>
        <v>#REF!</v>
      </c>
      <c r="O2935" s="844">
        <f>+$H$2940</f>
        <v>1.5</v>
      </c>
      <c r="P2935" s="843" t="e">
        <f t="shared" si="119"/>
        <v>#REF!</v>
      </c>
    </row>
    <row r="2936" spans="1:18" ht="15" customHeight="1">
      <c r="A2936" s="657">
        <f>IF(B2936="",MAX($A$8:A2935)+0,MAX($A$8:A2935)+1)</f>
        <v>349</v>
      </c>
      <c r="B2936" s="835" t="str">
        <f>IF(C2936="","",COUNTA($C$10:C2937))</f>
        <v/>
      </c>
      <c r="C2936" s="362"/>
      <c r="D2936" s="362"/>
      <c r="E2936" s="852" t="s">
        <v>181</v>
      </c>
      <c r="F2936" s="848" t="str">
        <f>VLOOKUP(E2936,DICH!B:C,2,FALSE)</f>
        <v>Plastic cover D80</v>
      </c>
      <c r="G2936" s="847" t="s">
        <v>4649</v>
      </c>
      <c r="H2936" s="847">
        <v>1</v>
      </c>
      <c r="I2936" s="848">
        <f>VLOOKUP(E2936,'11.gia '!$B:$I,8,FALSE)</f>
        <v>5000</v>
      </c>
      <c r="J2936" s="853">
        <f>I2936*H2936</f>
        <v>5000</v>
      </c>
      <c r="N2936" s="843" t="e">
        <f>SUMIF(#REF!,'8.Dgia'!A2936,#REF!)+SUMIF(#REF!,'8.Dgia'!A2936,#REF!)+SUMIF(#REF!,'8.Dgia'!A2936,#REF!)+SUMIF(#REF!,'8.Dgia'!A2936,#REF!)</f>
        <v>#REF!</v>
      </c>
      <c r="O2936" s="844">
        <f>+$H$2940</f>
        <v>1.5</v>
      </c>
      <c r="P2936" s="843" t="e">
        <f t="shared" si="119"/>
        <v>#REF!</v>
      </c>
    </row>
    <row r="2937" spans="1:18" ht="15" customHeight="1">
      <c r="A2937" s="657">
        <f>IF(B2937="",MAX($A$8:A2936)+0,MAX($A$8:A2936)+1)</f>
        <v>349</v>
      </c>
      <c r="B2937" s="835" t="str">
        <f>IF(C2937="","",COUNTA($C$10:C2938))</f>
        <v/>
      </c>
      <c r="C2937" s="362"/>
      <c r="D2937" s="362"/>
      <c r="E2937" s="852" t="s">
        <v>596</v>
      </c>
      <c r="F2937" s="848" t="str">
        <f>VLOOKUP(E2937,DICH!B:C,2,FALSE)</f>
        <v>Antirust paint</v>
      </c>
      <c r="G2937" s="847" t="s">
        <v>558</v>
      </c>
      <c r="H2937" s="847">
        <v>0.115</v>
      </c>
      <c r="I2937" s="848">
        <f>VLOOKUP(E2937,'11.gia '!$B:$I,8,FALSE)</f>
        <v>41169.090909090904</v>
      </c>
      <c r="J2937" s="853">
        <f>I2937*H2937</f>
        <v>4734.4454545454546</v>
      </c>
      <c r="N2937" s="843" t="e">
        <f>SUMIF(#REF!,'8.Dgia'!A2937,#REF!)+SUMIF(#REF!,'8.Dgia'!A2937,#REF!)+SUMIF(#REF!,'8.Dgia'!A2937,#REF!)+SUMIF(#REF!,'8.Dgia'!A2937,#REF!)</f>
        <v>#REF!</v>
      </c>
      <c r="O2937" s="844">
        <f>+$H$2940</f>
        <v>1.5</v>
      </c>
      <c r="P2937" s="843" t="e">
        <f t="shared" si="119"/>
        <v>#REF!</v>
      </c>
    </row>
    <row r="2938" spans="1:18" ht="15" customHeight="1">
      <c r="A2938" s="657">
        <f>IF(B2938="",MAX($A$8:A2937)+0,MAX($A$8:A2937)+1)</f>
        <v>349</v>
      </c>
      <c r="B2938" s="835" t="str">
        <f>IF(C2938="","",COUNTA($C$10:C2939))</f>
        <v/>
      </c>
      <c r="C2938" s="362"/>
      <c r="D2938" s="362" t="s">
        <v>461</v>
      </c>
      <c r="E2938" s="852" t="s">
        <v>126</v>
      </c>
      <c r="F2938" s="848" t="str">
        <f>VLOOKUP(E2938,DICH!B:C,2,FALSE)</f>
        <v>Paint</v>
      </c>
      <c r="G2938" s="847" t="s">
        <v>558</v>
      </c>
      <c r="H2938" s="847">
        <v>0.18099999999999999</v>
      </c>
      <c r="I2938" s="848">
        <f>VLOOKUP(E2938,'11.gia '!$B:$I,8,FALSE)</f>
        <v>86666.666666666672</v>
      </c>
      <c r="J2938" s="853">
        <f>I2938*H2938</f>
        <v>15686.666666666668</v>
      </c>
      <c r="N2938" s="843" t="e">
        <f>SUMIF(#REF!,'8.Dgia'!A2938,#REF!)+SUMIF(#REF!,'8.Dgia'!A2938,#REF!)+SUMIF(#REF!,'8.Dgia'!A2938,#REF!)+SUMIF(#REF!,'8.Dgia'!A2938,#REF!)</f>
        <v>#REF!</v>
      </c>
      <c r="O2938" s="844">
        <f>+$H$2940</f>
        <v>1.5</v>
      </c>
      <c r="P2938" s="843" t="e">
        <f t="shared" si="119"/>
        <v>#REF!</v>
      </c>
    </row>
    <row r="2939" spans="1:18" ht="15" customHeight="1">
      <c r="A2939" s="657">
        <f>IF(B2939="",MAX($A$8:A2938)+0,MAX($A$8:A2938)+1)</f>
        <v>349</v>
      </c>
      <c r="B2939" s="835" t="str">
        <f>IF(C2939="","",COUNTA($C$10:C2940))</f>
        <v/>
      </c>
      <c r="C2939" s="851"/>
      <c r="D2939" s="851" t="str">
        <f>+'10.PLV'!$C$12</f>
        <v>C3123</v>
      </c>
      <c r="E2939" s="852" t="str">
        <f>+'10.PLV'!$D$12</f>
        <v>Vữa bê tông đá 1x2 C15 SN 2-4</v>
      </c>
      <c r="F2939" s="848" t="str">
        <f>VLOOKUP(E2939,DICH!B:C,2,FALSE)</f>
        <v>Concrete motar C15 stone 1x2 slump 2-4</v>
      </c>
      <c r="G2939" s="847" t="s">
        <v>545</v>
      </c>
      <c r="H2939" s="865"/>
      <c r="I2939" s="848"/>
      <c r="J2939" s="863" t="s">
        <v>2106</v>
      </c>
      <c r="N2939" s="843" t="e">
        <f>SUMIF(#REF!,'8.Dgia'!A2939,#REF!)+SUMIF(#REF!,'8.Dgia'!A2939,#REF!)+SUMIF(#REF!,'8.Dgia'!A2939,#REF!)+SUMIF(#REF!,'8.Dgia'!A2939,#REF!)</f>
        <v>#REF!</v>
      </c>
      <c r="O2939" s="844">
        <f>+$H$2940</f>
        <v>1.5</v>
      </c>
      <c r="P2939" s="843" t="e">
        <f t="shared" si="119"/>
        <v>#REF!</v>
      </c>
    </row>
    <row r="2940" spans="1:18" ht="15" customHeight="1">
      <c r="A2940" s="657">
        <f>IF(B2940="",MAX($A$8:A2939)+0,MAX($A$8:A2939)+1)</f>
        <v>349</v>
      </c>
      <c r="B2940" s="835" t="str">
        <f>IF(C2940="","",COUNTA($C$10:C2941))</f>
        <v/>
      </c>
      <c r="C2940" s="362"/>
      <c r="D2940" s="362"/>
      <c r="E2940" s="852" t="s">
        <v>555</v>
      </c>
      <c r="F2940" s="848" t="str">
        <f>VLOOKUP(E2940,DICH!B:C,2,FALSE)</f>
        <v>Other material</v>
      </c>
      <c r="G2940" s="362" t="s">
        <v>554</v>
      </c>
      <c r="H2940" s="847">
        <v>1.5</v>
      </c>
      <c r="I2940" s="848">
        <f>SUM(J2935:J2939)</f>
        <v>254821.11212121212</v>
      </c>
      <c r="J2940" s="853">
        <f>I2940*H2940%</f>
        <v>3822.3166818181817</v>
      </c>
      <c r="N2940" s="843" t="e">
        <f>SUMIF(#REF!,'8.Dgia'!A2940,#REF!)+SUMIF(#REF!,'8.Dgia'!A2940,#REF!)+SUMIF(#REF!,'8.Dgia'!A2940,#REF!)+SUMIF(#REF!,'8.Dgia'!A2940,#REF!)</f>
        <v>#REF!</v>
      </c>
      <c r="O2940" s="844"/>
      <c r="P2940" s="843" t="e">
        <f t="shared" si="119"/>
        <v>#REF!</v>
      </c>
    </row>
    <row r="2941" spans="1:18" ht="15" customHeight="1">
      <c r="A2941" s="657">
        <f>IF(B2941="",MAX($A$8:A2940)+0,MAX($A$8:A2940)+1)</f>
        <v>349</v>
      </c>
      <c r="B2941" s="835" t="str">
        <f>IF(C2941="","",COUNTA($C$10:C2942))</f>
        <v/>
      </c>
      <c r="C2941" s="362"/>
      <c r="D2941" s="362"/>
      <c r="E2941" s="852" t="s">
        <v>2045</v>
      </c>
      <c r="F2941" s="848" t="str">
        <f>VLOOKUP(E2941,DICH!B:C,2,FALSE)</f>
        <v xml:space="preserve">  B - Labour 3.3/7</v>
      </c>
      <c r="G2941" s="847" t="s">
        <v>4899</v>
      </c>
      <c r="H2941" s="865">
        <f>1.19</f>
        <v>1.19</v>
      </c>
      <c r="I2941" s="848">
        <f>VLOOKUP(E2941,'16.NC'!$C$11:$F$22,4,FALSE)</f>
        <v>196436</v>
      </c>
      <c r="J2941" s="849">
        <f>I2941*H2941</f>
        <v>233758.84</v>
      </c>
      <c r="N2941" s="843" t="e">
        <f>SUMIF(#REF!,'8.Dgia'!A2941,#REF!)+SUMIF(#REF!,'8.Dgia'!A2941,#REF!)+SUMIF(#REF!,'8.Dgia'!A2941,#REF!)+SUMIF(#REF!,'8.Dgia'!A2941,#REF!)</f>
        <v>#REF!</v>
      </c>
      <c r="O2941" s="844"/>
      <c r="P2941" s="843" t="e">
        <f t="shared" si="119"/>
        <v>#REF!</v>
      </c>
      <c r="R2941" s="658">
        <v>1</v>
      </c>
    </row>
    <row r="2942" spans="1:18" ht="15" customHeight="1">
      <c r="A2942" s="657">
        <f>IF(B2942="",MAX($A$8:A2941)+0,MAX($A$8:A2941)+1)</f>
        <v>349</v>
      </c>
      <c r="B2942" s="835" t="str">
        <f>IF(C2942="","",COUNTA($C$10:C2943))</f>
        <v/>
      </c>
      <c r="C2942" s="362"/>
      <c r="D2942" s="362"/>
      <c r="E2942" s="852" t="s">
        <v>2033</v>
      </c>
      <c r="F2942" s="848" t="str">
        <f>VLOOKUP(E2942,DICH!B:C,2,FALSE)</f>
        <v xml:space="preserve">  C - Machine</v>
      </c>
      <c r="G2942" s="847"/>
      <c r="H2942" s="847"/>
      <c r="I2942" s="848"/>
      <c r="J2942" s="849">
        <f>SUM(J2943:J2945)</f>
        <v>60248.859250909081</v>
      </c>
      <c r="N2942" s="843" t="e">
        <f>SUMIF(#REF!,'8.Dgia'!A2942,#REF!)+SUMIF(#REF!,'8.Dgia'!A2942,#REF!)+SUMIF(#REF!,'8.Dgia'!A2942,#REF!)+SUMIF(#REF!,'8.Dgia'!A2942,#REF!)</f>
        <v>#REF!</v>
      </c>
      <c r="O2942" s="844"/>
      <c r="P2942" s="843" t="e">
        <f t="shared" si="119"/>
        <v>#REF!</v>
      </c>
    </row>
    <row r="2943" spans="1:18" ht="15" customHeight="1">
      <c r="A2943" s="657">
        <f>IF(B2943="",MAX($A$8:A2942)+0,MAX($A$8:A2942)+1)</f>
        <v>349</v>
      </c>
      <c r="B2943" s="835" t="str">
        <f>IF(C2943="","",COUNTA($C$10:C2944))</f>
        <v/>
      </c>
      <c r="C2943" s="362"/>
      <c r="D2943" s="362"/>
      <c r="E2943" s="852" t="s">
        <v>1420</v>
      </c>
      <c r="F2943" s="848" t="str">
        <f>VLOOKUP(E2943,'9.may'!E:F,2,FALSE)</f>
        <v>Cutting machine 2.8Kw</v>
      </c>
      <c r="G2943" s="847" t="s">
        <v>4902</v>
      </c>
      <c r="H2943" s="847">
        <f>0.06</f>
        <v>0.06</v>
      </c>
      <c r="I2943" s="848">
        <f>VLOOKUP(E2943,'9.may'!E:W,12,FALSE)</f>
        <v>91297.656000000003</v>
      </c>
      <c r="J2943" s="853">
        <f>I2943*H2943</f>
        <v>5477.8593600000004</v>
      </c>
      <c r="N2943" s="843" t="e">
        <f>SUMIF(#REF!,'8.Dgia'!A2943,#REF!)+SUMIF(#REF!,'8.Dgia'!A2943,#REF!)+SUMIF(#REF!,'8.Dgia'!A2943,#REF!)+SUMIF(#REF!,'8.Dgia'!A2943,#REF!)</f>
        <v>#REF!</v>
      </c>
      <c r="O2943" s="844"/>
      <c r="P2943" s="843" t="e">
        <f t="shared" si="119"/>
        <v>#REF!</v>
      </c>
    </row>
    <row r="2944" spans="1:18" ht="15" customHeight="1">
      <c r="A2944" s="657">
        <f>IF(B2944="",MAX($A$8:A2943)+0,MAX($A$8:A2943)+1)</f>
        <v>349</v>
      </c>
      <c r="B2944" s="835" t="str">
        <f>IF(C2944="","",COUNTA($C$10:C2945))</f>
        <v/>
      </c>
      <c r="C2944" s="362"/>
      <c r="D2944" s="362"/>
      <c r="E2944" s="852" t="s">
        <v>1434</v>
      </c>
      <c r="F2944" s="848" t="str">
        <f>VLOOKUP(E2944,'9.may'!E:F,2,FALSE)</f>
        <v>sharpener 1kW</v>
      </c>
      <c r="G2944" s="847" t="s">
        <v>4902</v>
      </c>
      <c r="H2944" s="847">
        <f>0.06</f>
        <v>0.06</v>
      </c>
      <c r="I2944" s="848">
        <f>VLOOKUP(E2944,'9.may'!E:W,12,FALSE)</f>
        <v>59539.11</v>
      </c>
      <c r="J2944" s="853">
        <f>I2944*H2944</f>
        <v>3572.3465999999999</v>
      </c>
      <c r="N2944" s="843" t="e">
        <f>SUMIF(#REF!,'8.Dgia'!A2944,#REF!)+SUMIF(#REF!,'8.Dgia'!A2944,#REF!)+SUMIF(#REF!,'8.Dgia'!A2944,#REF!)+SUMIF(#REF!,'8.Dgia'!A2944,#REF!)</f>
        <v>#REF!</v>
      </c>
      <c r="O2944" s="844"/>
      <c r="P2944" s="843" t="e">
        <f t="shared" si="119"/>
        <v>#REF!</v>
      </c>
    </row>
    <row r="2945" spans="1:18" ht="15" customHeight="1">
      <c r="A2945" s="657">
        <f>IF(B2945="",MAX($A$8:A2944)+0,MAX($A$8:A2944)+1)</f>
        <v>349</v>
      </c>
      <c r="B2945" s="835" t="str">
        <f>IF(C2945="","",COUNTA($C$10:C2946))</f>
        <v/>
      </c>
      <c r="C2945" s="362"/>
      <c r="D2945" s="362"/>
      <c r="E2945" s="852" t="s">
        <v>911</v>
      </c>
      <c r="F2945" s="848" t="str">
        <f>VLOOKUP(E2945,'9.may'!E:F,2,FALSE)</f>
        <v>truck 7T</v>
      </c>
      <c r="G2945" s="847" t="s">
        <v>4902</v>
      </c>
      <c r="H2945" s="847">
        <f>0.045</f>
        <v>4.4999999999999998E-2</v>
      </c>
      <c r="I2945" s="848">
        <f>VLOOKUP(E2945,'9.may'!E:W,12,FALSE)</f>
        <v>1137747.8509090908</v>
      </c>
      <c r="J2945" s="853">
        <f>I2945*H2945</f>
        <v>51198.653290909082</v>
      </c>
      <c r="N2945" s="843" t="e">
        <f>SUMIF(#REF!,'8.Dgia'!A2945,#REF!)+SUMIF(#REF!,'8.Dgia'!A2945,#REF!)+SUMIF(#REF!,'8.Dgia'!A2945,#REF!)+SUMIF(#REF!,'8.Dgia'!A2945,#REF!)</f>
        <v>#REF!</v>
      </c>
      <c r="O2945" s="844"/>
      <c r="P2945" s="843" t="e">
        <f t="shared" si="119"/>
        <v>#REF!</v>
      </c>
    </row>
    <row r="2946" spans="1:18" ht="15" customHeight="1">
      <c r="A2946" s="657">
        <f>IF(B2946="",MAX($A$8:A2945)+0,MAX($A$8:A2945)+1)</f>
        <v>350</v>
      </c>
      <c r="B2946" s="835">
        <f>IF(C2946="","",COUNTA($C$10:C2947))</f>
        <v>350</v>
      </c>
      <c r="C2946" s="835">
        <f>IF(D2946="","",1776)</f>
        <v>1776</v>
      </c>
      <c r="D2946" s="362" t="s">
        <v>137</v>
      </c>
      <c r="E2946" s="855" t="s">
        <v>2105</v>
      </c>
      <c r="F2946" s="1049" t="str">
        <f>VLOOKUP(E2946,DICH!B:C,2,FALSE)</f>
        <v>Signal column D80, L=4.0m</v>
      </c>
      <c r="G2946" s="856" t="s">
        <v>4649</v>
      </c>
      <c r="H2946" s="847"/>
      <c r="I2946" s="848"/>
      <c r="J2946" s="889"/>
      <c r="K2946" s="842">
        <f>+J2947</f>
        <v>336257.09546969697</v>
      </c>
      <c r="L2946" s="842">
        <f>+J2954</f>
        <v>233758.84</v>
      </c>
      <c r="M2946" s="842">
        <f>+J2955</f>
        <v>60248.859250909081</v>
      </c>
      <c r="N2946" s="843" t="e">
        <f>SUMIF(#REF!,'8.Dgia'!A2946,#REF!)+SUMIF(#REF!,'8.Dgia'!A2946,#REF!)+SUMIF(#REF!,'8.Dgia'!A2946,#REF!)+SUMIF(#REF!,'8.Dgia'!A2946,#REF!)</f>
        <v>#REF!</v>
      </c>
      <c r="O2946" s="844"/>
      <c r="P2946" s="843" t="e">
        <f t="shared" si="119"/>
        <v>#REF!</v>
      </c>
    </row>
    <row r="2947" spans="1:18" ht="15" customHeight="1">
      <c r="A2947" s="657">
        <f>IF(B2947="",MAX($A$8:A2946)+0,MAX($A$8:A2946)+1)</f>
        <v>350</v>
      </c>
      <c r="B2947" s="835" t="str">
        <f>IF(C2947="","",COUNTA($C$10:C2948))</f>
        <v/>
      </c>
      <c r="C2947" s="362"/>
      <c r="D2947" s="362"/>
      <c r="E2947" s="852" t="s">
        <v>2032</v>
      </c>
      <c r="F2947" s="848" t="str">
        <f>VLOOKUP(E2947,DICH!B:C,2,FALSE)</f>
        <v xml:space="preserve">  A - Material</v>
      </c>
      <c r="G2947" s="847"/>
      <c r="H2947" s="847"/>
      <c r="I2947" s="848"/>
      <c r="J2947" s="849">
        <f>SUM(J2948:J2953)</f>
        <v>336257.09546969697</v>
      </c>
      <c r="N2947" s="843" t="e">
        <f>SUMIF(#REF!,'8.Dgia'!A2947,#REF!)+SUMIF(#REF!,'8.Dgia'!A2947,#REF!)+SUMIF(#REF!,'8.Dgia'!A2947,#REF!)+SUMIF(#REF!,'8.Dgia'!A2947,#REF!)</f>
        <v>#REF!</v>
      </c>
      <c r="O2947" s="844"/>
      <c r="P2947" s="843" t="e">
        <f t="shared" si="119"/>
        <v>#REF!</v>
      </c>
    </row>
    <row r="2948" spans="1:18" ht="15" customHeight="1">
      <c r="A2948" s="657">
        <f>IF(B2948="",MAX($A$8:A2947)+0,MAX($A$8:A2947)+1)</f>
        <v>350</v>
      </c>
      <c r="B2948" s="835" t="str">
        <f>IF(C2948="","",COUNTA($C$10:C2949))</f>
        <v/>
      </c>
      <c r="C2948" s="362"/>
      <c r="D2948" s="362"/>
      <c r="E2948" s="852" t="s">
        <v>182</v>
      </c>
      <c r="F2948" s="848" t="str">
        <f>VLOOKUP(E2948,DICH!B:C,2,FALSE)</f>
        <v>Steel pipe D80</v>
      </c>
      <c r="G2948" s="847" t="s">
        <v>543</v>
      </c>
      <c r="H2948" s="847">
        <v>4</v>
      </c>
      <c r="I2948" s="848">
        <f>VLOOKUP(E2948,'11.gia '!$B:$I,8,FALSE)</f>
        <v>76466.666666666672</v>
      </c>
      <c r="J2948" s="853">
        <f>I2948*H2948</f>
        <v>305866.66666666669</v>
      </c>
      <c r="N2948" s="843" t="e">
        <f>SUMIF(#REF!,'8.Dgia'!A2948,#REF!)+SUMIF(#REF!,'8.Dgia'!A2948,#REF!)+SUMIF(#REF!,'8.Dgia'!A2948,#REF!)+SUMIF(#REF!,'8.Dgia'!A2948,#REF!)</f>
        <v>#REF!</v>
      </c>
      <c r="O2948" s="844">
        <f>+$H$2953</f>
        <v>1.5</v>
      </c>
      <c r="P2948" s="843" t="e">
        <f t="shared" si="119"/>
        <v>#REF!</v>
      </c>
    </row>
    <row r="2949" spans="1:18" ht="15" customHeight="1">
      <c r="A2949" s="657">
        <f>IF(B2949="",MAX($A$8:A2948)+0,MAX($A$8:A2948)+1)</f>
        <v>350</v>
      </c>
      <c r="B2949" s="835" t="str">
        <f>IF(C2949="","",COUNTA($C$10:C2950))</f>
        <v/>
      </c>
      <c r="C2949" s="362"/>
      <c r="D2949" s="362"/>
      <c r="E2949" s="852" t="s">
        <v>181</v>
      </c>
      <c r="F2949" s="848" t="str">
        <f>VLOOKUP(E2949,DICH!B:C,2,FALSE)</f>
        <v>Plastic cover D80</v>
      </c>
      <c r="G2949" s="847" t="s">
        <v>4649</v>
      </c>
      <c r="H2949" s="847">
        <v>1</v>
      </c>
      <c r="I2949" s="848">
        <f>VLOOKUP(E2949,'11.gia '!$B:$I,8,FALSE)</f>
        <v>5000</v>
      </c>
      <c r="J2949" s="853">
        <f>I2949*H2949</f>
        <v>5000</v>
      </c>
      <c r="N2949" s="843" t="e">
        <f>SUMIF(#REF!,'8.Dgia'!A2949,#REF!)+SUMIF(#REF!,'8.Dgia'!A2949,#REF!)+SUMIF(#REF!,'8.Dgia'!A2949,#REF!)+SUMIF(#REF!,'8.Dgia'!A2949,#REF!)</f>
        <v>#REF!</v>
      </c>
      <c r="O2949" s="844">
        <f>+$H$2953</f>
        <v>1.5</v>
      </c>
      <c r="P2949" s="843" t="e">
        <f t="shared" si="119"/>
        <v>#REF!</v>
      </c>
    </row>
    <row r="2950" spans="1:18" ht="15" customHeight="1">
      <c r="A2950" s="657">
        <f>IF(B2950="",MAX($A$8:A2949)+0,MAX($A$8:A2949)+1)</f>
        <v>350</v>
      </c>
      <c r="B2950" s="835" t="str">
        <f>IF(C2950="","",COUNTA($C$10:C2951))</f>
        <v/>
      </c>
      <c r="C2950" s="362"/>
      <c r="D2950" s="362"/>
      <c r="E2950" s="852" t="s">
        <v>596</v>
      </c>
      <c r="F2950" s="848" t="str">
        <f>VLOOKUP(E2950,DICH!B:C,2,FALSE)</f>
        <v>Antirust paint</v>
      </c>
      <c r="G2950" s="847" t="s">
        <v>558</v>
      </c>
      <c r="H2950" s="847">
        <v>0.115</v>
      </c>
      <c r="I2950" s="848">
        <f>VLOOKUP(E2950,'11.gia '!$B:$I,8,FALSE)</f>
        <v>41169.090909090904</v>
      </c>
      <c r="J2950" s="853">
        <f>I2950*H2950</f>
        <v>4734.4454545454546</v>
      </c>
      <c r="N2950" s="843" t="e">
        <f>SUMIF(#REF!,'8.Dgia'!A2950,#REF!)+SUMIF(#REF!,'8.Dgia'!A2950,#REF!)+SUMIF(#REF!,'8.Dgia'!A2950,#REF!)+SUMIF(#REF!,'8.Dgia'!A2950,#REF!)</f>
        <v>#REF!</v>
      </c>
      <c r="O2950" s="844">
        <f>+$H$2953</f>
        <v>1.5</v>
      </c>
      <c r="P2950" s="843" t="e">
        <f t="shared" si="119"/>
        <v>#REF!</v>
      </c>
    </row>
    <row r="2951" spans="1:18" ht="15" customHeight="1">
      <c r="A2951" s="657">
        <f>IF(B2951="",MAX($A$8:A2950)+0,MAX($A$8:A2950)+1)</f>
        <v>350</v>
      </c>
      <c r="B2951" s="835" t="str">
        <f>IF(C2951="","",COUNTA($C$10:C2952))</f>
        <v/>
      </c>
      <c r="C2951" s="362"/>
      <c r="D2951" s="362" t="s">
        <v>461</v>
      </c>
      <c r="E2951" s="852" t="s">
        <v>126</v>
      </c>
      <c r="F2951" s="848" t="str">
        <f>VLOOKUP(E2951,DICH!B:C,2,FALSE)</f>
        <v>Paint</v>
      </c>
      <c r="G2951" s="847" t="s">
        <v>558</v>
      </c>
      <c r="H2951" s="847">
        <v>0.18099999999999999</v>
      </c>
      <c r="I2951" s="848">
        <f>VLOOKUP(E2951,'11.gia '!$B:$I,8,FALSE)</f>
        <v>86666.666666666672</v>
      </c>
      <c r="J2951" s="853">
        <f>I2951*H2951</f>
        <v>15686.666666666668</v>
      </c>
      <c r="N2951" s="843" t="e">
        <f>SUMIF(#REF!,'8.Dgia'!A2951,#REF!)+SUMIF(#REF!,'8.Dgia'!A2951,#REF!)+SUMIF(#REF!,'8.Dgia'!A2951,#REF!)+SUMIF(#REF!,'8.Dgia'!A2951,#REF!)</f>
        <v>#REF!</v>
      </c>
      <c r="O2951" s="844">
        <f>+$H$2953</f>
        <v>1.5</v>
      </c>
      <c r="P2951" s="843" t="e">
        <f t="shared" si="119"/>
        <v>#REF!</v>
      </c>
    </row>
    <row r="2952" spans="1:18" ht="15" customHeight="1">
      <c r="A2952" s="657">
        <f>IF(B2952="",MAX($A$8:A2951)+0,MAX($A$8:A2951)+1)</f>
        <v>350</v>
      </c>
      <c r="B2952" s="835" t="str">
        <f>IF(C2952="","",COUNTA($C$10:C2953))</f>
        <v/>
      </c>
      <c r="C2952" s="851"/>
      <c r="D2952" s="851" t="str">
        <f>+'10.PLV'!$C$12</f>
        <v>C3123</v>
      </c>
      <c r="E2952" s="852" t="str">
        <f>+'10.PLV'!$D$12</f>
        <v>Vữa bê tông đá 1x2 C15 SN 2-4</v>
      </c>
      <c r="F2952" s="848" t="str">
        <f>VLOOKUP(E2952,DICH!B:C,2,FALSE)</f>
        <v>Concrete motar C15 stone 1x2 slump 2-4</v>
      </c>
      <c r="G2952" s="847" t="s">
        <v>545</v>
      </c>
      <c r="H2952" s="865"/>
      <c r="I2952" s="848"/>
      <c r="J2952" s="863" t="s">
        <v>2106</v>
      </c>
      <c r="N2952" s="843" t="e">
        <f>SUMIF(#REF!,'8.Dgia'!A2952,#REF!)+SUMIF(#REF!,'8.Dgia'!A2952,#REF!)+SUMIF(#REF!,'8.Dgia'!A2952,#REF!)+SUMIF(#REF!,'8.Dgia'!A2952,#REF!)</f>
        <v>#REF!</v>
      </c>
      <c r="O2952" s="844">
        <f>+$H$2953</f>
        <v>1.5</v>
      </c>
      <c r="P2952" s="843" t="e">
        <f t="shared" si="119"/>
        <v>#REF!</v>
      </c>
    </row>
    <row r="2953" spans="1:18" ht="15" customHeight="1">
      <c r="A2953" s="657">
        <f>IF(B2953="",MAX($A$8:A2952)+0,MAX($A$8:A2952)+1)</f>
        <v>350</v>
      </c>
      <c r="B2953" s="835" t="str">
        <f>IF(C2953="","",COUNTA($C$10:C2954))</f>
        <v/>
      </c>
      <c r="C2953" s="362"/>
      <c r="D2953" s="362"/>
      <c r="E2953" s="852" t="s">
        <v>555</v>
      </c>
      <c r="F2953" s="848" t="str">
        <f>VLOOKUP(E2953,DICH!B:C,2,FALSE)</f>
        <v>Other material</v>
      </c>
      <c r="G2953" s="362" t="s">
        <v>554</v>
      </c>
      <c r="H2953" s="847">
        <v>1.5</v>
      </c>
      <c r="I2953" s="848">
        <f>SUM(J2948:J2952)</f>
        <v>331287.77878787881</v>
      </c>
      <c r="J2953" s="853">
        <f>I2953*H2953%</f>
        <v>4969.3166818181817</v>
      </c>
      <c r="N2953" s="843" t="e">
        <f>SUMIF(#REF!,'8.Dgia'!A2953,#REF!)+SUMIF(#REF!,'8.Dgia'!A2953,#REF!)+SUMIF(#REF!,'8.Dgia'!A2953,#REF!)+SUMIF(#REF!,'8.Dgia'!A2953,#REF!)</f>
        <v>#REF!</v>
      </c>
      <c r="O2953" s="844"/>
      <c r="P2953" s="843" t="e">
        <f t="shared" si="119"/>
        <v>#REF!</v>
      </c>
    </row>
    <row r="2954" spans="1:18" ht="15" customHeight="1">
      <c r="A2954" s="657">
        <f>IF(B2954="",MAX($A$8:A2953)+0,MAX($A$8:A2953)+1)</f>
        <v>350</v>
      </c>
      <c r="B2954" s="835" t="str">
        <f>IF(C2954="","",COUNTA($C$10:C2955))</f>
        <v/>
      </c>
      <c r="C2954" s="362"/>
      <c r="D2954" s="362"/>
      <c r="E2954" s="852" t="s">
        <v>2045</v>
      </c>
      <c r="F2954" s="848" t="str">
        <f>VLOOKUP(E2954,DICH!B:C,2,FALSE)</f>
        <v xml:space="preserve">  B - Labour 3.3/7</v>
      </c>
      <c r="G2954" s="847" t="s">
        <v>4899</v>
      </c>
      <c r="H2954" s="865">
        <f>1.19</f>
        <v>1.19</v>
      </c>
      <c r="I2954" s="848">
        <f>VLOOKUP(E2954,'16.NC'!$C$11:$F$22,4,FALSE)</f>
        <v>196436</v>
      </c>
      <c r="J2954" s="849">
        <f>I2954*H2954</f>
        <v>233758.84</v>
      </c>
      <c r="N2954" s="843" t="e">
        <f>SUMIF(#REF!,'8.Dgia'!A2954,#REF!)+SUMIF(#REF!,'8.Dgia'!A2954,#REF!)+SUMIF(#REF!,'8.Dgia'!A2954,#REF!)+SUMIF(#REF!,'8.Dgia'!A2954,#REF!)</f>
        <v>#REF!</v>
      </c>
      <c r="O2954" s="844"/>
      <c r="P2954" s="843" t="e">
        <f t="shared" si="119"/>
        <v>#REF!</v>
      </c>
      <c r="R2954" s="658">
        <v>1</v>
      </c>
    </row>
    <row r="2955" spans="1:18" ht="15" customHeight="1">
      <c r="A2955" s="657">
        <f>IF(B2955="",MAX($A$8:A2954)+0,MAX($A$8:A2954)+1)</f>
        <v>350</v>
      </c>
      <c r="B2955" s="835" t="str">
        <f>IF(C2955="","",COUNTA($C$10:C2956))</f>
        <v/>
      </c>
      <c r="C2955" s="362"/>
      <c r="D2955" s="362"/>
      <c r="E2955" s="852" t="s">
        <v>2033</v>
      </c>
      <c r="F2955" s="848" t="str">
        <f>VLOOKUP(E2955,DICH!B:C,2,FALSE)</f>
        <v xml:space="preserve">  C - Machine</v>
      </c>
      <c r="G2955" s="847"/>
      <c r="H2955" s="847"/>
      <c r="I2955" s="848"/>
      <c r="J2955" s="849">
        <f>SUM(J2956:J2958)</f>
        <v>60248.859250909081</v>
      </c>
      <c r="N2955" s="843" t="e">
        <f>SUMIF(#REF!,'8.Dgia'!A2955,#REF!)+SUMIF(#REF!,'8.Dgia'!A2955,#REF!)+SUMIF(#REF!,'8.Dgia'!A2955,#REF!)+SUMIF(#REF!,'8.Dgia'!A2955,#REF!)</f>
        <v>#REF!</v>
      </c>
      <c r="O2955" s="844"/>
      <c r="P2955" s="843" t="e">
        <f t="shared" si="119"/>
        <v>#REF!</v>
      </c>
    </row>
    <row r="2956" spans="1:18" ht="15" customHeight="1">
      <c r="A2956" s="657">
        <f>IF(B2956="",MAX($A$8:A2955)+0,MAX($A$8:A2955)+1)</f>
        <v>350</v>
      </c>
      <c r="B2956" s="835" t="str">
        <f>IF(C2956="","",COUNTA($C$10:C2957))</f>
        <v/>
      </c>
      <c r="C2956" s="362"/>
      <c r="D2956" s="362"/>
      <c r="E2956" s="852" t="s">
        <v>1420</v>
      </c>
      <c r="F2956" s="848" t="str">
        <f>VLOOKUP(E2956,'9.may'!E:F,2,FALSE)</f>
        <v>Cutting machine 2.8Kw</v>
      </c>
      <c r="G2956" s="847" t="s">
        <v>4902</v>
      </c>
      <c r="H2956" s="847">
        <f>0.06</f>
        <v>0.06</v>
      </c>
      <c r="I2956" s="848">
        <f>VLOOKUP(E2956,'9.may'!E:W,12,FALSE)</f>
        <v>91297.656000000003</v>
      </c>
      <c r="J2956" s="853">
        <f>I2956*H2956</f>
        <v>5477.8593600000004</v>
      </c>
      <c r="N2956" s="843" t="e">
        <f>SUMIF(#REF!,'8.Dgia'!A2956,#REF!)+SUMIF(#REF!,'8.Dgia'!A2956,#REF!)+SUMIF(#REF!,'8.Dgia'!A2956,#REF!)+SUMIF(#REF!,'8.Dgia'!A2956,#REF!)</f>
        <v>#REF!</v>
      </c>
      <c r="O2956" s="844"/>
      <c r="P2956" s="843" t="e">
        <f t="shared" si="119"/>
        <v>#REF!</v>
      </c>
    </row>
    <row r="2957" spans="1:18" ht="15" customHeight="1">
      <c r="A2957" s="657">
        <f>IF(B2957="",MAX($A$8:A2956)+0,MAX($A$8:A2956)+1)</f>
        <v>350</v>
      </c>
      <c r="B2957" s="835" t="str">
        <f>IF(C2957="","",COUNTA($C$10:C2958))</f>
        <v/>
      </c>
      <c r="C2957" s="362"/>
      <c r="D2957" s="362"/>
      <c r="E2957" s="852" t="s">
        <v>1434</v>
      </c>
      <c r="F2957" s="848" t="str">
        <f>VLOOKUP(E2957,'9.may'!E:F,2,FALSE)</f>
        <v>sharpener 1kW</v>
      </c>
      <c r="G2957" s="847" t="s">
        <v>4902</v>
      </c>
      <c r="H2957" s="847">
        <f>0.06</f>
        <v>0.06</v>
      </c>
      <c r="I2957" s="848">
        <f>VLOOKUP(E2957,'9.may'!E:W,12,FALSE)</f>
        <v>59539.11</v>
      </c>
      <c r="J2957" s="853">
        <f>I2957*H2957</f>
        <v>3572.3465999999999</v>
      </c>
      <c r="N2957" s="843" t="e">
        <f>SUMIF(#REF!,'8.Dgia'!A2957,#REF!)+SUMIF(#REF!,'8.Dgia'!A2957,#REF!)+SUMIF(#REF!,'8.Dgia'!A2957,#REF!)+SUMIF(#REF!,'8.Dgia'!A2957,#REF!)</f>
        <v>#REF!</v>
      </c>
      <c r="O2957" s="844"/>
      <c r="P2957" s="843" t="e">
        <f t="shared" si="119"/>
        <v>#REF!</v>
      </c>
    </row>
    <row r="2958" spans="1:18" ht="15" customHeight="1">
      <c r="A2958" s="657">
        <f>IF(B2958="",MAX($A$8:A2957)+0,MAX($A$8:A2957)+1)</f>
        <v>350</v>
      </c>
      <c r="B2958" s="835" t="str">
        <f>IF(C2958="","",COUNTA($C$10:C2959))</f>
        <v/>
      </c>
      <c r="C2958" s="362"/>
      <c r="D2958" s="362"/>
      <c r="E2958" s="852" t="s">
        <v>911</v>
      </c>
      <c r="F2958" s="848" t="str">
        <f>VLOOKUP(E2958,'9.may'!E:F,2,FALSE)</f>
        <v>truck 7T</v>
      </c>
      <c r="G2958" s="847" t="s">
        <v>4902</v>
      </c>
      <c r="H2958" s="847">
        <f>0.045</f>
        <v>4.4999999999999998E-2</v>
      </c>
      <c r="I2958" s="848">
        <f>VLOOKUP(E2958,'9.may'!E:W,12,FALSE)</f>
        <v>1137747.8509090908</v>
      </c>
      <c r="J2958" s="853">
        <f>I2958*H2958</f>
        <v>51198.653290909082</v>
      </c>
      <c r="N2958" s="843" t="e">
        <f>SUMIF(#REF!,'8.Dgia'!A2958,#REF!)+SUMIF(#REF!,'8.Dgia'!A2958,#REF!)+SUMIF(#REF!,'8.Dgia'!A2958,#REF!)+SUMIF(#REF!,'8.Dgia'!A2958,#REF!)</f>
        <v>#REF!</v>
      </c>
      <c r="O2958" s="844"/>
      <c r="P2958" s="843" t="e">
        <f t="shared" si="119"/>
        <v>#REF!</v>
      </c>
    </row>
    <row r="2959" spans="1:18" ht="15" customHeight="1">
      <c r="A2959" s="657">
        <f>IF(B2959="",MAX($A$8:A2958)+0,MAX($A$8:A2958)+1)</f>
        <v>351</v>
      </c>
      <c r="B2959" s="835">
        <f>IF(C2959="","",COUNTA($C$10:C2960))</f>
        <v>351</v>
      </c>
      <c r="C2959" s="835">
        <v>0</v>
      </c>
      <c r="D2959" s="240" t="s">
        <v>71</v>
      </c>
      <c r="E2959" s="870" t="s">
        <v>2109</v>
      </c>
      <c r="F2959" s="848" t="str">
        <f>VLOOKUP(E2959,DICH!B:C,2,FALSE)</f>
        <v>Rubber joint D1500</v>
      </c>
      <c r="G2959" s="315" t="s">
        <v>4649</v>
      </c>
      <c r="H2959" s="169"/>
      <c r="I2959" s="848"/>
      <c r="J2959" s="853"/>
      <c r="K2959" s="842">
        <f>+J2960</f>
        <v>94400</v>
      </c>
      <c r="N2959" s="843" t="e">
        <f>SUMIF(#REF!,'8.Dgia'!A2959,#REF!)+SUMIF(#REF!,'8.Dgia'!A2959,#REF!)+SUMIF(#REF!,'8.Dgia'!A2959,#REF!)+SUMIF(#REF!,'8.Dgia'!A2959,#REF!)</f>
        <v>#REF!</v>
      </c>
      <c r="O2959" s="844"/>
      <c r="P2959" s="843" t="e">
        <f t="shared" si="119"/>
        <v>#REF!</v>
      </c>
    </row>
    <row r="2960" spans="1:18" ht="15" customHeight="1">
      <c r="A2960" s="657">
        <f>IF(B2960="",MAX($A$8:A2959)+0,MAX($A$8:A2959)+1)</f>
        <v>351</v>
      </c>
      <c r="B2960" s="835" t="str">
        <f>IF(C2960="","",COUNTA($C$10:C2961))</f>
        <v/>
      </c>
      <c r="C2960" s="362"/>
      <c r="D2960" s="239"/>
      <c r="E2960" s="819" t="s">
        <v>2032</v>
      </c>
      <c r="F2960" s="848" t="str">
        <f>VLOOKUP(E2960,DICH!B:C,2,FALSE)</f>
        <v xml:space="preserve">  A - Material</v>
      </c>
      <c r="G2960" s="949"/>
      <c r="H2960" s="873"/>
      <c r="I2960" s="848"/>
      <c r="J2960" s="849">
        <f>SUM(J2961:J2961)</f>
        <v>94400</v>
      </c>
      <c r="N2960" s="843" t="e">
        <f>SUMIF(#REF!,'8.Dgia'!A2960,#REF!)+SUMIF(#REF!,'8.Dgia'!A2960,#REF!)+SUMIF(#REF!,'8.Dgia'!A2960,#REF!)+SUMIF(#REF!,'8.Dgia'!A2960,#REF!)</f>
        <v>#REF!</v>
      </c>
      <c r="O2960" s="844"/>
      <c r="P2960" s="843" t="e">
        <f t="shared" si="119"/>
        <v>#REF!</v>
      </c>
    </row>
    <row r="2961" spans="1:18" ht="15" customHeight="1">
      <c r="A2961" s="657">
        <f>IF(B2961="",MAX($A$8:A2960)+0,MAX($A$8:A2960)+1)</f>
        <v>351</v>
      </c>
      <c r="B2961" s="835" t="str">
        <f>IF(C2961="","",COUNTA($C$10:C2962))</f>
        <v/>
      </c>
      <c r="C2961" s="362"/>
      <c r="D2961" s="239"/>
      <c r="E2961" s="661" t="s">
        <v>2110</v>
      </c>
      <c r="F2961" s="848" t="str">
        <f>VLOOKUP(E2961,DICH!B:C,2,FALSE)</f>
        <v>Rubber joint D1500</v>
      </c>
      <c r="G2961" s="704" t="s">
        <v>4649</v>
      </c>
      <c r="H2961" s="239">
        <v>1</v>
      </c>
      <c r="I2961" s="848">
        <f>VLOOKUP(E2961,'11.gia '!$B:$I,8,FALSE)</f>
        <v>94400</v>
      </c>
      <c r="J2961" s="853">
        <f>I2961*H2961</f>
        <v>94400</v>
      </c>
      <c r="N2961" s="843" t="e">
        <f>SUMIF(#REF!,'8.Dgia'!A2961,#REF!)+SUMIF(#REF!,'8.Dgia'!A2961,#REF!)+SUMIF(#REF!,'8.Dgia'!A2961,#REF!)+SUMIF(#REF!,'8.Dgia'!A2961,#REF!)</f>
        <v>#REF!</v>
      </c>
      <c r="O2961" s="844"/>
      <c r="P2961" s="843" t="e">
        <f t="shared" si="119"/>
        <v>#REF!</v>
      </c>
    </row>
    <row r="2962" spans="1:18" ht="15" customHeight="1">
      <c r="A2962" s="657">
        <f>IF(B2962="",MAX($A$8:A2961)+0,MAX($A$8:A2961)+1)</f>
        <v>352</v>
      </c>
      <c r="B2962" s="835">
        <f>IF(C2962="","",COUNTA($C$10:C2963))</f>
        <v>352</v>
      </c>
      <c r="C2962" s="835">
        <v>0</v>
      </c>
      <c r="D2962" s="240" t="s">
        <v>71</v>
      </c>
      <c r="E2962" s="870" t="s">
        <v>3474</v>
      </c>
      <c r="F2962" s="848" t="str">
        <f>VLOOKUP(E2962,DICH!B:C,2,FALSE)</f>
        <v>Supply scew nut M10</v>
      </c>
      <c r="G2962" s="315" t="s">
        <v>4651</v>
      </c>
      <c r="H2962" s="169"/>
      <c r="I2962" s="848"/>
      <c r="J2962" s="853"/>
      <c r="K2962" s="842">
        <f>+J2963</f>
        <v>3000</v>
      </c>
      <c r="N2962" s="843" t="e">
        <f>SUMIF(#REF!,'8.Dgia'!A2962,#REF!)+SUMIF(#REF!,'8.Dgia'!A2962,#REF!)+SUMIF(#REF!,'8.Dgia'!A2962,#REF!)+SUMIF(#REF!,'8.Dgia'!A2962,#REF!)</f>
        <v>#REF!</v>
      </c>
      <c r="O2962" s="844"/>
      <c r="P2962" s="843" t="e">
        <f t="shared" ref="P2962:P2967" si="123">$H2962*N2962*(1+O2962%)</f>
        <v>#REF!</v>
      </c>
    </row>
    <row r="2963" spans="1:18" ht="15" customHeight="1">
      <c r="A2963" s="657">
        <f>IF(B2963="",MAX($A$8:A2962)+0,MAX($A$8:A2962)+1)</f>
        <v>352</v>
      </c>
      <c r="B2963" s="835" t="str">
        <f>IF(C2963="","",COUNTA($C$10:C2964))</f>
        <v/>
      </c>
      <c r="C2963" s="362"/>
      <c r="D2963" s="239"/>
      <c r="E2963" s="819" t="s">
        <v>2032</v>
      </c>
      <c r="F2963" s="848" t="str">
        <f>VLOOKUP(E2963,DICH!B:C,2,FALSE)</f>
        <v xml:space="preserve">  A - Material</v>
      </c>
      <c r="G2963" s="949"/>
      <c r="H2963" s="873"/>
      <c r="I2963" s="848"/>
      <c r="J2963" s="849">
        <f>SUM(J2964:J2964)</f>
        <v>3000</v>
      </c>
      <c r="N2963" s="843" t="e">
        <f>SUMIF(#REF!,'8.Dgia'!A2963,#REF!)+SUMIF(#REF!,'8.Dgia'!A2963,#REF!)+SUMIF(#REF!,'8.Dgia'!A2963,#REF!)+SUMIF(#REF!,'8.Dgia'!A2963,#REF!)</f>
        <v>#REF!</v>
      </c>
      <c r="O2963" s="844"/>
      <c r="P2963" s="843" t="e">
        <f t="shared" si="123"/>
        <v>#REF!</v>
      </c>
    </row>
    <row r="2964" spans="1:18" ht="15" customHeight="1">
      <c r="A2964" s="657">
        <f>IF(B2964="",MAX($A$8:A2963)+0,MAX($A$8:A2963)+1)</f>
        <v>352</v>
      </c>
      <c r="B2964" s="835" t="str">
        <f>IF(C2964="","",COUNTA($C$10:C2965))</f>
        <v/>
      </c>
      <c r="C2964" s="362"/>
      <c r="D2964" s="239"/>
      <c r="E2964" s="661" t="s">
        <v>317</v>
      </c>
      <c r="F2964" s="848" t="str">
        <f>VLOOKUP(E2964,DICH!B:C,2,FALSE)</f>
        <v>Scew nut M10</v>
      </c>
      <c r="G2964" s="704" t="s">
        <v>4651</v>
      </c>
      <c r="H2964" s="239">
        <v>1</v>
      </c>
      <c r="I2964" s="848">
        <f>VLOOKUP(E2964,'11.gia '!$B:$I,8,FALSE)</f>
        <v>3000</v>
      </c>
      <c r="J2964" s="853">
        <f>I2964*H2964</f>
        <v>3000</v>
      </c>
      <c r="N2964" s="843" t="e">
        <f>SUMIF(#REF!,'8.Dgia'!A2964,#REF!)+SUMIF(#REF!,'8.Dgia'!A2964,#REF!)+SUMIF(#REF!,'8.Dgia'!A2964,#REF!)+SUMIF(#REF!,'8.Dgia'!A2964,#REF!)</f>
        <v>#REF!</v>
      </c>
      <c r="O2964" s="844"/>
      <c r="P2964" s="843" t="e">
        <f t="shared" si="123"/>
        <v>#REF!</v>
      </c>
    </row>
    <row r="2965" spans="1:18" ht="15" customHeight="1">
      <c r="A2965" s="657">
        <f>IF(B2965="",MAX($A$8:A2964)+0,MAX($A$8:A2964)+1)</f>
        <v>353</v>
      </c>
      <c r="B2965" s="835">
        <f>IF(C2965="","",COUNTA($C$10:C2966))</f>
        <v>353</v>
      </c>
      <c r="C2965" s="835">
        <v>0</v>
      </c>
      <c r="D2965" s="240" t="s">
        <v>71</v>
      </c>
      <c r="E2965" s="870" t="s">
        <v>3475</v>
      </c>
      <c r="F2965" s="848" t="str">
        <f>VLOOKUP(E2965,DICH!B:C,2,FALSE)</f>
        <v>Supply steel tacke M12</v>
      </c>
      <c r="G2965" s="315" t="s">
        <v>4651</v>
      </c>
      <c r="H2965" s="169"/>
      <c r="I2965" s="848"/>
      <c r="J2965" s="853"/>
      <c r="K2965" s="842">
        <f>+J2966</f>
        <v>2000</v>
      </c>
      <c r="N2965" s="843" t="e">
        <f>SUMIF(#REF!,'8.Dgia'!A2965,#REF!)+SUMIF(#REF!,'8.Dgia'!A2965,#REF!)+SUMIF(#REF!,'8.Dgia'!A2965,#REF!)+SUMIF(#REF!,'8.Dgia'!A2965,#REF!)</f>
        <v>#REF!</v>
      </c>
      <c r="O2965" s="844"/>
      <c r="P2965" s="843" t="e">
        <f t="shared" si="123"/>
        <v>#REF!</v>
      </c>
    </row>
    <row r="2966" spans="1:18" ht="15" customHeight="1">
      <c r="A2966" s="657">
        <f>IF(B2966="",MAX($A$8:A2965)+0,MAX($A$8:A2965)+1)</f>
        <v>353</v>
      </c>
      <c r="B2966" s="835" t="str">
        <f>IF(C2966="","",COUNTA($C$10:C2967))</f>
        <v/>
      </c>
      <c r="C2966" s="362"/>
      <c r="D2966" s="239"/>
      <c r="E2966" s="819" t="s">
        <v>2032</v>
      </c>
      <c r="F2966" s="848" t="str">
        <f>VLOOKUP(E2966,DICH!B:C,2,FALSE)</f>
        <v xml:space="preserve">  A - Material</v>
      </c>
      <c r="G2966" s="949"/>
      <c r="H2966" s="873"/>
      <c r="I2966" s="848"/>
      <c r="J2966" s="849">
        <f>SUM(J2967:J2967)</f>
        <v>2000</v>
      </c>
      <c r="N2966" s="843" t="e">
        <f>SUMIF(#REF!,'8.Dgia'!A2966,#REF!)+SUMIF(#REF!,'8.Dgia'!A2966,#REF!)+SUMIF(#REF!,'8.Dgia'!A2966,#REF!)+SUMIF(#REF!,'8.Dgia'!A2966,#REF!)</f>
        <v>#REF!</v>
      </c>
      <c r="O2966" s="844"/>
      <c r="P2966" s="843" t="e">
        <f t="shared" si="123"/>
        <v>#REF!</v>
      </c>
    </row>
    <row r="2967" spans="1:18" ht="15" customHeight="1">
      <c r="A2967" s="657">
        <f>IF(B2967="",MAX($A$8:A2966)+0,MAX($A$8:A2966)+1)</f>
        <v>353</v>
      </c>
      <c r="B2967" s="835" t="str">
        <f>IF(C2967="","",COUNTA($C$10:C2968))</f>
        <v/>
      </c>
      <c r="C2967" s="362"/>
      <c r="D2967" s="239"/>
      <c r="E2967" s="661" t="s">
        <v>318</v>
      </c>
      <c r="F2967" s="848" t="str">
        <f>VLOOKUP(E2967,DICH!B:C,2,FALSE)</f>
        <v>Steel tacke M12</v>
      </c>
      <c r="G2967" s="704" t="s">
        <v>4651</v>
      </c>
      <c r="H2967" s="239">
        <v>1</v>
      </c>
      <c r="I2967" s="848">
        <f>VLOOKUP(E2967,'11.gia '!$B:$I,8,FALSE)</f>
        <v>2000</v>
      </c>
      <c r="J2967" s="853">
        <f>I2967*H2967</f>
        <v>2000</v>
      </c>
      <c r="N2967" s="843" t="e">
        <f>SUMIF(#REF!,'8.Dgia'!A2967,#REF!)+SUMIF(#REF!,'8.Dgia'!A2967,#REF!)+SUMIF(#REF!,'8.Dgia'!A2967,#REF!)+SUMIF(#REF!,'8.Dgia'!A2967,#REF!)</f>
        <v>#REF!</v>
      </c>
      <c r="O2967" s="844"/>
      <c r="P2967" s="843" t="e">
        <f t="shared" si="123"/>
        <v>#REF!</v>
      </c>
    </row>
    <row r="2968" spans="1:18" ht="26.25" customHeight="1">
      <c r="A2968" s="657">
        <f>IF(B2968="",MAX($A$8:A2967)+0,MAX($A$8:A2967)+1)</f>
        <v>354</v>
      </c>
      <c r="B2968" s="835">
        <f>IF(C2968="","",COUNTA($C$10:C2969))</f>
        <v>354</v>
      </c>
      <c r="C2968" s="835">
        <f>IF(D2968="","",1776)</f>
        <v>1776</v>
      </c>
      <c r="D2968" s="851" t="s">
        <v>2111</v>
      </c>
      <c r="E2968" s="855" t="s">
        <v>2168</v>
      </c>
      <c r="F2968" s="1049" t="str">
        <f>VLOOKUP(E2968,DICH!B:C,2,FALSE)</f>
        <v>Installing RC block, weight &lt;250kg/ea</v>
      </c>
      <c r="G2968" s="856" t="s">
        <v>4649</v>
      </c>
      <c r="H2968" s="847"/>
      <c r="I2968" s="848"/>
      <c r="J2968" s="853"/>
      <c r="L2968" s="842">
        <f>+J2969</f>
        <v>98517.150000000009</v>
      </c>
      <c r="N2968" s="843" t="e">
        <f>SUMIF(#REF!,'8.Dgia'!A2968,#REF!)+SUMIF(#REF!,'8.Dgia'!A2968,#REF!)+SUMIF(#REF!,'8.Dgia'!A2968,#REF!)+SUMIF(#REF!,'8.Dgia'!A2968,#REF!)</f>
        <v>#REF!</v>
      </c>
      <c r="O2968" s="844"/>
      <c r="P2968" s="843" t="e">
        <f t="shared" si="119"/>
        <v>#REF!</v>
      </c>
    </row>
    <row r="2969" spans="1:18" s="658" customFormat="1" ht="15" customHeight="1">
      <c r="A2969" s="657">
        <f>IF(B2969="",MAX($A$8:A2968)+0,MAX($A$8:A2968)+1)</f>
        <v>354</v>
      </c>
      <c r="B2969" s="835" t="str">
        <f>IF(C2969="","",COUNTA($C$10:C2970))</f>
        <v/>
      </c>
      <c r="C2969" s="362"/>
      <c r="D2969" s="845"/>
      <c r="E2969" s="852" t="s">
        <v>2039</v>
      </c>
      <c r="F2969" s="848" t="str">
        <f>VLOOKUP(E2969,DICH!B:C,2,FALSE)</f>
        <v xml:space="preserve">  B - Labour 4.0/7</v>
      </c>
      <c r="G2969" s="362" t="s">
        <v>4899</v>
      </c>
      <c r="H2969" s="847">
        <v>0.45</v>
      </c>
      <c r="I2969" s="848">
        <f>VLOOKUP(E2969,'16.NC'!$C$11:$F$22,4,FALSE)</f>
        <v>218927</v>
      </c>
      <c r="J2969" s="849">
        <f>I2969*H2969</f>
        <v>98517.150000000009</v>
      </c>
      <c r="K2969" s="850"/>
      <c r="L2969" s="850"/>
      <c r="M2969" s="850"/>
      <c r="N2969" s="843" t="e">
        <f>SUMIF(#REF!,'8.Dgia'!A2969,#REF!)+SUMIF(#REF!,'8.Dgia'!A2969,#REF!)+SUMIF(#REF!,'8.Dgia'!A2969,#REF!)+SUMIF(#REF!,'8.Dgia'!A2969,#REF!)</f>
        <v>#REF!</v>
      </c>
      <c r="O2969" s="844"/>
      <c r="P2969" s="843" t="e">
        <f t="shared" si="119"/>
        <v>#REF!</v>
      </c>
      <c r="R2969" s="658">
        <v>1</v>
      </c>
    </row>
    <row r="2970" spans="1:18" ht="15" customHeight="1">
      <c r="A2970" s="657">
        <f>IF(B2970="",MAX($A$8:A2969)+0,MAX($A$8:A2969)+1)</f>
        <v>355</v>
      </c>
      <c r="B2970" s="835">
        <f>IF(C2970="","",COUNTA($C$10:C2971))</f>
        <v>355</v>
      </c>
      <c r="C2970" s="835">
        <f>IF(D2970="","",1776)</f>
        <v>1776</v>
      </c>
      <c r="D2970" s="851" t="s">
        <v>694</v>
      </c>
      <c r="E2970" s="855" t="s">
        <v>4027</v>
      </c>
      <c r="F2970" s="1049" t="str">
        <f>VLOOKUP(E2970,DICH!B:C,2,FALSE)</f>
        <v>Lean concrete C10, R&lt;250cm (stone 1x2)</v>
      </c>
      <c r="G2970" s="856" t="s">
        <v>545</v>
      </c>
      <c r="H2970" s="847"/>
      <c r="I2970" s="848"/>
      <c r="J2970" s="853"/>
      <c r="K2970" s="842">
        <f>+J2971</f>
        <v>775161.30994878686</v>
      </c>
      <c r="L2970" s="842">
        <f>+J2973</f>
        <v>265251.74</v>
      </c>
      <c r="M2970" s="842">
        <f>+J2974</f>
        <v>23229.762015</v>
      </c>
      <c r="N2970" s="843" t="e">
        <f>SUMIF(#REF!,'8.Dgia'!A2970,#REF!)+SUMIF(#REF!,'8.Dgia'!A2970,#REF!)+SUMIF(#REF!,'8.Dgia'!A2970,#REF!)+SUMIF(#REF!,'8.Dgia'!A2970,#REF!)</f>
        <v>#REF!</v>
      </c>
      <c r="O2970" s="844"/>
      <c r="P2970" s="843" t="e">
        <f t="shared" si="119"/>
        <v>#REF!</v>
      </c>
    </row>
    <row r="2971" spans="1:18" s="658" customFormat="1" ht="15" customHeight="1">
      <c r="A2971" s="657">
        <f>IF(B2971="",MAX($A$8:A2970)+0,MAX($A$8:A2970)+1)</f>
        <v>355</v>
      </c>
      <c r="B2971" s="835" t="str">
        <f>IF(C2971="","",COUNTA($C$10:C2972))</f>
        <v/>
      </c>
      <c r="C2971" s="362"/>
      <c r="D2971" s="845"/>
      <c r="E2971" s="852" t="s">
        <v>2032</v>
      </c>
      <c r="F2971" s="848" t="str">
        <f>VLOOKUP(E2971,DICH!B:C,2,FALSE)</f>
        <v xml:space="preserve">  A - Material</v>
      </c>
      <c r="G2971" s="846"/>
      <c r="H2971" s="847"/>
      <c r="I2971" s="848"/>
      <c r="J2971" s="849">
        <f>+J2972</f>
        <v>775161.30994878686</v>
      </c>
      <c r="K2971" s="850"/>
      <c r="L2971" s="850"/>
      <c r="M2971" s="850"/>
      <c r="N2971" s="843" t="e">
        <f>SUMIF(#REF!,'8.Dgia'!A2971,#REF!)+SUMIF(#REF!,'8.Dgia'!A2971,#REF!)+SUMIF(#REF!,'8.Dgia'!A2971,#REF!)+SUMIF(#REF!,'8.Dgia'!A2971,#REF!)</f>
        <v>#REF!</v>
      </c>
      <c r="O2971" s="844"/>
      <c r="P2971" s="843" t="e">
        <f t="shared" si="119"/>
        <v>#REF!</v>
      </c>
    </row>
    <row r="2972" spans="1:18" ht="15" customHeight="1">
      <c r="A2972" s="657">
        <f>IF(B2972="",MAX($A$8:A2971)+0,MAX($A$8:A2971)+1)</f>
        <v>355</v>
      </c>
      <c r="B2972" s="835" t="str">
        <f>IF(C2972="","",COUNTA($C$10:C2973))</f>
        <v/>
      </c>
      <c r="C2972" s="851"/>
      <c r="D2972" s="851" t="str">
        <f>'10.PLV'!$C$7</f>
        <v>C3122</v>
      </c>
      <c r="E2972" s="852" t="str">
        <f>'10.PLV'!$D$7</f>
        <v>Vữa Bê tông C10 đá 1x2 SN 2-4</v>
      </c>
      <c r="F2972" s="848" t="str">
        <f>VLOOKUP(E2972,DICH!B:C,2,FALSE)</f>
        <v>Concrete motar C10 stone 1x2 slump 2-4</v>
      </c>
      <c r="G2972" s="362" t="s">
        <v>545</v>
      </c>
      <c r="H2972" s="847">
        <v>1.03</v>
      </c>
      <c r="I2972" s="848">
        <f>VLOOKUP(E2972,'11.gia '!B:I,8,FALSE)</f>
        <v>752583.79606678337</v>
      </c>
      <c r="J2972" s="853">
        <f>I2972*H2972</f>
        <v>775161.30994878686</v>
      </c>
      <c r="N2972" s="843" t="e">
        <f>SUMIF(#REF!,'8.Dgia'!A2972,#REF!)+SUMIF(#REF!,'8.Dgia'!A2972,#REF!)+SUMIF(#REF!,'8.Dgia'!A2972,#REF!)+SUMIF(#REF!,'8.Dgia'!A2972,#REF!)</f>
        <v>#REF!</v>
      </c>
      <c r="O2972" s="844"/>
      <c r="P2972" s="843" t="e">
        <f t="shared" si="119"/>
        <v>#REF!</v>
      </c>
    </row>
    <row r="2973" spans="1:18" s="658" customFormat="1" ht="15" customHeight="1">
      <c r="A2973" s="657">
        <f>IF(B2973="",MAX($A$8:A2972)+0,MAX($A$8:A2972)+1)</f>
        <v>355</v>
      </c>
      <c r="B2973" s="835" t="str">
        <f>IF(C2973="","",COUNTA($C$10:C2974))</f>
        <v/>
      </c>
      <c r="C2973" s="362"/>
      <c r="D2973" s="845"/>
      <c r="E2973" s="852" t="s">
        <v>2038</v>
      </c>
      <c r="F2973" s="848" t="str">
        <f>VLOOKUP(E2973,DICH!B:C,2,FALSE)</f>
        <v xml:space="preserve">  B - Labour 3.0/7</v>
      </c>
      <c r="G2973" s="362" t="s">
        <v>4899</v>
      </c>
      <c r="H2973" s="847">
        <v>1.42</v>
      </c>
      <c r="I2973" s="848">
        <f>VLOOKUP(E2973,'16.NC'!$C$11:$F$22,4,FALSE)</f>
        <v>186797</v>
      </c>
      <c r="J2973" s="849">
        <f>I2973*H2973</f>
        <v>265251.74</v>
      </c>
      <c r="K2973" s="850"/>
      <c r="L2973" s="850"/>
      <c r="M2973" s="850"/>
      <c r="N2973" s="843" t="e">
        <f>SUMIF(#REF!,'8.Dgia'!A2973,#REF!)+SUMIF(#REF!,'8.Dgia'!A2973,#REF!)+SUMIF(#REF!,'8.Dgia'!A2973,#REF!)+SUMIF(#REF!,'8.Dgia'!A2973,#REF!)</f>
        <v>#REF!</v>
      </c>
      <c r="O2973" s="844"/>
      <c r="P2973" s="843" t="e">
        <f t="shared" si="119"/>
        <v>#REF!</v>
      </c>
      <c r="R2973" s="658">
        <v>1</v>
      </c>
    </row>
    <row r="2974" spans="1:18" s="658" customFormat="1" ht="15" customHeight="1">
      <c r="A2974" s="657">
        <f>IF(B2974="",MAX($A$8:A2973)+0,MAX($A$8:A2973)+1)</f>
        <v>355</v>
      </c>
      <c r="B2974" s="835" t="str">
        <f>IF(C2974="","",COUNTA($C$10:C2975))</f>
        <v/>
      </c>
      <c r="C2974" s="362"/>
      <c r="D2974" s="845"/>
      <c r="E2974" s="852" t="s">
        <v>2033</v>
      </c>
      <c r="F2974" s="848" t="str">
        <f>VLOOKUP(E2974,DICH!B:C,2,FALSE)</f>
        <v xml:space="preserve">  C - Machine</v>
      </c>
      <c r="G2974" s="846"/>
      <c r="H2974" s="847"/>
      <c r="I2974" s="848"/>
      <c r="J2974" s="849">
        <f>SUM(J2975:J2976)</f>
        <v>23229.762015</v>
      </c>
      <c r="K2974" s="850"/>
      <c r="L2974" s="850"/>
      <c r="M2974" s="850"/>
      <c r="N2974" s="843" t="e">
        <f>SUMIF(#REF!,'8.Dgia'!A2974,#REF!)+SUMIF(#REF!,'8.Dgia'!A2974,#REF!)+SUMIF(#REF!,'8.Dgia'!A2974,#REF!)+SUMIF(#REF!,'8.Dgia'!A2974,#REF!)</f>
        <v>#REF!</v>
      </c>
      <c r="O2974" s="844"/>
      <c r="P2974" s="843" t="e">
        <f t="shared" si="119"/>
        <v>#REF!</v>
      </c>
    </row>
    <row r="2975" spans="1:18" ht="15" customHeight="1">
      <c r="A2975" s="657">
        <f>IF(B2975="",MAX($A$8:A2974)+0,MAX($A$8:A2974)+1)</f>
        <v>355</v>
      </c>
      <c r="B2975" s="835" t="str">
        <f>IF(C2975="","",COUNTA($C$10:C2976))</f>
        <v/>
      </c>
      <c r="C2975" s="362"/>
      <c r="D2975" s="851"/>
      <c r="E2975" s="852" t="s">
        <v>582</v>
      </c>
      <c r="F2975" s="848" t="str">
        <f>VLOOKUP(E2975,'9.may'!E:F,2,FALSE)</f>
        <v>concrete mixer 250L</v>
      </c>
      <c r="G2975" s="362" t="s">
        <v>4902</v>
      </c>
      <c r="H2975" s="847">
        <v>9.5000000000000001E-2</v>
      </c>
      <c r="I2975" s="848">
        <f>VLOOKUP(E2975,'9.may'!E:W,12,FALSE)</f>
        <v>180447.90000000002</v>
      </c>
      <c r="J2975" s="853">
        <f>I2975*H2975</f>
        <v>17142.550500000001</v>
      </c>
      <c r="N2975" s="843" t="e">
        <f>SUMIF(#REF!,'8.Dgia'!A2975,#REF!)+SUMIF(#REF!,'8.Dgia'!A2975,#REF!)+SUMIF(#REF!,'8.Dgia'!A2975,#REF!)+SUMIF(#REF!,'8.Dgia'!A2975,#REF!)</f>
        <v>#REF!</v>
      </c>
      <c r="O2975" s="844"/>
      <c r="P2975" s="843" t="e">
        <f t="shared" si="119"/>
        <v>#REF!</v>
      </c>
    </row>
    <row r="2976" spans="1:18" ht="15" customHeight="1">
      <c r="A2976" s="657">
        <f>IF(B2976="",MAX($A$8:A2975)+0,MAX($A$8:A2975)+1)</f>
        <v>355</v>
      </c>
      <c r="B2976" s="835" t="str">
        <f>IF(C2976="","",COUNTA($C$10:C2977))</f>
        <v/>
      </c>
      <c r="C2976" s="362"/>
      <c r="D2976" s="851"/>
      <c r="E2976" s="852" t="s">
        <v>300</v>
      </c>
      <c r="F2976" s="848" t="str">
        <f>VLOOKUP(E2976,'9.may'!E:F,2,FALSE)</f>
        <v>concrete vibrating compactor 1Kw</v>
      </c>
      <c r="G2976" s="362" t="s">
        <v>4902</v>
      </c>
      <c r="H2976" s="847">
        <v>8.8999999999999996E-2</v>
      </c>
      <c r="I2976" s="848">
        <f>VLOOKUP(E2976,'9.may'!E:W,12,FALSE)</f>
        <v>68395.634999999995</v>
      </c>
      <c r="J2976" s="853">
        <f>I2976*H2976</f>
        <v>6087.2115149999991</v>
      </c>
      <c r="N2976" s="843" t="e">
        <f>SUMIF(#REF!,'8.Dgia'!A2976,#REF!)+SUMIF(#REF!,'8.Dgia'!A2976,#REF!)+SUMIF(#REF!,'8.Dgia'!A2976,#REF!)+SUMIF(#REF!,'8.Dgia'!A2976,#REF!)</f>
        <v>#REF!</v>
      </c>
      <c r="O2976" s="844"/>
      <c r="P2976" s="843" t="e">
        <f t="shared" si="119"/>
        <v>#REF!</v>
      </c>
    </row>
    <row r="2977" spans="1:18" ht="27.75" customHeight="1">
      <c r="A2977" s="657">
        <f>IF(B2977="",MAX($A$8:A2976)+0,MAX($A$8:A2976)+1)</f>
        <v>356</v>
      </c>
      <c r="B2977" s="835">
        <f>IF(C2977="","",COUNTA($C$10:C2978))</f>
        <v>356</v>
      </c>
      <c r="C2977" s="835">
        <f>IF(D2977="","",1776)</f>
        <v>1776</v>
      </c>
      <c r="D2977" s="704" t="s">
        <v>2114</v>
      </c>
      <c r="E2977" s="808" t="s">
        <v>4020</v>
      </c>
      <c r="F2977" s="1049" t="str">
        <f>VLOOKUP(E2977,DICH!B:C,2,FALSE)</f>
        <v>Concrete C20, stone 1x2 of headwall/ wingwall</v>
      </c>
      <c r="G2977" s="856" t="s">
        <v>545</v>
      </c>
      <c r="H2977" s="847"/>
      <c r="I2977" s="848"/>
      <c r="J2977" s="853"/>
      <c r="K2977" s="842">
        <f>+J2978</f>
        <v>1167327.9466072232</v>
      </c>
      <c r="L2977" s="842">
        <f>+J2985</f>
        <v>722188.72</v>
      </c>
      <c r="M2977" s="842">
        <f>+J2986</f>
        <v>30600.934050000003</v>
      </c>
      <c r="N2977" s="843" t="e">
        <f>SUMIF(#REF!,'8.Dgia'!A2977,#REF!)+SUMIF(#REF!,'8.Dgia'!A2977,#REF!)+SUMIF(#REF!,'8.Dgia'!A2977,#REF!)+SUMIF(#REF!,'8.Dgia'!A2977,#REF!)</f>
        <v>#REF!</v>
      </c>
      <c r="O2977" s="844"/>
      <c r="P2977" s="843" t="e">
        <f t="shared" ref="P2977:P3051" si="124">$H2977*N2977*(1+O2977%)</f>
        <v>#REF!</v>
      </c>
    </row>
    <row r="2978" spans="1:18" s="658" customFormat="1" ht="15" customHeight="1">
      <c r="A2978" s="657">
        <f>IF(B2978="",MAX($A$8:A2977)+0,MAX($A$8:A2977)+1)</f>
        <v>356</v>
      </c>
      <c r="B2978" s="835" t="str">
        <f>IF(C2978="","",COUNTA($C$10:C2979))</f>
        <v/>
      </c>
      <c r="C2978" s="362"/>
      <c r="D2978" s="845"/>
      <c r="E2978" s="852" t="s">
        <v>2032</v>
      </c>
      <c r="F2978" s="848" t="str">
        <f>VLOOKUP(E2978,DICH!B:C,2,FALSE)</f>
        <v xml:space="preserve">  A - Material</v>
      </c>
      <c r="G2978" s="846"/>
      <c r="H2978" s="847"/>
      <c r="I2978" s="848"/>
      <c r="J2978" s="849">
        <f>SUM(J2979:J2984)</f>
        <v>1167327.9466072232</v>
      </c>
      <c r="K2978" s="850"/>
      <c r="L2978" s="850"/>
      <c r="M2978" s="850"/>
      <c r="N2978" s="843" t="e">
        <f>SUMIF(#REF!,'8.Dgia'!A2978,#REF!)+SUMIF(#REF!,'8.Dgia'!A2978,#REF!)+SUMIF(#REF!,'8.Dgia'!A2978,#REF!)+SUMIF(#REF!,'8.Dgia'!A2978,#REF!)</f>
        <v>#REF!</v>
      </c>
      <c r="O2978" s="844"/>
      <c r="P2978" s="843" t="e">
        <f t="shared" si="124"/>
        <v>#REF!</v>
      </c>
    </row>
    <row r="2979" spans="1:18" ht="15" customHeight="1">
      <c r="A2979" s="657">
        <f>IF(B2979="",MAX($A$8:A2978)+0,MAX($A$8:A2978)+1)</f>
        <v>356</v>
      </c>
      <c r="B2979" s="835" t="str">
        <f>IF(C2979="","",COUNTA($C$10:C2980))</f>
        <v/>
      </c>
      <c r="C2979" s="851"/>
      <c r="D2979" s="851" t="str">
        <f>+'10.PLV'!$C$17</f>
        <v>C3124</v>
      </c>
      <c r="E2979" s="852" t="str">
        <f>+'10.PLV'!$D$17</f>
        <v>Vữa bê tông đá 1x2 C20 SN 2-4</v>
      </c>
      <c r="F2979" s="848" t="str">
        <f>VLOOKUP(E2979,DICH!B:C,2,FALSE)</f>
        <v>Concrete motar C20 stone 1x2 slump 2-4</v>
      </c>
      <c r="G2979" s="362" t="s">
        <v>545</v>
      </c>
      <c r="H2979" s="847">
        <v>1.0249999999999999</v>
      </c>
      <c r="I2979" s="848">
        <f>VLOOKUP(E2979,'11.gia '!B:I,8,FALSE)</f>
        <v>884378.32894201751</v>
      </c>
      <c r="J2979" s="853">
        <f>I2979*H2979</f>
        <v>906487.78716556786</v>
      </c>
      <c r="N2979" s="843" t="e">
        <f>SUMIF(#REF!,'8.Dgia'!A2979,#REF!)+SUMIF(#REF!,'8.Dgia'!A2979,#REF!)+SUMIF(#REF!,'8.Dgia'!A2979,#REF!)+SUMIF(#REF!,'8.Dgia'!A2979,#REF!)</f>
        <v>#REF!</v>
      </c>
      <c r="O2979" s="844">
        <f>+$H$2984</f>
        <v>1</v>
      </c>
      <c r="P2979" s="843" t="e">
        <f t="shared" si="124"/>
        <v>#REF!</v>
      </c>
    </row>
    <row r="2980" spans="1:18" ht="15" customHeight="1">
      <c r="A2980" s="657">
        <f>IF(B2980="",MAX($A$8:A2979)+0,MAX($A$8:A2979)+1)</f>
        <v>356</v>
      </c>
      <c r="B2980" s="835" t="str">
        <f>IF(C2980="","",COUNTA($C$10:C2981))</f>
        <v/>
      </c>
      <c r="C2980" s="851"/>
      <c r="D2980" s="851"/>
      <c r="E2980" s="819" t="s">
        <v>2115</v>
      </c>
      <c r="F2980" s="848" t="str">
        <f>VLOOKUP(E2980,DICH!B:C,2,FALSE)</f>
        <v>Gangway</v>
      </c>
      <c r="G2980" s="704"/>
      <c r="H2980" s="239"/>
      <c r="I2980" s="848"/>
      <c r="J2980" s="853">
        <f>I2980*H2980</f>
        <v>0</v>
      </c>
      <c r="N2980" s="843" t="e">
        <f>SUMIF(#REF!,'8.Dgia'!A2980,#REF!)+SUMIF(#REF!,'8.Dgia'!A2980,#REF!)+SUMIF(#REF!,'8.Dgia'!A2980,#REF!)+SUMIF(#REF!,'8.Dgia'!A2980,#REF!)</f>
        <v>#REF!</v>
      </c>
      <c r="O2980" s="844">
        <f>+$H$2984</f>
        <v>1</v>
      </c>
      <c r="P2980" s="843" t="e">
        <f t="shared" si="124"/>
        <v>#REF!</v>
      </c>
    </row>
    <row r="2981" spans="1:18" ht="15" customHeight="1">
      <c r="A2981" s="657">
        <f>IF(B2981="",MAX($A$8:A2980)+0,MAX($A$8:A2980)+1)</f>
        <v>356</v>
      </c>
      <c r="B2981" s="835" t="str">
        <f>IF(C2981="","",COUNTA($C$10:C2982))</f>
        <v/>
      </c>
      <c r="C2981" s="851"/>
      <c r="D2981" s="851"/>
      <c r="E2981" s="819" t="s">
        <v>134</v>
      </c>
      <c r="F2981" s="848" t="str">
        <f>VLOOKUP(E2981,DICH!B:C,2,FALSE)</f>
        <v>Wooden</v>
      </c>
      <c r="G2981" s="704" t="s">
        <v>545</v>
      </c>
      <c r="H2981" s="239">
        <v>4.9000000000000002E-2</v>
      </c>
      <c r="I2981" s="848">
        <f>VLOOKUP(E2981,'11.gia '!B:I,8,FALSE)</f>
        <v>5000000</v>
      </c>
      <c r="J2981" s="853">
        <f>I2981*H2981</f>
        <v>245000</v>
      </c>
      <c r="N2981" s="843" t="e">
        <f>SUMIF(#REF!,'8.Dgia'!A2981,#REF!)+SUMIF(#REF!,'8.Dgia'!A2981,#REF!)+SUMIF(#REF!,'8.Dgia'!A2981,#REF!)+SUMIF(#REF!,'8.Dgia'!A2981,#REF!)</f>
        <v>#REF!</v>
      </c>
      <c r="O2981" s="844">
        <f>+$H$2984</f>
        <v>1</v>
      </c>
      <c r="P2981" s="843" t="e">
        <f t="shared" si="124"/>
        <v>#REF!</v>
      </c>
    </row>
    <row r="2982" spans="1:18" ht="15" customHeight="1">
      <c r="A2982" s="657">
        <f>IF(B2982="",MAX($A$8:A2981)+0,MAX($A$8:A2981)+1)</f>
        <v>356</v>
      </c>
      <c r="B2982" s="835" t="str">
        <f>IF(C2982="","",COUNTA($C$10:C2983))</f>
        <v/>
      </c>
      <c r="C2982" s="851"/>
      <c r="D2982" s="851"/>
      <c r="E2982" s="819" t="s">
        <v>460</v>
      </c>
      <c r="F2982" s="848" t="str">
        <f>VLOOKUP(E2982,DICH!B:C,2,FALSE)</f>
        <v>Nail</v>
      </c>
      <c r="G2982" s="704" t="s">
        <v>558</v>
      </c>
      <c r="H2982" s="239">
        <v>0.19900000000000001</v>
      </c>
      <c r="I2982" s="848">
        <f>VLOOKUP(E2982,'11.gia '!B:I,8,FALSE)</f>
        <v>17143</v>
      </c>
      <c r="J2982" s="853">
        <f>I2982*H2982</f>
        <v>3411.4570000000003</v>
      </c>
      <c r="N2982" s="843" t="e">
        <f>SUMIF(#REF!,'8.Dgia'!A2982,#REF!)+SUMIF(#REF!,'8.Dgia'!A2982,#REF!)+SUMIF(#REF!,'8.Dgia'!A2982,#REF!)+SUMIF(#REF!,'8.Dgia'!A2982,#REF!)</f>
        <v>#REF!</v>
      </c>
      <c r="O2982" s="844">
        <f>+$H$2984</f>
        <v>1</v>
      </c>
      <c r="P2982" s="843" t="e">
        <f t="shared" si="124"/>
        <v>#REF!</v>
      </c>
    </row>
    <row r="2983" spans="1:18" ht="15" customHeight="1">
      <c r="A2983" s="657">
        <f>IF(B2983="",MAX($A$8:A2982)+0,MAX($A$8:A2982)+1)</f>
        <v>356</v>
      </c>
      <c r="B2983" s="835" t="str">
        <f>IF(C2983="","",COUNTA($C$10:C2984))</f>
        <v/>
      </c>
      <c r="C2983" s="851"/>
      <c r="D2983" s="851"/>
      <c r="E2983" s="819" t="s">
        <v>465</v>
      </c>
      <c r="F2983" s="848" t="str">
        <f>VLOOKUP(E2983,DICH!B:C,2,FALSE)</f>
        <v>Casing nail</v>
      </c>
      <c r="G2983" s="704" t="s">
        <v>4649</v>
      </c>
      <c r="H2983" s="239">
        <v>0.871</v>
      </c>
      <c r="I2983" s="848">
        <f>VLOOKUP(E2983,'11.gia '!B:I,8,FALSE)</f>
        <v>1000</v>
      </c>
      <c r="J2983" s="853">
        <f>I2983*H2983</f>
        <v>871</v>
      </c>
      <c r="N2983" s="843" t="e">
        <f>SUMIF(#REF!,'8.Dgia'!A2983,#REF!)+SUMIF(#REF!,'8.Dgia'!A2983,#REF!)+SUMIF(#REF!,'8.Dgia'!A2983,#REF!)+SUMIF(#REF!,'8.Dgia'!A2983,#REF!)</f>
        <v>#REF!</v>
      </c>
      <c r="O2983" s="844">
        <f>+$H$2984</f>
        <v>1</v>
      </c>
      <c r="P2983" s="843" t="e">
        <f t="shared" si="124"/>
        <v>#REF!</v>
      </c>
    </row>
    <row r="2984" spans="1:18" ht="15" customHeight="1">
      <c r="A2984" s="657">
        <f>IF(B2984="",MAX($A$8:A2983)+0,MAX($A$8:A2983)+1)</f>
        <v>356</v>
      </c>
      <c r="B2984" s="835" t="str">
        <f>IF(C2984="","",COUNTA($C$10:C2985))</f>
        <v/>
      </c>
      <c r="C2984" s="362"/>
      <c r="D2984" s="851"/>
      <c r="E2984" s="852" t="s">
        <v>555</v>
      </c>
      <c r="F2984" s="848" t="str">
        <f>VLOOKUP(E2984,DICH!B:C,2,FALSE)</f>
        <v>Other material</v>
      </c>
      <c r="G2984" s="362" t="s">
        <v>554</v>
      </c>
      <c r="H2984" s="847">
        <v>1</v>
      </c>
      <c r="I2984" s="848">
        <f>SUM(J2979:J2983)</f>
        <v>1155770.2441655677</v>
      </c>
      <c r="J2984" s="853">
        <f>I2984*H2984%</f>
        <v>11557.702441655678</v>
      </c>
      <c r="N2984" s="843" t="e">
        <f>SUMIF(#REF!,'8.Dgia'!A2984,#REF!)+SUMIF(#REF!,'8.Dgia'!A2984,#REF!)+SUMIF(#REF!,'8.Dgia'!A2984,#REF!)+SUMIF(#REF!,'8.Dgia'!A2984,#REF!)</f>
        <v>#REF!</v>
      </c>
      <c r="O2984" s="844"/>
      <c r="P2984" s="843" t="e">
        <f t="shared" si="124"/>
        <v>#REF!</v>
      </c>
    </row>
    <row r="2985" spans="1:18" s="658" customFormat="1" ht="15" customHeight="1">
      <c r="A2985" s="657">
        <f>IF(B2985="",MAX($A$8:A2984)+0,MAX($A$8:A2984)+1)</f>
        <v>356</v>
      </c>
      <c r="B2985" s="835" t="str">
        <f>IF(C2985="","",COUNTA($C$10:C2986))</f>
        <v/>
      </c>
      <c r="C2985" s="362"/>
      <c r="D2985" s="845"/>
      <c r="E2985" s="852" t="s">
        <v>2037</v>
      </c>
      <c r="F2985" s="848" t="str">
        <f>VLOOKUP(E2985,DICH!B:C,2,FALSE)</f>
        <v xml:space="preserve">  B - Labour 3.5/7</v>
      </c>
      <c r="G2985" s="362" t="s">
        <v>4899</v>
      </c>
      <c r="H2985" s="847">
        <v>3.56</v>
      </c>
      <c r="I2985" s="848">
        <f>VLOOKUP(E2985,'16.NC'!$C$11:$F$22,4,FALSE)</f>
        <v>202862</v>
      </c>
      <c r="J2985" s="849">
        <f>I2985*H2985</f>
        <v>722188.72</v>
      </c>
      <c r="K2985" s="850"/>
      <c r="L2985" s="850"/>
      <c r="M2985" s="850"/>
      <c r="N2985" s="843" t="e">
        <f>SUMIF(#REF!,'8.Dgia'!A2985,#REF!)+SUMIF(#REF!,'8.Dgia'!A2985,#REF!)+SUMIF(#REF!,'8.Dgia'!A2985,#REF!)+SUMIF(#REF!,'8.Dgia'!A2985,#REF!)</f>
        <v>#REF!</v>
      </c>
      <c r="O2985" s="844"/>
      <c r="P2985" s="843" t="e">
        <f t="shared" si="124"/>
        <v>#REF!</v>
      </c>
      <c r="R2985" s="658">
        <v>1</v>
      </c>
    </row>
    <row r="2986" spans="1:18" s="658" customFormat="1" ht="15" customHeight="1">
      <c r="A2986" s="657">
        <f>IF(B2986="",MAX($A$8:A2985)+0,MAX($A$8:A2985)+1)</f>
        <v>356</v>
      </c>
      <c r="B2986" s="835" t="str">
        <f>IF(C2986="","",COUNTA($C$10:C2987))</f>
        <v/>
      </c>
      <c r="C2986" s="362"/>
      <c r="D2986" s="845"/>
      <c r="E2986" s="852" t="s">
        <v>2033</v>
      </c>
      <c r="F2986" s="848" t="str">
        <f>VLOOKUP(E2986,DICH!B:C,2,FALSE)</f>
        <v xml:space="preserve">  C - Machine</v>
      </c>
      <c r="G2986" s="846"/>
      <c r="H2986" s="847"/>
      <c r="I2986" s="848"/>
      <c r="J2986" s="849">
        <f>SUM(J2987:J2988)</f>
        <v>30600.934050000003</v>
      </c>
      <c r="K2986" s="850"/>
      <c r="L2986" s="850"/>
      <c r="M2986" s="850"/>
      <c r="N2986" s="843" t="e">
        <f>SUMIF(#REF!,'8.Dgia'!A2986,#REF!)+SUMIF(#REF!,'8.Dgia'!A2986,#REF!)+SUMIF(#REF!,'8.Dgia'!A2986,#REF!)+SUMIF(#REF!,'8.Dgia'!A2986,#REF!)</f>
        <v>#REF!</v>
      </c>
      <c r="O2986" s="844"/>
      <c r="P2986" s="843" t="e">
        <f t="shared" si="124"/>
        <v>#REF!</v>
      </c>
    </row>
    <row r="2987" spans="1:18" ht="15" customHeight="1">
      <c r="A2987" s="657">
        <f>IF(B2987="",MAX($A$8:A2986)+0,MAX($A$8:A2986)+1)</f>
        <v>356</v>
      </c>
      <c r="B2987" s="835" t="str">
        <f>IF(C2987="","",COUNTA($C$10:C2988))</f>
        <v/>
      </c>
      <c r="C2987" s="362"/>
      <c r="D2987" s="851"/>
      <c r="E2987" s="852" t="s">
        <v>582</v>
      </c>
      <c r="F2987" s="848" t="str">
        <f>VLOOKUP(E2987,'9.may'!E:F,2,FALSE)</f>
        <v>concrete mixer 250L</v>
      </c>
      <c r="G2987" s="362" t="s">
        <v>4902</v>
      </c>
      <c r="H2987" s="847">
        <v>9.5000000000000001E-2</v>
      </c>
      <c r="I2987" s="848">
        <f>VLOOKUP(E2987,'9.may'!E:W,12,FALSE)</f>
        <v>180447.90000000002</v>
      </c>
      <c r="J2987" s="853">
        <f>I2987*H2987</f>
        <v>17142.550500000001</v>
      </c>
      <c r="N2987" s="843" t="e">
        <f>SUMIF(#REF!,'8.Dgia'!A2987,#REF!)+SUMIF(#REF!,'8.Dgia'!A2987,#REF!)+SUMIF(#REF!,'8.Dgia'!A2987,#REF!)+SUMIF(#REF!,'8.Dgia'!A2987,#REF!)</f>
        <v>#REF!</v>
      </c>
      <c r="O2987" s="844"/>
      <c r="P2987" s="843" t="e">
        <f t="shared" si="124"/>
        <v>#REF!</v>
      </c>
    </row>
    <row r="2988" spans="1:18" ht="15" customHeight="1">
      <c r="A2988" s="657">
        <f>IF(B2988="",MAX($A$8:A2987)+0,MAX($A$8:A2987)+1)</f>
        <v>356</v>
      </c>
      <c r="B2988" s="835" t="str">
        <f>IF(C2988="","",COUNTA($C$10:C2989))</f>
        <v/>
      </c>
      <c r="C2988" s="362"/>
      <c r="D2988" s="851"/>
      <c r="E2988" s="852" t="s">
        <v>620</v>
      </c>
      <c r="F2988" s="848" t="str">
        <f>VLOOKUP(E2988,'9.may'!E:F,2,FALSE)</f>
        <v>concrete vibrating compactor 1.5Kw</v>
      </c>
      <c r="G2988" s="362" t="s">
        <v>4902</v>
      </c>
      <c r="H2988" s="847">
        <v>0.18</v>
      </c>
      <c r="I2988" s="848">
        <f>VLOOKUP(E2988,'9.may'!E:W,12,FALSE)</f>
        <v>74768.797500000001</v>
      </c>
      <c r="J2988" s="853">
        <f>I2988*H2988</f>
        <v>13458.38355</v>
      </c>
      <c r="N2988" s="843" t="e">
        <f>SUMIF(#REF!,'8.Dgia'!A2988,#REF!)+SUMIF(#REF!,'8.Dgia'!A2988,#REF!)+SUMIF(#REF!,'8.Dgia'!A2988,#REF!)+SUMIF(#REF!,'8.Dgia'!A2988,#REF!)</f>
        <v>#REF!</v>
      </c>
      <c r="O2988" s="844"/>
      <c r="P2988" s="843" t="e">
        <f t="shared" si="124"/>
        <v>#REF!</v>
      </c>
    </row>
    <row r="2989" spans="1:18" ht="15" customHeight="1">
      <c r="A2989" s="657">
        <f>IF(B2989="",MAX($A$8:A2988)+0,MAX($A$8:A2988)+1)</f>
        <v>357</v>
      </c>
      <c r="B2989" s="835">
        <f>IF(C2989="","",COUNTA($C$10:C2990))</f>
        <v>357</v>
      </c>
      <c r="C2989" s="835">
        <f>IF(D2989="","",1776)</f>
        <v>1776</v>
      </c>
      <c r="D2989" s="362" t="s">
        <v>2116</v>
      </c>
      <c r="E2989" s="855" t="s">
        <v>644</v>
      </c>
      <c r="F2989" s="1049" t="str">
        <f>VLOOKUP(E2989,DICH!B:C,2,FALSE)</f>
        <v>Grouted - rip - rap</v>
      </c>
      <c r="G2989" s="882" t="s">
        <v>545</v>
      </c>
      <c r="H2989" s="906"/>
      <c r="I2989" s="895"/>
      <c r="J2989" s="903"/>
      <c r="K2989" s="842">
        <f>+J2990</f>
        <v>379860.1177866676</v>
      </c>
      <c r="L2989" s="842">
        <f>+J2993</f>
        <v>243434.4</v>
      </c>
      <c r="N2989" s="843" t="e">
        <f>SUMIF(#REF!,'8.Dgia'!A2989,#REF!)+SUMIF(#REF!,'8.Dgia'!A2989,#REF!)+SUMIF(#REF!,'8.Dgia'!A2989,#REF!)+SUMIF(#REF!,'8.Dgia'!A2989,#REF!)</f>
        <v>#REF!</v>
      </c>
      <c r="O2989" s="844"/>
      <c r="P2989" s="843" t="e">
        <f t="shared" si="124"/>
        <v>#REF!</v>
      </c>
    </row>
    <row r="2990" spans="1:18" ht="15" customHeight="1">
      <c r="A2990" s="657">
        <f>IF(B2990="",MAX($A$8:A2989)+0,MAX($A$8:A2989)+1)</f>
        <v>357</v>
      </c>
      <c r="B2990" s="835" t="str">
        <f>IF(C2990="","",COUNTA($C$10:C2991))</f>
        <v/>
      </c>
      <c r="C2990" s="362"/>
      <c r="D2990" s="362"/>
      <c r="E2990" s="852" t="s">
        <v>2032</v>
      </c>
      <c r="F2990" s="848" t="str">
        <f>VLOOKUP(E2990,DICH!B:C,2,FALSE)</f>
        <v xml:space="preserve">  A - Material</v>
      </c>
      <c r="G2990" s="883"/>
      <c r="H2990" s="906"/>
      <c r="I2990" s="895"/>
      <c r="J2990" s="904">
        <f>SUM(J2991:J2992)</f>
        <v>379860.1177866676</v>
      </c>
      <c r="N2990" s="843" t="e">
        <f>SUMIF(#REF!,'8.Dgia'!A2990,#REF!)+SUMIF(#REF!,'8.Dgia'!A2990,#REF!)+SUMIF(#REF!,'8.Dgia'!A2990,#REF!)+SUMIF(#REF!,'8.Dgia'!A2990,#REF!)</f>
        <v>#REF!</v>
      </c>
      <c r="O2990" s="844"/>
      <c r="P2990" s="843" t="e">
        <f t="shared" si="124"/>
        <v>#REF!</v>
      </c>
    </row>
    <row r="2991" spans="1:18" ht="15" customHeight="1">
      <c r="A2991" s="657">
        <f>IF(B2991="",MAX($A$8:A2990)+0,MAX($A$8:A2990)+1)</f>
        <v>357</v>
      </c>
      <c r="B2991" s="835" t="str">
        <f>IF(C2991="","",COUNTA($C$10:C2992))</f>
        <v/>
      </c>
      <c r="C2991" s="362"/>
      <c r="D2991" s="362"/>
      <c r="E2991" s="852" t="s">
        <v>599</v>
      </c>
      <c r="F2991" s="848" t="str">
        <f>VLOOKUP(E2991,DICH!B:C,2,FALSE)</f>
        <v>Masory</v>
      </c>
      <c r="G2991" s="847" t="s">
        <v>545</v>
      </c>
      <c r="H2991" s="847">
        <v>1.2</v>
      </c>
      <c r="I2991" s="848">
        <f>VLOOKUP(E2991,'11.gia '!$B:$I,8,FALSE)</f>
        <v>301292.57724953815</v>
      </c>
      <c r="J2991" s="853">
        <f>I2991*H2991</f>
        <v>361551.09269944578</v>
      </c>
      <c r="N2991" s="843" t="e">
        <f>SUMIF(#REF!,'8.Dgia'!A2991,#REF!)+SUMIF(#REF!,'8.Dgia'!A2991,#REF!)+SUMIF(#REF!,'8.Dgia'!A2991,#REF!)+SUMIF(#REF!,'8.Dgia'!A2991,#REF!)</f>
        <v>#REF!</v>
      </c>
      <c r="O2991" s="844"/>
      <c r="P2991" s="843" t="e">
        <f t="shared" si="124"/>
        <v>#REF!</v>
      </c>
    </row>
    <row r="2992" spans="1:18" ht="15" customHeight="1">
      <c r="A2992" s="657">
        <f>IF(B2992="",MAX($A$8:A2991)+0,MAX($A$8:A2991)+1)</f>
        <v>357</v>
      </c>
      <c r="B2992" s="835" t="str">
        <f>IF(C2992="","",COUNTA($C$10:C2993))</f>
        <v/>
      </c>
      <c r="C2992" s="362"/>
      <c r="D2992" s="362"/>
      <c r="E2992" s="852" t="s">
        <v>4</v>
      </c>
      <c r="F2992" s="848" t="str">
        <f>VLOOKUP(E2992,DICH!B:C,2,FALSE)</f>
        <v>Stone 4x6</v>
      </c>
      <c r="G2992" s="847" t="s">
        <v>545</v>
      </c>
      <c r="H2992" s="847">
        <v>6.0999999999999999E-2</v>
      </c>
      <c r="I2992" s="848">
        <f>VLOOKUP(E2992,'11.gia '!$B:$I,8,FALSE)</f>
        <v>300147.95224953815</v>
      </c>
      <c r="J2992" s="853">
        <f>I2992*H2992</f>
        <v>18309.025087221828</v>
      </c>
      <c r="N2992" s="843" t="e">
        <f>SUMIF(#REF!,'8.Dgia'!A2992,#REF!)+SUMIF(#REF!,'8.Dgia'!A2992,#REF!)+SUMIF(#REF!,'8.Dgia'!A2992,#REF!)+SUMIF(#REF!,'8.Dgia'!A2992,#REF!)</f>
        <v>#REF!</v>
      </c>
      <c r="O2992" s="844"/>
      <c r="P2992" s="843" t="e">
        <f t="shared" si="124"/>
        <v>#REF!</v>
      </c>
    </row>
    <row r="2993" spans="1:18" ht="15" customHeight="1">
      <c r="A2993" s="657">
        <f>IF(B2993="",MAX($A$8:A2992)+0,MAX($A$8:A2992)+1)</f>
        <v>357</v>
      </c>
      <c r="B2993" s="835" t="str">
        <f>IF(C2993="","",COUNTA($C$10:C2994))</f>
        <v/>
      </c>
      <c r="C2993" s="362"/>
      <c r="D2993" s="362"/>
      <c r="E2993" s="852" t="s">
        <v>2037</v>
      </c>
      <c r="F2993" s="848" t="str">
        <f>VLOOKUP(E2993,DICH!B:C,2,FALSE)</f>
        <v xml:space="preserve">  B - Labour 3.5/7</v>
      </c>
      <c r="G2993" s="883" t="s">
        <v>4899</v>
      </c>
      <c r="H2993" s="847">
        <v>1.2</v>
      </c>
      <c r="I2993" s="848">
        <f>VLOOKUP(E2993,'16.NC'!$C$11:$F$22,4,FALSE)</f>
        <v>202862</v>
      </c>
      <c r="J2993" s="849">
        <f>I2993*H2993</f>
        <v>243434.4</v>
      </c>
      <c r="N2993" s="843" t="e">
        <f>SUMIF(#REF!,'8.Dgia'!A2993,#REF!)+SUMIF(#REF!,'8.Dgia'!A2993,#REF!)+SUMIF(#REF!,'8.Dgia'!A2993,#REF!)+SUMIF(#REF!,'8.Dgia'!A2993,#REF!)</f>
        <v>#REF!</v>
      </c>
      <c r="O2993" s="844"/>
      <c r="P2993" s="843" t="e">
        <f t="shared" si="124"/>
        <v>#REF!</v>
      </c>
      <c r="R2993" s="658">
        <v>1</v>
      </c>
    </row>
    <row r="2994" spans="1:18" ht="15" customHeight="1">
      <c r="A2994" s="657">
        <f>IF(B2994="",MAX($A$8:A2993)+0,MAX($A$8:A2993)+1)</f>
        <v>358</v>
      </c>
      <c r="B2994" s="835">
        <f>IF(C2994="","",COUNTA($C$10:C2995))</f>
        <v>358</v>
      </c>
      <c r="C2994" s="835">
        <f>IF(D2994="","",1776)</f>
        <v>1776</v>
      </c>
      <c r="D2994" s="704" t="s">
        <v>2117</v>
      </c>
      <c r="E2994" s="808" t="s">
        <v>4015</v>
      </c>
      <c r="F2994" s="1049" t="str">
        <f>VLOOKUP(E2994,DICH!B:C,2,FALSE)</f>
        <v>Concrete C30 of box culvert (in situ)</v>
      </c>
      <c r="G2994" s="856" t="s">
        <v>545</v>
      </c>
      <c r="H2994" s="847"/>
      <c r="I2994" s="848"/>
      <c r="J2994" s="853"/>
      <c r="K2994" s="842">
        <f>+J2995</f>
        <v>1167327.9466072232</v>
      </c>
      <c r="L2994" s="842">
        <f>+J3002</f>
        <v>722188.72</v>
      </c>
      <c r="M2994" s="842">
        <f>+J3003</f>
        <v>30600.934050000003</v>
      </c>
      <c r="N2994" s="843" t="e">
        <f>SUMIF(#REF!,'8.Dgia'!A2994,#REF!)+SUMIF(#REF!,'8.Dgia'!A2994,#REF!)+SUMIF(#REF!,'8.Dgia'!A2994,#REF!)+SUMIF(#REF!,'8.Dgia'!A2994,#REF!)</f>
        <v>#REF!</v>
      </c>
      <c r="O2994" s="844"/>
      <c r="P2994" s="843" t="e">
        <f t="shared" si="124"/>
        <v>#REF!</v>
      </c>
    </row>
    <row r="2995" spans="1:18" s="658" customFormat="1" ht="15" customHeight="1">
      <c r="A2995" s="657">
        <f>IF(B2995="",MAX($A$8:A2994)+0,MAX($A$8:A2994)+1)</f>
        <v>358</v>
      </c>
      <c r="B2995" s="835" t="str">
        <f>IF(C2995="","",COUNTA($C$10:C2996))</f>
        <v/>
      </c>
      <c r="C2995" s="362"/>
      <c r="D2995" s="845"/>
      <c r="E2995" s="852" t="s">
        <v>2032</v>
      </c>
      <c r="F2995" s="848" t="str">
        <f>VLOOKUP(E2995,DICH!B:C,2,FALSE)</f>
        <v xml:space="preserve">  A - Material</v>
      </c>
      <c r="G2995" s="846"/>
      <c r="H2995" s="847"/>
      <c r="I2995" s="848"/>
      <c r="J2995" s="849">
        <f>SUM(J2996:J3001)</f>
        <v>1167327.9466072232</v>
      </c>
      <c r="K2995" s="850"/>
      <c r="L2995" s="850"/>
      <c r="M2995" s="850"/>
      <c r="N2995" s="843" t="e">
        <f>SUMIF(#REF!,'8.Dgia'!A2995,#REF!)+SUMIF(#REF!,'8.Dgia'!A2995,#REF!)+SUMIF(#REF!,'8.Dgia'!A2995,#REF!)+SUMIF(#REF!,'8.Dgia'!A2995,#REF!)</f>
        <v>#REF!</v>
      </c>
      <c r="O2995" s="844"/>
      <c r="P2995" s="843" t="e">
        <f t="shared" si="124"/>
        <v>#REF!</v>
      </c>
    </row>
    <row r="2996" spans="1:18" ht="15" customHeight="1">
      <c r="A2996" s="657">
        <f>IF(B2996="",MAX($A$8:A2995)+0,MAX($A$8:A2995)+1)</f>
        <v>358</v>
      </c>
      <c r="B2996" s="835" t="str">
        <f>IF(C2996="","",COUNTA($C$10:C2997))</f>
        <v/>
      </c>
      <c r="C2996" s="851"/>
      <c r="D2996" s="851" t="str">
        <f>+'10.PLV'!$C$17</f>
        <v>C3124</v>
      </c>
      <c r="E2996" s="852" t="str">
        <f>+'10.PLV'!$D$17</f>
        <v>Vữa bê tông đá 1x2 C20 SN 2-4</v>
      </c>
      <c r="F2996" s="848" t="str">
        <f>VLOOKUP(E2996,DICH!B:C,2,FALSE)</f>
        <v>Concrete motar C20 stone 1x2 slump 2-4</v>
      </c>
      <c r="G2996" s="362" t="s">
        <v>545</v>
      </c>
      <c r="H2996" s="847">
        <v>1.0249999999999999</v>
      </c>
      <c r="I2996" s="848">
        <f>VLOOKUP(E2996,'11.gia '!B:I,8,FALSE)</f>
        <v>884378.32894201751</v>
      </c>
      <c r="J2996" s="853">
        <f>I2996*H2996</f>
        <v>906487.78716556786</v>
      </c>
      <c r="N2996" s="843" t="e">
        <f>SUMIF(#REF!,'8.Dgia'!A2996,#REF!)+SUMIF(#REF!,'8.Dgia'!A2996,#REF!)+SUMIF(#REF!,'8.Dgia'!A2996,#REF!)+SUMIF(#REF!,'8.Dgia'!A2996,#REF!)</f>
        <v>#REF!</v>
      </c>
      <c r="O2996" s="844"/>
      <c r="P2996" s="843" t="e">
        <f t="shared" si="124"/>
        <v>#REF!</v>
      </c>
    </row>
    <row r="2997" spans="1:18" ht="15" customHeight="1">
      <c r="A2997" s="657">
        <f>IF(B2997="",MAX($A$8:A2996)+0,MAX($A$8:A2996)+1)</f>
        <v>358</v>
      </c>
      <c r="B2997" s="835" t="str">
        <f>IF(C2997="","",COUNTA($C$10:C2998))</f>
        <v/>
      </c>
      <c r="C2997" s="851"/>
      <c r="D2997" s="851"/>
      <c r="E2997" s="819" t="s">
        <v>2115</v>
      </c>
      <c r="F2997" s="848" t="str">
        <f>VLOOKUP(E2997,DICH!B:C,2,FALSE)</f>
        <v>Gangway</v>
      </c>
      <c r="G2997" s="704"/>
      <c r="H2997" s="239"/>
      <c r="I2997" s="848"/>
      <c r="J2997" s="853">
        <f>I2997*H2997</f>
        <v>0</v>
      </c>
      <c r="N2997" s="843" t="e">
        <f>SUMIF(#REF!,'8.Dgia'!A2997,#REF!)+SUMIF(#REF!,'8.Dgia'!A2997,#REF!)+SUMIF(#REF!,'8.Dgia'!A2997,#REF!)+SUMIF(#REF!,'8.Dgia'!A2997,#REF!)</f>
        <v>#REF!</v>
      </c>
      <c r="O2997" s="844"/>
      <c r="P2997" s="843" t="e">
        <f t="shared" si="124"/>
        <v>#REF!</v>
      </c>
    </row>
    <row r="2998" spans="1:18" ht="15" customHeight="1">
      <c r="A2998" s="657">
        <f>IF(B2998="",MAX($A$8:A2997)+0,MAX($A$8:A2997)+1)</f>
        <v>358</v>
      </c>
      <c r="B2998" s="835" t="str">
        <f>IF(C2998="","",COUNTA($C$10:C2999))</f>
        <v/>
      </c>
      <c r="C2998" s="851"/>
      <c r="D2998" s="851"/>
      <c r="E2998" s="819" t="s">
        <v>134</v>
      </c>
      <c r="F2998" s="848" t="str">
        <f>VLOOKUP(E2998,DICH!B:C,2,FALSE)</f>
        <v>Wooden</v>
      </c>
      <c r="G2998" s="704" t="s">
        <v>545</v>
      </c>
      <c r="H2998" s="239">
        <v>4.9000000000000002E-2</v>
      </c>
      <c r="I2998" s="848">
        <f>VLOOKUP(E2998,'11.gia '!B:I,8,FALSE)</f>
        <v>5000000</v>
      </c>
      <c r="J2998" s="853">
        <f>I2998*H2998</f>
        <v>245000</v>
      </c>
      <c r="N2998" s="843" t="e">
        <f>SUMIF(#REF!,'8.Dgia'!A2998,#REF!)+SUMIF(#REF!,'8.Dgia'!A2998,#REF!)+SUMIF(#REF!,'8.Dgia'!A2998,#REF!)+SUMIF(#REF!,'8.Dgia'!A2998,#REF!)</f>
        <v>#REF!</v>
      </c>
      <c r="O2998" s="844"/>
      <c r="P2998" s="843" t="e">
        <f t="shared" si="124"/>
        <v>#REF!</v>
      </c>
    </row>
    <row r="2999" spans="1:18" ht="15" customHeight="1">
      <c r="A2999" s="657">
        <f>IF(B2999="",MAX($A$8:A2998)+0,MAX($A$8:A2998)+1)</f>
        <v>358</v>
      </c>
      <c r="B2999" s="835" t="str">
        <f>IF(C2999="","",COUNTA($C$10:C3000))</f>
        <v/>
      </c>
      <c r="C2999" s="851"/>
      <c r="D2999" s="851"/>
      <c r="E2999" s="819" t="s">
        <v>460</v>
      </c>
      <c r="F2999" s="848" t="str">
        <f>VLOOKUP(E2999,DICH!B:C,2,FALSE)</f>
        <v>Nail</v>
      </c>
      <c r="G2999" s="704" t="s">
        <v>558</v>
      </c>
      <c r="H2999" s="239">
        <v>0.19900000000000001</v>
      </c>
      <c r="I2999" s="848">
        <f>VLOOKUP(E2999,'11.gia '!B:I,8,FALSE)</f>
        <v>17143</v>
      </c>
      <c r="J2999" s="853">
        <f>I2999*H2999</f>
        <v>3411.4570000000003</v>
      </c>
      <c r="N2999" s="843" t="e">
        <f>SUMIF(#REF!,'8.Dgia'!A2999,#REF!)+SUMIF(#REF!,'8.Dgia'!A2999,#REF!)+SUMIF(#REF!,'8.Dgia'!A2999,#REF!)+SUMIF(#REF!,'8.Dgia'!A2999,#REF!)</f>
        <v>#REF!</v>
      </c>
      <c r="O2999" s="844"/>
      <c r="P2999" s="843" t="e">
        <f t="shared" si="124"/>
        <v>#REF!</v>
      </c>
    </row>
    <row r="3000" spans="1:18" ht="15" customHeight="1">
      <c r="A3000" s="657">
        <f>IF(B3000="",MAX($A$8:A2999)+0,MAX($A$8:A2999)+1)</f>
        <v>358</v>
      </c>
      <c r="B3000" s="835" t="str">
        <f>IF(C3000="","",COUNTA($C$10:C3001))</f>
        <v/>
      </c>
      <c r="C3000" s="851"/>
      <c r="D3000" s="851"/>
      <c r="E3000" s="819" t="s">
        <v>465</v>
      </c>
      <c r="F3000" s="848" t="str">
        <f>VLOOKUP(E3000,DICH!B:C,2,FALSE)</f>
        <v>Casing nail</v>
      </c>
      <c r="G3000" s="704" t="s">
        <v>4649</v>
      </c>
      <c r="H3000" s="239">
        <v>0.871</v>
      </c>
      <c r="I3000" s="848">
        <f>VLOOKUP(E3000,'11.gia '!B:I,8,FALSE)</f>
        <v>1000</v>
      </c>
      <c r="J3000" s="853">
        <f>I3000*H3000</f>
        <v>871</v>
      </c>
      <c r="N3000" s="843" t="e">
        <f>SUMIF(#REF!,'8.Dgia'!A3000,#REF!)+SUMIF(#REF!,'8.Dgia'!A3000,#REF!)+SUMIF(#REF!,'8.Dgia'!A3000,#REF!)+SUMIF(#REF!,'8.Dgia'!A3000,#REF!)</f>
        <v>#REF!</v>
      </c>
      <c r="O3000" s="844"/>
      <c r="P3000" s="843" t="e">
        <f t="shared" si="124"/>
        <v>#REF!</v>
      </c>
    </row>
    <row r="3001" spans="1:18" ht="15" customHeight="1">
      <c r="A3001" s="657">
        <f>IF(B3001="",MAX($A$8:A3000)+0,MAX($A$8:A3000)+1)</f>
        <v>358</v>
      </c>
      <c r="B3001" s="835" t="str">
        <f>IF(C3001="","",COUNTA($C$10:C3002))</f>
        <v/>
      </c>
      <c r="C3001" s="362"/>
      <c r="D3001" s="851"/>
      <c r="E3001" s="852" t="s">
        <v>555</v>
      </c>
      <c r="F3001" s="848" t="str">
        <f>VLOOKUP(E3001,DICH!B:C,2,FALSE)</f>
        <v>Other material</v>
      </c>
      <c r="G3001" s="362" t="s">
        <v>554</v>
      </c>
      <c r="H3001" s="847">
        <v>1</v>
      </c>
      <c r="I3001" s="848">
        <f>SUM(J2996:J3000)</f>
        <v>1155770.2441655677</v>
      </c>
      <c r="J3001" s="853">
        <f>I3001*H3001%</f>
        <v>11557.702441655678</v>
      </c>
      <c r="N3001" s="843" t="e">
        <f>SUMIF(#REF!,'8.Dgia'!A3001,#REF!)+SUMIF(#REF!,'8.Dgia'!A3001,#REF!)+SUMIF(#REF!,'8.Dgia'!A3001,#REF!)+SUMIF(#REF!,'8.Dgia'!A3001,#REF!)</f>
        <v>#REF!</v>
      </c>
      <c r="O3001" s="844"/>
      <c r="P3001" s="843" t="e">
        <f t="shared" si="124"/>
        <v>#REF!</v>
      </c>
    </row>
    <row r="3002" spans="1:18" s="658" customFormat="1" ht="15" customHeight="1">
      <c r="A3002" s="657">
        <f>IF(B3002="",MAX($A$8:A3001)+0,MAX($A$8:A3001)+1)</f>
        <v>358</v>
      </c>
      <c r="B3002" s="835" t="str">
        <f>IF(C3002="","",COUNTA($C$10:C3003))</f>
        <v/>
      </c>
      <c r="C3002" s="362"/>
      <c r="D3002" s="845"/>
      <c r="E3002" s="852" t="s">
        <v>2037</v>
      </c>
      <c r="F3002" s="848" t="str">
        <f>VLOOKUP(E3002,DICH!B:C,2,FALSE)</f>
        <v xml:space="preserve">  B - Labour 3.5/7</v>
      </c>
      <c r="G3002" s="362" t="s">
        <v>4899</v>
      </c>
      <c r="H3002" s="847">
        <v>3.56</v>
      </c>
      <c r="I3002" s="848">
        <f>VLOOKUP(E3002,'16.NC'!$C$11:$F$22,4,FALSE)</f>
        <v>202862</v>
      </c>
      <c r="J3002" s="849">
        <f>I3002*H3002</f>
        <v>722188.72</v>
      </c>
      <c r="K3002" s="850"/>
      <c r="L3002" s="850"/>
      <c r="M3002" s="850"/>
      <c r="N3002" s="843" t="e">
        <f>SUMIF(#REF!,'8.Dgia'!A3002,#REF!)+SUMIF(#REF!,'8.Dgia'!A3002,#REF!)+SUMIF(#REF!,'8.Dgia'!A3002,#REF!)+SUMIF(#REF!,'8.Dgia'!A3002,#REF!)</f>
        <v>#REF!</v>
      </c>
      <c r="O3002" s="844"/>
      <c r="P3002" s="843" t="e">
        <f t="shared" si="124"/>
        <v>#REF!</v>
      </c>
      <c r="R3002" s="658">
        <v>1</v>
      </c>
    </row>
    <row r="3003" spans="1:18" s="658" customFormat="1" ht="15" customHeight="1">
      <c r="A3003" s="657">
        <f>IF(B3003="",MAX($A$8:A3002)+0,MAX($A$8:A3002)+1)</f>
        <v>358</v>
      </c>
      <c r="B3003" s="835" t="str">
        <f>IF(C3003="","",COUNTA($C$10:C3004))</f>
        <v/>
      </c>
      <c r="C3003" s="362"/>
      <c r="D3003" s="845"/>
      <c r="E3003" s="852" t="s">
        <v>2033</v>
      </c>
      <c r="F3003" s="848" t="str">
        <f>VLOOKUP(E3003,DICH!B:C,2,FALSE)</f>
        <v xml:space="preserve">  C - Machine</v>
      </c>
      <c r="G3003" s="846"/>
      <c r="H3003" s="847"/>
      <c r="I3003" s="848"/>
      <c r="J3003" s="849">
        <f>SUM(J3004:J3005)</f>
        <v>30600.934050000003</v>
      </c>
      <c r="K3003" s="850"/>
      <c r="L3003" s="850"/>
      <c r="M3003" s="850"/>
      <c r="N3003" s="843" t="e">
        <f>SUMIF(#REF!,'8.Dgia'!A3003,#REF!)+SUMIF(#REF!,'8.Dgia'!A3003,#REF!)+SUMIF(#REF!,'8.Dgia'!A3003,#REF!)+SUMIF(#REF!,'8.Dgia'!A3003,#REF!)</f>
        <v>#REF!</v>
      </c>
      <c r="O3003" s="844"/>
      <c r="P3003" s="843" t="e">
        <f t="shared" si="124"/>
        <v>#REF!</v>
      </c>
    </row>
    <row r="3004" spans="1:18" ht="15" customHeight="1">
      <c r="A3004" s="657">
        <f>IF(B3004="",MAX($A$8:A3003)+0,MAX($A$8:A3003)+1)</f>
        <v>358</v>
      </c>
      <c r="B3004" s="835" t="str">
        <f>IF(C3004="","",COUNTA($C$10:C3005))</f>
        <v/>
      </c>
      <c r="C3004" s="362"/>
      <c r="D3004" s="851"/>
      <c r="E3004" s="852" t="s">
        <v>582</v>
      </c>
      <c r="F3004" s="848" t="str">
        <f>VLOOKUP(E3004,'9.may'!E:F,2,FALSE)</f>
        <v>concrete mixer 250L</v>
      </c>
      <c r="G3004" s="362" t="s">
        <v>4902</v>
      </c>
      <c r="H3004" s="847">
        <v>9.5000000000000001E-2</v>
      </c>
      <c r="I3004" s="848">
        <f>VLOOKUP(E3004,'9.may'!E:W,12,FALSE)</f>
        <v>180447.90000000002</v>
      </c>
      <c r="J3004" s="853">
        <f>I3004*H3004</f>
        <v>17142.550500000001</v>
      </c>
      <c r="N3004" s="843" t="e">
        <f>SUMIF(#REF!,'8.Dgia'!A3004,#REF!)+SUMIF(#REF!,'8.Dgia'!A3004,#REF!)+SUMIF(#REF!,'8.Dgia'!A3004,#REF!)+SUMIF(#REF!,'8.Dgia'!A3004,#REF!)</f>
        <v>#REF!</v>
      </c>
      <c r="O3004" s="844"/>
      <c r="P3004" s="843" t="e">
        <f t="shared" si="124"/>
        <v>#REF!</v>
      </c>
    </row>
    <row r="3005" spans="1:18" ht="15" customHeight="1">
      <c r="A3005" s="657">
        <f>IF(B3005="",MAX($A$8:A3004)+0,MAX($A$8:A3004)+1)</f>
        <v>358</v>
      </c>
      <c r="B3005" s="835" t="str">
        <f>IF(C3005="","",COUNTA($C$10:C3006))</f>
        <v/>
      </c>
      <c r="C3005" s="362"/>
      <c r="D3005" s="851"/>
      <c r="E3005" s="852" t="s">
        <v>620</v>
      </c>
      <c r="F3005" s="848" t="str">
        <f>VLOOKUP(E3005,'9.may'!E:F,2,FALSE)</f>
        <v>concrete vibrating compactor 1.5Kw</v>
      </c>
      <c r="G3005" s="362" t="s">
        <v>4902</v>
      </c>
      <c r="H3005" s="847">
        <v>0.18</v>
      </c>
      <c r="I3005" s="848">
        <f>VLOOKUP(E3005,'9.may'!E:W,12,FALSE)</f>
        <v>74768.797500000001</v>
      </c>
      <c r="J3005" s="853">
        <f>I3005*H3005</f>
        <v>13458.38355</v>
      </c>
      <c r="N3005" s="843" t="e">
        <f>SUMIF(#REF!,'8.Dgia'!A3005,#REF!)+SUMIF(#REF!,'8.Dgia'!A3005,#REF!)+SUMIF(#REF!,'8.Dgia'!A3005,#REF!)+SUMIF(#REF!,'8.Dgia'!A3005,#REF!)</f>
        <v>#REF!</v>
      </c>
      <c r="O3005" s="844"/>
      <c r="P3005" s="843" t="e">
        <f t="shared" si="124"/>
        <v>#REF!</v>
      </c>
    </row>
    <row r="3006" spans="1:18" ht="15" customHeight="1">
      <c r="A3006" s="657">
        <f>IF(B3006="",MAX($A$8:A3005)+0,MAX($A$8:A3005)+1)</f>
        <v>359</v>
      </c>
      <c r="B3006" s="835">
        <f>IF(C3006="","",COUNTA($C$10:C3007))</f>
        <v>359</v>
      </c>
      <c r="C3006" s="835">
        <f>IF(D3006="","",1776)</f>
        <v>1776</v>
      </c>
      <c r="D3006" s="704" t="s">
        <v>2117</v>
      </c>
      <c r="E3006" s="808" t="s">
        <v>101</v>
      </c>
      <c r="F3006" s="1049" t="str">
        <f>VLOOKUP(E3006,DICH!B:C,2,FALSE)</f>
        <v>Concrete C30</v>
      </c>
      <c r="G3006" s="856" t="s">
        <v>545</v>
      </c>
      <c r="H3006" s="847"/>
      <c r="I3006" s="848"/>
      <c r="J3006" s="853"/>
      <c r="K3006" s="842">
        <f>+J3007</f>
        <v>1167327.9466072232</v>
      </c>
      <c r="L3006" s="842">
        <f>+J3013</f>
        <v>722188.72</v>
      </c>
      <c r="M3006" s="842">
        <f>+J3014</f>
        <v>30600.934050000003</v>
      </c>
      <c r="N3006" s="843" t="e">
        <f>SUMIF(#REF!,'8.Dgia'!A3006,#REF!)+SUMIF(#REF!,'8.Dgia'!A3006,#REF!)+SUMIF(#REF!,'8.Dgia'!A3006,#REF!)+SUMIF(#REF!,'8.Dgia'!A3006,#REF!)</f>
        <v>#REF!</v>
      </c>
      <c r="O3006" s="844">
        <v>1</v>
      </c>
      <c r="P3006" s="843" t="e">
        <f t="shared" si="124"/>
        <v>#REF!</v>
      </c>
    </row>
    <row r="3007" spans="1:18" s="658" customFormat="1" ht="15" customHeight="1">
      <c r="A3007" s="657">
        <f>IF(B3007="",MAX($A$8:A3006)+0,MAX($A$8:A3006)+1)</f>
        <v>359</v>
      </c>
      <c r="B3007" s="835" t="str">
        <f>IF(C3007="","",COUNTA($C$10:C3008))</f>
        <v/>
      </c>
      <c r="C3007" s="362"/>
      <c r="D3007" s="845"/>
      <c r="E3007" s="852" t="s">
        <v>2032</v>
      </c>
      <c r="F3007" s="848" t="str">
        <f>VLOOKUP(E3007,DICH!B:C,2,FALSE)</f>
        <v xml:space="preserve">  A - Material</v>
      </c>
      <c r="G3007" s="846"/>
      <c r="H3007" s="847"/>
      <c r="I3007" s="848"/>
      <c r="J3007" s="849">
        <f>SUM(J3008:J3012)</f>
        <v>1167327.9466072232</v>
      </c>
      <c r="K3007" s="850"/>
      <c r="L3007" s="850"/>
      <c r="M3007" s="850"/>
      <c r="N3007" s="843" t="e">
        <f>SUMIF(#REF!,'8.Dgia'!A3007,#REF!)+SUMIF(#REF!,'8.Dgia'!A3007,#REF!)+SUMIF(#REF!,'8.Dgia'!A3007,#REF!)+SUMIF(#REF!,'8.Dgia'!A3007,#REF!)</f>
        <v>#REF!</v>
      </c>
      <c r="O3007" s="844">
        <v>1</v>
      </c>
      <c r="P3007" s="843" t="e">
        <f t="shared" si="124"/>
        <v>#REF!</v>
      </c>
    </row>
    <row r="3008" spans="1:18" ht="15" customHeight="1">
      <c r="A3008" s="657">
        <f>IF(B3008="",MAX($A$8:A3007)+0,MAX($A$8:A3007)+1)</f>
        <v>359</v>
      </c>
      <c r="B3008" s="835" t="str">
        <f>IF(C3008="","",COUNTA($C$10:C3009))</f>
        <v/>
      </c>
      <c r="C3008" s="851"/>
      <c r="D3008" s="851" t="str">
        <f>+'10.PLV'!$C$17</f>
        <v>C3124</v>
      </c>
      <c r="E3008" s="852" t="str">
        <f>+'10.PLV'!$D$17</f>
        <v>Vữa bê tông đá 1x2 C20 SN 2-4</v>
      </c>
      <c r="F3008" s="848" t="str">
        <f>VLOOKUP(E3008,DICH!B:C,2,FALSE)</f>
        <v>Concrete motar C20 stone 1x2 slump 2-4</v>
      </c>
      <c r="G3008" s="362" t="s">
        <v>545</v>
      </c>
      <c r="H3008" s="847">
        <v>1.0249999999999999</v>
      </c>
      <c r="I3008" s="848">
        <f>VLOOKUP(E3008,'11.gia '!B:I,8,FALSE)</f>
        <v>884378.32894201751</v>
      </c>
      <c r="J3008" s="853">
        <f>I3008*H3008</f>
        <v>906487.78716556786</v>
      </c>
      <c r="N3008" s="843" t="e">
        <f>SUMIF(#REF!,'8.Dgia'!A3008,#REF!)+SUMIF(#REF!,'8.Dgia'!A3008,#REF!)+SUMIF(#REF!,'8.Dgia'!A3008,#REF!)+SUMIF(#REF!,'8.Dgia'!A3008,#REF!)</f>
        <v>#REF!</v>
      </c>
      <c r="O3008" s="844">
        <v>1</v>
      </c>
      <c r="P3008" s="843" t="e">
        <f t="shared" si="124"/>
        <v>#REF!</v>
      </c>
    </row>
    <row r="3009" spans="1:18" ht="15" customHeight="1">
      <c r="A3009" s="657">
        <f>IF(B3009="",MAX($A$8:A3008)+0,MAX($A$8:A3008)+1)</f>
        <v>359</v>
      </c>
      <c r="B3009" s="835" t="str">
        <f>IF(C3009="","",COUNTA($C$10:C3010))</f>
        <v/>
      </c>
      <c r="C3009" s="851"/>
      <c r="D3009" s="851"/>
      <c r="E3009" s="819" t="s">
        <v>134</v>
      </c>
      <c r="F3009" s="848" t="str">
        <f>VLOOKUP(E3009,DICH!B:C,2,FALSE)</f>
        <v>Wooden</v>
      </c>
      <c r="G3009" s="704" t="s">
        <v>545</v>
      </c>
      <c r="H3009" s="239">
        <v>4.9000000000000002E-2</v>
      </c>
      <c r="I3009" s="848">
        <f>VLOOKUP(E3009,'11.gia '!B:I,8,FALSE)</f>
        <v>5000000</v>
      </c>
      <c r="J3009" s="853">
        <f>I3009*H3009</f>
        <v>245000</v>
      </c>
      <c r="N3009" s="843" t="e">
        <f>SUMIF(#REF!,'8.Dgia'!A3009,#REF!)+SUMIF(#REF!,'8.Dgia'!A3009,#REF!)+SUMIF(#REF!,'8.Dgia'!A3009,#REF!)+SUMIF(#REF!,'8.Dgia'!A3009,#REF!)</f>
        <v>#REF!</v>
      </c>
      <c r="O3009" s="844">
        <v>1</v>
      </c>
      <c r="P3009" s="843" t="e">
        <f t="shared" si="124"/>
        <v>#REF!</v>
      </c>
    </row>
    <row r="3010" spans="1:18" ht="15" customHeight="1">
      <c r="A3010" s="657">
        <f>IF(B3010="",MAX($A$8:A3009)+0,MAX($A$8:A3009)+1)</f>
        <v>359</v>
      </c>
      <c r="B3010" s="835" t="str">
        <f>IF(C3010="","",COUNTA($C$10:C3011))</f>
        <v/>
      </c>
      <c r="C3010" s="851"/>
      <c r="D3010" s="851"/>
      <c r="E3010" s="819" t="s">
        <v>460</v>
      </c>
      <c r="F3010" s="848" t="str">
        <f>VLOOKUP(E3010,DICH!B:C,2,FALSE)</f>
        <v>Nail</v>
      </c>
      <c r="G3010" s="704" t="s">
        <v>558</v>
      </c>
      <c r="H3010" s="239">
        <v>0.19900000000000001</v>
      </c>
      <c r="I3010" s="848">
        <f>VLOOKUP(E3010,'11.gia '!B:I,8,FALSE)</f>
        <v>17143</v>
      </c>
      <c r="J3010" s="853">
        <f>I3010*H3010</f>
        <v>3411.4570000000003</v>
      </c>
      <c r="N3010" s="843" t="e">
        <f>SUMIF(#REF!,'8.Dgia'!A3010,#REF!)+SUMIF(#REF!,'8.Dgia'!A3010,#REF!)+SUMIF(#REF!,'8.Dgia'!A3010,#REF!)+SUMIF(#REF!,'8.Dgia'!A3010,#REF!)</f>
        <v>#REF!</v>
      </c>
      <c r="O3010" s="844">
        <v>1</v>
      </c>
      <c r="P3010" s="843" t="e">
        <f t="shared" si="124"/>
        <v>#REF!</v>
      </c>
    </row>
    <row r="3011" spans="1:18" ht="15" customHeight="1">
      <c r="A3011" s="657">
        <f>IF(B3011="",MAX($A$8:A3010)+0,MAX($A$8:A3010)+1)</f>
        <v>359</v>
      </c>
      <c r="B3011" s="835" t="str">
        <f>IF(C3011="","",COUNTA($C$10:C3012))</f>
        <v/>
      </c>
      <c r="C3011" s="851"/>
      <c r="D3011" s="851"/>
      <c r="E3011" s="819" t="s">
        <v>465</v>
      </c>
      <c r="F3011" s="848" t="str">
        <f>VLOOKUP(E3011,DICH!B:C,2,FALSE)</f>
        <v>Casing nail</v>
      </c>
      <c r="G3011" s="704" t="s">
        <v>4649</v>
      </c>
      <c r="H3011" s="239">
        <v>0.871</v>
      </c>
      <c r="I3011" s="848">
        <f>VLOOKUP(E3011,'11.gia '!B:I,8,FALSE)</f>
        <v>1000</v>
      </c>
      <c r="J3011" s="853">
        <f>I3011*H3011</f>
        <v>871</v>
      </c>
      <c r="N3011" s="843" t="e">
        <f>SUMIF(#REF!,'8.Dgia'!A3011,#REF!)+SUMIF(#REF!,'8.Dgia'!A3011,#REF!)+SUMIF(#REF!,'8.Dgia'!A3011,#REF!)+SUMIF(#REF!,'8.Dgia'!A3011,#REF!)</f>
        <v>#REF!</v>
      </c>
      <c r="O3011" s="844">
        <v>1</v>
      </c>
      <c r="P3011" s="843" t="e">
        <f t="shared" si="124"/>
        <v>#REF!</v>
      </c>
    </row>
    <row r="3012" spans="1:18" ht="15" customHeight="1">
      <c r="A3012" s="657">
        <f>IF(B3012="",MAX($A$8:A3011)+0,MAX($A$8:A3011)+1)</f>
        <v>359</v>
      </c>
      <c r="B3012" s="835" t="str">
        <f>IF(C3012="","",COUNTA($C$10:C3013))</f>
        <v/>
      </c>
      <c r="C3012" s="362"/>
      <c r="D3012" s="851"/>
      <c r="E3012" s="852" t="s">
        <v>555</v>
      </c>
      <c r="F3012" s="848" t="str">
        <f>VLOOKUP(E3012,DICH!B:C,2,FALSE)</f>
        <v>Other material</v>
      </c>
      <c r="G3012" s="362" t="s">
        <v>554</v>
      </c>
      <c r="H3012" s="847">
        <v>1</v>
      </c>
      <c r="I3012" s="848">
        <f>SUM(J3008:J3011)</f>
        <v>1155770.2441655677</v>
      </c>
      <c r="J3012" s="853">
        <f>I3012*H3012%</f>
        <v>11557.702441655678</v>
      </c>
      <c r="N3012" s="843" t="e">
        <f>SUMIF(#REF!,'8.Dgia'!A3012,#REF!)+SUMIF(#REF!,'8.Dgia'!A3012,#REF!)+SUMIF(#REF!,'8.Dgia'!A3012,#REF!)+SUMIF(#REF!,'8.Dgia'!A3012,#REF!)</f>
        <v>#REF!</v>
      </c>
      <c r="O3012" s="844">
        <v>1</v>
      </c>
      <c r="P3012" s="843" t="e">
        <f t="shared" si="124"/>
        <v>#REF!</v>
      </c>
    </row>
    <row r="3013" spans="1:18" s="658" customFormat="1" ht="15" customHeight="1">
      <c r="A3013" s="657">
        <f>IF(B3013="",MAX($A$8:A3012)+0,MAX($A$8:A3012)+1)</f>
        <v>359</v>
      </c>
      <c r="B3013" s="835" t="str">
        <f>IF(C3013="","",COUNTA($C$10:C3014))</f>
        <v/>
      </c>
      <c r="C3013" s="362"/>
      <c r="D3013" s="845"/>
      <c r="E3013" s="852" t="s">
        <v>2037</v>
      </c>
      <c r="F3013" s="848" t="str">
        <f>VLOOKUP(E3013,DICH!B:C,2,FALSE)</f>
        <v xml:space="preserve">  B - Labour 3.5/7</v>
      </c>
      <c r="G3013" s="362" t="s">
        <v>4899</v>
      </c>
      <c r="H3013" s="847">
        <v>3.56</v>
      </c>
      <c r="I3013" s="848">
        <f>VLOOKUP(E3013,'16.NC'!$C$11:$F$22,4,FALSE)</f>
        <v>202862</v>
      </c>
      <c r="J3013" s="849">
        <f>I3013*H3013</f>
        <v>722188.72</v>
      </c>
      <c r="K3013" s="850"/>
      <c r="L3013" s="850"/>
      <c r="M3013" s="850"/>
      <c r="N3013" s="843" t="e">
        <f>SUMIF(#REF!,'8.Dgia'!A3013,#REF!)+SUMIF(#REF!,'8.Dgia'!A3013,#REF!)+SUMIF(#REF!,'8.Dgia'!A3013,#REF!)+SUMIF(#REF!,'8.Dgia'!A3013,#REF!)</f>
        <v>#REF!</v>
      </c>
      <c r="O3013" s="844"/>
      <c r="P3013" s="843" t="e">
        <f t="shared" si="124"/>
        <v>#REF!</v>
      </c>
      <c r="R3013" s="658">
        <v>1</v>
      </c>
    </row>
    <row r="3014" spans="1:18" s="658" customFormat="1" ht="15" customHeight="1">
      <c r="A3014" s="657">
        <f>IF(B3014="",MAX($A$8:A3013)+0,MAX($A$8:A3013)+1)</f>
        <v>359</v>
      </c>
      <c r="B3014" s="835" t="str">
        <f>IF(C3014="","",COUNTA($C$10:C3015))</f>
        <v/>
      </c>
      <c r="C3014" s="362"/>
      <c r="D3014" s="845"/>
      <c r="E3014" s="852" t="s">
        <v>2033</v>
      </c>
      <c r="F3014" s="848" t="str">
        <f>VLOOKUP(E3014,DICH!B:C,2,FALSE)</f>
        <v xml:space="preserve">  C - Machine</v>
      </c>
      <c r="G3014" s="846"/>
      <c r="H3014" s="847"/>
      <c r="I3014" s="848"/>
      <c r="J3014" s="849">
        <f>SUM(J3015:J3016)</f>
        <v>30600.934050000003</v>
      </c>
      <c r="K3014" s="850"/>
      <c r="L3014" s="850"/>
      <c r="M3014" s="850"/>
      <c r="N3014" s="843" t="e">
        <f>SUMIF(#REF!,'8.Dgia'!A3014,#REF!)+SUMIF(#REF!,'8.Dgia'!A3014,#REF!)+SUMIF(#REF!,'8.Dgia'!A3014,#REF!)+SUMIF(#REF!,'8.Dgia'!A3014,#REF!)</f>
        <v>#REF!</v>
      </c>
      <c r="O3014" s="844"/>
      <c r="P3014" s="843" t="e">
        <f t="shared" si="124"/>
        <v>#REF!</v>
      </c>
    </row>
    <row r="3015" spans="1:18" ht="15" customHeight="1">
      <c r="A3015" s="657">
        <f>IF(B3015="",MAX($A$8:A3014)+0,MAX($A$8:A3014)+1)</f>
        <v>359</v>
      </c>
      <c r="B3015" s="835" t="str">
        <f>IF(C3015="","",COUNTA($C$10:C3016))</f>
        <v/>
      </c>
      <c r="C3015" s="362"/>
      <c r="D3015" s="851"/>
      <c r="E3015" s="852" t="s">
        <v>582</v>
      </c>
      <c r="F3015" s="848" t="str">
        <f>VLOOKUP(E3015,'9.may'!E:F,2,FALSE)</f>
        <v>concrete mixer 250L</v>
      </c>
      <c r="G3015" s="362" t="s">
        <v>4902</v>
      </c>
      <c r="H3015" s="847">
        <v>9.5000000000000001E-2</v>
      </c>
      <c r="I3015" s="848">
        <f>VLOOKUP(E3015,'9.may'!E:W,12,FALSE)</f>
        <v>180447.90000000002</v>
      </c>
      <c r="J3015" s="853">
        <f>I3015*H3015</f>
        <v>17142.550500000001</v>
      </c>
      <c r="N3015" s="843" t="e">
        <f>SUMIF(#REF!,'8.Dgia'!A3015,#REF!)+SUMIF(#REF!,'8.Dgia'!A3015,#REF!)+SUMIF(#REF!,'8.Dgia'!A3015,#REF!)+SUMIF(#REF!,'8.Dgia'!A3015,#REF!)</f>
        <v>#REF!</v>
      </c>
      <c r="O3015" s="844"/>
      <c r="P3015" s="843" t="e">
        <f t="shared" si="124"/>
        <v>#REF!</v>
      </c>
    </row>
    <row r="3016" spans="1:18" ht="15" customHeight="1">
      <c r="A3016" s="657">
        <f>IF(B3016="",MAX($A$8:A3015)+0,MAX($A$8:A3015)+1)</f>
        <v>359</v>
      </c>
      <c r="B3016" s="835" t="str">
        <f>IF(C3016="","",COUNTA($C$10:C3017))</f>
        <v/>
      </c>
      <c r="C3016" s="362"/>
      <c r="D3016" s="851"/>
      <c r="E3016" s="852" t="s">
        <v>620</v>
      </c>
      <c r="F3016" s="848" t="str">
        <f>VLOOKUP(E3016,'9.may'!E:F,2,FALSE)</f>
        <v>concrete vibrating compactor 1.5Kw</v>
      </c>
      <c r="G3016" s="362" t="s">
        <v>4902</v>
      </c>
      <c r="H3016" s="847">
        <v>0.18</v>
      </c>
      <c r="I3016" s="848">
        <f>VLOOKUP(E3016,'9.may'!E:W,12,FALSE)</f>
        <v>74768.797500000001</v>
      </c>
      <c r="J3016" s="853">
        <f>I3016*H3016</f>
        <v>13458.38355</v>
      </c>
      <c r="N3016" s="843" t="e">
        <f>SUMIF(#REF!,'8.Dgia'!A3016,#REF!)+SUMIF(#REF!,'8.Dgia'!A3016,#REF!)+SUMIF(#REF!,'8.Dgia'!A3016,#REF!)+SUMIF(#REF!,'8.Dgia'!A3016,#REF!)</f>
        <v>#REF!</v>
      </c>
      <c r="O3016" s="844"/>
      <c r="P3016" s="843" t="e">
        <f t="shared" si="124"/>
        <v>#REF!</v>
      </c>
    </row>
    <row r="3017" spans="1:18" ht="15" customHeight="1">
      <c r="A3017" s="657">
        <f>IF(B3017="",MAX($A$8:A3016)+0,MAX($A$8:A3016)+1)</f>
        <v>360</v>
      </c>
      <c r="B3017" s="835">
        <f>IF(C3017="","",COUNTA($C$10:C3018))</f>
        <v>360</v>
      </c>
      <c r="C3017" s="835">
        <f>IF(D3017="","",1776)</f>
        <v>1776</v>
      </c>
      <c r="D3017" s="704" t="s">
        <v>2118</v>
      </c>
      <c r="E3017" s="808" t="s">
        <v>4053</v>
      </c>
      <c r="F3017" s="1049" t="str">
        <f>VLOOKUP(E3017,DICH!B:C,2,FALSE)</f>
        <v>Reinforcement D&lt;=18 of culvert</v>
      </c>
      <c r="G3017" s="856" t="s">
        <v>4644</v>
      </c>
      <c r="H3017" s="847"/>
      <c r="I3017" s="848"/>
      <c r="J3017" s="857"/>
      <c r="K3017" s="842">
        <f>+J3018</f>
        <v>17362322.747563638</v>
      </c>
      <c r="L3017" s="842">
        <f>+J3022</f>
        <v>3459046.6</v>
      </c>
      <c r="M3017" s="842">
        <f>+J3023</f>
        <v>418769.95695000002</v>
      </c>
      <c r="N3017" s="843" t="e">
        <f>SUMIF(#REF!,'8.Dgia'!A3017,#REF!)+SUMIF(#REF!,'8.Dgia'!A3017,#REF!)+SUMIF(#REF!,'8.Dgia'!A3017,#REF!)+SUMIF(#REF!,'8.Dgia'!A3017,#REF!)</f>
        <v>#REF!</v>
      </c>
      <c r="O3017" s="844"/>
      <c r="P3017" s="843" t="e">
        <f t="shared" si="124"/>
        <v>#REF!</v>
      </c>
    </row>
    <row r="3018" spans="1:18" s="658" customFormat="1" ht="15" customHeight="1">
      <c r="A3018" s="657">
        <f>IF(B3018="",MAX($A$8:A3017)+0,MAX($A$8:A3017)+1)</f>
        <v>360</v>
      </c>
      <c r="B3018" s="835" t="str">
        <f>IF(C3018="","",COUNTA($C$10:C3019))</f>
        <v/>
      </c>
      <c r="C3018" s="362"/>
      <c r="D3018" s="845"/>
      <c r="E3018" s="852" t="s">
        <v>2032</v>
      </c>
      <c r="F3018" s="848" t="str">
        <f>VLOOKUP(E3018,DICH!B:C,2,FALSE)</f>
        <v xml:space="preserve">  A - Material</v>
      </c>
      <c r="G3018" s="846"/>
      <c r="H3018" s="847"/>
      <c r="I3018" s="848"/>
      <c r="J3018" s="849">
        <f>SUM(J3019:J3021)</f>
        <v>17362322.747563638</v>
      </c>
      <c r="K3018" s="850"/>
      <c r="L3018" s="850"/>
      <c r="M3018" s="850"/>
      <c r="N3018" s="843" t="e">
        <f>SUMIF(#REF!,'8.Dgia'!A3018,#REF!)+SUMIF(#REF!,'8.Dgia'!A3018,#REF!)+SUMIF(#REF!,'8.Dgia'!A3018,#REF!)+SUMIF(#REF!,'8.Dgia'!A3018,#REF!)</f>
        <v>#REF!</v>
      </c>
      <c r="O3018" s="844"/>
      <c r="P3018" s="843" t="e">
        <f t="shared" si="124"/>
        <v>#REF!</v>
      </c>
    </row>
    <row r="3019" spans="1:18" ht="15" customHeight="1">
      <c r="A3019" s="657">
        <f>IF(B3019="",MAX($A$8:A3018)+0,MAX($A$8:A3018)+1)</f>
        <v>360</v>
      </c>
      <c r="B3019" s="835" t="str">
        <f>IF(C3019="","",COUNTA($C$10:C3020))</f>
        <v/>
      </c>
      <c r="C3019" s="362"/>
      <c r="D3019" s="851"/>
      <c r="E3019" s="852" t="s">
        <v>671</v>
      </c>
      <c r="F3019" s="848" t="str">
        <f>VLOOKUP(E3019,DICH!B:C,2,FALSE)</f>
        <v>steel bar D&lt;=18</v>
      </c>
      <c r="G3019" s="362" t="s">
        <v>558</v>
      </c>
      <c r="H3019" s="847">
        <v>1020</v>
      </c>
      <c r="I3019" s="848">
        <f>VLOOKUP(E3019,'11.gia '!$B:$I,8,FALSE)</f>
        <v>16604.075560000001</v>
      </c>
      <c r="J3019" s="853">
        <f>I3019*H3019</f>
        <v>16936157.071200002</v>
      </c>
      <c r="N3019" s="843" t="e">
        <f>SUMIF(#REF!,'8.Dgia'!A3019,#REF!)+SUMIF(#REF!,'8.Dgia'!A3019,#REF!)+SUMIF(#REF!,'8.Dgia'!A3019,#REF!)+SUMIF(#REF!,'8.Dgia'!A3019,#REF!)</f>
        <v>#REF!</v>
      </c>
      <c r="O3019" s="844"/>
      <c r="P3019" s="843" t="e">
        <f t="shared" si="124"/>
        <v>#REF!</v>
      </c>
    </row>
    <row r="3020" spans="1:18" ht="15" customHeight="1">
      <c r="A3020" s="657">
        <f>IF(B3020="",MAX($A$8:A3019)+0,MAX($A$8:A3019)+1)</f>
        <v>360</v>
      </c>
      <c r="B3020" s="835" t="str">
        <f>IF(C3020="","",COUNTA($C$10:C3021))</f>
        <v/>
      </c>
      <c r="C3020" s="362"/>
      <c r="D3020" s="851"/>
      <c r="E3020" s="852" t="s">
        <v>459</v>
      </c>
      <c r="F3020" s="848" t="str">
        <f>VLOOKUP(E3020,DICH!B:C,2,FALSE)</f>
        <v>Steel ware</v>
      </c>
      <c r="G3020" s="362" t="s">
        <v>558</v>
      </c>
      <c r="H3020" s="847">
        <v>14.28</v>
      </c>
      <c r="I3020" s="848">
        <f>VLOOKUP(E3020,'11.gia '!$B:$I,8,FALSE)</f>
        <v>17143</v>
      </c>
      <c r="J3020" s="853">
        <f>I3020*H3020</f>
        <v>244802.03999999998</v>
      </c>
      <c r="N3020" s="843" t="e">
        <f>SUMIF(#REF!,'8.Dgia'!A3020,#REF!)+SUMIF(#REF!,'8.Dgia'!A3020,#REF!)+SUMIF(#REF!,'8.Dgia'!A3020,#REF!)+SUMIF(#REF!,'8.Dgia'!A3020,#REF!)</f>
        <v>#REF!</v>
      </c>
      <c r="O3020" s="844"/>
      <c r="P3020" s="843" t="e">
        <f t="shared" si="124"/>
        <v>#REF!</v>
      </c>
    </row>
    <row r="3021" spans="1:18" ht="15" customHeight="1">
      <c r="A3021" s="657">
        <f>IF(B3021="",MAX($A$8:A3020)+0,MAX($A$8:A3020)+1)</f>
        <v>360</v>
      </c>
      <c r="B3021" s="835" t="str">
        <f>IF(C3021="","",COUNTA($C$10:C3022))</f>
        <v/>
      </c>
      <c r="C3021" s="362"/>
      <c r="D3021" s="851"/>
      <c r="E3021" s="852" t="s">
        <v>559</v>
      </c>
      <c r="F3021" s="848" t="str">
        <f>VLOOKUP(E3021,DICH!B:C,2,FALSE)</f>
        <v>welding electrode</v>
      </c>
      <c r="G3021" s="362" t="s">
        <v>558</v>
      </c>
      <c r="H3021" s="847">
        <v>9.5</v>
      </c>
      <c r="I3021" s="848">
        <f>VLOOKUP(E3021,'11.gia '!$B:$I,8,FALSE)</f>
        <v>19090.909090909088</v>
      </c>
      <c r="J3021" s="853">
        <f>I3021*H3021</f>
        <v>181363.63636363635</v>
      </c>
      <c r="N3021" s="843" t="e">
        <f>SUMIF(#REF!,'8.Dgia'!A3021,#REF!)+SUMIF(#REF!,'8.Dgia'!A3021,#REF!)+SUMIF(#REF!,'8.Dgia'!A3021,#REF!)+SUMIF(#REF!,'8.Dgia'!A3021,#REF!)</f>
        <v>#REF!</v>
      </c>
      <c r="O3021" s="844"/>
      <c r="P3021" s="843" t="e">
        <f t="shared" si="124"/>
        <v>#REF!</v>
      </c>
    </row>
    <row r="3022" spans="1:18" s="658" customFormat="1" ht="15" customHeight="1">
      <c r="A3022" s="657">
        <f>IF(B3022="",MAX($A$8:A3021)+0,MAX($A$8:A3021)+1)</f>
        <v>360</v>
      </c>
      <c r="B3022" s="835" t="str">
        <f>IF(C3022="","",COUNTA($C$10:C3023))</f>
        <v/>
      </c>
      <c r="C3022" s="362"/>
      <c r="D3022" s="845"/>
      <c r="E3022" s="852" t="s">
        <v>2039</v>
      </c>
      <c r="F3022" s="848" t="str">
        <f>VLOOKUP(E3022,DICH!B:C,2,FALSE)</f>
        <v xml:space="preserve">  B - Labour 4.0/7</v>
      </c>
      <c r="G3022" s="362" t="s">
        <v>4899</v>
      </c>
      <c r="H3022" s="847">
        <v>15.8</v>
      </c>
      <c r="I3022" s="848">
        <f>VLOOKUP(E3022,'16.NC'!$C$11:$F$22,4,FALSE)</f>
        <v>218927</v>
      </c>
      <c r="J3022" s="849">
        <f>I3022*H3022</f>
        <v>3459046.6</v>
      </c>
      <c r="K3022" s="850"/>
      <c r="L3022" s="850"/>
      <c r="M3022" s="850"/>
      <c r="N3022" s="843" t="e">
        <f>SUMIF(#REF!,'8.Dgia'!A3022,#REF!)+SUMIF(#REF!,'8.Dgia'!A3022,#REF!)+SUMIF(#REF!,'8.Dgia'!A3022,#REF!)+SUMIF(#REF!,'8.Dgia'!A3022,#REF!)</f>
        <v>#REF!</v>
      </c>
      <c r="O3022" s="844"/>
      <c r="P3022" s="843" t="e">
        <f t="shared" si="124"/>
        <v>#REF!</v>
      </c>
      <c r="R3022" s="658">
        <v>1</v>
      </c>
    </row>
    <row r="3023" spans="1:18" s="658" customFormat="1" ht="15" customHeight="1">
      <c r="A3023" s="657">
        <f>IF(B3023="",MAX($A$8:A3022)+0,MAX($A$8:A3022)+1)</f>
        <v>360</v>
      </c>
      <c r="B3023" s="835" t="str">
        <f>IF(C3023="","",COUNTA($C$10:C3024))</f>
        <v/>
      </c>
      <c r="C3023" s="362"/>
      <c r="D3023" s="845"/>
      <c r="E3023" s="852" t="s">
        <v>2033</v>
      </c>
      <c r="F3023" s="848" t="str">
        <f>VLOOKUP(E3023,DICH!B:C,2,FALSE)</f>
        <v xml:space="preserve">  C - Machine</v>
      </c>
      <c r="G3023" s="846"/>
      <c r="H3023" s="847"/>
      <c r="I3023" s="848"/>
      <c r="J3023" s="849">
        <f>SUM(J3024:J3025)</f>
        <v>418769.95695000002</v>
      </c>
      <c r="K3023" s="850"/>
      <c r="L3023" s="850"/>
      <c r="M3023" s="850"/>
      <c r="N3023" s="843" t="e">
        <f>SUMIF(#REF!,'8.Dgia'!A3023,#REF!)+SUMIF(#REF!,'8.Dgia'!A3023,#REF!)+SUMIF(#REF!,'8.Dgia'!A3023,#REF!)+SUMIF(#REF!,'8.Dgia'!A3023,#REF!)</f>
        <v>#REF!</v>
      </c>
      <c r="O3023" s="844"/>
      <c r="P3023" s="843" t="e">
        <f t="shared" si="124"/>
        <v>#REF!</v>
      </c>
    </row>
    <row r="3024" spans="1:18" ht="15" customHeight="1">
      <c r="A3024" s="657">
        <f>IF(B3024="",MAX($A$8:A3023)+0,MAX($A$8:A3023)+1)</f>
        <v>360</v>
      </c>
      <c r="B3024" s="835" t="str">
        <f>IF(C3024="","",COUNTA($C$10:C3025))</f>
        <v/>
      </c>
      <c r="C3024" s="362"/>
      <c r="D3024" s="851"/>
      <c r="E3024" s="852" t="s">
        <v>560</v>
      </c>
      <c r="F3024" s="848" t="str">
        <f>VLOOKUP(E3024,'9.may'!E:F,2,FALSE)</f>
        <v>welding machine 23kW</v>
      </c>
      <c r="G3024" s="362" t="s">
        <v>4902</v>
      </c>
      <c r="H3024" s="847">
        <v>2.29</v>
      </c>
      <c r="I3024" s="848">
        <f>VLOOKUP(E3024,'9.may'!E:W,12,FALSE)</f>
        <v>171649.155</v>
      </c>
      <c r="J3024" s="853">
        <f>I3024*H3024</f>
        <v>393076.56495000003</v>
      </c>
      <c r="N3024" s="843" t="e">
        <f>SUMIF(#REF!,'8.Dgia'!A3024,#REF!)+SUMIF(#REF!,'8.Dgia'!A3024,#REF!)+SUMIF(#REF!,'8.Dgia'!A3024,#REF!)+SUMIF(#REF!,'8.Dgia'!A3024,#REF!)</f>
        <v>#REF!</v>
      </c>
      <c r="O3024" s="844"/>
      <c r="P3024" s="843" t="e">
        <f t="shared" si="124"/>
        <v>#REF!</v>
      </c>
    </row>
    <row r="3025" spans="1:18" ht="15" customHeight="1">
      <c r="A3025" s="657">
        <f>IF(B3025="",MAX($A$8:A3024)+0,MAX($A$8:A3024)+1)</f>
        <v>360</v>
      </c>
      <c r="B3025" s="835" t="str">
        <f>IF(C3025="","",COUNTA($C$10:C3026))</f>
        <v/>
      </c>
      <c r="C3025" s="362"/>
      <c r="D3025" s="851"/>
      <c r="E3025" s="852" t="s">
        <v>1424</v>
      </c>
      <c r="F3025" s="848" t="str">
        <f>VLOOKUP(E3025,'9.may'!E:F,2,FALSE)</f>
        <v>bender cutter 5Kw</v>
      </c>
      <c r="G3025" s="362" t="s">
        <v>4902</v>
      </c>
      <c r="H3025" s="847">
        <v>0.32</v>
      </c>
      <c r="I3025" s="848">
        <f>VLOOKUP(E3025,'9.may'!E:W,12,FALSE)</f>
        <v>80291.850000000006</v>
      </c>
      <c r="J3025" s="853">
        <f>I3025*H3025</f>
        <v>25693.392000000003</v>
      </c>
      <c r="N3025" s="843" t="e">
        <f>SUMIF(#REF!,'8.Dgia'!A3025,#REF!)+SUMIF(#REF!,'8.Dgia'!A3025,#REF!)+SUMIF(#REF!,'8.Dgia'!A3025,#REF!)+SUMIF(#REF!,'8.Dgia'!A3025,#REF!)</f>
        <v>#REF!</v>
      </c>
      <c r="O3025" s="844"/>
      <c r="P3025" s="843" t="e">
        <f t="shared" si="124"/>
        <v>#REF!</v>
      </c>
    </row>
    <row r="3026" spans="1:18" ht="15" customHeight="1">
      <c r="A3026" s="657">
        <f>IF(B3026="",MAX($A$8:A3025)+0,MAX($A$8:A3025)+1)</f>
        <v>361</v>
      </c>
      <c r="B3026" s="835">
        <f>IF(C3026="","",COUNTA($C$10:C3027))</f>
        <v>361</v>
      </c>
      <c r="C3026" s="835">
        <v>0</v>
      </c>
      <c r="D3026" s="240" t="s">
        <v>306</v>
      </c>
      <c r="E3026" s="870" t="s">
        <v>2083</v>
      </c>
      <c r="F3026" s="848" t="str">
        <f>VLOOKUP(E3026,DICH!B:C,2,FALSE)</f>
        <v>Bitumen soaking wood</v>
      </c>
      <c r="G3026" s="315" t="s">
        <v>545</v>
      </c>
      <c r="H3026" s="169"/>
      <c r="I3026" s="848"/>
      <c r="J3026" s="853"/>
      <c r="K3026" s="842">
        <f>+J3027</f>
        <v>5000000</v>
      </c>
      <c r="N3026" s="843" t="e">
        <f>SUMIF(#REF!,'8.Dgia'!A3026,#REF!)+SUMIF(#REF!,'8.Dgia'!A3026,#REF!)+SUMIF(#REF!,'8.Dgia'!A3026,#REF!)+SUMIF(#REF!,'8.Dgia'!A3026,#REF!)</f>
        <v>#REF!</v>
      </c>
      <c r="O3026" s="844"/>
      <c r="P3026" s="843" t="e">
        <f t="shared" si="124"/>
        <v>#REF!</v>
      </c>
    </row>
    <row r="3027" spans="1:18" ht="15" customHeight="1">
      <c r="A3027" s="657">
        <f>IF(B3027="",MAX($A$8:A3026)+0,MAX($A$8:A3026)+1)</f>
        <v>361</v>
      </c>
      <c r="B3027" s="835" t="str">
        <f>IF(C3027="","",COUNTA($C$10:C3028))</f>
        <v/>
      </c>
      <c r="C3027" s="362"/>
      <c r="D3027" s="239"/>
      <c r="E3027" s="819" t="s">
        <v>2032</v>
      </c>
      <c r="F3027" s="848" t="str">
        <f>VLOOKUP(E3027,DICH!B:C,2,FALSE)</f>
        <v xml:space="preserve">  A - Material</v>
      </c>
      <c r="G3027" s="949"/>
      <c r="H3027" s="873"/>
      <c r="I3027" s="848"/>
      <c r="J3027" s="849">
        <f>SUM(J3028:J3028)</f>
        <v>5000000</v>
      </c>
      <c r="N3027" s="843" t="e">
        <f>SUMIF(#REF!,'8.Dgia'!A3027,#REF!)+SUMIF(#REF!,'8.Dgia'!A3027,#REF!)+SUMIF(#REF!,'8.Dgia'!A3027,#REF!)+SUMIF(#REF!,'8.Dgia'!A3027,#REF!)</f>
        <v>#REF!</v>
      </c>
      <c r="O3027" s="844"/>
      <c r="P3027" s="843" t="e">
        <f t="shared" si="124"/>
        <v>#REF!</v>
      </c>
    </row>
    <row r="3028" spans="1:18" ht="15" customHeight="1">
      <c r="A3028" s="657">
        <f>IF(B3028="",MAX($A$8:A3027)+0,MAX($A$8:A3027)+1)</f>
        <v>361</v>
      </c>
      <c r="B3028" s="835" t="str">
        <f>IF(C3028="","",COUNTA($C$10:C3029))</f>
        <v/>
      </c>
      <c r="C3028" s="362"/>
      <c r="D3028" s="239"/>
      <c r="E3028" s="661" t="s">
        <v>2083</v>
      </c>
      <c r="F3028" s="848" t="str">
        <f>VLOOKUP(E3028,DICH!B:C,2,FALSE)</f>
        <v>Bitumen soaking wood</v>
      </c>
      <c r="G3028" s="704" t="s">
        <v>545</v>
      </c>
      <c r="H3028" s="239">
        <v>1</v>
      </c>
      <c r="I3028" s="848">
        <f>VLOOKUP(E3028,'11.gia '!$B:$I,8,FALSE)</f>
        <v>5000000</v>
      </c>
      <c r="J3028" s="853">
        <f>I3028*H3028</f>
        <v>5000000</v>
      </c>
      <c r="N3028" s="843" t="e">
        <f>SUMIF(#REF!,'8.Dgia'!A3028,#REF!)+SUMIF(#REF!,'8.Dgia'!A3028,#REF!)+SUMIF(#REF!,'8.Dgia'!A3028,#REF!)+SUMIF(#REF!,'8.Dgia'!A3028,#REF!)</f>
        <v>#REF!</v>
      </c>
      <c r="O3028" s="844"/>
      <c r="P3028" s="843" t="e">
        <f t="shared" si="124"/>
        <v>#REF!</v>
      </c>
    </row>
    <row r="3029" spans="1:18" ht="15" customHeight="1">
      <c r="A3029" s="657">
        <f>IF(B3029="",MAX($A$8:A3028)+0,MAX($A$8:A3028)+1)</f>
        <v>362</v>
      </c>
      <c r="B3029" s="835">
        <f>IF(C3029="","",COUNTA($C$10:C3030))</f>
        <v>362</v>
      </c>
      <c r="C3029" s="835">
        <f>IF(D3029="","",1776)</f>
        <v>1776</v>
      </c>
      <c r="D3029" s="704" t="s">
        <v>2119</v>
      </c>
      <c r="E3029" s="808" t="s">
        <v>4065</v>
      </c>
      <c r="F3029" s="1049" t="str">
        <f>VLOOKUP(E3029,DICH!B:C,2,FALSE)</f>
        <v>Reinforcement D&lt;=18 of manhole</v>
      </c>
      <c r="G3029" s="856" t="s">
        <v>4644</v>
      </c>
      <c r="H3029" s="847"/>
      <c r="I3029" s="848"/>
      <c r="J3029" s="857"/>
      <c r="K3029" s="842">
        <f>+J3030</f>
        <v>17272461.838472728</v>
      </c>
      <c r="L3029" s="842">
        <f>+J3034</f>
        <v>5319041.6399999997</v>
      </c>
      <c r="M3029" s="842">
        <f>+J3035</f>
        <v>223948.16602499998</v>
      </c>
      <c r="N3029" s="843" t="e">
        <f>SUMIF(#REF!,'8.Dgia'!A3029,#REF!)+SUMIF(#REF!,'8.Dgia'!A3029,#REF!)+SUMIF(#REF!,'8.Dgia'!A3029,#REF!)+SUMIF(#REF!,'8.Dgia'!A3029,#REF!)</f>
        <v>#REF!</v>
      </c>
      <c r="O3029" s="844"/>
      <c r="P3029" s="843" t="e">
        <f t="shared" si="124"/>
        <v>#REF!</v>
      </c>
    </row>
    <row r="3030" spans="1:18" s="658" customFormat="1" ht="15" customHeight="1">
      <c r="A3030" s="657">
        <f>IF(B3030="",MAX($A$8:A3029)+0,MAX($A$8:A3029)+1)</f>
        <v>362</v>
      </c>
      <c r="B3030" s="835" t="str">
        <f>IF(C3030="","",COUNTA($C$10:C3031))</f>
        <v/>
      </c>
      <c r="C3030" s="362"/>
      <c r="D3030" s="845"/>
      <c r="E3030" s="852" t="s">
        <v>2032</v>
      </c>
      <c r="F3030" s="848" t="str">
        <f>VLOOKUP(E3030,DICH!B:C,2,FALSE)</f>
        <v xml:space="preserve">  A - Material</v>
      </c>
      <c r="G3030" s="846"/>
      <c r="H3030" s="847"/>
      <c r="I3030" s="848"/>
      <c r="J3030" s="849">
        <f>SUM(J3031:J3033)</f>
        <v>17272461.838472728</v>
      </c>
      <c r="K3030" s="850"/>
      <c r="L3030" s="850"/>
      <c r="M3030" s="850"/>
      <c r="N3030" s="843" t="e">
        <f>SUMIF(#REF!,'8.Dgia'!A3030,#REF!)+SUMIF(#REF!,'8.Dgia'!A3030,#REF!)+SUMIF(#REF!,'8.Dgia'!A3030,#REF!)+SUMIF(#REF!,'8.Dgia'!A3030,#REF!)</f>
        <v>#REF!</v>
      </c>
      <c r="O3030" s="844"/>
      <c r="P3030" s="843" t="e">
        <f t="shared" si="124"/>
        <v>#REF!</v>
      </c>
    </row>
    <row r="3031" spans="1:18" ht="15" customHeight="1">
      <c r="A3031" s="657">
        <f>IF(B3031="",MAX($A$8:A3030)+0,MAX($A$8:A3030)+1)</f>
        <v>362</v>
      </c>
      <c r="B3031" s="835" t="str">
        <f>IF(C3031="","",COUNTA($C$10:C3032))</f>
        <v/>
      </c>
      <c r="C3031" s="362"/>
      <c r="D3031" s="851"/>
      <c r="E3031" s="852" t="s">
        <v>671</v>
      </c>
      <c r="F3031" s="848" t="str">
        <f>VLOOKUP(E3031,DICH!B:C,2,FALSE)</f>
        <v>steel bar D&lt;=18</v>
      </c>
      <c r="G3031" s="362" t="s">
        <v>558</v>
      </c>
      <c r="H3031" s="239">
        <v>1020</v>
      </c>
      <c r="I3031" s="848">
        <f>VLOOKUP(E3031,'11.gia '!$B:$I,8,FALSE)</f>
        <v>16604.075560000001</v>
      </c>
      <c r="J3031" s="853">
        <f>I3031*H3031</f>
        <v>16936157.071200002</v>
      </c>
      <c r="N3031" s="843" t="e">
        <f>SUMIF(#REF!,'8.Dgia'!A3031,#REF!)+SUMIF(#REF!,'8.Dgia'!A3031,#REF!)+SUMIF(#REF!,'8.Dgia'!A3031,#REF!)+SUMIF(#REF!,'8.Dgia'!A3031,#REF!)</f>
        <v>#REF!</v>
      </c>
      <c r="O3031" s="844"/>
      <c r="P3031" s="843" t="e">
        <f t="shared" si="124"/>
        <v>#REF!</v>
      </c>
    </row>
    <row r="3032" spans="1:18" ht="15" customHeight="1">
      <c r="A3032" s="657">
        <f>IF(B3032="",MAX($A$8:A3031)+0,MAX($A$8:A3031)+1)</f>
        <v>362</v>
      </c>
      <c r="B3032" s="835" t="str">
        <f>IF(C3032="","",COUNTA($C$10:C3033))</f>
        <v/>
      </c>
      <c r="C3032" s="362"/>
      <c r="D3032" s="851"/>
      <c r="E3032" s="852" t="s">
        <v>459</v>
      </c>
      <c r="F3032" s="848" t="str">
        <f>VLOOKUP(E3032,DICH!B:C,2,FALSE)</f>
        <v>Steel ware</v>
      </c>
      <c r="G3032" s="362" t="s">
        <v>558</v>
      </c>
      <c r="H3032" s="239">
        <v>14.28</v>
      </c>
      <c r="I3032" s="848">
        <f>VLOOKUP(E3032,'11.gia '!$B:$I,8,FALSE)</f>
        <v>17143</v>
      </c>
      <c r="J3032" s="853">
        <f>I3032*H3032</f>
        <v>244802.03999999998</v>
      </c>
      <c r="N3032" s="843" t="e">
        <f>SUMIF(#REF!,'8.Dgia'!A3032,#REF!)+SUMIF(#REF!,'8.Dgia'!A3032,#REF!)+SUMIF(#REF!,'8.Dgia'!A3032,#REF!)+SUMIF(#REF!,'8.Dgia'!A3032,#REF!)</f>
        <v>#REF!</v>
      </c>
      <c r="O3032" s="844"/>
      <c r="P3032" s="843" t="e">
        <f t="shared" si="124"/>
        <v>#REF!</v>
      </c>
    </row>
    <row r="3033" spans="1:18" ht="15" customHeight="1">
      <c r="A3033" s="657">
        <f>IF(B3033="",MAX($A$8:A3032)+0,MAX($A$8:A3032)+1)</f>
        <v>362</v>
      </c>
      <c r="B3033" s="835" t="str">
        <f>IF(C3033="","",COUNTA($C$10:C3034))</f>
        <v/>
      </c>
      <c r="C3033" s="362"/>
      <c r="D3033" s="851"/>
      <c r="E3033" s="852" t="s">
        <v>559</v>
      </c>
      <c r="F3033" s="848" t="str">
        <f>VLOOKUP(E3033,DICH!B:C,2,FALSE)</f>
        <v>welding electrode</v>
      </c>
      <c r="G3033" s="362" t="s">
        <v>558</v>
      </c>
      <c r="H3033" s="239">
        <v>4.7930000000000001</v>
      </c>
      <c r="I3033" s="848">
        <f>VLOOKUP(E3033,'11.gia '!$B:$I,8,FALSE)</f>
        <v>19090.909090909088</v>
      </c>
      <c r="J3033" s="853">
        <f>I3033*H3033</f>
        <v>91502.727272727265</v>
      </c>
      <c r="N3033" s="843" t="e">
        <f>SUMIF(#REF!,'8.Dgia'!A3033,#REF!)+SUMIF(#REF!,'8.Dgia'!A3033,#REF!)+SUMIF(#REF!,'8.Dgia'!A3033,#REF!)+SUMIF(#REF!,'8.Dgia'!A3033,#REF!)</f>
        <v>#REF!</v>
      </c>
      <c r="O3033" s="844"/>
      <c r="P3033" s="843" t="e">
        <f t="shared" si="124"/>
        <v>#REF!</v>
      </c>
    </row>
    <row r="3034" spans="1:18" s="658" customFormat="1" ht="15" customHeight="1">
      <c r="A3034" s="657">
        <f>IF(B3034="",MAX($A$8:A3033)+0,MAX($A$8:A3033)+1)</f>
        <v>362</v>
      </c>
      <c r="B3034" s="835" t="str">
        <f>IF(C3034="","",COUNTA($C$10:C3035))</f>
        <v/>
      </c>
      <c r="C3034" s="362"/>
      <c r="D3034" s="845"/>
      <c r="E3034" s="852" t="s">
        <v>2037</v>
      </c>
      <c r="F3034" s="848" t="str">
        <f>VLOOKUP(E3034,DICH!B:C,2,FALSE)</f>
        <v xml:space="preserve">  B - Labour 3.5/7</v>
      </c>
      <c r="G3034" s="362" t="s">
        <v>4899</v>
      </c>
      <c r="H3034" s="239">
        <v>26.22</v>
      </c>
      <c r="I3034" s="848">
        <f>VLOOKUP(E3034,'16.NC'!$C$11:$F$22,4,FALSE)</f>
        <v>202862</v>
      </c>
      <c r="J3034" s="849">
        <f>I3034*H3034</f>
        <v>5319041.6399999997</v>
      </c>
      <c r="K3034" s="850"/>
      <c r="L3034" s="850"/>
      <c r="M3034" s="850"/>
      <c r="N3034" s="843" t="e">
        <f>SUMIF(#REF!,'8.Dgia'!A3034,#REF!)+SUMIF(#REF!,'8.Dgia'!A3034,#REF!)+SUMIF(#REF!,'8.Dgia'!A3034,#REF!)+SUMIF(#REF!,'8.Dgia'!A3034,#REF!)</f>
        <v>#REF!</v>
      </c>
      <c r="O3034" s="844"/>
      <c r="P3034" s="843" t="e">
        <f t="shared" si="124"/>
        <v>#REF!</v>
      </c>
      <c r="R3034" s="658">
        <v>1</v>
      </c>
    </row>
    <row r="3035" spans="1:18" s="658" customFormat="1" ht="15" customHeight="1">
      <c r="A3035" s="657">
        <f>IF(B3035="",MAX($A$8:A3034)+0,MAX($A$8:A3034)+1)</f>
        <v>362</v>
      </c>
      <c r="B3035" s="835" t="str">
        <f>IF(C3035="","",COUNTA($C$10:C3036))</f>
        <v/>
      </c>
      <c r="C3035" s="362"/>
      <c r="D3035" s="845"/>
      <c r="E3035" s="852" t="s">
        <v>2033</v>
      </c>
      <c r="F3035" s="848" t="str">
        <f>VLOOKUP(E3035,DICH!B:C,2,FALSE)</f>
        <v xml:space="preserve">  C - Machine</v>
      </c>
      <c r="G3035" s="846"/>
      <c r="H3035" s="239"/>
      <c r="I3035" s="848"/>
      <c r="J3035" s="849">
        <f>SUM(J3036:J3037)</f>
        <v>223948.16602499998</v>
      </c>
      <c r="K3035" s="850"/>
      <c r="L3035" s="850"/>
      <c r="M3035" s="850"/>
      <c r="N3035" s="843" t="e">
        <f>SUMIF(#REF!,'8.Dgia'!A3035,#REF!)+SUMIF(#REF!,'8.Dgia'!A3035,#REF!)+SUMIF(#REF!,'8.Dgia'!A3035,#REF!)+SUMIF(#REF!,'8.Dgia'!A3035,#REF!)</f>
        <v>#REF!</v>
      </c>
      <c r="O3035" s="844"/>
      <c r="P3035" s="843" t="e">
        <f t="shared" si="124"/>
        <v>#REF!</v>
      </c>
    </row>
    <row r="3036" spans="1:18" ht="15" customHeight="1">
      <c r="A3036" s="657">
        <f>IF(B3036="",MAX($A$8:A3035)+0,MAX($A$8:A3035)+1)</f>
        <v>362</v>
      </c>
      <c r="B3036" s="835" t="str">
        <f>IF(C3036="","",COUNTA($C$10:C3037))</f>
        <v/>
      </c>
      <c r="C3036" s="362"/>
      <c r="D3036" s="851"/>
      <c r="E3036" s="852" t="s">
        <v>560</v>
      </c>
      <c r="F3036" s="848" t="str">
        <f>VLOOKUP(E3036,'9.may'!E:F,2,FALSE)</f>
        <v>welding machine 23kW</v>
      </c>
      <c r="G3036" s="362" t="s">
        <v>4902</v>
      </c>
      <c r="H3036" s="239">
        <v>1.155</v>
      </c>
      <c r="I3036" s="848">
        <f>VLOOKUP(E3036,'9.may'!E:W,12,FALSE)</f>
        <v>171649.155</v>
      </c>
      <c r="J3036" s="853">
        <f>I3036*H3036</f>
        <v>198254.77402499999</v>
      </c>
      <c r="N3036" s="843" t="e">
        <f>SUMIF(#REF!,'8.Dgia'!A3036,#REF!)+SUMIF(#REF!,'8.Dgia'!A3036,#REF!)+SUMIF(#REF!,'8.Dgia'!A3036,#REF!)+SUMIF(#REF!,'8.Dgia'!A3036,#REF!)</f>
        <v>#REF!</v>
      </c>
      <c r="O3036" s="844"/>
      <c r="P3036" s="843" t="e">
        <f t="shared" si="124"/>
        <v>#REF!</v>
      </c>
    </row>
    <row r="3037" spans="1:18" ht="15" customHeight="1">
      <c r="A3037" s="657">
        <f>IF(B3037="",MAX($A$8:A3036)+0,MAX($A$8:A3036)+1)</f>
        <v>362</v>
      </c>
      <c r="B3037" s="835" t="str">
        <f>IF(C3037="","",COUNTA($C$10:C3038))</f>
        <v/>
      </c>
      <c r="C3037" s="362"/>
      <c r="D3037" s="851"/>
      <c r="E3037" s="852" t="s">
        <v>1424</v>
      </c>
      <c r="F3037" s="848" t="str">
        <f>VLOOKUP(E3037,'9.may'!E:F,2,FALSE)</f>
        <v>bender cutter 5Kw</v>
      </c>
      <c r="G3037" s="362" t="s">
        <v>4902</v>
      </c>
      <c r="H3037" s="239">
        <v>0.32</v>
      </c>
      <c r="I3037" s="848">
        <f>VLOOKUP(E3037,'9.may'!E:W,12,FALSE)</f>
        <v>80291.850000000006</v>
      </c>
      <c r="J3037" s="853">
        <f>I3037*H3037</f>
        <v>25693.392000000003</v>
      </c>
      <c r="N3037" s="843" t="e">
        <f>SUMIF(#REF!,'8.Dgia'!A3037,#REF!)+SUMIF(#REF!,'8.Dgia'!A3037,#REF!)+SUMIF(#REF!,'8.Dgia'!A3037,#REF!)+SUMIF(#REF!,'8.Dgia'!A3037,#REF!)</f>
        <v>#REF!</v>
      </c>
      <c r="O3037" s="844"/>
      <c r="P3037" s="843" t="e">
        <f t="shared" si="124"/>
        <v>#REF!</v>
      </c>
    </row>
    <row r="3038" spans="1:18" ht="15" customHeight="1">
      <c r="A3038" s="657">
        <f>IF(B3038="",MAX($A$8:A3037)+0,MAX($A$8:A3037)+1)</f>
        <v>363</v>
      </c>
      <c r="B3038" s="835">
        <f>IF(C3038="","",COUNTA($C$10:C3039))</f>
        <v>363</v>
      </c>
      <c r="C3038" s="835">
        <v>0</v>
      </c>
      <c r="D3038" s="240" t="s">
        <v>306</v>
      </c>
      <c r="E3038" s="870" t="s">
        <v>2120</v>
      </c>
      <c r="F3038" s="848" t="str">
        <f>VLOOKUP(E3038,DICH!B:C,2,FALSE)</f>
        <v>Supply bag</v>
      </c>
      <c r="G3038" s="315" t="s">
        <v>4649</v>
      </c>
      <c r="H3038" s="169"/>
      <c r="I3038" s="848"/>
      <c r="J3038" s="853"/>
      <c r="K3038" s="842">
        <f>+J3039</f>
        <v>10000</v>
      </c>
      <c r="N3038" s="843" t="e">
        <f>SUMIF(#REF!,'8.Dgia'!A3038,#REF!)+SUMIF(#REF!,'8.Dgia'!A3038,#REF!)+SUMIF(#REF!,'8.Dgia'!A3038,#REF!)+SUMIF(#REF!,'8.Dgia'!A3038,#REF!)</f>
        <v>#REF!</v>
      </c>
      <c r="O3038" s="844"/>
      <c r="P3038" s="843" t="e">
        <f t="shared" si="124"/>
        <v>#REF!</v>
      </c>
    </row>
    <row r="3039" spans="1:18" ht="15" customHeight="1">
      <c r="A3039" s="657">
        <f>IF(B3039="",MAX($A$8:A3038)+0,MAX($A$8:A3038)+1)</f>
        <v>363</v>
      </c>
      <c r="B3039" s="835" t="str">
        <f>IF(C3039="","",COUNTA($C$10:C3040))</f>
        <v/>
      </c>
      <c r="C3039" s="362"/>
      <c r="D3039" s="239"/>
      <c r="E3039" s="819" t="s">
        <v>2032</v>
      </c>
      <c r="F3039" s="848" t="str">
        <f>VLOOKUP(E3039,DICH!B:C,2,FALSE)</f>
        <v xml:space="preserve">  A - Material</v>
      </c>
      <c r="G3039" s="949"/>
      <c r="H3039" s="873"/>
      <c r="I3039" s="848"/>
      <c r="J3039" s="849">
        <f>SUM(J3040:J3040)</f>
        <v>10000</v>
      </c>
      <c r="N3039" s="843" t="e">
        <f>SUMIF(#REF!,'8.Dgia'!A3039,#REF!)+SUMIF(#REF!,'8.Dgia'!A3039,#REF!)+SUMIF(#REF!,'8.Dgia'!A3039,#REF!)+SUMIF(#REF!,'8.Dgia'!A3039,#REF!)</f>
        <v>#REF!</v>
      </c>
      <c r="O3039" s="844"/>
      <c r="P3039" s="843" t="e">
        <f t="shared" si="124"/>
        <v>#REF!</v>
      </c>
    </row>
    <row r="3040" spans="1:18" ht="15" customHeight="1">
      <c r="A3040" s="657">
        <f>IF(B3040="",MAX($A$8:A3039)+0,MAX($A$8:A3039)+1)</f>
        <v>363</v>
      </c>
      <c r="B3040" s="835" t="str">
        <f>IF(C3040="","",COUNTA($C$10:C3041))</f>
        <v/>
      </c>
      <c r="C3040" s="362"/>
      <c r="D3040" s="239"/>
      <c r="E3040" s="661" t="s">
        <v>682</v>
      </c>
      <c r="F3040" s="848" t="str">
        <f>VLOOKUP(E3040,DICH!B:C,2,FALSE)</f>
        <v>Bag</v>
      </c>
      <c r="G3040" s="704" t="s">
        <v>4649</v>
      </c>
      <c r="H3040" s="239">
        <v>1</v>
      </c>
      <c r="I3040" s="848">
        <f>VLOOKUP(E3040,'11.gia '!$B:$I,8,FALSE)</f>
        <v>10000</v>
      </c>
      <c r="J3040" s="853">
        <f>I3040*H3040</f>
        <v>10000</v>
      </c>
      <c r="N3040" s="843" t="e">
        <f>SUMIF(#REF!,'8.Dgia'!A3040,#REF!)+SUMIF(#REF!,'8.Dgia'!A3040,#REF!)+SUMIF(#REF!,'8.Dgia'!A3040,#REF!)+SUMIF(#REF!,'8.Dgia'!A3040,#REF!)</f>
        <v>#REF!</v>
      </c>
      <c r="O3040" s="844"/>
      <c r="P3040" s="843" t="e">
        <f t="shared" si="124"/>
        <v>#REF!</v>
      </c>
    </row>
    <row r="3041" spans="1:18" ht="15" customHeight="1">
      <c r="A3041" s="657">
        <f>IF(B3041="",MAX($A$8:A3040)+0,MAX($A$8:A3040)+1)</f>
        <v>364</v>
      </c>
      <c r="B3041" s="835">
        <f>IF(C3041="","",COUNTA($C$10:C3042))</f>
        <v>364</v>
      </c>
      <c r="C3041" s="835">
        <f>IF(D3041="","",1776)</f>
        <v>1776</v>
      </c>
      <c r="D3041" s="851" t="s">
        <v>450</v>
      </c>
      <c r="E3041" s="855" t="s">
        <v>4031</v>
      </c>
      <c r="F3041" s="1049" t="str">
        <f>VLOOKUP(E3041,DICH!B:C,2,FALSE)</f>
        <v>Concrete C15 of foundation</v>
      </c>
      <c r="G3041" s="856" t="s">
        <v>545</v>
      </c>
      <c r="H3041" s="847"/>
      <c r="I3041" s="848"/>
      <c r="J3041" s="853"/>
      <c r="K3041" s="842">
        <f>+J3042</f>
        <v>848610.91186656663</v>
      </c>
      <c r="L3041" s="842">
        <f>+J3045</f>
        <v>306347.07999999996</v>
      </c>
      <c r="M3041" s="842">
        <f>+J3046</f>
        <v>23796.9734775</v>
      </c>
      <c r="N3041" s="843" t="e">
        <f>SUMIF(#REF!,'8.Dgia'!A3041,#REF!)+SUMIF(#REF!,'8.Dgia'!A3041,#REF!)+SUMIF(#REF!,'8.Dgia'!A3041,#REF!)+SUMIF(#REF!,'8.Dgia'!A3041,#REF!)</f>
        <v>#REF!</v>
      </c>
      <c r="O3041" s="844"/>
      <c r="P3041" s="843" t="e">
        <f t="shared" si="124"/>
        <v>#REF!</v>
      </c>
    </row>
    <row r="3042" spans="1:18" s="658" customFormat="1" ht="15" customHeight="1">
      <c r="A3042" s="657">
        <f>IF(B3042="",MAX($A$8:A3041)+0,MAX($A$8:A3041)+1)</f>
        <v>364</v>
      </c>
      <c r="B3042" s="835" t="str">
        <f>IF(C3042="","",COUNTA($C$10:C3043))</f>
        <v/>
      </c>
      <c r="C3042" s="362"/>
      <c r="D3042" s="845"/>
      <c r="E3042" s="852" t="s">
        <v>2032</v>
      </c>
      <c r="F3042" s="848" t="str">
        <f>VLOOKUP(E3042,DICH!B:C,2,FALSE)</f>
        <v xml:space="preserve">  A - Material</v>
      </c>
      <c r="G3042" s="846"/>
      <c r="H3042" s="847"/>
      <c r="I3042" s="848"/>
      <c r="J3042" s="849">
        <f>SUM(J3043:J3044)</f>
        <v>848610.91186656663</v>
      </c>
      <c r="K3042" s="850"/>
      <c r="L3042" s="850"/>
      <c r="M3042" s="850"/>
      <c r="N3042" s="843" t="e">
        <f>SUMIF(#REF!,'8.Dgia'!A3042,#REF!)+SUMIF(#REF!,'8.Dgia'!A3042,#REF!)+SUMIF(#REF!,'8.Dgia'!A3042,#REF!)+SUMIF(#REF!,'8.Dgia'!A3042,#REF!)</f>
        <v>#REF!</v>
      </c>
      <c r="O3042" s="844"/>
      <c r="P3042" s="843" t="e">
        <f t="shared" si="124"/>
        <v>#REF!</v>
      </c>
    </row>
    <row r="3043" spans="1:18" ht="15" customHeight="1">
      <c r="A3043" s="657">
        <f>IF(B3043="",MAX($A$8:A3042)+0,MAX($A$8:A3042)+1)</f>
        <v>364</v>
      </c>
      <c r="B3043" s="835" t="str">
        <f>IF(C3043="","",COUNTA($C$10:C3044))</f>
        <v/>
      </c>
      <c r="C3043" s="851"/>
      <c r="D3043" s="851" t="str">
        <f>+'10.PLV'!$C$12</f>
        <v>C3123</v>
      </c>
      <c r="E3043" s="852" t="str">
        <f>+'10.PLV'!$D$12</f>
        <v>Vữa bê tông đá 1x2 C15 SN 2-4</v>
      </c>
      <c r="F3043" s="848" t="str">
        <f>VLOOKUP(E3043,DICH!B:C,2,FALSE)</f>
        <v>Concrete motar C15 stone 1x2 slump 2-4</v>
      </c>
      <c r="G3043" s="362" t="s">
        <v>545</v>
      </c>
      <c r="H3043" s="847">
        <v>1.0249999999999999</v>
      </c>
      <c r="I3043" s="848">
        <f>VLOOKUP(E3043,'11.gia '!B:I,8,FALSE)</f>
        <v>819715.92549294059</v>
      </c>
      <c r="J3043" s="853">
        <f>I3043*H3043</f>
        <v>840208.82363026403</v>
      </c>
      <c r="N3043" s="843" t="e">
        <f>SUMIF(#REF!,'8.Dgia'!A3043,#REF!)+SUMIF(#REF!,'8.Dgia'!A3043,#REF!)+SUMIF(#REF!,'8.Dgia'!A3043,#REF!)+SUMIF(#REF!,'8.Dgia'!A3043,#REF!)</f>
        <v>#REF!</v>
      </c>
      <c r="O3043" s="844">
        <f>+$H$3044</f>
        <v>1</v>
      </c>
      <c r="P3043" s="843" t="e">
        <f t="shared" si="124"/>
        <v>#REF!</v>
      </c>
    </row>
    <row r="3044" spans="1:18" ht="15" customHeight="1">
      <c r="A3044" s="657">
        <f>IF(B3044="",MAX($A$8:A3043)+0,MAX($A$8:A3043)+1)</f>
        <v>364</v>
      </c>
      <c r="B3044" s="835" t="str">
        <f>IF(C3044="","",COUNTA($C$10:C3045))</f>
        <v/>
      </c>
      <c r="C3044" s="362"/>
      <c r="D3044" s="851"/>
      <c r="E3044" s="852" t="s">
        <v>555</v>
      </c>
      <c r="F3044" s="848" t="str">
        <f>VLOOKUP(E3044,DICH!B:C,2,FALSE)</f>
        <v>Other material</v>
      </c>
      <c r="G3044" s="362" t="s">
        <v>554</v>
      </c>
      <c r="H3044" s="847">
        <v>1</v>
      </c>
      <c r="I3044" s="848">
        <f>J3043</f>
        <v>840208.82363026403</v>
      </c>
      <c r="J3044" s="853">
        <f>I3044*H3044%</f>
        <v>8402.0882363026412</v>
      </c>
      <c r="N3044" s="843" t="e">
        <f>SUMIF(#REF!,'8.Dgia'!A3044,#REF!)+SUMIF(#REF!,'8.Dgia'!A3044,#REF!)+SUMIF(#REF!,'8.Dgia'!A3044,#REF!)+SUMIF(#REF!,'8.Dgia'!A3044,#REF!)</f>
        <v>#REF!</v>
      </c>
      <c r="O3044" s="844"/>
      <c r="P3044" s="843" t="e">
        <f t="shared" si="124"/>
        <v>#REF!</v>
      </c>
    </row>
    <row r="3045" spans="1:18" s="658" customFormat="1" ht="15" customHeight="1">
      <c r="A3045" s="657">
        <f>IF(B3045="",MAX($A$8:A3044)+0,MAX($A$8:A3044)+1)</f>
        <v>364</v>
      </c>
      <c r="B3045" s="835" t="str">
        <f>IF(C3045="","",COUNTA($C$10:C3046))</f>
        <v/>
      </c>
      <c r="C3045" s="362"/>
      <c r="D3045" s="845"/>
      <c r="E3045" s="852" t="s">
        <v>2038</v>
      </c>
      <c r="F3045" s="848" t="str">
        <f>VLOOKUP(E3045,DICH!B:C,2,FALSE)</f>
        <v xml:space="preserve">  B - Labour 3.0/7</v>
      </c>
      <c r="G3045" s="362" t="s">
        <v>4899</v>
      </c>
      <c r="H3045" s="847">
        <v>1.64</v>
      </c>
      <c r="I3045" s="848">
        <f>VLOOKUP(E3045,'16.NC'!$C$11:$F$22,4,FALSE)</f>
        <v>186797</v>
      </c>
      <c r="J3045" s="849">
        <f>I3045*H3045</f>
        <v>306347.07999999996</v>
      </c>
      <c r="K3045" s="850"/>
      <c r="L3045" s="850"/>
      <c r="M3045" s="850"/>
      <c r="N3045" s="843" t="e">
        <f>SUMIF(#REF!,'8.Dgia'!A3045,#REF!)+SUMIF(#REF!,'8.Dgia'!A3045,#REF!)+SUMIF(#REF!,'8.Dgia'!A3045,#REF!)+SUMIF(#REF!,'8.Dgia'!A3045,#REF!)</f>
        <v>#REF!</v>
      </c>
      <c r="O3045" s="844"/>
      <c r="P3045" s="843" t="e">
        <f t="shared" si="124"/>
        <v>#REF!</v>
      </c>
      <c r="R3045" s="658">
        <v>1</v>
      </c>
    </row>
    <row r="3046" spans="1:18" s="658" customFormat="1" ht="15" customHeight="1">
      <c r="A3046" s="657">
        <f>IF(B3046="",MAX($A$8:A3045)+0,MAX($A$8:A3045)+1)</f>
        <v>364</v>
      </c>
      <c r="B3046" s="835" t="str">
        <f>IF(C3046="","",COUNTA($C$10:C3047))</f>
        <v/>
      </c>
      <c r="C3046" s="362"/>
      <c r="D3046" s="845"/>
      <c r="E3046" s="852" t="s">
        <v>2033</v>
      </c>
      <c r="F3046" s="848" t="str">
        <f>VLOOKUP(E3046,DICH!B:C,2,FALSE)</f>
        <v xml:space="preserve">  C - Machine</v>
      </c>
      <c r="G3046" s="846"/>
      <c r="H3046" s="847"/>
      <c r="I3046" s="848"/>
      <c r="J3046" s="849">
        <f>SUM(J3047:J3048)</f>
        <v>23796.9734775</v>
      </c>
      <c r="K3046" s="850"/>
      <c r="L3046" s="850"/>
      <c r="M3046" s="850"/>
      <c r="N3046" s="843" t="e">
        <f>SUMIF(#REF!,'8.Dgia'!A3046,#REF!)+SUMIF(#REF!,'8.Dgia'!A3046,#REF!)+SUMIF(#REF!,'8.Dgia'!A3046,#REF!)+SUMIF(#REF!,'8.Dgia'!A3046,#REF!)</f>
        <v>#REF!</v>
      </c>
      <c r="O3046" s="844"/>
      <c r="P3046" s="843" t="e">
        <f t="shared" si="124"/>
        <v>#REF!</v>
      </c>
    </row>
    <row r="3047" spans="1:18" ht="15" customHeight="1">
      <c r="A3047" s="657">
        <f>IF(B3047="",MAX($A$8:A3046)+0,MAX($A$8:A3046)+1)</f>
        <v>364</v>
      </c>
      <c r="B3047" s="835" t="str">
        <f>IF(C3047="","",COUNTA($C$10:C3048))</f>
        <v/>
      </c>
      <c r="C3047" s="362"/>
      <c r="D3047" s="851"/>
      <c r="E3047" s="852" t="s">
        <v>582</v>
      </c>
      <c r="F3047" s="848" t="str">
        <f>VLOOKUP(E3047,'9.may'!E:F,2,FALSE)</f>
        <v>concrete mixer 250L</v>
      </c>
      <c r="G3047" s="362" t="s">
        <v>4902</v>
      </c>
      <c r="H3047" s="847">
        <v>9.5000000000000001E-2</v>
      </c>
      <c r="I3047" s="848">
        <f>VLOOKUP(E3047,'9.may'!E:W,12,FALSE)</f>
        <v>180447.90000000002</v>
      </c>
      <c r="J3047" s="853">
        <f>I3047*H3047</f>
        <v>17142.550500000001</v>
      </c>
      <c r="N3047" s="843" t="e">
        <f>SUMIF(#REF!,'8.Dgia'!A3047,#REF!)+SUMIF(#REF!,'8.Dgia'!A3047,#REF!)+SUMIF(#REF!,'8.Dgia'!A3047,#REF!)+SUMIF(#REF!,'8.Dgia'!A3047,#REF!)</f>
        <v>#REF!</v>
      </c>
      <c r="O3047" s="844"/>
      <c r="P3047" s="843" t="e">
        <f t="shared" si="124"/>
        <v>#REF!</v>
      </c>
    </row>
    <row r="3048" spans="1:18" ht="15" customHeight="1">
      <c r="A3048" s="657">
        <f>IF(B3048="",MAX($A$8:A3047)+0,MAX($A$8:A3047)+1)</f>
        <v>364</v>
      </c>
      <c r="B3048" s="835" t="str">
        <f>IF(C3048="","",COUNTA($C$10:C3049))</f>
        <v/>
      </c>
      <c r="C3048" s="362"/>
      <c r="D3048" s="851"/>
      <c r="E3048" s="852" t="s">
        <v>293</v>
      </c>
      <c r="F3048" s="848" t="str">
        <f>VLOOKUP(E3048,'9.may'!E:F,2,FALSE)</f>
        <v>concrete vibrating compactor 1.5Kw</v>
      </c>
      <c r="G3048" s="362" t="s">
        <v>4902</v>
      </c>
      <c r="H3048" s="847">
        <v>8.8999999999999996E-2</v>
      </c>
      <c r="I3048" s="848">
        <f>VLOOKUP(E3048,'9.may'!E:W,12,FALSE)</f>
        <v>74768.797500000001</v>
      </c>
      <c r="J3048" s="853">
        <f>I3048*H3048</f>
        <v>6654.4229774999994</v>
      </c>
      <c r="N3048" s="843" t="e">
        <f>SUMIF(#REF!,'8.Dgia'!A3048,#REF!)+SUMIF(#REF!,'8.Dgia'!A3048,#REF!)+SUMIF(#REF!,'8.Dgia'!A3048,#REF!)+SUMIF(#REF!,'8.Dgia'!A3048,#REF!)</f>
        <v>#REF!</v>
      </c>
      <c r="O3048" s="844"/>
      <c r="P3048" s="843" t="e">
        <f t="shared" si="124"/>
        <v>#REF!</v>
      </c>
    </row>
    <row r="3049" spans="1:18" ht="15" customHeight="1">
      <c r="A3049" s="657">
        <f>IF(B3049="",MAX($A$8:A3048)+0,MAX($A$8:A3048)+1)</f>
        <v>365</v>
      </c>
      <c r="B3049" s="835">
        <f>IF(C3049="","",COUNTA($C$10:C3050))</f>
        <v>365</v>
      </c>
      <c r="C3049" s="835">
        <f>IF(D3049="","",1776)</f>
        <v>1776</v>
      </c>
      <c r="D3049" s="851" t="s">
        <v>2121</v>
      </c>
      <c r="E3049" s="855" t="s">
        <v>4052</v>
      </c>
      <c r="F3049" s="1049" t="str">
        <f>VLOOKUP(E3049,DICH!B:C,2,FALSE)</f>
        <v>Reinforcement D6 of pole</v>
      </c>
      <c r="G3049" s="856" t="s">
        <v>4644</v>
      </c>
      <c r="H3049" s="847"/>
      <c r="I3049" s="848"/>
      <c r="J3049" s="857"/>
      <c r="K3049" s="842">
        <f>+J3050</f>
        <v>17205048.9978</v>
      </c>
      <c r="L3049" s="842">
        <f>+J3053</f>
        <v>2296397.84</v>
      </c>
      <c r="M3049" s="842">
        <f>+J3054</f>
        <v>32116.740000000005</v>
      </c>
      <c r="N3049" s="843" t="e">
        <f>SUMIF(#REF!,'8.Dgia'!A3049,#REF!)+SUMIF(#REF!,'8.Dgia'!A3049,#REF!)+SUMIF(#REF!,'8.Dgia'!A3049,#REF!)+SUMIF(#REF!,'8.Dgia'!A3049,#REF!)</f>
        <v>#REF!</v>
      </c>
      <c r="O3049" s="844"/>
      <c r="P3049" s="843" t="e">
        <f t="shared" si="124"/>
        <v>#REF!</v>
      </c>
    </row>
    <row r="3050" spans="1:18" s="658" customFormat="1" ht="15" customHeight="1">
      <c r="A3050" s="657">
        <f>IF(B3050="",MAX($A$8:A3049)+0,MAX($A$8:A3049)+1)</f>
        <v>365</v>
      </c>
      <c r="B3050" s="835" t="str">
        <f>IF(C3050="","",COUNTA($C$10:C3051))</f>
        <v/>
      </c>
      <c r="C3050" s="362"/>
      <c r="D3050" s="845"/>
      <c r="E3050" s="852" t="s">
        <v>2032</v>
      </c>
      <c r="F3050" s="848" t="str">
        <f>VLOOKUP(E3050,DICH!B:C,2,FALSE)</f>
        <v xml:space="preserve">  A - Material</v>
      </c>
      <c r="G3050" s="846"/>
      <c r="H3050" s="847"/>
      <c r="I3050" s="848"/>
      <c r="J3050" s="849">
        <f>SUM(J3051:J3052)</f>
        <v>17205048.9978</v>
      </c>
      <c r="K3050" s="850"/>
      <c r="L3050" s="850"/>
      <c r="M3050" s="850"/>
      <c r="N3050" s="843" t="e">
        <f>SUMIF(#REF!,'8.Dgia'!A3050,#REF!)+SUMIF(#REF!,'8.Dgia'!A3050,#REF!)+SUMIF(#REF!,'8.Dgia'!A3050,#REF!)+SUMIF(#REF!,'8.Dgia'!A3050,#REF!)</f>
        <v>#REF!</v>
      </c>
      <c r="O3050" s="844"/>
      <c r="P3050" s="843" t="e">
        <f t="shared" si="124"/>
        <v>#REF!</v>
      </c>
    </row>
    <row r="3051" spans="1:18" ht="15" customHeight="1">
      <c r="A3051" s="657">
        <f>IF(B3051="",MAX($A$8:A3050)+0,MAX($A$8:A3050)+1)</f>
        <v>365</v>
      </c>
      <c r="B3051" s="835" t="str">
        <f>IF(C3051="","",COUNTA($C$10:C3052))</f>
        <v/>
      </c>
      <c r="C3051" s="362"/>
      <c r="D3051" s="851"/>
      <c r="E3051" s="852" t="s">
        <v>371</v>
      </c>
      <c r="F3051" s="848" t="str">
        <f>VLOOKUP(E3051,DICH!B:C,2,FALSE)</f>
        <v>steel bar D&lt;=10</v>
      </c>
      <c r="G3051" s="362" t="s">
        <v>558</v>
      </c>
      <c r="H3051" s="847">
        <v>1005</v>
      </c>
      <c r="I3051" s="848">
        <f>VLOOKUP(E3051,'11.gia '!$B:$I,8,FALSE)</f>
        <v>16754.075560000001</v>
      </c>
      <c r="J3051" s="853">
        <f>I3051*H3051</f>
        <v>16837845.937800001</v>
      </c>
      <c r="N3051" s="843" t="e">
        <f>SUMIF(#REF!,'8.Dgia'!A3051,#REF!)+SUMIF(#REF!,'8.Dgia'!A3051,#REF!)+SUMIF(#REF!,'8.Dgia'!A3051,#REF!)+SUMIF(#REF!,'8.Dgia'!A3051,#REF!)</f>
        <v>#REF!</v>
      </c>
      <c r="O3051" s="844"/>
      <c r="P3051" s="843" t="e">
        <f t="shared" si="124"/>
        <v>#REF!</v>
      </c>
    </row>
    <row r="3052" spans="1:18" ht="15" customHeight="1">
      <c r="A3052" s="657">
        <f>IF(B3052="",MAX($A$8:A3051)+0,MAX($A$8:A3051)+1)</f>
        <v>365</v>
      </c>
      <c r="B3052" s="835" t="str">
        <f>IF(C3052="","",COUNTA($C$10:C3053))</f>
        <v/>
      </c>
      <c r="C3052" s="362"/>
      <c r="D3052" s="851"/>
      <c r="E3052" s="852" t="s">
        <v>459</v>
      </c>
      <c r="F3052" s="848" t="str">
        <f>VLOOKUP(E3052,DICH!B:C,2,FALSE)</f>
        <v>Steel ware</v>
      </c>
      <c r="G3052" s="362" t="s">
        <v>558</v>
      </c>
      <c r="H3052" s="847">
        <v>21.42</v>
      </c>
      <c r="I3052" s="848">
        <f>VLOOKUP(E3052,'11.gia '!$B:$I,8,FALSE)</f>
        <v>17143</v>
      </c>
      <c r="J3052" s="853">
        <f>I3052*H3052</f>
        <v>367203.06000000006</v>
      </c>
      <c r="N3052" s="843" t="e">
        <f>SUMIF(#REF!,'8.Dgia'!A3052,#REF!)+SUMIF(#REF!,'8.Dgia'!A3052,#REF!)+SUMIF(#REF!,'8.Dgia'!A3052,#REF!)+SUMIF(#REF!,'8.Dgia'!A3052,#REF!)</f>
        <v>#REF!</v>
      </c>
      <c r="O3052" s="844"/>
      <c r="P3052" s="843" t="e">
        <f t="shared" ref="P3052:P3115" si="125">$H3052*N3052*(1+O3052%)</f>
        <v>#REF!</v>
      </c>
    </row>
    <row r="3053" spans="1:18" s="658" customFormat="1" ht="15" customHeight="1">
      <c r="A3053" s="657">
        <f>IF(B3053="",MAX($A$8:A3052)+0,MAX($A$8:A3052)+1)</f>
        <v>365</v>
      </c>
      <c r="B3053" s="835" t="str">
        <f>IF(C3053="","",COUNTA($C$10:C3054))</f>
        <v/>
      </c>
      <c r="C3053" s="362"/>
      <c r="D3053" s="845"/>
      <c r="E3053" s="852" t="s">
        <v>2037</v>
      </c>
      <c r="F3053" s="848" t="str">
        <f>VLOOKUP(E3053,DICH!B:C,2,FALSE)</f>
        <v xml:space="preserve">  B - Labour 3.5/7</v>
      </c>
      <c r="G3053" s="362" t="s">
        <v>4899</v>
      </c>
      <c r="H3053" s="847">
        <v>11.32</v>
      </c>
      <c r="I3053" s="848">
        <f>VLOOKUP(E3053,'16.NC'!$C$11:$F$22,4,FALSE)</f>
        <v>202862</v>
      </c>
      <c r="J3053" s="849">
        <f>I3053*H3053</f>
        <v>2296397.84</v>
      </c>
      <c r="K3053" s="850"/>
      <c r="L3053" s="850"/>
      <c r="M3053" s="850"/>
      <c r="N3053" s="843" t="e">
        <f>SUMIF(#REF!,'8.Dgia'!A3053,#REF!)+SUMIF(#REF!,'8.Dgia'!A3053,#REF!)+SUMIF(#REF!,'8.Dgia'!A3053,#REF!)+SUMIF(#REF!,'8.Dgia'!A3053,#REF!)</f>
        <v>#REF!</v>
      </c>
      <c r="O3053" s="844"/>
      <c r="P3053" s="843" t="e">
        <f t="shared" si="125"/>
        <v>#REF!</v>
      </c>
      <c r="R3053" s="658">
        <v>1</v>
      </c>
    </row>
    <row r="3054" spans="1:18" s="658" customFormat="1" ht="15" customHeight="1">
      <c r="A3054" s="657">
        <f>IF(B3054="",MAX($A$8:A3053)+0,MAX($A$8:A3053)+1)</f>
        <v>365</v>
      </c>
      <c r="B3054" s="835" t="str">
        <f>IF(C3054="","",COUNTA($C$10:C3055))</f>
        <v/>
      </c>
      <c r="C3054" s="362"/>
      <c r="D3054" s="845"/>
      <c r="E3054" s="852" t="s">
        <v>2033</v>
      </c>
      <c r="F3054" s="848" t="str">
        <f>VLOOKUP(E3054,DICH!B:C,2,FALSE)</f>
        <v xml:space="preserve">  C - Machine</v>
      </c>
      <c r="G3054" s="846"/>
      <c r="H3054" s="847"/>
      <c r="I3054" s="848"/>
      <c r="J3054" s="849">
        <f>SUM(J3055:J3055)</f>
        <v>32116.740000000005</v>
      </c>
      <c r="K3054" s="850"/>
      <c r="L3054" s="850"/>
      <c r="M3054" s="850"/>
      <c r="N3054" s="843" t="e">
        <f>SUMIF(#REF!,'8.Dgia'!A3054,#REF!)+SUMIF(#REF!,'8.Dgia'!A3054,#REF!)+SUMIF(#REF!,'8.Dgia'!A3054,#REF!)+SUMIF(#REF!,'8.Dgia'!A3054,#REF!)</f>
        <v>#REF!</v>
      </c>
      <c r="O3054" s="844"/>
      <c r="P3054" s="843" t="e">
        <f t="shared" si="125"/>
        <v>#REF!</v>
      </c>
    </row>
    <row r="3055" spans="1:18" ht="15" customHeight="1">
      <c r="A3055" s="657">
        <f>IF(B3055="",MAX($A$8:A3054)+0,MAX($A$8:A3054)+1)</f>
        <v>365</v>
      </c>
      <c r="B3055" s="835" t="str">
        <f>IF(C3055="","",COUNTA($C$10:C3056))</f>
        <v/>
      </c>
      <c r="C3055" s="362"/>
      <c r="D3055" s="851"/>
      <c r="E3055" s="852" t="s">
        <v>1424</v>
      </c>
      <c r="F3055" s="848" t="str">
        <f>VLOOKUP(E3055,'9.may'!E:F,2,FALSE)</f>
        <v>bender cutter 5Kw</v>
      </c>
      <c r="G3055" s="362" t="s">
        <v>4902</v>
      </c>
      <c r="H3055" s="847">
        <v>0.4</v>
      </c>
      <c r="I3055" s="848">
        <f>VLOOKUP(E3055,'9.may'!E:W,12,FALSE)</f>
        <v>80291.850000000006</v>
      </c>
      <c r="J3055" s="853">
        <f>I3055*H3055</f>
        <v>32116.740000000005</v>
      </c>
      <c r="N3055" s="843" t="e">
        <f>SUMIF(#REF!,'8.Dgia'!A3055,#REF!)+SUMIF(#REF!,'8.Dgia'!A3055,#REF!)+SUMIF(#REF!,'8.Dgia'!A3055,#REF!)+SUMIF(#REF!,'8.Dgia'!A3055,#REF!)</f>
        <v>#REF!</v>
      </c>
      <c r="O3055" s="844"/>
      <c r="P3055" s="843" t="e">
        <f t="shared" si="125"/>
        <v>#REF!</v>
      </c>
    </row>
    <row r="3056" spans="1:18" ht="15" customHeight="1">
      <c r="A3056" s="657">
        <f>IF(B3056="",MAX($A$8:A3055)+0,MAX($A$8:A3055)+1)</f>
        <v>366</v>
      </c>
      <c r="B3056" s="835">
        <f>IF(C3056="","",COUNTA($C$10:C3057))</f>
        <v>366</v>
      </c>
      <c r="C3056" s="835">
        <f>IF(D3056="","",1776)</f>
        <v>1776</v>
      </c>
      <c r="D3056" s="851" t="s">
        <v>2122</v>
      </c>
      <c r="E3056" s="855" t="s">
        <v>2123</v>
      </c>
      <c r="F3056" s="1049" t="str">
        <f>VLOOKUP(E3056,DICH!B:C,2,FALSE)</f>
        <v>Marking post</v>
      </c>
      <c r="G3056" s="856" t="s">
        <v>548</v>
      </c>
      <c r="H3056" s="847"/>
      <c r="I3056" s="848"/>
      <c r="J3056" s="857"/>
      <c r="K3056" s="842">
        <f>+J3057</f>
        <v>51272</v>
      </c>
      <c r="L3056" s="842">
        <f>+J3060</f>
        <v>28460.510000000002</v>
      </c>
      <c r="M3056" s="842">
        <f>+J3061</f>
        <v>0</v>
      </c>
      <c r="N3056" s="843" t="e">
        <f>SUMIF(#REF!,'8.Dgia'!A3056,#REF!)+SUMIF(#REF!,'8.Dgia'!A3056,#REF!)+SUMIF(#REF!,'8.Dgia'!A3056,#REF!)+SUMIF(#REF!,'8.Dgia'!A3056,#REF!)</f>
        <v>#REF!</v>
      </c>
      <c r="O3056" s="844"/>
      <c r="P3056" s="843" t="e">
        <f t="shared" si="125"/>
        <v>#REF!</v>
      </c>
    </row>
    <row r="3057" spans="1:18" s="658" customFormat="1" ht="15" customHeight="1">
      <c r="A3057" s="657">
        <f>IF(B3057="",MAX($A$8:A3056)+0,MAX($A$8:A3056)+1)</f>
        <v>366</v>
      </c>
      <c r="B3057" s="835" t="str">
        <f>IF(C3057="","",COUNTA($C$10:C3058))</f>
        <v/>
      </c>
      <c r="C3057" s="362"/>
      <c r="D3057" s="845"/>
      <c r="E3057" s="852" t="s">
        <v>2032</v>
      </c>
      <c r="F3057" s="848" t="str">
        <f>VLOOKUP(E3057,DICH!B:C,2,FALSE)</f>
        <v xml:space="preserve">  A - Material</v>
      </c>
      <c r="G3057" s="846"/>
      <c r="H3057" s="847"/>
      <c r="I3057" s="848"/>
      <c r="J3057" s="849">
        <f>SUM(J3058:J3059)</f>
        <v>51272</v>
      </c>
      <c r="K3057" s="850"/>
      <c r="L3057" s="850"/>
      <c r="M3057" s="850"/>
      <c r="N3057" s="843" t="e">
        <f>SUMIF(#REF!,'8.Dgia'!A3057,#REF!)+SUMIF(#REF!,'8.Dgia'!A3057,#REF!)+SUMIF(#REF!,'8.Dgia'!A3057,#REF!)+SUMIF(#REF!,'8.Dgia'!A3057,#REF!)</f>
        <v>#REF!</v>
      </c>
      <c r="O3057" s="844"/>
      <c r="P3057" s="843" t="e">
        <f t="shared" si="125"/>
        <v>#REF!</v>
      </c>
    </row>
    <row r="3058" spans="1:18" ht="15" customHeight="1">
      <c r="A3058" s="657">
        <f>IF(B3058="",MAX($A$8:A3057)+0,MAX($A$8:A3057)+1)</f>
        <v>366</v>
      </c>
      <c r="B3058" s="835" t="str">
        <f>IF(C3058="","",COUNTA($C$10:C3059))</f>
        <v/>
      </c>
      <c r="C3058" s="362"/>
      <c r="D3058" s="851"/>
      <c r="E3058" s="852" t="s">
        <v>126</v>
      </c>
      <c r="F3058" s="848" t="str">
        <f>VLOOKUP(E3058,DICH!B:C,2,FALSE)</f>
        <v>Paint</v>
      </c>
      <c r="G3058" s="362" t="s">
        <v>558</v>
      </c>
      <c r="H3058" s="847">
        <v>0.57999999999999996</v>
      </c>
      <c r="I3058" s="848">
        <f>VLOOKUP(E3058,'11.gia '!$B:$I,8,FALSE)</f>
        <v>86666.666666666672</v>
      </c>
      <c r="J3058" s="853">
        <f>I3058*H3058</f>
        <v>50266.666666666664</v>
      </c>
      <c r="N3058" s="843" t="e">
        <f>SUMIF(#REF!,'8.Dgia'!A3058,#REF!)+SUMIF(#REF!,'8.Dgia'!A3058,#REF!)+SUMIF(#REF!,'8.Dgia'!A3058,#REF!)+SUMIF(#REF!,'8.Dgia'!A3058,#REF!)</f>
        <v>#REF!</v>
      </c>
      <c r="O3058" s="844">
        <f>+$H$3059</f>
        <v>2</v>
      </c>
      <c r="P3058" s="843" t="e">
        <f t="shared" si="125"/>
        <v>#REF!</v>
      </c>
    </row>
    <row r="3059" spans="1:18" ht="15" customHeight="1">
      <c r="A3059" s="657">
        <f>IF(B3059="",MAX($A$8:A3058)+0,MAX($A$8:A3058)+1)</f>
        <v>366</v>
      </c>
      <c r="B3059" s="835" t="str">
        <f>IF(C3059="","",COUNTA($C$10:C3060))</f>
        <v/>
      </c>
      <c r="C3059" s="362"/>
      <c r="D3059" s="851"/>
      <c r="E3059" s="852" t="s">
        <v>555</v>
      </c>
      <c r="F3059" s="848" t="str">
        <f>VLOOKUP(E3059,DICH!B:C,2,FALSE)</f>
        <v>Other material</v>
      </c>
      <c r="G3059" s="362" t="s">
        <v>554</v>
      </c>
      <c r="H3059" s="847">
        <v>2</v>
      </c>
      <c r="I3059" s="848">
        <f>+J3058</f>
        <v>50266.666666666664</v>
      </c>
      <c r="J3059" s="853">
        <f>I3059*H3059%</f>
        <v>1005.3333333333333</v>
      </c>
      <c r="N3059" s="843" t="e">
        <f>SUMIF(#REF!,'8.Dgia'!A3059,#REF!)+SUMIF(#REF!,'8.Dgia'!A3059,#REF!)+SUMIF(#REF!,'8.Dgia'!A3059,#REF!)+SUMIF(#REF!,'8.Dgia'!A3059,#REF!)</f>
        <v>#REF!</v>
      </c>
      <c r="O3059" s="844"/>
      <c r="P3059" s="843" t="e">
        <f t="shared" si="125"/>
        <v>#REF!</v>
      </c>
    </row>
    <row r="3060" spans="1:18" s="658" customFormat="1" ht="15" customHeight="1">
      <c r="A3060" s="657">
        <f>IF(B3060="",MAX($A$8:A3059)+0,MAX($A$8:A3059)+1)</f>
        <v>366</v>
      </c>
      <c r="B3060" s="835" t="str">
        <f>IF(C3060="","",COUNTA($C$10:C3061))</f>
        <v/>
      </c>
      <c r="C3060" s="362"/>
      <c r="D3060" s="845"/>
      <c r="E3060" s="852" t="s">
        <v>2039</v>
      </c>
      <c r="F3060" s="848" t="str">
        <f>VLOOKUP(E3060,DICH!B:C,2,FALSE)</f>
        <v xml:space="preserve">  B - Labour 4.0/7</v>
      </c>
      <c r="G3060" s="362" t="s">
        <v>4899</v>
      </c>
      <c r="H3060" s="847">
        <v>0.13</v>
      </c>
      <c r="I3060" s="848">
        <f>VLOOKUP(E3060,'16.NC'!$C$11:$F$22,4,FALSE)</f>
        <v>218927</v>
      </c>
      <c r="J3060" s="849">
        <f>I3060*H3060</f>
        <v>28460.510000000002</v>
      </c>
      <c r="K3060" s="850"/>
      <c r="L3060" s="850"/>
      <c r="M3060" s="850"/>
      <c r="N3060" s="843" t="e">
        <f>SUMIF(#REF!,'8.Dgia'!A3060,#REF!)+SUMIF(#REF!,'8.Dgia'!A3060,#REF!)+SUMIF(#REF!,'8.Dgia'!A3060,#REF!)+SUMIF(#REF!,'8.Dgia'!A3060,#REF!)</f>
        <v>#REF!</v>
      </c>
      <c r="O3060" s="844"/>
      <c r="P3060" s="843" t="e">
        <f t="shared" si="125"/>
        <v>#REF!</v>
      </c>
      <c r="R3060" s="658">
        <v>1</v>
      </c>
    </row>
    <row r="3061" spans="1:18" ht="15" customHeight="1">
      <c r="A3061" s="657">
        <f>IF(B3061="",MAX($A$8:A3060)+0,MAX($A$8:A3060)+1)</f>
        <v>367</v>
      </c>
      <c r="B3061" s="835">
        <f>IF(C3061="","",COUNTA($C$10:C3062))</f>
        <v>367</v>
      </c>
      <c r="C3061" s="835">
        <v>0</v>
      </c>
      <c r="D3061" s="240" t="s">
        <v>71</v>
      </c>
      <c r="E3061" s="870" t="s">
        <v>3958</v>
      </c>
      <c r="F3061" s="848" t="str">
        <f>VLOOKUP(E3061,DICH!B:C,2,FALSE)</f>
        <v>Pole L=1.3m</v>
      </c>
      <c r="G3061" s="315" t="s">
        <v>45</v>
      </c>
      <c r="H3061" s="169"/>
      <c r="I3061" s="848"/>
      <c r="J3061" s="853"/>
      <c r="K3061" s="842">
        <f>+J3062</f>
        <v>930800</v>
      </c>
      <c r="N3061" s="843" t="e">
        <f>SUMIF(#REF!,'8.Dgia'!A3061,#REF!)+SUMIF(#REF!,'8.Dgia'!A3061,#REF!)+SUMIF(#REF!,'8.Dgia'!A3061,#REF!)+SUMIF(#REF!,'8.Dgia'!A3061,#REF!)</f>
        <v>#REF!</v>
      </c>
      <c r="O3061" s="844"/>
      <c r="P3061" s="843" t="e">
        <f t="shared" si="125"/>
        <v>#REF!</v>
      </c>
    </row>
    <row r="3062" spans="1:18" ht="15" customHeight="1">
      <c r="A3062" s="657">
        <f>IF(B3062="",MAX($A$8:A3061)+0,MAX($A$8:A3061)+1)</f>
        <v>367</v>
      </c>
      <c r="B3062" s="835" t="str">
        <f>IF(C3062="","",COUNTA($C$10:C3063))</f>
        <v/>
      </c>
      <c r="C3062" s="362"/>
      <c r="D3062" s="239"/>
      <c r="E3062" s="819" t="s">
        <v>2032</v>
      </c>
      <c r="F3062" s="848" t="str">
        <f>VLOOKUP(E3062,DICH!B:C,2,FALSE)</f>
        <v xml:space="preserve">  A - Material</v>
      </c>
      <c r="G3062" s="949"/>
      <c r="H3062" s="873"/>
      <c r="I3062" s="848"/>
      <c r="J3062" s="849">
        <f>SUM(J3063:J3063)</f>
        <v>930800</v>
      </c>
      <c r="N3062" s="843" t="e">
        <f>SUMIF(#REF!,'8.Dgia'!A3062,#REF!)+SUMIF(#REF!,'8.Dgia'!A3062,#REF!)+SUMIF(#REF!,'8.Dgia'!A3062,#REF!)+SUMIF(#REF!,'8.Dgia'!A3062,#REF!)</f>
        <v>#REF!</v>
      </c>
      <c r="O3062" s="844"/>
      <c r="P3062" s="843" t="e">
        <f t="shared" si="125"/>
        <v>#REF!</v>
      </c>
    </row>
    <row r="3063" spans="1:18" ht="15" customHeight="1">
      <c r="A3063" s="657">
        <f>IF(B3063="",MAX($A$8:A3062)+0,MAX($A$8:A3062)+1)</f>
        <v>367</v>
      </c>
      <c r="B3063" s="835" t="str">
        <f>IF(C3063="","",COUNTA($C$10:C3064))</f>
        <v/>
      </c>
      <c r="C3063" s="362"/>
      <c r="D3063" s="239"/>
      <c r="E3063" s="661" t="s">
        <v>3959</v>
      </c>
      <c r="F3063" s="848" t="str">
        <f>VLOOKUP(E3063,DICH!B:C,2,FALSE)</f>
        <v>Column of corrugated sheet iron, L=1.3m</v>
      </c>
      <c r="G3063" s="704" t="s">
        <v>45</v>
      </c>
      <c r="H3063" s="239">
        <v>1</v>
      </c>
      <c r="I3063" s="848">
        <f>VLOOKUP(E3063,'11.gia '!$B:$I,8,FALSE)</f>
        <v>930800</v>
      </c>
      <c r="J3063" s="853">
        <f>I3063*H3063</f>
        <v>930800</v>
      </c>
      <c r="N3063" s="843" t="e">
        <f>SUMIF(#REF!,'8.Dgia'!A3063,#REF!)+SUMIF(#REF!,'8.Dgia'!A3063,#REF!)+SUMIF(#REF!,'8.Dgia'!A3063,#REF!)+SUMIF(#REF!,'8.Dgia'!A3063,#REF!)</f>
        <v>#REF!</v>
      </c>
      <c r="O3063" s="844"/>
      <c r="P3063" s="843" t="e">
        <f t="shared" si="125"/>
        <v>#REF!</v>
      </c>
    </row>
    <row r="3064" spans="1:18" ht="15" customHeight="1">
      <c r="A3064" s="657">
        <f>IF(B3064="",MAX($A$8:A3063)+0,MAX($A$8:A3063)+1)</f>
        <v>368</v>
      </c>
      <c r="B3064" s="835">
        <f>IF(C3064="","",COUNTA($C$10:C3065))</f>
        <v>368</v>
      </c>
      <c r="C3064" s="835">
        <v>0</v>
      </c>
      <c r="D3064" s="240" t="s">
        <v>71</v>
      </c>
      <c r="E3064" s="870" t="s">
        <v>2125</v>
      </c>
      <c r="F3064" s="848" t="str">
        <f>VLOOKUP(E3064,DICH!B:C,2,FALSE)</f>
        <v>Supply end of corrugated sheet iron</v>
      </c>
      <c r="G3064" s="315" t="s">
        <v>4649</v>
      </c>
      <c r="H3064" s="169"/>
      <c r="I3064" s="848"/>
      <c r="J3064" s="853"/>
      <c r="K3064" s="842">
        <f>+J3065</f>
        <v>222000</v>
      </c>
      <c r="N3064" s="843" t="e">
        <f>SUMIF(#REF!,'8.Dgia'!A3064,#REF!)+SUMIF(#REF!,'8.Dgia'!A3064,#REF!)+SUMIF(#REF!,'8.Dgia'!A3064,#REF!)+SUMIF(#REF!,'8.Dgia'!A3064,#REF!)</f>
        <v>#REF!</v>
      </c>
      <c r="O3064" s="844"/>
      <c r="P3064" s="843" t="e">
        <f t="shared" si="125"/>
        <v>#REF!</v>
      </c>
    </row>
    <row r="3065" spans="1:18" ht="15" customHeight="1">
      <c r="A3065" s="657">
        <f>IF(B3065="",MAX($A$8:A3064)+0,MAX($A$8:A3064)+1)</f>
        <v>368</v>
      </c>
      <c r="B3065" s="835" t="str">
        <f>IF(C3065="","",COUNTA($C$10:C3066))</f>
        <v/>
      </c>
      <c r="C3065" s="362"/>
      <c r="D3065" s="239"/>
      <c r="E3065" s="819" t="s">
        <v>2032</v>
      </c>
      <c r="F3065" s="848" t="str">
        <f>VLOOKUP(E3065,DICH!B:C,2,FALSE)</f>
        <v xml:space="preserve">  A - Material</v>
      </c>
      <c r="G3065" s="949"/>
      <c r="H3065" s="873"/>
      <c r="I3065" s="848"/>
      <c r="J3065" s="849">
        <f>SUM(J3066:J3066)</f>
        <v>222000</v>
      </c>
      <c r="N3065" s="843" t="e">
        <f>SUMIF(#REF!,'8.Dgia'!A3065,#REF!)+SUMIF(#REF!,'8.Dgia'!A3065,#REF!)+SUMIF(#REF!,'8.Dgia'!A3065,#REF!)+SUMIF(#REF!,'8.Dgia'!A3065,#REF!)</f>
        <v>#REF!</v>
      </c>
      <c r="O3065" s="844"/>
      <c r="P3065" s="843" t="e">
        <f t="shared" si="125"/>
        <v>#REF!</v>
      </c>
    </row>
    <row r="3066" spans="1:18" ht="15" customHeight="1">
      <c r="A3066" s="657">
        <f>IF(B3066="",MAX($A$8:A3065)+0,MAX($A$8:A3065)+1)</f>
        <v>368</v>
      </c>
      <c r="B3066" s="835" t="str">
        <f>IF(C3066="","",COUNTA($C$10:C3067))</f>
        <v/>
      </c>
      <c r="C3066" s="362"/>
      <c r="D3066" s="239"/>
      <c r="E3066" s="661" t="s">
        <v>3455</v>
      </c>
      <c r="F3066" s="848" t="str">
        <f>VLOOKUP(E3066,DICH!B:C,2,FALSE)</f>
        <v>End of corrugated sheet iron 0.7m</v>
      </c>
      <c r="G3066" s="704" t="s">
        <v>4649</v>
      </c>
      <c r="H3066" s="239">
        <v>1</v>
      </c>
      <c r="I3066" s="848">
        <f>VLOOKUP(E3066,'11.gia '!$B:$I,8,FALSE)</f>
        <v>222000</v>
      </c>
      <c r="J3066" s="853">
        <f>I3066*H3066</f>
        <v>222000</v>
      </c>
      <c r="N3066" s="843" t="e">
        <f>SUMIF(#REF!,'8.Dgia'!A3066,#REF!)+SUMIF(#REF!,'8.Dgia'!A3066,#REF!)+SUMIF(#REF!,'8.Dgia'!A3066,#REF!)+SUMIF(#REF!,'8.Dgia'!A3066,#REF!)</f>
        <v>#REF!</v>
      </c>
      <c r="O3066" s="844"/>
      <c r="P3066" s="843" t="e">
        <f t="shared" si="125"/>
        <v>#REF!</v>
      </c>
    </row>
    <row r="3067" spans="1:18" ht="15" customHeight="1">
      <c r="A3067" s="657">
        <f>IF(B3067="",MAX($A$8:A3066)+0,MAX($A$8:A3066)+1)</f>
        <v>369</v>
      </c>
      <c r="B3067" s="835">
        <f>IF(C3067="","",COUNTA($C$10:C3068))</f>
        <v>369</v>
      </c>
      <c r="C3067" s="835">
        <v>0</v>
      </c>
      <c r="D3067" s="240" t="s">
        <v>306</v>
      </c>
      <c r="E3067" s="870" t="s">
        <v>2173</v>
      </c>
      <c r="F3067" s="848" t="str">
        <f>VLOOKUP(E3067,DICH!B:C,2,FALSE)</f>
        <v>reflected light plate steel 40x180x5</v>
      </c>
      <c r="G3067" s="315" t="s">
        <v>4649</v>
      </c>
      <c r="H3067" s="169"/>
      <c r="I3067" s="848"/>
      <c r="J3067" s="853"/>
      <c r="K3067" s="842">
        <f>+J3068</f>
        <v>30000</v>
      </c>
      <c r="N3067" s="843" t="e">
        <f>SUMIF(#REF!,'8.Dgia'!A3067,#REF!)+SUMIF(#REF!,'8.Dgia'!A3067,#REF!)+SUMIF(#REF!,'8.Dgia'!A3067,#REF!)+SUMIF(#REF!,'8.Dgia'!A3067,#REF!)</f>
        <v>#REF!</v>
      </c>
      <c r="O3067" s="844"/>
      <c r="P3067" s="843" t="e">
        <f t="shared" si="125"/>
        <v>#REF!</v>
      </c>
    </row>
    <row r="3068" spans="1:18" ht="15" customHeight="1">
      <c r="A3068" s="657">
        <f>IF(B3068="",MAX($A$8:A3067)+0,MAX($A$8:A3067)+1)</f>
        <v>369</v>
      </c>
      <c r="B3068" s="835" t="str">
        <f>IF(C3068="","",COUNTA($C$10:C3069))</f>
        <v/>
      </c>
      <c r="C3068" s="362"/>
      <c r="D3068" s="239"/>
      <c r="E3068" s="819" t="s">
        <v>2032</v>
      </c>
      <c r="F3068" s="848" t="str">
        <f>VLOOKUP(E3068,DICH!B:C,2,FALSE)</f>
        <v xml:space="preserve">  A - Material</v>
      </c>
      <c r="G3068" s="949"/>
      <c r="H3068" s="873"/>
      <c r="I3068" s="848"/>
      <c r="J3068" s="849">
        <f>SUM(J3069:J3069)</f>
        <v>30000</v>
      </c>
      <c r="N3068" s="843" t="e">
        <f>SUMIF(#REF!,'8.Dgia'!A3068,#REF!)+SUMIF(#REF!,'8.Dgia'!A3068,#REF!)+SUMIF(#REF!,'8.Dgia'!A3068,#REF!)+SUMIF(#REF!,'8.Dgia'!A3068,#REF!)</f>
        <v>#REF!</v>
      </c>
      <c r="O3068" s="844"/>
      <c r="P3068" s="843" t="e">
        <f t="shared" si="125"/>
        <v>#REF!</v>
      </c>
    </row>
    <row r="3069" spans="1:18" ht="15" customHeight="1">
      <c r="A3069" s="657">
        <f>IF(B3069="",MAX($A$8:A3068)+0,MAX($A$8:A3068)+1)</f>
        <v>369</v>
      </c>
      <c r="B3069" s="835" t="str">
        <f>IF(C3069="","",COUNTA($C$10:C3070))</f>
        <v/>
      </c>
      <c r="C3069" s="362"/>
      <c r="D3069" s="239"/>
      <c r="E3069" s="661" t="s">
        <v>2173</v>
      </c>
      <c r="F3069" s="848" t="str">
        <f>VLOOKUP(E3069,DICH!B:C,2,FALSE)</f>
        <v>reflected light plate steel 40x180x5</v>
      </c>
      <c r="G3069" s="704" t="s">
        <v>4649</v>
      </c>
      <c r="H3069" s="239">
        <v>1</v>
      </c>
      <c r="I3069" s="848">
        <f>VLOOKUP(E3069,'11.gia '!$B:$I,8,FALSE)</f>
        <v>30000</v>
      </c>
      <c r="J3069" s="853">
        <f>I3069*H3069</f>
        <v>30000</v>
      </c>
      <c r="N3069" s="843" t="e">
        <f>SUMIF(#REF!,'8.Dgia'!A3069,#REF!)+SUMIF(#REF!,'8.Dgia'!A3069,#REF!)+SUMIF(#REF!,'8.Dgia'!A3069,#REF!)+SUMIF(#REF!,'8.Dgia'!A3069,#REF!)</f>
        <v>#REF!</v>
      </c>
      <c r="O3069" s="844"/>
      <c r="P3069" s="843" t="e">
        <f t="shared" si="125"/>
        <v>#REF!</v>
      </c>
    </row>
    <row r="3070" spans="1:18" ht="26.25" customHeight="1">
      <c r="A3070" s="657">
        <f>IF(B3070="",MAX($A$8:A3069)+0,MAX($A$8:A3069)+1)</f>
        <v>370</v>
      </c>
      <c r="B3070" s="835">
        <f>IF(C3070="","",COUNTA($C$10:C3071))</f>
        <v>370</v>
      </c>
      <c r="C3070" s="835">
        <f>IF(D3070="","",1776)</f>
        <v>1776</v>
      </c>
      <c r="D3070" s="851" t="s">
        <v>2128</v>
      </c>
      <c r="E3070" s="855" t="s">
        <v>3476</v>
      </c>
      <c r="F3070" s="1049" t="str">
        <f>VLOOKUP(E3070,DICH!B:C,2,FALSE)</f>
        <v>Product plate steel of marked post, amor=2%*8months</v>
      </c>
      <c r="G3070" s="856" t="s">
        <v>4644</v>
      </c>
      <c r="H3070" s="847">
        <f>2%*8</f>
        <v>0.16</v>
      </c>
      <c r="I3070" s="848"/>
      <c r="J3070" s="853"/>
      <c r="K3070" s="842">
        <f>+J3071</f>
        <v>3005881.1223410903</v>
      </c>
      <c r="L3070" s="842">
        <f>+J3079</f>
        <v>6641470</v>
      </c>
      <c r="M3070" s="842">
        <f>+J3080</f>
        <v>667446.47363250004</v>
      </c>
      <c r="N3070" s="843" t="e">
        <f>SUMIF(#REF!,'8.Dgia'!A3070,#REF!)+SUMIF(#REF!,'8.Dgia'!A3070,#REF!)+SUMIF(#REF!,'8.Dgia'!A3070,#REF!)+SUMIF(#REF!,'8.Dgia'!A3070,#REF!)</f>
        <v>#REF!</v>
      </c>
      <c r="O3070" s="844"/>
      <c r="P3070" s="843" t="e">
        <f t="shared" si="125"/>
        <v>#REF!</v>
      </c>
    </row>
    <row r="3071" spans="1:18" s="658" customFormat="1" ht="15" customHeight="1">
      <c r="A3071" s="657">
        <f>IF(B3071="",MAX($A$8:A3070)+0,MAX($A$8:A3070)+1)</f>
        <v>370</v>
      </c>
      <c r="B3071" s="835" t="str">
        <f>IF(C3071="","",COUNTA($C$10:C3072))</f>
        <v/>
      </c>
      <c r="C3071" s="362"/>
      <c r="D3071" s="845"/>
      <c r="E3071" s="852" t="s">
        <v>2032</v>
      </c>
      <c r="F3071" s="848" t="str">
        <f>VLOOKUP(E3071,DICH!B:C,2,FALSE)</f>
        <v xml:space="preserve">  A - Material</v>
      </c>
      <c r="G3071" s="846"/>
      <c r="H3071" s="847"/>
      <c r="I3071" s="848"/>
      <c r="J3071" s="849">
        <f>SUM(J3072:J3078)</f>
        <v>3005881.1223410903</v>
      </c>
      <c r="K3071" s="850"/>
      <c r="L3071" s="850"/>
      <c r="M3071" s="850"/>
      <c r="N3071" s="843" t="e">
        <f>SUMIF(#REF!,'8.Dgia'!A3071,#REF!)+SUMIF(#REF!,'8.Dgia'!A3071,#REF!)+SUMIF(#REF!,'8.Dgia'!A3071,#REF!)+SUMIF(#REF!,'8.Dgia'!A3071,#REF!)</f>
        <v>#REF!</v>
      </c>
      <c r="O3071" s="844"/>
      <c r="P3071" s="843" t="e">
        <f t="shared" si="125"/>
        <v>#REF!</v>
      </c>
    </row>
    <row r="3072" spans="1:18" ht="15" customHeight="1">
      <c r="A3072" s="657">
        <f>IF(B3072="",MAX($A$8:A3071)+0,MAX($A$8:A3071)+1)</f>
        <v>370</v>
      </c>
      <c r="B3072" s="835" t="str">
        <f>IF(C3072="","",COUNTA($C$10:C3073))</f>
        <v/>
      </c>
      <c r="C3072" s="362"/>
      <c r="D3072" s="851" t="s">
        <v>2255</v>
      </c>
      <c r="E3072" s="852" t="s">
        <v>562</v>
      </c>
      <c r="F3072" s="848" t="str">
        <f>VLOOKUP(E3072,DICH!B:C,2,FALSE)</f>
        <v>Plate steel</v>
      </c>
      <c r="G3072" s="362" t="s">
        <v>558</v>
      </c>
      <c r="H3072" s="847">
        <f>787*H3070</f>
        <v>125.92</v>
      </c>
      <c r="I3072" s="848">
        <f>VLOOKUP(E3072,'11.gia '!$B:$I,8,FALSE)</f>
        <v>12871.348287272725</v>
      </c>
      <c r="J3072" s="853">
        <f t="shared" ref="J3072:J3077" si="126">I3072*H3072</f>
        <v>1620760.1763333816</v>
      </c>
      <c r="N3072" s="843" t="e">
        <f>SUMIF(#REF!,'8.Dgia'!A3072,#REF!)+SUMIF(#REF!,'8.Dgia'!A3072,#REF!)+SUMIF(#REF!,'8.Dgia'!A3072,#REF!)+SUMIF(#REF!,'8.Dgia'!A3072,#REF!)</f>
        <v>#REF!</v>
      </c>
      <c r="O3072" s="844">
        <f t="shared" ref="O3072:O3077" si="127">+$H$3078</f>
        <v>2.5</v>
      </c>
      <c r="P3072" s="843" t="e">
        <f t="shared" si="125"/>
        <v>#REF!</v>
      </c>
    </row>
    <row r="3073" spans="1:18" ht="15" customHeight="1">
      <c r="A3073" s="657">
        <f>IF(B3073="",MAX($A$8:A3072)+0,MAX($A$8:A3072)+1)</f>
        <v>370</v>
      </c>
      <c r="B3073" s="835" t="str">
        <f>IF(C3073="","",COUNTA($C$10:C3074))</f>
        <v/>
      </c>
      <c r="C3073" s="362"/>
      <c r="D3073" s="851" t="s">
        <v>2255</v>
      </c>
      <c r="E3073" s="852" t="s">
        <v>671</v>
      </c>
      <c r="F3073" s="848" t="str">
        <f>VLOOKUP(E3073,DICH!B:C,2,FALSE)</f>
        <v>steel bar D&lt;=18</v>
      </c>
      <c r="G3073" s="362" t="s">
        <v>558</v>
      </c>
      <c r="H3073" s="847">
        <f>263*H3070</f>
        <v>42.08</v>
      </c>
      <c r="I3073" s="848">
        <f>VLOOKUP(E3073,'11.gia '!$B:$I,8,FALSE)</f>
        <v>16604.075560000001</v>
      </c>
      <c r="J3073" s="853">
        <f t="shared" si="126"/>
        <v>698699.49956480006</v>
      </c>
      <c r="N3073" s="843" t="e">
        <f>SUMIF(#REF!,'8.Dgia'!A3073,#REF!)+SUMIF(#REF!,'8.Dgia'!A3073,#REF!)+SUMIF(#REF!,'8.Dgia'!A3073,#REF!)+SUMIF(#REF!,'8.Dgia'!A3073,#REF!)</f>
        <v>#REF!</v>
      </c>
      <c r="O3073" s="844">
        <f t="shared" si="127"/>
        <v>2.5</v>
      </c>
      <c r="P3073" s="843" t="e">
        <f t="shared" si="125"/>
        <v>#REF!</v>
      </c>
    </row>
    <row r="3074" spans="1:18" ht="15" customHeight="1">
      <c r="A3074" s="657">
        <f>IF(B3074="",MAX($A$8:A3073)+0,MAX($A$8:A3073)+1)</f>
        <v>370</v>
      </c>
      <c r="B3074" s="835" t="str">
        <f>IF(C3074="","",COUNTA($C$10:C3075))</f>
        <v/>
      </c>
      <c r="C3074" s="362"/>
      <c r="D3074" s="851"/>
      <c r="E3074" s="852" t="s">
        <v>564</v>
      </c>
      <c r="F3074" s="848" t="str">
        <f>VLOOKUP(E3074,DICH!B:C,2,FALSE)</f>
        <v>oxygen</v>
      </c>
      <c r="G3074" s="362" t="s">
        <v>4647</v>
      </c>
      <c r="H3074" s="847">
        <v>2.69</v>
      </c>
      <c r="I3074" s="848">
        <f>VLOOKUP(E3074,'11.gia '!$B:$I,8,FALSE)</f>
        <v>48000</v>
      </c>
      <c r="J3074" s="853">
        <f t="shared" si="126"/>
        <v>129120</v>
      </c>
      <c r="N3074" s="843" t="e">
        <f>SUMIF(#REF!,'8.Dgia'!A3074,#REF!)+SUMIF(#REF!,'8.Dgia'!A3074,#REF!)+SUMIF(#REF!,'8.Dgia'!A3074,#REF!)+SUMIF(#REF!,'8.Dgia'!A3074,#REF!)</f>
        <v>#REF!</v>
      </c>
      <c r="O3074" s="844">
        <f t="shared" si="127"/>
        <v>2.5</v>
      </c>
      <c r="P3074" s="843" t="e">
        <f t="shared" si="125"/>
        <v>#REF!</v>
      </c>
    </row>
    <row r="3075" spans="1:18" ht="15" customHeight="1">
      <c r="A3075" s="657">
        <f>IF(B3075="",MAX($A$8:A3074)+0,MAX($A$8:A3074)+1)</f>
        <v>370</v>
      </c>
      <c r="B3075" s="835" t="str">
        <f>IF(C3075="","",COUNTA($C$10:C3076))</f>
        <v/>
      </c>
      <c r="C3075" s="362"/>
      <c r="D3075" s="851"/>
      <c r="E3075" s="852" t="s">
        <v>566</v>
      </c>
      <c r="F3075" s="848" t="str">
        <f>VLOOKUP(E3075,DICH!B:C,2,FALSE)</f>
        <v>Calcium carbide</v>
      </c>
      <c r="G3075" s="362" t="s">
        <v>558</v>
      </c>
      <c r="H3075" s="847">
        <v>12.09</v>
      </c>
      <c r="I3075" s="848">
        <f>VLOOKUP(E3075,'11.gia '!$B:$I,8,FALSE)</f>
        <v>14000</v>
      </c>
      <c r="J3075" s="853">
        <f t="shared" si="126"/>
        <v>169260</v>
      </c>
      <c r="N3075" s="843" t="e">
        <f>SUMIF(#REF!,'8.Dgia'!A3075,#REF!)+SUMIF(#REF!,'8.Dgia'!A3075,#REF!)+SUMIF(#REF!,'8.Dgia'!A3075,#REF!)+SUMIF(#REF!,'8.Dgia'!A3075,#REF!)</f>
        <v>#REF!</v>
      </c>
      <c r="O3075" s="844">
        <f t="shared" si="127"/>
        <v>2.5</v>
      </c>
      <c r="P3075" s="843" t="e">
        <f t="shared" si="125"/>
        <v>#REF!</v>
      </c>
    </row>
    <row r="3076" spans="1:18" ht="15" customHeight="1">
      <c r="A3076" s="657">
        <f>IF(B3076="",MAX($A$8:A3075)+0,MAX($A$8:A3075)+1)</f>
        <v>370</v>
      </c>
      <c r="B3076" s="835" t="str">
        <f>IF(C3076="","",COUNTA($C$10:C3077))</f>
        <v/>
      </c>
      <c r="C3076" s="362"/>
      <c r="D3076" s="851"/>
      <c r="E3076" s="852" t="s">
        <v>406</v>
      </c>
      <c r="F3076" s="848" t="str">
        <f>VLOOKUP(E3076,DICH!B:C,2,FALSE)</f>
        <v xml:space="preserve">Grinding stone </v>
      </c>
      <c r="G3076" s="362" t="s">
        <v>573</v>
      </c>
      <c r="H3076" s="847">
        <v>0.6</v>
      </c>
      <c r="I3076" s="848">
        <f>VLOOKUP(E3076,'11.gia '!$B:$I,8,FALSE)</f>
        <v>25000</v>
      </c>
      <c r="J3076" s="853">
        <f t="shared" si="126"/>
        <v>15000</v>
      </c>
      <c r="N3076" s="843" t="e">
        <f>SUMIF(#REF!,'8.Dgia'!A3076,#REF!)+SUMIF(#REF!,'8.Dgia'!A3076,#REF!)+SUMIF(#REF!,'8.Dgia'!A3076,#REF!)+SUMIF(#REF!,'8.Dgia'!A3076,#REF!)</f>
        <v>#REF!</v>
      </c>
      <c r="O3076" s="844">
        <f t="shared" si="127"/>
        <v>2.5</v>
      </c>
      <c r="P3076" s="843" t="e">
        <f t="shared" si="125"/>
        <v>#REF!</v>
      </c>
    </row>
    <row r="3077" spans="1:18" ht="15" customHeight="1">
      <c r="A3077" s="657">
        <f>IF(B3077="",MAX($A$8:A3076)+0,MAX($A$8:A3076)+1)</f>
        <v>370</v>
      </c>
      <c r="B3077" s="835" t="str">
        <f>IF(C3077="","",COUNTA($C$10:C3078))</f>
        <v/>
      </c>
      <c r="C3077" s="362"/>
      <c r="D3077" s="851"/>
      <c r="E3077" s="852" t="s">
        <v>559</v>
      </c>
      <c r="F3077" s="848" t="str">
        <f>VLOOKUP(E3077,DICH!B:C,2,FALSE)</f>
        <v>welding electrode</v>
      </c>
      <c r="G3077" s="362" t="s">
        <v>558</v>
      </c>
      <c r="H3077" s="847">
        <v>15.7</v>
      </c>
      <c r="I3077" s="848">
        <f>VLOOKUP(E3077,'11.gia '!$B:$I,8,FALSE)</f>
        <v>19090.909090909088</v>
      </c>
      <c r="J3077" s="853">
        <f t="shared" si="126"/>
        <v>299727.27272727265</v>
      </c>
      <c r="N3077" s="843" t="e">
        <f>SUMIF(#REF!,'8.Dgia'!A3077,#REF!)+SUMIF(#REF!,'8.Dgia'!A3077,#REF!)+SUMIF(#REF!,'8.Dgia'!A3077,#REF!)+SUMIF(#REF!,'8.Dgia'!A3077,#REF!)</f>
        <v>#REF!</v>
      </c>
      <c r="O3077" s="844">
        <f t="shared" si="127"/>
        <v>2.5</v>
      </c>
      <c r="P3077" s="843" t="e">
        <f t="shared" si="125"/>
        <v>#REF!</v>
      </c>
    </row>
    <row r="3078" spans="1:18" ht="15" customHeight="1">
      <c r="A3078" s="657">
        <f>IF(B3078="",MAX($A$8:A3077)+0,MAX($A$8:A3077)+1)</f>
        <v>370</v>
      </c>
      <c r="B3078" s="835" t="str">
        <f>IF(C3078="","",COUNTA($C$10:C3079))</f>
        <v/>
      </c>
      <c r="C3078" s="362"/>
      <c r="D3078" s="851"/>
      <c r="E3078" s="852" t="s">
        <v>555</v>
      </c>
      <c r="F3078" s="848" t="str">
        <f>VLOOKUP(E3078,DICH!B:C,2,FALSE)</f>
        <v>Other material</v>
      </c>
      <c r="G3078" s="362" t="s">
        <v>554</v>
      </c>
      <c r="H3078" s="847">
        <v>2.5</v>
      </c>
      <c r="I3078" s="848">
        <f>SUM(J3072:J3077)</f>
        <v>2932566.9486254542</v>
      </c>
      <c r="J3078" s="853">
        <f>I3078*H3078%</f>
        <v>73314.173715636352</v>
      </c>
      <c r="N3078" s="843" t="e">
        <f>SUMIF(#REF!,'8.Dgia'!A3078,#REF!)+SUMIF(#REF!,'8.Dgia'!A3078,#REF!)+SUMIF(#REF!,'8.Dgia'!A3078,#REF!)+SUMIF(#REF!,'8.Dgia'!A3078,#REF!)</f>
        <v>#REF!</v>
      </c>
      <c r="O3078" s="844"/>
      <c r="P3078" s="843" t="e">
        <f t="shared" si="125"/>
        <v>#REF!</v>
      </c>
    </row>
    <row r="3079" spans="1:18" s="658" customFormat="1" ht="15" customHeight="1">
      <c r="A3079" s="657">
        <f>IF(B3079="",MAX($A$8:A3078)+0,MAX($A$8:A3078)+1)</f>
        <v>370</v>
      </c>
      <c r="B3079" s="835" t="str">
        <f>IF(C3079="","",COUNTA($C$10:C3080))</f>
        <v/>
      </c>
      <c r="C3079" s="362"/>
      <c r="D3079" s="845"/>
      <c r="E3079" s="852" t="s">
        <v>2040</v>
      </c>
      <c r="F3079" s="848" t="str">
        <f>VLOOKUP(E3079,DICH!B:C,2,FALSE)</f>
        <v xml:space="preserve">  B - Labour 4.5/7</v>
      </c>
      <c r="G3079" s="362" t="s">
        <v>4899</v>
      </c>
      <c r="H3079" s="847">
        <v>27.92</v>
      </c>
      <c r="I3079" s="848">
        <f>VLOOKUP(E3079,'16.NC'!$C$11:$F$22,4,FALSE)</f>
        <v>237875</v>
      </c>
      <c r="J3079" s="849">
        <f>I3079*H3079</f>
        <v>6641470</v>
      </c>
      <c r="K3079" s="850"/>
      <c r="L3079" s="850"/>
      <c r="M3079" s="850"/>
      <c r="N3079" s="843" t="e">
        <f>SUMIF(#REF!,'8.Dgia'!A3079,#REF!)+SUMIF(#REF!,'8.Dgia'!A3079,#REF!)+SUMIF(#REF!,'8.Dgia'!A3079,#REF!)+SUMIF(#REF!,'8.Dgia'!A3079,#REF!)</f>
        <v>#REF!</v>
      </c>
      <c r="O3079" s="844"/>
      <c r="P3079" s="843" t="e">
        <f t="shared" si="125"/>
        <v>#REF!</v>
      </c>
      <c r="R3079" s="658">
        <v>1</v>
      </c>
    </row>
    <row r="3080" spans="1:18" s="658" customFormat="1" ht="15" customHeight="1">
      <c r="A3080" s="657">
        <f>IF(B3080="",MAX($A$8:A3079)+0,MAX($A$8:A3079)+1)</f>
        <v>370</v>
      </c>
      <c r="B3080" s="835" t="str">
        <f>IF(C3080="","",COUNTA($C$10:C3081))</f>
        <v/>
      </c>
      <c r="C3080" s="362"/>
      <c r="D3080" s="845"/>
      <c r="E3080" s="852" t="s">
        <v>2033</v>
      </c>
      <c r="F3080" s="848" t="str">
        <f>VLOOKUP(E3080,DICH!B:C,2,FALSE)</f>
        <v xml:space="preserve">  C - Machine</v>
      </c>
      <c r="G3080" s="846"/>
      <c r="H3080" s="847"/>
      <c r="I3080" s="848"/>
      <c r="J3080" s="849">
        <f>SUM(J3081:J3084)</f>
        <v>667446.47363250004</v>
      </c>
      <c r="K3080" s="850"/>
      <c r="L3080" s="850"/>
      <c r="M3080" s="850"/>
      <c r="N3080" s="843" t="e">
        <f>SUMIF(#REF!,'8.Dgia'!A3080,#REF!)+SUMIF(#REF!,'8.Dgia'!A3080,#REF!)+SUMIF(#REF!,'8.Dgia'!A3080,#REF!)+SUMIF(#REF!,'8.Dgia'!A3080,#REF!)</f>
        <v>#REF!</v>
      </c>
      <c r="O3080" s="844"/>
      <c r="P3080" s="843" t="e">
        <f t="shared" si="125"/>
        <v>#REF!</v>
      </c>
    </row>
    <row r="3081" spans="1:18" ht="15" customHeight="1">
      <c r="A3081" s="657">
        <f>IF(B3081="",MAX($A$8:A3080)+0,MAX($A$8:A3080)+1)</f>
        <v>370</v>
      </c>
      <c r="B3081" s="835" t="str">
        <f>IF(C3081="","",COUNTA($C$10:C3082))</f>
        <v/>
      </c>
      <c r="C3081" s="362"/>
      <c r="D3081" s="851"/>
      <c r="E3081" s="852" t="s">
        <v>560</v>
      </c>
      <c r="F3081" s="848" t="str">
        <f>VLOOKUP(E3081,'9.may'!E:F,2,FALSE)</f>
        <v>welding machine 23kW</v>
      </c>
      <c r="G3081" s="362" t="s">
        <v>4902</v>
      </c>
      <c r="H3081" s="847">
        <v>2.62</v>
      </c>
      <c r="I3081" s="848">
        <f>VLOOKUP(E3081,'9.may'!E:W,12,FALSE)</f>
        <v>171649.155</v>
      </c>
      <c r="J3081" s="853">
        <f>I3081*H3081</f>
        <v>449720.78610000003</v>
      </c>
      <c r="N3081" s="843" t="e">
        <f>SUMIF(#REF!,'8.Dgia'!A3081,#REF!)+SUMIF(#REF!,'8.Dgia'!A3081,#REF!)+SUMIF(#REF!,'8.Dgia'!A3081,#REF!)+SUMIF(#REF!,'8.Dgia'!A3081,#REF!)</f>
        <v>#REF!</v>
      </c>
      <c r="O3081" s="844">
        <f>+$H$3084</f>
        <v>2</v>
      </c>
      <c r="P3081" s="843" t="e">
        <f t="shared" si="125"/>
        <v>#REF!</v>
      </c>
    </row>
    <row r="3082" spans="1:18" ht="15" customHeight="1">
      <c r="A3082" s="657">
        <f>IF(B3082="",MAX($A$8:A3081)+0,MAX($A$8:A3081)+1)</f>
        <v>370</v>
      </c>
      <c r="B3082" s="835" t="str">
        <f>IF(C3082="","",COUNTA($C$10:C3083))</f>
        <v/>
      </c>
      <c r="C3082" s="362"/>
      <c r="D3082" s="851"/>
      <c r="E3082" s="852" t="s">
        <v>422</v>
      </c>
      <c r="F3082" s="848" t="str">
        <f>VLOOKUP(E3082,'9.may'!E:F,2,FALSE)</f>
        <v>sharpener 2.7kW</v>
      </c>
      <c r="G3082" s="362" t="s">
        <v>4902</v>
      </c>
      <c r="H3082" s="847">
        <v>1.29</v>
      </c>
      <c r="I3082" s="848">
        <f>VLOOKUP(E3082,'9.may'!E:W,12,FALSE)</f>
        <v>67591.852499999994</v>
      </c>
      <c r="J3082" s="853">
        <f>I3082*H3082</f>
        <v>87193.489724999992</v>
      </c>
      <c r="N3082" s="843" t="e">
        <f>SUMIF(#REF!,'8.Dgia'!A3082,#REF!)+SUMIF(#REF!,'8.Dgia'!A3082,#REF!)+SUMIF(#REF!,'8.Dgia'!A3082,#REF!)+SUMIF(#REF!,'8.Dgia'!A3082,#REF!)</f>
        <v>#REF!</v>
      </c>
      <c r="O3082" s="844">
        <f>+$H$3084</f>
        <v>2</v>
      </c>
      <c r="P3082" s="843" t="e">
        <f t="shared" si="125"/>
        <v>#REF!</v>
      </c>
    </row>
    <row r="3083" spans="1:18" ht="15" customHeight="1">
      <c r="A3083" s="657">
        <f>IF(B3083="",MAX($A$8:A3082)+0,MAX($A$8:A3082)+1)</f>
        <v>370</v>
      </c>
      <c r="B3083" s="835" t="str">
        <f>IF(C3083="","",COUNTA($C$10:C3084))</f>
        <v/>
      </c>
      <c r="C3083" s="362"/>
      <c r="D3083" s="851"/>
      <c r="E3083" s="852" t="s">
        <v>301</v>
      </c>
      <c r="F3083" s="848" t="str">
        <f>VLOOKUP(E3083,'9.may'!E:F,2,FALSE)</f>
        <v>driller 2.5kW</v>
      </c>
      <c r="G3083" s="362" t="s">
        <v>4902</v>
      </c>
      <c r="H3083" s="847">
        <v>1.29</v>
      </c>
      <c r="I3083" s="848">
        <f>VLOOKUP(E3083,'9.may'!E:W,12,FALSE)</f>
        <v>91042.645000000004</v>
      </c>
      <c r="J3083" s="853">
        <f>I3083*H3083</f>
        <v>117445.01205</v>
      </c>
      <c r="N3083" s="843" t="e">
        <f>SUMIF(#REF!,'8.Dgia'!A3083,#REF!)+SUMIF(#REF!,'8.Dgia'!A3083,#REF!)+SUMIF(#REF!,'8.Dgia'!A3083,#REF!)+SUMIF(#REF!,'8.Dgia'!A3083,#REF!)</f>
        <v>#REF!</v>
      </c>
      <c r="O3083" s="844">
        <f>+$H$3084</f>
        <v>2</v>
      </c>
      <c r="P3083" s="843" t="e">
        <f t="shared" si="125"/>
        <v>#REF!</v>
      </c>
    </row>
    <row r="3084" spans="1:18" ht="15" customHeight="1">
      <c r="A3084" s="657">
        <f>IF(B3084="",MAX($A$8:A3083)+0,MAX($A$8:A3083)+1)</f>
        <v>370</v>
      </c>
      <c r="B3084" s="835" t="str">
        <f>IF(C3084="","",COUNTA($C$10:C3085))</f>
        <v/>
      </c>
      <c r="C3084" s="362"/>
      <c r="D3084" s="851"/>
      <c r="E3084" s="852" t="s">
        <v>553</v>
      </c>
      <c r="F3084" s="848" t="str">
        <f>VLOOKUP(E3084,DICH!B:C,2,FALSE)</f>
        <v>Other machine</v>
      </c>
      <c r="G3084" s="362" t="s">
        <v>554</v>
      </c>
      <c r="H3084" s="847">
        <v>2</v>
      </c>
      <c r="I3084" s="848">
        <f>SUM(J3081:J3083)</f>
        <v>654359.28787500004</v>
      </c>
      <c r="J3084" s="853">
        <f>I3084*H3084%</f>
        <v>13087.185757500001</v>
      </c>
      <c r="N3084" s="843" t="e">
        <f>SUMIF(#REF!,'8.Dgia'!A3084,#REF!)+SUMIF(#REF!,'8.Dgia'!A3084,#REF!)+SUMIF(#REF!,'8.Dgia'!A3084,#REF!)+SUMIF(#REF!,'8.Dgia'!A3084,#REF!)</f>
        <v>#REF!</v>
      </c>
      <c r="O3084" s="844"/>
      <c r="P3084" s="843" t="e">
        <f t="shared" si="125"/>
        <v>#REF!</v>
      </c>
    </row>
    <row r="3085" spans="1:18" ht="15" customHeight="1">
      <c r="A3085" s="657">
        <f>IF(B3085="",MAX($A$8:A3084)+0,MAX($A$8:A3084)+1)</f>
        <v>371</v>
      </c>
      <c r="B3085" s="835">
        <f>IF(C3085="","",COUNTA($C$10:C3086))</f>
        <v>371</v>
      </c>
      <c r="C3085" s="835">
        <f>IF(D3085="","",1776)</f>
        <v>1776</v>
      </c>
      <c r="D3085" s="851" t="s">
        <v>2129</v>
      </c>
      <c r="E3085" s="855" t="s">
        <v>2130</v>
      </c>
      <c r="F3085" s="1049" t="str">
        <f>VLOOKUP(E3085,DICH!B:C,2,FALSE)</f>
        <v>Installing plate steel of marked post</v>
      </c>
      <c r="G3085" s="856" t="s">
        <v>4644</v>
      </c>
      <c r="H3085" s="847"/>
      <c r="I3085" s="848"/>
      <c r="J3085" s="853"/>
      <c r="K3085" s="842">
        <f>+J3086</f>
        <v>487587.003624</v>
      </c>
      <c r="L3085" s="842">
        <f>+J3091</f>
        <v>2736587.5</v>
      </c>
      <c r="M3085" s="842">
        <f>+J3092</f>
        <v>236017.58812500001</v>
      </c>
      <c r="N3085" s="843" t="e">
        <f>SUMIF(#REF!,'8.Dgia'!A3085,#REF!)+SUMIF(#REF!,'8.Dgia'!A3085,#REF!)+SUMIF(#REF!,'8.Dgia'!A3085,#REF!)+SUMIF(#REF!,'8.Dgia'!A3085,#REF!)</f>
        <v>#REF!</v>
      </c>
      <c r="O3085" s="844"/>
      <c r="P3085" s="843" t="e">
        <f t="shared" si="125"/>
        <v>#REF!</v>
      </c>
    </row>
    <row r="3086" spans="1:18" s="658" customFormat="1" ht="15" customHeight="1">
      <c r="A3086" s="657">
        <f>IF(B3086="",MAX($A$8:A3085)+0,MAX($A$8:A3085)+1)</f>
        <v>371</v>
      </c>
      <c r="B3086" s="835" t="str">
        <f>IF(C3086="","",COUNTA($C$10:C3087))</f>
        <v/>
      </c>
      <c r="C3086" s="362"/>
      <c r="D3086" s="845"/>
      <c r="E3086" s="852" t="s">
        <v>2032</v>
      </c>
      <c r="F3086" s="848" t="str">
        <f>VLOOKUP(E3086,DICH!B:C,2,FALSE)</f>
        <v xml:space="preserve">  A - Material</v>
      </c>
      <c r="G3086" s="362"/>
      <c r="H3086" s="847"/>
      <c r="I3086" s="848"/>
      <c r="J3086" s="849">
        <f>SUM(J3087:J3090)</f>
        <v>487587.003624</v>
      </c>
      <c r="K3086" s="850"/>
      <c r="L3086" s="850"/>
      <c r="M3086" s="850"/>
      <c r="N3086" s="843" t="e">
        <f>SUMIF(#REF!,'8.Dgia'!A3086,#REF!)+SUMIF(#REF!,'8.Dgia'!A3086,#REF!)+SUMIF(#REF!,'8.Dgia'!A3086,#REF!)+SUMIF(#REF!,'8.Dgia'!A3086,#REF!)</f>
        <v>#REF!</v>
      </c>
      <c r="O3086" s="844"/>
      <c r="P3086" s="843" t="e">
        <f t="shared" si="125"/>
        <v>#REF!</v>
      </c>
    </row>
    <row r="3087" spans="1:18" ht="15" customHeight="1">
      <c r="A3087" s="657">
        <f>IF(B3087="",MAX($A$8:A3086)+0,MAX($A$8:A3086)+1)</f>
        <v>371</v>
      </c>
      <c r="B3087" s="835" t="str">
        <f>IF(C3087="","",COUNTA($C$10:C3088))</f>
        <v/>
      </c>
      <c r="C3087" s="362"/>
      <c r="D3087" s="851"/>
      <c r="E3087" s="852" t="s">
        <v>559</v>
      </c>
      <c r="F3087" s="848" t="str">
        <f>VLOOKUP(E3087,DICH!B:C,2,FALSE)</f>
        <v>welding electrode</v>
      </c>
      <c r="G3087" s="362" t="s">
        <v>558</v>
      </c>
      <c r="H3087" s="847">
        <v>3.14</v>
      </c>
      <c r="I3087" s="848">
        <f>VLOOKUP(E3087,'11.gia '!$B:$I,8,FALSE)</f>
        <v>19090.909090909088</v>
      </c>
      <c r="J3087" s="853">
        <f>I3087*H3087</f>
        <v>59945.454545454537</v>
      </c>
      <c r="N3087" s="843" t="e">
        <f>SUMIF(#REF!,'8.Dgia'!A3087,#REF!)+SUMIF(#REF!,'8.Dgia'!A3087,#REF!)+SUMIF(#REF!,'8.Dgia'!A3087,#REF!)+SUMIF(#REF!,'8.Dgia'!A3087,#REF!)</f>
        <v>#REF!</v>
      </c>
      <c r="O3087" s="844">
        <f>+$H$3090</f>
        <v>10</v>
      </c>
      <c r="P3087" s="843" t="e">
        <f t="shared" si="125"/>
        <v>#REF!</v>
      </c>
    </row>
    <row r="3088" spans="1:18" ht="15" customHeight="1">
      <c r="A3088" s="657">
        <f>IF(B3088="",MAX($A$8:A3087)+0,MAX($A$8:A3087)+1)</f>
        <v>371</v>
      </c>
      <c r="B3088" s="835" t="str">
        <f>IF(C3088="","",COUNTA($C$10:C3089))</f>
        <v/>
      </c>
      <c r="C3088" s="362"/>
      <c r="D3088" s="851"/>
      <c r="E3088" s="852" t="s">
        <v>671</v>
      </c>
      <c r="F3088" s="848" t="str">
        <f>VLOOKUP(E3088,DICH!B:C,2,FALSE)</f>
        <v>steel bar D&lt;=18</v>
      </c>
      <c r="G3088" s="362" t="s">
        <v>558</v>
      </c>
      <c r="H3088" s="847">
        <v>14</v>
      </c>
      <c r="I3088" s="848">
        <f>VLOOKUP(E3088,'11.gia '!$B:$I,8,FALSE)</f>
        <v>16604.075560000001</v>
      </c>
      <c r="J3088" s="853">
        <f>I3088*H3088</f>
        <v>232457.05784000002</v>
      </c>
      <c r="N3088" s="843" t="e">
        <f>SUMIF(#REF!,'8.Dgia'!A3088,#REF!)+SUMIF(#REF!,'8.Dgia'!A3088,#REF!)+SUMIF(#REF!,'8.Dgia'!A3088,#REF!)+SUMIF(#REF!,'8.Dgia'!A3088,#REF!)</f>
        <v>#REF!</v>
      </c>
      <c r="O3088" s="844">
        <f>+$H$3090</f>
        <v>10</v>
      </c>
      <c r="P3088" s="843" t="e">
        <f t="shared" si="125"/>
        <v>#REF!</v>
      </c>
    </row>
    <row r="3089" spans="1:18" ht="15" customHeight="1">
      <c r="A3089" s="657">
        <f>IF(B3089="",MAX($A$8:A3088)+0,MAX($A$8:A3088)+1)</f>
        <v>371</v>
      </c>
      <c r="B3089" s="835" t="str">
        <f>IF(C3089="","",COUNTA($C$10:C3090))</f>
        <v/>
      </c>
      <c r="C3089" s="362"/>
      <c r="D3089" s="851"/>
      <c r="E3089" s="852" t="s">
        <v>459</v>
      </c>
      <c r="F3089" s="848" t="str">
        <f>VLOOKUP(E3089,DICH!B:C,2,FALSE)</f>
        <v>Steel ware</v>
      </c>
      <c r="G3089" s="362" t="s">
        <v>558</v>
      </c>
      <c r="H3089" s="847">
        <v>8.8000000000000007</v>
      </c>
      <c r="I3089" s="848">
        <f>VLOOKUP(E3089,'11.gia '!$B:$I,8,FALSE)</f>
        <v>17143</v>
      </c>
      <c r="J3089" s="853">
        <f>I3089*H3089</f>
        <v>150858.40000000002</v>
      </c>
      <c r="N3089" s="843" t="e">
        <f>SUMIF(#REF!,'8.Dgia'!A3089,#REF!)+SUMIF(#REF!,'8.Dgia'!A3089,#REF!)+SUMIF(#REF!,'8.Dgia'!A3089,#REF!)+SUMIF(#REF!,'8.Dgia'!A3089,#REF!)</f>
        <v>#REF!</v>
      </c>
      <c r="O3089" s="844">
        <f>+$H$3090</f>
        <v>10</v>
      </c>
      <c r="P3089" s="843" t="e">
        <f t="shared" si="125"/>
        <v>#REF!</v>
      </c>
    </row>
    <row r="3090" spans="1:18" ht="15" customHeight="1">
      <c r="A3090" s="657">
        <f>IF(B3090="",MAX($A$8:A3089)+0,MAX($A$8:A3089)+1)</f>
        <v>371</v>
      </c>
      <c r="B3090" s="835" t="str">
        <f>IF(C3090="","",COUNTA($C$10:C3091))</f>
        <v/>
      </c>
      <c r="C3090" s="362"/>
      <c r="D3090" s="851"/>
      <c r="E3090" s="852" t="s">
        <v>555</v>
      </c>
      <c r="F3090" s="848" t="str">
        <f>VLOOKUP(E3090,DICH!B:C,2,FALSE)</f>
        <v>Other material</v>
      </c>
      <c r="G3090" s="362" t="s">
        <v>554</v>
      </c>
      <c r="H3090" s="847">
        <v>10</v>
      </c>
      <c r="I3090" s="848">
        <f>SUM(J3087:J3089)</f>
        <v>443260.91238545458</v>
      </c>
      <c r="J3090" s="853">
        <f>I3090*H3090%</f>
        <v>44326.091238545458</v>
      </c>
      <c r="N3090" s="843" t="e">
        <f>SUMIF(#REF!,'8.Dgia'!A3090,#REF!)+SUMIF(#REF!,'8.Dgia'!A3090,#REF!)+SUMIF(#REF!,'8.Dgia'!A3090,#REF!)+SUMIF(#REF!,'8.Dgia'!A3090,#REF!)</f>
        <v>#REF!</v>
      </c>
      <c r="O3090" s="844"/>
      <c r="P3090" s="843" t="e">
        <f t="shared" si="125"/>
        <v>#REF!</v>
      </c>
    </row>
    <row r="3091" spans="1:18" s="658" customFormat="1" ht="15" customHeight="1">
      <c r="A3091" s="657">
        <f>IF(B3091="",MAX($A$8:A3090)+0,MAX($A$8:A3090)+1)</f>
        <v>371</v>
      </c>
      <c r="B3091" s="835" t="str">
        <f>IF(C3091="","",COUNTA($C$10:C3092))</f>
        <v/>
      </c>
      <c r="C3091" s="362"/>
      <c r="D3091" s="845"/>
      <c r="E3091" s="852" t="s">
        <v>2039</v>
      </c>
      <c r="F3091" s="848" t="str">
        <f>VLOOKUP(E3091,DICH!B:C,2,FALSE)</f>
        <v xml:space="preserve">  B - Labour 4.0/7</v>
      </c>
      <c r="G3091" s="362" t="s">
        <v>4899</v>
      </c>
      <c r="H3091" s="847">
        <v>12.5</v>
      </c>
      <c r="I3091" s="848">
        <f>VLOOKUP(E3091,'16.NC'!$C$11:$F$22,4,FALSE)</f>
        <v>218927</v>
      </c>
      <c r="J3091" s="849">
        <f>I3091*H3091</f>
        <v>2736587.5</v>
      </c>
      <c r="K3091" s="850"/>
      <c r="L3091" s="850"/>
      <c r="M3091" s="850"/>
      <c r="N3091" s="843" t="e">
        <f>SUMIF(#REF!,'8.Dgia'!A3091,#REF!)+SUMIF(#REF!,'8.Dgia'!A3091,#REF!)+SUMIF(#REF!,'8.Dgia'!A3091,#REF!)+SUMIF(#REF!,'8.Dgia'!A3091,#REF!)</f>
        <v>#REF!</v>
      </c>
      <c r="O3091" s="844"/>
      <c r="P3091" s="843" t="e">
        <f t="shared" si="125"/>
        <v>#REF!</v>
      </c>
      <c r="R3091" s="658">
        <v>1</v>
      </c>
    </row>
    <row r="3092" spans="1:18" s="658" customFormat="1" ht="15" customHeight="1">
      <c r="A3092" s="657">
        <f>IF(B3092="",MAX($A$8:A3091)+0,MAX($A$8:A3091)+1)</f>
        <v>371</v>
      </c>
      <c r="B3092" s="835" t="str">
        <f>IF(C3092="","",COUNTA($C$10:C3093))</f>
        <v/>
      </c>
      <c r="C3092" s="362"/>
      <c r="D3092" s="845"/>
      <c r="E3092" s="852" t="s">
        <v>2033</v>
      </c>
      <c r="F3092" s="848" t="str">
        <f>VLOOKUP(E3092,DICH!B:C,2,FALSE)</f>
        <v xml:space="preserve">  C - Machine</v>
      </c>
      <c r="G3092" s="846"/>
      <c r="H3092" s="847"/>
      <c r="I3092" s="848"/>
      <c r="J3092" s="849">
        <f>SUM(J3093:J3094)</f>
        <v>236017.58812500001</v>
      </c>
      <c r="K3092" s="850"/>
      <c r="L3092" s="850"/>
      <c r="M3092" s="850"/>
      <c r="N3092" s="843" t="e">
        <f>SUMIF(#REF!,'8.Dgia'!A3092,#REF!)+SUMIF(#REF!,'8.Dgia'!A3092,#REF!)+SUMIF(#REF!,'8.Dgia'!A3092,#REF!)+SUMIF(#REF!,'8.Dgia'!A3092,#REF!)</f>
        <v>#REF!</v>
      </c>
      <c r="O3092" s="844"/>
      <c r="P3092" s="843" t="e">
        <f t="shared" si="125"/>
        <v>#REF!</v>
      </c>
    </row>
    <row r="3093" spans="1:18" ht="15" customHeight="1">
      <c r="A3093" s="657">
        <f>IF(B3093="",MAX($A$8:A3092)+0,MAX($A$8:A3092)+1)</f>
        <v>371</v>
      </c>
      <c r="B3093" s="835" t="str">
        <f>IF(C3093="","",COUNTA($C$10:C3094))</f>
        <v/>
      </c>
      <c r="C3093" s="362"/>
      <c r="D3093" s="851"/>
      <c r="E3093" s="852" t="s">
        <v>290</v>
      </c>
      <c r="F3093" s="848" t="str">
        <f>VLOOKUP(E3093,'9.may'!E:F,2,FALSE)</f>
        <v>welding machine 23kW</v>
      </c>
      <c r="G3093" s="362" t="s">
        <v>4902</v>
      </c>
      <c r="H3093" s="847">
        <v>1.25</v>
      </c>
      <c r="I3093" s="848">
        <f>VLOOKUP(E3093,'9.may'!E:W,12,FALSE)</f>
        <v>171649.155</v>
      </c>
      <c r="J3093" s="853">
        <f>I3093*H3093</f>
        <v>214561.44375000001</v>
      </c>
      <c r="N3093" s="843" t="e">
        <f>SUMIF(#REF!,'8.Dgia'!A3093,#REF!)+SUMIF(#REF!,'8.Dgia'!A3093,#REF!)+SUMIF(#REF!,'8.Dgia'!A3093,#REF!)+SUMIF(#REF!,'8.Dgia'!A3093,#REF!)</f>
        <v>#REF!</v>
      </c>
      <c r="O3093" s="844">
        <f>+$H$3094</f>
        <v>10</v>
      </c>
      <c r="P3093" s="843" t="e">
        <f t="shared" si="125"/>
        <v>#REF!</v>
      </c>
    </row>
    <row r="3094" spans="1:18" ht="15" customHeight="1">
      <c r="A3094" s="657">
        <f>IF(B3094="",MAX($A$8:A3093)+0,MAX($A$8:A3093)+1)</f>
        <v>371</v>
      </c>
      <c r="B3094" s="835" t="str">
        <f>IF(C3094="","",COUNTA($C$10:C3095))</f>
        <v/>
      </c>
      <c r="C3094" s="362"/>
      <c r="D3094" s="851"/>
      <c r="E3094" s="852" t="s">
        <v>553</v>
      </c>
      <c r="F3094" s="848" t="str">
        <f>VLOOKUP(E3094,DICH!B:C,2,FALSE)</f>
        <v>Other machine</v>
      </c>
      <c r="G3094" s="362" t="s">
        <v>554</v>
      </c>
      <c r="H3094" s="847">
        <v>10</v>
      </c>
      <c r="I3094" s="848">
        <f>J3093</f>
        <v>214561.44375000001</v>
      </c>
      <c r="J3094" s="853">
        <f>I3094*H3094%</f>
        <v>21456.144375000003</v>
      </c>
      <c r="N3094" s="843" t="e">
        <f>SUMIF(#REF!,'8.Dgia'!A3094,#REF!)+SUMIF(#REF!,'8.Dgia'!A3094,#REF!)+SUMIF(#REF!,'8.Dgia'!A3094,#REF!)+SUMIF(#REF!,'8.Dgia'!A3094,#REF!)</f>
        <v>#REF!</v>
      </c>
      <c r="O3094" s="844"/>
      <c r="P3094" s="843" t="e">
        <f t="shared" si="125"/>
        <v>#REF!</v>
      </c>
    </row>
    <row r="3095" spans="1:18" ht="15" customHeight="1">
      <c r="A3095" s="657">
        <f>IF(B3095="",MAX($A$8:A3094)+0,MAX($A$8:A3094)+1)</f>
        <v>372</v>
      </c>
      <c r="B3095" s="835">
        <f>IF(C3095="","",COUNTA($C$10:C3096))</f>
        <v>372</v>
      </c>
      <c r="C3095" s="835">
        <v>0</v>
      </c>
      <c r="D3095" s="240" t="s">
        <v>306</v>
      </c>
      <c r="E3095" s="870" t="s">
        <v>652</v>
      </c>
      <c r="F3095" s="848" t="str">
        <f>VLOOKUP(E3095,DICH!B:C,2,FALSE)</f>
        <v>Thumbtack</v>
      </c>
      <c r="G3095" s="315" t="s">
        <v>4649</v>
      </c>
      <c r="H3095" s="169"/>
      <c r="I3095" s="848"/>
      <c r="J3095" s="853"/>
      <c r="K3095" s="842">
        <f>+J3096</f>
        <v>1000</v>
      </c>
      <c r="N3095" s="843" t="e">
        <f>SUMIF(#REF!,'8.Dgia'!A3095,#REF!)+SUMIF(#REF!,'8.Dgia'!A3095,#REF!)+SUMIF(#REF!,'8.Dgia'!A3095,#REF!)+SUMIF(#REF!,'8.Dgia'!A3095,#REF!)</f>
        <v>#REF!</v>
      </c>
      <c r="O3095" s="844"/>
      <c r="P3095" s="843" t="e">
        <f t="shared" si="125"/>
        <v>#REF!</v>
      </c>
    </row>
    <row r="3096" spans="1:18" ht="15" customHeight="1">
      <c r="A3096" s="657">
        <f>IF(B3096="",MAX($A$8:A3095)+0,MAX($A$8:A3095)+1)</f>
        <v>372</v>
      </c>
      <c r="B3096" s="835" t="str">
        <f>IF(C3096="","",COUNTA($C$10:C3097))</f>
        <v/>
      </c>
      <c r="C3096" s="362"/>
      <c r="D3096" s="239"/>
      <c r="E3096" s="819" t="s">
        <v>2032</v>
      </c>
      <c r="F3096" s="848" t="str">
        <f>VLOOKUP(E3096,DICH!B:C,2,FALSE)</f>
        <v xml:space="preserve">  A - Material</v>
      </c>
      <c r="G3096" s="949"/>
      <c r="H3096" s="873"/>
      <c r="I3096" s="848"/>
      <c r="J3096" s="849">
        <f>SUM(J3097:J3097)</f>
        <v>1000</v>
      </c>
      <c r="N3096" s="843" t="e">
        <f>SUMIF(#REF!,'8.Dgia'!A3096,#REF!)+SUMIF(#REF!,'8.Dgia'!A3096,#REF!)+SUMIF(#REF!,'8.Dgia'!A3096,#REF!)+SUMIF(#REF!,'8.Dgia'!A3096,#REF!)</f>
        <v>#REF!</v>
      </c>
      <c r="O3096" s="844"/>
      <c r="P3096" s="843" t="e">
        <f t="shared" si="125"/>
        <v>#REF!</v>
      </c>
    </row>
    <row r="3097" spans="1:18" ht="15" customHeight="1">
      <c r="A3097" s="657">
        <f>IF(B3097="",MAX($A$8:A3096)+0,MAX($A$8:A3096)+1)</f>
        <v>372</v>
      </c>
      <c r="B3097" s="835" t="str">
        <f>IF(C3097="","",COUNTA($C$10:C3098))</f>
        <v/>
      </c>
      <c r="C3097" s="362"/>
      <c r="D3097" s="239"/>
      <c r="E3097" s="661" t="s">
        <v>652</v>
      </c>
      <c r="F3097" s="848" t="str">
        <f>VLOOKUP(E3097,DICH!B:C,2,FALSE)</f>
        <v>Thumbtack</v>
      </c>
      <c r="G3097" s="704" t="s">
        <v>4649</v>
      </c>
      <c r="H3097" s="239">
        <v>1</v>
      </c>
      <c r="I3097" s="848">
        <f>VLOOKUP(E3097,'11.gia '!$B:$I,8,FALSE)</f>
        <v>1000</v>
      </c>
      <c r="J3097" s="853">
        <f>I3097*H3097</f>
        <v>1000</v>
      </c>
      <c r="N3097" s="843" t="e">
        <f>SUMIF(#REF!,'8.Dgia'!A3097,#REF!)+SUMIF(#REF!,'8.Dgia'!A3097,#REF!)+SUMIF(#REF!,'8.Dgia'!A3097,#REF!)+SUMIF(#REF!,'8.Dgia'!A3097,#REF!)</f>
        <v>#REF!</v>
      </c>
      <c r="O3097" s="844"/>
      <c r="P3097" s="843" t="e">
        <f t="shared" si="125"/>
        <v>#REF!</v>
      </c>
    </row>
    <row r="3098" spans="1:18" ht="15" customHeight="1">
      <c r="A3098" s="657">
        <f>IF(B3098="",MAX($A$8:A3097)+0,MAX($A$8:A3097)+1)</f>
        <v>373</v>
      </c>
      <c r="B3098" s="835">
        <f>IF(C3098="","",COUNTA($C$10:C3099))</f>
        <v>373</v>
      </c>
      <c r="C3098" s="835">
        <f>IF(D3098="","",1776)</f>
        <v>1776</v>
      </c>
      <c r="D3098" s="851" t="s">
        <v>519</v>
      </c>
      <c r="E3098" s="855" t="s">
        <v>625</v>
      </c>
      <c r="F3098" s="1049" t="str">
        <f>VLOOKUP(E3098,DICH!B:C,2,FALSE)</f>
        <v>Formwork</v>
      </c>
      <c r="G3098" s="856" t="s">
        <v>547</v>
      </c>
      <c r="H3098" s="847"/>
      <c r="I3098" s="848"/>
      <c r="J3098" s="853"/>
      <c r="K3098" s="842">
        <f>+J3099</f>
        <v>623920.3088</v>
      </c>
      <c r="L3098" s="842">
        <f>+J3103</f>
        <v>4785739.1400000006</v>
      </c>
      <c r="M3098" s="842">
        <f>+J3104</f>
        <v>0</v>
      </c>
      <c r="N3098" s="843" t="e">
        <f>SUMIF(#REF!,'8.Dgia'!A3098,#REF!)+SUMIF(#REF!,'8.Dgia'!A3098,#REF!)+SUMIF(#REF!,'8.Dgia'!A3098,#REF!)+SUMIF(#REF!,'8.Dgia'!A3098,#REF!)</f>
        <v>#REF!</v>
      </c>
      <c r="O3098" s="844"/>
      <c r="P3098" s="843" t="e">
        <f t="shared" si="125"/>
        <v>#REF!</v>
      </c>
    </row>
    <row r="3099" spans="1:18" s="658" customFormat="1" ht="15" customHeight="1">
      <c r="A3099" s="657">
        <f>IF(B3099="",MAX($A$8:A3098)+0,MAX($A$8:A3098)+1)</f>
        <v>373</v>
      </c>
      <c r="B3099" s="835" t="str">
        <f>IF(C3099="","",COUNTA($C$10:C3100))</f>
        <v/>
      </c>
      <c r="C3099" s="362"/>
      <c r="D3099" s="845"/>
      <c r="E3099" s="852" t="s">
        <v>2032</v>
      </c>
      <c r="F3099" s="848" t="str">
        <f>VLOOKUP(E3099,DICH!B:C,2,FALSE)</f>
        <v xml:space="preserve">  A - Material</v>
      </c>
      <c r="G3099" s="846"/>
      <c r="H3099" s="847"/>
      <c r="I3099" s="848"/>
      <c r="J3099" s="849">
        <f>SUM(J3100:J3102)</f>
        <v>623920.3088</v>
      </c>
      <c r="K3099" s="850"/>
      <c r="L3099" s="850"/>
      <c r="M3099" s="850"/>
      <c r="N3099" s="843" t="e">
        <f>SUMIF(#REF!,'8.Dgia'!A3099,#REF!)+SUMIF(#REF!,'8.Dgia'!A3099,#REF!)+SUMIF(#REF!,'8.Dgia'!A3099,#REF!)+SUMIF(#REF!,'8.Dgia'!A3099,#REF!)</f>
        <v>#REF!</v>
      </c>
      <c r="O3099" s="844"/>
      <c r="P3099" s="843" t="e">
        <f t="shared" si="125"/>
        <v>#REF!</v>
      </c>
    </row>
    <row r="3100" spans="1:18" ht="15" customHeight="1">
      <c r="A3100" s="657">
        <f>IF(B3100="",MAX($A$8:A3099)+0,MAX($A$8:A3099)+1)</f>
        <v>373</v>
      </c>
      <c r="B3100" s="835" t="str">
        <f>IF(C3100="","",COUNTA($C$10:C3101))</f>
        <v/>
      </c>
      <c r="C3100" s="362"/>
      <c r="D3100" s="851"/>
      <c r="E3100" s="852" t="s">
        <v>134</v>
      </c>
      <c r="F3100" s="848" t="str">
        <f>VLOOKUP(E3100,DICH!B:C,2,FALSE)</f>
        <v>Wooden</v>
      </c>
      <c r="G3100" s="362" t="s">
        <v>545</v>
      </c>
      <c r="H3100" s="847">
        <v>0.123</v>
      </c>
      <c r="I3100" s="848">
        <f>VLOOKUP(E3100,'11.gia '!$B:$I,8,FALSE)</f>
        <v>5000000</v>
      </c>
      <c r="J3100" s="853">
        <f>I3100*H3100</f>
        <v>615000</v>
      </c>
      <c r="N3100" s="843" t="e">
        <f>SUMIF(#REF!,'8.Dgia'!A3100,#REF!)+SUMIF(#REF!,'8.Dgia'!A3100,#REF!)+SUMIF(#REF!,'8.Dgia'!A3100,#REF!)+SUMIF(#REF!,'8.Dgia'!A3100,#REF!)</f>
        <v>#REF!</v>
      </c>
      <c r="O3100" s="844">
        <f>+$H$3102</f>
        <v>1</v>
      </c>
      <c r="P3100" s="843" t="e">
        <f t="shared" si="125"/>
        <v>#REF!</v>
      </c>
    </row>
    <row r="3101" spans="1:18" ht="15" customHeight="1">
      <c r="A3101" s="657">
        <f>IF(B3101="",MAX($A$8:A3100)+0,MAX($A$8:A3100)+1)</f>
        <v>373</v>
      </c>
      <c r="B3101" s="835" t="str">
        <f>IF(C3101="","",COUNTA($C$10:C3102))</f>
        <v/>
      </c>
      <c r="C3101" s="362"/>
      <c r="D3101" s="851"/>
      <c r="E3101" s="852" t="s">
        <v>460</v>
      </c>
      <c r="F3101" s="848" t="str">
        <f>VLOOKUP(E3101,DICH!B:C,2,FALSE)</f>
        <v>Nail</v>
      </c>
      <c r="G3101" s="362" t="s">
        <v>558</v>
      </c>
      <c r="H3101" s="847">
        <v>0.16</v>
      </c>
      <c r="I3101" s="848">
        <f>VLOOKUP(E3101,'11.gia '!$B:$I,8,FALSE)</f>
        <v>17143</v>
      </c>
      <c r="J3101" s="853">
        <f>I3101*H3101</f>
        <v>2742.88</v>
      </c>
      <c r="N3101" s="843" t="e">
        <f>SUMIF(#REF!,'8.Dgia'!A3101,#REF!)+SUMIF(#REF!,'8.Dgia'!A3101,#REF!)+SUMIF(#REF!,'8.Dgia'!A3101,#REF!)+SUMIF(#REF!,'8.Dgia'!A3101,#REF!)</f>
        <v>#REF!</v>
      </c>
      <c r="O3101" s="844">
        <f>+$H$3102</f>
        <v>1</v>
      </c>
      <c r="P3101" s="843" t="e">
        <f t="shared" si="125"/>
        <v>#REF!</v>
      </c>
    </row>
    <row r="3102" spans="1:18" ht="15" customHeight="1">
      <c r="A3102" s="657">
        <f>IF(B3102="",MAX($A$8:A3101)+0,MAX($A$8:A3101)+1)</f>
        <v>373</v>
      </c>
      <c r="B3102" s="835" t="str">
        <f>IF(C3102="","",COUNTA($C$10:C3103))</f>
        <v/>
      </c>
      <c r="C3102" s="362"/>
      <c r="D3102" s="851"/>
      <c r="E3102" s="852" t="s">
        <v>555</v>
      </c>
      <c r="F3102" s="848" t="str">
        <f>VLOOKUP(E3102,DICH!B:C,2,FALSE)</f>
        <v>Other material</v>
      </c>
      <c r="G3102" s="362" t="s">
        <v>554</v>
      </c>
      <c r="H3102" s="847">
        <v>1</v>
      </c>
      <c r="I3102" s="848">
        <f>SUM(J3100:J3101)</f>
        <v>617742.88</v>
      </c>
      <c r="J3102" s="853">
        <f>I3102*H3102%</f>
        <v>6177.4288000000006</v>
      </c>
      <c r="N3102" s="843" t="e">
        <f>SUMIF(#REF!,'8.Dgia'!A3102,#REF!)+SUMIF(#REF!,'8.Dgia'!A3102,#REF!)+SUMIF(#REF!,'8.Dgia'!A3102,#REF!)+SUMIF(#REF!,'8.Dgia'!A3102,#REF!)</f>
        <v>#REF!</v>
      </c>
      <c r="O3102" s="844"/>
      <c r="P3102" s="843" t="e">
        <f t="shared" si="125"/>
        <v>#REF!</v>
      </c>
    </row>
    <row r="3103" spans="1:18" s="658" customFormat="1" ht="15" customHeight="1">
      <c r="A3103" s="657">
        <f>IF(B3103="",MAX($A$8:A3102)+0,MAX($A$8:A3102)+1)</f>
        <v>373</v>
      </c>
      <c r="B3103" s="835" t="str">
        <f>IF(C3103="","",COUNTA($C$10:C3104))</f>
        <v/>
      </c>
      <c r="C3103" s="362"/>
      <c r="D3103" s="845"/>
      <c r="E3103" s="852" t="s">
        <v>2038</v>
      </c>
      <c r="F3103" s="848" t="str">
        <f>VLOOKUP(E3103,DICH!B:C,2,FALSE)</f>
        <v xml:space="preserve">  B - Labour 3.0/7</v>
      </c>
      <c r="G3103" s="362" t="s">
        <v>4899</v>
      </c>
      <c r="H3103" s="847">
        <v>25.62</v>
      </c>
      <c r="I3103" s="848">
        <f>VLOOKUP(E3103,'16.NC'!$C$11:$F$22,4,FALSE)</f>
        <v>186797</v>
      </c>
      <c r="J3103" s="849">
        <f>I3103*H3103</f>
        <v>4785739.1400000006</v>
      </c>
      <c r="K3103" s="850"/>
      <c r="L3103" s="850"/>
      <c r="M3103" s="850"/>
      <c r="N3103" s="843" t="e">
        <f>SUMIF(#REF!,'8.Dgia'!A3103,#REF!)+SUMIF(#REF!,'8.Dgia'!A3103,#REF!)+SUMIF(#REF!,'8.Dgia'!A3103,#REF!)+SUMIF(#REF!,'8.Dgia'!A3103,#REF!)</f>
        <v>#REF!</v>
      </c>
      <c r="O3103" s="844"/>
      <c r="P3103" s="843" t="e">
        <f t="shared" si="125"/>
        <v>#REF!</v>
      </c>
      <c r="R3103" s="658">
        <v>1</v>
      </c>
    </row>
    <row r="3104" spans="1:18" ht="15" customHeight="1">
      <c r="A3104" s="657">
        <f>IF(B3104="",MAX($A$8:A3103)+0,MAX($A$8:A3103)+1)</f>
        <v>374</v>
      </c>
      <c r="B3104" s="835">
        <f>IF(C3104="","",COUNTA($C$10:C3105))</f>
        <v>374</v>
      </c>
      <c r="C3104" s="835">
        <f>IF(D3104="","",1776)</f>
        <v>1776</v>
      </c>
      <c r="D3104" s="362" t="s">
        <v>2134</v>
      </c>
      <c r="E3104" s="855" t="s">
        <v>2135</v>
      </c>
      <c r="F3104" s="1049" t="str">
        <f>VLOOKUP(E3104,DICH!B:C,2,FALSE)</f>
        <v>Pilling wooden pile L&lt;=2.5m, C1</v>
      </c>
      <c r="G3104" s="884" t="s">
        <v>546</v>
      </c>
      <c r="H3104" s="847"/>
      <c r="I3104" s="848"/>
      <c r="J3104" s="853"/>
      <c r="K3104" s="842">
        <f>+J3105</f>
        <v>480907.59574468085</v>
      </c>
      <c r="L3104" s="842">
        <f>+J3110</f>
        <v>440210.54</v>
      </c>
      <c r="N3104" s="843" t="e">
        <f>SUMIF(#REF!,'8.Dgia'!A3104,#REF!)+SUMIF(#REF!,'8.Dgia'!A3104,#REF!)+SUMIF(#REF!,'8.Dgia'!A3104,#REF!)+SUMIF(#REF!,'8.Dgia'!A3104,#REF!)</f>
        <v>#REF!</v>
      </c>
      <c r="O3104" s="844"/>
      <c r="P3104" s="843" t="e">
        <f t="shared" si="125"/>
        <v>#REF!</v>
      </c>
    </row>
    <row r="3105" spans="1:18" ht="15" customHeight="1">
      <c r="A3105" s="657">
        <f>IF(B3105="",MAX($A$8:A3104)+0,MAX($A$8:A3104)+1)</f>
        <v>374</v>
      </c>
      <c r="B3105" s="835" t="str">
        <f>IF(C3105="","",COUNTA($C$10:C3106))</f>
        <v/>
      </c>
      <c r="C3105" s="362"/>
      <c r="D3105" s="362"/>
      <c r="E3105" s="852" t="s">
        <v>2032</v>
      </c>
      <c r="F3105" s="848" t="str">
        <f>VLOOKUP(E3105,DICH!B:C,2,FALSE)</f>
        <v xml:space="preserve">  A - Material</v>
      </c>
      <c r="G3105" s="883"/>
      <c r="H3105" s="847"/>
      <c r="I3105" s="848"/>
      <c r="J3105" s="849">
        <f>SUM(J3106:J3109)</f>
        <v>480907.59574468085</v>
      </c>
      <c r="N3105" s="843" t="e">
        <f>SUMIF(#REF!,'8.Dgia'!A3105,#REF!)+SUMIF(#REF!,'8.Dgia'!A3105,#REF!)+SUMIF(#REF!,'8.Dgia'!A3105,#REF!)+SUMIF(#REF!,'8.Dgia'!A3105,#REF!)</f>
        <v>#REF!</v>
      </c>
      <c r="O3105" s="844"/>
      <c r="P3105" s="843" t="e">
        <f t="shared" si="125"/>
        <v>#REF!</v>
      </c>
    </row>
    <row r="3106" spans="1:18" ht="15" customHeight="1">
      <c r="A3106" s="657">
        <f>IF(B3106="",MAX($A$8:A3105)+0,MAX($A$8:A3105)+1)</f>
        <v>374</v>
      </c>
      <c r="B3106" s="835" t="str">
        <f>IF(C3106="","",COUNTA($C$10:C3107))</f>
        <v/>
      </c>
      <c r="C3106" s="362"/>
      <c r="D3106" s="362"/>
      <c r="E3106" s="852" t="s">
        <v>463</v>
      </c>
      <c r="F3106" s="848" t="str">
        <f>VLOOKUP(E3106,DICH!B:C,2,FALSE)</f>
        <v>Wooden pile</v>
      </c>
      <c r="G3106" s="883" t="s">
        <v>543</v>
      </c>
      <c r="H3106" s="847">
        <v>105</v>
      </c>
      <c r="I3106" s="848">
        <f>VLOOKUP(E3106,'11.gia '!$B:$I,8,FALSE)</f>
        <v>3617.0212765957444</v>
      </c>
      <c r="J3106" s="853">
        <f>I3106*H3106</f>
        <v>379787.23404255317</v>
      </c>
      <c r="N3106" s="843" t="e">
        <f>SUMIF(#REF!,'8.Dgia'!A3106,#REF!)+SUMIF(#REF!,'8.Dgia'!A3106,#REF!)+SUMIF(#REF!,'8.Dgia'!A3106,#REF!)+SUMIF(#REF!,'8.Dgia'!A3106,#REF!)</f>
        <v>#REF!</v>
      </c>
      <c r="O3106" s="844">
        <f>+$H$3109</f>
        <v>5</v>
      </c>
      <c r="P3106" s="843" t="e">
        <f t="shared" si="125"/>
        <v>#REF!</v>
      </c>
    </row>
    <row r="3107" spans="1:18" ht="15" customHeight="1">
      <c r="A3107" s="657">
        <f>IF(B3107="",MAX($A$8:A3106)+0,MAX($A$8:A3106)+1)</f>
        <v>374</v>
      </c>
      <c r="B3107" s="835" t="str">
        <f>IF(C3107="","",COUNTA($C$10:C3108))</f>
        <v/>
      </c>
      <c r="C3107" s="362"/>
      <c r="D3107" s="362"/>
      <c r="E3107" s="852" t="s">
        <v>273</v>
      </c>
      <c r="F3107" s="848" t="str">
        <f>VLOOKUP(E3107,DICH!B:C,2,FALSE)</f>
        <v>Strut</v>
      </c>
      <c r="G3107" s="883" t="s">
        <v>462</v>
      </c>
      <c r="H3107" s="847">
        <v>1.66</v>
      </c>
      <c r="I3107" s="848">
        <f>VLOOKUP(E3107,'11.gia '!$B:$I,8,FALSE)</f>
        <v>17000</v>
      </c>
      <c r="J3107" s="853">
        <f>I3107*H3107</f>
        <v>28220</v>
      </c>
      <c r="M3107" s="872"/>
      <c r="N3107" s="843" t="e">
        <f>SUMIF(#REF!,'8.Dgia'!A3107,#REF!)+SUMIF(#REF!,'8.Dgia'!A3107,#REF!)+SUMIF(#REF!,'8.Dgia'!A3107,#REF!)+SUMIF(#REF!,'8.Dgia'!A3107,#REF!)</f>
        <v>#REF!</v>
      </c>
      <c r="O3107" s="844">
        <f>+$H$3109</f>
        <v>5</v>
      </c>
      <c r="P3107" s="843" t="e">
        <f t="shared" si="125"/>
        <v>#REF!</v>
      </c>
    </row>
    <row r="3108" spans="1:18" ht="15" customHeight="1">
      <c r="A3108" s="657">
        <f>IF(B3108="",MAX($A$8:A3107)+0,MAX($A$8:A3107)+1)</f>
        <v>374</v>
      </c>
      <c r="B3108" s="835" t="str">
        <f>IF(C3108="","",COUNTA($C$10:C3109))</f>
        <v/>
      </c>
      <c r="C3108" s="362"/>
      <c r="D3108" s="362"/>
      <c r="E3108" s="852" t="s">
        <v>134</v>
      </c>
      <c r="F3108" s="848" t="str">
        <f>VLOOKUP(E3108,DICH!B:C,2,FALSE)</f>
        <v>Wooden</v>
      </c>
      <c r="G3108" s="847" t="s">
        <v>545</v>
      </c>
      <c r="H3108" s="847">
        <v>0.01</v>
      </c>
      <c r="I3108" s="848">
        <f>VLOOKUP(E3108,'11.gia '!$B:$I,8,FALSE)</f>
        <v>5000000</v>
      </c>
      <c r="J3108" s="853">
        <f>I3108*H3108</f>
        <v>50000</v>
      </c>
      <c r="M3108" s="872"/>
      <c r="N3108" s="843" t="e">
        <f>SUMIF(#REF!,'8.Dgia'!A3108,#REF!)+SUMIF(#REF!,'8.Dgia'!A3108,#REF!)+SUMIF(#REF!,'8.Dgia'!A3108,#REF!)+SUMIF(#REF!,'8.Dgia'!A3108,#REF!)</f>
        <v>#REF!</v>
      </c>
      <c r="O3108" s="844">
        <f>+$H$3109</f>
        <v>5</v>
      </c>
      <c r="P3108" s="843" t="e">
        <f t="shared" si="125"/>
        <v>#REF!</v>
      </c>
    </row>
    <row r="3109" spans="1:18" ht="15" customHeight="1">
      <c r="A3109" s="657">
        <f>IF(B3109="",MAX($A$8:A3108)+0,MAX($A$8:A3108)+1)</f>
        <v>374</v>
      </c>
      <c r="B3109" s="835" t="str">
        <f>IF(C3109="","",COUNTA($C$10:C3110))</f>
        <v/>
      </c>
      <c r="C3109" s="362"/>
      <c r="D3109" s="362"/>
      <c r="E3109" s="852" t="s">
        <v>555</v>
      </c>
      <c r="F3109" s="848" t="str">
        <f>VLOOKUP(E3109,DICH!B:C,2,FALSE)</f>
        <v>Other material</v>
      </c>
      <c r="G3109" s="362" t="s">
        <v>554</v>
      </c>
      <c r="H3109" s="847">
        <v>5</v>
      </c>
      <c r="I3109" s="848">
        <f>SUM(J3106:J3108)</f>
        <v>458007.23404255317</v>
      </c>
      <c r="J3109" s="853">
        <f>I3109*H3109%</f>
        <v>22900.361702127659</v>
      </c>
      <c r="M3109" s="872"/>
      <c r="N3109" s="843" t="e">
        <f>SUMIF(#REF!,'8.Dgia'!A3109,#REF!)+SUMIF(#REF!,'8.Dgia'!A3109,#REF!)+SUMIF(#REF!,'8.Dgia'!A3109,#REF!)+SUMIF(#REF!,'8.Dgia'!A3109,#REF!)</f>
        <v>#REF!</v>
      </c>
      <c r="O3109" s="844"/>
      <c r="P3109" s="843" t="e">
        <f t="shared" si="125"/>
        <v>#REF!</v>
      </c>
    </row>
    <row r="3110" spans="1:18" ht="15" customHeight="1">
      <c r="A3110" s="657">
        <f>IF(B3110="",MAX($A$8:A3109)+0,MAX($A$8:A3109)+1)</f>
        <v>374</v>
      </c>
      <c r="B3110" s="835" t="str">
        <f>IF(C3110="","",COUNTA($C$10:C3111))</f>
        <v/>
      </c>
      <c r="C3110" s="362"/>
      <c r="D3110" s="362"/>
      <c r="E3110" s="852" t="s">
        <v>2037</v>
      </c>
      <c r="F3110" s="848" t="str">
        <f>VLOOKUP(E3110,DICH!B:C,2,FALSE)</f>
        <v xml:space="preserve">  B - Labour 3.5/7</v>
      </c>
      <c r="G3110" s="883" t="s">
        <v>4899</v>
      </c>
      <c r="H3110" s="847">
        <v>2.17</v>
      </c>
      <c r="I3110" s="848">
        <f>VLOOKUP(E3110,'16.NC'!$C$11:$F$22,4,FALSE)</f>
        <v>202862</v>
      </c>
      <c r="J3110" s="849">
        <f>I3110*H3110</f>
        <v>440210.54</v>
      </c>
      <c r="M3110" s="872"/>
      <c r="N3110" s="843" t="e">
        <f>SUMIF(#REF!,'8.Dgia'!A3110,#REF!)+SUMIF(#REF!,'8.Dgia'!A3110,#REF!)+SUMIF(#REF!,'8.Dgia'!A3110,#REF!)+SUMIF(#REF!,'8.Dgia'!A3110,#REF!)</f>
        <v>#REF!</v>
      </c>
      <c r="O3110" s="844"/>
      <c r="P3110" s="843" t="e">
        <f t="shared" si="125"/>
        <v>#REF!</v>
      </c>
      <c r="R3110" s="658">
        <v>1</v>
      </c>
    </row>
    <row r="3111" spans="1:18" ht="25.5">
      <c r="A3111" s="657">
        <f>IF(B3111="",MAX($A$8:A3110)+0,MAX($A$8:A3110)+1)</f>
        <v>375</v>
      </c>
      <c r="B3111" s="835">
        <f>IF(C3111="","",COUNTA($C$10:C3112))</f>
        <v>375</v>
      </c>
      <c r="C3111" s="835">
        <f>IF(D3111="","",1776)</f>
        <v>1776</v>
      </c>
      <c r="D3111" s="851" t="s">
        <v>2164</v>
      </c>
      <c r="E3111" s="855" t="s">
        <v>2147</v>
      </c>
      <c r="F3111" s="1049" t="str">
        <f>VLOOKUP(E3111,DICH!B:C,2,FALSE)</f>
        <v>Driving steel sheet pile (land), L&gt;12m, soil C1 (not on land, HS=0.75)</v>
      </c>
      <c r="G3111" s="856" t="s">
        <v>546</v>
      </c>
      <c r="H3111" s="847">
        <v>0.75</v>
      </c>
      <c r="I3111" s="848"/>
      <c r="J3111" s="853"/>
      <c r="L3111" s="842">
        <f>+J3112</f>
        <v>1428498.6749999998</v>
      </c>
      <c r="M3111" s="842">
        <f>+J3113</f>
        <v>6034809.445114091</v>
      </c>
      <c r="N3111" s="843" t="e">
        <f>SUMIF(#REF!,'8.Dgia'!A3111,#REF!)+SUMIF(#REF!,'8.Dgia'!A3111,#REF!)+SUMIF(#REF!,'8.Dgia'!A3111,#REF!)+SUMIF(#REF!,'8.Dgia'!A3111,#REF!)</f>
        <v>#REF!</v>
      </c>
      <c r="O3111" s="844"/>
      <c r="P3111" s="843" t="e">
        <f t="shared" si="125"/>
        <v>#REF!</v>
      </c>
    </row>
    <row r="3112" spans="1:18" s="658" customFormat="1" ht="15" customHeight="1">
      <c r="A3112" s="657">
        <f>IF(B3112="",MAX($A$8:A3111)+0,MAX($A$8:A3111)+1)</f>
        <v>375</v>
      </c>
      <c r="B3112" s="835" t="str">
        <f>IF(C3112="","",COUNTA($C$10:C3113))</f>
        <v/>
      </c>
      <c r="C3112" s="362"/>
      <c r="D3112" s="845"/>
      <c r="E3112" s="852" t="s">
        <v>2039</v>
      </c>
      <c r="F3112" s="848" t="str">
        <f>VLOOKUP(E3112,DICH!B:C,2,FALSE)</f>
        <v xml:space="preserve">  B - Labour 4.0/7</v>
      </c>
      <c r="G3112" s="362" t="s">
        <v>4899</v>
      </c>
      <c r="H3112" s="847">
        <f>8.7*H3111</f>
        <v>6.5249999999999995</v>
      </c>
      <c r="I3112" s="848">
        <f>VLOOKUP(E3112,'16.NC'!$C$11:$F$22,4,FALSE)</f>
        <v>218927</v>
      </c>
      <c r="J3112" s="849">
        <f>I3112*H3112</f>
        <v>1428498.6749999998</v>
      </c>
      <c r="K3112" s="850"/>
      <c r="L3112" s="850"/>
      <c r="M3112" s="850"/>
      <c r="N3112" s="843" t="e">
        <f>SUMIF(#REF!,'8.Dgia'!A3112,#REF!)+SUMIF(#REF!,'8.Dgia'!A3112,#REF!)+SUMIF(#REF!,'8.Dgia'!A3112,#REF!)+SUMIF(#REF!,'8.Dgia'!A3112,#REF!)</f>
        <v>#REF!</v>
      </c>
      <c r="O3112" s="844"/>
      <c r="P3112" s="843" t="e">
        <f t="shared" si="125"/>
        <v>#REF!</v>
      </c>
      <c r="R3112" s="658">
        <v>1</v>
      </c>
    </row>
    <row r="3113" spans="1:18" s="658" customFormat="1" ht="15" customHeight="1">
      <c r="A3113" s="657">
        <f>IF(B3113="",MAX($A$8:A3112)+0,MAX($A$8:A3112)+1)</f>
        <v>375</v>
      </c>
      <c r="B3113" s="835" t="str">
        <f>IF(C3113="","",COUNTA($C$10:C3114))</f>
        <v/>
      </c>
      <c r="C3113" s="362"/>
      <c r="D3113" s="845"/>
      <c r="E3113" s="852" t="s">
        <v>2033</v>
      </c>
      <c r="F3113" s="848" t="str">
        <f>VLOOKUP(E3113,DICH!B:C,2,FALSE)</f>
        <v xml:space="preserve">  C - Machine</v>
      </c>
      <c r="G3113" s="846"/>
      <c r="H3113" s="847"/>
      <c r="I3113" s="848"/>
      <c r="J3113" s="849">
        <f>SUM(J3114:J3115)</f>
        <v>6034809.445114091</v>
      </c>
      <c r="K3113" s="850"/>
      <c r="L3113" s="850"/>
      <c r="M3113" s="850"/>
      <c r="N3113" s="843" t="e">
        <f>SUMIF(#REF!,'8.Dgia'!A3113,#REF!)+SUMIF(#REF!,'8.Dgia'!A3113,#REF!)+SUMIF(#REF!,'8.Dgia'!A3113,#REF!)+SUMIF(#REF!,'8.Dgia'!A3113,#REF!)</f>
        <v>#REF!</v>
      </c>
      <c r="O3113" s="844"/>
      <c r="P3113" s="843" t="e">
        <f t="shared" si="125"/>
        <v>#REF!</v>
      </c>
    </row>
    <row r="3114" spans="1:18" ht="15" customHeight="1">
      <c r="A3114" s="657">
        <f>IF(B3114="",MAX($A$8:A3113)+0,MAX($A$8:A3113)+1)</f>
        <v>375</v>
      </c>
      <c r="B3114" s="835" t="str">
        <f>IF(C3114="","",COUNTA($C$10:C3115))</f>
        <v/>
      </c>
      <c r="C3114" s="362"/>
      <c r="D3114" s="851"/>
      <c r="E3114" s="852" t="s">
        <v>1501</v>
      </c>
      <c r="F3114" s="848" t="str">
        <f>VLOOKUP(E3114,'9.may'!E:F,2,FALSE)</f>
        <v>pile driver, diesel self-propelled hammer 1.8T</v>
      </c>
      <c r="G3114" s="362" t="s">
        <v>4902</v>
      </c>
      <c r="H3114" s="847">
        <f>2.9*H3111</f>
        <v>2.1749999999999998</v>
      </c>
      <c r="I3114" s="848">
        <f>VLOOKUP(E3114,'9.may'!E:W,12,FALSE)</f>
        <v>2693810.7109090909</v>
      </c>
      <c r="J3114" s="853">
        <f>I3114*H3114</f>
        <v>5859038.2962272726</v>
      </c>
      <c r="N3114" s="843" t="e">
        <f>SUMIF(#REF!,'8.Dgia'!A3114,#REF!)+SUMIF(#REF!,'8.Dgia'!A3114,#REF!)+SUMIF(#REF!,'8.Dgia'!A3114,#REF!)+SUMIF(#REF!,'8.Dgia'!A3114,#REF!)</f>
        <v>#REF!</v>
      </c>
      <c r="O3114" s="844">
        <f>+$H$3115</f>
        <v>3</v>
      </c>
      <c r="P3114" s="843" t="e">
        <f t="shared" si="125"/>
        <v>#REF!</v>
      </c>
    </row>
    <row r="3115" spans="1:18" ht="15" customHeight="1">
      <c r="A3115" s="657">
        <f>IF(B3115="",MAX($A$8:A3114)+0,MAX($A$8:A3114)+1)</f>
        <v>375</v>
      </c>
      <c r="B3115" s="835" t="str">
        <f>IF(C3115="","",COUNTA($C$10:C3116))</f>
        <v/>
      </c>
      <c r="C3115" s="362"/>
      <c r="D3115" s="851"/>
      <c r="E3115" s="852" t="s">
        <v>553</v>
      </c>
      <c r="F3115" s="848" t="str">
        <f>VLOOKUP(E3115,DICH!B:C,2,FALSE)</f>
        <v>Other machine</v>
      </c>
      <c r="G3115" s="362" t="s">
        <v>554</v>
      </c>
      <c r="H3115" s="847">
        <v>3</v>
      </c>
      <c r="I3115" s="848">
        <f>SUM(J3114:J3114)</f>
        <v>5859038.2962272726</v>
      </c>
      <c r="J3115" s="853">
        <f>I3115*H3115%</f>
        <v>175771.14888681818</v>
      </c>
      <c r="N3115" s="843" t="e">
        <f>SUMIF(#REF!,'8.Dgia'!A3115,#REF!)+SUMIF(#REF!,'8.Dgia'!A3115,#REF!)+SUMIF(#REF!,'8.Dgia'!A3115,#REF!)+SUMIF(#REF!,'8.Dgia'!A3115,#REF!)</f>
        <v>#REF!</v>
      </c>
      <c r="O3115" s="844"/>
      <c r="P3115" s="843" t="e">
        <f t="shared" si="125"/>
        <v>#REF!</v>
      </c>
    </row>
    <row r="3116" spans="1:18" ht="24.75" customHeight="1">
      <c r="A3116" s="657">
        <f>IF(B3116="",MAX($A$8:A3115)+0,MAX($A$8:A3115)+1)</f>
        <v>376</v>
      </c>
      <c r="B3116" s="835">
        <f>IF(C3116="","",COUNTA($C$10:C3117))</f>
        <v>376</v>
      </c>
      <c r="C3116" s="835">
        <f>IF(D3116="","",1776)</f>
        <v>1776</v>
      </c>
      <c r="D3116" s="851" t="s">
        <v>2163</v>
      </c>
      <c r="E3116" s="855" t="s">
        <v>2149</v>
      </c>
      <c r="F3116" s="1049" t="str">
        <f>VLOOKUP(E3116,DICH!B:C,2,FALSE)</f>
        <v>Driven steel pile on land, L&gt;10m, soil C1 (not on land, HS=0.75)</v>
      </c>
      <c r="G3116" s="856" t="s">
        <v>546</v>
      </c>
      <c r="H3116" s="847">
        <v>0.75</v>
      </c>
      <c r="I3116" s="848"/>
      <c r="J3116" s="853"/>
      <c r="L3116" s="842">
        <f>+J3117</f>
        <v>1031146.17</v>
      </c>
      <c r="M3116" s="842">
        <f>+J3118</f>
        <v>3473023.4906035769</v>
      </c>
      <c r="N3116" s="843" t="e">
        <f>SUMIF(#REF!,'8.Dgia'!A3116,#REF!)+SUMIF(#REF!,'8.Dgia'!A3116,#REF!)+SUMIF(#REF!,'8.Dgia'!A3116,#REF!)+SUMIF(#REF!,'8.Dgia'!A3116,#REF!)</f>
        <v>#REF!</v>
      </c>
      <c r="O3116" s="844"/>
      <c r="P3116" s="843" t="e">
        <f t="shared" ref="P3116:P3193" si="128">$H3116*N3116*(1+O3116%)</f>
        <v>#REF!</v>
      </c>
    </row>
    <row r="3117" spans="1:18" s="658" customFormat="1" ht="15" customHeight="1">
      <c r="A3117" s="657">
        <f>IF(B3117="",MAX($A$8:A3116)+0,MAX($A$8:A3116)+1)</f>
        <v>376</v>
      </c>
      <c r="B3117" s="835" t="str">
        <f>IF(C3117="","",COUNTA($C$10:C3118))</f>
        <v/>
      </c>
      <c r="C3117" s="362"/>
      <c r="D3117" s="845"/>
      <c r="E3117" s="852" t="s">
        <v>2039</v>
      </c>
      <c r="F3117" s="848" t="str">
        <f>VLOOKUP(E3117,DICH!B:C,2,FALSE)</f>
        <v xml:space="preserve">  B - Labour 4.0/7</v>
      </c>
      <c r="G3117" s="362" t="s">
        <v>4899</v>
      </c>
      <c r="H3117" s="847">
        <f>6.28*H3116</f>
        <v>4.71</v>
      </c>
      <c r="I3117" s="848">
        <f>VLOOKUP(E3117,'16.NC'!$C$11:$F$22,4,FALSE)</f>
        <v>218927</v>
      </c>
      <c r="J3117" s="849">
        <f>I3117*H3117</f>
        <v>1031146.17</v>
      </c>
      <c r="K3117" s="850"/>
      <c r="L3117" s="850"/>
      <c r="M3117" s="850"/>
      <c r="N3117" s="843" t="e">
        <f>SUMIF(#REF!,'8.Dgia'!A3117,#REF!)+SUMIF(#REF!,'8.Dgia'!A3117,#REF!)+SUMIF(#REF!,'8.Dgia'!A3117,#REF!)+SUMIF(#REF!,'8.Dgia'!A3117,#REF!)</f>
        <v>#REF!</v>
      </c>
      <c r="O3117" s="844"/>
      <c r="P3117" s="843" t="e">
        <f t="shared" si="128"/>
        <v>#REF!</v>
      </c>
      <c r="R3117" s="658">
        <v>1</v>
      </c>
    </row>
    <row r="3118" spans="1:18" s="658" customFormat="1" ht="15" customHeight="1">
      <c r="A3118" s="657">
        <f>IF(B3118="",MAX($A$8:A3117)+0,MAX($A$8:A3117)+1)</f>
        <v>376</v>
      </c>
      <c r="B3118" s="835" t="str">
        <f>IF(C3118="","",COUNTA($C$10:C3119))</f>
        <v/>
      </c>
      <c r="C3118" s="362"/>
      <c r="D3118" s="845"/>
      <c r="E3118" s="852" t="s">
        <v>2033</v>
      </c>
      <c r="F3118" s="848" t="str">
        <f>VLOOKUP(E3118,DICH!B:C,2,FALSE)</f>
        <v xml:space="preserve">  C - Machine</v>
      </c>
      <c r="G3118" s="846"/>
      <c r="H3118" s="847"/>
      <c r="I3118" s="848"/>
      <c r="J3118" s="849">
        <f>SUM(J3119:J3120)</f>
        <v>3473023.4906035769</v>
      </c>
      <c r="K3118" s="850"/>
      <c r="L3118" s="850"/>
      <c r="M3118" s="850"/>
      <c r="N3118" s="843" t="e">
        <f>SUMIF(#REF!,'8.Dgia'!A3118,#REF!)+SUMIF(#REF!,'8.Dgia'!A3118,#REF!)+SUMIF(#REF!,'8.Dgia'!A3118,#REF!)+SUMIF(#REF!,'8.Dgia'!A3118,#REF!)</f>
        <v>#REF!</v>
      </c>
      <c r="O3118" s="844"/>
      <c r="P3118" s="843" t="e">
        <f t="shared" si="128"/>
        <v>#REF!</v>
      </c>
    </row>
    <row r="3119" spans="1:18" ht="15" customHeight="1">
      <c r="A3119" s="657">
        <f>IF(B3119="",MAX($A$8:A3118)+0,MAX($A$8:A3118)+1)</f>
        <v>376</v>
      </c>
      <c r="B3119" s="835" t="str">
        <f>IF(C3119="","",COUNTA($C$10:C3120))</f>
        <v/>
      </c>
      <c r="C3119" s="362"/>
      <c r="D3119" s="851"/>
      <c r="E3119" s="852" t="s">
        <v>270</v>
      </c>
      <c r="F3119" s="848" t="str">
        <f>VLOOKUP(E3119,'9.may'!E:F,2,FALSE)</f>
        <v>pile driver, diesel hammer 1.2T</v>
      </c>
      <c r="G3119" s="362" t="s">
        <v>4902</v>
      </c>
      <c r="H3119" s="847">
        <f>3.14*H3116</f>
        <v>2.355</v>
      </c>
      <c r="I3119" s="848">
        <f>VLOOKUP(E3119,'9.may'!E:W,12,FALSE)</f>
        <v>1452950.327090909</v>
      </c>
      <c r="J3119" s="853">
        <f>I3119*H3119</f>
        <v>3421698.0202990905</v>
      </c>
      <c r="N3119" s="843" t="e">
        <f>SUMIF(#REF!,'8.Dgia'!A3119,#REF!)+SUMIF(#REF!,'8.Dgia'!A3119,#REF!)+SUMIF(#REF!,'8.Dgia'!A3119,#REF!)+SUMIF(#REF!,'8.Dgia'!A3119,#REF!)</f>
        <v>#REF!</v>
      </c>
      <c r="O3119" s="844">
        <f>+$H$3120</f>
        <v>1.5</v>
      </c>
      <c r="P3119" s="843" t="e">
        <f t="shared" si="128"/>
        <v>#REF!</v>
      </c>
    </row>
    <row r="3120" spans="1:18" ht="15" customHeight="1">
      <c r="A3120" s="657">
        <f>IF(B3120="",MAX($A$8:A3119)+0,MAX($A$8:A3119)+1)</f>
        <v>376</v>
      </c>
      <c r="B3120" s="835" t="str">
        <f>IF(C3120="","",COUNTA($C$10:C3121))</f>
        <v/>
      </c>
      <c r="C3120" s="362"/>
      <c r="D3120" s="851"/>
      <c r="E3120" s="852" t="s">
        <v>553</v>
      </c>
      <c r="F3120" s="848" t="str">
        <f>VLOOKUP(E3120,DICH!B:C,2,FALSE)</f>
        <v>Other machine</v>
      </c>
      <c r="G3120" s="362" t="s">
        <v>554</v>
      </c>
      <c r="H3120" s="847">
        <v>1.5</v>
      </c>
      <c r="I3120" s="848">
        <f>SUM(J3119:J3119)</f>
        <v>3421698.0202990905</v>
      </c>
      <c r="J3120" s="853">
        <f>I3120*H3120%</f>
        <v>51325.470304486356</v>
      </c>
      <c r="N3120" s="843" t="e">
        <f>SUMIF(#REF!,'8.Dgia'!A3120,#REF!)+SUMIF(#REF!,'8.Dgia'!A3120,#REF!)+SUMIF(#REF!,'8.Dgia'!A3120,#REF!)+SUMIF(#REF!,'8.Dgia'!A3120,#REF!)</f>
        <v>#REF!</v>
      </c>
      <c r="O3120" s="844"/>
      <c r="P3120" s="843" t="e">
        <f t="shared" si="128"/>
        <v>#REF!</v>
      </c>
    </row>
    <row r="3121" spans="1:18" ht="24.75" customHeight="1">
      <c r="A3121" s="657">
        <f>IF(B3121="",MAX($A$8:A3120)+0,MAX($A$8:A3120)+1)</f>
        <v>377</v>
      </c>
      <c r="B3121" s="835">
        <f>IF(C3121="","",COUNTA($C$10:C3122))</f>
        <v>377</v>
      </c>
      <c r="C3121" s="835">
        <f>IF(D3121="","",1776)</f>
        <v>1776</v>
      </c>
      <c r="D3121" s="851" t="s">
        <v>2163</v>
      </c>
      <c r="E3121" s="855" t="s">
        <v>5162</v>
      </c>
      <c r="F3121" s="1049" t="str">
        <f>VLOOKUP(E3121,[5]DICH!B$1:C$65536,2,FALSE)</f>
        <v>Driven steel pile on land, L&lt;10m, soil C1 (not on land, HS=0.75)</v>
      </c>
      <c r="G3121" s="856" t="s">
        <v>546</v>
      </c>
      <c r="H3121" s="847">
        <v>0.75</v>
      </c>
      <c r="I3121" s="848"/>
      <c r="J3121" s="853"/>
      <c r="L3121" s="842">
        <f>+J3122</f>
        <v>729026.91</v>
      </c>
      <c r="M3121" s="842">
        <f>+J3123</f>
        <v>2467545.5404984904</v>
      </c>
      <c r="N3121" s="843" t="e">
        <f>SUMIF(#REF!,'8.Dgia'!A3121,#REF!)+SUMIF(#REF!,'8.Dgia'!A3121,#REF!)+SUMIF(#REF!,'8.Dgia'!A3121,#REF!)+SUMIF(#REF!,'8.Dgia'!A3121,#REF!)</f>
        <v>#REF!</v>
      </c>
      <c r="O3121" s="844"/>
      <c r="P3121" s="843" t="e">
        <f>$H3121*N3121*(1+O3121%)</f>
        <v>#REF!</v>
      </c>
    </row>
    <row r="3122" spans="1:18" s="658" customFormat="1" ht="15" customHeight="1">
      <c r="A3122" s="657">
        <f>IF(B3122="",MAX($A$8:A3121)+0,MAX($A$8:A3121)+1)</f>
        <v>377</v>
      </c>
      <c r="B3122" s="835" t="str">
        <f>IF(C3122="","",COUNTA($C$10:C3123))</f>
        <v/>
      </c>
      <c r="C3122" s="362"/>
      <c r="D3122" s="845"/>
      <c r="E3122" s="852" t="s">
        <v>2039</v>
      </c>
      <c r="F3122" s="848" t="str">
        <f>VLOOKUP(E3122,DICH!B:C,2,FALSE)</f>
        <v xml:space="preserve">  B - Labour 4.0/7</v>
      </c>
      <c r="G3122" s="362" t="s">
        <v>4899</v>
      </c>
      <c r="H3122" s="847">
        <f>4.44*H3121</f>
        <v>3.33</v>
      </c>
      <c r="I3122" s="848">
        <f>VLOOKUP(E3122,'16.NC'!$C$11:$F$22,4,FALSE)</f>
        <v>218927</v>
      </c>
      <c r="J3122" s="849">
        <f>I3122*H3122</f>
        <v>729026.91</v>
      </c>
      <c r="K3122" s="850"/>
      <c r="L3122" s="850"/>
      <c r="M3122" s="850"/>
      <c r="N3122" s="843" t="e">
        <f>SUMIF(#REF!,'8.Dgia'!A3122,#REF!)+SUMIF(#REF!,'8.Dgia'!A3122,#REF!)+SUMIF(#REF!,'8.Dgia'!A3122,#REF!)+SUMIF(#REF!,'8.Dgia'!A3122,#REF!)</f>
        <v>#REF!</v>
      </c>
      <c r="O3122" s="844"/>
      <c r="P3122" s="843" t="e">
        <f>$H3122*N3122*(1+O3122%)</f>
        <v>#REF!</v>
      </c>
      <c r="R3122" s="658">
        <v>1</v>
      </c>
    </row>
    <row r="3123" spans="1:18" s="658" customFormat="1" ht="15" customHeight="1">
      <c r="A3123" s="657">
        <f>IF(B3123="",MAX($A$8:A3122)+0,MAX($A$8:A3122)+1)</f>
        <v>377</v>
      </c>
      <c r="B3123" s="835" t="str">
        <f>IF(C3123="","",COUNTA($C$10:C3124))</f>
        <v/>
      </c>
      <c r="C3123" s="362"/>
      <c r="D3123" s="845"/>
      <c r="E3123" s="852" t="s">
        <v>2033</v>
      </c>
      <c r="F3123" s="848" t="str">
        <f>VLOOKUP(E3123,DICH!B:C,2,FALSE)</f>
        <v xml:space="preserve">  C - Machine</v>
      </c>
      <c r="G3123" s="846"/>
      <c r="H3123" s="847"/>
      <c r="I3123" s="848"/>
      <c r="J3123" s="849">
        <f>SUM(J3124:J3125)</f>
        <v>2467545.5404984904</v>
      </c>
      <c r="K3123" s="850"/>
      <c r="L3123" s="850"/>
      <c r="M3123" s="850"/>
      <c r="N3123" s="843" t="e">
        <f>SUMIF(#REF!,'8.Dgia'!A3123,#REF!)+SUMIF(#REF!,'8.Dgia'!A3123,#REF!)+SUMIF(#REF!,'8.Dgia'!A3123,#REF!)+SUMIF(#REF!,'8.Dgia'!A3123,#REF!)</f>
        <v>#REF!</v>
      </c>
      <c r="O3123" s="844"/>
      <c r="P3123" s="843" t="e">
        <f>$H3123*N3123*(1+O3123%)</f>
        <v>#REF!</v>
      </c>
    </row>
    <row r="3124" spans="1:18" ht="15" customHeight="1">
      <c r="A3124" s="657">
        <f>IF(B3124="",MAX($A$8:A3123)+0,MAX($A$8:A3123)+1)</f>
        <v>377</v>
      </c>
      <c r="B3124" s="835" t="str">
        <f>IF(C3124="","",COUNTA($C$10:C3125))</f>
        <v/>
      </c>
      <c r="C3124" s="362"/>
      <c r="D3124" s="851"/>
      <c r="E3124" s="852" t="s">
        <v>270</v>
      </c>
      <c r="F3124" s="848" t="str">
        <f>VLOOKUP(E3124,'9.may'!E:F,2,FALSE)</f>
        <v>pile driver, diesel hammer 1.2T</v>
      </c>
      <c r="G3124" s="362" t="s">
        <v>4902</v>
      </c>
      <c r="H3124" s="847">
        <f>2.22*H3121</f>
        <v>1.665</v>
      </c>
      <c r="I3124" s="848">
        <f>VLOOKUP(E3124,'9.may'!E:W,12,FALSE)</f>
        <v>1452950.327090909</v>
      </c>
      <c r="J3124" s="853">
        <f>I3124*H3124</f>
        <v>2419162.2946063634</v>
      </c>
      <c r="N3124" s="843" t="e">
        <f>SUMIF(#REF!,'8.Dgia'!A3124,#REF!)+SUMIF(#REF!,'8.Dgia'!A3124,#REF!)+SUMIF(#REF!,'8.Dgia'!A3124,#REF!)+SUMIF(#REF!,'8.Dgia'!A3124,#REF!)</f>
        <v>#REF!</v>
      </c>
      <c r="O3124" s="844">
        <v>2</v>
      </c>
      <c r="P3124" s="843" t="e">
        <f>$H3124*N3124*(1+O3124%)</f>
        <v>#REF!</v>
      </c>
    </row>
    <row r="3125" spans="1:18" ht="15" customHeight="1">
      <c r="A3125" s="657">
        <f>IF(B3125="",MAX($A$8:A3124)+0,MAX($A$8:A3124)+1)</f>
        <v>377</v>
      </c>
      <c r="B3125" s="835" t="str">
        <f>IF(C3125="","",COUNTA($C$10:C3126))</f>
        <v/>
      </c>
      <c r="C3125" s="362"/>
      <c r="D3125" s="851"/>
      <c r="E3125" s="852" t="s">
        <v>553</v>
      </c>
      <c r="F3125" s="848" t="str">
        <f>VLOOKUP(E3125,DICH!B:C,2,FALSE)</f>
        <v>Other machine</v>
      </c>
      <c r="G3125" s="362" t="s">
        <v>554</v>
      </c>
      <c r="H3125" s="847">
        <v>2</v>
      </c>
      <c r="I3125" s="848">
        <f>SUM(J3124:J3124)</f>
        <v>2419162.2946063634</v>
      </c>
      <c r="J3125" s="853">
        <f>I3125*H3125%</f>
        <v>48383.24589212727</v>
      </c>
      <c r="N3125" s="843" t="e">
        <f>SUMIF(#REF!,'8.Dgia'!A3125,#REF!)+SUMIF(#REF!,'8.Dgia'!A3125,#REF!)+SUMIF(#REF!,'8.Dgia'!A3125,#REF!)+SUMIF(#REF!,'8.Dgia'!A3125,#REF!)</f>
        <v>#REF!</v>
      </c>
      <c r="O3125" s="844"/>
      <c r="P3125" s="843" t="e">
        <f>$H3125*N3125*(1+O3125%)</f>
        <v>#REF!</v>
      </c>
    </row>
    <row r="3126" spans="1:18" ht="27.75" customHeight="1">
      <c r="A3126" s="657">
        <f>IF(B3126="",MAX($A$8:A3125)+0,MAX($A$8:A3125)+1)</f>
        <v>378</v>
      </c>
      <c r="B3126" s="835">
        <f>IF(C3126="","",COUNTA($C$10:C3127))</f>
        <v>378</v>
      </c>
      <c r="C3126" s="835">
        <f>IF(D3126="","",1776)</f>
        <v>1776</v>
      </c>
      <c r="D3126" s="851" t="s">
        <v>2162</v>
      </c>
      <c r="E3126" s="855" t="s">
        <v>4068</v>
      </c>
      <c r="F3126" s="1049" t="str">
        <f>VLOOKUP(E3126,DICH!B:C,2,FALSE)</f>
        <v>Driving steel sheet pile (land), L&lt;=12m, soil C1 (not on land, HS=0.75)</v>
      </c>
      <c r="G3126" s="856" t="s">
        <v>546</v>
      </c>
      <c r="H3126" s="847">
        <v>0.75</v>
      </c>
      <c r="I3126" s="848"/>
      <c r="J3126" s="853"/>
      <c r="L3126" s="842">
        <f>+J3127</f>
        <v>1566422.6849999998</v>
      </c>
      <c r="M3126" s="842">
        <f>+J3128</f>
        <v>6617480.7018837277</v>
      </c>
      <c r="N3126" s="843" t="e">
        <f>SUMIF(#REF!,'8.Dgia'!A3126,#REF!)+SUMIF(#REF!,'8.Dgia'!A3126,#REF!)+SUMIF(#REF!,'8.Dgia'!A3126,#REF!)+SUMIF(#REF!,'8.Dgia'!A3126,#REF!)</f>
        <v>#REF!</v>
      </c>
      <c r="O3126" s="844"/>
      <c r="P3126" s="843" t="e">
        <f t="shared" si="128"/>
        <v>#REF!</v>
      </c>
    </row>
    <row r="3127" spans="1:18" s="658" customFormat="1" ht="15" customHeight="1">
      <c r="A3127" s="657">
        <f>IF(B3127="",MAX($A$8:A3126)+0,MAX($A$8:A3126)+1)</f>
        <v>378</v>
      </c>
      <c r="B3127" s="835" t="str">
        <f>IF(C3127="","",COUNTA($C$10:C3128))</f>
        <v/>
      </c>
      <c r="C3127" s="362"/>
      <c r="D3127" s="845"/>
      <c r="E3127" s="852" t="s">
        <v>2039</v>
      </c>
      <c r="F3127" s="848" t="str">
        <f>VLOOKUP(E3127,DICH!B:C,2,FALSE)</f>
        <v xml:space="preserve">  B - Labour 4.0/7</v>
      </c>
      <c r="G3127" s="362" t="s">
        <v>4899</v>
      </c>
      <c r="H3127" s="847">
        <f>9.54*H3126</f>
        <v>7.1549999999999994</v>
      </c>
      <c r="I3127" s="848">
        <f>VLOOKUP(E3127,'16.NC'!$C$11:$F$22,4,FALSE)</f>
        <v>218927</v>
      </c>
      <c r="J3127" s="849">
        <f>I3127*H3127</f>
        <v>1566422.6849999998</v>
      </c>
      <c r="K3127" s="850"/>
      <c r="L3127" s="850"/>
      <c r="M3127" s="850"/>
      <c r="N3127" s="843" t="e">
        <f>SUMIF(#REF!,'8.Dgia'!A3127,#REF!)+SUMIF(#REF!,'8.Dgia'!A3127,#REF!)+SUMIF(#REF!,'8.Dgia'!A3127,#REF!)+SUMIF(#REF!,'8.Dgia'!A3127,#REF!)</f>
        <v>#REF!</v>
      </c>
      <c r="O3127" s="844"/>
      <c r="P3127" s="843" t="e">
        <f t="shared" si="128"/>
        <v>#REF!</v>
      </c>
      <c r="R3127" s="658">
        <v>1</v>
      </c>
    </row>
    <row r="3128" spans="1:18" s="658" customFormat="1" ht="15" customHeight="1">
      <c r="A3128" s="657">
        <f>IF(B3128="",MAX($A$8:A3127)+0,MAX($A$8:A3127)+1)</f>
        <v>378</v>
      </c>
      <c r="B3128" s="835" t="str">
        <f>IF(C3128="","",COUNTA($C$10:C3129))</f>
        <v/>
      </c>
      <c r="C3128" s="362"/>
      <c r="D3128" s="845"/>
      <c r="E3128" s="852" t="s">
        <v>2033</v>
      </c>
      <c r="F3128" s="848" t="str">
        <f>VLOOKUP(E3128,DICH!B:C,2,FALSE)</f>
        <v xml:space="preserve">  C - Machine</v>
      </c>
      <c r="G3128" s="846"/>
      <c r="H3128" s="847"/>
      <c r="I3128" s="848"/>
      <c r="J3128" s="849">
        <f>SUM(J3129:J3130)</f>
        <v>6617480.7018837277</v>
      </c>
      <c r="K3128" s="850"/>
      <c r="L3128" s="850"/>
      <c r="M3128" s="850"/>
      <c r="N3128" s="843" t="e">
        <f>SUMIF(#REF!,'8.Dgia'!A3128,#REF!)+SUMIF(#REF!,'8.Dgia'!A3128,#REF!)+SUMIF(#REF!,'8.Dgia'!A3128,#REF!)+SUMIF(#REF!,'8.Dgia'!A3128,#REF!)</f>
        <v>#REF!</v>
      </c>
      <c r="O3128" s="844"/>
      <c r="P3128" s="843" t="e">
        <f t="shared" si="128"/>
        <v>#REF!</v>
      </c>
    </row>
    <row r="3129" spans="1:18" ht="15" customHeight="1">
      <c r="A3129" s="657">
        <f>IF(B3129="",MAX($A$8:A3128)+0,MAX($A$8:A3128)+1)</f>
        <v>378</v>
      </c>
      <c r="B3129" s="835" t="str">
        <f>IF(C3129="","",COUNTA($C$10:C3130))</f>
        <v/>
      </c>
      <c r="C3129" s="362"/>
      <c r="D3129" s="851"/>
      <c r="E3129" s="852" t="s">
        <v>1501</v>
      </c>
      <c r="F3129" s="848" t="str">
        <f>VLOOKUP(E3129,'9.may'!E:F,2,FALSE)</f>
        <v>pile driver, diesel self-propelled hammer 1.8T</v>
      </c>
      <c r="G3129" s="362" t="s">
        <v>4902</v>
      </c>
      <c r="H3129" s="847">
        <f>3.18*H3126</f>
        <v>2.3850000000000002</v>
      </c>
      <c r="I3129" s="848">
        <f>VLOOKUP(E3129,'9.may'!E:W,12,FALSE)</f>
        <v>2693810.7109090909</v>
      </c>
      <c r="J3129" s="853">
        <f>I3129*H3129</f>
        <v>6424738.5455181822</v>
      </c>
      <c r="N3129" s="843" t="e">
        <f>SUMIF(#REF!,'8.Dgia'!A3129,#REF!)+SUMIF(#REF!,'8.Dgia'!A3129,#REF!)+SUMIF(#REF!,'8.Dgia'!A3129,#REF!)+SUMIF(#REF!,'8.Dgia'!A3129,#REF!)</f>
        <v>#REF!</v>
      </c>
      <c r="O3129" s="844">
        <f>+$H$1651</f>
        <v>3</v>
      </c>
      <c r="P3129" s="843" t="e">
        <f t="shared" si="128"/>
        <v>#REF!</v>
      </c>
    </row>
    <row r="3130" spans="1:18" ht="15" customHeight="1">
      <c r="A3130" s="657">
        <f>IF(B3130="",MAX($A$8:A3129)+0,MAX($A$8:A3129)+1)</f>
        <v>378</v>
      </c>
      <c r="B3130" s="835" t="str">
        <f>IF(C3130="","",COUNTA($C$10:C3131))</f>
        <v/>
      </c>
      <c r="C3130" s="362"/>
      <c r="D3130" s="851"/>
      <c r="E3130" s="852" t="s">
        <v>553</v>
      </c>
      <c r="F3130" s="848" t="str">
        <f>VLOOKUP(E3130,DICH!B:C,2,FALSE)</f>
        <v>Other machine</v>
      </c>
      <c r="G3130" s="362" t="s">
        <v>554</v>
      </c>
      <c r="H3130" s="847">
        <v>3</v>
      </c>
      <c r="I3130" s="848">
        <f>SUM(J3129:J3129)</f>
        <v>6424738.5455181822</v>
      </c>
      <c r="J3130" s="853">
        <f>I3130*H3130%</f>
        <v>192742.15636554547</v>
      </c>
      <c r="N3130" s="843" t="e">
        <f>SUMIF(#REF!,'8.Dgia'!A3130,#REF!)+SUMIF(#REF!,'8.Dgia'!A3130,#REF!)+SUMIF(#REF!,'8.Dgia'!A3130,#REF!)+SUMIF(#REF!,'8.Dgia'!A3130,#REF!)</f>
        <v>#REF!</v>
      </c>
      <c r="O3130" s="844"/>
      <c r="P3130" s="843" t="e">
        <f t="shared" si="128"/>
        <v>#REF!</v>
      </c>
    </row>
    <row r="3131" spans="1:18" ht="30" customHeight="1">
      <c r="A3131" s="657">
        <f>IF(B3131="",MAX($A$8:A3130)+0,MAX($A$8:A3130)+1)</f>
        <v>379</v>
      </c>
      <c r="B3131" s="835">
        <f>IF(C3131="","",COUNTA($C$10:C3132))</f>
        <v>379</v>
      </c>
      <c r="C3131" s="835">
        <f>IF(D3131="","",1776)</f>
        <v>1776</v>
      </c>
      <c r="D3131" s="851" t="s">
        <v>2053</v>
      </c>
      <c r="E3131" s="855" t="s">
        <v>5597</v>
      </c>
      <c r="F3131" s="1049" t="s">
        <v>5566</v>
      </c>
      <c r="G3131" s="856" t="s">
        <v>4644</v>
      </c>
      <c r="H3131" s="847"/>
      <c r="I3131" s="848"/>
      <c r="J3131" s="909"/>
      <c r="K3131" s="842">
        <f>+J3132</f>
        <v>4140139.0651719705</v>
      </c>
      <c r="L3131" s="842">
        <f>+J3139</f>
        <v>4949939.47</v>
      </c>
      <c r="M3131" s="842">
        <f>+J3140</f>
        <v>1271422.0785818181</v>
      </c>
      <c r="N3131" s="843" t="e">
        <f>SUMIF(#REF!,'8.Dgia'!A3131,#REF!)+SUMIF(#REF!,'8.Dgia'!A3131,#REF!)+SUMIF(#REF!,'8.Dgia'!A3131,#REF!)+SUMIF(#REF!,'8.Dgia'!A3131,#REF!)</f>
        <v>#REF!</v>
      </c>
      <c r="O3131" s="844"/>
      <c r="P3131" s="843" t="e">
        <f t="shared" si="128"/>
        <v>#REF!</v>
      </c>
    </row>
    <row r="3132" spans="1:18" ht="15" customHeight="1">
      <c r="A3132" s="657">
        <f>IF(B3132="",MAX($A$8:A3131)+0,MAX($A$8:A3131)+1)</f>
        <v>379</v>
      </c>
      <c r="B3132" s="835" t="str">
        <f>IF(C3132="","",COUNTA($C$10:C3133))</f>
        <v/>
      </c>
      <c r="C3132" s="362"/>
      <c r="D3132" s="851"/>
      <c r="E3132" s="852" t="s">
        <v>2032</v>
      </c>
      <c r="F3132" s="848" t="str">
        <f>VLOOKUP(E3132,DICH!B:C,2,FALSE)</f>
        <v xml:space="preserve">  A - Material</v>
      </c>
      <c r="G3132" s="856"/>
      <c r="H3132" s="847"/>
      <c r="I3132" s="848"/>
      <c r="J3132" s="849">
        <f>SUM(J3133:J3138)</f>
        <v>4140139.0651719705</v>
      </c>
      <c r="N3132" s="843" t="e">
        <f>SUMIF(#REF!,'8.Dgia'!A3132,#REF!)+SUMIF(#REF!,'8.Dgia'!A3132,#REF!)+SUMIF(#REF!,'8.Dgia'!A3132,#REF!)+SUMIF(#REF!,'8.Dgia'!A3132,#REF!)</f>
        <v>#REF!</v>
      </c>
      <c r="O3132" s="844"/>
      <c r="P3132" s="843" t="e">
        <f t="shared" si="128"/>
        <v>#REF!</v>
      </c>
    </row>
    <row r="3133" spans="1:18" ht="15" customHeight="1">
      <c r="A3133" s="657">
        <f>IF(B3133="",MAX($A$8:A3132)+0,MAX($A$8:A3132)+1)</f>
        <v>379</v>
      </c>
      <c r="B3133" s="835" t="str">
        <f>IF(C3133="","",COUNTA($C$10:C3134))</f>
        <v/>
      </c>
      <c r="C3133" s="362"/>
      <c r="D3133" s="851" t="s">
        <v>2255</v>
      </c>
      <c r="E3133" s="852" t="s">
        <v>563</v>
      </c>
      <c r="F3133" s="848" t="str">
        <f>VLOOKUP(E3133,DICH!B:C,2,FALSE)</f>
        <v>Shaped steel</v>
      </c>
      <c r="G3133" s="362" t="s">
        <v>622</v>
      </c>
      <c r="H3133" s="847">
        <f>697.85*((2%*1.5+7%)*2)</f>
        <v>139.57000000000002</v>
      </c>
      <c r="I3133" s="848">
        <f>VLOOKUP(E3133,'11.gia '!$B:$I,8,FALSE)</f>
        <v>16703.248369172808</v>
      </c>
      <c r="J3133" s="853">
        <f>I3133*H3133</f>
        <v>2331272.3748854492</v>
      </c>
      <c r="N3133" s="843" t="e">
        <f>SUMIF(#REF!,'8.Dgia'!A3133,#REF!)+SUMIF(#REF!,'8.Dgia'!A3133,#REF!)+SUMIF(#REF!,'8.Dgia'!A3133,#REF!)+SUMIF(#REF!,'8.Dgia'!A3133,#REF!)</f>
        <v>#REF!</v>
      </c>
      <c r="O3133" s="844">
        <f>+$H$2795</f>
        <v>5</v>
      </c>
      <c r="P3133" s="843" t="e">
        <f t="shared" si="128"/>
        <v>#REF!</v>
      </c>
    </row>
    <row r="3134" spans="1:18" ht="15" customHeight="1">
      <c r="A3134" s="657">
        <f>IF(B3134="",MAX($A$8:A3133)+0,MAX($A$8:A3133)+1)</f>
        <v>379</v>
      </c>
      <c r="B3134" s="835" t="str">
        <f>IF(C3134="","",COUNTA($C$10:C3135))</f>
        <v/>
      </c>
      <c r="C3134" s="362"/>
      <c r="D3134" s="851" t="s">
        <v>2255</v>
      </c>
      <c r="E3134" s="852" t="s">
        <v>562</v>
      </c>
      <c r="F3134" s="848" t="str">
        <f>VLOOKUP(E3134,DICH!B:C,2,FALSE)</f>
        <v>Plate steel</v>
      </c>
      <c r="G3134" s="362" t="s">
        <v>558</v>
      </c>
      <c r="H3134" s="847">
        <f>362.15*((2%*1.5+7%)*2)</f>
        <v>72.429999999999993</v>
      </c>
      <c r="I3134" s="848">
        <f>VLOOKUP(E3134,'11.gia '!$B:$I,8,FALSE)</f>
        <v>12871.348287272725</v>
      </c>
      <c r="J3134" s="853">
        <f>I3134*H3134</f>
        <v>932271.75644716341</v>
      </c>
      <c r="N3134" s="843" t="e">
        <f>SUMIF(#REF!,'8.Dgia'!A3134,#REF!)+SUMIF(#REF!,'8.Dgia'!A3134,#REF!)+SUMIF(#REF!,'8.Dgia'!A3134,#REF!)+SUMIF(#REF!,'8.Dgia'!A3134,#REF!)</f>
        <v>#REF!</v>
      </c>
      <c r="O3134" s="844">
        <f>+$H$2795</f>
        <v>5</v>
      </c>
      <c r="P3134" s="843" t="e">
        <f t="shared" si="128"/>
        <v>#REF!</v>
      </c>
    </row>
    <row r="3135" spans="1:18" ht="15" customHeight="1">
      <c r="A3135" s="657">
        <f>IF(B3135="",MAX($A$8:A3134)+0,MAX($A$8:A3134)+1)</f>
        <v>379</v>
      </c>
      <c r="B3135" s="835" t="str">
        <f>IF(C3135="","",COUNTA($C$10:C3136))</f>
        <v/>
      </c>
      <c r="C3135" s="362"/>
      <c r="D3135" s="851"/>
      <c r="E3135" s="852" t="s">
        <v>559</v>
      </c>
      <c r="F3135" s="848" t="str">
        <f>VLOOKUP(E3135,DICH!B:C,2,FALSE)</f>
        <v>welding electrode</v>
      </c>
      <c r="G3135" s="362" t="s">
        <v>558</v>
      </c>
      <c r="H3135" s="847">
        <v>24.15</v>
      </c>
      <c r="I3135" s="848">
        <f>VLOOKUP(E3135,'11.gia '!$B:$I,8,FALSE)</f>
        <v>19090.909090909088</v>
      </c>
      <c r="J3135" s="853">
        <f>I3135*H3135</f>
        <v>461045.45454545447</v>
      </c>
      <c r="N3135" s="843" t="e">
        <f>SUMIF(#REF!,'8.Dgia'!A3135,#REF!)+SUMIF(#REF!,'8.Dgia'!A3135,#REF!)+SUMIF(#REF!,'8.Dgia'!A3135,#REF!)+SUMIF(#REF!,'8.Dgia'!A3135,#REF!)</f>
        <v>#REF!</v>
      </c>
      <c r="O3135" s="844">
        <f>+$H$2795</f>
        <v>5</v>
      </c>
      <c r="P3135" s="843" t="e">
        <f t="shared" si="128"/>
        <v>#REF!</v>
      </c>
    </row>
    <row r="3136" spans="1:18" ht="15" customHeight="1">
      <c r="A3136" s="657">
        <f>IF(B3136="",MAX($A$8:A3135)+0,MAX($A$8:A3135)+1)</f>
        <v>379</v>
      </c>
      <c r="B3136" s="835" t="str">
        <f>IF(C3136="","",COUNTA($C$10:C3137))</f>
        <v/>
      </c>
      <c r="C3136" s="362"/>
      <c r="D3136" s="851"/>
      <c r="E3136" s="852" t="s">
        <v>564</v>
      </c>
      <c r="F3136" s="848" t="str">
        <f>VLOOKUP(E3136,DICH!B:C,2,FALSE)</f>
        <v>oxygen</v>
      </c>
      <c r="G3136" s="362" t="s">
        <v>4647</v>
      </c>
      <c r="H3136" s="847">
        <v>2.1</v>
      </c>
      <c r="I3136" s="848">
        <f>VLOOKUP(E3136,'11.gia '!$B:$I,8,FALSE)</f>
        <v>48000</v>
      </c>
      <c r="J3136" s="853">
        <f>I3136*H3136</f>
        <v>100800</v>
      </c>
      <c r="N3136" s="843" t="e">
        <f>SUMIF(#REF!,'8.Dgia'!A3136,#REF!)+SUMIF(#REF!,'8.Dgia'!A3136,#REF!)+SUMIF(#REF!,'8.Dgia'!A3136,#REF!)+SUMIF(#REF!,'8.Dgia'!A3136,#REF!)</f>
        <v>#REF!</v>
      </c>
      <c r="O3136" s="844">
        <f>+$H$2795</f>
        <v>5</v>
      </c>
      <c r="P3136" s="843" t="e">
        <f t="shared" si="128"/>
        <v>#REF!</v>
      </c>
    </row>
    <row r="3137" spans="1:18" ht="15" customHeight="1">
      <c r="A3137" s="657">
        <f>IF(B3137="",MAX($A$8:A3136)+0,MAX($A$8:A3136)+1)</f>
        <v>379</v>
      </c>
      <c r="B3137" s="835" t="str">
        <f>IF(C3137="","",COUNTA($C$10:C3138))</f>
        <v/>
      </c>
      <c r="C3137" s="362"/>
      <c r="D3137" s="851"/>
      <c r="E3137" s="852" t="s">
        <v>566</v>
      </c>
      <c r="F3137" s="848" t="str">
        <f>VLOOKUP(E3137,DICH!B:C,2,FALSE)</f>
        <v>Calcium carbide</v>
      </c>
      <c r="G3137" s="362" t="s">
        <v>558</v>
      </c>
      <c r="H3137" s="847">
        <v>8.4</v>
      </c>
      <c r="I3137" s="848">
        <f>VLOOKUP(E3137,'11.gia '!$B:$I,8,FALSE)</f>
        <v>14000</v>
      </c>
      <c r="J3137" s="853">
        <f>I3137*H3137</f>
        <v>117600</v>
      </c>
      <c r="N3137" s="843" t="e">
        <f>SUMIF(#REF!,'8.Dgia'!A3137,#REF!)+SUMIF(#REF!,'8.Dgia'!A3137,#REF!)+SUMIF(#REF!,'8.Dgia'!A3137,#REF!)+SUMIF(#REF!,'8.Dgia'!A3137,#REF!)</f>
        <v>#REF!</v>
      </c>
      <c r="O3137" s="844">
        <f>+$H$2795</f>
        <v>5</v>
      </c>
      <c r="P3137" s="843" t="e">
        <f t="shared" si="128"/>
        <v>#REF!</v>
      </c>
    </row>
    <row r="3138" spans="1:18" ht="15" customHeight="1">
      <c r="A3138" s="657">
        <f>IF(B3138="",MAX($A$8:A3137)+0,MAX($A$8:A3137)+1)</f>
        <v>379</v>
      </c>
      <c r="B3138" s="835" t="str">
        <f>IF(C3138="","",COUNTA($C$10:C3139))</f>
        <v/>
      </c>
      <c r="C3138" s="362"/>
      <c r="D3138" s="851"/>
      <c r="E3138" s="852" t="s">
        <v>555</v>
      </c>
      <c r="F3138" s="848" t="str">
        <f>VLOOKUP(E3138,DICH!B:C,2,FALSE)</f>
        <v>Other material</v>
      </c>
      <c r="G3138" s="362" t="s">
        <v>554</v>
      </c>
      <c r="H3138" s="847">
        <v>5</v>
      </c>
      <c r="I3138" s="848">
        <f>SUM(J3133:J3137)</f>
        <v>3942989.5858780672</v>
      </c>
      <c r="J3138" s="853">
        <f>I3138*H3138%</f>
        <v>197149.47929390337</v>
      </c>
      <c r="N3138" s="843" t="e">
        <f>SUMIF(#REF!,'8.Dgia'!A3138,#REF!)+SUMIF(#REF!,'8.Dgia'!A3138,#REF!)+SUMIF(#REF!,'8.Dgia'!A3138,#REF!)+SUMIF(#REF!,'8.Dgia'!A3138,#REF!)</f>
        <v>#REF!</v>
      </c>
      <c r="O3138" s="844"/>
      <c r="P3138" s="843" t="e">
        <f t="shared" si="128"/>
        <v>#REF!</v>
      </c>
    </row>
    <row r="3139" spans="1:18" ht="15" customHeight="1">
      <c r="A3139" s="657">
        <f>IF(B3139="",MAX($A$8:A3138)+0,MAX($A$8:A3138)+1)</f>
        <v>379</v>
      </c>
      <c r="B3139" s="835" t="str">
        <f>IF(C3139="","",COUNTA($C$10:C3140))</f>
        <v/>
      </c>
      <c r="C3139" s="362"/>
      <c r="D3139" s="851"/>
      <c r="E3139" s="852" t="s">
        <v>2039</v>
      </c>
      <c r="F3139" s="848" t="str">
        <f>VLOOKUP(E3139,DICH!B:C,2,FALSE)</f>
        <v xml:space="preserve">  B - Labour 4.0/7</v>
      </c>
      <c r="G3139" s="362" t="s">
        <v>4899</v>
      </c>
      <c r="H3139" s="847">
        <f>22.61</f>
        <v>22.61</v>
      </c>
      <c r="I3139" s="848">
        <f>VLOOKUP(E3139,'16.NC'!$C$11:$F$22,4,FALSE)</f>
        <v>218927</v>
      </c>
      <c r="J3139" s="849">
        <f>I3139*H3139</f>
        <v>4949939.47</v>
      </c>
      <c r="N3139" s="843" t="e">
        <f>SUMIF(#REF!,'8.Dgia'!A3139,#REF!)+SUMIF(#REF!,'8.Dgia'!A3139,#REF!)+SUMIF(#REF!,'8.Dgia'!A3139,#REF!)+SUMIF(#REF!,'8.Dgia'!A3139,#REF!)</f>
        <v>#REF!</v>
      </c>
      <c r="O3139" s="844"/>
      <c r="P3139" s="843" t="e">
        <f t="shared" si="128"/>
        <v>#REF!</v>
      </c>
      <c r="R3139" s="658">
        <v>1</v>
      </c>
    </row>
    <row r="3140" spans="1:18" ht="15" customHeight="1">
      <c r="A3140" s="657">
        <f>IF(B3140="",MAX($A$8:A3139)+0,MAX($A$8:A3139)+1)</f>
        <v>379</v>
      </c>
      <c r="B3140" s="835" t="str">
        <f>IF(C3140="","",COUNTA($C$10:C3141))</f>
        <v/>
      </c>
      <c r="C3140" s="362"/>
      <c r="D3140" s="851"/>
      <c r="E3140" s="852" t="s">
        <v>2033</v>
      </c>
      <c r="F3140" s="848" t="str">
        <f>VLOOKUP(E3140,DICH!B:C,2,FALSE)</f>
        <v xml:space="preserve">  C - Machine</v>
      </c>
      <c r="G3140" s="362"/>
      <c r="H3140" s="847"/>
      <c r="I3140" s="848"/>
      <c r="J3140" s="849">
        <f>SUM(J3141:J3143)</f>
        <v>1271422.0785818181</v>
      </c>
      <c r="N3140" s="843" t="e">
        <f>SUMIF(#REF!,'8.Dgia'!A3140,#REF!)+SUMIF(#REF!,'8.Dgia'!A3140,#REF!)+SUMIF(#REF!,'8.Dgia'!A3140,#REF!)+SUMIF(#REF!,'8.Dgia'!A3140,#REF!)</f>
        <v>#REF!</v>
      </c>
      <c r="O3140" s="844"/>
      <c r="P3140" s="843" t="e">
        <f t="shared" si="128"/>
        <v>#REF!</v>
      </c>
    </row>
    <row r="3141" spans="1:18" ht="15" customHeight="1">
      <c r="A3141" s="657">
        <f>IF(B3141="",MAX($A$8:A3140)+0,MAX($A$8:A3140)+1)</f>
        <v>379</v>
      </c>
      <c r="B3141" s="835" t="str">
        <f>IF(C3141="","",COUNTA($C$10:C3142))</f>
        <v/>
      </c>
      <c r="C3141" s="362"/>
      <c r="D3141" s="851"/>
      <c r="E3141" s="852" t="s">
        <v>560</v>
      </c>
      <c r="F3141" s="848" t="str">
        <f>VLOOKUP(E3141,'9.may'!E:F,2,FALSE)</f>
        <v>welding machine 23kW</v>
      </c>
      <c r="G3141" s="362" t="s">
        <v>4902</v>
      </c>
      <c r="H3141" s="847">
        <f>4.6</f>
        <v>4.5999999999999996</v>
      </c>
      <c r="I3141" s="848">
        <f>VLOOKUP(E3141,'9.may'!E:W,12,FALSE)</f>
        <v>171649.155</v>
      </c>
      <c r="J3141" s="853">
        <f>I3141*H3141</f>
        <v>789586.1129999999</v>
      </c>
      <c r="N3141" s="843" t="e">
        <f>SUMIF(#REF!,'8.Dgia'!A3141,#REF!)+SUMIF(#REF!,'8.Dgia'!A3141,#REF!)+SUMIF(#REF!,'8.Dgia'!A3141,#REF!)+SUMIF(#REF!,'8.Dgia'!A3141,#REF!)</f>
        <v>#REF!</v>
      </c>
      <c r="O3141" s="844"/>
      <c r="P3141" s="843" t="e">
        <f t="shared" si="128"/>
        <v>#REF!</v>
      </c>
    </row>
    <row r="3142" spans="1:18" ht="15" customHeight="1">
      <c r="A3142" s="657">
        <f>IF(B3142="",MAX($A$8:A3141)+0,MAX($A$8:A3141)+1)</f>
        <v>379</v>
      </c>
      <c r="B3142" s="835" t="str">
        <f>IF(C3142="","",COUNTA($C$10:C3143))</f>
        <v/>
      </c>
      <c r="C3142" s="362"/>
      <c r="D3142" s="851"/>
      <c r="E3142" s="852" t="s">
        <v>1417</v>
      </c>
      <c r="F3142" s="848" t="str">
        <f>VLOOKUP(E3142,'9.may'!E:F,2,FALSE)</f>
        <v>Cutting machine 15Kw</v>
      </c>
      <c r="G3142" s="362" t="s">
        <v>4902</v>
      </c>
      <c r="H3142" s="847">
        <f>0.4</f>
        <v>0.4</v>
      </c>
      <c r="I3142" s="848">
        <f>VLOOKUP(E3142,'9.may'!E:W,12,FALSE)</f>
        <v>204698.78999999998</v>
      </c>
      <c r="J3142" s="853">
        <f>I3142*H3142</f>
        <v>81879.516000000003</v>
      </c>
      <c r="N3142" s="843" t="e">
        <f>SUMIF(#REF!,'8.Dgia'!A3142,#REF!)+SUMIF(#REF!,'8.Dgia'!A3142,#REF!)+SUMIF(#REF!,'8.Dgia'!A3142,#REF!)+SUMIF(#REF!,'8.Dgia'!A3142,#REF!)</f>
        <v>#REF!</v>
      </c>
      <c r="O3142" s="844"/>
      <c r="P3142" s="843" t="e">
        <f t="shared" si="128"/>
        <v>#REF!</v>
      </c>
    </row>
    <row r="3143" spans="1:18" ht="15" customHeight="1">
      <c r="A3143" s="657">
        <f>IF(B3143="",MAX($A$8:A3142)+0,MAX($A$8:A3142)+1)</f>
        <v>379</v>
      </c>
      <c r="B3143" s="835" t="str">
        <f>IF(C3143="","",COUNTA($C$10:C3144))</f>
        <v/>
      </c>
      <c r="C3143" s="362"/>
      <c r="D3143" s="851"/>
      <c r="E3143" s="852" t="s">
        <v>1038</v>
      </c>
      <c r="F3143" s="848" t="str">
        <f>VLOOKUP(E3143,'9.may'!E:F,2,FALSE)</f>
        <v>caterpillar crane 10T/ crawler crane 10T</v>
      </c>
      <c r="G3143" s="362" t="s">
        <v>4902</v>
      </c>
      <c r="H3143" s="847">
        <f>0.27</f>
        <v>0.27</v>
      </c>
      <c r="I3143" s="848">
        <f>VLOOKUP(E3143,'9.may'!E:W,12,FALSE)</f>
        <v>1481320.1836363636</v>
      </c>
      <c r="J3143" s="853">
        <f>I3143*H3143</f>
        <v>399956.44958181819</v>
      </c>
      <c r="N3143" s="843" t="e">
        <f>SUMIF(#REF!,'8.Dgia'!A3143,#REF!)+SUMIF(#REF!,'8.Dgia'!A3143,#REF!)+SUMIF(#REF!,'8.Dgia'!A3143,#REF!)+SUMIF(#REF!,'8.Dgia'!A3143,#REF!)</f>
        <v>#REF!</v>
      </c>
      <c r="O3143" s="844"/>
      <c r="P3143" s="843" t="e">
        <f t="shared" si="128"/>
        <v>#REF!</v>
      </c>
    </row>
    <row r="3144" spans="1:18" ht="15" customHeight="1">
      <c r="A3144" s="657">
        <f>IF(B3144="",MAX($A$8:A3143)+0,MAX($A$8:A3143)+1)</f>
        <v>380</v>
      </c>
      <c r="B3144" s="835">
        <f>IF(C3144="","",COUNTA($C$10:C3145))</f>
        <v>380</v>
      </c>
      <c r="C3144" s="835">
        <f>IF(D3144="","",1776)</f>
        <v>1776</v>
      </c>
      <c r="D3144" s="851" t="s">
        <v>60</v>
      </c>
      <c r="E3144" s="855" t="s">
        <v>4033</v>
      </c>
      <c r="F3144" s="1049" t="str">
        <f>VLOOKUP(E3144,DICH!B:C,2,FALSE)</f>
        <v>Concrete C35 of abutment-pier on land</v>
      </c>
      <c r="G3144" s="856" t="s">
        <v>545</v>
      </c>
      <c r="H3144" s="847"/>
      <c r="I3144" s="848"/>
      <c r="J3144" s="853"/>
      <c r="K3144" s="842">
        <f>+J3145</f>
        <v>1202499.8673278564</v>
      </c>
      <c r="L3144" s="842">
        <f>+J3148</f>
        <v>634958.05999999994</v>
      </c>
      <c r="M3144" s="842">
        <f>+J3149</f>
        <v>428299.85626744776</v>
      </c>
      <c r="N3144" s="843" t="e">
        <f>SUMIF(#REF!,'8.Dgia'!A3144,#REF!)+SUMIF(#REF!,'8.Dgia'!A3144,#REF!)+SUMIF(#REF!,'8.Dgia'!A3144,#REF!)+SUMIF(#REF!,'8.Dgia'!A3144,#REF!)</f>
        <v>#REF!</v>
      </c>
      <c r="O3144" s="844"/>
      <c r="P3144" s="843" t="e">
        <f t="shared" si="128"/>
        <v>#REF!</v>
      </c>
    </row>
    <row r="3145" spans="1:18" s="658" customFormat="1" ht="15" customHeight="1">
      <c r="A3145" s="657">
        <f>IF(B3145="",MAX($A$8:A3144)+0,MAX($A$8:A3144)+1)</f>
        <v>380</v>
      </c>
      <c r="B3145" s="835" t="str">
        <f>IF(C3145="","",COUNTA($C$10:C3146))</f>
        <v/>
      </c>
      <c r="C3145" s="362"/>
      <c r="D3145" s="845"/>
      <c r="E3145" s="852" t="s">
        <v>2032</v>
      </c>
      <c r="F3145" s="848" t="str">
        <f>VLOOKUP(E3145,DICH!B:C,2,FALSE)</f>
        <v xml:space="preserve">  A - Material</v>
      </c>
      <c r="G3145" s="846"/>
      <c r="H3145" s="847"/>
      <c r="I3145" s="848"/>
      <c r="J3145" s="849">
        <f>SUM(J3146:J3147)</f>
        <v>1202499.8673278564</v>
      </c>
      <c r="K3145" s="850"/>
      <c r="L3145" s="850"/>
      <c r="M3145" s="850"/>
      <c r="N3145" s="843" t="e">
        <f>SUMIF(#REF!,'8.Dgia'!A3145,#REF!)+SUMIF(#REF!,'8.Dgia'!A3145,#REF!)+SUMIF(#REF!,'8.Dgia'!A3145,#REF!)+SUMIF(#REF!,'8.Dgia'!A3145,#REF!)</f>
        <v>#REF!</v>
      </c>
      <c r="O3145" s="844"/>
      <c r="P3145" s="843" t="e">
        <f t="shared" si="128"/>
        <v>#REF!</v>
      </c>
    </row>
    <row r="3146" spans="1:18" ht="15" customHeight="1">
      <c r="A3146" s="657">
        <f>IF(B3146="",MAX($A$8:A3145)+0,MAX($A$8:A3145)+1)</f>
        <v>380</v>
      </c>
      <c r="B3146" s="835" t="str">
        <f>IF(C3146="","",COUNTA($C$10:C3147))</f>
        <v/>
      </c>
      <c r="C3146" s="851"/>
      <c r="D3146" s="851" t="str">
        <f>'10.PLV'!$C$100</f>
        <v>C3327</v>
      </c>
      <c r="E3146" s="852" t="str">
        <f>'10.PLV'!$D$100</f>
        <v>Vữa bê tông đá 1x2 C35 (độ sụt 14-17cm)</v>
      </c>
      <c r="F3146" s="848" t="str">
        <f>VLOOKUP(E3146,DICH!B:C,2,FALSE)</f>
        <v>Concrete motar C35 stone 1x2 slump 14-17</v>
      </c>
      <c r="G3146" s="362" t="s">
        <v>545</v>
      </c>
      <c r="H3146" s="847">
        <v>1.0149999999999999</v>
      </c>
      <c r="I3146" s="848">
        <f>VLOOKUP(E3146,'11.gia '!B:I,8,FALSE)</f>
        <v>1167220.6239684112</v>
      </c>
      <c r="J3146" s="853">
        <f>I3146*H3146</f>
        <v>1184728.9333279373</v>
      </c>
      <c r="N3146" s="843" t="e">
        <f>SUMIF(#REF!,'8.Dgia'!A3146,#REF!)+SUMIF(#REF!,'8.Dgia'!A3146,#REF!)+SUMIF(#REF!,'8.Dgia'!A3146,#REF!)+SUMIF(#REF!,'8.Dgia'!A3146,#REF!)</f>
        <v>#REF!</v>
      </c>
      <c r="O3146" s="844">
        <f>+$H$506</f>
        <v>1.5</v>
      </c>
      <c r="P3146" s="843" t="e">
        <f t="shared" si="128"/>
        <v>#REF!</v>
      </c>
    </row>
    <row r="3147" spans="1:18" ht="15" customHeight="1">
      <c r="A3147" s="657">
        <f>IF(B3147="",MAX($A$8:A3146)+0,MAX($A$8:A3146)+1)</f>
        <v>380</v>
      </c>
      <c r="B3147" s="835" t="str">
        <f>IF(C3147="","",COUNTA($C$10:C3148))</f>
        <v/>
      </c>
      <c r="C3147" s="362"/>
      <c r="D3147" s="851"/>
      <c r="E3147" s="852" t="s">
        <v>555</v>
      </c>
      <c r="F3147" s="848" t="str">
        <f>VLOOKUP(E3147,DICH!B:C,2,FALSE)</f>
        <v>Other material</v>
      </c>
      <c r="G3147" s="362" t="s">
        <v>554</v>
      </c>
      <c r="H3147" s="847">
        <v>1.5</v>
      </c>
      <c r="I3147" s="848">
        <f>J3146</f>
        <v>1184728.9333279373</v>
      </c>
      <c r="J3147" s="853">
        <f>I3147*H3147%</f>
        <v>17770.93399991906</v>
      </c>
      <c r="N3147" s="843" t="e">
        <f>SUMIF(#REF!,'8.Dgia'!A3147,#REF!)+SUMIF(#REF!,'8.Dgia'!A3147,#REF!)+SUMIF(#REF!,'8.Dgia'!A3147,#REF!)+SUMIF(#REF!,'8.Dgia'!A3147,#REF!)</f>
        <v>#REF!</v>
      </c>
      <c r="O3147" s="844"/>
      <c r="P3147" s="843" t="e">
        <f t="shared" si="128"/>
        <v>#REF!</v>
      </c>
    </row>
    <row r="3148" spans="1:18" s="658" customFormat="1" ht="15" customHeight="1">
      <c r="A3148" s="657">
        <f>IF(B3148="",MAX($A$8:A3147)+0,MAX($A$8:A3147)+1)</f>
        <v>380</v>
      </c>
      <c r="B3148" s="835" t="str">
        <f>IF(C3148="","",COUNTA($C$10:C3149))</f>
        <v/>
      </c>
      <c r="C3148" s="362"/>
      <c r="D3148" s="845"/>
      <c r="E3148" s="852" t="s">
        <v>2037</v>
      </c>
      <c r="F3148" s="848" t="str">
        <f>VLOOKUP(E3148,DICH!B:C,2,FALSE)</f>
        <v xml:space="preserve">  B - Labour 3.5/7</v>
      </c>
      <c r="G3148" s="362" t="s">
        <v>4899</v>
      </c>
      <c r="H3148" s="847">
        <v>3.13</v>
      </c>
      <c r="I3148" s="848">
        <f>VLOOKUP(E3148,'16.NC'!$C$11:$F$22,4,FALSE)</f>
        <v>202862</v>
      </c>
      <c r="J3148" s="849">
        <f>I3148*H3148</f>
        <v>634958.05999999994</v>
      </c>
      <c r="K3148" s="850"/>
      <c r="L3148" s="850"/>
      <c r="M3148" s="850"/>
      <c r="N3148" s="843" t="e">
        <f>SUMIF(#REF!,'8.Dgia'!A3148,#REF!)+SUMIF(#REF!,'8.Dgia'!A3148,#REF!)+SUMIF(#REF!,'8.Dgia'!A3148,#REF!)+SUMIF(#REF!,'8.Dgia'!A3148,#REF!)</f>
        <v>#REF!</v>
      </c>
      <c r="O3148" s="844"/>
      <c r="P3148" s="843" t="e">
        <f t="shared" si="128"/>
        <v>#REF!</v>
      </c>
      <c r="R3148" s="658">
        <v>1</v>
      </c>
    </row>
    <row r="3149" spans="1:18" s="658" customFormat="1" ht="15" customHeight="1">
      <c r="A3149" s="657">
        <f>IF(B3149="",MAX($A$8:A3148)+0,MAX($A$8:A3148)+1)</f>
        <v>380</v>
      </c>
      <c r="B3149" s="835" t="str">
        <f>IF(C3149="","",COUNTA($C$10:C3150))</f>
        <v/>
      </c>
      <c r="C3149" s="362"/>
      <c r="D3149" s="845"/>
      <c r="E3149" s="852" t="s">
        <v>2033</v>
      </c>
      <c r="F3149" s="848" t="str">
        <f>VLOOKUP(E3149,DICH!B:C,2,FALSE)</f>
        <v xml:space="preserve">  C - Machine</v>
      </c>
      <c r="G3149" s="846"/>
      <c r="H3149" s="847"/>
      <c r="I3149" s="848"/>
      <c r="J3149" s="849">
        <f>SUM(J3150:J3153)</f>
        <v>428299.85626744776</v>
      </c>
      <c r="K3149" s="850"/>
      <c r="L3149" s="850"/>
      <c r="M3149" s="850"/>
      <c r="N3149" s="843" t="e">
        <f>SUMIF(#REF!,'8.Dgia'!A3149,#REF!)+SUMIF(#REF!,'8.Dgia'!A3149,#REF!)+SUMIF(#REF!,'8.Dgia'!A3149,#REF!)+SUMIF(#REF!,'8.Dgia'!A3149,#REF!)</f>
        <v>#REF!</v>
      </c>
      <c r="O3149" s="844"/>
      <c r="P3149" s="843" t="e">
        <f t="shared" si="128"/>
        <v>#REF!</v>
      </c>
    </row>
    <row r="3150" spans="1:18" ht="15" customHeight="1">
      <c r="A3150" s="657">
        <f>IF(B3150="",MAX($A$8:A3149)+0,MAX($A$8:A3149)+1)</f>
        <v>380</v>
      </c>
      <c r="B3150" s="835" t="str">
        <f>IF(C3150="","",COUNTA($C$10:C3151))</f>
        <v/>
      </c>
      <c r="C3150" s="362"/>
      <c r="D3150" s="851"/>
      <c r="E3150" s="852" t="s">
        <v>288</v>
      </c>
      <c r="F3150" s="848" t="str">
        <f>VLOOKUP(E3150,'9.may'!E:F,2,FALSE)</f>
        <v>caterpillar crane 25T</v>
      </c>
      <c r="G3150" s="362" t="s">
        <v>4902</v>
      </c>
      <c r="H3150" s="847">
        <v>6.7000000000000004E-2</v>
      </c>
      <c r="I3150" s="848">
        <f>VLOOKUP(E3150,'9.may'!E:W,12,FALSE)</f>
        <v>2787996.6736363638</v>
      </c>
      <c r="J3150" s="853">
        <f>I3150*H3150</f>
        <v>186795.77713363638</v>
      </c>
      <c r="N3150" s="843" t="e">
        <f>SUMIF(#REF!,'8.Dgia'!A3150,#REF!)+SUMIF(#REF!,'8.Dgia'!A3150,#REF!)+SUMIF(#REF!,'8.Dgia'!A3150,#REF!)+SUMIF(#REF!,'8.Dgia'!A3150,#REF!)</f>
        <v>#REF!</v>
      </c>
      <c r="O3150" s="844">
        <f>+$H$512</f>
        <v>1</v>
      </c>
      <c r="P3150" s="843" t="e">
        <f t="shared" si="128"/>
        <v>#REF!</v>
      </c>
    </row>
    <row r="3151" spans="1:18" ht="15" customHeight="1">
      <c r="A3151" s="657">
        <f>IF(B3151="",MAX($A$8:A3150)+0,MAX($A$8:A3150)+1)</f>
        <v>380</v>
      </c>
      <c r="B3151" s="835" t="str">
        <f>IF(C3151="","",COUNTA($C$10:C3152))</f>
        <v/>
      </c>
      <c r="C3151" s="362"/>
      <c r="D3151" s="851"/>
      <c r="E3151" s="852" t="s">
        <v>1182</v>
      </c>
      <c r="F3151" s="848" t="str">
        <f>VLOOKUP(E3151,'9.may'!E:F,2,FALSE)</f>
        <v>concrete pump truck 50m3/h</v>
      </c>
      <c r="G3151" s="362" t="s">
        <v>4902</v>
      </c>
      <c r="H3151" s="847">
        <v>6.7000000000000004E-2</v>
      </c>
      <c r="I3151" s="848">
        <f>VLOOKUP(E3151,'9.may'!E:W,12,FALSE)</f>
        <v>3446390.13</v>
      </c>
      <c r="J3151" s="853">
        <f>I3151*H3151</f>
        <v>230908.13871</v>
      </c>
      <c r="N3151" s="843" t="e">
        <f>SUMIF(#REF!,'8.Dgia'!A3151,#REF!)+SUMIF(#REF!,'8.Dgia'!A3151,#REF!)+SUMIF(#REF!,'8.Dgia'!A3151,#REF!)+SUMIF(#REF!,'8.Dgia'!A3151,#REF!)</f>
        <v>#REF!</v>
      </c>
      <c r="O3151" s="844">
        <f>+$H$512</f>
        <v>1</v>
      </c>
      <c r="P3151" s="843" t="e">
        <f t="shared" si="128"/>
        <v>#REF!</v>
      </c>
    </row>
    <row r="3152" spans="1:18" ht="15" customHeight="1">
      <c r="A3152" s="657">
        <f>IF(B3152="",MAX($A$8:A3151)+0,MAX($A$8:A3151)+1)</f>
        <v>380</v>
      </c>
      <c r="B3152" s="835" t="str">
        <f>IF(C3152="","",COUNTA($C$10:C3153))</f>
        <v/>
      </c>
      <c r="C3152" s="362"/>
      <c r="D3152" s="851"/>
      <c r="E3152" s="852" t="s">
        <v>620</v>
      </c>
      <c r="F3152" s="848" t="str">
        <f>VLOOKUP(E3152,'9.may'!E:F,2,FALSE)</f>
        <v>concrete vibrating compactor 1.5Kw</v>
      </c>
      <c r="G3152" s="362" t="s">
        <v>4902</v>
      </c>
      <c r="H3152" s="847">
        <v>8.5000000000000006E-2</v>
      </c>
      <c r="I3152" s="848">
        <f>VLOOKUP(E3152,'9.may'!E:W,12,FALSE)</f>
        <v>74768.797500000001</v>
      </c>
      <c r="J3152" s="853">
        <f>I3152*H3152</f>
        <v>6355.3477875000008</v>
      </c>
      <c r="N3152" s="843" t="e">
        <f>SUMIF(#REF!,'8.Dgia'!A3152,#REF!)+SUMIF(#REF!,'8.Dgia'!A3152,#REF!)+SUMIF(#REF!,'8.Dgia'!A3152,#REF!)+SUMIF(#REF!,'8.Dgia'!A3152,#REF!)</f>
        <v>#REF!</v>
      </c>
      <c r="O3152" s="844">
        <f>+$H$512</f>
        <v>1</v>
      </c>
      <c r="P3152" s="843" t="e">
        <f t="shared" si="128"/>
        <v>#REF!</v>
      </c>
    </row>
    <row r="3153" spans="1:18" ht="15" customHeight="1">
      <c r="A3153" s="657">
        <f>IF(B3153="",MAX($A$8:A3152)+0,MAX($A$8:A3152)+1)</f>
        <v>380</v>
      </c>
      <c r="B3153" s="835" t="str">
        <f>IF(C3153="","",COUNTA($C$10:C3154))</f>
        <v/>
      </c>
      <c r="C3153" s="362"/>
      <c r="D3153" s="851"/>
      <c r="E3153" s="852" t="s">
        <v>553</v>
      </c>
      <c r="F3153" s="848" t="str">
        <f>VLOOKUP(E3153,DICH!B:C,2,FALSE)</f>
        <v>Other machine</v>
      </c>
      <c r="G3153" s="362" t="s">
        <v>554</v>
      </c>
      <c r="H3153" s="847">
        <v>1</v>
      </c>
      <c r="I3153" s="848">
        <f>SUM(J3150:J3152)</f>
        <v>424059.26363113639</v>
      </c>
      <c r="J3153" s="853">
        <f>I3153*H3153%</f>
        <v>4240.592636311364</v>
      </c>
      <c r="N3153" s="843" t="e">
        <f>SUMIF(#REF!,'8.Dgia'!A3153,#REF!)+SUMIF(#REF!,'8.Dgia'!A3153,#REF!)+SUMIF(#REF!,'8.Dgia'!A3153,#REF!)+SUMIF(#REF!,'8.Dgia'!A3153,#REF!)</f>
        <v>#REF!</v>
      </c>
      <c r="O3153" s="844"/>
      <c r="P3153" s="843" t="e">
        <f t="shared" si="128"/>
        <v>#REF!</v>
      </c>
    </row>
    <row r="3154" spans="1:18" ht="15" customHeight="1">
      <c r="A3154" s="657">
        <f>IF(B3154="",MAX($A$8:A3153)+0,MAX($A$8:A3153)+1)</f>
        <v>381</v>
      </c>
      <c r="B3154" s="835">
        <f>IF(C3154="","",COUNTA($C$10:C3155))</f>
        <v>381</v>
      </c>
      <c r="C3154" s="835">
        <f>IF(D3154="","",1776)</f>
        <v>1776</v>
      </c>
      <c r="D3154" s="851" t="s">
        <v>44</v>
      </c>
      <c r="E3154" s="855" t="s">
        <v>4045</v>
      </c>
      <c r="F3154" s="1049" t="str">
        <f>VLOOKUP(E3154,DICH!B:C,2,FALSE)</f>
        <v>Concrete C25</v>
      </c>
      <c r="G3154" s="856" t="s">
        <v>545</v>
      </c>
      <c r="H3154" s="847"/>
      <c r="I3154" s="848"/>
      <c r="J3154" s="857"/>
      <c r="K3154" s="842">
        <f>+J3155</f>
        <v>1328293.9900063942</v>
      </c>
      <c r="L3154" s="842">
        <f>+J3161</f>
        <v>519326.72000000003</v>
      </c>
      <c r="M3154" s="842">
        <f>+J3162</f>
        <v>128461.15041840001</v>
      </c>
      <c r="N3154" s="843" t="e">
        <f>SUMIF(#REF!,'8.Dgia'!A3154,#REF!)+SUMIF(#REF!,'8.Dgia'!A3154,#REF!)+SUMIF(#REF!,'8.Dgia'!A3154,#REF!)+SUMIF(#REF!,'8.Dgia'!A3154,#REF!)</f>
        <v>#REF!</v>
      </c>
      <c r="O3154" s="844"/>
      <c r="P3154" s="843" t="e">
        <f t="shared" si="128"/>
        <v>#REF!</v>
      </c>
    </row>
    <row r="3155" spans="1:18" ht="15" customHeight="1">
      <c r="A3155" s="657">
        <f>IF(B3155="",MAX($A$8:A3154)+0,MAX($A$8:A3154)+1)</f>
        <v>381</v>
      </c>
      <c r="B3155" s="835" t="str">
        <f>IF(C3155="","",COUNTA($C$10:C3156))</f>
        <v/>
      </c>
      <c r="C3155" s="362"/>
      <c r="D3155" s="845"/>
      <c r="E3155" s="852" t="s">
        <v>2032</v>
      </c>
      <c r="F3155" s="848" t="str">
        <f>VLOOKUP(E3155,DICH!B:C,2,FALSE)</f>
        <v xml:space="preserve">  A - Material</v>
      </c>
      <c r="G3155" s="846"/>
      <c r="H3155" s="847"/>
      <c r="I3155" s="848"/>
      <c r="J3155" s="885">
        <f>SUM(J3156:J3160)</f>
        <v>1328293.9900063942</v>
      </c>
      <c r="N3155" s="843" t="e">
        <f>SUMIF(#REF!,'8.Dgia'!A3155,#REF!)+SUMIF(#REF!,'8.Dgia'!A3155,#REF!)+SUMIF(#REF!,'8.Dgia'!A3155,#REF!)+SUMIF(#REF!,'8.Dgia'!A3155,#REF!)</f>
        <v>#REF!</v>
      </c>
      <c r="O3155" s="844"/>
      <c r="P3155" s="843" t="e">
        <f t="shared" si="128"/>
        <v>#REF!</v>
      </c>
    </row>
    <row r="3156" spans="1:18" ht="15" customHeight="1">
      <c r="A3156" s="657">
        <f>IF(B3156="",MAX($A$8:A3155)+0,MAX($A$8:A3155)+1)</f>
        <v>381</v>
      </c>
      <c r="B3156" s="835" t="str">
        <f>IF(C3156="","",COUNTA($C$10:C3157))</f>
        <v/>
      </c>
      <c r="C3156" s="851"/>
      <c r="D3156" s="851" t="str">
        <f>'10.PLV'!$C$94</f>
        <v>C3325</v>
      </c>
      <c r="E3156" s="852" t="str">
        <f>'10.PLV'!$D$94</f>
        <v>Vữa bê tông đá 1x2 C25 (độ sụt 14-17cm)</v>
      </c>
      <c r="F3156" s="848" t="str">
        <f>VLOOKUP(E3156,DICH!B:C,2,FALSE)</f>
        <v>Concrete motar C25 stone 1x2 slump 14-17</v>
      </c>
      <c r="G3156" s="362" t="s">
        <v>545</v>
      </c>
      <c r="H3156" s="847">
        <v>1.0149999999999999</v>
      </c>
      <c r="I3156" s="848">
        <f>VLOOKUP(E3156,'11.gia '!B:I,8,FALSE)</f>
        <v>1037405.4707489562</v>
      </c>
      <c r="J3156" s="853">
        <f>I3156*H3156</f>
        <v>1052966.5528101905</v>
      </c>
      <c r="N3156" s="843" t="e">
        <f>SUMIF(#REF!,'8.Dgia'!A3156,#REF!)+SUMIF(#REF!,'8.Dgia'!A3156,#REF!)+SUMIF(#REF!,'8.Dgia'!A3156,#REF!)+SUMIF(#REF!,'8.Dgia'!A3156,#REF!)</f>
        <v>#REF!</v>
      </c>
      <c r="O3156" s="844">
        <f>+$H$2287</f>
        <v>2</v>
      </c>
      <c r="P3156" s="843" t="e">
        <f t="shared" si="128"/>
        <v>#REF!</v>
      </c>
    </row>
    <row r="3157" spans="1:18" ht="15" customHeight="1">
      <c r="A3157" s="657">
        <f>IF(B3157="",MAX($A$8:A3156)+0,MAX($A$8:A3156)+1)</f>
        <v>381</v>
      </c>
      <c r="B3157" s="835" t="str">
        <f>IF(C3157="","",COUNTA($C$10:C3158))</f>
        <v/>
      </c>
      <c r="C3157" s="362"/>
      <c r="D3157" s="851"/>
      <c r="E3157" s="852" t="s">
        <v>134</v>
      </c>
      <c r="F3157" s="848" t="str">
        <f>VLOOKUP(E3157,DICH!B:C,2,FALSE)</f>
        <v>Wooden</v>
      </c>
      <c r="G3157" s="362" t="s">
        <v>545</v>
      </c>
      <c r="H3157" s="847">
        <v>4.9000000000000002E-2</v>
      </c>
      <c r="I3157" s="848">
        <f>VLOOKUP(E3157,'11.gia '!$B:$I,8,FALSE)</f>
        <v>5000000</v>
      </c>
      <c r="J3157" s="853">
        <f>I3157*H3157</f>
        <v>245000</v>
      </c>
      <c r="N3157" s="843" t="e">
        <f>SUMIF(#REF!,'8.Dgia'!A3157,#REF!)+SUMIF(#REF!,'8.Dgia'!A3157,#REF!)+SUMIF(#REF!,'8.Dgia'!A3157,#REF!)+SUMIF(#REF!,'8.Dgia'!A3157,#REF!)</f>
        <v>#REF!</v>
      </c>
      <c r="O3157" s="844">
        <f>+$H$2287</f>
        <v>2</v>
      </c>
      <c r="P3157" s="843" t="e">
        <f t="shared" si="128"/>
        <v>#REF!</v>
      </c>
    </row>
    <row r="3158" spans="1:18" ht="15" customHeight="1">
      <c r="A3158" s="657">
        <f>IF(B3158="",MAX($A$8:A3157)+0,MAX($A$8:A3157)+1)</f>
        <v>381</v>
      </c>
      <c r="B3158" s="835" t="str">
        <f>IF(C3158="","",COUNTA($C$10:C3159))</f>
        <v/>
      </c>
      <c r="C3158" s="362"/>
      <c r="D3158" s="845"/>
      <c r="E3158" s="852" t="s">
        <v>460</v>
      </c>
      <c r="F3158" s="848" t="str">
        <f>VLOOKUP(E3158,DICH!B:C,2,FALSE)</f>
        <v>Nail</v>
      </c>
      <c r="G3158" s="362" t="s">
        <v>558</v>
      </c>
      <c r="H3158" s="847">
        <v>0.19900000000000001</v>
      </c>
      <c r="I3158" s="848">
        <f>VLOOKUP(E3158,'11.gia '!$B:$I,8,FALSE)</f>
        <v>17143</v>
      </c>
      <c r="J3158" s="853">
        <f>I3158*H3158</f>
        <v>3411.4570000000003</v>
      </c>
      <c r="N3158" s="843" t="e">
        <f>SUMIF(#REF!,'8.Dgia'!A3158,#REF!)+SUMIF(#REF!,'8.Dgia'!A3158,#REF!)+SUMIF(#REF!,'8.Dgia'!A3158,#REF!)+SUMIF(#REF!,'8.Dgia'!A3158,#REF!)</f>
        <v>#REF!</v>
      </c>
      <c r="O3158" s="844">
        <f>+$H$2287</f>
        <v>2</v>
      </c>
      <c r="P3158" s="843" t="e">
        <f t="shared" si="128"/>
        <v>#REF!</v>
      </c>
    </row>
    <row r="3159" spans="1:18" ht="15" customHeight="1">
      <c r="A3159" s="657">
        <f>IF(B3159="",MAX($A$8:A3158)+0,MAX($A$8:A3158)+1)</f>
        <v>381</v>
      </c>
      <c r="B3159" s="835" t="str">
        <f>IF(C3159="","",COUNTA($C$10:C3160))</f>
        <v/>
      </c>
      <c r="C3159" s="362"/>
      <c r="D3159" s="845"/>
      <c r="E3159" s="852" t="s">
        <v>465</v>
      </c>
      <c r="F3159" s="848" t="str">
        <f>VLOOKUP(E3159,DICH!B:C,2,FALSE)</f>
        <v>Casing nail</v>
      </c>
      <c r="G3159" s="362" t="s">
        <v>4649</v>
      </c>
      <c r="H3159" s="847">
        <v>0.871</v>
      </c>
      <c r="I3159" s="848">
        <f>VLOOKUP(E3159,'11.gia '!$B:$I,8,FALSE)</f>
        <v>1000</v>
      </c>
      <c r="J3159" s="853">
        <f>I3159*H3159</f>
        <v>871</v>
      </c>
      <c r="N3159" s="843" t="e">
        <f>SUMIF(#REF!,'8.Dgia'!A3159,#REF!)+SUMIF(#REF!,'8.Dgia'!A3159,#REF!)+SUMIF(#REF!,'8.Dgia'!A3159,#REF!)+SUMIF(#REF!,'8.Dgia'!A3159,#REF!)</f>
        <v>#REF!</v>
      </c>
      <c r="O3159" s="844">
        <f>+$H$2287</f>
        <v>2</v>
      </c>
      <c r="P3159" s="843" t="e">
        <f t="shared" si="128"/>
        <v>#REF!</v>
      </c>
    </row>
    <row r="3160" spans="1:18" ht="15" customHeight="1">
      <c r="A3160" s="657">
        <f>IF(B3160="",MAX($A$8:A3159)+0,MAX($A$8:A3159)+1)</f>
        <v>381</v>
      </c>
      <c r="B3160" s="835" t="str">
        <f>IF(C3160="","",COUNTA($C$10:C3161))</f>
        <v/>
      </c>
      <c r="C3160" s="362"/>
      <c r="D3160" s="851"/>
      <c r="E3160" s="852" t="s">
        <v>555</v>
      </c>
      <c r="F3160" s="848" t="str">
        <f>VLOOKUP(E3160,DICH!B:C,2,FALSE)</f>
        <v>Other material</v>
      </c>
      <c r="G3160" s="362" t="s">
        <v>554</v>
      </c>
      <c r="H3160" s="847">
        <v>2</v>
      </c>
      <c r="I3160" s="848">
        <f>SUM(J3156:J3159)</f>
        <v>1302249.0098101904</v>
      </c>
      <c r="J3160" s="853">
        <f>I3160*H3160%</f>
        <v>26044.980196203807</v>
      </c>
      <c r="N3160" s="843" t="e">
        <f>SUMIF(#REF!,'8.Dgia'!A3160,#REF!)+SUMIF(#REF!,'8.Dgia'!A3160,#REF!)+SUMIF(#REF!,'8.Dgia'!A3160,#REF!)+SUMIF(#REF!,'8.Dgia'!A3160,#REF!)</f>
        <v>#REF!</v>
      </c>
      <c r="O3160" s="844"/>
      <c r="P3160" s="843" t="e">
        <f t="shared" si="128"/>
        <v>#REF!</v>
      </c>
    </row>
    <row r="3161" spans="1:18" ht="15" customHeight="1">
      <c r="A3161" s="657">
        <f>IF(B3161="",MAX($A$8:A3160)+0,MAX($A$8:A3160)+1)</f>
        <v>381</v>
      </c>
      <c r="B3161" s="835" t="str">
        <f>IF(C3161="","",COUNTA($C$10:C3162))</f>
        <v/>
      </c>
      <c r="C3161" s="362"/>
      <c r="D3161" s="851"/>
      <c r="E3161" s="852" t="s">
        <v>2037</v>
      </c>
      <c r="F3161" s="848" t="str">
        <f>VLOOKUP(E3161,DICH!B:C,2,FALSE)</f>
        <v xml:space="preserve">  B - Labour 3.5/7</v>
      </c>
      <c r="G3161" s="362" t="s">
        <v>4899</v>
      </c>
      <c r="H3161" s="847">
        <v>2.56</v>
      </c>
      <c r="I3161" s="848">
        <f>VLOOKUP(E3161,'16.NC'!$C$11:$F$22,4,FALSE)</f>
        <v>202862</v>
      </c>
      <c r="J3161" s="849">
        <f>I3161*H3161</f>
        <v>519326.72000000003</v>
      </c>
      <c r="N3161" s="843" t="e">
        <f>SUMIF(#REF!,'8.Dgia'!A3161,#REF!)+SUMIF(#REF!,'8.Dgia'!A3161,#REF!)+SUMIF(#REF!,'8.Dgia'!A3161,#REF!)+SUMIF(#REF!,'8.Dgia'!A3161,#REF!)</f>
        <v>#REF!</v>
      </c>
      <c r="O3161" s="844"/>
      <c r="P3161" s="843" t="e">
        <f t="shared" si="128"/>
        <v>#REF!</v>
      </c>
      <c r="R3161" s="658">
        <v>1</v>
      </c>
    </row>
    <row r="3162" spans="1:18" ht="15" customHeight="1">
      <c r="A3162" s="657">
        <f>IF(B3162="",MAX($A$8:A3161)+0,MAX($A$8:A3161)+1)</f>
        <v>381</v>
      </c>
      <c r="B3162" s="835" t="str">
        <f>IF(C3162="","",COUNTA($C$10:C3163))</f>
        <v/>
      </c>
      <c r="C3162" s="362"/>
      <c r="D3162" s="851"/>
      <c r="E3162" s="852" t="s">
        <v>2033</v>
      </c>
      <c r="F3162" s="848" t="str">
        <f>VLOOKUP(E3162,DICH!B:C,2,FALSE)</f>
        <v xml:space="preserve">  C - Machine</v>
      </c>
      <c r="G3162" s="362"/>
      <c r="H3162" s="847"/>
      <c r="I3162" s="848"/>
      <c r="J3162" s="849">
        <f>SUM(J3163:J3165)</f>
        <v>128461.15041840001</v>
      </c>
      <c r="N3162" s="843" t="e">
        <f>SUMIF(#REF!,'8.Dgia'!A3162,#REF!)+SUMIF(#REF!,'8.Dgia'!A3162,#REF!)+SUMIF(#REF!,'8.Dgia'!A3162,#REF!)+SUMIF(#REF!,'8.Dgia'!A3162,#REF!)</f>
        <v>#REF!</v>
      </c>
      <c r="O3162" s="844"/>
      <c r="P3162" s="843" t="e">
        <f t="shared" si="128"/>
        <v>#REF!</v>
      </c>
    </row>
    <row r="3163" spans="1:18" ht="15" customHeight="1">
      <c r="A3163" s="657">
        <f>IF(B3163="",MAX($A$8:A3162)+0,MAX($A$8:A3162)+1)</f>
        <v>381</v>
      </c>
      <c r="B3163" s="835" t="str">
        <f>IF(C3163="","",COUNTA($C$10:C3164))</f>
        <v/>
      </c>
      <c r="C3163" s="362"/>
      <c r="D3163" s="851"/>
      <c r="E3163" s="852" t="s">
        <v>1182</v>
      </c>
      <c r="F3163" s="848" t="str">
        <f>VLOOKUP(E3163,'9.may'!E:F,2,FALSE)</f>
        <v>concrete pump truck 50m3/h</v>
      </c>
      <c r="G3163" s="362" t="s">
        <v>4902</v>
      </c>
      <c r="H3163" s="847">
        <v>3.3000000000000002E-2</v>
      </c>
      <c r="I3163" s="848">
        <f>VLOOKUP(E3163,'9.may'!E:W,12,FALSE)</f>
        <v>3446390.13</v>
      </c>
      <c r="J3163" s="853">
        <f>I3163*H3163</f>
        <v>113730.87429000001</v>
      </c>
      <c r="N3163" s="843" t="e">
        <f>SUMIF(#REF!,'8.Dgia'!A3163,#REF!)+SUMIF(#REF!,'8.Dgia'!A3163,#REF!)+SUMIF(#REF!,'8.Dgia'!A3163,#REF!)+SUMIF(#REF!,'8.Dgia'!A3163,#REF!)</f>
        <v>#REF!</v>
      </c>
      <c r="O3163" s="844">
        <f>+$H$2292</f>
        <v>1</v>
      </c>
      <c r="P3163" s="843" t="e">
        <f t="shared" si="128"/>
        <v>#REF!</v>
      </c>
    </row>
    <row r="3164" spans="1:18" ht="15" customHeight="1">
      <c r="A3164" s="657">
        <f>IF(B3164="",MAX($A$8:A3163)+0,MAX($A$8:A3163)+1)</f>
        <v>381</v>
      </c>
      <c r="B3164" s="835" t="str">
        <f>IF(C3164="","",COUNTA($C$10:C3165))</f>
        <v/>
      </c>
      <c r="C3164" s="362"/>
      <c r="D3164" s="851"/>
      <c r="E3164" s="852" t="s">
        <v>620</v>
      </c>
      <c r="F3164" s="848" t="str">
        <f>VLOOKUP(E3164,'9.may'!E:F,2,FALSE)</f>
        <v>concrete vibrating compactor 1.5Kw</v>
      </c>
      <c r="G3164" s="362" t="s">
        <v>4902</v>
      </c>
      <c r="H3164" s="847">
        <v>0.18</v>
      </c>
      <c r="I3164" s="848">
        <f>VLOOKUP(E3164,'9.may'!E:W,12,FALSE)</f>
        <v>74768.797500000001</v>
      </c>
      <c r="J3164" s="853">
        <f>I3164*H3164</f>
        <v>13458.38355</v>
      </c>
      <c r="N3164" s="843" t="e">
        <f>SUMIF(#REF!,'8.Dgia'!A3164,#REF!)+SUMIF(#REF!,'8.Dgia'!A3164,#REF!)+SUMIF(#REF!,'8.Dgia'!A3164,#REF!)+SUMIF(#REF!,'8.Dgia'!A3164,#REF!)</f>
        <v>#REF!</v>
      </c>
      <c r="O3164" s="844">
        <f>+$H$2292</f>
        <v>1</v>
      </c>
      <c r="P3164" s="843" t="e">
        <f t="shared" si="128"/>
        <v>#REF!</v>
      </c>
    </row>
    <row r="3165" spans="1:18" ht="15" customHeight="1">
      <c r="A3165" s="657">
        <f>IF(B3165="",MAX($A$8:A3164)+0,MAX($A$8:A3164)+1)</f>
        <v>381</v>
      </c>
      <c r="B3165" s="835" t="str">
        <f>IF(C3165="","",COUNTA($C$10:C3166))</f>
        <v/>
      </c>
      <c r="C3165" s="362"/>
      <c r="D3165" s="851"/>
      <c r="E3165" s="852" t="s">
        <v>553</v>
      </c>
      <c r="F3165" s="848" t="str">
        <f>VLOOKUP(E3165,DICH!B:C,2,FALSE)</f>
        <v>Other machine</v>
      </c>
      <c r="G3165" s="362" t="s">
        <v>554</v>
      </c>
      <c r="H3165" s="847">
        <v>1</v>
      </c>
      <c r="I3165" s="848">
        <f>SUM(J3163:J3164)</f>
        <v>127189.25784000001</v>
      </c>
      <c r="J3165" s="853">
        <f>I3165*H3165%</f>
        <v>1271.8925784</v>
      </c>
      <c r="N3165" s="843" t="e">
        <f>SUMIF(#REF!,'8.Dgia'!A3165,#REF!)+SUMIF(#REF!,'8.Dgia'!A3165,#REF!)+SUMIF(#REF!,'8.Dgia'!A3165,#REF!)+SUMIF(#REF!,'8.Dgia'!A3165,#REF!)</f>
        <v>#REF!</v>
      </c>
      <c r="O3165" s="844"/>
      <c r="P3165" s="843" t="e">
        <f t="shared" si="128"/>
        <v>#REF!</v>
      </c>
    </row>
    <row r="3166" spans="1:18" ht="15" customHeight="1">
      <c r="A3166" s="657">
        <f>IF(B3166="",MAX($A$8:A3165)+0,MAX($A$8:A3165)+1)</f>
        <v>382</v>
      </c>
      <c r="B3166" s="835">
        <f>IF(C3166="","",COUNTA($C$10:C3167))</f>
        <v>382</v>
      </c>
      <c r="C3166" s="835">
        <f>IF(D3166="","",1776)</f>
        <v>1776</v>
      </c>
      <c r="D3166" s="362" t="s">
        <v>2167</v>
      </c>
      <c r="E3166" s="855" t="s">
        <v>4016</v>
      </c>
      <c r="F3166" s="1049" t="str">
        <f>VLOOKUP(E3166,DICH!B:C,2,FALSE)</f>
        <v>Concrete C20, stone 1x2 of kerb</v>
      </c>
      <c r="G3166" s="884" t="s">
        <v>545</v>
      </c>
      <c r="H3166" s="847"/>
      <c r="I3166" s="848"/>
      <c r="J3166" s="889"/>
      <c r="K3166" s="842">
        <f>+J3167</f>
        <v>902132.22389552847</v>
      </c>
      <c r="L3166" s="842">
        <f>+J3170</f>
        <v>341838.51</v>
      </c>
      <c r="M3166" s="842">
        <f>+J3171</f>
        <v>33661.027455000003</v>
      </c>
      <c r="N3166" s="843" t="e">
        <f>SUMIF(#REF!,'8.Dgia'!A3166,#REF!)+SUMIF(#REF!,'8.Dgia'!A3166,#REF!)+SUMIF(#REF!,'8.Dgia'!A3166,#REF!)+SUMIF(#REF!,'8.Dgia'!A3166,#REF!)</f>
        <v>#REF!</v>
      </c>
      <c r="O3166" s="844"/>
      <c r="P3166" s="843" t="e">
        <f t="shared" si="128"/>
        <v>#REF!</v>
      </c>
    </row>
    <row r="3167" spans="1:18" ht="15" customHeight="1">
      <c r="A3167" s="657">
        <f>IF(B3167="",MAX($A$8:A3166)+0,MAX($A$8:A3166)+1)</f>
        <v>382</v>
      </c>
      <c r="B3167" s="835" t="str">
        <f>IF(C3167="","",COUNTA($C$10:C3168))</f>
        <v/>
      </c>
      <c r="C3167" s="362"/>
      <c r="D3167" s="362"/>
      <c r="E3167" s="852" t="s">
        <v>2032</v>
      </c>
      <c r="F3167" s="848" t="str">
        <f>VLOOKUP(E3167,DICH!B:C,2,FALSE)</f>
        <v xml:space="preserve">  A - Material</v>
      </c>
      <c r="G3167" s="362"/>
      <c r="H3167" s="847"/>
      <c r="I3167" s="848"/>
      <c r="J3167" s="849">
        <f>SUM(J3168:J3169)</f>
        <v>902132.22389552847</v>
      </c>
      <c r="N3167" s="843" t="e">
        <f>SUMIF(#REF!,'8.Dgia'!A3167,#REF!)+SUMIF(#REF!,'8.Dgia'!A3167,#REF!)+SUMIF(#REF!,'8.Dgia'!A3167,#REF!)+SUMIF(#REF!,'8.Dgia'!A3167,#REF!)</f>
        <v>#REF!</v>
      </c>
      <c r="O3167" s="844"/>
      <c r="P3167" s="843" t="e">
        <f t="shared" si="128"/>
        <v>#REF!</v>
      </c>
    </row>
    <row r="3168" spans="1:18" ht="15" customHeight="1">
      <c r="A3168" s="657">
        <f>IF(B3168="",MAX($A$8:A3167)+0,MAX($A$8:A3167)+1)</f>
        <v>382</v>
      </c>
      <c r="B3168" s="835" t="str">
        <f>IF(C3168="","",COUNTA($C$10:C3169))</f>
        <v/>
      </c>
      <c r="C3168" s="851"/>
      <c r="D3168" s="851" t="str">
        <f>+'10.PLV'!$C$17</f>
        <v>C3124</v>
      </c>
      <c r="E3168" s="852" t="str">
        <f>+'10.PLV'!$D$17</f>
        <v>Vữa bê tông đá 1x2 C20 SN 2-4</v>
      </c>
      <c r="F3168" s="848" t="str">
        <f>VLOOKUP(E3168,DICH!B:C,2,FALSE)</f>
        <v>Concrete motar C20 stone 1x2 slump 2-4</v>
      </c>
      <c r="G3168" s="847" t="s">
        <v>545</v>
      </c>
      <c r="H3168" s="847">
        <v>1.0149999999999999</v>
      </c>
      <c r="I3168" s="848">
        <f>VLOOKUP(E3168,'11.gia '!B:I,8,FALSE)</f>
        <v>884378.32894201751</v>
      </c>
      <c r="J3168" s="853">
        <f>I3168*H3168</f>
        <v>897644.00387614768</v>
      </c>
      <c r="N3168" s="843" t="e">
        <f>SUMIF(#REF!,'8.Dgia'!A3168,#REF!)+SUMIF(#REF!,'8.Dgia'!A3168,#REF!)+SUMIF(#REF!,'8.Dgia'!A3168,#REF!)+SUMIF(#REF!,'8.Dgia'!A3168,#REF!)</f>
        <v>#REF!</v>
      </c>
      <c r="O3168" s="844">
        <v>0.5</v>
      </c>
      <c r="P3168" s="843" t="e">
        <f t="shared" si="128"/>
        <v>#REF!</v>
      </c>
    </row>
    <row r="3169" spans="1:18" ht="15" customHeight="1">
      <c r="A3169" s="657">
        <f>IF(B3169="",MAX($A$8:A3168)+0,MAX($A$8:A3168)+1)</f>
        <v>382</v>
      </c>
      <c r="B3169" s="835" t="str">
        <f>IF(C3169="","",COUNTA($C$10:C3170))</f>
        <v/>
      </c>
      <c r="C3169" s="362"/>
      <c r="D3169" s="362"/>
      <c r="E3169" s="852" t="s">
        <v>555</v>
      </c>
      <c r="F3169" s="848" t="str">
        <f>VLOOKUP(E3169,DICH!B:C,2,FALSE)</f>
        <v>Other material</v>
      </c>
      <c r="G3169" s="362" t="s">
        <v>554</v>
      </c>
      <c r="H3169" s="847">
        <v>0.5</v>
      </c>
      <c r="I3169" s="848">
        <f>+J3168</f>
        <v>897644.00387614768</v>
      </c>
      <c r="J3169" s="853">
        <f>I3169*H3169%</f>
        <v>4488.2200193807384</v>
      </c>
      <c r="N3169" s="843" t="e">
        <f>SUMIF(#REF!,'8.Dgia'!A3169,#REF!)+SUMIF(#REF!,'8.Dgia'!A3169,#REF!)+SUMIF(#REF!,'8.Dgia'!A3169,#REF!)+SUMIF(#REF!,'8.Dgia'!A3169,#REF!)</f>
        <v>#REF!</v>
      </c>
      <c r="O3169" s="844"/>
      <c r="P3169" s="843" t="e">
        <f t="shared" si="128"/>
        <v>#REF!</v>
      </c>
    </row>
    <row r="3170" spans="1:18" ht="15" customHeight="1">
      <c r="A3170" s="657">
        <f>IF(B3170="",MAX($A$8:A3169)+0,MAX($A$8:A3169)+1)</f>
        <v>382</v>
      </c>
      <c r="B3170" s="835" t="str">
        <f>IF(C3170="","",COUNTA($C$10:C3171))</f>
        <v/>
      </c>
      <c r="C3170" s="362"/>
      <c r="D3170" s="362"/>
      <c r="E3170" s="852" t="s">
        <v>2038</v>
      </c>
      <c r="F3170" s="848" t="str">
        <f>VLOOKUP(E3170,DICH!B:C,2,FALSE)</f>
        <v xml:space="preserve">  B - Labour 3.0/7</v>
      </c>
      <c r="G3170" s="883" t="s">
        <v>4899</v>
      </c>
      <c r="H3170" s="847">
        <v>1.83</v>
      </c>
      <c r="I3170" s="848">
        <f>VLOOKUP(E3170,'16.NC'!$C$11:$F$22,4,FALSE)</f>
        <v>186797</v>
      </c>
      <c r="J3170" s="849">
        <f>I3170*H3170</f>
        <v>341838.51</v>
      </c>
      <c r="N3170" s="843" t="e">
        <f>SUMIF(#REF!,'8.Dgia'!A3170,#REF!)+SUMIF(#REF!,'8.Dgia'!A3170,#REF!)+SUMIF(#REF!,'8.Dgia'!A3170,#REF!)+SUMIF(#REF!,'8.Dgia'!A3170,#REF!)</f>
        <v>#REF!</v>
      </c>
      <c r="O3170" s="844"/>
      <c r="P3170" s="843" t="e">
        <f t="shared" si="128"/>
        <v>#REF!</v>
      </c>
      <c r="R3170" s="658">
        <v>1</v>
      </c>
    </row>
    <row r="3171" spans="1:18" ht="15" customHeight="1">
      <c r="A3171" s="657">
        <f>IF(B3171="",MAX($A$8:A3170)+0,MAX($A$8:A3170)+1)</f>
        <v>382</v>
      </c>
      <c r="B3171" s="835" t="str">
        <f>IF(C3171="","",COUNTA($C$10:C3172))</f>
        <v/>
      </c>
      <c r="C3171" s="362"/>
      <c r="D3171" s="362"/>
      <c r="E3171" s="852" t="s">
        <v>2033</v>
      </c>
      <c r="F3171" s="848" t="str">
        <f>VLOOKUP(E3171,DICH!B:C,2,FALSE)</f>
        <v xml:space="preserve">  C - Machine</v>
      </c>
      <c r="G3171" s="883"/>
      <c r="H3171" s="847"/>
      <c r="I3171" s="848"/>
      <c r="J3171" s="849">
        <f>SUM(J3172:J3174)</f>
        <v>33661.027455000003</v>
      </c>
      <c r="N3171" s="843" t="e">
        <f>SUMIF(#REF!,'8.Dgia'!A3171,#REF!)+SUMIF(#REF!,'8.Dgia'!A3171,#REF!)+SUMIF(#REF!,'8.Dgia'!A3171,#REF!)+SUMIF(#REF!,'8.Dgia'!A3171,#REF!)</f>
        <v>#REF!</v>
      </c>
      <c r="O3171" s="844"/>
      <c r="P3171" s="843" t="e">
        <f t="shared" si="128"/>
        <v>#REF!</v>
      </c>
    </row>
    <row r="3172" spans="1:18" ht="15" customHeight="1">
      <c r="A3172" s="657">
        <f>IF(B3172="",MAX($A$8:A3171)+0,MAX($A$8:A3171)+1)</f>
        <v>382</v>
      </c>
      <c r="B3172" s="835" t="str">
        <f>IF(C3172="","",COUNTA($C$10:C3173))</f>
        <v/>
      </c>
      <c r="C3172" s="362"/>
      <c r="D3172" s="362"/>
      <c r="E3172" s="852" t="s">
        <v>582</v>
      </c>
      <c r="F3172" s="848" t="str">
        <f>VLOOKUP(E3172,'9.may'!E:F,2,FALSE)</f>
        <v>concrete mixer 250L</v>
      </c>
      <c r="G3172" s="883" t="s">
        <v>4902</v>
      </c>
      <c r="H3172" s="847">
        <v>9.5000000000000001E-2</v>
      </c>
      <c r="I3172" s="848">
        <f>VLOOKUP(E3172,'9.may'!E:W,12,FALSE)</f>
        <v>180447.90000000002</v>
      </c>
      <c r="J3172" s="853">
        <f>I3172*H3172</f>
        <v>17142.550500000001</v>
      </c>
      <c r="N3172" s="843" t="e">
        <f>SUMIF(#REF!,'8.Dgia'!A3172,#REF!)+SUMIF(#REF!,'8.Dgia'!A3172,#REF!)+SUMIF(#REF!,'8.Dgia'!A3172,#REF!)+SUMIF(#REF!,'8.Dgia'!A3172,#REF!)</f>
        <v>#REF!</v>
      </c>
      <c r="O3172" s="844">
        <f>+$H$3174</f>
        <v>10</v>
      </c>
      <c r="P3172" s="843" t="e">
        <f t="shared" si="128"/>
        <v>#REF!</v>
      </c>
    </row>
    <row r="3173" spans="1:18" ht="15" customHeight="1">
      <c r="A3173" s="657">
        <f>IF(B3173="",MAX($A$8:A3172)+0,MAX($A$8:A3172)+1)</f>
        <v>382</v>
      </c>
      <c r="B3173" s="835" t="str">
        <f>IF(C3173="","",COUNTA($C$10:C3174))</f>
        <v/>
      </c>
      <c r="C3173" s="362"/>
      <c r="D3173" s="362"/>
      <c r="E3173" s="852" t="s">
        <v>620</v>
      </c>
      <c r="F3173" s="848" t="str">
        <f>VLOOKUP(E3173,'9.may'!E:F,2,FALSE)</f>
        <v>concrete vibrating compactor 1.5Kw</v>
      </c>
      <c r="G3173" s="883" t="s">
        <v>4902</v>
      </c>
      <c r="H3173" s="847">
        <v>0.18</v>
      </c>
      <c r="I3173" s="848">
        <f>VLOOKUP(E3173,'9.may'!E:W,12,FALSE)</f>
        <v>74768.797500000001</v>
      </c>
      <c r="J3173" s="853">
        <f>I3173*H3173</f>
        <v>13458.38355</v>
      </c>
      <c r="N3173" s="843" t="e">
        <f>SUMIF(#REF!,'8.Dgia'!A3173,#REF!)+SUMIF(#REF!,'8.Dgia'!A3173,#REF!)+SUMIF(#REF!,'8.Dgia'!A3173,#REF!)+SUMIF(#REF!,'8.Dgia'!A3173,#REF!)</f>
        <v>#REF!</v>
      </c>
      <c r="O3173" s="844">
        <f>+$H$3174</f>
        <v>10</v>
      </c>
      <c r="P3173" s="843" t="e">
        <f t="shared" si="128"/>
        <v>#REF!</v>
      </c>
    </row>
    <row r="3174" spans="1:18" ht="15" customHeight="1">
      <c r="A3174" s="657">
        <f>IF(B3174="",MAX($A$8:A3173)+0,MAX($A$8:A3173)+1)</f>
        <v>382</v>
      </c>
      <c r="B3174" s="835" t="str">
        <f>IF(C3174="","",COUNTA($C$10:C3175))</f>
        <v/>
      </c>
      <c r="C3174" s="362"/>
      <c r="D3174" s="362"/>
      <c r="E3174" s="852" t="s">
        <v>553</v>
      </c>
      <c r="F3174" s="848" t="str">
        <f>VLOOKUP(E3174,DICH!B:C,2,FALSE)</f>
        <v>Other machine</v>
      </c>
      <c r="G3174" s="362" t="s">
        <v>554</v>
      </c>
      <c r="H3174" s="847">
        <v>10</v>
      </c>
      <c r="I3174" s="848">
        <f>SUM(J3172:J3173)</f>
        <v>30600.934050000003</v>
      </c>
      <c r="J3174" s="853">
        <f>I3174*H3174%</f>
        <v>3060.0934050000005</v>
      </c>
      <c r="N3174" s="843" t="e">
        <f>SUMIF(#REF!,'8.Dgia'!A3174,#REF!)+SUMIF(#REF!,'8.Dgia'!A3174,#REF!)+SUMIF(#REF!,'8.Dgia'!A3174,#REF!)+SUMIF(#REF!,'8.Dgia'!A3174,#REF!)</f>
        <v>#REF!</v>
      </c>
      <c r="O3174" s="844"/>
      <c r="P3174" s="843" t="e">
        <f t="shared" si="128"/>
        <v>#REF!</v>
      </c>
    </row>
    <row r="3175" spans="1:18" ht="15" customHeight="1">
      <c r="A3175" s="657">
        <f>IF(B3175="",MAX($A$8:A3174)+0,MAX($A$8:A3174)+1)</f>
        <v>383</v>
      </c>
      <c r="B3175" s="835">
        <f>IF(C3175="","",COUNTA($C$10:C3176))</f>
        <v>383</v>
      </c>
      <c r="C3175" s="835">
        <f>IF(D3175="","",1776)</f>
        <v>1776</v>
      </c>
      <c r="D3175" s="362" t="s">
        <v>2167</v>
      </c>
      <c r="E3175" s="855" t="s">
        <v>3840</v>
      </c>
      <c r="F3175" s="1049" t="str">
        <f>VLOOKUP(E3175,DICH!B:C,2,FALSE)</f>
        <v>Concrete C15 of pole</v>
      </c>
      <c r="G3175" s="884" t="s">
        <v>545</v>
      </c>
      <c r="H3175" s="847"/>
      <c r="I3175" s="848"/>
      <c r="J3175" s="889"/>
      <c r="K3175" s="842">
        <f>+J3176</f>
        <v>836171.72269721131</v>
      </c>
      <c r="L3175" s="842">
        <f>+J3179</f>
        <v>341838.51</v>
      </c>
      <c r="M3175" s="842">
        <f>+J3180</f>
        <v>33661.027455000003</v>
      </c>
      <c r="N3175" s="843" t="e">
        <f>SUMIF(#REF!,'8.Dgia'!A3175,#REF!)+SUMIF(#REF!,'8.Dgia'!A3175,#REF!)+SUMIF(#REF!,'8.Dgia'!A3175,#REF!)+SUMIF(#REF!,'8.Dgia'!A3175,#REF!)</f>
        <v>#REF!</v>
      </c>
      <c r="O3175" s="844"/>
      <c r="P3175" s="843" t="e">
        <f t="shared" ref="P3175:P3183" si="129">$H3175*N3175*(1+O3175%)</f>
        <v>#REF!</v>
      </c>
    </row>
    <row r="3176" spans="1:18" ht="15" customHeight="1">
      <c r="A3176" s="657">
        <f>IF(B3176="",MAX($A$8:A3175)+0,MAX($A$8:A3175)+1)</f>
        <v>383</v>
      </c>
      <c r="B3176" s="835" t="str">
        <f>IF(C3176="","",COUNTA($C$10:C3177))</f>
        <v/>
      </c>
      <c r="C3176" s="362"/>
      <c r="D3176" s="362"/>
      <c r="E3176" s="852" t="s">
        <v>2032</v>
      </c>
      <c r="F3176" s="848" t="str">
        <f>VLOOKUP(E3176,DICH!B:C,2,FALSE)</f>
        <v xml:space="preserve">  A - Material</v>
      </c>
      <c r="G3176" s="362"/>
      <c r="H3176" s="847"/>
      <c r="I3176" s="848"/>
      <c r="J3176" s="849">
        <f>SUM(J3177:J3178)</f>
        <v>836171.72269721131</v>
      </c>
      <c r="N3176" s="843" t="e">
        <f>SUMIF(#REF!,'8.Dgia'!A3176,#REF!)+SUMIF(#REF!,'8.Dgia'!A3176,#REF!)+SUMIF(#REF!,'8.Dgia'!A3176,#REF!)+SUMIF(#REF!,'8.Dgia'!A3176,#REF!)</f>
        <v>#REF!</v>
      </c>
      <c r="O3176" s="844"/>
      <c r="P3176" s="843" t="e">
        <f t="shared" si="129"/>
        <v>#REF!</v>
      </c>
    </row>
    <row r="3177" spans="1:18" ht="15" customHeight="1">
      <c r="A3177" s="657">
        <f>IF(B3177="",MAX($A$8:A3176)+0,MAX($A$8:A3176)+1)</f>
        <v>383</v>
      </c>
      <c r="B3177" s="835" t="str">
        <f>IF(C3177="","",COUNTA($C$10:C3178))</f>
        <v/>
      </c>
      <c r="C3177" s="851"/>
      <c r="D3177" s="851" t="str">
        <f>+'10.PLV'!$C$12</f>
        <v>C3123</v>
      </c>
      <c r="E3177" s="852" t="str">
        <f>+'10.PLV'!$D$12</f>
        <v>Vữa bê tông đá 1x2 C15 SN 2-4</v>
      </c>
      <c r="F3177" s="848" t="str">
        <f>VLOOKUP(E3177,DICH!B:C,2,FALSE)</f>
        <v>Concrete motar C15 stone 1x2 slump 2-4</v>
      </c>
      <c r="G3177" s="847" t="s">
        <v>545</v>
      </c>
      <c r="H3177" s="847">
        <v>1.0149999999999999</v>
      </c>
      <c r="I3177" s="848">
        <f>VLOOKUP(E3177,'11.gia '!B:I,8,FALSE)</f>
        <v>819715.92549294059</v>
      </c>
      <c r="J3177" s="853">
        <f>I3177*H3177</f>
        <v>832011.66437533463</v>
      </c>
      <c r="N3177" s="843" t="e">
        <f>SUMIF(#REF!,'8.Dgia'!A3177,#REF!)+SUMIF(#REF!,'8.Dgia'!A3177,#REF!)+SUMIF(#REF!,'8.Dgia'!A3177,#REF!)+SUMIF(#REF!,'8.Dgia'!A3177,#REF!)</f>
        <v>#REF!</v>
      </c>
      <c r="O3177" s="844">
        <v>0.5</v>
      </c>
      <c r="P3177" s="843" t="e">
        <f t="shared" si="129"/>
        <v>#REF!</v>
      </c>
    </row>
    <row r="3178" spans="1:18" ht="15" customHeight="1">
      <c r="A3178" s="657">
        <f>IF(B3178="",MAX($A$8:A3177)+0,MAX($A$8:A3177)+1)</f>
        <v>383</v>
      </c>
      <c r="B3178" s="835" t="str">
        <f>IF(C3178="","",COUNTA($C$10:C3179))</f>
        <v/>
      </c>
      <c r="C3178" s="362"/>
      <c r="D3178" s="362"/>
      <c r="E3178" s="852" t="s">
        <v>555</v>
      </c>
      <c r="F3178" s="848" t="str">
        <f>VLOOKUP(E3178,DICH!B:C,2,FALSE)</f>
        <v>Other material</v>
      </c>
      <c r="G3178" s="362" t="s">
        <v>554</v>
      </c>
      <c r="H3178" s="847">
        <v>0.5</v>
      </c>
      <c r="I3178" s="848">
        <f>+J3177</f>
        <v>832011.66437533463</v>
      </c>
      <c r="J3178" s="853">
        <f>I3178*H3178%</f>
        <v>4160.0583218766733</v>
      </c>
      <c r="N3178" s="843" t="e">
        <f>SUMIF(#REF!,'8.Dgia'!A3178,#REF!)+SUMIF(#REF!,'8.Dgia'!A3178,#REF!)+SUMIF(#REF!,'8.Dgia'!A3178,#REF!)+SUMIF(#REF!,'8.Dgia'!A3178,#REF!)</f>
        <v>#REF!</v>
      </c>
      <c r="O3178" s="844"/>
      <c r="P3178" s="843" t="e">
        <f t="shared" si="129"/>
        <v>#REF!</v>
      </c>
    </row>
    <row r="3179" spans="1:18" ht="15" customHeight="1">
      <c r="A3179" s="657">
        <f>IF(B3179="",MAX($A$8:A3178)+0,MAX($A$8:A3178)+1)</f>
        <v>383</v>
      </c>
      <c r="B3179" s="835" t="str">
        <f>IF(C3179="","",COUNTA($C$10:C3180))</f>
        <v/>
      </c>
      <c r="C3179" s="362"/>
      <c r="D3179" s="362"/>
      <c r="E3179" s="852" t="s">
        <v>2038</v>
      </c>
      <c r="F3179" s="848" t="str">
        <f>VLOOKUP(E3179,DICH!B:C,2,FALSE)</f>
        <v xml:space="preserve">  B - Labour 3.0/7</v>
      </c>
      <c r="G3179" s="883" t="s">
        <v>4899</v>
      </c>
      <c r="H3179" s="847">
        <v>1.83</v>
      </c>
      <c r="I3179" s="848">
        <f>VLOOKUP(E3179,'16.NC'!$C$11:$F$22,4,FALSE)</f>
        <v>186797</v>
      </c>
      <c r="J3179" s="849">
        <f>I3179*H3179</f>
        <v>341838.51</v>
      </c>
      <c r="N3179" s="843" t="e">
        <f>SUMIF(#REF!,'8.Dgia'!A3179,#REF!)+SUMIF(#REF!,'8.Dgia'!A3179,#REF!)+SUMIF(#REF!,'8.Dgia'!A3179,#REF!)+SUMIF(#REF!,'8.Dgia'!A3179,#REF!)</f>
        <v>#REF!</v>
      </c>
      <c r="O3179" s="844"/>
      <c r="P3179" s="843" t="e">
        <f t="shared" si="129"/>
        <v>#REF!</v>
      </c>
      <c r="R3179" s="658">
        <v>1</v>
      </c>
    </row>
    <row r="3180" spans="1:18" ht="15" customHeight="1">
      <c r="A3180" s="657">
        <f>IF(B3180="",MAX($A$8:A3179)+0,MAX($A$8:A3179)+1)</f>
        <v>383</v>
      </c>
      <c r="B3180" s="835" t="str">
        <f>IF(C3180="","",COUNTA($C$10:C3181))</f>
        <v/>
      </c>
      <c r="C3180" s="362"/>
      <c r="D3180" s="362"/>
      <c r="E3180" s="852" t="s">
        <v>2033</v>
      </c>
      <c r="F3180" s="848" t="str">
        <f>VLOOKUP(E3180,DICH!B:C,2,FALSE)</f>
        <v xml:space="preserve">  C - Machine</v>
      </c>
      <c r="G3180" s="883"/>
      <c r="H3180" s="847"/>
      <c r="I3180" s="848"/>
      <c r="J3180" s="849">
        <f>SUM(J3181:J3183)</f>
        <v>33661.027455000003</v>
      </c>
      <c r="N3180" s="843" t="e">
        <f>SUMIF(#REF!,'8.Dgia'!A3180,#REF!)+SUMIF(#REF!,'8.Dgia'!A3180,#REF!)+SUMIF(#REF!,'8.Dgia'!A3180,#REF!)+SUMIF(#REF!,'8.Dgia'!A3180,#REF!)</f>
        <v>#REF!</v>
      </c>
      <c r="O3180" s="844"/>
      <c r="P3180" s="843" t="e">
        <f t="shared" si="129"/>
        <v>#REF!</v>
      </c>
    </row>
    <row r="3181" spans="1:18" ht="15" customHeight="1">
      <c r="A3181" s="657">
        <f>IF(B3181="",MAX($A$8:A3180)+0,MAX($A$8:A3180)+1)</f>
        <v>383</v>
      </c>
      <c r="B3181" s="835" t="str">
        <f>IF(C3181="","",COUNTA($C$10:C3182))</f>
        <v/>
      </c>
      <c r="C3181" s="362"/>
      <c r="D3181" s="362"/>
      <c r="E3181" s="852" t="s">
        <v>582</v>
      </c>
      <c r="F3181" s="848" t="str">
        <f>VLOOKUP(E3181,'9.may'!E:F,2,FALSE)</f>
        <v>concrete mixer 250L</v>
      </c>
      <c r="G3181" s="883" t="s">
        <v>4902</v>
      </c>
      <c r="H3181" s="847">
        <v>9.5000000000000001E-2</v>
      </c>
      <c r="I3181" s="848">
        <f>VLOOKUP(E3181,'9.may'!E:W,12,FALSE)</f>
        <v>180447.90000000002</v>
      </c>
      <c r="J3181" s="853">
        <f>I3181*H3181</f>
        <v>17142.550500000001</v>
      </c>
      <c r="N3181" s="843" t="e">
        <f>SUMIF(#REF!,'8.Dgia'!A3181,#REF!)+SUMIF(#REF!,'8.Dgia'!A3181,#REF!)+SUMIF(#REF!,'8.Dgia'!A3181,#REF!)+SUMIF(#REF!,'8.Dgia'!A3181,#REF!)</f>
        <v>#REF!</v>
      </c>
      <c r="O3181" s="844">
        <f>+$H$3174</f>
        <v>10</v>
      </c>
      <c r="P3181" s="843" t="e">
        <f t="shared" si="129"/>
        <v>#REF!</v>
      </c>
    </row>
    <row r="3182" spans="1:18" ht="15" customHeight="1">
      <c r="A3182" s="657">
        <f>IF(B3182="",MAX($A$8:A3181)+0,MAX($A$8:A3181)+1)</f>
        <v>383</v>
      </c>
      <c r="B3182" s="835" t="str">
        <f>IF(C3182="","",COUNTA($C$10:C3183))</f>
        <v/>
      </c>
      <c r="C3182" s="362"/>
      <c r="D3182" s="362"/>
      <c r="E3182" s="852" t="s">
        <v>620</v>
      </c>
      <c r="F3182" s="848" t="str">
        <f>VLOOKUP(E3182,'9.may'!E:F,2,FALSE)</f>
        <v>concrete vibrating compactor 1.5Kw</v>
      </c>
      <c r="G3182" s="883" t="s">
        <v>4902</v>
      </c>
      <c r="H3182" s="847">
        <v>0.18</v>
      </c>
      <c r="I3182" s="848">
        <f>VLOOKUP(E3182,'9.may'!E:W,12,FALSE)</f>
        <v>74768.797500000001</v>
      </c>
      <c r="J3182" s="853">
        <f>I3182*H3182</f>
        <v>13458.38355</v>
      </c>
      <c r="N3182" s="843" t="e">
        <f>SUMIF(#REF!,'8.Dgia'!A3182,#REF!)+SUMIF(#REF!,'8.Dgia'!A3182,#REF!)+SUMIF(#REF!,'8.Dgia'!A3182,#REF!)+SUMIF(#REF!,'8.Dgia'!A3182,#REF!)</f>
        <v>#REF!</v>
      </c>
      <c r="O3182" s="844">
        <f>+$H$3174</f>
        <v>10</v>
      </c>
      <c r="P3182" s="843" t="e">
        <f t="shared" si="129"/>
        <v>#REF!</v>
      </c>
    </row>
    <row r="3183" spans="1:18" ht="15" customHeight="1">
      <c r="A3183" s="657">
        <f>IF(B3183="",MAX($A$8:A3182)+0,MAX($A$8:A3182)+1)</f>
        <v>383</v>
      </c>
      <c r="B3183" s="835" t="str">
        <f>IF(C3183="","",COUNTA($C$10:C3184))</f>
        <v/>
      </c>
      <c r="C3183" s="362"/>
      <c r="D3183" s="362"/>
      <c r="E3183" s="852" t="s">
        <v>553</v>
      </c>
      <c r="F3183" s="848" t="str">
        <f>VLOOKUP(E3183,DICH!B:C,2,FALSE)</f>
        <v>Other machine</v>
      </c>
      <c r="G3183" s="362" t="s">
        <v>554</v>
      </c>
      <c r="H3183" s="847">
        <v>10</v>
      </c>
      <c r="I3183" s="848">
        <f>SUM(J3181:J3182)</f>
        <v>30600.934050000003</v>
      </c>
      <c r="J3183" s="853">
        <f>I3183*H3183%</f>
        <v>3060.0934050000005</v>
      </c>
      <c r="N3183" s="843" t="e">
        <f>SUMIF(#REF!,'8.Dgia'!A3183,#REF!)+SUMIF(#REF!,'8.Dgia'!A3183,#REF!)+SUMIF(#REF!,'8.Dgia'!A3183,#REF!)+SUMIF(#REF!,'8.Dgia'!A3183,#REF!)</f>
        <v>#REF!</v>
      </c>
      <c r="O3183" s="844"/>
      <c r="P3183" s="843" t="e">
        <f t="shared" si="129"/>
        <v>#REF!</v>
      </c>
    </row>
    <row r="3184" spans="1:18" ht="15" customHeight="1">
      <c r="A3184" s="657">
        <f>IF(B3184="",MAX($A$8:A3183)+0,MAX($A$8:A3183)+1)</f>
        <v>384</v>
      </c>
      <c r="B3184" s="835">
        <f>IF(C3184="","",COUNTA($C$10:C3185))</f>
        <v>384</v>
      </c>
      <c r="C3184" s="835">
        <f>IF(D3184="","",1776)</f>
        <v>1776</v>
      </c>
      <c r="D3184" s="362" t="s">
        <v>3489</v>
      </c>
      <c r="E3184" s="855" t="s">
        <v>2093</v>
      </c>
      <c r="F3184" s="1049" t="str">
        <f>VLOOKUP(E3184,DICH!B:C,2,FALSE)</f>
        <v>Embanking clay to protect talus</v>
      </c>
      <c r="G3184" s="882" t="s">
        <v>545</v>
      </c>
      <c r="H3184" s="847"/>
      <c r="I3184" s="858"/>
      <c r="J3184" s="903"/>
      <c r="K3184" s="842">
        <f>+J3185</f>
        <v>73770.188962098109</v>
      </c>
      <c r="L3184" s="842">
        <f>+J3187</f>
        <v>125153.99</v>
      </c>
      <c r="N3184" s="843" t="e">
        <f>SUMIF(#REF!,'8.Dgia'!A3184,#REF!)+SUMIF(#REF!,'8.Dgia'!A3184,#REF!)+SUMIF(#REF!,'8.Dgia'!A3184,#REF!)+SUMIF(#REF!,'8.Dgia'!A3184,#REF!)</f>
        <v>#REF!</v>
      </c>
      <c r="O3184" s="844"/>
      <c r="P3184" s="843" t="e">
        <f t="shared" si="128"/>
        <v>#REF!</v>
      </c>
    </row>
    <row r="3185" spans="1:18" ht="15" customHeight="1">
      <c r="A3185" s="657">
        <f>IF(B3185="",MAX($A$8:A3184)+0,MAX($A$8:A3184)+1)</f>
        <v>384</v>
      </c>
      <c r="B3185" s="835" t="str">
        <f>IF(C3185="","",COUNTA($C$10:C3186))</f>
        <v/>
      </c>
      <c r="C3185" s="362"/>
      <c r="D3185" s="362"/>
      <c r="E3185" s="852" t="s">
        <v>2032</v>
      </c>
      <c r="F3185" s="848" t="str">
        <f>VLOOKUP(E3185,DICH!B:C,2,FALSE)</f>
        <v xml:space="preserve">  A - Material</v>
      </c>
      <c r="G3185" s="882"/>
      <c r="H3185" s="847"/>
      <c r="I3185" s="848"/>
      <c r="J3185" s="849">
        <f>+J3186</f>
        <v>73770.188962098109</v>
      </c>
      <c r="N3185" s="843" t="e">
        <f>SUMIF(#REF!,'8.Dgia'!A3185,#REF!)+SUMIF(#REF!,'8.Dgia'!A3185,#REF!)+SUMIF(#REF!,'8.Dgia'!A3185,#REF!)+SUMIF(#REF!,'8.Dgia'!A3185,#REF!)</f>
        <v>#REF!</v>
      </c>
      <c r="O3185" s="844"/>
      <c r="P3185" s="843" t="e">
        <f t="shared" si="128"/>
        <v>#REF!</v>
      </c>
    </row>
    <row r="3186" spans="1:18" ht="15" customHeight="1">
      <c r="A3186" s="657">
        <f>IF(B3186="",MAX($A$8:A3185)+0,MAX($A$8:A3185)+1)</f>
        <v>384</v>
      </c>
      <c r="B3186" s="835" t="str">
        <f>IF(C3186="","",COUNTA($C$10:C3187))</f>
        <v/>
      </c>
      <c r="C3186" s="362"/>
      <c r="D3186" s="362"/>
      <c r="E3186" s="852" t="s">
        <v>383</v>
      </c>
      <c r="F3186" s="848" t="str">
        <f>VLOOKUP(E3186,DICH!B:C,2,FALSE)</f>
        <v>Clay</v>
      </c>
      <c r="G3186" s="883" t="s">
        <v>545</v>
      </c>
      <c r="H3186" s="847">
        <v>1.1299999999999999</v>
      </c>
      <c r="I3186" s="848">
        <f>VLOOKUP(E3186,'11.gia '!$B:$I,8,FALSE)</f>
        <v>65283.353063803646</v>
      </c>
      <c r="J3186" s="863">
        <f>I3186*H3186</f>
        <v>73770.188962098109</v>
      </c>
      <c r="N3186" s="843" t="e">
        <f>SUMIF(#REF!,'8.Dgia'!A3186,#REF!)+SUMIF(#REF!,'8.Dgia'!A3186,#REF!)+SUMIF(#REF!,'8.Dgia'!A3186,#REF!)+SUMIF(#REF!,'8.Dgia'!A3186,#REF!)</f>
        <v>#REF!</v>
      </c>
      <c r="O3186" s="844"/>
      <c r="P3186" s="843" t="e">
        <f t="shared" si="128"/>
        <v>#REF!</v>
      </c>
    </row>
    <row r="3187" spans="1:18" ht="15" customHeight="1">
      <c r="A3187" s="657">
        <f>IF(B3187="",MAX($A$8:A3186)+0,MAX($A$8:A3186)+1)</f>
        <v>384</v>
      </c>
      <c r="B3187" s="835" t="str">
        <f>IF(C3187="","",COUNTA($C$10:C3188))</f>
        <v/>
      </c>
      <c r="C3187" s="362"/>
      <c r="D3187" s="362"/>
      <c r="E3187" s="852" t="s">
        <v>2038</v>
      </c>
      <c r="F3187" s="848" t="str">
        <f>VLOOKUP(E3187,DICH!B:C,2,FALSE)</f>
        <v xml:space="preserve">  B - Labour 3.0/7</v>
      </c>
      <c r="G3187" s="883" t="s">
        <v>4899</v>
      </c>
      <c r="H3187" s="900">
        <v>0.67</v>
      </c>
      <c r="I3187" s="848">
        <f>VLOOKUP(E3187,'16.NC'!$C$11:$F$22,4,FALSE)</f>
        <v>186797</v>
      </c>
      <c r="J3187" s="849">
        <f>I3187*H3187</f>
        <v>125153.99</v>
      </c>
      <c r="N3187" s="843" t="e">
        <f>SUMIF(#REF!,'8.Dgia'!A3187,#REF!)+SUMIF(#REF!,'8.Dgia'!A3187,#REF!)+SUMIF(#REF!,'8.Dgia'!A3187,#REF!)+SUMIF(#REF!,'8.Dgia'!A3187,#REF!)</f>
        <v>#REF!</v>
      </c>
      <c r="O3187" s="844"/>
      <c r="P3187" s="843" t="e">
        <f t="shared" si="128"/>
        <v>#REF!</v>
      </c>
      <c r="R3187" s="658">
        <v>1</v>
      </c>
    </row>
    <row r="3188" spans="1:18" ht="30" customHeight="1">
      <c r="A3188" s="657">
        <f>IF(B3188="",MAX($A$8:A3187)+0,MAX($A$8:A3187)+1)</f>
        <v>385</v>
      </c>
      <c r="B3188" s="835">
        <f>IF(C3188="","",COUNTA($C$10:C3189))</f>
        <v>385</v>
      </c>
      <c r="C3188" s="835">
        <f>IF(D3188="","",1776)</f>
        <v>1776</v>
      </c>
      <c r="D3188" s="362" t="s">
        <v>2171</v>
      </c>
      <c r="E3188" s="855" t="s">
        <v>2172</v>
      </c>
      <c r="F3188" s="1049" t="str">
        <f>VLOOKUP(E3188,DICH!B:C,2,FALSE)</f>
        <v>Paving strengthen coarse asphanlt concrete (co=1/0.07)</v>
      </c>
      <c r="G3188" s="884" t="s">
        <v>544</v>
      </c>
      <c r="H3188" s="847"/>
      <c r="I3188" s="848"/>
      <c r="J3188" s="889"/>
      <c r="L3188" s="842">
        <f>+J3189</f>
        <v>7975197.8571428563</v>
      </c>
      <c r="M3188" s="842">
        <f>+J3190</f>
        <v>6818985.5875162585</v>
      </c>
      <c r="N3188" s="843" t="e">
        <f>SUMIF(#REF!,'8.Dgia'!A3188,#REF!)+SUMIF(#REF!,'8.Dgia'!A3188,#REF!)+SUMIF(#REF!,'8.Dgia'!A3188,#REF!)+SUMIF(#REF!,'8.Dgia'!A3188,#REF!)</f>
        <v>#REF!</v>
      </c>
      <c r="O3188" s="844"/>
      <c r="P3188" s="843" t="e">
        <f t="shared" si="128"/>
        <v>#REF!</v>
      </c>
    </row>
    <row r="3189" spans="1:18" ht="15" customHeight="1">
      <c r="A3189" s="657">
        <f>IF(B3189="",MAX($A$8:A3188)+0,MAX($A$8:A3188)+1)</f>
        <v>385</v>
      </c>
      <c r="B3189" s="835" t="str">
        <f>IF(C3189="","",COUNTA($C$10:C3190))</f>
        <v/>
      </c>
      <c r="C3189" s="362"/>
      <c r="D3189" s="362"/>
      <c r="E3189" s="852" t="s">
        <v>2039</v>
      </c>
      <c r="F3189" s="848" t="str">
        <f>VLOOKUP(E3189,DICH!B:C,2,FALSE)</f>
        <v xml:space="preserve">  B - Labour 4.0/7</v>
      </c>
      <c r="G3189" s="883" t="s">
        <v>4899</v>
      </c>
      <c r="H3189" s="859">
        <f>2.55/0.07</f>
        <v>36.428571428571423</v>
      </c>
      <c r="I3189" s="848">
        <f>VLOOKUP(E3189,'16.NC'!$C$11:$F$22,4,FALSE)</f>
        <v>218927</v>
      </c>
      <c r="J3189" s="849">
        <f>I3189*H3189</f>
        <v>7975197.8571428563</v>
      </c>
      <c r="N3189" s="843" t="e">
        <f>SUMIF(#REF!,'8.Dgia'!A3189,#REF!)+SUMIF(#REF!,'8.Dgia'!A3189,#REF!)+SUMIF(#REF!,'8.Dgia'!A3189,#REF!)+SUMIF(#REF!,'8.Dgia'!A3189,#REF!)</f>
        <v>#REF!</v>
      </c>
      <c r="O3189" s="844"/>
      <c r="P3189" s="843" t="e">
        <f t="shared" si="128"/>
        <v>#REF!</v>
      </c>
      <c r="R3189" s="658">
        <v>1</v>
      </c>
    </row>
    <row r="3190" spans="1:18" ht="15" customHeight="1">
      <c r="A3190" s="657">
        <f>IF(B3190="",MAX($A$8:A3189)+0,MAX($A$8:A3189)+1)</f>
        <v>385</v>
      </c>
      <c r="B3190" s="835" t="str">
        <f>IF(C3190="","",COUNTA($C$10:C3191))</f>
        <v/>
      </c>
      <c r="C3190" s="362"/>
      <c r="D3190" s="362"/>
      <c r="E3190" s="852" t="s">
        <v>2033</v>
      </c>
      <c r="F3190" s="848" t="str">
        <f>VLOOKUP(E3190,DICH!B:C,2,FALSE)</f>
        <v xml:space="preserve">  C - Machine</v>
      </c>
      <c r="G3190" s="883"/>
      <c r="H3190" s="847"/>
      <c r="I3190" s="848"/>
      <c r="J3190" s="849">
        <f>SUM(J3191:J3194)</f>
        <v>6818985.5875162585</v>
      </c>
      <c r="N3190" s="843" t="e">
        <f>SUMIF(#REF!,'8.Dgia'!A3190,#REF!)+SUMIF(#REF!,'8.Dgia'!A3190,#REF!)+SUMIF(#REF!,'8.Dgia'!A3190,#REF!)+SUMIF(#REF!,'8.Dgia'!A3190,#REF!)</f>
        <v>#REF!</v>
      </c>
      <c r="O3190" s="844"/>
      <c r="P3190" s="843" t="e">
        <f t="shared" si="128"/>
        <v>#REF!</v>
      </c>
    </row>
    <row r="3191" spans="1:18" ht="15" customHeight="1">
      <c r="A3191" s="657">
        <f>IF(B3191="",MAX($A$8:A3190)+0,MAX($A$8:A3190)+1)</f>
        <v>385</v>
      </c>
      <c r="B3191" s="835" t="str">
        <f>IF(C3191="","",COUNTA($C$10:C3192))</f>
        <v/>
      </c>
      <c r="C3191" s="362"/>
      <c r="D3191" s="362"/>
      <c r="E3191" s="852" t="s">
        <v>295</v>
      </c>
      <c r="F3191" s="848" t="str">
        <f>VLOOKUP(E3191,'9.may'!E:F,2,FALSE)</f>
        <v>asphalt paver 130-140CV</v>
      </c>
      <c r="G3191" s="883" t="s">
        <v>4902</v>
      </c>
      <c r="H3191" s="859">
        <f>0.0608/0.07</f>
        <v>0.86857142857142844</v>
      </c>
      <c r="I3191" s="848">
        <f>VLOOKUP(E3191,'9.may'!E:W,12,FALSE)</f>
        <v>4352684.9563636361</v>
      </c>
      <c r="J3191" s="853">
        <f>I3191*H3191</f>
        <v>3780617.790670129</v>
      </c>
      <c r="N3191" s="843" t="e">
        <f>SUMIF(#REF!,'8.Dgia'!A3191,#REF!)+SUMIF(#REF!,'8.Dgia'!A3191,#REF!)+SUMIF(#REF!,'8.Dgia'!A3191,#REF!)+SUMIF(#REF!,'8.Dgia'!A3191,#REF!)</f>
        <v>#REF!</v>
      </c>
      <c r="O3191" s="844">
        <f>+$H$2158</f>
        <v>2</v>
      </c>
      <c r="P3191" s="843" t="e">
        <f t="shared" si="128"/>
        <v>#REF!</v>
      </c>
    </row>
    <row r="3192" spans="1:18" ht="15" customHeight="1">
      <c r="A3192" s="657">
        <f>IF(B3192="",MAX($A$8:A3191)+0,MAX($A$8:A3191)+1)</f>
        <v>385</v>
      </c>
      <c r="B3192" s="835" t="str">
        <f>IF(C3192="","",COUNTA($C$10:C3193))</f>
        <v/>
      </c>
      <c r="C3192" s="362"/>
      <c r="D3192" s="362"/>
      <c r="E3192" s="852" t="s">
        <v>893</v>
      </c>
      <c r="F3192" s="848" t="str">
        <f>VLOOKUP(E3192,'9.may'!E:F,2,FALSE)</f>
        <v>Steel roller 10T</v>
      </c>
      <c r="G3192" s="883" t="s">
        <v>4902</v>
      </c>
      <c r="H3192" s="859">
        <f>0.12/0.07</f>
        <v>1.714285714285714</v>
      </c>
      <c r="I3192" s="848">
        <f>VLOOKUP(E3192,'9.may'!E:W,12,FALSE)</f>
        <v>950702.42999999993</v>
      </c>
      <c r="J3192" s="853">
        <f>I3192*H3192</f>
        <v>1629775.594285714</v>
      </c>
      <c r="N3192" s="843" t="e">
        <f>SUMIF(#REF!,'8.Dgia'!A3192,#REF!)+SUMIF(#REF!,'8.Dgia'!A3192,#REF!)+SUMIF(#REF!,'8.Dgia'!A3192,#REF!)+SUMIF(#REF!,'8.Dgia'!A3192,#REF!)</f>
        <v>#REF!</v>
      </c>
      <c r="O3192" s="844">
        <f>+$H$2158</f>
        <v>2</v>
      </c>
      <c r="P3192" s="843" t="e">
        <f t="shared" si="128"/>
        <v>#REF!</v>
      </c>
    </row>
    <row r="3193" spans="1:18" ht="15" customHeight="1">
      <c r="A3193" s="657">
        <f>IF(B3193="",MAX($A$8:A3192)+0,MAX($A$8:A3192)+1)</f>
        <v>385</v>
      </c>
      <c r="B3193" s="835" t="str">
        <f>IF(C3193="","",COUNTA($C$10:C3194))</f>
        <v/>
      </c>
      <c r="C3193" s="362"/>
      <c r="D3193" s="362"/>
      <c r="E3193" s="852" t="s">
        <v>875</v>
      </c>
      <c r="F3193" s="848" t="str">
        <f>VLOOKUP(E3193,'9.may'!E:F,2,FALSE)</f>
        <v>Pneumatic roller 16T</v>
      </c>
      <c r="G3193" s="883" t="s">
        <v>4902</v>
      </c>
      <c r="H3193" s="859">
        <f>0.064/0.07</f>
        <v>0.91428571428571426</v>
      </c>
      <c r="I3193" s="848">
        <f>VLOOKUP(E3193,'9.may'!E:W,12,FALSE)</f>
        <v>1394407.2218181817</v>
      </c>
      <c r="J3193" s="853">
        <f>I3193*H3193</f>
        <v>1274886.6028051947</v>
      </c>
      <c r="N3193" s="843" t="e">
        <f>SUMIF(#REF!,'8.Dgia'!A3193,#REF!)+SUMIF(#REF!,'8.Dgia'!A3193,#REF!)+SUMIF(#REF!,'8.Dgia'!A3193,#REF!)+SUMIF(#REF!,'8.Dgia'!A3193,#REF!)</f>
        <v>#REF!</v>
      </c>
      <c r="O3193" s="844">
        <f>+$H$2158</f>
        <v>2</v>
      </c>
      <c r="P3193" s="843" t="e">
        <f t="shared" si="128"/>
        <v>#REF!</v>
      </c>
    </row>
    <row r="3194" spans="1:18" ht="15" customHeight="1">
      <c r="A3194" s="657">
        <f>IF(B3194="",MAX($A$8:A3193)+0,MAX($A$8:A3193)+1)</f>
        <v>385</v>
      </c>
      <c r="B3194" s="835" t="str">
        <f>IF(C3194="","",COUNTA($C$10:C3195))</f>
        <v/>
      </c>
      <c r="C3194" s="362"/>
      <c r="D3194" s="362"/>
      <c r="E3194" s="852" t="s">
        <v>553</v>
      </c>
      <c r="F3194" s="848" t="str">
        <f>VLOOKUP(E3194,DICH!B:C,2,FALSE)</f>
        <v>Other machine</v>
      </c>
      <c r="G3194" s="362" t="s">
        <v>554</v>
      </c>
      <c r="H3194" s="847">
        <v>2</v>
      </c>
      <c r="I3194" s="848">
        <f>+SUM(J3191:J3193)</f>
        <v>6685279.9877610374</v>
      </c>
      <c r="J3194" s="853">
        <f>I3194*H3194%</f>
        <v>133705.59975522076</v>
      </c>
      <c r="N3194" s="843" t="e">
        <f>SUMIF(#REF!,'8.Dgia'!A3194,#REF!)+SUMIF(#REF!,'8.Dgia'!A3194,#REF!)+SUMIF(#REF!,'8.Dgia'!A3194,#REF!)+SUMIF(#REF!,'8.Dgia'!A3194,#REF!)</f>
        <v>#REF!</v>
      </c>
      <c r="O3194" s="844"/>
      <c r="P3194" s="843" t="e">
        <f t="shared" ref="P3194:P3220" si="130">$H3194*N3194*(1+O3194%)</f>
        <v>#REF!</v>
      </c>
    </row>
    <row r="3195" spans="1:18" ht="25.5">
      <c r="A3195" s="657">
        <f>IF(B3195="",MAX($A$8:A3194)+0,MAX($A$8:A3194)+1)</f>
        <v>386</v>
      </c>
      <c r="B3195" s="835">
        <f>IF(C3195="","",COUNTA($C$10:C3196))</f>
        <v>386</v>
      </c>
      <c r="C3195" s="835">
        <f>IF(D3195="","",1776)</f>
        <v>1776</v>
      </c>
      <c r="D3195" s="239" t="s">
        <v>5484</v>
      </c>
      <c r="E3195" s="808" t="s">
        <v>5478</v>
      </c>
      <c r="F3195" s="1049" t="s">
        <v>5479</v>
      </c>
      <c r="G3195" s="809" t="s">
        <v>544</v>
      </c>
      <c r="H3195" s="239"/>
      <c r="I3195" s="848"/>
      <c r="J3195" s="853"/>
      <c r="M3195" s="842">
        <f>+J3196</f>
        <v>2572165.86375</v>
      </c>
      <c r="N3195" s="843" t="e">
        <f>SUMIF(#REF!,'8.Dgia'!A3195,#REF!)+SUMIF(#REF!,'8.Dgia'!A3195,#REF!)+SUMIF(#REF!,'8.Dgia'!A3195,#REF!)+SUMIF(#REF!,'8.Dgia'!A3195,#REF!)</f>
        <v>#REF!</v>
      </c>
      <c r="O3195" s="844"/>
      <c r="P3195" s="843" t="e">
        <f t="shared" si="130"/>
        <v>#REF!</v>
      </c>
    </row>
    <row r="3196" spans="1:18" ht="15" customHeight="1">
      <c r="A3196" s="657">
        <f>IF(B3196="",MAX($A$8:A3195)+0,MAX($A$8:A3195)+1)</f>
        <v>386</v>
      </c>
      <c r="B3196" s="835" t="str">
        <f>IF(C3196="","",COUNTA($C$10:C3197))</f>
        <v/>
      </c>
      <c r="C3196" s="362"/>
      <c r="D3196" s="239"/>
      <c r="E3196" s="819" t="s">
        <v>2033</v>
      </c>
      <c r="F3196" s="848" t="str">
        <f>VLOOKUP(E3196,DICH!B:C,2,FALSE)</f>
        <v xml:space="preserve">  C - Machine</v>
      </c>
      <c r="G3196" s="704"/>
      <c r="H3196" s="239"/>
      <c r="I3196" s="848"/>
      <c r="J3196" s="849">
        <f>SUM(J3197:J3198)</f>
        <v>2572165.86375</v>
      </c>
      <c r="N3196" s="843" t="e">
        <f>SUMIF(#REF!,'8.Dgia'!A3196,#REF!)+SUMIF(#REF!,'8.Dgia'!A3196,#REF!)+SUMIF(#REF!,'8.Dgia'!A3196,#REF!)+SUMIF(#REF!,'8.Dgia'!A3196,#REF!)</f>
        <v>#REF!</v>
      </c>
      <c r="O3196" s="844"/>
      <c r="P3196" s="843" t="e">
        <f t="shared" si="130"/>
        <v>#REF!</v>
      </c>
      <c r="R3196" s="658">
        <v>1</v>
      </c>
    </row>
    <row r="3197" spans="1:18" ht="15" customHeight="1">
      <c r="A3197" s="657">
        <f>IF(B3197="",MAX($A$8:A3196)+0,MAX($A$8:A3196)+1)</f>
        <v>386</v>
      </c>
      <c r="B3197" s="835" t="str">
        <f>IF(C3197="","",COUNTA($C$10:C3198))</f>
        <v/>
      </c>
      <c r="C3197" s="362"/>
      <c r="D3197" s="947" t="s">
        <v>5485</v>
      </c>
      <c r="E3197" s="819" t="s">
        <v>923</v>
      </c>
      <c r="F3197" s="848" t="s">
        <v>4689</v>
      </c>
      <c r="G3197" s="704" t="s">
        <v>4902</v>
      </c>
      <c r="H3197" s="239">
        <v>0.68500000000000005</v>
      </c>
      <c r="I3197" s="848">
        <f>VLOOKUP(E3197,'9.may'!E:W,12,FALSE)</f>
        <v>1870666.0827272725</v>
      </c>
      <c r="J3197" s="853">
        <f>I3197*H3197</f>
        <v>1281406.2666681819</v>
      </c>
      <c r="N3197" s="843" t="e">
        <f>SUMIF(#REF!,'8.Dgia'!A3197,#REF!)+SUMIF(#REF!,'8.Dgia'!A3197,#REF!)+SUMIF(#REF!,'8.Dgia'!A3197,#REF!)+SUMIF(#REF!,'8.Dgia'!A3197,#REF!)</f>
        <v>#REF!</v>
      </c>
      <c r="O3197" s="844"/>
      <c r="P3197" s="843" t="e">
        <f t="shared" si="130"/>
        <v>#REF!</v>
      </c>
    </row>
    <row r="3198" spans="1:18" ht="15" customHeight="1">
      <c r="A3198" s="657">
        <f>IF(B3198="",MAX($A$8:A3197)+0,MAX($A$8:A3197)+1)</f>
        <v>386</v>
      </c>
      <c r="B3198" s="835" t="str">
        <f>IF(C3198="","",COUNTA($C$10:C3199))</f>
        <v/>
      </c>
      <c r="C3198" s="362"/>
      <c r="D3198" s="947" t="s">
        <v>5484</v>
      </c>
      <c r="E3198" s="819" t="s">
        <v>923</v>
      </c>
      <c r="F3198" s="848" t="s">
        <v>4689</v>
      </c>
      <c r="G3198" s="704" t="s">
        <v>4902</v>
      </c>
      <c r="H3198" s="239">
        <f>0.23*3</f>
        <v>0.69000000000000006</v>
      </c>
      <c r="I3198" s="848">
        <f>VLOOKUP(E3198,'9.may'!E:W,12,FALSE)</f>
        <v>1870666.0827272725</v>
      </c>
      <c r="J3198" s="853">
        <f>I3198*H3198</f>
        <v>1290759.5970818182</v>
      </c>
      <c r="N3198" s="843" t="e">
        <f>SUMIF(#REF!,'8.Dgia'!A3198,#REF!)+SUMIF(#REF!,'8.Dgia'!A3198,#REF!)+SUMIF(#REF!,'8.Dgia'!A3198,#REF!)+SUMIF(#REF!,'8.Dgia'!A3198,#REF!)</f>
        <v>#REF!</v>
      </c>
      <c r="O3198" s="844"/>
      <c r="P3198" s="843" t="e">
        <f t="shared" si="130"/>
        <v>#REF!</v>
      </c>
    </row>
    <row r="3199" spans="1:18" ht="25.5">
      <c r="A3199" s="657">
        <f>IF(B3199="",MAX($A$8:A3198)+0,MAX($A$8:A3198)+1)</f>
        <v>387</v>
      </c>
      <c r="B3199" s="835">
        <f>IF(C3199="","",COUNTA($C$10:C3200))</f>
        <v>387</v>
      </c>
      <c r="C3199" s="835">
        <f>IF(D3199="","",1776)</f>
        <v>1776</v>
      </c>
      <c r="D3199" s="239" t="s">
        <v>5486</v>
      </c>
      <c r="E3199" s="951" t="s">
        <v>5481</v>
      </c>
      <c r="F3199" s="1049" t="s">
        <v>5480</v>
      </c>
      <c r="G3199" s="952" t="s">
        <v>544</v>
      </c>
      <c r="H3199" s="950"/>
      <c r="I3199" s="840"/>
      <c r="J3199" s="841"/>
      <c r="M3199" s="842">
        <f>+J3200</f>
        <v>3629092.2004909087</v>
      </c>
      <c r="N3199" s="843" t="e">
        <f>SUMIF(#REF!,'8.Dgia'!A3199,#REF!)+SUMIF(#REF!,'8.Dgia'!A3199,#REF!)+SUMIF(#REF!,'8.Dgia'!A3199,#REF!)+SUMIF(#REF!,'8.Dgia'!A3199,#REF!)</f>
        <v>#REF!</v>
      </c>
      <c r="O3199" s="844"/>
      <c r="P3199" s="843" t="e">
        <f t="shared" si="130"/>
        <v>#REF!</v>
      </c>
    </row>
    <row r="3200" spans="1:18" ht="15" customHeight="1">
      <c r="A3200" s="657">
        <f>IF(B3200="",MAX($A$8:A3199)+0,MAX($A$8:A3199)+1)</f>
        <v>387</v>
      </c>
      <c r="B3200" s="835" t="str">
        <f>IF(C3200="","",COUNTA($C$10:C3201))</f>
        <v/>
      </c>
      <c r="C3200" s="362"/>
      <c r="D3200" s="239"/>
      <c r="E3200" s="819" t="s">
        <v>2033</v>
      </c>
      <c r="F3200" s="848" t="str">
        <f>VLOOKUP(E3200,DICH!B:C,2,FALSE)</f>
        <v xml:space="preserve">  C - Machine</v>
      </c>
      <c r="G3200" s="704"/>
      <c r="H3200" s="239"/>
      <c r="I3200" s="848"/>
      <c r="J3200" s="849">
        <f>SUM(J3201:J3202)</f>
        <v>3629092.2004909087</v>
      </c>
      <c r="N3200" s="843" t="e">
        <f>SUMIF(#REF!,'8.Dgia'!A3200,#REF!)+SUMIF(#REF!,'8.Dgia'!A3200,#REF!)+SUMIF(#REF!,'8.Dgia'!A3200,#REF!)+SUMIF(#REF!,'8.Dgia'!A3200,#REF!)</f>
        <v>#REF!</v>
      </c>
      <c r="O3200" s="844"/>
      <c r="P3200" s="843" t="e">
        <f t="shared" si="130"/>
        <v>#REF!</v>
      </c>
      <c r="R3200" s="658">
        <v>1</v>
      </c>
    </row>
    <row r="3201" spans="1:18" ht="15" customHeight="1">
      <c r="A3201" s="657">
        <f>IF(B3201="",MAX($A$8:A3200)+0,MAX($A$8:A3200)+1)</f>
        <v>387</v>
      </c>
      <c r="B3201" s="835" t="str">
        <f>IF(C3201="","",COUNTA($C$10:C3202))</f>
        <v/>
      </c>
      <c r="C3201" s="362"/>
      <c r="D3201" s="947" t="s">
        <v>5487</v>
      </c>
      <c r="E3201" s="819" t="s">
        <v>923</v>
      </c>
      <c r="F3201" s="848" t="s">
        <v>4689</v>
      </c>
      <c r="G3201" s="704" t="s">
        <v>4902</v>
      </c>
      <c r="H3201" s="239">
        <v>0.92</v>
      </c>
      <c r="I3201" s="848">
        <f>VLOOKUP(E3201,'9.may'!E:W,12,FALSE)</f>
        <v>1870666.0827272725</v>
      </c>
      <c r="J3201" s="853">
        <f>I3201*H3201</f>
        <v>1721012.7961090908</v>
      </c>
      <c r="N3201" s="843" t="e">
        <f>SUMIF(#REF!,'8.Dgia'!A3201,#REF!)+SUMIF(#REF!,'8.Dgia'!A3201,#REF!)+SUMIF(#REF!,'8.Dgia'!A3201,#REF!)+SUMIF(#REF!,'8.Dgia'!A3201,#REF!)</f>
        <v>#REF!</v>
      </c>
      <c r="O3201" s="844"/>
      <c r="P3201" s="843" t="e">
        <f t="shared" si="130"/>
        <v>#REF!</v>
      </c>
    </row>
    <row r="3202" spans="1:18" ht="15" customHeight="1">
      <c r="A3202" s="657">
        <f>IF(B3202="",MAX($A$8:A3201)+0,MAX($A$8:A3201)+1)</f>
        <v>387</v>
      </c>
      <c r="B3202" s="835" t="str">
        <f>IF(C3202="","",COUNTA($C$10:C3203))</f>
        <v/>
      </c>
      <c r="C3202" s="362"/>
      <c r="D3202" s="947" t="s">
        <v>5486</v>
      </c>
      <c r="E3202" s="819" t="s">
        <v>923</v>
      </c>
      <c r="F3202" s="848" t="s">
        <v>4689</v>
      </c>
      <c r="G3202" s="704" t="s">
        <v>4902</v>
      </c>
      <c r="H3202" s="239">
        <f>0.34*3</f>
        <v>1.02</v>
      </c>
      <c r="I3202" s="848">
        <f>VLOOKUP(E3202,'9.may'!E:W,12,FALSE)</f>
        <v>1870666.0827272725</v>
      </c>
      <c r="J3202" s="853">
        <f>I3202*H3202</f>
        <v>1908079.4043818179</v>
      </c>
      <c r="N3202" s="843" t="e">
        <f>SUMIF(#REF!,'8.Dgia'!A3202,#REF!)+SUMIF(#REF!,'8.Dgia'!A3202,#REF!)+SUMIF(#REF!,'8.Dgia'!A3202,#REF!)+SUMIF(#REF!,'8.Dgia'!A3202,#REF!)</f>
        <v>#REF!</v>
      </c>
      <c r="O3202" s="844"/>
      <c r="P3202" s="843" t="e">
        <f t="shared" si="130"/>
        <v>#REF!</v>
      </c>
    </row>
    <row r="3203" spans="1:18" ht="15" customHeight="1">
      <c r="A3203" s="657">
        <f>IF(B3203="",MAX($A$8:A3202)+0,MAX($A$8:A3202)+1)</f>
        <v>388</v>
      </c>
      <c r="B3203" s="835">
        <f>IF(C3203="","",COUNTA($C$10:C3204))</f>
        <v>388</v>
      </c>
      <c r="C3203" s="835">
        <f>IF(D3203="","",1776)</f>
        <v>1776</v>
      </c>
      <c r="D3203" s="851" t="s">
        <v>501</v>
      </c>
      <c r="E3203" s="870" t="s">
        <v>217</v>
      </c>
      <c r="F3203" s="1049" t="str">
        <f>VLOOKUP(E3203,DICH!B:C,2,FALSE)</f>
        <v>Transport asphalt concrete 45km</v>
      </c>
      <c r="G3203" s="856" t="s">
        <v>4644</v>
      </c>
      <c r="H3203" s="847"/>
      <c r="I3203" s="848"/>
      <c r="J3203" s="853"/>
      <c r="M3203" s="842">
        <f>+J3204</f>
        <v>275736.18059399992</v>
      </c>
      <c r="N3203" s="843" t="e">
        <f>SUMIF(#REF!,'8.Dgia'!A3203,#REF!)+SUMIF(#REF!,'8.Dgia'!A3203,#REF!)+SUMIF(#REF!,'8.Dgia'!A3203,#REF!)+SUMIF(#REF!,'8.Dgia'!A3203,#REF!)</f>
        <v>#REF!</v>
      </c>
      <c r="O3203" s="844"/>
      <c r="P3203" s="843" t="e">
        <f t="shared" si="130"/>
        <v>#REF!</v>
      </c>
    </row>
    <row r="3204" spans="1:18" ht="15" customHeight="1">
      <c r="A3204" s="657">
        <f>IF(B3204="",MAX($A$8:A3203)+0,MAX($A$8:A3203)+1)</f>
        <v>388</v>
      </c>
      <c r="B3204" s="835" t="str">
        <f>IF(C3204="","",COUNTA($C$10:C3205))</f>
        <v/>
      </c>
      <c r="C3204" s="362"/>
      <c r="D3204" s="851"/>
      <c r="E3204" s="661" t="s">
        <v>2033</v>
      </c>
      <c r="F3204" s="848" t="str">
        <f>VLOOKUP(E3204,DICH!B:C,2,FALSE)</f>
        <v xml:space="preserve">  C - Machine</v>
      </c>
      <c r="G3204" s="856"/>
      <c r="H3204" s="847"/>
      <c r="I3204" s="848"/>
      <c r="J3204" s="849">
        <f>SUM(J3205:J3208)</f>
        <v>275736.18059399992</v>
      </c>
      <c r="N3204" s="843" t="e">
        <f>SUMIF(#REF!,'8.Dgia'!A3204,#REF!)+SUMIF(#REF!,'8.Dgia'!A3204,#REF!)+SUMIF(#REF!,'8.Dgia'!A3204,#REF!)+SUMIF(#REF!,'8.Dgia'!A3204,#REF!)</f>
        <v>#REF!</v>
      </c>
      <c r="O3204" s="844"/>
      <c r="P3204" s="843" t="e">
        <f t="shared" si="130"/>
        <v>#REF!</v>
      </c>
    </row>
    <row r="3205" spans="1:18" ht="15" customHeight="1">
      <c r="A3205" s="657">
        <f>IF(B3205="",MAX($A$8:A3204)+0,MAX($A$8:A3204)+1)</f>
        <v>388</v>
      </c>
      <c r="B3205" s="835" t="str">
        <f>IF(C3205="","",COUNTA($C$10:C3206))</f>
        <v/>
      </c>
      <c r="C3205" s="362"/>
      <c r="D3205" s="851" t="s">
        <v>409</v>
      </c>
      <c r="E3205" s="953" t="s">
        <v>410</v>
      </c>
      <c r="F3205" s="848" t="str">
        <f>VLOOKUP(E3205,DICH!B:C,2,FALSE)</f>
        <v>Transport asphalt concrete 4km</v>
      </c>
      <c r="G3205" s="856"/>
      <c r="H3205" s="847"/>
      <c r="I3205" s="848"/>
      <c r="J3205" s="853"/>
      <c r="N3205" s="843" t="e">
        <f>SUMIF(#REF!,'8.Dgia'!A3205,#REF!)+SUMIF(#REF!,'8.Dgia'!A3205,#REF!)+SUMIF(#REF!,'8.Dgia'!A3205,#REF!)+SUMIF(#REF!,'8.Dgia'!A3205,#REF!)</f>
        <v>#REF!</v>
      </c>
      <c r="O3205" s="844"/>
      <c r="P3205" s="843" t="e">
        <f t="shared" si="130"/>
        <v>#REF!</v>
      </c>
    </row>
    <row r="3206" spans="1:18" ht="15" customHeight="1">
      <c r="A3206" s="657">
        <f>IF(B3206="",MAX($A$8:A3205)+0,MAX($A$8:A3205)+1)</f>
        <v>388</v>
      </c>
      <c r="B3206" s="835" t="str">
        <f>IF(C3206="","",COUNTA($C$10:C3207))</f>
        <v/>
      </c>
      <c r="C3206" s="362"/>
      <c r="D3206" s="851"/>
      <c r="E3206" s="852" t="s">
        <v>923</v>
      </c>
      <c r="F3206" s="848" t="str">
        <f>VLOOKUP(E3206,'9.may'!E:F,2,FALSE)</f>
        <v>dump truck 10T</v>
      </c>
      <c r="G3206" s="362" t="s">
        <v>4902</v>
      </c>
      <c r="H3206" s="847">
        <f>2.85/100</f>
        <v>2.8500000000000001E-2</v>
      </c>
      <c r="I3206" s="848">
        <f>VLOOKUP(E3206,'9.may'!E:W,12,FALSE)</f>
        <v>1870666.0827272725</v>
      </c>
      <c r="J3206" s="853">
        <f>I3206*H3206</f>
        <v>53313.983357727266</v>
      </c>
      <c r="N3206" s="843" t="e">
        <f>SUMIF(#REF!,'8.Dgia'!A3206,#REF!)+SUMIF(#REF!,'8.Dgia'!A3206,#REF!)+SUMIF(#REF!,'8.Dgia'!A3206,#REF!)+SUMIF(#REF!,'8.Dgia'!A3206,#REF!)</f>
        <v>#REF!</v>
      </c>
      <c r="O3206" s="844"/>
      <c r="P3206" s="843" t="e">
        <f t="shared" si="130"/>
        <v>#REF!</v>
      </c>
    </row>
    <row r="3207" spans="1:18" s="658" customFormat="1" ht="15" customHeight="1">
      <c r="A3207" s="657">
        <f>IF(B3207="",MAX($A$8:A3206)+0,MAX($A$8:A3206)+1)</f>
        <v>388</v>
      </c>
      <c r="B3207" s="835" t="str">
        <f>IF(C3207="","",COUNTA($C$10:C3208))</f>
        <v/>
      </c>
      <c r="C3207" s="362"/>
      <c r="D3207" s="851" t="s">
        <v>501</v>
      </c>
      <c r="E3207" s="953" t="s">
        <v>218</v>
      </c>
      <c r="F3207" s="848" t="str">
        <f>VLOOKUP(E3207,DICH!B:C,2,FALSE)</f>
        <v>Transport asphalt concrete 41km next</v>
      </c>
      <c r="G3207" s="846"/>
      <c r="H3207" s="847"/>
      <c r="I3207" s="848"/>
      <c r="J3207" s="909"/>
      <c r="K3207" s="850"/>
      <c r="L3207" s="850"/>
      <c r="M3207" s="850"/>
      <c r="N3207" s="843" t="e">
        <f>SUMIF(#REF!,'8.Dgia'!A3207,#REF!)+SUMIF(#REF!,'8.Dgia'!A3207,#REF!)+SUMIF(#REF!,'8.Dgia'!A3207,#REF!)+SUMIF(#REF!,'8.Dgia'!A3207,#REF!)</f>
        <v>#REF!</v>
      </c>
      <c r="O3207" s="844"/>
      <c r="P3207" s="843" t="e">
        <f t="shared" si="130"/>
        <v>#REF!</v>
      </c>
    </row>
    <row r="3208" spans="1:18" ht="15" customHeight="1">
      <c r="A3208" s="657">
        <f>IF(B3208="",MAX($A$8:A3207)+0,MAX($A$8:A3207)+1)</f>
        <v>388</v>
      </c>
      <c r="B3208" s="835" t="str">
        <f>IF(C3208="","",COUNTA($C$10:C3209))</f>
        <v/>
      </c>
      <c r="C3208" s="362"/>
      <c r="D3208" s="851"/>
      <c r="E3208" s="852" t="s">
        <v>923</v>
      </c>
      <c r="F3208" s="848" t="str">
        <f>VLOOKUP(E3208,'9.may'!E:F,2,FALSE)</f>
        <v>dump truck 10T</v>
      </c>
      <c r="G3208" s="362" t="s">
        <v>4902</v>
      </c>
      <c r="H3208" s="847">
        <f>0.29/100*41</f>
        <v>0.11889999999999999</v>
      </c>
      <c r="I3208" s="848">
        <f>VLOOKUP(E3208,'9.may'!E:W,12,FALSE)</f>
        <v>1870666.0827272725</v>
      </c>
      <c r="J3208" s="853">
        <f>I3208*H3208</f>
        <v>222422.19723627268</v>
      </c>
      <c r="N3208" s="843" t="e">
        <f>SUMIF(#REF!,'8.Dgia'!A3208,#REF!)+SUMIF(#REF!,'8.Dgia'!A3208,#REF!)+SUMIF(#REF!,'8.Dgia'!A3208,#REF!)+SUMIF(#REF!,'8.Dgia'!A3208,#REF!)</f>
        <v>#REF!</v>
      </c>
      <c r="O3208" s="844"/>
      <c r="P3208" s="843" t="e">
        <f t="shared" si="130"/>
        <v>#REF!</v>
      </c>
    </row>
    <row r="3209" spans="1:18" ht="15" customHeight="1">
      <c r="A3209" s="657">
        <f>IF(B3209="",MAX($A$8:A3208)+0,MAX($A$8:A3208)+1)</f>
        <v>389</v>
      </c>
      <c r="B3209" s="835">
        <f>IF(C3209="","",COUNTA($C$10:C3210))</f>
        <v>389</v>
      </c>
      <c r="C3209" s="835">
        <f>IF(D3209="","",1776)</f>
        <v>1776</v>
      </c>
      <c r="D3209" s="1292" t="s">
        <v>5472</v>
      </c>
      <c r="E3209" s="870" t="s">
        <v>2220</v>
      </c>
      <c r="F3209" s="1049" t="str">
        <f>VLOOKUP(E3209,DICH!B:C,2,FALSE)</f>
        <v>Producing and transporting concrete mortar 1km</v>
      </c>
      <c r="G3209" s="856" t="s">
        <v>545</v>
      </c>
      <c r="H3209" s="847"/>
      <c r="I3209" s="848"/>
      <c r="J3209" s="853"/>
      <c r="L3209" s="842">
        <f>+J3210</f>
        <v>13075.79</v>
      </c>
      <c r="M3209" s="842">
        <f>+J3211</f>
        <v>120327.10071075</v>
      </c>
      <c r="N3209" s="843" t="e">
        <f>SUMIF(#REF!,'8.Dgia'!A3209,#REF!)+SUMIF(#REF!,'8.Dgia'!A3209,#REF!)+SUMIF(#REF!,'8.Dgia'!A3209,#REF!)+SUMIF(#REF!,'8.Dgia'!A3209,#REF!)</f>
        <v>#REF!</v>
      </c>
      <c r="O3209" s="844"/>
      <c r="P3209" s="843" t="e">
        <f t="shared" si="130"/>
        <v>#REF!</v>
      </c>
    </row>
    <row r="3210" spans="1:18" s="658" customFormat="1" ht="15" customHeight="1">
      <c r="A3210" s="657">
        <f>IF(B3210="",MAX($A$8:A3209)+0,MAX($A$8:A3209)+1)</f>
        <v>389</v>
      </c>
      <c r="B3210" s="835" t="str">
        <f>IF(C3210="","",COUNTA($C$10:C3211))</f>
        <v/>
      </c>
      <c r="C3210" s="362"/>
      <c r="D3210" s="851" t="s">
        <v>5472</v>
      </c>
      <c r="E3210" s="852" t="s">
        <v>2038</v>
      </c>
      <c r="F3210" s="848" t="str">
        <f>VLOOKUP(E3210,DICH!B:C,2,FALSE)</f>
        <v xml:space="preserve">  B - Labour 3.0/7</v>
      </c>
      <c r="G3210" s="362" t="s">
        <v>4899</v>
      </c>
      <c r="H3210" s="847">
        <v>7.0000000000000007E-2</v>
      </c>
      <c r="I3210" s="848">
        <f>VLOOKUP(E3210,'16.NC'!$C$11:$F$22,4,FALSE)</f>
        <v>186797</v>
      </c>
      <c r="J3210" s="849">
        <f>I3210*H3210</f>
        <v>13075.79</v>
      </c>
      <c r="K3210" s="850"/>
      <c r="L3210" s="850"/>
      <c r="M3210" s="850"/>
      <c r="N3210" s="843" t="e">
        <f>SUMIF(#REF!,'8.Dgia'!A3210,#REF!)+SUMIF(#REF!,'8.Dgia'!A3210,#REF!)+SUMIF(#REF!,'8.Dgia'!A3210,#REF!)+SUMIF(#REF!,'8.Dgia'!A3210,#REF!)</f>
        <v>#REF!</v>
      </c>
      <c r="O3210" s="844"/>
      <c r="P3210" s="843" t="e">
        <f t="shared" si="130"/>
        <v>#REF!</v>
      </c>
      <c r="R3210" s="658">
        <v>1</v>
      </c>
    </row>
    <row r="3211" spans="1:18" s="658" customFormat="1" ht="15" customHeight="1">
      <c r="A3211" s="657">
        <f>IF(B3211="",MAX($A$8:A3210)+0,MAX($A$8:A3210)+1)</f>
        <v>389</v>
      </c>
      <c r="B3211" s="835" t="str">
        <f>IF(C3211="","",COUNTA($C$10:C3212))</f>
        <v/>
      </c>
      <c r="C3211" s="362"/>
      <c r="D3211" s="845"/>
      <c r="E3211" s="852" t="s">
        <v>2033</v>
      </c>
      <c r="F3211" s="848" t="str">
        <f>VLOOKUP(E3211,DICH!B:C,2,FALSE)</f>
        <v xml:space="preserve">  C - Machine</v>
      </c>
      <c r="G3211" s="846"/>
      <c r="H3211" s="847"/>
      <c r="I3211" s="848"/>
      <c r="J3211" s="849">
        <f>SUM(J3212:J3217)</f>
        <v>120327.10071075</v>
      </c>
      <c r="K3211" s="850"/>
      <c r="L3211" s="850"/>
      <c r="M3211" s="850"/>
      <c r="N3211" s="843" t="e">
        <f>SUMIF(#REF!,'8.Dgia'!A3211,#REF!)+SUMIF(#REF!,'8.Dgia'!A3211,#REF!)+SUMIF(#REF!,'8.Dgia'!A3211,#REF!)+SUMIF(#REF!,'8.Dgia'!A3211,#REF!)</f>
        <v>#REF!</v>
      </c>
      <c r="O3211" s="844"/>
      <c r="P3211" s="843" t="e">
        <f t="shared" si="130"/>
        <v>#REF!</v>
      </c>
    </row>
    <row r="3212" spans="1:18" ht="15" customHeight="1">
      <c r="A3212" s="657">
        <f>IF(B3212="",MAX($A$8:A3211)+0,MAX($A$8:A3211)+1)</f>
        <v>389</v>
      </c>
      <c r="B3212" s="835" t="str">
        <f>IF(C3212="","",COUNTA($C$10:C3213))</f>
        <v/>
      </c>
      <c r="C3212" s="362"/>
      <c r="D3212" s="851" t="s">
        <v>5472</v>
      </c>
      <c r="E3212" s="852" t="s">
        <v>1163</v>
      </c>
      <c r="F3212" s="848" t="str">
        <f>VLOOKUP(E3212,'9.may'!E:F,2,FALSE)</f>
        <v>concrete batching plant 50m3/h</v>
      </c>
      <c r="G3212" s="362" t="s">
        <v>4902</v>
      </c>
      <c r="H3212" s="847">
        <v>7.0000000000000001E-3</v>
      </c>
      <c r="I3212" s="848">
        <f>VLOOKUP(E3212,'9.may'!E:W,12,FALSE)</f>
        <v>2766761.5200000005</v>
      </c>
      <c r="J3212" s="853">
        <f>I3212*H3212</f>
        <v>19367.330640000004</v>
      </c>
      <c r="N3212" s="843" t="e">
        <f>SUMIF(#REF!,'8.Dgia'!A3212,#REF!)+SUMIF(#REF!,'8.Dgia'!A3212,#REF!)+SUMIF(#REF!,'8.Dgia'!A3212,#REF!)+SUMIF(#REF!,'8.Dgia'!A3212,#REF!)</f>
        <v>#REF!</v>
      </c>
      <c r="O3212" s="844">
        <f>+$H$36</f>
        <v>5</v>
      </c>
      <c r="P3212" s="843" t="e">
        <f t="shared" si="130"/>
        <v>#REF!</v>
      </c>
    </row>
    <row r="3213" spans="1:18" ht="15" customHeight="1">
      <c r="A3213" s="657">
        <f>IF(B3213="",MAX($A$8:A3212)+0,MAX($A$8:A3212)+1)</f>
        <v>389</v>
      </c>
      <c r="B3213" s="835" t="str">
        <f>IF(C3213="","",COUNTA($C$10:C3214))</f>
        <v/>
      </c>
      <c r="C3213" s="362"/>
      <c r="D3213" s="851"/>
      <c r="E3213" s="852" t="s">
        <v>5473</v>
      </c>
      <c r="F3213" s="848" t="str">
        <f>VLOOKUP(E3213,'9.may'!E:F,2,FALSE)</f>
        <v>avulsion excavator 1.25m3</v>
      </c>
      <c r="G3213" s="362" t="s">
        <v>4902</v>
      </c>
      <c r="H3213" s="847">
        <v>7.0000000000000001E-3</v>
      </c>
      <c r="I3213" s="848">
        <f>VLOOKUP(E3213,'9.may'!E:W,12,FALSE)</f>
        <v>1941040.5763636362</v>
      </c>
      <c r="J3213" s="853">
        <f>I3213*H3213</f>
        <v>13587.284034545453</v>
      </c>
      <c r="N3213" s="843" t="e">
        <f>SUMIF(#REF!,'8.Dgia'!A3213,#REF!)+SUMIF(#REF!,'8.Dgia'!A3213,#REF!)+SUMIF(#REF!,'8.Dgia'!A3213,#REF!)+SUMIF(#REF!,'8.Dgia'!A3213,#REF!)</f>
        <v>#REF!</v>
      </c>
      <c r="O3213" s="844">
        <f>+$H$36</f>
        <v>5</v>
      </c>
      <c r="P3213" s="843" t="e">
        <f t="shared" si="130"/>
        <v>#REF!</v>
      </c>
    </row>
    <row r="3214" spans="1:18" ht="15" customHeight="1">
      <c r="A3214" s="657">
        <f>IF(B3214="",MAX($A$8:A3213)+0,MAX($A$8:A3213)+1)</f>
        <v>389</v>
      </c>
      <c r="B3214" s="835" t="str">
        <f>IF(C3214="","",COUNTA($C$10:C3215))</f>
        <v/>
      </c>
      <c r="C3214" s="362"/>
      <c r="D3214" s="851"/>
      <c r="E3214" s="852" t="s">
        <v>624</v>
      </c>
      <c r="F3214" s="848" t="str">
        <f>VLOOKUP(E3214,'9.may'!E:F,2,FALSE)</f>
        <v>bulldozer 108CV</v>
      </c>
      <c r="G3214" s="362" t="s">
        <v>4902</v>
      </c>
      <c r="H3214" s="847">
        <v>3.5000000000000001E-3</v>
      </c>
      <c r="I3214" s="848">
        <f>VLOOKUP(E3214,'9.may'!E:W,12,FALSE)</f>
        <v>1959433.0499999998</v>
      </c>
      <c r="J3214" s="853">
        <f>I3214*H3214</f>
        <v>6858.0156749999996</v>
      </c>
      <c r="N3214" s="843" t="e">
        <f>SUMIF(#REF!,'8.Dgia'!A3214,#REF!)+SUMIF(#REF!,'8.Dgia'!A3214,#REF!)+SUMIF(#REF!,'8.Dgia'!A3214,#REF!)+SUMIF(#REF!,'8.Dgia'!A3214,#REF!)</f>
        <v>#REF!</v>
      </c>
      <c r="O3214" s="844">
        <f>+$H$36</f>
        <v>5</v>
      </c>
      <c r="P3214" s="843" t="e">
        <f t="shared" si="130"/>
        <v>#REF!</v>
      </c>
    </row>
    <row r="3215" spans="1:18" ht="15" customHeight="1">
      <c r="A3215" s="657">
        <f>IF(B3215="",MAX($A$8:A3214)+0,MAX($A$8:A3214)+1)</f>
        <v>389</v>
      </c>
      <c r="B3215" s="835" t="str">
        <f>IF(C3215="","",COUNTA($C$10:C3216))</f>
        <v/>
      </c>
      <c r="C3215" s="362"/>
      <c r="D3215" s="851"/>
      <c r="E3215" s="852" t="s">
        <v>553</v>
      </c>
      <c r="F3215" s="848" t="str">
        <f>VLOOKUP(E3215,DICH!B:C,2,FALSE)</f>
        <v>Other machine</v>
      </c>
      <c r="G3215" s="362" t="s">
        <v>554</v>
      </c>
      <c r="H3215" s="847">
        <v>5</v>
      </c>
      <c r="I3215" s="848">
        <f>SUM(J3212:J3214)</f>
        <v>39812.630349545463</v>
      </c>
      <c r="J3215" s="853">
        <f>I3215*H3215%</f>
        <v>1990.6315174772733</v>
      </c>
      <c r="N3215" s="843" t="e">
        <f>SUMIF(#REF!,'8.Dgia'!A3215,#REF!)+SUMIF(#REF!,'8.Dgia'!A3215,#REF!)+SUMIF(#REF!,'8.Dgia'!A3215,#REF!)+SUMIF(#REF!,'8.Dgia'!A3215,#REF!)</f>
        <v>#REF!</v>
      </c>
      <c r="O3215" s="844"/>
      <c r="P3215" s="843" t="e">
        <f t="shared" si="130"/>
        <v>#REF!</v>
      </c>
    </row>
    <row r="3216" spans="1:18" ht="15" customHeight="1">
      <c r="A3216" s="657">
        <f>IF(B3216="",MAX($A$8:A3215)+0,MAX($A$8:A3215)+1)</f>
        <v>389</v>
      </c>
      <c r="B3216" s="835" t="str">
        <f>IF(C3216="","",COUNTA($C$10:C3217))</f>
        <v/>
      </c>
      <c r="C3216" s="362"/>
      <c r="D3216" s="851" t="s">
        <v>5662</v>
      </c>
      <c r="E3216" s="852" t="s">
        <v>2221</v>
      </c>
      <c r="F3216" s="848" t="str">
        <f>VLOOKUP(E3216,DICH!B:C,2,FALSE)</f>
        <v>Transport concrete 1km</v>
      </c>
      <c r="G3216" s="362"/>
      <c r="H3216" s="847"/>
      <c r="I3216" s="848"/>
      <c r="J3216" s="853"/>
      <c r="N3216" s="843" t="e">
        <f>SUMIF(#REF!,'8.Dgia'!A3216,#REF!)+SUMIF(#REF!,'8.Dgia'!A3216,#REF!)+SUMIF(#REF!,'8.Dgia'!A3216,#REF!)+SUMIF(#REF!,'8.Dgia'!A3216,#REF!)</f>
        <v>#REF!</v>
      </c>
      <c r="O3216" s="844"/>
      <c r="P3216" s="843" t="e">
        <f t="shared" si="130"/>
        <v>#REF!</v>
      </c>
    </row>
    <row r="3217" spans="1:16" ht="15" customHeight="1">
      <c r="A3217" s="657">
        <f>IF(B3217="",MAX($A$8:A3216)+0,MAX($A$8:A3216)+1)</f>
        <v>389</v>
      </c>
      <c r="B3217" s="835" t="str">
        <f>IF(C3217="","",COUNTA($C$10:C3218))</f>
        <v/>
      </c>
      <c r="C3217" s="954"/>
      <c r="D3217" s="955"/>
      <c r="E3217" s="956" t="s">
        <v>954</v>
      </c>
      <c r="F3217" s="848" t="str">
        <f>VLOOKUP(E3217,'9.may'!E:F,2,FALSE)</f>
        <v>truck mixer 10.7m3</v>
      </c>
      <c r="G3217" s="954" t="s">
        <v>4902</v>
      </c>
      <c r="H3217" s="957">
        <f>2.61/100</f>
        <v>2.6099999999999998E-2</v>
      </c>
      <c r="I3217" s="938">
        <f>VLOOKUP(E3217,'9.may'!E:W,12,FALSE)</f>
        <v>3008576.2009090907</v>
      </c>
      <c r="J3217" s="958">
        <f>I3217*H3217</f>
        <v>78523.838843727266</v>
      </c>
      <c r="N3217" s="843" t="e">
        <f>SUMIF(#REF!,'8.Dgia'!A3217,#REF!)+SUMIF(#REF!,'8.Dgia'!A3217,#REF!)+SUMIF(#REF!,'8.Dgia'!A3217,#REF!)+SUMIF(#REF!,'8.Dgia'!A3217,#REF!)</f>
        <v>#REF!</v>
      </c>
      <c r="O3217" s="844"/>
      <c r="P3217" s="843" t="e">
        <f t="shared" si="130"/>
        <v>#REF!</v>
      </c>
    </row>
    <row r="3218" spans="1:16" ht="15" customHeight="1">
      <c r="A3218" s="657">
        <f>IF(B3218="",MAX($A$8:A3217)+0,MAX($A$8:A3217)+1)</f>
        <v>390</v>
      </c>
      <c r="B3218" s="835">
        <f>IF(C3218="","",COUNTA($C$10:C3219))</f>
        <v>390</v>
      </c>
      <c r="C3218" s="362" t="s">
        <v>169</v>
      </c>
      <c r="D3218" s="362" t="s">
        <v>71</v>
      </c>
      <c r="E3218" s="855" t="s">
        <v>3526</v>
      </c>
      <c r="F3218" s="1049" t="str">
        <f>VLOOKUP(E3218,DICH!B:C,2,FALSE)</f>
        <v>Supper - T girder 38.2m</v>
      </c>
      <c r="G3218" s="882" t="s">
        <v>4906</v>
      </c>
      <c r="H3218" s="847"/>
      <c r="I3218" s="858"/>
      <c r="J3218" s="903"/>
      <c r="K3218" s="842">
        <f>+J3219</f>
        <v>335000000</v>
      </c>
      <c r="N3218" s="843" t="e">
        <f>SUMIF(#REF!,'8.Dgia'!A3218,#REF!)+SUMIF(#REF!,'8.Dgia'!A3218,#REF!)+SUMIF(#REF!,'8.Dgia'!A3218,#REF!)+SUMIF(#REF!,'8.Dgia'!A3218,#REF!)</f>
        <v>#REF!</v>
      </c>
      <c r="O3218" s="844"/>
      <c r="P3218" s="843" t="e">
        <f t="shared" si="130"/>
        <v>#REF!</v>
      </c>
    </row>
    <row r="3219" spans="1:16" ht="15" customHeight="1">
      <c r="A3219" s="657">
        <f>IF(B3219="",MAX($A$8:A3218)+0,MAX($A$8:A3218)+1)</f>
        <v>390</v>
      </c>
      <c r="B3219" s="835" t="str">
        <f>IF(C3219="","",COUNTA($C$10:C3220))</f>
        <v/>
      </c>
      <c r="C3219" s="362"/>
      <c r="D3219" s="362"/>
      <c r="E3219" s="852" t="s">
        <v>2032</v>
      </c>
      <c r="F3219" s="848" t="str">
        <f>VLOOKUP(E3219,DICH!B:C,2,FALSE)</f>
        <v xml:space="preserve">  A - Material</v>
      </c>
      <c r="G3219" s="882"/>
      <c r="H3219" s="847"/>
      <c r="I3219" s="848"/>
      <c r="J3219" s="849">
        <f>+J3220</f>
        <v>335000000</v>
      </c>
      <c r="N3219" s="843" t="e">
        <f>SUMIF(#REF!,'8.Dgia'!A3219,#REF!)+SUMIF(#REF!,'8.Dgia'!A3219,#REF!)+SUMIF(#REF!,'8.Dgia'!A3219,#REF!)+SUMIF(#REF!,'8.Dgia'!A3219,#REF!)</f>
        <v>#REF!</v>
      </c>
      <c r="O3219" s="844"/>
      <c r="P3219" s="843" t="e">
        <f t="shared" si="130"/>
        <v>#REF!</v>
      </c>
    </row>
    <row r="3220" spans="1:16" ht="15" customHeight="1">
      <c r="A3220" s="657">
        <f>IF(B3220="",MAX($A$8:A3219)+0,MAX($A$8:A3219)+1)</f>
        <v>390</v>
      </c>
      <c r="B3220" s="835" t="str">
        <f>IF(C3220="","",COUNTA($C$10:C3221))</f>
        <v/>
      </c>
      <c r="C3220" s="362"/>
      <c r="D3220" s="362"/>
      <c r="E3220" s="852" t="s">
        <v>3525</v>
      </c>
      <c r="F3220" s="848" t="str">
        <f>VLOOKUP(E3220,DICH!B:C,2,FALSE)</f>
        <v>Supper - T girder</v>
      </c>
      <c r="G3220" s="883" t="s">
        <v>4906</v>
      </c>
      <c r="H3220" s="847">
        <v>1</v>
      </c>
      <c r="I3220" s="848">
        <f>VLOOKUP(E3220,'11.gia '!$B:$I,8,FALSE)</f>
        <v>335000000</v>
      </c>
      <c r="J3220" s="863">
        <f>I3220*H3220</f>
        <v>335000000</v>
      </c>
      <c r="N3220" s="843" t="e">
        <f>SUMIF(#REF!,'8.Dgia'!A3220,#REF!)+SUMIF(#REF!,'8.Dgia'!A3220,#REF!)+SUMIF(#REF!,'8.Dgia'!A3220,#REF!)+SUMIF(#REF!,'8.Dgia'!A3220,#REF!)</f>
        <v>#REF!</v>
      </c>
      <c r="O3220" s="844"/>
      <c r="P3220" s="843" t="e">
        <f t="shared" si="130"/>
        <v>#REF!</v>
      </c>
    </row>
    <row r="3221" spans="1:16" ht="15" customHeight="1">
      <c r="A3221" s="657">
        <f>IF(B3221="",MAX($A$8:A3220)+0,MAX($A$8:A3220)+1)</f>
        <v>391</v>
      </c>
      <c r="B3221" s="835">
        <f>IF(C3221="","",COUNTA($C$10:C3222))</f>
        <v>391</v>
      </c>
      <c r="C3221" s="362" t="s">
        <v>169</v>
      </c>
      <c r="D3221" s="362" t="s">
        <v>71</v>
      </c>
      <c r="E3221" s="855" t="s">
        <v>3988</v>
      </c>
      <c r="F3221" s="1049" t="str">
        <f>VLOOKUP(E3221,DICH!B:C,2,FALSE)</f>
        <v>Static loading test</v>
      </c>
      <c r="G3221" s="882" t="s">
        <v>4644</v>
      </c>
      <c r="H3221" s="847"/>
      <c r="I3221" s="858"/>
      <c r="J3221" s="903"/>
      <c r="K3221" s="842">
        <f>+J3222</f>
        <v>454545.45454545453</v>
      </c>
      <c r="N3221" s="843" t="s">
        <v>457</v>
      </c>
      <c r="O3221" s="844"/>
      <c r="P3221" s="843" t="s">
        <v>457</v>
      </c>
    </row>
    <row r="3222" spans="1:16" ht="15" customHeight="1">
      <c r="A3222" s="657">
        <f>IF(B3222="",MAX($A$8:A3221)+0,MAX($A$8:A3221)+1)</f>
        <v>391</v>
      </c>
      <c r="B3222" s="835" t="str">
        <f>IF(C3222="","",COUNTA($C$10:C3223))</f>
        <v/>
      </c>
      <c r="C3222" s="362"/>
      <c r="D3222" s="362"/>
      <c r="E3222" s="852" t="s">
        <v>2032</v>
      </c>
      <c r="F3222" s="848" t="str">
        <f>VLOOKUP(E3222,DICH!B:C,2,FALSE)</f>
        <v xml:space="preserve">  A - Material</v>
      </c>
      <c r="G3222" s="882"/>
      <c r="H3222" s="847"/>
      <c r="I3222" s="848"/>
      <c r="J3222" s="849">
        <f>+J3223</f>
        <v>454545.45454545453</v>
      </c>
      <c r="N3222" s="843" t="s">
        <v>457</v>
      </c>
      <c r="O3222" s="844"/>
      <c r="P3222" s="843" t="s">
        <v>457</v>
      </c>
    </row>
    <row r="3223" spans="1:16" ht="15" customHeight="1">
      <c r="A3223" s="657">
        <f>IF(B3223="",MAX($A$8:A3222)+0,MAX($A$8:A3222)+1)</f>
        <v>391</v>
      </c>
      <c r="B3223" s="835" t="str">
        <f>IF(C3223="","",COUNTA($C$10:C3224))</f>
        <v/>
      </c>
      <c r="C3223" s="362"/>
      <c r="D3223" s="362"/>
      <c r="E3223" s="852" t="s">
        <v>3988</v>
      </c>
      <c r="F3223" s="848" t="str">
        <f>VLOOKUP(E3223,DICH!B:C,2,FALSE)</f>
        <v>Static loading test</v>
      </c>
      <c r="G3223" s="883" t="s">
        <v>4644</v>
      </c>
      <c r="H3223" s="847">
        <v>1</v>
      </c>
      <c r="I3223" s="848">
        <f>VLOOKUP(E3223,'11.gia '!$B:$I,8,FALSE)</f>
        <v>454545.45454545453</v>
      </c>
      <c r="J3223" s="863">
        <f>I3223*H3223</f>
        <v>454545.45454545453</v>
      </c>
      <c r="N3223" s="843" t="s">
        <v>457</v>
      </c>
      <c r="O3223" s="844"/>
      <c r="P3223" s="843" t="s">
        <v>457</v>
      </c>
    </row>
    <row r="3224" spans="1:16" ht="15" customHeight="1">
      <c r="A3224" s="657">
        <f>IF(B3224="",MAX($A$8:A3223)+0,MAX($A$8:A3223)+1)</f>
        <v>392</v>
      </c>
      <c r="B3224" s="835">
        <f>IF(C3224="","",COUNTA($C$10:C3225))</f>
        <v>392</v>
      </c>
      <c r="C3224" s="362" t="s">
        <v>169</v>
      </c>
      <c r="D3224" s="362" t="s">
        <v>71</v>
      </c>
      <c r="E3224" s="855" t="s">
        <v>3990</v>
      </c>
      <c r="F3224" s="1049" t="str">
        <f>VLOOKUP(E3224,DICH!B:C,2,FALSE)</f>
        <v>PDA test on land</v>
      </c>
      <c r="G3224" s="882" t="s">
        <v>275</v>
      </c>
      <c r="H3224" s="847"/>
      <c r="I3224" s="858"/>
      <c r="J3224" s="903"/>
      <c r="K3224" s="842">
        <f>+J3225</f>
        <v>30000000</v>
      </c>
      <c r="N3224" s="843" t="s">
        <v>457</v>
      </c>
      <c r="O3224" s="844"/>
      <c r="P3224" s="843" t="s">
        <v>457</v>
      </c>
    </row>
    <row r="3225" spans="1:16" ht="15" customHeight="1">
      <c r="A3225" s="657">
        <f>IF(B3225="",MAX($A$8:A3224)+0,MAX($A$8:A3224)+1)</f>
        <v>392</v>
      </c>
      <c r="B3225" s="835" t="str">
        <f>IF(C3225="","",COUNTA($C$10:C3226))</f>
        <v/>
      </c>
      <c r="C3225" s="362"/>
      <c r="D3225" s="362"/>
      <c r="E3225" s="852" t="s">
        <v>2032</v>
      </c>
      <c r="F3225" s="848" t="str">
        <f>VLOOKUP(E3225,DICH!B:C,2,FALSE)</f>
        <v xml:space="preserve">  A - Material</v>
      </c>
      <c r="G3225" s="882"/>
      <c r="H3225" s="847"/>
      <c r="I3225" s="848"/>
      <c r="J3225" s="849">
        <f>+J3226</f>
        <v>30000000</v>
      </c>
      <c r="N3225" s="843" t="s">
        <v>457</v>
      </c>
      <c r="O3225" s="844"/>
      <c r="P3225" s="843" t="s">
        <v>457</v>
      </c>
    </row>
    <row r="3226" spans="1:16" ht="15" customHeight="1">
      <c r="A3226" s="657">
        <f>IF(B3226="",MAX($A$8:A3225)+0,MAX($A$8:A3225)+1)</f>
        <v>392</v>
      </c>
      <c r="B3226" s="835" t="str">
        <f>IF(C3226="","",COUNTA($C$10:C3227))</f>
        <v/>
      </c>
      <c r="C3226" s="362"/>
      <c r="D3226" s="362"/>
      <c r="E3226" s="852" t="s">
        <v>3990</v>
      </c>
      <c r="F3226" s="848" t="str">
        <f>VLOOKUP(E3226,DICH!B:C,2,FALSE)</f>
        <v>PDA test on land</v>
      </c>
      <c r="G3226" s="883" t="s">
        <v>275</v>
      </c>
      <c r="H3226" s="847">
        <v>1</v>
      </c>
      <c r="I3226" s="848">
        <f>VLOOKUP(E3226,'11.gia '!$B:$I,8,FALSE)</f>
        <v>30000000</v>
      </c>
      <c r="J3226" s="863">
        <f>I3226*H3226</f>
        <v>30000000</v>
      </c>
      <c r="N3226" s="843" t="s">
        <v>457</v>
      </c>
      <c r="O3226" s="844"/>
      <c r="P3226" s="843" t="s">
        <v>457</v>
      </c>
    </row>
    <row r="3227" spans="1:16" s="87" customFormat="1" ht="18.75" customHeight="1">
      <c r="A3227" s="657">
        <f>IF(B3227="",MAX($A$8:A3226)+0,MAX($A$8:A3226)+1)</f>
        <v>393</v>
      </c>
      <c r="B3227" s="835">
        <f>IF(C3227="","",COUNTA($C$10:C3228))</f>
        <v>393</v>
      </c>
      <c r="C3227" s="239">
        <v>1776</v>
      </c>
      <c r="D3227" s="807" t="s">
        <v>3597</v>
      </c>
      <c r="E3227" s="808" t="s">
        <v>3598</v>
      </c>
      <c r="F3227" s="1049">
        <f>VLOOKUP(E3227,DICH!B:C,2,FALSE)</f>
        <v>0</v>
      </c>
      <c r="G3227" s="809" t="s">
        <v>4650</v>
      </c>
      <c r="H3227" s="239"/>
      <c r="I3227" s="810"/>
      <c r="J3227" s="811"/>
      <c r="K3227" s="707">
        <f>J3228</f>
        <v>4493.8949999999995</v>
      </c>
      <c r="L3227" s="707">
        <f>J3242</f>
        <v>1466810.9000000001</v>
      </c>
      <c r="M3227" s="707">
        <f>J3243</f>
        <v>85029.387000000002</v>
      </c>
      <c r="N3227" s="843" t="s">
        <v>457</v>
      </c>
      <c r="O3227" s="812"/>
      <c r="P3227" s="843" t="s">
        <v>457</v>
      </c>
    </row>
    <row r="3228" spans="1:16" s="87" customFormat="1" ht="18.75" customHeight="1">
      <c r="A3228" s="657">
        <f>IF(B3228="",MAX($A$8:A3227)+0,MAX($A$8:A3227)+1)</f>
        <v>393</v>
      </c>
      <c r="B3228" s="835" t="str">
        <f>IF(C3228="","",COUNTA($C$10:C3229))</f>
        <v/>
      </c>
      <c r="C3228" s="239"/>
      <c r="D3228" s="813"/>
      <c r="E3228" s="814" t="s">
        <v>2032</v>
      </c>
      <c r="F3228" s="848" t="str">
        <f>VLOOKUP(E3228,DICH!B:C,2,FALSE)</f>
        <v xml:space="preserve">  A - Material</v>
      </c>
      <c r="G3228" s="704"/>
      <c r="H3228" s="815"/>
      <c r="I3228" s="810"/>
      <c r="J3228" s="816">
        <f>SUM(J3229:J3241)</f>
        <v>4493.8949999999995</v>
      </c>
      <c r="K3228" s="707"/>
      <c r="L3228" s="707"/>
      <c r="M3228" s="707"/>
      <c r="N3228" s="843" t="s">
        <v>457</v>
      </c>
      <c r="O3228" s="812"/>
      <c r="P3228" s="843" t="s">
        <v>457</v>
      </c>
    </row>
    <row r="3229" spans="1:16" s="87" customFormat="1" ht="18.75" customHeight="1">
      <c r="A3229" s="657">
        <f>IF(B3229="",MAX($A$8:A3228)+0,MAX($A$8:A3228)+1)</f>
        <v>393</v>
      </c>
      <c r="B3229" s="835" t="str">
        <f>IF(C3229="","",COUNTA($C$10:C3230))</f>
        <v/>
      </c>
      <c r="C3229" s="239"/>
      <c r="D3229" s="813"/>
      <c r="E3229" s="814" t="s">
        <v>3599</v>
      </c>
      <c r="F3229" s="848">
        <f>VLOOKUP(E3229,DICH!B:C,2,FALSE)</f>
        <v>0</v>
      </c>
      <c r="G3229" s="704" t="s">
        <v>4651</v>
      </c>
      <c r="H3229" s="815">
        <v>1E-3</v>
      </c>
      <c r="I3229" s="848">
        <f>VLOOKUP(E3229,'11.gia '!$B:$I,8,FALSE)</f>
        <v>300000</v>
      </c>
      <c r="J3229" s="811">
        <f t="shared" ref="J3229:J3240" si="131">I3229*H3229</f>
        <v>300</v>
      </c>
      <c r="K3229" s="707"/>
      <c r="L3229" s="707"/>
      <c r="M3229" s="707"/>
      <c r="N3229" s="843" t="s">
        <v>457</v>
      </c>
      <c r="O3229" s="815">
        <v>5</v>
      </c>
      <c r="P3229" s="843" t="s">
        <v>457</v>
      </c>
    </row>
    <row r="3230" spans="1:16" s="87" customFormat="1" ht="18.75" customHeight="1">
      <c r="A3230" s="657">
        <f>IF(B3230="",MAX($A$8:A3229)+0,MAX($A$8:A3229)+1)</f>
        <v>393</v>
      </c>
      <c r="B3230" s="835" t="str">
        <f>IF(C3230="","",COUNTA($C$10:C3231))</f>
        <v/>
      </c>
      <c r="C3230" s="239"/>
      <c r="D3230" s="813"/>
      <c r="E3230" s="814" t="s">
        <v>3600</v>
      </c>
      <c r="F3230" s="848">
        <f>VLOOKUP(E3230,DICH!B:C,2,FALSE)</f>
        <v>0</v>
      </c>
      <c r="G3230" s="704" t="s">
        <v>4651</v>
      </c>
      <c r="H3230" s="815">
        <v>4.0000000000000002E-4</v>
      </c>
      <c r="I3230" s="848">
        <f>VLOOKUP(E3230,'11.gia '!$B:$I,8,FALSE)</f>
        <v>1350000</v>
      </c>
      <c r="J3230" s="811">
        <f t="shared" si="131"/>
        <v>540</v>
      </c>
      <c r="K3230" s="707"/>
      <c r="L3230" s="707"/>
      <c r="M3230" s="707"/>
      <c r="N3230" s="843" t="s">
        <v>457</v>
      </c>
      <c r="O3230" s="815">
        <v>5</v>
      </c>
      <c r="P3230" s="843" t="s">
        <v>457</v>
      </c>
    </row>
    <row r="3231" spans="1:16" s="87" customFormat="1" ht="18.75" customHeight="1">
      <c r="A3231" s="657">
        <f>IF(B3231="",MAX($A$8:A3230)+0,MAX($A$8:A3230)+1)</f>
        <v>393</v>
      </c>
      <c r="B3231" s="835" t="str">
        <f>IF(C3231="","",COUNTA($C$10:C3232))</f>
        <v/>
      </c>
      <c r="C3231" s="239"/>
      <c r="D3231" s="813"/>
      <c r="E3231" s="814" t="s">
        <v>3601</v>
      </c>
      <c r="F3231" s="848" t="str">
        <f>VLOOKUP(E3231,DICH!B:C,2,FALSE)</f>
        <v>Exsiccator</v>
      </c>
      <c r="G3231" s="704" t="s">
        <v>4649</v>
      </c>
      <c r="H3231" s="815">
        <v>7.0000000000000001E-3</v>
      </c>
      <c r="I3231" s="848">
        <f>VLOOKUP(E3231,'11.gia '!$B:$I,8,FALSE)</f>
        <v>160000</v>
      </c>
      <c r="J3231" s="811">
        <f t="shared" si="131"/>
        <v>1120</v>
      </c>
      <c r="K3231" s="707"/>
      <c r="L3231" s="707"/>
      <c r="M3231" s="707"/>
      <c r="N3231" s="843" t="s">
        <v>457</v>
      </c>
      <c r="O3231" s="815">
        <v>5</v>
      </c>
      <c r="P3231" s="843" t="s">
        <v>457</v>
      </c>
    </row>
    <row r="3232" spans="1:16" s="87" customFormat="1" ht="18.75" customHeight="1">
      <c r="A3232" s="657">
        <f>IF(B3232="",MAX($A$8:A3231)+0,MAX($A$8:A3231)+1)</f>
        <v>393</v>
      </c>
      <c r="B3232" s="835" t="str">
        <f>IF(C3232="","",COUNTA($C$10:C3233))</f>
        <v/>
      </c>
      <c r="C3232" s="239"/>
      <c r="D3232" s="813"/>
      <c r="E3232" s="814" t="s">
        <v>3602</v>
      </c>
      <c r="F3232" s="848" t="str">
        <f>VLOOKUP(E3232,DICH!B:C,2,FALSE)</f>
        <v xml:space="preserve"> Triangle glass jar</v>
      </c>
      <c r="G3232" s="704" t="s">
        <v>4649</v>
      </c>
      <c r="H3232" s="815">
        <v>1.2999999999999999E-2</v>
      </c>
      <c r="I3232" s="848">
        <f>VLOOKUP(E3232,'11.gia '!$B:$I,8,FALSE)</f>
        <v>40000</v>
      </c>
      <c r="J3232" s="811">
        <f t="shared" si="131"/>
        <v>520</v>
      </c>
      <c r="K3232" s="707"/>
      <c r="L3232" s="707"/>
      <c r="M3232" s="707"/>
      <c r="N3232" s="843" t="s">
        <v>457</v>
      </c>
      <c r="O3232" s="815">
        <v>5</v>
      </c>
      <c r="P3232" s="843" t="s">
        <v>457</v>
      </c>
    </row>
    <row r="3233" spans="1:16" s="87" customFormat="1" ht="18.75" customHeight="1">
      <c r="A3233" s="657">
        <f>IF(B3233="",MAX($A$8:A3232)+0,MAX($A$8:A3232)+1)</f>
        <v>393</v>
      </c>
      <c r="B3233" s="835" t="str">
        <f>IF(C3233="","",COUNTA($C$10:C3234))</f>
        <v/>
      </c>
      <c r="C3233" s="239"/>
      <c r="D3233" s="813"/>
      <c r="E3233" s="814" t="s">
        <v>3603</v>
      </c>
      <c r="F3233" s="848" t="str">
        <f>VLOOKUP(E3233,DICH!B:C,2,FALSE)</f>
        <v>Glass bowl</v>
      </c>
      <c r="G3233" s="704" t="s">
        <v>4649</v>
      </c>
      <c r="H3233" s="815">
        <v>1.2999999999999999E-3</v>
      </c>
      <c r="I3233" s="848">
        <f>VLOOKUP(E3233,'11.gia '!$B:$I,8,FALSE)</f>
        <v>25000</v>
      </c>
      <c r="J3233" s="811">
        <f t="shared" si="131"/>
        <v>32.5</v>
      </c>
      <c r="K3233" s="707"/>
      <c r="L3233" s="707"/>
      <c r="M3233" s="707"/>
      <c r="N3233" s="843" t="s">
        <v>457</v>
      </c>
      <c r="O3233" s="815">
        <v>5</v>
      </c>
      <c r="P3233" s="843" t="s">
        <v>457</v>
      </c>
    </row>
    <row r="3234" spans="1:16" s="87" customFormat="1" ht="18.75" customHeight="1">
      <c r="A3234" s="657">
        <f>IF(B3234="",MAX($A$8:A3233)+0,MAX($A$8:A3233)+1)</f>
        <v>393</v>
      </c>
      <c r="B3234" s="835" t="str">
        <f>IF(C3234="","",COUNTA($C$10:C3235))</f>
        <v/>
      </c>
      <c r="C3234" s="239"/>
      <c r="D3234" s="813"/>
      <c r="E3234" s="814" t="s">
        <v>3604</v>
      </c>
      <c r="F3234" s="848" t="str">
        <f>VLOOKUP(E3234,DICH!B:C,2,FALSE)</f>
        <v>Density vase</v>
      </c>
      <c r="G3234" s="704" t="s">
        <v>4649</v>
      </c>
      <c r="H3234" s="815">
        <v>0.01</v>
      </c>
      <c r="I3234" s="848">
        <f>VLOOKUP(E3234,'11.gia '!$B:$I,8,FALSE)</f>
        <v>30000</v>
      </c>
      <c r="J3234" s="811">
        <f t="shared" si="131"/>
        <v>300</v>
      </c>
      <c r="K3234" s="707"/>
      <c r="L3234" s="707"/>
      <c r="M3234" s="707"/>
      <c r="N3234" s="843" t="s">
        <v>457</v>
      </c>
      <c r="O3234" s="815">
        <v>5</v>
      </c>
      <c r="P3234" s="843" t="s">
        <v>457</v>
      </c>
    </row>
    <row r="3235" spans="1:16" s="87" customFormat="1" ht="18.75" customHeight="1">
      <c r="A3235" s="657">
        <f>IF(B3235="",MAX($A$8:A3234)+0,MAX($A$8:A3234)+1)</f>
        <v>393</v>
      </c>
      <c r="B3235" s="835" t="str">
        <f>IF(C3235="","",COUNTA($C$10:C3236))</f>
        <v/>
      </c>
      <c r="C3235" s="239"/>
      <c r="D3235" s="813"/>
      <c r="E3235" s="814" t="s">
        <v>3605</v>
      </c>
      <c r="F3235" s="848">
        <f>VLOOKUP(E3235,DICH!B:C,2,FALSE)</f>
        <v>0</v>
      </c>
      <c r="G3235" s="704" t="s">
        <v>4649</v>
      </c>
      <c r="H3235" s="815">
        <v>2.7E-2</v>
      </c>
      <c r="I3235" s="848">
        <f>VLOOKUP(E3235,'11.gia '!$B:$I,8,FALSE)</f>
        <v>15000</v>
      </c>
      <c r="J3235" s="811">
        <f t="shared" si="131"/>
        <v>405</v>
      </c>
      <c r="K3235" s="707"/>
      <c r="L3235" s="707"/>
      <c r="M3235" s="707"/>
      <c r="N3235" s="843" t="s">
        <v>457</v>
      </c>
      <c r="O3235" s="815">
        <v>5</v>
      </c>
      <c r="P3235" s="843" t="s">
        <v>457</v>
      </c>
    </row>
    <row r="3236" spans="1:16" s="87" customFormat="1" ht="18.75" customHeight="1">
      <c r="A3236" s="657">
        <f>IF(B3236="",MAX($A$8:A3235)+0,MAX($A$8:A3235)+1)</f>
        <v>393</v>
      </c>
      <c r="B3236" s="835" t="str">
        <f>IF(C3236="","",COUNTA($C$10:C3237))</f>
        <v/>
      </c>
      <c r="C3236" s="239"/>
      <c r="D3236" s="813"/>
      <c r="E3236" s="814" t="s">
        <v>3606</v>
      </c>
      <c r="F3236" s="848" t="str">
        <f>VLOOKUP(E3236,DICH!B:C,2,FALSE)</f>
        <v>Glass</v>
      </c>
      <c r="G3236" s="704" t="s">
        <v>4649</v>
      </c>
      <c r="H3236" s="815">
        <v>1.2999999999999999E-2</v>
      </c>
      <c r="I3236" s="848">
        <f>VLOOKUP(E3236,'11.gia '!$B:$I,8,FALSE)</f>
        <v>15000</v>
      </c>
      <c r="J3236" s="811">
        <f t="shared" si="131"/>
        <v>195</v>
      </c>
      <c r="K3236" s="707"/>
      <c r="L3236" s="707"/>
      <c r="M3236" s="707"/>
      <c r="N3236" s="843" t="s">
        <v>457</v>
      </c>
      <c r="O3236" s="815">
        <v>5</v>
      </c>
      <c r="P3236" s="843" t="s">
        <v>457</v>
      </c>
    </row>
    <row r="3237" spans="1:16" s="87" customFormat="1" ht="18.75" customHeight="1">
      <c r="A3237" s="657">
        <f>IF(B3237="",MAX($A$8:A3236)+0,MAX($A$8:A3236)+1)</f>
        <v>393</v>
      </c>
      <c r="B3237" s="835" t="str">
        <f>IF(C3237="","",COUNTA($C$10:C3238))</f>
        <v/>
      </c>
      <c r="C3237" s="239"/>
      <c r="D3237" s="813"/>
      <c r="E3237" s="814" t="s">
        <v>3607</v>
      </c>
      <c r="F3237" s="848" t="str">
        <f>VLOOKUP(E3237,DICH!B:C,2,FALSE)</f>
        <v>Aluminium box</v>
      </c>
      <c r="G3237" s="704" t="s">
        <v>4649</v>
      </c>
      <c r="H3237" s="815">
        <v>0.05</v>
      </c>
      <c r="I3237" s="848">
        <f>VLOOKUP(E3237,'11.gia '!$B:$I,8,FALSE)</f>
        <v>8000</v>
      </c>
      <c r="J3237" s="811">
        <f t="shared" si="131"/>
        <v>400</v>
      </c>
      <c r="K3237" s="707"/>
      <c r="L3237" s="707"/>
      <c r="M3237" s="707"/>
      <c r="N3237" s="843" t="s">
        <v>457</v>
      </c>
      <c r="O3237" s="815">
        <v>5</v>
      </c>
      <c r="P3237" s="843" t="s">
        <v>457</v>
      </c>
    </row>
    <row r="3238" spans="1:16" s="87" customFormat="1" ht="18.75" customHeight="1">
      <c r="A3238" s="657">
        <f>IF(B3238="",MAX($A$8:A3237)+0,MAX($A$8:A3237)+1)</f>
        <v>393</v>
      </c>
      <c r="B3238" s="835" t="str">
        <f>IF(C3238="","",COUNTA($C$10:C3239))</f>
        <v/>
      </c>
      <c r="C3238" s="239"/>
      <c r="D3238" s="813"/>
      <c r="E3238" s="814" t="s">
        <v>3608</v>
      </c>
      <c r="F3238" s="848">
        <f>VLOOKUP(E3238,DICH!B:C,2,FALSE)</f>
        <v>0</v>
      </c>
      <c r="G3238" s="704" t="s">
        <v>4651</v>
      </c>
      <c r="H3238" s="815">
        <v>1.7000000000000001E-4</v>
      </c>
      <c r="I3238" s="848">
        <f>VLOOKUP(E3238,'11.gia '!$B:$I,8,FALSE)</f>
        <v>220000</v>
      </c>
      <c r="J3238" s="811">
        <f t="shared" si="131"/>
        <v>37.400000000000006</v>
      </c>
      <c r="K3238" s="707"/>
      <c r="L3238" s="707"/>
      <c r="M3238" s="707"/>
      <c r="N3238" s="843" t="s">
        <v>457</v>
      </c>
      <c r="O3238" s="815">
        <v>5</v>
      </c>
      <c r="P3238" s="843" t="s">
        <v>457</v>
      </c>
    </row>
    <row r="3239" spans="1:16" s="87" customFormat="1" ht="18.75" customHeight="1">
      <c r="A3239" s="657">
        <f>IF(B3239="",MAX($A$8:A3238)+0,MAX($A$8:A3238)+1)</f>
        <v>393</v>
      </c>
      <c r="B3239" s="835" t="str">
        <f>IF(C3239="","",COUNTA($C$10:C3240))</f>
        <v/>
      </c>
      <c r="C3239" s="239"/>
      <c r="D3239" s="813"/>
      <c r="E3239" s="814" t="s">
        <v>3609</v>
      </c>
      <c r="F3239" s="848">
        <f>VLOOKUP(E3239,DICH!B:C,2,FALSE)</f>
        <v>0</v>
      </c>
      <c r="G3239" s="704" t="s">
        <v>4651</v>
      </c>
      <c r="H3239" s="815">
        <v>4.0000000000000002E-4</v>
      </c>
      <c r="I3239" s="848">
        <f>VLOOKUP(E3239,'11.gia '!$B:$I,8,FALSE)</f>
        <v>250000</v>
      </c>
      <c r="J3239" s="811">
        <f t="shared" si="131"/>
        <v>100</v>
      </c>
      <c r="K3239" s="707"/>
      <c r="L3239" s="707"/>
      <c r="M3239" s="707"/>
      <c r="N3239" s="843" t="s">
        <v>457</v>
      </c>
      <c r="O3239" s="815">
        <v>5</v>
      </c>
      <c r="P3239" s="843" t="s">
        <v>457</v>
      </c>
    </row>
    <row r="3240" spans="1:16" s="87" customFormat="1" ht="18.75" customHeight="1">
      <c r="A3240" s="657">
        <f>IF(B3240="",MAX($A$8:A3239)+0,MAX($A$8:A3239)+1)</f>
        <v>393</v>
      </c>
      <c r="B3240" s="835" t="str">
        <f>IF(C3240="","",COUNTA($C$10:C3241))</f>
        <v/>
      </c>
      <c r="C3240" s="239"/>
      <c r="D3240" s="813"/>
      <c r="E3240" s="814" t="s">
        <v>3610</v>
      </c>
      <c r="F3240" s="848">
        <f>VLOOKUP(E3240,DICH!B:C,2,FALSE)</f>
        <v>0</v>
      </c>
      <c r="G3240" s="704" t="s">
        <v>4649</v>
      </c>
      <c r="H3240" s="815">
        <v>0.03</v>
      </c>
      <c r="I3240" s="848">
        <f>VLOOKUP(E3240,'11.gia '!$B:$I,8,FALSE)</f>
        <v>11000</v>
      </c>
      <c r="J3240" s="811">
        <f t="shared" si="131"/>
        <v>330</v>
      </c>
      <c r="K3240" s="707"/>
      <c r="L3240" s="707"/>
      <c r="M3240" s="707"/>
      <c r="N3240" s="843" t="s">
        <v>457</v>
      </c>
      <c r="O3240" s="815">
        <v>5</v>
      </c>
      <c r="P3240" s="843" t="s">
        <v>457</v>
      </c>
    </row>
    <row r="3241" spans="1:16" s="87" customFormat="1" ht="18.75" customHeight="1">
      <c r="A3241" s="657">
        <f>IF(B3241="",MAX($A$8:A3240)+0,MAX($A$8:A3240)+1)</f>
        <v>393</v>
      </c>
      <c r="B3241" s="835" t="str">
        <f>IF(C3241="","",COUNTA($C$10:C3242))</f>
        <v/>
      </c>
      <c r="C3241" s="239"/>
      <c r="D3241" s="813"/>
      <c r="E3241" s="814" t="s">
        <v>555</v>
      </c>
      <c r="F3241" s="848" t="str">
        <f>VLOOKUP(E3241,DICH!B:C,2,FALSE)</f>
        <v>Other material</v>
      </c>
      <c r="G3241" s="704" t="s">
        <v>554</v>
      </c>
      <c r="H3241" s="815">
        <v>5</v>
      </c>
      <c r="I3241" s="810">
        <f>SUM(J3229:J3240)</f>
        <v>4279.8999999999996</v>
      </c>
      <c r="J3241" s="811">
        <f>I3241*H3241%</f>
        <v>213.995</v>
      </c>
      <c r="K3241" s="707"/>
      <c r="L3241" s="707"/>
      <c r="M3241" s="707"/>
      <c r="N3241" s="843" t="s">
        <v>457</v>
      </c>
      <c r="O3241" s="815">
        <v>5</v>
      </c>
      <c r="P3241" s="843" t="s">
        <v>457</v>
      </c>
    </row>
    <row r="3242" spans="1:16" s="87" customFormat="1" ht="18.75" customHeight="1">
      <c r="A3242" s="657">
        <f>IF(B3242="",MAX($A$8:A3241)+0,MAX($A$8:A3241)+1)</f>
        <v>393</v>
      </c>
      <c r="B3242" s="835" t="str">
        <f>IF(C3242="","",COUNTA($C$10:C3243))</f>
        <v/>
      </c>
      <c r="C3242" s="239"/>
      <c r="D3242" s="813"/>
      <c r="E3242" s="852" t="s">
        <v>2039</v>
      </c>
      <c r="F3242" s="848" t="str">
        <f>VLOOKUP(E3242,DICH!B:C,2,FALSE)</f>
        <v xml:space="preserve">  B - Labour 4.0/7</v>
      </c>
      <c r="G3242" s="704" t="s">
        <v>4899</v>
      </c>
      <c r="H3242" s="815">
        <v>6.7</v>
      </c>
      <c r="I3242" s="848">
        <f>VLOOKUP(E3242,'16.NC'!$C$11:$F$22,4,FALSE)</f>
        <v>218927</v>
      </c>
      <c r="J3242" s="816">
        <f>I3242*H3242</f>
        <v>1466810.9000000001</v>
      </c>
      <c r="K3242" s="707"/>
      <c r="L3242" s="707"/>
      <c r="M3242" s="707"/>
      <c r="N3242" s="843" t="s">
        <v>457</v>
      </c>
      <c r="O3242" s="812"/>
      <c r="P3242" s="843" t="s">
        <v>457</v>
      </c>
    </row>
    <row r="3243" spans="1:16" s="87" customFormat="1" ht="18.75" customHeight="1">
      <c r="A3243" s="657">
        <f>IF(B3243="",MAX($A$8:A3242)+0,MAX($A$8:A3242)+1)</f>
        <v>393</v>
      </c>
      <c r="B3243" s="835" t="str">
        <f>IF(C3243="","",COUNTA($C$10:C3244))</f>
        <v/>
      </c>
      <c r="C3243" s="239"/>
      <c r="D3243" s="813"/>
      <c r="E3243" s="814" t="s">
        <v>2033</v>
      </c>
      <c r="F3243" s="848" t="str">
        <f>VLOOKUP(E3243,DICH!B:C,2,FALSE)</f>
        <v xml:space="preserve">  C - Machine</v>
      </c>
      <c r="G3243" s="704"/>
      <c r="H3243" s="815"/>
      <c r="I3243" s="810"/>
      <c r="J3243" s="816">
        <f>SUM(J3244:J3248)</f>
        <v>85029.387000000002</v>
      </c>
      <c r="K3243" s="707"/>
      <c r="L3243" s="707"/>
      <c r="M3243" s="707"/>
      <c r="N3243" s="843" t="s">
        <v>457</v>
      </c>
      <c r="O3243" s="812"/>
      <c r="P3243" s="843" t="s">
        <v>457</v>
      </c>
    </row>
    <row r="3244" spans="1:16" s="87" customFormat="1" ht="18.75" customHeight="1">
      <c r="A3244" s="657">
        <f>IF(B3244="",MAX($A$8:A3243)+0,MAX($A$8:A3243)+1)</f>
        <v>393</v>
      </c>
      <c r="B3244" s="835" t="str">
        <f>IF(C3244="","",COUNTA($C$10:C3245))</f>
        <v/>
      </c>
      <c r="C3244" s="239"/>
      <c r="D3244" s="813"/>
      <c r="E3244" s="814" t="s">
        <v>1885</v>
      </c>
      <c r="F3244" s="848">
        <f>VLOOKUP(E3244,'9.may'!E:F,2,FALSE)</f>
        <v>0</v>
      </c>
      <c r="G3244" s="704" t="s">
        <v>4902</v>
      </c>
      <c r="H3244" s="815">
        <v>1.6</v>
      </c>
      <c r="I3244" s="848">
        <f>VLOOKUP(E3244,'9.may'!E:W,12,FALSE)</f>
        <v>10472.220000000001</v>
      </c>
      <c r="J3244" s="811">
        <f>I3244*H3244</f>
        <v>16755.552000000003</v>
      </c>
      <c r="K3244" s="707"/>
      <c r="L3244" s="707"/>
      <c r="M3244" s="707"/>
      <c r="N3244" s="843" t="s">
        <v>457</v>
      </c>
      <c r="O3244" s="812"/>
      <c r="P3244" s="843" t="s">
        <v>457</v>
      </c>
    </row>
    <row r="3245" spans="1:16" s="87" customFormat="1" ht="18.75" customHeight="1">
      <c r="A3245" s="657">
        <f>IF(B3245="",MAX($A$8:A3244)+0,MAX($A$8:A3244)+1)</f>
        <v>393</v>
      </c>
      <c r="B3245" s="835" t="str">
        <f>IF(C3245="","",COUNTA($C$10:C3246))</f>
        <v/>
      </c>
      <c r="C3245" s="239"/>
      <c r="D3245" s="813"/>
      <c r="E3245" s="814" t="s">
        <v>1886</v>
      </c>
      <c r="F3245" s="848">
        <f>VLOOKUP(E3245,'9.may'!E:F,2,FALSE)</f>
        <v>0</v>
      </c>
      <c r="G3245" s="704" t="s">
        <v>4902</v>
      </c>
      <c r="H3245" s="815">
        <v>0.4</v>
      </c>
      <c r="I3245" s="848">
        <f>VLOOKUP(E3245,'9.may'!E:W,12,FALSE)</f>
        <v>3942.2400000000002</v>
      </c>
      <c r="J3245" s="811">
        <f>I3245*H3245</f>
        <v>1576.8960000000002</v>
      </c>
      <c r="K3245" s="707"/>
      <c r="L3245" s="707"/>
      <c r="M3245" s="707"/>
      <c r="N3245" s="843" t="s">
        <v>457</v>
      </c>
      <c r="O3245" s="812"/>
      <c r="P3245" s="843" t="s">
        <v>457</v>
      </c>
    </row>
    <row r="3246" spans="1:16" s="87" customFormat="1" ht="18.75" customHeight="1">
      <c r="A3246" s="657">
        <f>IF(B3246="",MAX($A$8:A3245)+0,MAX($A$8:A3245)+1)</f>
        <v>393</v>
      </c>
      <c r="B3246" s="835" t="str">
        <f>IF(C3246="","",COUNTA($C$10:C3247))</f>
        <v/>
      </c>
      <c r="C3246" s="239"/>
      <c r="D3246" s="813"/>
      <c r="E3246" s="814" t="s">
        <v>1894</v>
      </c>
      <c r="F3246" s="848">
        <f>VLOOKUP(E3246,'9.may'!E:F,2,FALSE)</f>
        <v>0</v>
      </c>
      <c r="G3246" s="704" t="s">
        <v>4902</v>
      </c>
      <c r="H3246" s="815">
        <v>1.8</v>
      </c>
      <c r="I3246" s="848">
        <f>VLOOKUP(E3246,'9.may'!E:W,12,FALSE)</f>
        <v>7100.4549999999999</v>
      </c>
      <c r="J3246" s="811">
        <f>I3246*H3246</f>
        <v>12780.819</v>
      </c>
      <c r="K3246" s="707"/>
      <c r="L3246" s="707"/>
      <c r="M3246" s="707"/>
      <c r="N3246" s="843" t="s">
        <v>457</v>
      </c>
      <c r="O3246" s="812"/>
      <c r="P3246" s="843" t="s">
        <v>457</v>
      </c>
    </row>
    <row r="3247" spans="1:16" s="87" customFormat="1" ht="18.75" customHeight="1">
      <c r="A3247" s="657">
        <f>IF(B3247="",MAX($A$8:A3246)+0,MAX($A$8:A3246)+1)</f>
        <v>393</v>
      </c>
      <c r="B3247" s="835" t="str">
        <f>IF(C3247="","",COUNTA($C$10:C3248))</f>
        <v/>
      </c>
      <c r="C3247" s="239"/>
      <c r="D3247" s="813"/>
      <c r="E3247" s="814" t="s">
        <v>1895</v>
      </c>
      <c r="F3247" s="848">
        <f>VLOOKUP(E3247,'9.may'!E:F,2,FALSE)</f>
        <v>0</v>
      </c>
      <c r="G3247" s="704" t="s">
        <v>4902</v>
      </c>
      <c r="H3247" s="815">
        <v>1.6</v>
      </c>
      <c r="I3247" s="848">
        <f>VLOOKUP(E3247,'9.may'!E:W,12,FALSE)</f>
        <v>7935.085</v>
      </c>
      <c r="J3247" s="811">
        <f>I3247*H3247</f>
        <v>12696.136</v>
      </c>
      <c r="K3247" s="707"/>
      <c r="L3247" s="707"/>
      <c r="M3247" s="707"/>
      <c r="N3247" s="843" t="s">
        <v>457</v>
      </c>
      <c r="O3247" s="812"/>
      <c r="P3247" s="843" t="s">
        <v>457</v>
      </c>
    </row>
    <row r="3248" spans="1:16" s="87" customFormat="1" ht="18.75" customHeight="1">
      <c r="A3248" s="657">
        <f>IF(B3248="",MAX($A$8:A3247)+0,MAX($A$8:A3247)+1)</f>
        <v>393</v>
      </c>
      <c r="B3248" s="835" t="str">
        <f>IF(C3248="","",COUNTA($C$10:C3249))</f>
        <v/>
      </c>
      <c r="C3248" s="239"/>
      <c r="D3248" s="813"/>
      <c r="E3248" s="814" t="s">
        <v>1889</v>
      </c>
      <c r="F3248" s="848">
        <f>VLOOKUP(E3248,'9.may'!E:F,2,FALSE)</f>
        <v>0</v>
      </c>
      <c r="G3248" s="704" t="s">
        <v>4902</v>
      </c>
      <c r="H3248" s="815">
        <v>1.6</v>
      </c>
      <c r="I3248" s="848">
        <f>VLOOKUP(E3248,'9.may'!E:W,12,FALSE)</f>
        <v>25762.489999999998</v>
      </c>
      <c r="J3248" s="811">
        <f>I3248*H3248</f>
        <v>41219.983999999997</v>
      </c>
      <c r="K3248" s="707"/>
      <c r="L3248" s="707"/>
      <c r="M3248" s="707"/>
      <c r="N3248" s="843" t="s">
        <v>457</v>
      </c>
      <c r="O3248" s="812"/>
      <c r="P3248" s="843" t="s">
        <v>457</v>
      </c>
    </row>
    <row r="3249" spans="1:16" s="87" customFormat="1" ht="18.75" customHeight="1">
      <c r="A3249" s="657">
        <f>IF(B3249="",MAX($A$8:A3248)+0,MAX($A$8:A3248)+1)</f>
        <v>394</v>
      </c>
      <c r="B3249" s="835">
        <f>IF(C3249="","",COUNTA($C$10:C3250))</f>
        <v>394</v>
      </c>
      <c r="C3249" s="239">
        <v>1776</v>
      </c>
      <c r="D3249" s="807" t="s">
        <v>685</v>
      </c>
      <c r="E3249" s="808" t="s">
        <v>3616</v>
      </c>
      <c r="F3249" s="1049" t="str">
        <f>VLOOKUP(E3249,DICH!B:C,2,FALSE)</f>
        <v>sonic test for drilling pile</v>
      </c>
      <c r="G3249" s="809" t="s">
        <v>3617</v>
      </c>
      <c r="H3249" s="239"/>
      <c r="I3249" s="810"/>
      <c r="J3249" s="811"/>
      <c r="K3249" s="707">
        <f>J3250</f>
        <v>3570</v>
      </c>
      <c r="L3249" s="707">
        <f>J3254</f>
        <v>363337.28</v>
      </c>
      <c r="M3249" s="707">
        <f>J3257</f>
        <v>143886.42408000003</v>
      </c>
      <c r="N3249" s="843" t="s">
        <v>457</v>
      </c>
      <c r="O3249" s="812"/>
      <c r="P3249" s="843" t="s">
        <v>457</v>
      </c>
    </row>
    <row r="3250" spans="1:16" s="87" customFormat="1" ht="18.75" customHeight="1">
      <c r="A3250" s="657">
        <f>IF(B3250="",MAX($A$8:A3249)+0,MAX($A$8:A3249)+1)</f>
        <v>394</v>
      </c>
      <c r="B3250" s="835" t="str">
        <f>IF(C3250="","",COUNTA($C$10:C3251))</f>
        <v/>
      </c>
      <c r="C3250" s="239"/>
      <c r="D3250" s="813"/>
      <c r="E3250" s="819" t="s">
        <v>2032</v>
      </c>
      <c r="F3250" s="848" t="str">
        <f>VLOOKUP(E3250,DICH!B:C,2,FALSE)</f>
        <v xml:space="preserve">  A - Material</v>
      </c>
      <c r="G3250" s="704"/>
      <c r="H3250" s="239"/>
      <c r="I3250" s="810"/>
      <c r="J3250" s="816">
        <f>SUM(J3251:J3253)</f>
        <v>3570</v>
      </c>
      <c r="K3250" s="816"/>
      <c r="L3250" s="816"/>
      <c r="M3250" s="816"/>
      <c r="N3250" s="843" t="s">
        <v>457</v>
      </c>
      <c r="O3250" s="812"/>
      <c r="P3250" s="843" t="s">
        <v>457</v>
      </c>
    </row>
    <row r="3251" spans="1:16" s="87" customFormat="1" ht="18.75" customHeight="1">
      <c r="A3251" s="657">
        <f>IF(B3251="",MAX($A$8:A3250)+0,MAX($A$8:A3250)+1)</f>
        <v>394</v>
      </c>
      <c r="B3251" s="835" t="str">
        <f>IF(C3251="","",COUNTA($C$10:C3252))</f>
        <v/>
      </c>
      <c r="C3251" s="239"/>
      <c r="D3251" s="813"/>
      <c r="E3251" s="661" t="s">
        <v>3611</v>
      </c>
      <c r="F3251" s="848" t="str">
        <f>VLOOKUP(E3251,DICH!B:C,2,FALSE)</f>
        <v>steel ruler 5m</v>
      </c>
      <c r="G3251" s="704" t="s">
        <v>4649</v>
      </c>
      <c r="H3251" s="239">
        <v>0.04</v>
      </c>
      <c r="I3251" s="848">
        <f>VLOOKUP(E3251,'11.gia '!$B:$I,8,FALSE)</f>
        <v>15000</v>
      </c>
      <c r="J3251" s="811">
        <f>I3251*H3251</f>
        <v>600</v>
      </c>
      <c r="K3251" s="707"/>
      <c r="L3251" s="707"/>
      <c r="M3251" s="707"/>
      <c r="N3251" s="843" t="s">
        <v>457</v>
      </c>
      <c r="O3251" s="815">
        <v>5</v>
      </c>
      <c r="P3251" s="843" t="s">
        <v>457</v>
      </c>
    </row>
    <row r="3252" spans="1:16" s="87" customFormat="1" ht="18.75" customHeight="1">
      <c r="A3252" s="657">
        <f>IF(B3252="",MAX($A$8:A3251)+0,MAX($A$8:A3251)+1)</f>
        <v>394</v>
      </c>
      <c r="B3252" s="835" t="str">
        <f>IF(C3252="","",COUNTA($C$10:C3253))</f>
        <v/>
      </c>
      <c r="C3252" s="239"/>
      <c r="D3252" s="813"/>
      <c r="E3252" s="661" t="s">
        <v>3612</v>
      </c>
      <c r="F3252" s="848" t="str">
        <f>VLOOKUP(E3252,DICH!B:C,2,FALSE)</f>
        <v>steel ruler 42m</v>
      </c>
      <c r="G3252" s="704" t="s">
        <v>4649</v>
      </c>
      <c r="H3252" s="239">
        <v>0.04</v>
      </c>
      <c r="I3252" s="848">
        <f>VLOOKUP(E3252,'11.gia '!$B:$I,8,FALSE)</f>
        <v>70000</v>
      </c>
      <c r="J3252" s="811">
        <f>I3252*H3252</f>
        <v>2800</v>
      </c>
      <c r="K3252" s="707"/>
      <c r="L3252" s="707"/>
      <c r="M3252" s="707"/>
      <c r="N3252" s="843" t="s">
        <v>457</v>
      </c>
      <c r="O3252" s="815">
        <v>5</v>
      </c>
      <c r="P3252" s="843" t="s">
        <v>457</v>
      </c>
    </row>
    <row r="3253" spans="1:16" s="87" customFormat="1" ht="18.75" customHeight="1">
      <c r="A3253" s="657">
        <f>IF(B3253="",MAX($A$8:A3252)+0,MAX($A$8:A3252)+1)</f>
        <v>394</v>
      </c>
      <c r="B3253" s="835" t="str">
        <f>IF(C3253="","",COUNTA($C$10:C3254))</f>
        <v/>
      </c>
      <c r="C3253" s="239"/>
      <c r="D3253" s="813"/>
      <c r="E3253" s="819" t="s">
        <v>555</v>
      </c>
      <c r="F3253" s="848" t="str">
        <f>VLOOKUP(E3253,DICH!B:C,2,FALSE)</f>
        <v>Other material</v>
      </c>
      <c r="G3253" s="704" t="s">
        <v>554</v>
      </c>
      <c r="H3253" s="239">
        <v>5</v>
      </c>
      <c r="I3253" s="810">
        <f>SUM(J3251:J3252)</f>
        <v>3400</v>
      </c>
      <c r="J3253" s="811">
        <f>I3253*H3253%</f>
        <v>170</v>
      </c>
      <c r="K3253" s="707"/>
      <c r="L3253" s="707"/>
      <c r="M3253" s="707"/>
      <c r="N3253" s="843" t="s">
        <v>457</v>
      </c>
      <c r="O3253" s="815">
        <v>5</v>
      </c>
      <c r="P3253" s="843" t="s">
        <v>457</v>
      </c>
    </row>
    <row r="3254" spans="1:16" s="87" customFormat="1" ht="18.75" customHeight="1">
      <c r="A3254" s="657">
        <f>IF(B3254="",MAX($A$8:A3253)+0,MAX($A$8:A3253)+1)</f>
        <v>394</v>
      </c>
      <c r="B3254" s="835" t="str">
        <f>IF(C3254="","",COUNTA($C$10:C3255))</f>
        <v/>
      </c>
      <c r="C3254" s="239"/>
      <c r="D3254" s="813"/>
      <c r="E3254" s="819" t="s">
        <v>5492</v>
      </c>
      <c r="F3254" s="848" t="e">
        <f>VLOOKUP(E3254,DICH!B:C,2,FALSE)</f>
        <v>#N/A</v>
      </c>
      <c r="G3254" s="704"/>
      <c r="H3254" s="239"/>
      <c r="I3254" s="810"/>
      <c r="J3254" s="816">
        <f>SUM(J3255:J3256)</f>
        <v>363337.28</v>
      </c>
      <c r="K3254" s="707"/>
      <c r="L3254" s="707"/>
      <c r="M3254" s="707"/>
      <c r="N3254" s="843" t="s">
        <v>457</v>
      </c>
      <c r="O3254" s="812"/>
      <c r="P3254" s="843" t="s">
        <v>457</v>
      </c>
    </row>
    <row r="3255" spans="1:16" s="87" customFormat="1" ht="18.75" customHeight="1">
      <c r="A3255" s="657">
        <f>IF(B3255="",MAX($A$8:A3254)+0,MAX($A$8:A3254)+1)</f>
        <v>394</v>
      </c>
      <c r="B3255" s="835" t="str">
        <f>IF(C3255="","",COUNTA($C$10:C3256))</f>
        <v/>
      </c>
      <c r="C3255" s="239"/>
      <c r="D3255" s="813"/>
      <c r="E3255" s="852" t="s">
        <v>2043</v>
      </c>
      <c r="F3255" s="848" t="str">
        <f>VLOOKUP(E3255,DICH!B:C,2,FALSE)</f>
        <v xml:space="preserve">  B - Labour 5.0/7</v>
      </c>
      <c r="G3255" s="704" t="s">
        <v>4899</v>
      </c>
      <c r="H3255" s="239">
        <v>0.46</v>
      </c>
      <c r="I3255" s="848">
        <f>VLOOKUP(E3255,'16.NC'!$C$11:$F$22,4,FALSE)</f>
        <v>256824</v>
      </c>
      <c r="J3255" s="811">
        <f>I3255*H3255</f>
        <v>118139.04000000001</v>
      </c>
      <c r="K3255" s="816"/>
      <c r="L3255" s="816"/>
      <c r="M3255" s="816"/>
      <c r="N3255" s="843" t="s">
        <v>457</v>
      </c>
      <c r="O3255" s="812"/>
      <c r="P3255" s="843" t="s">
        <v>457</v>
      </c>
    </row>
    <row r="3256" spans="1:16" s="87" customFormat="1" ht="18.75" customHeight="1">
      <c r="A3256" s="657">
        <f>IF(B3256="",MAX($A$8:A3255)+0,MAX($A$8:A3255)+1)</f>
        <v>394</v>
      </c>
      <c r="B3256" s="835" t="str">
        <f>IF(C3256="","",COUNTA($C$10:C3257))</f>
        <v/>
      </c>
      <c r="C3256" s="239"/>
      <c r="D3256" s="813"/>
      <c r="E3256" s="852" t="s">
        <v>2039</v>
      </c>
      <c r="F3256" s="848" t="str">
        <f>VLOOKUP(E3256,DICH!B:C,2,FALSE)</f>
        <v xml:space="preserve">  B - Labour 4.0/7</v>
      </c>
      <c r="G3256" s="704" t="s">
        <v>4899</v>
      </c>
      <c r="H3256" s="239">
        <v>1.1200000000000001</v>
      </c>
      <c r="I3256" s="848">
        <f>VLOOKUP(E3256,'16.NC'!$C$11:$F$22,4,FALSE)</f>
        <v>218927</v>
      </c>
      <c r="J3256" s="811">
        <f>I3256*H3256</f>
        <v>245198.24000000002</v>
      </c>
      <c r="K3256" s="816"/>
      <c r="L3256" s="816"/>
      <c r="M3256" s="816"/>
      <c r="N3256" s="843" t="s">
        <v>457</v>
      </c>
      <c r="O3256" s="812"/>
      <c r="P3256" s="843" t="s">
        <v>457</v>
      </c>
    </row>
    <row r="3257" spans="1:16" s="87" customFormat="1" ht="18.75" customHeight="1">
      <c r="A3257" s="657">
        <f>IF(B3257="",MAX($A$8:A3256)+0,MAX($A$8:A3256)+1)</f>
        <v>394</v>
      </c>
      <c r="B3257" s="835" t="str">
        <f>IF(C3257="","",COUNTA($C$10:C3258))</f>
        <v/>
      </c>
      <c r="C3257" s="239"/>
      <c r="D3257" s="813"/>
      <c r="E3257" s="661" t="s">
        <v>2033</v>
      </c>
      <c r="F3257" s="848" t="str">
        <f>VLOOKUP(E3257,DICH!B:C,2,FALSE)</f>
        <v xml:space="preserve">  C - Machine</v>
      </c>
      <c r="G3257" s="704"/>
      <c r="H3257" s="239"/>
      <c r="I3257" s="810"/>
      <c r="J3257" s="816">
        <f>SUM(J3258:J3259)</f>
        <v>143886.42408000003</v>
      </c>
      <c r="K3257" s="816"/>
      <c r="L3257" s="816"/>
      <c r="M3257" s="816"/>
      <c r="N3257" s="843" t="s">
        <v>457</v>
      </c>
      <c r="O3257" s="812"/>
      <c r="P3257" s="843" t="s">
        <v>457</v>
      </c>
    </row>
    <row r="3258" spans="1:16" s="87" customFormat="1" ht="18.75" customHeight="1">
      <c r="A3258" s="657">
        <f>IF(B3258="",MAX($A$8:A3257)+0,MAX($A$8:A3257)+1)</f>
        <v>394</v>
      </c>
      <c r="B3258" s="835" t="str">
        <f>IF(C3258="","",COUNTA($C$10:C3259))</f>
        <v/>
      </c>
      <c r="C3258" s="239"/>
      <c r="D3258" s="813"/>
      <c r="E3258" s="814" t="s">
        <v>3618</v>
      </c>
      <c r="F3258" s="848" t="str">
        <f>VLOOKUP(E3258,'9.may'!E:F,2,FALSE)</f>
        <v>Ultra sonic</v>
      </c>
      <c r="G3258" s="704" t="s">
        <v>4902</v>
      </c>
      <c r="H3258" s="815">
        <v>0.32</v>
      </c>
      <c r="I3258" s="848">
        <f>VLOOKUP(E3258,'9.may'!E:W,12,FALSE)</f>
        <v>428233.40500000003</v>
      </c>
      <c r="J3258" s="811">
        <f>I3258*H3258</f>
        <v>137034.68960000001</v>
      </c>
      <c r="K3258" s="707"/>
      <c r="L3258" s="707"/>
      <c r="M3258" s="707"/>
      <c r="N3258" s="843" t="s">
        <v>457</v>
      </c>
      <c r="O3258" s="239">
        <v>5</v>
      </c>
      <c r="P3258" s="843" t="s">
        <v>457</v>
      </c>
    </row>
    <row r="3259" spans="1:16" s="87" customFormat="1" ht="18.75" customHeight="1">
      <c r="A3259" s="657">
        <f>IF(B3259="",MAX($A$8:A3258)+0,MAX($A$8:A3258)+1)</f>
        <v>394</v>
      </c>
      <c r="B3259" s="835" t="str">
        <f>IF(C3259="","",COUNTA($C$10:C3260))</f>
        <v/>
      </c>
      <c r="C3259" s="239"/>
      <c r="D3259" s="813"/>
      <c r="E3259" s="852" t="s">
        <v>553</v>
      </c>
      <c r="F3259" s="848" t="str">
        <f>VLOOKUP(E3259,DICH!B:C,2,FALSE)</f>
        <v>Other machine</v>
      </c>
      <c r="G3259" s="704" t="s">
        <v>554</v>
      </c>
      <c r="H3259" s="239">
        <v>5</v>
      </c>
      <c r="I3259" s="810">
        <f>SUM(J3258)</f>
        <v>137034.68960000001</v>
      </c>
      <c r="J3259" s="811">
        <f>I3259*H3259%</f>
        <v>6851.734480000001</v>
      </c>
      <c r="K3259" s="707"/>
      <c r="L3259" s="707"/>
      <c r="M3259" s="707"/>
      <c r="N3259" s="843" t="s">
        <v>457</v>
      </c>
      <c r="O3259" s="239">
        <v>5</v>
      </c>
      <c r="P3259" s="843" t="s">
        <v>457</v>
      </c>
    </row>
    <row r="3260" spans="1:16" s="87" customFormat="1" ht="18.75" customHeight="1">
      <c r="A3260" s="657">
        <f>IF(B3260="",MAX($A$8:A3259)+0,MAX($A$8:A3259)+1)</f>
        <v>395</v>
      </c>
      <c r="B3260" s="835">
        <f>IF(C3260="","",COUNTA($C$10:C3261))</f>
        <v>395</v>
      </c>
      <c r="C3260" s="239">
        <v>1776</v>
      </c>
      <c r="D3260" s="807" t="s">
        <v>656</v>
      </c>
      <c r="E3260" s="808" t="s">
        <v>3619</v>
      </c>
      <c r="F3260" s="1049" t="str">
        <f>VLOOKUP(E3260,DICH!B:C,2,FALSE)</f>
        <v>Drilling to check pile tip quanlity</v>
      </c>
      <c r="G3260" s="809" t="s">
        <v>275</v>
      </c>
      <c r="H3260" s="239"/>
      <c r="I3260" s="810"/>
      <c r="J3260" s="811"/>
      <c r="K3260" s="707">
        <f>J3261</f>
        <v>5720</v>
      </c>
      <c r="L3260" s="707">
        <f>J3264</f>
        <v>2298733.5</v>
      </c>
      <c r="M3260" s="707">
        <f>J3265</f>
        <v>822116.57277272723</v>
      </c>
      <c r="N3260" s="843" t="s">
        <v>457</v>
      </c>
      <c r="O3260" s="812"/>
      <c r="P3260" s="843" t="s">
        <v>457</v>
      </c>
    </row>
    <row r="3261" spans="1:16" s="87" customFormat="1" ht="18.75" customHeight="1">
      <c r="A3261" s="657">
        <f>IF(B3261="",MAX($A$8:A3260)+0,MAX($A$8:A3260)+1)</f>
        <v>395</v>
      </c>
      <c r="B3261" s="835" t="str">
        <f>IF(C3261="","",COUNTA($C$10:C3262))</f>
        <v/>
      </c>
      <c r="C3261" s="239"/>
      <c r="D3261" s="813"/>
      <c r="E3261" s="819" t="s">
        <v>2032</v>
      </c>
      <c r="F3261" s="848" t="str">
        <f>VLOOKUP(E3261,DICH!B:C,2,FALSE)</f>
        <v xml:space="preserve">  A - Material</v>
      </c>
      <c r="G3261" s="704"/>
      <c r="H3261" s="239"/>
      <c r="I3261" s="810"/>
      <c r="J3261" s="816">
        <f>SUM(J3262:J3263)</f>
        <v>5720</v>
      </c>
      <c r="K3261" s="816"/>
      <c r="L3261" s="816"/>
      <c r="M3261" s="816"/>
      <c r="N3261" s="843" t="s">
        <v>457</v>
      </c>
      <c r="O3261" s="812"/>
      <c r="P3261" s="843" t="s">
        <v>457</v>
      </c>
    </row>
    <row r="3262" spans="1:16" s="87" customFormat="1" ht="18.75" customHeight="1">
      <c r="A3262" s="657">
        <f>IF(B3262="",MAX($A$8:A3261)+0,MAX($A$8:A3261)+1)</f>
        <v>395</v>
      </c>
      <c r="B3262" s="835" t="str">
        <f>IF(C3262="","",COUNTA($C$10:C3263))</f>
        <v/>
      </c>
      <c r="C3262" s="239"/>
      <c r="D3262" s="813"/>
      <c r="E3262" s="661" t="s">
        <v>3620</v>
      </c>
      <c r="F3262" s="848" t="str">
        <f>VLOOKUP(E3262,DICH!B:C,2,FALSE)</f>
        <v>Drill rods L=1.5m</v>
      </c>
      <c r="G3262" s="704" t="s">
        <v>558</v>
      </c>
      <c r="H3262" s="239">
        <v>2.5999999999999999E-2</v>
      </c>
      <c r="I3262" s="848">
        <f>VLOOKUP(E3262,'11.gia '!$B:$I,8,FALSE)</f>
        <v>95000</v>
      </c>
      <c r="J3262" s="811">
        <f>I3262*H3262</f>
        <v>2470</v>
      </c>
      <c r="K3262" s="707"/>
      <c r="L3262" s="707"/>
      <c r="M3262" s="707"/>
      <c r="N3262" s="843" t="s">
        <v>457</v>
      </c>
      <c r="O3262" s="812"/>
      <c r="P3262" s="843" t="s">
        <v>457</v>
      </c>
    </row>
    <row r="3263" spans="1:16" s="87" customFormat="1" ht="18.75" customHeight="1">
      <c r="A3263" s="657">
        <f>IF(B3263="",MAX($A$8:A3262)+0,MAX($A$8:A3262)+1)</f>
        <v>395</v>
      </c>
      <c r="B3263" s="835" t="str">
        <f>IF(C3263="","",COUNTA($C$10:C3264))</f>
        <v/>
      </c>
      <c r="C3263" s="239"/>
      <c r="D3263" s="813"/>
      <c r="E3263" s="819" t="s">
        <v>3621</v>
      </c>
      <c r="F3263" s="848" t="str">
        <f>VLOOKUP(E3263,DICH!B:C,2,FALSE)</f>
        <v>Tip for drill</v>
      </c>
      <c r="G3263" s="704" t="s">
        <v>558</v>
      </c>
      <c r="H3263" s="239">
        <v>6.5000000000000002E-2</v>
      </c>
      <c r="I3263" s="848">
        <f>VLOOKUP(E3263,'11.gia '!$B:$I,8,FALSE)</f>
        <v>50000</v>
      </c>
      <c r="J3263" s="811">
        <f>I3263*H3263</f>
        <v>3250</v>
      </c>
      <c r="K3263" s="707"/>
      <c r="L3263" s="707"/>
      <c r="M3263" s="707"/>
      <c r="N3263" s="843" t="s">
        <v>457</v>
      </c>
      <c r="O3263" s="812"/>
      <c r="P3263" s="843" t="s">
        <v>457</v>
      </c>
    </row>
    <row r="3264" spans="1:16" s="87" customFormat="1" ht="18.75" customHeight="1">
      <c r="A3264" s="657">
        <f>IF(B3264="",MAX($A$8:A3263)+0,MAX($A$8:A3263)+1)</f>
        <v>395</v>
      </c>
      <c r="B3264" s="835" t="str">
        <f>IF(C3264="","",COUNTA($C$10:C3265))</f>
        <v/>
      </c>
      <c r="C3264" s="239"/>
      <c r="D3264" s="813"/>
      <c r="E3264" s="852" t="s">
        <v>2039</v>
      </c>
      <c r="F3264" s="848" t="str">
        <f>VLOOKUP(E3264,DICH!B:C,2,FALSE)</f>
        <v xml:space="preserve">  B - Labour 4.0/7</v>
      </c>
      <c r="G3264" s="704" t="s">
        <v>4899</v>
      </c>
      <c r="H3264" s="239">
        <v>10.5</v>
      </c>
      <c r="I3264" s="848">
        <f>VLOOKUP(E3264,'16.NC'!$C$11:$F$22,4,FALSE)</f>
        <v>218927</v>
      </c>
      <c r="J3264" s="816">
        <f>I3264*H3264</f>
        <v>2298733.5</v>
      </c>
      <c r="K3264" s="816"/>
      <c r="L3264" s="816"/>
      <c r="M3264" s="816"/>
      <c r="N3264" s="843" t="s">
        <v>457</v>
      </c>
      <c r="O3264" s="812"/>
      <c r="P3264" s="843" t="s">
        <v>457</v>
      </c>
    </row>
    <row r="3265" spans="1:106" s="87" customFormat="1" ht="18.75" customHeight="1">
      <c r="A3265" s="657">
        <f>IF(B3265="",MAX($A$8:A3264)+0,MAX($A$8:A3264)+1)</f>
        <v>395</v>
      </c>
      <c r="B3265" s="835" t="str">
        <f>IF(C3265="","",COUNTA($C$10:C3266))</f>
        <v/>
      </c>
      <c r="C3265" s="239"/>
      <c r="D3265" s="813"/>
      <c r="E3265" s="661" t="s">
        <v>2033</v>
      </c>
      <c r="F3265" s="848" t="str">
        <f>VLOOKUP(E3265,DICH!B:C,2,FALSE)</f>
        <v xml:space="preserve">  C - Machine</v>
      </c>
      <c r="G3265" s="704"/>
      <c r="H3265" s="239"/>
      <c r="I3265" s="810"/>
      <c r="J3265" s="816">
        <f>SUM(J3266:J3268)</f>
        <v>822116.57277272723</v>
      </c>
      <c r="K3265" s="816"/>
      <c r="L3265" s="816"/>
      <c r="M3265" s="816"/>
      <c r="N3265" s="843" t="s">
        <v>457</v>
      </c>
      <c r="O3265" s="812"/>
      <c r="P3265" s="843" t="s">
        <v>457</v>
      </c>
    </row>
    <row r="3266" spans="1:106" s="87" customFormat="1" ht="18.75" customHeight="1">
      <c r="A3266" s="657">
        <f>IF(B3266="",MAX($A$8:A3265)+0,MAX($A$8:A3265)+1)</f>
        <v>395</v>
      </c>
      <c r="B3266" s="835" t="str">
        <f>IF(C3266="","",COUNTA($C$10:C3267))</f>
        <v/>
      </c>
      <c r="C3266" s="239"/>
      <c r="D3266" s="813"/>
      <c r="E3266" s="991" t="s">
        <v>1453</v>
      </c>
      <c r="F3266" s="848" t="str">
        <f>VLOOKUP(E3266,'9.may'!E:F,2,FALSE)</f>
        <v>boreder</v>
      </c>
      <c r="G3266" s="704" t="s">
        <v>4902</v>
      </c>
      <c r="H3266" s="815">
        <v>0.45</v>
      </c>
      <c r="I3266" s="848">
        <f>VLOOKUP(E3266,'9.may'!E:W,12,FALSE)</f>
        <v>416657.10000000003</v>
      </c>
      <c r="J3266" s="811">
        <f>I3266*H3266</f>
        <v>187495.69500000001</v>
      </c>
      <c r="K3266" s="707"/>
      <c r="L3266" s="707"/>
      <c r="M3266" s="707"/>
      <c r="N3266" s="843" t="s">
        <v>457</v>
      </c>
      <c r="O3266" s="239">
        <v>5</v>
      </c>
      <c r="P3266" s="843" t="s">
        <v>457</v>
      </c>
    </row>
    <row r="3267" spans="1:106" s="87" customFormat="1" ht="18.75" customHeight="1">
      <c r="A3267" s="657">
        <f>IF(B3267="",MAX($A$8:A3266)+0,MAX($A$8:A3266)+1)</f>
        <v>395</v>
      </c>
      <c r="B3267" s="835" t="str">
        <f>IF(C3267="","",COUNTA($C$10:C3268))</f>
        <v/>
      </c>
      <c r="C3267" s="239"/>
      <c r="D3267" s="813"/>
      <c r="E3267" s="819" t="s">
        <v>610</v>
      </c>
      <c r="F3267" s="848" t="str">
        <f>VLOOKUP(E3267,'9.may'!E:F,2,FALSE)</f>
        <v>diesel air compressor 600m3/h</v>
      </c>
      <c r="G3267" s="704" t="s">
        <v>4902</v>
      </c>
      <c r="H3267" s="815">
        <v>0.45</v>
      </c>
      <c r="I3267" s="848">
        <f>VLOOKUP(E3267,'9.may'!E:W,12,FALSE)</f>
        <v>1323272.1545454543</v>
      </c>
      <c r="J3267" s="811">
        <f>I3267*H3267</f>
        <v>595472.46954545449</v>
      </c>
      <c r="K3267" s="707"/>
      <c r="L3267" s="707"/>
      <c r="M3267" s="707"/>
      <c r="N3267" s="843" t="s">
        <v>457</v>
      </c>
      <c r="O3267" s="239">
        <v>5</v>
      </c>
      <c r="P3267" s="843" t="s">
        <v>457</v>
      </c>
    </row>
    <row r="3268" spans="1:106" s="87" customFormat="1" ht="18.75" customHeight="1">
      <c r="A3268" s="657">
        <f>IF(B3268="",MAX($A$8:A3267)+0,MAX($A$8:A3267)+1)</f>
        <v>395</v>
      </c>
      <c r="B3268" s="835" t="str">
        <f>IF(C3268="","",COUNTA($C$10:C3269))</f>
        <v/>
      </c>
      <c r="C3268" s="239"/>
      <c r="D3268" s="813"/>
      <c r="E3268" s="852" t="s">
        <v>553</v>
      </c>
      <c r="F3268" s="848" t="str">
        <f>VLOOKUP(E3268,DICH!B:C,2,FALSE)</f>
        <v>Other machine</v>
      </c>
      <c r="G3268" s="704" t="s">
        <v>554</v>
      </c>
      <c r="H3268" s="239">
        <v>5</v>
      </c>
      <c r="I3268" s="810">
        <f>SUM(J3266:J3267)</f>
        <v>782968.16454545455</v>
      </c>
      <c r="J3268" s="811">
        <f>I3268*H3268%</f>
        <v>39148.408227272732</v>
      </c>
      <c r="K3268" s="707"/>
      <c r="L3268" s="707"/>
      <c r="M3268" s="707"/>
      <c r="N3268" s="843" t="s">
        <v>457</v>
      </c>
      <c r="O3268" s="239">
        <v>5</v>
      </c>
      <c r="P3268" s="843" t="s">
        <v>457</v>
      </c>
    </row>
    <row r="3269" spans="1:106" s="969" customFormat="1" ht="19.5" customHeight="1">
      <c r="A3269" s="657">
        <f>IF(B3269="",MAX($A$8:A3268)+0,MAX($A$8:A3268)+1)</f>
        <v>396</v>
      </c>
      <c r="B3269" s="835">
        <f>IF(C3269="","",COUNTA($C$10:C3270))</f>
        <v>396</v>
      </c>
      <c r="C3269" s="370">
        <v>1776</v>
      </c>
      <c r="D3269" s="372" t="s">
        <v>3975</v>
      </c>
      <c r="E3269" s="369" t="s">
        <v>3976</v>
      </c>
      <c r="F3269" s="1049" t="str">
        <f>VLOOKUP(E3269,DICH!B:C,2,FALSE)</f>
        <v>Install steel structure</v>
      </c>
      <c r="G3269" s="371" t="s">
        <v>4644</v>
      </c>
      <c r="H3269" s="370"/>
      <c r="I3269" s="963"/>
      <c r="J3269" s="964"/>
      <c r="K3269" s="965"/>
      <c r="L3269" s="965">
        <f>J3270</f>
        <v>1641952.5</v>
      </c>
      <c r="M3269" s="965">
        <f>J3271</f>
        <v>230902.09658181816</v>
      </c>
      <c r="N3269" s="843" t="e">
        <f>SUMIF(#REF!,'8.Dgia'!A3269,#REF!)+SUMIF(#REF!,'8.Dgia'!A3269,#REF!)+SUMIF(#REF!,'8.Dgia'!A3269,#REF!)+SUMIF(#REF!,'8.Dgia'!A3269,#REF!)</f>
        <v>#REF!</v>
      </c>
      <c r="O3269" s="966"/>
      <c r="P3269" s="843" t="e">
        <f>$H3269*N3269*(1+O3269%)</f>
        <v>#REF!</v>
      </c>
      <c r="Q3269" s="967"/>
      <c r="R3269" s="967"/>
      <c r="S3269" s="968"/>
      <c r="T3269" s="969">
        <v>11</v>
      </c>
      <c r="U3269" s="967"/>
      <c r="V3269" s="967"/>
      <c r="W3269" s="967"/>
      <c r="X3269" s="967"/>
      <c r="Y3269" s="967"/>
      <c r="Z3269" s="967"/>
      <c r="AA3269" s="967"/>
      <c r="AB3269" s="967"/>
      <c r="AC3269" s="967"/>
      <c r="AD3269" s="967"/>
      <c r="AE3269" s="967"/>
      <c r="AF3269" s="967"/>
      <c r="AG3269" s="967"/>
      <c r="AH3269" s="967"/>
      <c r="AI3269" s="967"/>
      <c r="AJ3269" s="967"/>
      <c r="AK3269" s="967"/>
      <c r="AL3269" s="967"/>
      <c r="AM3269" s="967"/>
      <c r="AN3269" s="967"/>
      <c r="AO3269" s="967"/>
      <c r="AP3269" s="967"/>
      <c r="AQ3269" s="967"/>
      <c r="AR3269" s="967"/>
      <c r="AS3269" s="967"/>
      <c r="AT3269" s="967"/>
      <c r="AU3269" s="967"/>
      <c r="AV3269" s="967"/>
      <c r="AW3269" s="967"/>
      <c r="AX3269" s="967"/>
      <c r="AY3269" s="967"/>
      <c r="AZ3269" s="967"/>
      <c r="BA3269" s="967"/>
      <c r="BB3269" s="967"/>
      <c r="BC3269" s="967"/>
      <c r="BD3269" s="967"/>
      <c r="BE3269" s="967"/>
      <c r="BF3269" s="967"/>
      <c r="BG3269" s="967"/>
      <c r="BH3269" s="967"/>
      <c r="BI3269" s="967"/>
      <c r="BJ3269" s="967"/>
      <c r="BK3269" s="967"/>
      <c r="BL3269" s="967"/>
      <c r="BM3269" s="967"/>
      <c r="BN3269" s="967"/>
      <c r="BO3269" s="967"/>
      <c r="BP3269" s="967"/>
      <c r="BQ3269" s="967"/>
      <c r="BR3269" s="967"/>
      <c r="BS3269" s="967"/>
      <c r="BT3269" s="967"/>
      <c r="BU3269" s="967"/>
      <c r="BV3269" s="967"/>
      <c r="BW3269" s="967"/>
      <c r="BX3269" s="967"/>
      <c r="BY3269" s="967"/>
      <c r="BZ3269" s="967"/>
      <c r="CA3269" s="967"/>
      <c r="CB3269" s="967"/>
      <c r="CC3269" s="967"/>
      <c r="CD3269" s="967"/>
      <c r="CE3269" s="967"/>
      <c r="CF3269" s="967"/>
      <c r="CG3269" s="967"/>
      <c r="CH3269" s="967"/>
      <c r="CI3269" s="967"/>
      <c r="CJ3269" s="967"/>
      <c r="CK3269" s="967"/>
      <c r="CL3269" s="967"/>
      <c r="CM3269" s="967"/>
      <c r="CN3269" s="967"/>
      <c r="CO3269" s="967"/>
      <c r="CP3269" s="967"/>
      <c r="CQ3269" s="967"/>
      <c r="CR3269" s="967"/>
      <c r="CS3269" s="967"/>
      <c r="CT3269" s="967"/>
      <c r="CU3269" s="967"/>
      <c r="CV3269" s="967"/>
      <c r="CW3269" s="967"/>
      <c r="CX3269" s="967"/>
      <c r="CY3269" s="967"/>
      <c r="CZ3269" s="967"/>
      <c r="DA3269" s="967"/>
      <c r="DB3269" s="967"/>
    </row>
    <row r="3270" spans="1:106" s="969" customFormat="1" ht="19.5" customHeight="1">
      <c r="A3270" s="657">
        <f>IF(B3270="",MAX($A$8:A3269)+0,MAX($A$8:A3269)+1)</f>
        <v>396</v>
      </c>
      <c r="B3270" s="835" t="str">
        <f>IF(C3270="","",COUNTA($C$10:C3271))</f>
        <v/>
      </c>
      <c r="C3270" s="370"/>
      <c r="D3270" s="372"/>
      <c r="E3270" s="852" t="s">
        <v>2039</v>
      </c>
      <c r="F3270" s="848" t="str">
        <f>VLOOKUP(E3270,DICH!B:C,2,FALSE)</f>
        <v xml:space="preserve">  B - Labour 4.0/7</v>
      </c>
      <c r="G3270" s="372" t="s">
        <v>4899</v>
      </c>
      <c r="H3270" s="370">
        <v>7.5</v>
      </c>
      <c r="I3270" s="848">
        <f>VLOOKUP(E3270,'16.NC'!$C$11:$F$22,4,FALSE)</f>
        <v>218927</v>
      </c>
      <c r="J3270" s="964">
        <f>I3270*H3270</f>
        <v>1641952.5</v>
      </c>
      <c r="K3270" s="965"/>
      <c r="L3270" s="965"/>
      <c r="M3270" s="965"/>
      <c r="N3270" s="843" t="e">
        <f>SUMIF(#REF!,'8.Dgia'!A3270,#REF!)+SUMIF(#REF!,'8.Dgia'!A3270,#REF!)+SUMIF(#REF!,'8.Dgia'!A3270,#REF!)+SUMIF(#REF!,'8.Dgia'!A3270,#REF!)</f>
        <v>#REF!</v>
      </c>
      <c r="O3270" s="966"/>
      <c r="P3270" s="843" t="e">
        <f>$H3270*N3270*(1+O3270%)</f>
        <v>#REF!</v>
      </c>
      <c r="R3270" s="967"/>
      <c r="S3270" s="970"/>
      <c r="T3270" s="969">
        <v>11</v>
      </c>
    </row>
    <row r="3271" spans="1:106" s="87" customFormat="1" ht="18.75" customHeight="1">
      <c r="A3271" s="657">
        <f>IF(B3271="",MAX($A$8:A3270)+0,MAX($A$8:A3270)+1)</f>
        <v>396</v>
      </c>
      <c r="B3271" s="835" t="str">
        <f>IF(C3271="","",COUNTA($C$10:C3272))</f>
        <v/>
      </c>
      <c r="C3271" s="239"/>
      <c r="D3271" s="813"/>
      <c r="E3271" s="661" t="s">
        <v>2033</v>
      </c>
      <c r="F3271" s="848" t="str">
        <f>VLOOKUP(E3271,DICH!B:C,2,FALSE)</f>
        <v xml:space="preserve">  C - Machine</v>
      </c>
      <c r="G3271" s="704"/>
      <c r="H3271" s="239"/>
      <c r="I3271" s="810"/>
      <c r="J3271" s="816">
        <f>SUM(J3272:J3272)</f>
        <v>230902.09658181816</v>
      </c>
      <c r="K3271" s="965"/>
      <c r="L3271" s="965"/>
      <c r="M3271" s="965"/>
      <c r="N3271" s="843" t="e">
        <f>SUMIF(#REF!,'8.Dgia'!A3271,#REF!)+SUMIF(#REF!,'8.Dgia'!A3271,#REF!)+SUMIF(#REF!,'8.Dgia'!A3271,#REF!)+SUMIF(#REF!,'8.Dgia'!A3271,#REF!)</f>
        <v>#REF!</v>
      </c>
      <c r="O3271" s="966"/>
      <c r="P3271" s="843" t="e">
        <f>$H3271*N3271*(1+O3271%)</f>
        <v>#REF!</v>
      </c>
    </row>
    <row r="3272" spans="1:106" s="87" customFormat="1" ht="18.75" customHeight="1">
      <c r="A3272" s="657">
        <f>IF(B3272="",MAX($A$8:A3271)+0,MAX($A$8:A3271)+1)</f>
        <v>396</v>
      </c>
      <c r="B3272" s="835" t="str">
        <f>IF(C3272="","",COUNTA($C$10:C3273))</f>
        <v/>
      </c>
      <c r="C3272" s="239"/>
      <c r="D3272" s="813"/>
      <c r="E3272" s="991" t="s">
        <v>1018</v>
      </c>
      <c r="F3272" s="848" t="str">
        <f>VLOOKUP(E3272,'9.may'!E:F,2,FALSE)</f>
        <v>truck-mounted crane 25T</v>
      </c>
      <c r="G3272" s="704" t="s">
        <v>4902</v>
      </c>
      <c r="H3272" s="815">
        <v>0.08</v>
      </c>
      <c r="I3272" s="848">
        <f>VLOOKUP(E3272,'9.may'!E:W,12,FALSE)</f>
        <v>2886276.207272727</v>
      </c>
      <c r="J3272" s="811">
        <f>I3272*H3272</f>
        <v>230902.09658181816</v>
      </c>
      <c r="K3272" s="965"/>
      <c r="L3272" s="965"/>
      <c r="M3272" s="965"/>
      <c r="N3272" s="843" t="e">
        <f>SUMIF(#REF!,'8.Dgia'!A3272,#REF!)+SUMIF(#REF!,'8.Dgia'!A3272,#REF!)+SUMIF(#REF!,'8.Dgia'!A3272,#REF!)+SUMIF(#REF!,'8.Dgia'!A3272,#REF!)</f>
        <v>#REF!</v>
      </c>
      <c r="O3272" s="966"/>
      <c r="P3272" s="843" t="e">
        <f>$H3272*N3272*(1+O3272%)</f>
        <v>#REF!</v>
      </c>
    </row>
    <row r="3273" spans="1:106" s="1336" customFormat="1" ht="18.75" customHeight="1">
      <c r="A3273" s="1336">
        <f>IF(B3273="",MAX($A$8:A3272)+0,MAX($A$8:A3272)+1)</f>
        <v>397</v>
      </c>
      <c r="B3273" s="1337">
        <f>IF(C3273="","",COUNTA($C$10:C3274))</f>
        <v>397</v>
      </c>
      <c r="C3273" s="1338">
        <v>1779</v>
      </c>
      <c r="D3273" s="1338" t="s">
        <v>5488</v>
      </c>
      <c r="E3273" s="1339" t="s">
        <v>5489</v>
      </c>
      <c r="F3273" s="1339" t="s">
        <v>4573</v>
      </c>
      <c r="G3273" s="1340" t="s">
        <v>4644</v>
      </c>
      <c r="H3273" s="1338"/>
      <c r="I3273" s="1015"/>
      <c r="J3273" s="1341"/>
      <c r="K3273" s="1342" t="e">
        <f>J3274</f>
        <v>#REF!</v>
      </c>
      <c r="L3273" s="1342">
        <f>J3279</f>
        <v>35137.934000000001</v>
      </c>
      <c r="M3273" s="1342">
        <f>J3282</f>
        <v>52566.824952409093</v>
      </c>
      <c r="N3273" s="1343" t="s">
        <v>457</v>
      </c>
      <c r="O3273" s="1344"/>
      <c r="P3273" s="1343"/>
    </row>
    <row r="3274" spans="1:106" ht="18.75" customHeight="1">
      <c r="A3274" s="657">
        <f>IF(B3274="",MAX($A$8:A3273)+0,MAX($A$8:A3273)+1)</f>
        <v>397</v>
      </c>
      <c r="B3274" s="835" t="str">
        <f>IF(C3274="","",COUNTA($C$10:C3275))</f>
        <v/>
      </c>
      <c r="C3274" s="370"/>
      <c r="D3274" s="370"/>
      <c r="E3274" s="1308" t="s">
        <v>2032</v>
      </c>
      <c r="F3274" s="848" t="str">
        <f>VLOOKUP(E3274,DICH!B:C,2,FALSE)</f>
        <v xml:space="preserve">  A - Material</v>
      </c>
      <c r="G3274" s="372"/>
      <c r="H3274" s="370"/>
      <c r="I3274" s="810"/>
      <c r="J3274" s="816" t="e">
        <f>SUM(J3275:J3278)</f>
        <v>#REF!</v>
      </c>
      <c r="K3274" s="965"/>
      <c r="L3274" s="965"/>
      <c r="M3274" s="965"/>
      <c r="N3274" s="1343" t="s">
        <v>457</v>
      </c>
      <c r="O3274" s="966"/>
      <c r="P3274" s="843"/>
    </row>
    <row r="3275" spans="1:106" ht="18.75" customHeight="1">
      <c r="A3275" s="657">
        <f>IF(B3275="",MAX($A$8:A3274)+0,MAX($A$8:A3274)+1)</f>
        <v>397</v>
      </c>
      <c r="B3275" s="835" t="str">
        <f>IF(C3275="","",COUNTA($C$10:C3276))</f>
        <v/>
      </c>
      <c r="C3275" s="370"/>
      <c r="D3275" s="370"/>
      <c r="E3275" s="1309" t="s">
        <v>563</v>
      </c>
      <c r="F3275" s="848" t="str">
        <f>VLOOKUP(E3275,DICH!B:C,2,FALSE)</f>
        <v>Shaped steel</v>
      </c>
      <c r="G3275" s="1310" t="s">
        <v>558</v>
      </c>
      <c r="H3275" s="370">
        <v>0.48</v>
      </c>
      <c r="I3275" s="848">
        <f>VLOOKUP(E3275,'11.gia '!$B:$I,8,FALSE)</f>
        <v>16703.248369172808</v>
      </c>
      <c r="J3275" s="811">
        <f>I3275*H3275</f>
        <v>8017.5592172029474</v>
      </c>
      <c r="K3275" s="965"/>
      <c r="L3275" s="965"/>
      <c r="M3275" s="965"/>
      <c r="N3275" s="1343" t="s">
        <v>457</v>
      </c>
      <c r="O3275" s="966"/>
      <c r="P3275" s="843"/>
    </row>
    <row r="3276" spans="1:106" ht="18.75" customHeight="1">
      <c r="A3276" s="657">
        <f>IF(B3276="",MAX($A$8:A3275)+0,MAX($A$8:A3275)+1)</f>
        <v>397</v>
      </c>
      <c r="B3276" s="835" t="str">
        <f>IF(C3276="","",COUNTA($C$10:C3277))</f>
        <v/>
      </c>
      <c r="C3276" s="370"/>
      <c r="D3276" s="370"/>
      <c r="E3276" s="1309" t="s">
        <v>5490</v>
      </c>
      <c r="F3276" s="848" t="s">
        <v>5495</v>
      </c>
      <c r="G3276" s="1310" t="s">
        <v>545</v>
      </c>
      <c r="H3276" s="370">
        <v>8.9999999999999993E-3</v>
      </c>
      <c r="I3276" s="1331" t="e">
        <f>#REF!</f>
        <v>#REF!</v>
      </c>
      <c r="J3276" s="811" t="e">
        <f>I3276*H3276</f>
        <v>#REF!</v>
      </c>
      <c r="K3276" s="965"/>
      <c r="L3276" s="965"/>
      <c r="M3276" s="965"/>
      <c r="N3276" s="1343" t="s">
        <v>457</v>
      </c>
      <c r="O3276" s="966"/>
      <c r="P3276" s="843"/>
    </row>
    <row r="3277" spans="1:106" ht="18.75" customHeight="1">
      <c r="A3277" s="657">
        <f>IF(B3277="",MAX($A$8:A3276)+0,MAX($A$8:A3276)+1)</f>
        <v>397</v>
      </c>
      <c r="B3277" s="835" t="str">
        <f>IF(C3277="","",COUNTA($C$10:C3278))</f>
        <v/>
      </c>
      <c r="C3277" s="370"/>
      <c r="D3277" s="370"/>
      <c r="E3277" s="1309" t="s">
        <v>5491</v>
      </c>
      <c r="F3277" s="1309" t="s">
        <v>5496</v>
      </c>
      <c r="G3277" s="1310" t="s">
        <v>558</v>
      </c>
      <c r="H3277" s="370">
        <v>1.2E-2</v>
      </c>
      <c r="I3277" s="848">
        <f>VLOOKUP(E3277,'11.gia '!$B:$I,8,FALSE)</f>
        <v>18500</v>
      </c>
      <c r="J3277" s="811">
        <f>I3277*H3277</f>
        <v>222</v>
      </c>
      <c r="K3277" s="965"/>
      <c r="L3277" s="965"/>
      <c r="M3277" s="965"/>
      <c r="N3277" s="1343" t="s">
        <v>457</v>
      </c>
      <c r="O3277" s="966"/>
      <c r="P3277" s="843"/>
    </row>
    <row r="3278" spans="1:106" ht="18.75" customHeight="1">
      <c r="A3278" s="657">
        <f>IF(B3278="",MAX($A$8:A3277)+0,MAX($A$8:A3277)+1)</f>
        <v>397</v>
      </c>
      <c r="B3278" s="835" t="str">
        <f>IF(C3278="","",COUNTA($C$10:C3279))</f>
        <v/>
      </c>
      <c r="C3278" s="370"/>
      <c r="D3278" s="370"/>
      <c r="E3278" s="1308" t="s">
        <v>555</v>
      </c>
      <c r="F3278" s="1308" t="s">
        <v>4641</v>
      </c>
      <c r="G3278" s="372" t="s">
        <v>554</v>
      </c>
      <c r="H3278" s="370">
        <v>5</v>
      </c>
      <c r="I3278" s="848" t="e">
        <f>SUM(J3275:J3277)</f>
        <v>#REF!</v>
      </c>
      <c r="J3278" s="811" t="e">
        <f>I3278*H3278%</f>
        <v>#REF!</v>
      </c>
      <c r="K3278" s="965"/>
      <c r="L3278" s="965"/>
      <c r="M3278" s="965"/>
      <c r="N3278" s="1343" t="s">
        <v>457</v>
      </c>
      <c r="O3278" s="966"/>
      <c r="P3278" s="843"/>
    </row>
    <row r="3279" spans="1:106" ht="18.75" customHeight="1">
      <c r="A3279" s="657">
        <f>IF(B3279="",MAX($A$8:A3278)+0,MAX($A$8:A3278)+1)</f>
        <v>397</v>
      </c>
      <c r="B3279" s="835" t="str">
        <f>IF(C3279="","",COUNTA($C$10:C3280))</f>
        <v/>
      </c>
      <c r="C3279" s="370"/>
      <c r="D3279" s="370"/>
      <c r="E3279" s="1308" t="s">
        <v>5492</v>
      </c>
      <c r="F3279" s="1308" t="s">
        <v>5494</v>
      </c>
      <c r="G3279" s="372" t="s">
        <v>4899</v>
      </c>
      <c r="H3279" s="370"/>
      <c r="I3279" s="810"/>
      <c r="J3279" s="816">
        <f>SUM(J3280:J3281)</f>
        <v>35137.934000000001</v>
      </c>
      <c r="K3279" s="965"/>
      <c r="L3279" s="965"/>
      <c r="M3279" s="965"/>
      <c r="N3279" s="1343" t="s">
        <v>457</v>
      </c>
      <c r="O3279" s="966"/>
      <c r="P3279" s="843"/>
    </row>
    <row r="3280" spans="1:106" ht="18.75" customHeight="1">
      <c r="A3280" s="657">
        <f>IF(B3280="",MAX($A$8:A3279)+0,MAX($A$8:A3279)+1)</f>
        <v>397</v>
      </c>
      <c r="B3280" s="835" t="str">
        <f>IF(C3280="","",COUNTA($C$10:C3281))</f>
        <v/>
      </c>
      <c r="C3280" s="370"/>
      <c r="D3280" s="1311"/>
      <c r="E3280" s="852" t="s">
        <v>2043</v>
      </c>
      <c r="F3280" s="852" t="s">
        <v>4079</v>
      </c>
      <c r="G3280" s="372" t="s">
        <v>4899</v>
      </c>
      <c r="H3280" s="370">
        <v>2.5999999999999999E-2</v>
      </c>
      <c r="I3280" s="848">
        <f>VLOOKUP(E3280,'16.NC'!$C$11:$F$22,4,FALSE)</f>
        <v>256824</v>
      </c>
      <c r="J3280" s="811">
        <f>I3280*H3280</f>
        <v>6677.424</v>
      </c>
      <c r="K3280" s="965"/>
      <c r="L3280" s="965"/>
      <c r="M3280" s="965"/>
      <c r="N3280" s="1343" t="s">
        <v>457</v>
      </c>
      <c r="O3280" s="966"/>
      <c r="P3280" s="843"/>
    </row>
    <row r="3281" spans="1:16" ht="18.75" customHeight="1">
      <c r="A3281" s="657">
        <f>IF(B3281="",MAX($A$8:A3280)+0,MAX($A$8:A3280)+1)</f>
        <v>397</v>
      </c>
      <c r="B3281" s="835" t="str">
        <f>IF(C3281="","",COUNTA($C$10:C3282))</f>
        <v/>
      </c>
      <c r="C3281" s="370"/>
      <c r="D3281" s="1311"/>
      <c r="E3281" s="852" t="s">
        <v>2039</v>
      </c>
      <c r="F3281" s="852" t="s">
        <v>4076</v>
      </c>
      <c r="G3281" s="372" t="s">
        <v>4899</v>
      </c>
      <c r="H3281" s="370">
        <v>0.13</v>
      </c>
      <c r="I3281" s="848">
        <f>VLOOKUP(E3281,'16.NC'!$C$11:$F$22,4,FALSE)</f>
        <v>218927</v>
      </c>
      <c r="J3281" s="811">
        <f>I3281*H3281</f>
        <v>28460.510000000002</v>
      </c>
      <c r="K3281" s="965"/>
      <c r="L3281" s="965"/>
      <c r="M3281" s="965"/>
      <c r="N3281" s="1343" t="s">
        <v>457</v>
      </c>
      <c r="O3281" s="966"/>
      <c r="P3281" s="843"/>
    </row>
    <row r="3282" spans="1:16" ht="18.75" customHeight="1">
      <c r="A3282" s="657">
        <f>IF(B3282="",MAX($A$8:A3281)+0,MAX($A$8:A3281)+1)</f>
        <v>397</v>
      </c>
      <c r="B3282" s="835" t="str">
        <f>IF(C3282="","",COUNTA($C$10:C3283))</f>
        <v/>
      </c>
      <c r="C3282" s="370"/>
      <c r="D3282" s="370"/>
      <c r="E3282" s="1312" t="s">
        <v>2033</v>
      </c>
      <c r="F3282" s="1312" t="str">
        <f>VLOOKUP(E3282,DICH!B:C,2,FALSE)</f>
        <v xml:space="preserve">  C - Machine</v>
      </c>
      <c r="G3282" s="372"/>
      <c r="H3282" s="370"/>
      <c r="I3282" s="810"/>
      <c r="J3282" s="816">
        <f>SUM(J3283:J3286)</f>
        <v>52566.824952409093</v>
      </c>
      <c r="K3282" s="965"/>
      <c r="L3282" s="965"/>
      <c r="M3282" s="965"/>
      <c r="N3282" s="1343" t="s">
        <v>457</v>
      </c>
      <c r="O3282" s="966"/>
      <c r="P3282" s="843"/>
    </row>
    <row r="3283" spans="1:16" ht="18.75" customHeight="1">
      <c r="A3283" s="657">
        <f>IF(B3283="",MAX($A$8:A3282)+0,MAX($A$8:A3282)+1)</f>
        <v>397</v>
      </c>
      <c r="B3283" s="835" t="str">
        <f>IF(C3283="","",COUNTA($C$10:C3284))</f>
        <v/>
      </c>
      <c r="C3283" s="370"/>
      <c r="D3283" s="1311"/>
      <c r="E3283" s="1308" t="s">
        <v>663</v>
      </c>
      <c r="F3283" s="1308" t="str">
        <f>VLOOKUP(E3283,DICH!B:C,2,FALSE)</f>
        <v>Jack 500T</v>
      </c>
      <c r="G3283" s="704" t="s">
        <v>4902</v>
      </c>
      <c r="H3283" s="370">
        <v>1.7999999999999999E-2</v>
      </c>
      <c r="I3283" s="848">
        <f>VLOOKUP(E3283,'9.may'!E:W,12,FALSE)</f>
        <v>132935.79</v>
      </c>
      <c r="J3283" s="811">
        <f>I3283*H3283</f>
        <v>2392.84422</v>
      </c>
      <c r="K3283" s="965"/>
      <c r="L3283" s="965"/>
      <c r="M3283" s="965"/>
      <c r="N3283" s="1343" t="s">
        <v>457</v>
      </c>
      <c r="O3283" s="966"/>
      <c r="P3283" s="843"/>
    </row>
    <row r="3284" spans="1:16" ht="18.75" customHeight="1">
      <c r="A3284" s="657">
        <f>IF(B3284="",MAX($A$8:A3283)+0,MAX($A$8:A3283)+1)</f>
        <v>397</v>
      </c>
      <c r="B3284" s="835" t="str">
        <f>IF(C3284="","",COUNTA($C$10:C3285))</f>
        <v/>
      </c>
      <c r="C3284" s="370"/>
      <c r="D3284" s="1311"/>
      <c r="E3284" s="435" t="s">
        <v>5498</v>
      </c>
      <c r="F3284" s="1308" t="s">
        <v>5497</v>
      </c>
      <c r="G3284" s="704" t="s">
        <v>4902</v>
      </c>
      <c r="H3284" s="370">
        <v>1.7999999999999999E-2</v>
      </c>
      <c r="I3284" s="848">
        <f>VLOOKUP(E3284,'9.may'!E:W,12,FALSE)</f>
        <v>15269.73</v>
      </c>
      <c r="J3284" s="811">
        <f>I3284*H3284</f>
        <v>274.85513999999995</v>
      </c>
      <c r="K3284" s="965"/>
      <c r="L3284" s="965"/>
      <c r="M3284" s="965"/>
      <c r="N3284" s="1343" t="s">
        <v>457</v>
      </c>
      <c r="O3284" s="966"/>
      <c r="P3284" s="843"/>
    </row>
    <row r="3285" spans="1:16" ht="18.75" customHeight="1">
      <c r="A3285" s="657">
        <f>IF(B3285="",MAX($A$8:A3284)+0,MAX($A$8:A3284)+1)</f>
        <v>397</v>
      </c>
      <c r="B3285" s="835" t="str">
        <f>IF(C3285="","",COUNTA($C$10:C3286))</f>
        <v/>
      </c>
      <c r="C3285" s="370"/>
      <c r="D3285" s="1311"/>
      <c r="E3285" s="1308" t="s">
        <v>288</v>
      </c>
      <c r="F3285" s="1308" t="str">
        <f>VLOOKUP(E3285,DICH!B:C,2,FALSE)</f>
        <v>caterpillar crane 25T</v>
      </c>
      <c r="G3285" s="704" t="s">
        <v>4902</v>
      </c>
      <c r="H3285" s="370">
        <v>1.7000000000000001E-2</v>
      </c>
      <c r="I3285" s="848">
        <f>VLOOKUP(E3285,'9.may'!E:W,12,FALSE)</f>
        <v>2787996.6736363638</v>
      </c>
      <c r="J3285" s="811">
        <f>I3285*H3285</f>
        <v>47395.943451818188</v>
      </c>
      <c r="K3285" s="965"/>
      <c r="L3285" s="965"/>
      <c r="M3285" s="965"/>
      <c r="N3285" s="1343" t="s">
        <v>457</v>
      </c>
      <c r="O3285" s="966"/>
      <c r="P3285" s="843"/>
    </row>
    <row r="3286" spans="1:16" ht="18.75" customHeight="1">
      <c r="A3286" s="657">
        <f>IF(B3286="",MAX($A$8:A3285)+0,MAX($A$8:A3285)+1)</f>
        <v>397</v>
      </c>
      <c r="B3286" s="835" t="str">
        <f>IF(C3286="","",COUNTA($C$10:C3287))</f>
        <v/>
      </c>
      <c r="C3286" s="370"/>
      <c r="D3286" s="372"/>
      <c r="E3286" s="1312" t="s">
        <v>553</v>
      </c>
      <c r="F3286" s="1312" t="str">
        <f>VLOOKUP(E3286,DICH!B:C,2,FALSE)</f>
        <v>Other machine</v>
      </c>
      <c r="G3286" s="373" t="s">
        <v>554</v>
      </c>
      <c r="H3286" s="370">
        <v>5</v>
      </c>
      <c r="I3286" s="848">
        <f>SUM(J3283:J3285)</f>
        <v>50063.642811818187</v>
      </c>
      <c r="J3286" s="811">
        <f>I3286*H3286%</f>
        <v>2503.1821405909095</v>
      </c>
      <c r="K3286" s="965"/>
      <c r="L3286" s="965"/>
      <c r="M3286" s="965"/>
      <c r="N3286" s="1343" t="s">
        <v>457</v>
      </c>
      <c r="O3286" s="966"/>
      <c r="P3286" s="843"/>
    </row>
    <row r="3287" spans="1:16" ht="18.75" customHeight="1">
      <c r="A3287" s="657">
        <f>IF(B3287="",MAX($A$8:A3286)+0,MAX($A$8:A3286)+1)</f>
        <v>398</v>
      </c>
      <c r="B3287" s="835">
        <f>IF(C3287="","",COUNTA($C$10:C3288))</f>
        <v>398</v>
      </c>
      <c r="C3287" s="370">
        <v>1779</v>
      </c>
      <c r="D3287" s="370" t="s">
        <v>2167</v>
      </c>
      <c r="E3287" s="369" t="s">
        <v>5490</v>
      </c>
      <c r="F3287" s="369" t="s">
        <v>5500</v>
      </c>
      <c r="G3287" s="1307" t="s">
        <v>545</v>
      </c>
      <c r="H3287" s="370"/>
      <c r="I3287" s="810"/>
      <c r="J3287" s="811"/>
      <c r="K3287" s="965">
        <f>J3288</f>
        <v>836171.72269721131</v>
      </c>
      <c r="L3287" s="965">
        <f>J3291</f>
        <v>341838.51</v>
      </c>
      <c r="M3287" s="965">
        <f>J3292</f>
        <v>33661.027455000003</v>
      </c>
      <c r="N3287" s="1343" t="s">
        <v>457</v>
      </c>
      <c r="O3287" s="966"/>
      <c r="P3287" s="843"/>
    </row>
    <row r="3288" spans="1:16" ht="18.75" customHeight="1">
      <c r="A3288" s="657">
        <f>IF(B3288="",MAX($A$8:A3287)+0,MAX($A$8:A3287)+1)</f>
        <v>398</v>
      </c>
      <c r="B3288" s="835" t="str">
        <f>IF(C3288="","",COUNTA($C$10:C3289))</f>
        <v/>
      </c>
      <c r="C3288" s="370"/>
      <c r="D3288" s="370"/>
      <c r="E3288" s="1312" t="s">
        <v>2032</v>
      </c>
      <c r="F3288" s="1312" t="s">
        <v>4069</v>
      </c>
      <c r="G3288" s="372"/>
      <c r="H3288" s="370"/>
      <c r="I3288" s="810"/>
      <c r="J3288" s="816">
        <f>SUM(J3289:J3290)</f>
        <v>836171.72269721131</v>
      </c>
      <c r="K3288" s="965"/>
      <c r="L3288" s="965"/>
      <c r="M3288" s="965"/>
      <c r="N3288" s="1343" t="s">
        <v>457</v>
      </c>
      <c r="O3288" s="966"/>
      <c r="P3288" s="843"/>
    </row>
    <row r="3289" spans="1:16" ht="18.75" customHeight="1">
      <c r="A3289" s="657">
        <f>IF(B3289="",MAX($A$8:A3288)+0,MAX($A$8:A3288)+1)</f>
        <v>398</v>
      </c>
      <c r="B3289" s="835" t="str">
        <f>IF(C3289="","",COUNTA($C$10:C3290))</f>
        <v/>
      </c>
      <c r="C3289" s="370"/>
      <c r="D3289" s="370" t="str">
        <f>'10.PLV'!$C$12</f>
        <v>C3123</v>
      </c>
      <c r="E3289" s="1309" t="str">
        <f>'10.PLV'!$D$12</f>
        <v>Vữa bê tông đá 1x2 C15 SN 2-4</v>
      </c>
      <c r="F3289" s="1309" t="s">
        <v>4617</v>
      </c>
      <c r="G3289" s="1310" t="s">
        <v>545</v>
      </c>
      <c r="H3289" s="370">
        <v>1.0149999999999999</v>
      </c>
      <c r="I3289" s="848">
        <f>VLOOKUP(E3289,'11.gia '!$B:$I,8,FALSE)</f>
        <v>819715.92549294059</v>
      </c>
      <c r="J3289" s="811">
        <f>I3289*H3289</f>
        <v>832011.66437533463</v>
      </c>
      <c r="K3289" s="965"/>
      <c r="L3289" s="965"/>
      <c r="M3289" s="965"/>
      <c r="N3289" s="1343" t="s">
        <v>457</v>
      </c>
      <c r="O3289" s="966"/>
      <c r="P3289" s="843"/>
    </row>
    <row r="3290" spans="1:16" ht="18.75" customHeight="1">
      <c r="A3290" s="657">
        <f>IF(B3290="",MAX($A$8:A3289)+0,MAX($A$8:A3289)+1)</f>
        <v>398</v>
      </c>
      <c r="B3290" s="835" t="str">
        <f>IF(C3290="","",COUNTA($C$10:C3291))</f>
        <v/>
      </c>
      <c r="C3290" s="370"/>
      <c r="D3290" s="370"/>
      <c r="E3290" s="1308" t="s">
        <v>555</v>
      </c>
      <c r="F3290" s="1308" t="s">
        <v>4611</v>
      </c>
      <c r="G3290" s="372" t="s">
        <v>554</v>
      </c>
      <c r="H3290" s="370">
        <v>0.5</v>
      </c>
      <c r="I3290" s="848">
        <f>J3289</f>
        <v>832011.66437533463</v>
      </c>
      <c r="J3290" s="811">
        <f>I3290*H3290%</f>
        <v>4160.0583218766733</v>
      </c>
      <c r="K3290" s="965"/>
      <c r="L3290" s="965"/>
      <c r="M3290" s="965"/>
      <c r="N3290" s="1343" t="s">
        <v>457</v>
      </c>
      <c r="O3290" s="966"/>
      <c r="P3290" s="843"/>
    </row>
    <row r="3291" spans="1:16" ht="18.75" customHeight="1">
      <c r="A3291" s="657">
        <f>IF(B3291="",MAX($A$8:A3290)+0,MAX($A$8:A3290)+1)</f>
        <v>398</v>
      </c>
      <c r="B3291" s="835" t="str">
        <f>IF(C3291="","",COUNTA($C$10:C3292))</f>
        <v/>
      </c>
      <c r="C3291" s="370"/>
      <c r="D3291" s="1311"/>
      <c r="E3291" s="852" t="s">
        <v>2038</v>
      </c>
      <c r="F3291" s="852" t="s">
        <v>4072</v>
      </c>
      <c r="G3291" s="372" t="s">
        <v>552</v>
      </c>
      <c r="H3291" s="370">
        <v>1.83</v>
      </c>
      <c r="I3291" s="848">
        <f>VLOOKUP(E3291,'16.NC'!$C$11:$F$22,4,FALSE)</f>
        <v>186797</v>
      </c>
      <c r="J3291" s="964">
        <f>I3291*H3291</f>
        <v>341838.51</v>
      </c>
      <c r="K3291" s="965"/>
      <c r="L3291" s="965"/>
      <c r="M3291" s="965"/>
      <c r="N3291" s="1343" t="s">
        <v>457</v>
      </c>
      <c r="O3291" s="966"/>
      <c r="P3291" s="843"/>
    </row>
    <row r="3292" spans="1:16" ht="18.75" customHeight="1">
      <c r="A3292" s="657">
        <f>IF(B3292="",MAX($A$8:A3291)+0,MAX($A$8:A3291)+1)</f>
        <v>398</v>
      </c>
      <c r="B3292" s="835" t="str">
        <f>IF(C3292="","",COUNTA($C$10:C3293))</f>
        <v/>
      </c>
      <c r="C3292" s="370"/>
      <c r="D3292" s="370"/>
      <c r="E3292" s="1312" t="s">
        <v>2033</v>
      </c>
      <c r="F3292" s="1312" t="s">
        <v>4080</v>
      </c>
      <c r="G3292" s="372"/>
      <c r="H3292" s="370"/>
      <c r="I3292" s="810"/>
      <c r="J3292" s="816">
        <f>SUM(J3293:J3295)</f>
        <v>33661.027455000003</v>
      </c>
      <c r="K3292" s="965"/>
      <c r="L3292" s="965"/>
      <c r="M3292" s="965"/>
      <c r="N3292" s="1343" t="s">
        <v>457</v>
      </c>
      <c r="O3292" s="966"/>
      <c r="P3292" s="843"/>
    </row>
    <row r="3293" spans="1:16" ht="18.75" customHeight="1">
      <c r="A3293" s="657">
        <f>IF(B3293="",MAX($A$8:A3292)+0,MAX($A$8:A3292)+1)</f>
        <v>398</v>
      </c>
      <c r="B3293" s="835" t="str">
        <f>IF(C3293="","",COUNTA($C$10:C3294))</f>
        <v/>
      </c>
      <c r="C3293" s="370"/>
      <c r="D3293" s="1311"/>
      <c r="E3293" s="1308" t="s">
        <v>582</v>
      </c>
      <c r="F3293" s="1308" t="s">
        <v>4726</v>
      </c>
      <c r="G3293" s="372" t="s">
        <v>5493</v>
      </c>
      <c r="H3293" s="370">
        <v>9.5000000000000001E-2</v>
      </c>
      <c r="I3293" s="848">
        <f>VLOOKUP(E3293,'9.may'!E:W,12,FALSE)</f>
        <v>180447.90000000002</v>
      </c>
      <c r="J3293" s="811">
        <f>I3293*H3293</f>
        <v>17142.550500000001</v>
      </c>
      <c r="K3293" s="965"/>
      <c r="L3293" s="965"/>
      <c r="M3293" s="965"/>
      <c r="N3293" s="1343" t="s">
        <v>457</v>
      </c>
      <c r="O3293" s="966"/>
      <c r="P3293" s="843"/>
    </row>
    <row r="3294" spans="1:16" ht="18.75" customHeight="1">
      <c r="A3294" s="657">
        <f>IF(B3294="",MAX($A$8:A3293)+0,MAX($A$8:A3293)+1)</f>
        <v>398</v>
      </c>
      <c r="B3294" s="835" t="str">
        <f>IF(C3294="","",COUNTA($C$10:C3295))</f>
        <v/>
      </c>
      <c r="C3294" s="370"/>
      <c r="D3294" s="372"/>
      <c r="E3294" s="1312" t="s">
        <v>1205</v>
      </c>
      <c r="F3294" s="1312" t="s">
        <v>4743</v>
      </c>
      <c r="G3294" s="373" t="s">
        <v>5493</v>
      </c>
      <c r="H3294" s="370">
        <v>0.18</v>
      </c>
      <c r="I3294" s="848">
        <f>VLOOKUP(E3294,'9.may'!E:W,12,FALSE)</f>
        <v>74768.797500000001</v>
      </c>
      <c r="J3294" s="811">
        <f>I3294*H3294</f>
        <v>13458.38355</v>
      </c>
      <c r="K3294" s="965"/>
      <c r="L3294" s="965"/>
      <c r="M3294" s="965"/>
      <c r="N3294" s="1343" t="s">
        <v>457</v>
      </c>
      <c r="O3294" s="966"/>
      <c r="P3294" s="843"/>
    </row>
    <row r="3295" spans="1:16" ht="18.75" customHeight="1">
      <c r="A3295" s="657">
        <f>IF(B3295="",MAX($A$8:A3294)+0,MAX($A$8:A3294)+1)</f>
        <v>398</v>
      </c>
      <c r="B3295" s="835" t="str">
        <f>IF(C3295="","",COUNTA($C$10:C3296))</f>
        <v/>
      </c>
      <c r="C3295" s="370"/>
      <c r="D3295" s="372"/>
      <c r="E3295" s="1312" t="s">
        <v>553</v>
      </c>
      <c r="F3295" s="1312" t="s">
        <v>4641</v>
      </c>
      <c r="G3295" s="373" t="s">
        <v>554</v>
      </c>
      <c r="H3295" s="370">
        <v>10</v>
      </c>
      <c r="I3295" s="848">
        <f>SUM(J3293:J3294)</f>
        <v>30600.934050000003</v>
      </c>
      <c r="J3295" s="811">
        <f>I3295*H3295%</f>
        <v>3060.0934050000005</v>
      </c>
      <c r="K3295" s="965"/>
      <c r="L3295" s="965"/>
      <c r="M3295" s="965"/>
      <c r="N3295" s="1343" t="s">
        <v>457</v>
      </c>
      <c r="O3295" s="966"/>
      <c r="P3295" s="843"/>
    </row>
    <row r="3296" spans="1:16" ht="18.75" customHeight="1">
      <c r="A3296" s="657">
        <f>IF(B3296="",MAX($A$8:A3295)+0,MAX($A$8:A3295)+1)</f>
        <v>399</v>
      </c>
      <c r="B3296" s="835">
        <f>IF(C3296="","",COUNTA($C$10:C3297))</f>
        <v>399</v>
      </c>
      <c r="C3296" s="370">
        <v>1779</v>
      </c>
      <c r="D3296" s="370" t="s">
        <v>5501</v>
      </c>
      <c r="E3296" s="369" t="s">
        <v>5502</v>
      </c>
      <c r="F3296" s="855" t="s">
        <v>5504</v>
      </c>
      <c r="G3296" s="371" t="s">
        <v>5505</v>
      </c>
      <c r="H3296" s="370"/>
      <c r="I3296" s="848"/>
      <c r="K3296" s="965"/>
      <c r="L3296" s="965">
        <f>J3297</f>
        <v>14230.255000000001</v>
      </c>
      <c r="M3296" s="965">
        <f>J3298</f>
        <v>25091.970062727272</v>
      </c>
      <c r="N3296" s="1343" t="s">
        <v>457</v>
      </c>
      <c r="O3296" s="966"/>
      <c r="P3296" s="843"/>
    </row>
    <row r="3297" spans="1:16" ht="18.75" customHeight="1">
      <c r="A3297" s="657">
        <f>IF(B3297="",MAX($A$8:A3296)+0,MAX($A$8:A3296)+1)</f>
        <v>399</v>
      </c>
      <c r="B3297" s="835" t="str">
        <f>IF(C3297="","",COUNTA($C$10:C3298))</f>
        <v/>
      </c>
      <c r="C3297" s="370"/>
      <c r="D3297" s="370" t="s">
        <v>5503</v>
      </c>
      <c r="E3297" s="852" t="s">
        <v>2039</v>
      </c>
      <c r="F3297" s="852" t="s">
        <v>4076</v>
      </c>
      <c r="G3297" s="372" t="s">
        <v>4899</v>
      </c>
      <c r="H3297" s="370">
        <f>0.13*50%</f>
        <v>6.5000000000000002E-2</v>
      </c>
      <c r="I3297" s="848">
        <f>VLOOKUP(E3297,'16.NC'!$C$11:$F$22,4,FALSE)</f>
        <v>218927</v>
      </c>
      <c r="J3297" s="964">
        <f>I3297*H3297</f>
        <v>14230.255000000001</v>
      </c>
      <c r="K3297" s="965"/>
      <c r="L3297" s="965"/>
      <c r="M3297" s="965"/>
      <c r="N3297" s="1343" t="s">
        <v>457</v>
      </c>
      <c r="O3297" s="966"/>
      <c r="P3297" s="843"/>
    </row>
    <row r="3298" spans="1:16" ht="18.75" customHeight="1">
      <c r="A3298" s="657">
        <f>IF(B3298="",MAX($A$8:A3297)+0,MAX($A$8:A3297)+1)</f>
        <v>399</v>
      </c>
      <c r="B3298" s="835" t="str">
        <f>IF(C3298="","",COUNTA($C$10:C3299))</f>
        <v/>
      </c>
      <c r="C3298" s="370"/>
      <c r="D3298" s="370" t="s">
        <v>5503</v>
      </c>
      <c r="E3298" s="1312" t="s">
        <v>2033</v>
      </c>
      <c r="F3298" s="1312" t="s">
        <v>4080</v>
      </c>
      <c r="G3298" s="372"/>
      <c r="H3298" s="1332"/>
      <c r="I3298" s="810"/>
      <c r="J3298" s="816">
        <f>SUM(J3299)</f>
        <v>25091.970062727272</v>
      </c>
      <c r="K3298" s="965"/>
      <c r="L3298" s="965"/>
      <c r="M3298" s="965"/>
      <c r="N3298" s="1343" t="s">
        <v>457</v>
      </c>
      <c r="O3298" s="966"/>
      <c r="P3298" s="843"/>
    </row>
    <row r="3299" spans="1:16" ht="18.75" customHeight="1">
      <c r="A3299" s="657">
        <f>IF(B3299="",MAX($A$8:A3298)+0,MAX($A$8:A3298)+1)</f>
        <v>399</v>
      </c>
      <c r="B3299" s="835" t="str">
        <f>IF(C3299="","",COUNTA($C$10:C3300))</f>
        <v/>
      </c>
      <c r="C3299" s="370"/>
      <c r="D3299" s="370"/>
      <c r="E3299" s="1312" t="s">
        <v>288</v>
      </c>
      <c r="F3299" s="1308" t="str">
        <f>VLOOKUP(E3299,DICH!B:C,2,FALSE)</f>
        <v>caterpillar crane 25T</v>
      </c>
      <c r="G3299" s="704" t="s">
        <v>4902</v>
      </c>
      <c r="H3299" s="1332">
        <f>0.018*50%</f>
        <v>8.9999999999999993E-3</v>
      </c>
      <c r="I3299" s="848">
        <f>VLOOKUP(E3299,'9.may'!E:W,12,FALSE)</f>
        <v>2787996.6736363638</v>
      </c>
      <c r="J3299" s="811">
        <f>I3299*H3299</f>
        <v>25091.970062727272</v>
      </c>
      <c r="K3299" s="965"/>
      <c r="L3299" s="965"/>
      <c r="M3299" s="965"/>
      <c r="N3299" s="1343" t="s">
        <v>457</v>
      </c>
      <c r="O3299" s="966"/>
      <c r="P3299" s="843"/>
    </row>
    <row r="3300" spans="1:16" ht="25.5" customHeight="1">
      <c r="A3300" s="657">
        <f>IF(B3300="",MAX($A$8:A3299)+0,MAX($A$8:A3299)+1)</f>
        <v>399</v>
      </c>
      <c r="B3300" s="835" t="str">
        <f>IF(C3300="","",COUNTA($C$10:C3301))</f>
        <v/>
      </c>
      <c r="C3300" s="370"/>
      <c r="D3300" s="1333" t="s">
        <v>5511</v>
      </c>
      <c r="E3300" s="369" t="s">
        <v>5512</v>
      </c>
      <c r="F3300" s="369" t="s">
        <v>5533</v>
      </c>
      <c r="G3300" s="1307" t="s">
        <v>5021</v>
      </c>
      <c r="H3300" s="370"/>
      <c r="I3300" s="810"/>
      <c r="J3300" s="811"/>
      <c r="K3300" s="965">
        <f>J3301</f>
        <v>14733109.636178181</v>
      </c>
      <c r="L3300" s="965">
        <f>J3308</f>
        <v>12196075.4</v>
      </c>
      <c r="M3300" s="965">
        <f>J3311</f>
        <v>17805931.429237202</v>
      </c>
      <c r="N3300" s="1343" t="s">
        <v>457</v>
      </c>
      <c r="O3300" s="966"/>
      <c r="P3300" s="843"/>
    </row>
    <row r="3301" spans="1:16" ht="18.75" customHeight="1">
      <c r="A3301" s="657">
        <f>IF(B3301="",MAX($A$8:A3300)+0,MAX($A$8:A3300)+1)</f>
        <v>399</v>
      </c>
      <c r="B3301" s="835" t="str">
        <f>IF(C3301="","",COUNTA($C$10:C3302))</f>
        <v/>
      </c>
      <c r="C3301" s="370"/>
      <c r="D3301" s="370"/>
      <c r="E3301" s="1308" t="s">
        <v>2032</v>
      </c>
      <c r="F3301" s="1312" t="s">
        <v>4069</v>
      </c>
      <c r="G3301" s="372"/>
      <c r="H3301" s="370"/>
      <c r="I3301" s="810"/>
      <c r="J3301" s="816">
        <f>SUM(J3302:J3307)</f>
        <v>14733109.636178181</v>
      </c>
      <c r="K3301" s="965"/>
      <c r="L3301" s="965"/>
      <c r="M3301" s="965"/>
      <c r="N3301" s="1343" t="s">
        <v>457</v>
      </c>
      <c r="O3301" s="966"/>
      <c r="P3301" s="843"/>
    </row>
    <row r="3302" spans="1:16" ht="18.75" customHeight="1">
      <c r="A3302" s="657">
        <f>IF(B3302="",MAX($A$8:A3301)+0,MAX($A$8:A3301)+1)</f>
        <v>399</v>
      </c>
      <c r="B3302" s="835" t="str">
        <f>IF(C3302="","",COUNTA($C$10:C3303))</f>
        <v/>
      </c>
      <c r="C3302" s="370"/>
      <c r="D3302" s="370"/>
      <c r="E3302" s="1308" t="s">
        <v>5513</v>
      </c>
      <c r="F3302" s="1308" t="s">
        <v>5534</v>
      </c>
      <c r="G3302" s="372" t="s">
        <v>4651</v>
      </c>
      <c r="H3302" s="370">
        <f>K3302*L3302</f>
        <v>0.2</v>
      </c>
      <c r="I3302" s="848">
        <f>VLOOKUP(E3302,'11.gia '!$B:$I,8,FALSE)</f>
        <v>41100000</v>
      </c>
      <c r="J3302" s="811">
        <f>I3302*H3302</f>
        <v>8220000</v>
      </c>
      <c r="K3302" s="370">
        <v>1</v>
      </c>
      <c r="L3302" s="370">
        <v>0.2</v>
      </c>
      <c r="M3302" s="965"/>
      <c r="N3302" s="1343" t="s">
        <v>457</v>
      </c>
      <c r="O3302" s="966"/>
      <c r="P3302" s="843"/>
    </row>
    <row r="3303" spans="1:16" ht="18.75" customHeight="1">
      <c r="A3303" s="657">
        <f>IF(B3303="",MAX($A$8:A3302)+0,MAX($A$8:A3302)+1)</f>
        <v>399</v>
      </c>
      <c r="B3303" s="835" t="str">
        <f>IF(C3303="","",COUNTA($C$10:C3304))</f>
        <v/>
      </c>
      <c r="C3303" s="370"/>
      <c r="D3303" s="370"/>
      <c r="E3303" s="245" t="s">
        <v>671</v>
      </c>
      <c r="F3303" s="1308" t="s">
        <v>5535</v>
      </c>
      <c r="G3303" s="1310" t="s">
        <v>558</v>
      </c>
      <c r="H3303" s="370">
        <f>K3303*L3303</f>
        <v>220</v>
      </c>
      <c r="I3303" s="848">
        <f>VLOOKUP(E3303,'11.gia '!$B:$I,8,FALSE)</f>
        <v>16604.075560000001</v>
      </c>
      <c r="J3303" s="811">
        <f>I3303*H3303</f>
        <v>3652896.6232000003</v>
      </c>
      <c r="K3303" s="370">
        <v>1</v>
      </c>
      <c r="L3303" s="370">
        <v>220</v>
      </c>
      <c r="M3303" s="965"/>
      <c r="N3303" s="1343" t="s">
        <v>457</v>
      </c>
      <c r="O3303" s="966"/>
      <c r="P3303" s="843"/>
    </row>
    <row r="3304" spans="1:16" ht="18.75" customHeight="1">
      <c r="A3304" s="657">
        <f>IF(B3304="",MAX($A$8:A3303)+0,MAX($A$8:A3303)+1)</f>
        <v>399</v>
      </c>
      <c r="B3304" s="835" t="str">
        <f>IF(C3304="","",COUNTA($C$10:C3305))</f>
        <v/>
      </c>
      <c r="C3304" s="370"/>
      <c r="D3304" s="370"/>
      <c r="E3304" s="1309" t="s">
        <v>559</v>
      </c>
      <c r="F3304" s="245" t="s">
        <v>4478</v>
      </c>
      <c r="G3304" s="1310" t="s">
        <v>558</v>
      </c>
      <c r="H3304" s="370">
        <f>K3304*L3304</f>
        <v>1.5</v>
      </c>
      <c r="I3304" s="848">
        <f>VLOOKUP(E3304,'11.gia '!$B:$I,8,FALSE)</f>
        <v>19090.909090909088</v>
      </c>
      <c r="J3304" s="811">
        <f>I3304*H3304</f>
        <v>28636.363636363632</v>
      </c>
      <c r="K3304" s="370">
        <v>1</v>
      </c>
      <c r="L3304" s="370">
        <v>1.5</v>
      </c>
      <c r="M3304" s="965"/>
      <c r="N3304" s="1343" t="s">
        <v>457</v>
      </c>
      <c r="O3304" s="966"/>
      <c r="P3304" s="843"/>
    </row>
    <row r="3305" spans="1:16" ht="18.75" customHeight="1">
      <c r="A3305" s="657">
        <f>IF(B3305="",MAX($A$8:A3304)+0,MAX($A$8:A3304)+1)</f>
        <v>399</v>
      </c>
      <c r="B3305" s="835" t="str">
        <f>IF(C3305="","",COUNTA($C$10:C3306))</f>
        <v/>
      </c>
      <c r="C3305" s="370"/>
      <c r="D3305" s="370"/>
      <c r="E3305" s="1309" t="s">
        <v>5514</v>
      </c>
      <c r="F3305" s="1345" t="s">
        <v>5537</v>
      </c>
      <c r="G3305" s="1310" t="s">
        <v>4649</v>
      </c>
      <c r="H3305" s="370">
        <f>K3305*L3305</f>
        <v>2</v>
      </c>
      <c r="I3305" s="848">
        <f>VLOOKUP(E3305,'11.gia '!$B:$I,8,FALSE)</f>
        <v>65000</v>
      </c>
      <c r="J3305" s="811">
        <f>I3305*H3305</f>
        <v>130000</v>
      </c>
      <c r="K3305" s="370">
        <v>1</v>
      </c>
      <c r="L3305" s="370">
        <v>2</v>
      </c>
      <c r="M3305" s="965"/>
      <c r="N3305" s="1343" t="s">
        <v>457</v>
      </c>
      <c r="O3305" s="966"/>
      <c r="P3305" s="843"/>
    </row>
    <row r="3306" spans="1:16" ht="18.75" customHeight="1">
      <c r="A3306" s="657">
        <f>IF(B3306="",MAX($A$8:A3305)+0,MAX($A$8:A3305)+1)</f>
        <v>399</v>
      </c>
      <c r="B3306" s="835" t="str">
        <f>IF(C3306="","",COUNTA($C$10:C3307))</f>
        <v/>
      </c>
      <c r="C3306" s="370"/>
      <c r="D3306" s="370"/>
      <c r="E3306" s="1334" t="s">
        <v>5515</v>
      </c>
      <c r="F3306" s="1345" t="s">
        <v>5538</v>
      </c>
      <c r="G3306" s="1310" t="s">
        <v>5539</v>
      </c>
      <c r="H3306" s="370">
        <f>K3306*L3306</f>
        <v>0.01</v>
      </c>
      <c r="I3306" s="848">
        <f>VLOOKUP(E3306,'11.gia '!$B:$I,8,FALSE)</f>
        <v>200000000</v>
      </c>
      <c r="J3306" s="811">
        <f>I3306*H3306</f>
        <v>2000000</v>
      </c>
      <c r="K3306" s="370">
        <v>0.01</v>
      </c>
      <c r="L3306" s="370">
        <v>1</v>
      </c>
      <c r="M3306" s="965"/>
      <c r="N3306" s="1343" t="s">
        <v>457</v>
      </c>
      <c r="O3306" s="966"/>
      <c r="P3306" s="843"/>
    </row>
    <row r="3307" spans="1:16" ht="18.75" customHeight="1">
      <c r="A3307" s="657">
        <f>IF(B3307="",MAX($A$8:A3306)+0,MAX($A$8:A3306)+1)</f>
        <v>399</v>
      </c>
      <c r="B3307" s="835" t="str">
        <f>IF(C3307="","",COUNTA($C$10:C3308))</f>
        <v/>
      </c>
      <c r="C3307" s="370"/>
      <c r="D3307" s="370"/>
      <c r="E3307" s="1308" t="s">
        <v>555</v>
      </c>
      <c r="F3307" s="1308" t="s">
        <v>4611</v>
      </c>
      <c r="G3307" s="372" t="s">
        <v>554</v>
      </c>
      <c r="H3307" s="370">
        <v>5</v>
      </c>
      <c r="I3307" s="848">
        <f>SUM(J3302:J3306)</f>
        <v>14031532.986836363</v>
      </c>
      <c r="J3307" s="960">
        <f>I3307*H3307%</f>
        <v>701576.64934181818</v>
      </c>
      <c r="K3307" s="370"/>
      <c r="L3307" s="370">
        <v>5</v>
      </c>
      <c r="M3307" s="965"/>
      <c r="N3307" s="1343" t="s">
        <v>457</v>
      </c>
      <c r="O3307" s="966"/>
      <c r="P3307" s="843"/>
    </row>
    <row r="3308" spans="1:16" ht="18.75" customHeight="1">
      <c r="A3308" s="657">
        <f>IF(B3308="",MAX($A$8:A3307)+0,MAX($A$8:A3307)+1)</f>
        <v>399</v>
      </c>
      <c r="B3308" s="835" t="str">
        <f>IF(C3308="","",COUNTA($C$10:C3309))</f>
        <v/>
      </c>
      <c r="C3308" s="370"/>
      <c r="D3308" s="370"/>
      <c r="E3308" s="1308" t="s">
        <v>5492</v>
      </c>
      <c r="F3308" s="1308" t="s">
        <v>5494</v>
      </c>
      <c r="G3308" s="372" t="s">
        <v>4899</v>
      </c>
      <c r="H3308" s="370"/>
      <c r="I3308" s="810"/>
      <c r="J3308" s="816">
        <f>SUM(J3309:J3310)</f>
        <v>12196075.4</v>
      </c>
      <c r="K3308" s="370"/>
      <c r="L3308" s="370"/>
      <c r="M3308" s="965"/>
      <c r="N3308" s="1343" t="s">
        <v>457</v>
      </c>
      <c r="O3308" s="966"/>
      <c r="P3308" s="843"/>
    </row>
    <row r="3309" spans="1:16" ht="18.75" customHeight="1">
      <c r="A3309" s="657">
        <f>IF(B3309="",MAX($A$8:A3308)+0,MAX($A$8:A3308)+1)</f>
        <v>399</v>
      </c>
      <c r="B3309" s="835" t="str">
        <f>IF(C3309="","",COUNTA($C$10:C3310))</f>
        <v/>
      </c>
      <c r="C3309" s="370"/>
      <c r="D3309" s="1311"/>
      <c r="E3309" s="852" t="s">
        <v>2043</v>
      </c>
      <c r="F3309" s="852" t="s">
        <v>4079</v>
      </c>
      <c r="G3309" s="372" t="s">
        <v>4899</v>
      </c>
      <c r="H3309" s="370">
        <f>K3309*L3309</f>
        <v>27.2</v>
      </c>
      <c r="I3309" s="848">
        <f>VLOOKUP(E3309,'16.NC'!$C$11:$F$22,4,FALSE)</f>
        <v>256824</v>
      </c>
      <c r="J3309" s="811">
        <f>I3309*H3309</f>
        <v>6985612.7999999998</v>
      </c>
      <c r="K3309" s="1311">
        <v>0.85</v>
      </c>
      <c r="L3309" s="370">
        <v>32</v>
      </c>
      <c r="M3309" s="965"/>
      <c r="N3309" s="1343" t="s">
        <v>457</v>
      </c>
      <c r="O3309" s="966"/>
      <c r="P3309" s="843"/>
    </row>
    <row r="3310" spans="1:16" ht="18.75" customHeight="1">
      <c r="A3310" s="657">
        <f>IF(B3310="",MAX($A$8:A3309)+0,MAX($A$8:A3309)+1)</f>
        <v>399</v>
      </c>
      <c r="B3310" s="835" t="str">
        <f>IF(C3310="","",COUNTA($C$10:C3311))</f>
        <v/>
      </c>
      <c r="C3310" s="370"/>
      <c r="D3310" s="1311"/>
      <c r="E3310" s="852" t="s">
        <v>2039</v>
      </c>
      <c r="F3310" s="852" t="s">
        <v>4076</v>
      </c>
      <c r="G3310" s="372" t="s">
        <v>4899</v>
      </c>
      <c r="H3310" s="370">
        <f>K3310*L3310</f>
        <v>23.8</v>
      </c>
      <c r="I3310" s="848">
        <f>VLOOKUP(E3310,'16.NC'!$C$11:$F$22,4,FALSE)</f>
        <v>218927</v>
      </c>
      <c r="J3310" s="811">
        <f>I3310*H3310</f>
        <v>5210462.6000000006</v>
      </c>
      <c r="K3310" s="1311">
        <v>0.85</v>
      </c>
      <c r="L3310" s="370">
        <v>28</v>
      </c>
      <c r="M3310" s="965"/>
      <c r="N3310" s="1343" t="s">
        <v>457</v>
      </c>
      <c r="O3310" s="966"/>
      <c r="P3310" s="843"/>
    </row>
    <row r="3311" spans="1:16" ht="18.75" customHeight="1">
      <c r="A3311" s="657">
        <f>IF(B3311="",MAX($A$8:A3310)+0,MAX($A$8:A3310)+1)</f>
        <v>399</v>
      </c>
      <c r="B3311" s="835" t="str">
        <f>IF(C3311="","",COUNTA($C$10:C3312))</f>
        <v/>
      </c>
      <c r="C3311" s="370"/>
      <c r="D3311" s="370"/>
      <c r="E3311" s="1312" t="s">
        <v>2033</v>
      </c>
      <c r="F3311" s="1312" t="str">
        <f>VLOOKUP(E3311,DICH!B:C,2,FALSE)</f>
        <v xml:space="preserve">  C - Machine</v>
      </c>
      <c r="G3311" s="372"/>
      <c r="H3311" s="370"/>
      <c r="I3311" s="810"/>
      <c r="J3311" s="816">
        <f>SUM(J3312:J3318)</f>
        <v>17805931.429237202</v>
      </c>
      <c r="K3311" s="370"/>
      <c r="L3311" s="370"/>
      <c r="M3311" s="965"/>
      <c r="N3311" s="1343" t="s">
        <v>457</v>
      </c>
      <c r="O3311" s="966"/>
      <c r="P3311" s="843"/>
    </row>
    <row r="3312" spans="1:16" ht="18.75" customHeight="1">
      <c r="A3312" s="657">
        <f>IF(B3312="",MAX($A$8:A3311)+0,MAX($A$8:A3311)+1)</f>
        <v>399</v>
      </c>
      <c r="B3312" s="835" t="str">
        <f>IF(C3312="","",COUNTA($C$10:C3313))</f>
        <v/>
      </c>
      <c r="C3312" s="370"/>
      <c r="D3312" s="370"/>
      <c r="E3312" s="1308" t="s">
        <v>5516</v>
      </c>
      <c r="F3312" s="848" t="str">
        <f>VLOOKUP(E3312,'9.may'!E:F,2,FALSE)</f>
        <v>tyre crane 40T</v>
      </c>
      <c r="G3312" s="704" t="s">
        <v>4902</v>
      </c>
      <c r="H3312" s="370">
        <f t="shared" ref="H3312:H3317" si="132">K3312*L3312</f>
        <v>3.24</v>
      </c>
      <c r="I3312" s="848">
        <f>VLOOKUP(E3312,'9.may'!E:W,12,FALSE)</f>
        <v>3739772.3099999996</v>
      </c>
      <c r="J3312" s="811">
        <f t="shared" ref="J3312:J3317" si="133">I3312*H3312</f>
        <v>12116862.284399999</v>
      </c>
      <c r="K3312" s="370">
        <v>1.08</v>
      </c>
      <c r="L3312" s="370">
        <v>3</v>
      </c>
      <c r="M3312" s="965"/>
      <c r="N3312" s="1343" t="s">
        <v>457</v>
      </c>
      <c r="O3312" s="966"/>
      <c r="P3312" s="843"/>
    </row>
    <row r="3313" spans="1:16" ht="18.75" customHeight="1">
      <c r="A3313" s="657">
        <f>IF(B3313="",MAX($A$8:A3312)+0,MAX($A$8:A3312)+1)</f>
        <v>399</v>
      </c>
      <c r="B3313" s="835" t="str">
        <f>IF(C3313="","",COUNTA($C$10:C3314))</f>
        <v/>
      </c>
      <c r="C3313" s="370"/>
      <c r="D3313" s="370"/>
      <c r="E3313" s="1308" t="s">
        <v>5517</v>
      </c>
      <c r="F3313" s="848" t="str">
        <f>VLOOKUP(E3313,'9.may'!E:F,2,FALSE)</f>
        <v>PDA machine and Capwap software</v>
      </c>
      <c r="G3313" s="704" t="s">
        <v>4902</v>
      </c>
      <c r="H3313" s="370">
        <f t="shared" si="132"/>
        <v>4.8600000000000003</v>
      </c>
      <c r="I3313" s="848">
        <f>VLOOKUP(E3313,'9.may'!E:W,12,FALSE)</f>
        <v>989589.5</v>
      </c>
      <c r="J3313" s="811">
        <f t="shared" si="133"/>
        <v>4809404.9700000007</v>
      </c>
      <c r="K3313" s="370">
        <v>1.08</v>
      </c>
      <c r="L3313" s="370">
        <v>4.5</v>
      </c>
      <c r="M3313" s="965"/>
      <c r="N3313" s="1343" t="s">
        <v>457</v>
      </c>
      <c r="O3313" s="966"/>
      <c r="P3313" s="843"/>
    </row>
    <row r="3314" spans="1:16" ht="18.75" customHeight="1">
      <c r="A3314" s="657">
        <f>IF(B3314="",MAX($A$8:A3313)+0,MAX($A$8:A3313)+1)</f>
        <v>399</v>
      </c>
      <c r="B3314" s="835" t="str">
        <f>IF(C3314="","",COUNTA($C$10:C3315))</f>
        <v/>
      </c>
      <c r="C3314" s="370"/>
      <c r="D3314" s="370"/>
      <c r="E3314" s="1308" t="s">
        <v>5518</v>
      </c>
      <c r="F3314" s="848" t="str">
        <f>VLOOKUP(E3314,'9.may'!E:F,2,FALSE)</f>
        <v>Theodolite level 010</v>
      </c>
      <c r="G3314" s="704" t="s">
        <v>4902</v>
      </c>
      <c r="H3314" s="370">
        <f t="shared" si="132"/>
        <v>1.62</v>
      </c>
      <c r="I3314" s="848">
        <f>VLOOKUP(E3314,'9.may'!E:W,12,FALSE)</f>
        <v>41366.43</v>
      </c>
      <c r="J3314" s="811">
        <f t="shared" si="133"/>
        <v>67013.616600000008</v>
      </c>
      <c r="K3314" s="370">
        <v>1.08</v>
      </c>
      <c r="L3314" s="370">
        <v>1.5</v>
      </c>
      <c r="M3314" s="965"/>
      <c r="N3314" s="1343" t="s">
        <v>457</v>
      </c>
      <c r="O3314" s="966"/>
      <c r="P3314" s="843"/>
    </row>
    <row r="3315" spans="1:16" ht="18.75" customHeight="1">
      <c r="A3315" s="657">
        <f>IF(B3315="",MAX($A$8:A3314)+0,MAX($A$8:A3314)+1)</f>
        <v>399</v>
      </c>
      <c r="B3315" s="835" t="str">
        <f>IF(C3315="","",COUNTA($C$10:C3316))</f>
        <v/>
      </c>
      <c r="C3315" s="370"/>
      <c r="D3315" s="370"/>
      <c r="E3315" s="1308" t="s">
        <v>1978</v>
      </c>
      <c r="F3315" s="848" t="str">
        <f>VLOOKUP(E3315,'9.may'!E:F,2,FALSE)</f>
        <v>welding machine 23kW</v>
      </c>
      <c r="G3315" s="704" t="s">
        <v>4902</v>
      </c>
      <c r="H3315" s="370">
        <f t="shared" si="132"/>
        <v>1.08</v>
      </c>
      <c r="I3315" s="848">
        <f>VLOOKUP(E3315,'9.may'!E:W,12,FALSE)</f>
        <v>171649.155</v>
      </c>
      <c r="J3315" s="811">
        <f t="shared" si="133"/>
        <v>185381.08740000002</v>
      </c>
      <c r="K3315" s="370">
        <v>1.08</v>
      </c>
      <c r="L3315" s="370">
        <v>1</v>
      </c>
      <c r="M3315" s="965"/>
      <c r="N3315" s="1343" t="s">
        <v>457</v>
      </c>
      <c r="O3315" s="966"/>
      <c r="P3315" s="843"/>
    </row>
    <row r="3316" spans="1:16" ht="18.75" customHeight="1">
      <c r="A3316" s="657">
        <f>IF(B3316="",MAX($A$8:A3315)+0,MAX($A$8:A3315)+1)</f>
        <v>399</v>
      </c>
      <c r="B3316" s="835" t="str">
        <f>IF(C3316="","",COUNTA($C$10:C3317))</f>
        <v/>
      </c>
      <c r="C3316" s="370"/>
      <c r="D3316" s="370"/>
      <c r="E3316" s="1335" t="s">
        <v>3468</v>
      </c>
      <c r="F3316" s="848" t="str">
        <f>VLOOKUP(E3316,'9.may'!E:F,2,FALSE)</f>
        <v>Concrete hand drill 0.6kW</v>
      </c>
      <c r="G3316" s="704" t="s">
        <v>4902</v>
      </c>
      <c r="H3316" s="370">
        <f t="shared" si="132"/>
        <v>1.08</v>
      </c>
      <c r="I3316" s="848">
        <f>VLOOKUP(E3316,'9.may'!E:W,12,FALSE)</f>
        <v>60836.374499999998</v>
      </c>
      <c r="J3316" s="811">
        <f t="shared" si="133"/>
        <v>65703.284459999995</v>
      </c>
      <c r="K3316" s="370">
        <v>1.08</v>
      </c>
      <c r="L3316" s="370">
        <v>1</v>
      </c>
      <c r="M3316" s="965"/>
      <c r="N3316" s="1343" t="s">
        <v>457</v>
      </c>
      <c r="O3316" s="966"/>
      <c r="P3316" s="843"/>
    </row>
    <row r="3317" spans="1:16" ht="18.75" customHeight="1">
      <c r="A3317" s="657">
        <f>IF(B3317="",MAX($A$8:A3316)+0,MAX($A$8:A3316)+1)</f>
        <v>399</v>
      </c>
      <c r="B3317" s="835" t="str">
        <f>IF(C3317="","",COUNTA($C$10:C3318))</f>
        <v/>
      </c>
      <c r="C3317" s="370"/>
      <c r="D3317" s="370"/>
      <c r="E3317" s="435" t="s">
        <v>1983</v>
      </c>
      <c r="F3317" s="848" t="str">
        <f>VLOOKUP(E3317,'9.may'!E:F,2,FALSE)</f>
        <v>water pump 7kW</v>
      </c>
      <c r="G3317" s="704" t="s">
        <v>4902</v>
      </c>
      <c r="H3317" s="370">
        <f t="shared" si="132"/>
        <v>2.16</v>
      </c>
      <c r="I3317" s="848">
        <f>VLOOKUP(E3317,'9.may'!E:W,12,FALSE)</f>
        <v>98347.35</v>
      </c>
      <c r="J3317" s="811">
        <f t="shared" si="133"/>
        <v>212430.27600000001</v>
      </c>
      <c r="K3317" s="370">
        <v>1.08</v>
      </c>
      <c r="L3317" s="370">
        <v>2</v>
      </c>
      <c r="M3317" s="965"/>
      <c r="N3317" s="1343" t="s">
        <v>457</v>
      </c>
      <c r="O3317" s="966"/>
      <c r="P3317" s="843"/>
    </row>
    <row r="3318" spans="1:16" ht="18.75" customHeight="1">
      <c r="A3318" s="657">
        <f>IF(B3318="",MAX($A$8:A3317)+0,MAX($A$8:A3317)+1)</f>
        <v>399</v>
      </c>
      <c r="B3318" s="835" t="str">
        <f>IF(C3318="","",COUNTA($C$10:C3319))</f>
        <v/>
      </c>
      <c r="C3318" s="370"/>
      <c r="D3318" s="372"/>
      <c r="E3318" s="1312" t="s">
        <v>553</v>
      </c>
      <c r="F3318" s="1312" t="s">
        <v>4641</v>
      </c>
      <c r="G3318" s="373" t="s">
        <v>554</v>
      </c>
      <c r="H3318" s="370">
        <v>2</v>
      </c>
      <c r="I3318" s="848">
        <f>SUM(J3312:J3317)</f>
        <v>17456795.518860001</v>
      </c>
      <c r="J3318" s="857">
        <f>I3318*H3318%</f>
        <v>349135.91037720005</v>
      </c>
      <c r="K3318" s="965"/>
      <c r="L3318" s="370">
        <v>2</v>
      </c>
      <c r="M3318" s="965"/>
      <c r="N3318" s="1343" t="s">
        <v>457</v>
      </c>
      <c r="O3318" s="966"/>
      <c r="P3318" s="843"/>
    </row>
    <row r="3319" spans="1:16" ht="18.75" customHeight="1">
      <c r="A3319" s="657">
        <f>IF(B3319="",MAX($A$8:A3318)+0,MAX($A$8:A3318)+1)</f>
        <v>400</v>
      </c>
      <c r="B3319" s="835">
        <f>IF(C3319="","",COUNTA($C$10:C3320))</f>
        <v>400</v>
      </c>
      <c r="C3319" s="1386">
        <v>1776</v>
      </c>
      <c r="D3319" s="1384" t="s">
        <v>5542</v>
      </c>
      <c r="E3319" s="1385" t="s">
        <v>5543</v>
      </c>
      <c r="F3319" s="855" t="s">
        <v>5546</v>
      </c>
      <c r="G3319" s="1395" t="s">
        <v>545</v>
      </c>
      <c r="H3319" s="1394"/>
      <c r="I3319" s="810"/>
      <c r="J3319" s="811"/>
      <c r="K3319" s="965">
        <f>J3320</f>
        <v>970030.03665324603</v>
      </c>
      <c r="L3319" s="965">
        <f>J3323</f>
        <v>454410.88000000006</v>
      </c>
      <c r="M3319" s="965">
        <f>J3324</f>
        <v>18856.805550000001</v>
      </c>
      <c r="N3319" s="1343" t="s">
        <v>457</v>
      </c>
      <c r="O3319" s="966"/>
      <c r="P3319" s="843"/>
    </row>
    <row r="3320" spans="1:16" ht="18.75" customHeight="1">
      <c r="A3320" s="657">
        <f>IF(B3320="",MAX($A$8:A3319)+0,MAX($A$8:A3319)+1)</f>
        <v>400</v>
      </c>
      <c r="B3320" s="835" t="str">
        <f>IF(C3320="","",COUNTA($C$10:C3321))</f>
        <v/>
      </c>
      <c r="C3320" s="1383"/>
      <c r="D3320" s="1387"/>
      <c r="E3320" s="1390" t="s">
        <v>2032</v>
      </c>
      <c r="F3320" s="848" t="s">
        <v>4069</v>
      </c>
      <c r="G3320" s="1392"/>
      <c r="H3320" s="1393"/>
      <c r="I3320" s="810"/>
      <c r="J3320" s="816">
        <f>SUM(J3321:J3322)</f>
        <v>970030.03665324603</v>
      </c>
      <c r="K3320" s="965"/>
      <c r="L3320" s="370"/>
      <c r="M3320" s="965"/>
      <c r="N3320" s="1343" t="s">
        <v>457</v>
      </c>
      <c r="O3320" s="966"/>
      <c r="P3320" s="843"/>
    </row>
    <row r="3321" spans="1:16" ht="18.75" customHeight="1">
      <c r="A3321" s="657">
        <f>IF(B3321="",MAX($A$8:A3320)+0,MAX($A$8:A3320)+1)</f>
        <v>400</v>
      </c>
      <c r="B3321" s="835" t="str">
        <f>IF(C3321="","",COUNTA($C$10:C3322))</f>
        <v/>
      </c>
      <c r="C3321" s="1389"/>
      <c r="D3321" s="1389" t="s">
        <v>2183</v>
      </c>
      <c r="E3321" s="1390" t="s">
        <v>156</v>
      </c>
      <c r="F3321" s="848" t="s">
        <v>4621</v>
      </c>
      <c r="G3321" s="1391" t="s">
        <v>545</v>
      </c>
      <c r="H3321" s="1393">
        <v>1.0149999999999999</v>
      </c>
      <c r="I3321" s="848">
        <f>VLOOKUP(E3321,'11.gia '!$B:$I,8,FALSE)</f>
        <v>950939.91780334397</v>
      </c>
      <c r="J3321" s="811">
        <f>I3321*H3321</f>
        <v>965204.01657039404</v>
      </c>
      <c r="K3321" s="965"/>
      <c r="L3321" s="370"/>
      <c r="M3321" s="965"/>
      <c r="N3321" s="1343" t="s">
        <v>457</v>
      </c>
      <c r="O3321" s="966"/>
      <c r="P3321" s="843"/>
    </row>
    <row r="3322" spans="1:16" ht="18.75" customHeight="1">
      <c r="A3322" s="657">
        <f>IF(B3322="",MAX($A$8:A3321)+0,MAX($A$8:A3321)+1)</f>
        <v>400</v>
      </c>
      <c r="B3322" s="835" t="str">
        <f>IF(C3322="","",COUNTA($C$10:C3323))</f>
        <v/>
      </c>
      <c r="C3322" s="1383"/>
      <c r="D3322" s="1389"/>
      <c r="E3322" s="1390" t="s">
        <v>555</v>
      </c>
      <c r="F3322" s="848" t="s">
        <v>4611</v>
      </c>
      <c r="G3322" s="1391" t="s">
        <v>554</v>
      </c>
      <c r="H3322" s="1393">
        <v>0.5</v>
      </c>
      <c r="I3322" s="848">
        <f>J3321</f>
        <v>965204.01657039404</v>
      </c>
      <c r="J3322" s="960">
        <f>I3322*H3322%</f>
        <v>4826.0200828519701</v>
      </c>
      <c r="K3322" s="965"/>
      <c r="L3322" s="370"/>
      <c r="M3322" s="965"/>
      <c r="N3322" s="1343" t="s">
        <v>457</v>
      </c>
      <c r="O3322" s="966"/>
      <c r="P3322" s="843"/>
    </row>
    <row r="3323" spans="1:16" ht="18.75" customHeight="1">
      <c r="A3323" s="657">
        <f>IF(B3323="",MAX($A$8:A3322)+0,MAX($A$8:A3322)+1)</f>
        <v>400</v>
      </c>
      <c r="B3323" s="835" t="str">
        <f>IF(C3323="","",COUNTA($C$10:C3324))</f>
        <v/>
      </c>
      <c r="C3323" s="1383"/>
      <c r="D3323" s="1387"/>
      <c r="E3323" s="1390" t="s">
        <v>2037</v>
      </c>
      <c r="F3323" s="848" t="s">
        <v>4074</v>
      </c>
      <c r="G3323" s="1391" t="s">
        <v>4899</v>
      </c>
      <c r="H3323" s="1393">
        <v>2.2400000000000002</v>
      </c>
      <c r="I3323" s="848">
        <f>VLOOKUP(E3323,'16.NC'!$C$11:$F$22,4,FALSE)</f>
        <v>202862</v>
      </c>
      <c r="J3323" s="964">
        <f>I3323*H3323</f>
        <v>454410.88000000006</v>
      </c>
      <c r="K3323" s="965"/>
      <c r="L3323" s="370"/>
      <c r="M3323" s="965"/>
      <c r="N3323" s="1343" t="s">
        <v>457</v>
      </c>
      <c r="O3323" s="966"/>
      <c r="P3323" s="843"/>
    </row>
    <row r="3324" spans="1:16" ht="18.75" customHeight="1">
      <c r="A3324" s="657">
        <f>IF(B3324="",MAX($A$8:A3323)+0,MAX($A$8:A3323)+1)</f>
        <v>400</v>
      </c>
      <c r="B3324" s="835" t="str">
        <f>IF(C3324="","",COUNTA($C$10:C3325))</f>
        <v/>
      </c>
      <c r="C3324" s="1383"/>
      <c r="D3324" s="1387"/>
      <c r="E3324" s="1390" t="s">
        <v>2033</v>
      </c>
      <c r="F3324" s="848" t="s">
        <v>4080</v>
      </c>
      <c r="G3324" s="1392"/>
      <c r="H3324" s="1393"/>
      <c r="I3324" s="810"/>
      <c r="J3324" s="816">
        <f>SUM(J3325:J3326)</f>
        <v>18856.805550000001</v>
      </c>
      <c r="K3324" s="965"/>
      <c r="L3324" s="370"/>
      <c r="M3324" s="965"/>
      <c r="N3324" s="1343" t="s">
        <v>457</v>
      </c>
      <c r="O3324" s="966"/>
      <c r="P3324" s="843"/>
    </row>
    <row r="3325" spans="1:16" ht="18.75" customHeight="1">
      <c r="A3325" s="657">
        <f>IF(B3325="",MAX($A$8:A3324)+0,MAX($A$8:A3324)+1)</f>
        <v>400</v>
      </c>
      <c r="B3325" s="835" t="str">
        <f>IF(C3325="","",COUNTA($C$10:C3326))</f>
        <v/>
      </c>
      <c r="C3325" s="1383"/>
      <c r="D3325" s="1389"/>
      <c r="E3325" s="1390" t="s">
        <v>582</v>
      </c>
      <c r="F3325" s="848" t="s">
        <v>4726</v>
      </c>
      <c r="G3325" s="1391" t="s">
        <v>4902</v>
      </c>
      <c r="H3325" s="1393">
        <v>9.5000000000000001E-2</v>
      </c>
      <c r="I3325" s="848">
        <f>VLOOKUP(E3325,'9.may'!E:W,12,FALSE)</f>
        <v>180447.90000000002</v>
      </c>
      <c r="J3325" s="811">
        <f>I3325*H3325</f>
        <v>17142.550500000001</v>
      </c>
      <c r="K3325" s="965"/>
      <c r="L3325" s="370"/>
      <c r="M3325" s="965"/>
      <c r="N3325" s="1343" t="s">
        <v>457</v>
      </c>
      <c r="O3325" s="966"/>
      <c r="P3325" s="843"/>
    </row>
    <row r="3326" spans="1:16" ht="18.75" customHeight="1">
      <c r="A3326" s="657">
        <f>IF(B3326="",MAX($A$8:A3325)+0,MAX($A$8:A3325)+1)</f>
        <v>400</v>
      </c>
      <c r="B3326" s="835" t="str">
        <f>IF(C3326="","",COUNTA($C$10:C3327))</f>
        <v/>
      </c>
      <c r="C3326" s="1383"/>
      <c r="D3326" s="1388"/>
      <c r="E3326" s="1390" t="s">
        <v>553</v>
      </c>
      <c r="F3326" s="848" t="s">
        <v>4641</v>
      </c>
      <c r="G3326" s="1391" t="s">
        <v>554</v>
      </c>
      <c r="H3326" s="1393">
        <v>10</v>
      </c>
      <c r="I3326" s="848">
        <f>J3325</f>
        <v>17142.550500000001</v>
      </c>
      <c r="J3326" s="857">
        <f>I3326*H3326%</f>
        <v>1714.2550500000002</v>
      </c>
      <c r="K3326" s="965"/>
      <c r="L3326" s="370"/>
      <c r="M3326" s="965"/>
      <c r="N3326" s="1343" t="s">
        <v>457</v>
      </c>
      <c r="O3326" s="966"/>
      <c r="P3326" s="843"/>
    </row>
    <row r="3327" spans="1:16" ht="18.75" customHeight="1">
      <c r="A3327" s="657">
        <f>IF(B3327="",MAX($A$8:A3326)+0,MAX($A$8:A3326)+1)</f>
        <v>401</v>
      </c>
      <c r="B3327" s="835">
        <f>IF(C3327="","",COUNTA($C$10:C3328))</f>
        <v>401</v>
      </c>
      <c r="C3327" s="1399">
        <v>1776</v>
      </c>
      <c r="D3327" s="1397" t="s">
        <v>5544</v>
      </c>
      <c r="E3327" s="1398" t="s">
        <v>5545</v>
      </c>
      <c r="F3327" s="1049" t="s">
        <v>5547</v>
      </c>
      <c r="G3327" s="1405" t="s">
        <v>4644</v>
      </c>
      <c r="H3327" s="1402"/>
      <c r="I3327" s="810"/>
      <c r="J3327" s="811"/>
      <c r="K3327" s="965">
        <f>J3328</f>
        <v>17205048.9978</v>
      </c>
      <c r="L3327" s="965">
        <f>J3332</f>
        <v>5206084.0600000005</v>
      </c>
      <c r="M3327" s="965">
        <f>J3333</f>
        <v>32116.740000000005</v>
      </c>
      <c r="N3327" s="1343" t="s">
        <v>457</v>
      </c>
      <c r="O3327" s="966"/>
      <c r="P3327" s="843"/>
    </row>
    <row r="3328" spans="1:16" ht="18.75" customHeight="1">
      <c r="A3328" s="657">
        <f>IF(B3328="",MAX($A$8:A3327)+0,MAX($A$8:A3327)+1)</f>
        <v>401</v>
      </c>
      <c r="B3328" s="835" t="str">
        <f>IF(C3328="","",COUNTA($C$10:C3329))</f>
        <v/>
      </c>
      <c r="C3328" s="1396"/>
      <c r="D3328" s="1400"/>
      <c r="E3328" s="1404" t="s">
        <v>2032</v>
      </c>
      <c r="F3328" s="848" t="s">
        <v>4069</v>
      </c>
      <c r="G3328" s="1401"/>
      <c r="H3328" s="1402"/>
      <c r="I3328" s="810"/>
      <c r="J3328" s="816">
        <f>SUM(J3329:J3331)</f>
        <v>17205048.9978</v>
      </c>
      <c r="K3328" s="965"/>
      <c r="L3328" s="370"/>
      <c r="M3328" s="965"/>
      <c r="N3328" s="1343" t="s">
        <v>457</v>
      </c>
      <c r="O3328" s="966"/>
      <c r="P3328" s="843"/>
    </row>
    <row r="3329" spans="1:16" ht="18.75" customHeight="1">
      <c r="A3329" s="657">
        <f>IF(B3329="",MAX($A$8:A3328)+0,MAX($A$8:A3328)+1)</f>
        <v>401</v>
      </c>
      <c r="B3329" s="835" t="str">
        <f>IF(C3329="","",COUNTA($C$10:C3330))</f>
        <v/>
      </c>
      <c r="C3329" s="1396"/>
      <c r="D3329" s="1403"/>
      <c r="E3329" s="1404" t="s">
        <v>371</v>
      </c>
      <c r="F3329" s="848" t="s">
        <v>4571</v>
      </c>
      <c r="G3329" s="1396" t="s">
        <v>558</v>
      </c>
      <c r="H3329" s="1402">
        <v>1005</v>
      </c>
      <c r="I3329" s="848">
        <f>VLOOKUP(E3329,'11.gia '!$B:$I,8,FALSE)</f>
        <v>16754.075560000001</v>
      </c>
      <c r="J3329" s="811">
        <f>I3329*H3329</f>
        <v>16837845.937800001</v>
      </c>
      <c r="K3329" s="965"/>
      <c r="L3329" s="370"/>
      <c r="M3329" s="965"/>
      <c r="N3329" s="1343" t="s">
        <v>457</v>
      </c>
      <c r="O3329" s="966"/>
      <c r="P3329" s="843"/>
    </row>
    <row r="3330" spans="1:16" ht="18.75" customHeight="1">
      <c r="A3330" s="657">
        <f>IF(B3330="",MAX($A$8:A3329)+0,MAX($A$8:A3329)+1)</f>
        <v>401</v>
      </c>
      <c r="B3330" s="835" t="str">
        <f>IF(C3330="","",COUNTA($C$10:C3331))</f>
        <v/>
      </c>
      <c r="C3330" s="1396"/>
      <c r="D3330" s="1403"/>
      <c r="E3330" s="1404" t="s">
        <v>459</v>
      </c>
      <c r="F3330" s="848" t="s">
        <v>4303</v>
      </c>
      <c r="G3330" s="1396" t="s">
        <v>558</v>
      </c>
      <c r="H3330" s="1402">
        <v>21.42</v>
      </c>
      <c r="I3330" s="848">
        <f>VLOOKUP(E3330,'11.gia '!$B:$I,8,FALSE)</f>
        <v>17143</v>
      </c>
      <c r="J3330" s="811">
        <f>I3330*H3330</f>
        <v>367203.06000000006</v>
      </c>
      <c r="K3330" s="965"/>
      <c r="L3330" s="370"/>
      <c r="M3330" s="965"/>
      <c r="N3330" s="1343" t="s">
        <v>457</v>
      </c>
      <c r="O3330" s="966"/>
      <c r="P3330" s="843"/>
    </row>
    <row r="3331" spans="1:16" ht="18.75" customHeight="1">
      <c r="A3331" s="657">
        <f>IF(B3331="",MAX($A$8:A3330)+0,MAX($A$8:A3330)+1)</f>
        <v>401</v>
      </c>
      <c r="B3331" s="835" t="str">
        <f>IF(C3331="","",COUNTA($C$10:C3332))</f>
        <v/>
      </c>
      <c r="C3331" s="1396"/>
      <c r="D3331" s="1403"/>
      <c r="E3331" s="1404" t="s">
        <v>559</v>
      </c>
      <c r="F3331" s="848" t="s">
        <v>4478</v>
      </c>
      <c r="G3331" s="1396" t="s">
        <v>558</v>
      </c>
      <c r="H3331" s="1402"/>
      <c r="I3331" s="848">
        <f>VLOOKUP(E3331,'11.gia '!$B:$I,8,FALSE)</f>
        <v>19090.909090909088</v>
      </c>
      <c r="J3331" s="811">
        <f>I3331*H3331</f>
        <v>0</v>
      </c>
      <c r="K3331" s="965"/>
      <c r="L3331" s="370"/>
      <c r="M3331" s="965"/>
      <c r="N3331" s="1343" t="s">
        <v>457</v>
      </c>
      <c r="O3331" s="966"/>
      <c r="P3331" s="843"/>
    </row>
    <row r="3332" spans="1:16" ht="18.75" customHeight="1">
      <c r="A3332" s="657">
        <f>IF(B3332="",MAX($A$8:A3331)+0,MAX($A$8:A3331)+1)</f>
        <v>401</v>
      </c>
      <c r="B3332" s="835" t="str">
        <f>IF(C3332="","",COUNTA($C$10:C3333))</f>
        <v/>
      </c>
      <c r="C3332" s="1396"/>
      <c r="D3332" s="1400"/>
      <c r="E3332" s="1404" t="s">
        <v>2039</v>
      </c>
      <c r="F3332" s="848" t="s">
        <v>4076</v>
      </c>
      <c r="G3332" s="1396" t="s">
        <v>4899</v>
      </c>
      <c r="H3332" s="1402">
        <v>23.78</v>
      </c>
      <c r="I3332" s="848">
        <f>VLOOKUP(E3332,'16.NC'!$C$11:$F$22,4,FALSE)</f>
        <v>218927</v>
      </c>
      <c r="J3332" s="964">
        <f>I3332*H3332</f>
        <v>5206084.0600000005</v>
      </c>
      <c r="K3332" s="965"/>
      <c r="L3332" s="370"/>
      <c r="M3332" s="965"/>
      <c r="N3332" s="1343" t="s">
        <v>457</v>
      </c>
      <c r="O3332" s="966"/>
      <c r="P3332" s="843"/>
    </row>
    <row r="3333" spans="1:16" ht="18.75" customHeight="1">
      <c r="A3333" s="657">
        <f>IF(B3333="",MAX($A$8:A3332)+0,MAX($A$8:A3332)+1)</f>
        <v>401</v>
      </c>
      <c r="B3333" s="835" t="str">
        <f>IF(C3333="","",COUNTA($C$10:C3334))</f>
        <v/>
      </c>
      <c r="C3333" s="1396"/>
      <c r="D3333" s="1400"/>
      <c r="E3333" s="1404" t="s">
        <v>2033</v>
      </c>
      <c r="F3333" s="848" t="s">
        <v>4080</v>
      </c>
      <c r="G3333" s="1401"/>
      <c r="H3333" s="1402"/>
      <c r="I3333" s="810"/>
      <c r="J3333" s="816">
        <f>SUM(J3334:J3335)</f>
        <v>32116.740000000005</v>
      </c>
      <c r="K3333" s="965"/>
      <c r="L3333" s="370"/>
      <c r="M3333" s="965"/>
      <c r="N3333" s="1343" t="s">
        <v>457</v>
      </c>
      <c r="O3333" s="966"/>
      <c r="P3333" s="843"/>
    </row>
    <row r="3334" spans="1:16" ht="18.75" customHeight="1">
      <c r="A3334" s="657">
        <f>IF(B3334="",MAX($A$8:A3333)+0,MAX($A$8:A3333)+1)</f>
        <v>401</v>
      </c>
      <c r="B3334" s="835" t="str">
        <f>IF(C3334="","",COUNTA($C$10:C3335))</f>
        <v/>
      </c>
      <c r="C3334" s="1396"/>
      <c r="D3334" s="1403"/>
      <c r="E3334" s="1404" t="s">
        <v>560</v>
      </c>
      <c r="F3334" s="848" t="s">
        <v>4774</v>
      </c>
      <c r="G3334" s="1396" t="s">
        <v>4902</v>
      </c>
      <c r="H3334" s="1402"/>
      <c r="I3334" s="848">
        <f>VLOOKUP(E3334,'9.may'!E:W,12,FALSE)</f>
        <v>171649.155</v>
      </c>
      <c r="J3334" s="811">
        <f>I3334*H3334</f>
        <v>0</v>
      </c>
      <c r="K3334" s="965"/>
      <c r="L3334" s="370"/>
      <c r="M3334" s="965"/>
      <c r="N3334" s="1343" t="s">
        <v>457</v>
      </c>
      <c r="O3334" s="966"/>
      <c r="P3334" s="843"/>
    </row>
    <row r="3335" spans="1:16" ht="18.75" customHeight="1">
      <c r="A3335" s="657">
        <f>IF(B3335="",MAX($A$8:A3334)+0,MAX($A$8:A3334)+1)</f>
        <v>401</v>
      </c>
      <c r="B3335" s="835" t="str">
        <f>IF(C3335="","",COUNTA($C$10:C3336))</f>
        <v/>
      </c>
      <c r="C3335" s="1396"/>
      <c r="D3335" s="1403"/>
      <c r="E3335" s="1404" t="s">
        <v>1424</v>
      </c>
      <c r="F3335" s="848" t="s">
        <v>4427</v>
      </c>
      <c r="G3335" s="1396" t="s">
        <v>4902</v>
      </c>
      <c r="H3335" s="1402">
        <v>0.4</v>
      </c>
      <c r="I3335" s="848">
        <f>VLOOKUP(E3335,'9.may'!E:W,12,FALSE)</f>
        <v>80291.850000000006</v>
      </c>
      <c r="J3335" s="811">
        <f>I3335*H3335</f>
        <v>32116.740000000005</v>
      </c>
      <c r="K3335" s="965"/>
      <c r="L3335" s="370"/>
      <c r="M3335" s="965"/>
      <c r="N3335" s="1343" t="s">
        <v>457</v>
      </c>
      <c r="O3335" s="966"/>
      <c r="P3335" s="843"/>
    </row>
    <row r="3336" spans="1:16" ht="18.75" customHeight="1">
      <c r="A3336" s="657">
        <f>IF(B3336="",MAX($A$8:A3335)+0,MAX($A$8:A3335)+1)</f>
        <v>402</v>
      </c>
      <c r="B3336" s="835">
        <f>IF(C3336="","",COUNTA($C$10:C3337))</f>
        <v>402</v>
      </c>
      <c r="C3336" s="239">
        <v>3701</v>
      </c>
      <c r="D3336" s="1407" t="s">
        <v>5585</v>
      </c>
      <c r="E3336" s="808" t="s">
        <v>5586</v>
      </c>
      <c r="G3336" s="809" t="s">
        <v>545</v>
      </c>
      <c r="H3336" s="239"/>
      <c r="I3336" s="810"/>
      <c r="J3336" s="811"/>
      <c r="K3336" s="965">
        <f>J3337</f>
        <v>1927.107</v>
      </c>
      <c r="L3336" s="1411">
        <f>J3340</f>
        <v>1261.7984000000001</v>
      </c>
      <c r="M3336" s="965">
        <f>J3341</f>
        <v>7962.2995659277713</v>
      </c>
      <c r="N3336" s="1343" t="s">
        <v>457</v>
      </c>
      <c r="O3336" s="966"/>
      <c r="P3336" s="843"/>
    </row>
    <row r="3337" spans="1:16" ht="18.75" customHeight="1">
      <c r="A3337" s="657">
        <f>IF(B3337="",MAX($A$8:A3336)+0,MAX($A$8:A3336)+1)</f>
        <v>402</v>
      </c>
      <c r="B3337" s="835" t="str">
        <f>IF(C3337="","",COUNTA($C$10:C3338))</f>
        <v/>
      </c>
      <c r="C3337" s="239"/>
      <c r="D3337" s="1407"/>
      <c r="E3337" s="819" t="s">
        <v>2032</v>
      </c>
      <c r="G3337" s="704"/>
      <c r="H3337" s="239"/>
      <c r="I3337" s="810"/>
      <c r="J3337" s="816">
        <f>SUM(J3338:J3339)</f>
        <v>1927.107</v>
      </c>
      <c r="K3337" s="965"/>
      <c r="L3337" s="370"/>
      <c r="M3337" s="965"/>
      <c r="N3337" s="1343" t="s">
        <v>457</v>
      </c>
      <c r="O3337" s="966"/>
      <c r="P3337" s="843"/>
    </row>
    <row r="3338" spans="1:16" ht="18.75" customHeight="1">
      <c r="A3338" s="657">
        <f>IF(B3338="",MAX($A$8:A3337)+0,MAX($A$8:A3337)+1)</f>
        <v>402</v>
      </c>
      <c r="B3338" s="835" t="str">
        <f>IF(C3338="","",COUNTA($C$10:C3339))</f>
        <v/>
      </c>
      <c r="C3338" s="239"/>
      <c r="D3338" s="1408"/>
      <c r="E3338" s="662" t="s">
        <v>5587</v>
      </c>
      <c r="F3338" s="959" t="s">
        <v>5685</v>
      </c>
      <c r="G3338" s="704" t="s">
        <v>543</v>
      </c>
      <c r="H3338" s="815">
        <v>7.7999999999999996E-3</v>
      </c>
      <c r="I3338" s="848">
        <f>VLOOKUP(E3338,'[7]11.gia '!$B$1:$I$65536,8,FALSE)</f>
        <v>235300</v>
      </c>
      <c r="J3338" s="811">
        <f>I3338*H3338</f>
        <v>1835.34</v>
      </c>
      <c r="K3338" s="965"/>
      <c r="L3338" s="370"/>
      <c r="M3338" s="965"/>
      <c r="N3338" s="1343" t="s">
        <v>457</v>
      </c>
      <c r="O3338" s="966"/>
      <c r="P3338" s="843"/>
    </row>
    <row r="3339" spans="1:16" ht="18.75" customHeight="1">
      <c r="A3339" s="657">
        <f>IF(B3339="",MAX($A$8:A3338)+0,MAX($A$8:A3338)+1)</f>
        <v>402</v>
      </c>
      <c r="B3339" s="835" t="str">
        <f>IF(C3339="","",COUNTA($C$10:C3340))</f>
        <v/>
      </c>
      <c r="C3339" s="239"/>
      <c r="D3339" s="1407"/>
      <c r="E3339" s="819" t="s">
        <v>555</v>
      </c>
      <c r="G3339" s="704" t="s">
        <v>554</v>
      </c>
      <c r="H3339" s="1409">
        <v>5</v>
      </c>
      <c r="I3339" s="810">
        <f>+J3338</f>
        <v>1835.34</v>
      </c>
      <c r="J3339" s="811">
        <f>I3339*H3339%</f>
        <v>91.766999999999996</v>
      </c>
      <c r="K3339" s="965"/>
      <c r="L3339" s="370"/>
      <c r="M3339" s="965"/>
      <c r="N3339" s="1343" t="s">
        <v>457</v>
      </c>
      <c r="O3339" s="966"/>
      <c r="P3339" s="843"/>
    </row>
    <row r="3340" spans="1:16" ht="18.75" customHeight="1">
      <c r="A3340" s="657">
        <f>IF(B3340="",MAX($A$8:A3339)+0,MAX($A$8:A3339)+1)</f>
        <v>402</v>
      </c>
      <c r="B3340" s="835" t="str">
        <f>IF(C3340="","",COUNTA($C$10:C3341))</f>
        <v/>
      </c>
      <c r="C3340" s="1396"/>
      <c r="D3340" s="1400"/>
      <c r="E3340" s="1404" t="s">
        <v>2037</v>
      </c>
      <c r="G3340" s="1396" t="s">
        <v>4899</v>
      </c>
      <c r="H3340" s="1410">
        <v>6.4000000000000003E-3</v>
      </c>
      <c r="I3340" s="848">
        <f>VLOOKUP(E3340,'[7]16.NC'!$C$10:$F$21,4,FALSE)</f>
        <v>197156</v>
      </c>
      <c r="J3340" s="964">
        <f>I3340*H3340</f>
        <v>1261.7984000000001</v>
      </c>
      <c r="K3340" s="965"/>
      <c r="L3340" s="370"/>
      <c r="M3340" s="965"/>
      <c r="N3340" s="1343" t="s">
        <v>457</v>
      </c>
      <c r="O3340" s="966"/>
      <c r="P3340" s="843"/>
    </row>
    <row r="3341" spans="1:16" ht="18.75" customHeight="1">
      <c r="A3341" s="657">
        <f>IF(B3341="",MAX($A$8:A3340)+0,MAX($A$8:A3340)+1)</f>
        <v>402</v>
      </c>
      <c r="B3341" s="835" t="str">
        <f>IF(C3341="","",COUNTA($C$10:C3342))</f>
        <v/>
      </c>
      <c r="C3341" s="239"/>
      <c r="D3341" s="1407"/>
      <c r="E3341" s="819" t="s">
        <v>2033</v>
      </c>
      <c r="G3341" s="704"/>
      <c r="H3341" s="239"/>
      <c r="I3341" s="810"/>
      <c r="J3341" s="816">
        <f>SUM(J3342:J3344)</f>
        <v>7962.2995659277713</v>
      </c>
      <c r="K3341" s="965"/>
      <c r="L3341" s="370"/>
      <c r="M3341" s="965"/>
      <c r="N3341" s="1343" t="s">
        <v>457</v>
      </c>
      <c r="O3341" s="966"/>
      <c r="P3341" s="843"/>
    </row>
    <row r="3342" spans="1:16" ht="18.75" customHeight="1">
      <c r="A3342" s="657">
        <f>IF(B3342="",MAX($A$8:A3341)+0,MAX($A$8:A3341)+1)</f>
        <v>402</v>
      </c>
      <c r="B3342" s="835" t="str">
        <f>IF(C3342="","",COUNTA($C$10:C3343))</f>
        <v/>
      </c>
      <c r="C3342" s="239"/>
      <c r="D3342" s="1407"/>
      <c r="E3342" s="819" t="s">
        <v>5588</v>
      </c>
      <c r="G3342" s="704" t="s">
        <v>5493</v>
      </c>
      <c r="H3342" s="815">
        <v>1.16E-3</v>
      </c>
      <c r="I3342" s="848">
        <f>VLOOKUP(E3342,'[7]9.may'!D$1:V$65536,12,FALSE)</f>
        <v>2695253.1369863013</v>
      </c>
      <c r="J3342" s="811">
        <f>I3342*H3342</f>
        <v>3126.4936389041095</v>
      </c>
      <c r="K3342" s="965"/>
      <c r="L3342" s="370"/>
      <c r="M3342" s="965"/>
      <c r="N3342" s="1343" t="s">
        <v>457</v>
      </c>
      <c r="O3342" s="966"/>
      <c r="P3342" s="843"/>
    </row>
    <row r="3343" spans="1:16" ht="18.75" customHeight="1">
      <c r="A3343" s="657">
        <f>IF(B3343="",MAX($A$8:A3342)+0,MAX($A$8:A3342)+1)</f>
        <v>402</v>
      </c>
      <c r="B3343" s="835" t="str">
        <f>IF(C3343="","",COUNTA($C$10:C3344))</f>
        <v/>
      </c>
      <c r="C3343" s="239"/>
      <c r="D3343" s="1407"/>
      <c r="E3343" s="819" t="s">
        <v>5589</v>
      </c>
      <c r="G3343" s="704" t="s">
        <v>5493</v>
      </c>
      <c r="H3343" s="815">
        <v>1.16E-3</v>
      </c>
      <c r="I3343" s="848">
        <f>VLOOKUP(E3343,'[7]9.may'!D$1:V$65536,12,FALSE)</f>
        <v>3114186.5006226646</v>
      </c>
      <c r="J3343" s="811">
        <f>I3343*H3343</f>
        <v>3612.4563407222909</v>
      </c>
      <c r="K3343" s="965"/>
      <c r="L3343" s="370"/>
      <c r="M3343" s="965"/>
      <c r="N3343" s="1343" t="s">
        <v>457</v>
      </c>
      <c r="O3343" s="966"/>
      <c r="P3343" s="843"/>
    </row>
    <row r="3344" spans="1:16" ht="18.75" customHeight="1">
      <c r="A3344" s="657">
        <f>IF(B3344="",MAX($A$8:A3343)+0,MAX($A$8:A3343)+1)</f>
        <v>402</v>
      </c>
      <c r="B3344" s="835" t="str">
        <f>IF(C3344="","",COUNTA($C$10:C3345))</f>
        <v/>
      </c>
      <c r="C3344" s="239"/>
      <c r="D3344" s="1407"/>
      <c r="E3344" s="819" t="s">
        <v>5590</v>
      </c>
      <c r="G3344" s="704" t="s">
        <v>5493</v>
      </c>
      <c r="H3344" s="815">
        <v>1.16E-3</v>
      </c>
      <c r="I3344" s="848">
        <f>VLOOKUP(E3344,'[7]9.may'!D$1:V$65536,12,FALSE)</f>
        <v>1054611.7123287672</v>
      </c>
      <c r="J3344" s="811">
        <f>I3344*H3344</f>
        <v>1223.34958630137</v>
      </c>
      <c r="K3344" s="965"/>
      <c r="L3344" s="370"/>
      <c r="M3344" s="965"/>
      <c r="N3344" s="1343" t="s">
        <v>457</v>
      </c>
      <c r="O3344" s="966"/>
      <c r="P3344" s="843"/>
    </row>
    <row r="3345" spans="1:16" ht="15" customHeight="1">
      <c r="A3345" s="657">
        <f>IF(B3345="",MAX($A$8:A3344)+0,MAX($A$8:A3344)+1)</f>
        <v>403</v>
      </c>
      <c r="B3345" s="835">
        <f>IF(C3345="","",COUNTA($C$10:C3345))</f>
        <v>403</v>
      </c>
      <c r="C3345" s="835">
        <f>IF(D3345="","",1776)</f>
        <v>1776</v>
      </c>
      <c r="D3345" s="851" t="s">
        <v>5608</v>
      </c>
      <c r="E3345" s="870" t="s">
        <v>5609</v>
      </c>
      <c r="F3345" s="1049" t="e">
        <f>VLOOKUP(E3345,DICH!B:C,2,FALSE)</f>
        <v>#N/A</v>
      </c>
      <c r="G3345" s="856" t="s">
        <v>557</v>
      </c>
      <c r="H3345" s="847"/>
      <c r="I3345" s="848"/>
      <c r="J3345" s="853"/>
      <c r="M3345" s="842">
        <f>+J3346</f>
        <v>7599.580961079545</v>
      </c>
      <c r="N3345" s="843" t="s">
        <v>457</v>
      </c>
      <c r="O3345" s="844"/>
      <c r="P3345" s="843" t="s">
        <v>457</v>
      </c>
    </row>
    <row r="3346" spans="1:16" s="658" customFormat="1" ht="15" customHeight="1">
      <c r="A3346" s="657">
        <f>IF(B3346="",MAX($A$8:A3345)+0,MAX($A$8:A3345)+1)</f>
        <v>403</v>
      </c>
      <c r="B3346" s="835" t="str">
        <f>IF(C3346="","",COUNTA($C$10:C3346))</f>
        <v/>
      </c>
      <c r="C3346" s="362"/>
      <c r="D3346" s="845"/>
      <c r="E3346" s="852" t="s">
        <v>2033</v>
      </c>
      <c r="F3346" s="848" t="str">
        <f>VLOOKUP(E3346,DICH!B:C,2,FALSE)</f>
        <v xml:space="preserve">  C - Machine</v>
      </c>
      <c r="G3346" s="846"/>
      <c r="H3346" s="847"/>
      <c r="I3346" s="848"/>
      <c r="J3346" s="849">
        <f>SUM(J3347:J3347)</f>
        <v>7599.580961079545</v>
      </c>
      <c r="K3346" s="850"/>
      <c r="L3346" s="850"/>
      <c r="M3346" s="850"/>
      <c r="N3346" s="843" t="s">
        <v>457</v>
      </c>
      <c r="O3346" s="844"/>
      <c r="P3346" s="843" t="s">
        <v>457</v>
      </c>
    </row>
    <row r="3347" spans="1:16" ht="15" customHeight="1">
      <c r="A3347" s="657">
        <f>IF(B3347="",MAX($A$8:A3346)+0,MAX($A$8:A3346)+1)</f>
        <v>403</v>
      </c>
      <c r="B3347" s="835" t="str">
        <f>IF(C3347="","",COUNTA($C$10:C3348))</f>
        <v/>
      </c>
      <c r="C3347" s="362"/>
      <c r="D3347" s="851"/>
      <c r="E3347" s="435" t="s">
        <v>923</v>
      </c>
      <c r="F3347" s="848" t="str">
        <f>VLOOKUP(E3347,'9.may'!E:F,2,FALSE)</f>
        <v>dump truck 10T</v>
      </c>
      <c r="G3347" s="362" t="s">
        <v>4902</v>
      </c>
      <c r="H3347" s="847">
        <f>0.975/2.4/100</f>
        <v>4.0625000000000001E-3</v>
      </c>
      <c r="I3347" s="848">
        <f>VLOOKUP(E3347,'9.may'!E:W,12,FALSE)</f>
        <v>1870666.0827272725</v>
      </c>
      <c r="J3347" s="853">
        <f>I3347*H3347</f>
        <v>7599.580961079545</v>
      </c>
      <c r="N3347" s="843" t="s">
        <v>457</v>
      </c>
      <c r="O3347" s="844"/>
      <c r="P3347" s="843" t="s">
        <v>457</v>
      </c>
    </row>
    <row r="3348" spans="1:16" ht="18.75" customHeight="1">
      <c r="A3348" s="657">
        <f>IF(B3348="",MAX($A$8:A3347)+0,MAX($A$8:A3347)+1)</f>
        <v>403</v>
      </c>
      <c r="B3348" s="835" t="str">
        <f>IF(C3348="","",COUNTA($C$10:C3349))</f>
        <v/>
      </c>
      <c r="K3348" s="965"/>
      <c r="L3348" s="370"/>
      <c r="M3348" s="965"/>
      <c r="N3348" s="1343" t="s">
        <v>457</v>
      </c>
      <c r="O3348" s="966"/>
      <c r="P3348" s="843"/>
    </row>
    <row r="3349" spans="1:16" ht="18.75" customHeight="1">
      <c r="A3349" s="657">
        <f>IF(B3349="",MAX($A$8:A3348)+0,MAX($A$8:A3348)+1)</f>
        <v>403</v>
      </c>
      <c r="B3349" s="835" t="str">
        <f>IF(C3349="","",COUNTA($C$10:C3350))</f>
        <v/>
      </c>
      <c r="K3349" s="965"/>
      <c r="L3349" s="370"/>
      <c r="M3349" s="965"/>
      <c r="N3349" s="1343" t="s">
        <v>457</v>
      </c>
      <c r="O3349" s="966"/>
      <c r="P3349" s="843"/>
    </row>
    <row r="3350" spans="1:16" ht="18.75" customHeight="1">
      <c r="A3350" s="657">
        <f>IF(B3350="",MAX($A$8:A3349)+0,MAX($A$8:A3349)+1)</f>
        <v>403</v>
      </c>
      <c r="B3350" s="835" t="str">
        <f>IF(C3350="","",COUNTA($C$10:C3351))</f>
        <v/>
      </c>
      <c r="K3350" s="965"/>
      <c r="L3350" s="370"/>
      <c r="M3350" s="965"/>
      <c r="N3350" s="1343" t="s">
        <v>457</v>
      </c>
      <c r="O3350" s="966"/>
      <c r="P3350" s="843"/>
    </row>
    <row r="3351" spans="1:16" ht="18.75" customHeight="1">
      <c r="A3351" s="657">
        <f>IF(B3351="",MAX($A$8:A3350)+0,MAX($A$8:A3350)+1)</f>
        <v>403</v>
      </c>
      <c r="B3351" s="835" t="str">
        <f>IF(C3351="","",COUNTA($C$10:C3352))</f>
        <v/>
      </c>
      <c r="K3351" s="965"/>
      <c r="L3351" s="370"/>
      <c r="M3351" s="965"/>
      <c r="N3351" s="1343" t="s">
        <v>457</v>
      </c>
      <c r="O3351" s="966"/>
      <c r="P3351" s="843"/>
    </row>
    <row r="3352" spans="1:16" ht="18.75" customHeight="1">
      <c r="A3352" s="657">
        <f>IF(B3352="",MAX($A$8:A3351)+0,MAX($A$8:A3351)+1)</f>
        <v>403</v>
      </c>
      <c r="B3352" s="835" t="str">
        <f>IF(C3352="","",COUNTA($C$10:C3353))</f>
        <v/>
      </c>
      <c r="K3352" s="965"/>
      <c r="L3352" s="370"/>
      <c r="M3352" s="965"/>
      <c r="N3352" s="1343" t="s">
        <v>457</v>
      </c>
      <c r="O3352" s="966"/>
      <c r="P3352" s="843"/>
    </row>
    <row r="3353" spans="1:16" ht="18.75" customHeight="1">
      <c r="A3353" s="657">
        <f>IF(B3353="",MAX($A$8:A3352)+0,MAX($A$8:A3352)+1)</f>
        <v>403</v>
      </c>
      <c r="B3353" s="835" t="str">
        <f>IF(C3353="","",COUNTA($C$10:C3354))</f>
        <v/>
      </c>
      <c r="K3353" s="965"/>
      <c r="L3353" s="370"/>
      <c r="M3353" s="965"/>
      <c r="N3353" s="1343" t="s">
        <v>457</v>
      </c>
      <c r="O3353" s="966"/>
      <c r="P3353" s="843"/>
    </row>
    <row r="3354" spans="1:16" ht="18.75" customHeight="1">
      <c r="A3354" s="657">
        <f>IF(B3354="",MAX($A$8:A3353)+0,MAX($A$8:A3353)+1)</f>
        <v>403</v>
      </c>
      <c r="B3354" s="835" t="str">
        <f>IF(C3354="","",COUNTA($C$10:C3355))</f>
        <v/>
      </c>
      <c r="K3354" s="965"/>
      <c r="L3354" s="370"/>
      <c r="M3354" s="965"/>
      <c r="N3354" s="1343" t="s">
        <v>457</v>
      </c>
      <c r="O3354" s="966"/>
      <c r="P3354" s="843"/>
    </row>
    <row r="3355" spans="1:16" ht="18.75" customHeight="1">
      <c r="A3355" s="657">
        <f>IF(B3355="",MAX($A$8:A3354)+0,MAX($A$8:A3354)+1)</f>
        <v>403</v>
      </c>
      <c r="B3355" s="835" t="str">
        <f>IF(C3355="","",COUNTA($C$10:C3356))</f>
        <v/>
      </c>
      <c r="K3355" s="965"/>
      <c r="L3355" s="370"/>
      <c r="M3355" s="965"/>
      <c r="N3355" s="1343" t="s">
        <v>457</v>
      </c>
      <c r="O3355" s="966"/>
      <c r="P3355" s="843"/>
    </row>
    <row r="3356" spans="1:16" ht="18.75" customHeight="1">
      <c r="A3356" s="657">
        <f>IF(B3356="",MAX($A$8:A3355)+0,MAX($A$8:A3355)+1)</f>
        <v>403</v>
      </c>
      <c r="B3356" s="835" t="str">
        <f>IF(C3356="","",COUNTA($C$10:C3357))</f>
        <v/>
      </c>
      <c r="K3356" s="965"/>
      <c r="L3356" s="370"/>
      <c r="M3356" s="965"/>
      <c r="N3356" s="1343" t="s">
        <v>457</v>
      </c>
      <c r="O3356" s="966"/>
      <c r="P3356" s="843"/>
    </row>
    <row r="3357" spans="1:16" ht="18.75" customHeight="1">
      <c r="A3357" s="657">
        <f>IF(B3357="",MAX($A$8:A3356)+0,MAX($A$8:A3356)+1)</f>
        <v>403</v>
      </c>
      <c r="B3357" s="835" t="str">
        <f>IF(C3357="","",COUNTA($C$10:C3358))</f>
        <v/>
      </c>
      <c r="K3357" s="965"/>
      <c r="L3357" s="370"/>
      <c r="M3357" s="965"/>
      <c r="N3357" s="1343" t="s">
        <v>457</v>
      </c>
      <c r="O3357" s="966"/>
      <c r="P3357" s="843"/>
    </row>
    <row r="3358" spans="1:16" ht="18.75" customHeight="1">
      <c r="A3358" s="657">
        <f>IF(B3358="",MAX($A$8:A3357)+0,MAX($A$8:A3357)+1)</f>
        <v>403</v>
      </c>
      <c r="B3358" s="835" t="str">
        <f>IF(C3358="","",COUNTA($C$10:C3359))</f>
        <v/>
      </c>
      <c r="K3358" s="965"/>
      <c r="L3358" s="370"/>
      <c r="M3358" s="965"/>
      <c r="N3358" s="1343" t="s">
        <v>457</v>
      </c>
      <c r="O3358" s="966"/>
      <c r="P3358" s="843"/>
    </row>
    <row r="3359" spans="1:16" ht="18.75" customHeight="1">
      <c r="A3359" s="657">
        <f>IF(B3359="",MAX($A$8:A3358)+0,MAX($A$8:A3358)+1)</f>
        <v>403</v>
      </c>
      <c r="B3359" s="835" t="str">
        <f>IF(C3359="","",COUNTA($C$10:C3360))</f>
        <v/>
      </c>
      <c r="K3359" s="965"/>
      <c r="L3359" s="370"/>
      <c r="M3359" s="965"/>
      <c r="N3359" s="1343" t="s">
        <v>457</v>
      </c>
      <c r="O3359" s="966"/>
      <c r="P3359" s="843"/>
    </row>
    <row r="3360" spans="1:16" ht="18.75" customHeight="1">
      <c r="A3360" s="657">
        <f>IF(B3360="",MAX($A$8:A3359)+0,MAX($A$8:A3359)+1)</f>
        <v>403</v>
      </c>
      <c r="B3360" s="835" t="str">
        <f>IF(C3360="","",COUNTA($C$10:C3361))</f>
        <v/>
      </c>
    </row>
    <row r="3361" spans="1:2" ht="18.75" customHeight="1">
      <c r="A3361" s="657">
        <f>IF(B3361="",MAX($A$8:A3360)+0,MAX($A$8:A3360)+1)</f>
        <v>403</v>
      </c>
      <c r="B3361" s="835" t="str">
        <f>IF(C3361="","",COUNTA($C$10:C3362))</f>
        <v/>
      </c>
    </row>
    <row r="3362" spans="1:2" ht="18.75" customHeight="1">
      <c r="A3362" s="657">
        <f>IF(B3362="",MAX($A$8:A3361)+0,MAX($A$8:A3361)+1)</f>
        <v>403</v>
      </c>
      <c r="B3362" s="835" t="str">
        <f>IF(C3362="","",COUNTA($C$10:C3363))</f>
        <v/>
      </c>
    </row>
    <row r="3363" spans="1:2" ht="18.75" customHeight="1">
      <c r="A3363" s="657">
        <f>IF(B3363="",MAX($A$8:A3362)+0,MAX($A$8:A3362)+1)</f>
        <v>403</v>
      </c>
      <c r="B3363" s="835" t="str">
        <f>IF(C3363="","",COUNTA($C$10:C3364))</f>
        <v/>
      </c>
    </row>
    <row r="3364" spans="1:2" ht="18.75" customHeight="1">
      <c r="A3364" s="657">
        <f>IF(B3364="",MAX($A$8:A3363)+0,MAX($A$8:A3363)+1)</f>
        <v>403</v>
      </c>
      <c r="B3364" s="835" t="str">
        <f>IF(C3364="","",COUNTA($C$10:C3365))</f>
        <v/>
      </c>
    </row>
    <row r="3365" spans="1:2" ht="18.75" customHeight="1">
      <c r="A3365" s="657">
        <f>IF(B3365="",MAX($A$8:A3364)+0,MAX($A$8:A3364)+1)</f>
        <v>403</v>
      </c>
      <c r="B3365" s="835" t="str">
        <f>IF(C3365="","",COUNTA($C$10:C3366))</f>
        <v/>
      </c>
    </row>
    <row r="3366" spans="1:2" ht="18.75" customHeight="1">
      <c r="A3366" s="657">
        <f>IF(B3366="",MAX($A$8:A3365)+0,MAX($A$8:A3365)+1)</f>
        <v>403</v>
      </c>
      <c r="B3366" s="835" t="str">
        <f>IF(C3366="","",COUNTA($C$10:C3367))</f>
        <v/>
      </c>
    </row>
    <row r="3367" spans="1:2" ht="18.75" customHeight="1">
      <c r="A3367" s="657">
        <f>IF(B3367="",MAX($A$8:A3366)+0,MAX($A$8:A3366)+1)</f>
        <v>403</v>
      </c>
      <c r="B3367" s="835" t="str">
        <f>IF(C3367="","",COUNTA($C$10:C3368))</f>
        <v/>
      </c>
    </row>
    <row r="3368" spans="1:2" ht="18.75" customHeight="1">
      <c r="A3368" s="657">
        <f>IF(B3368="",MAX($A$8:A3367)+0,MAX($A$8:A3367)+1)</f>
        <v>403</v>
      </c>
      <c r="B3368" s="835" t="str">
        <f>IF(C3368="","",COUNTA($C$10:C3369))</f>
        <v/>
      </c>
    </row>
    <row r="3369" spans="1:2" ht="18.75" customHeight="1">
      <c r="A3369" s="657">
        <f>IF(B3369="",MAX($A$8:A3368)+0,MAX($A$8:A3368)+1)</f>
        <v>403</v>
      </c>
      <c r="B3369" s="835" t="str">
        <f>IF(C3369="","",COUNTA($C$10:C3370))</f>
        <v/>
      </c>
    </row>
    <row r="3370" spans="1:2" ht="18.75" customHeight="1">
      <c r="A3370" s="657">
        <f>IF(B3370="",MAX($A$8:A3369)+0,MAX($A$8:A3369)+1)</f>
        <v>403</v>
      </c>
      <c r="B3370" s="835" t="str">
        <f>IF(C3370="","",COUNTA($C$10:C3371))</f>
        <v/>
      </c>
    </row>
    <row r="3371" spans="1:2" ht="18.75" customHeight="1">
      <c r="A3371" s="657">
        <f>IF(B3371="",MAX($A$8:A3370)+0,MAX($A$8:A3370)+1)</f>
        <v>403</v>
      </c>
      <c r="B3371" s="835" t="str">
        <f>IF(C3371="","",COUNTA($C$10:C3372))</f>
        <v/>
      </c>
    </row>
    <row r="3372" spans="1:2" ht="18.75" customHeight="1">
      <c r="A3372" s="657">
        <f>IF(B3372="",MAX($A$8:A3371)+0,MAX($A$8:A3371)+1)</f>
        <v>403</v>
      </c>
      <c r="B3372" s="835" t="str">
        <f>IF(C3372="","",COUNTA($C$10:C3373))</f>
        <v/>
      </c>
    </row>
    <row r="3373" spans="1:2" ht="18.75" customHeight="1">
      <c r="A3373" s="657">
        <f>IF(B3373="",MAX($A$8:A3372)+0,MAX($A$8:A3372)+1)</f>
        <v>403</v>
      </c>
      <c r="B3373" s="835" t="str">
        <f>IF(C3373="","",COUNTA($C$10:C3374))</f>
        <v/>
      </c>
    </row>
    <row r="3374" spans="1:2" ht="18.75" customHeight="1">
      <c r="A3374" s="657">
        <f>IF(B3374="",MAX($A$8:A3373)+0,MAX($A$8:A3373)+1)</f>
        <v>403</v>
      </c>
      <c r="B3374" s="835" t="str">
        <f>IF(C3374="","",COUNTA($C$10:C3375))</f>
        <v/>
      </c>
    </row>
    <row r="3375" spans="1:2" ht="18.75" customHeight="1">
      <c r="A3375" s="657">
        <f>IF(B3375="",MAX($A$8:A3374)+0,MAX($A$8:A3374)+1)</f>
        <v>403</v>
      </c>
      <c r="B3375" s="835" t="str">
        <f>IF(C3375="","",COUNTA($C$10:C3376))</f>
        <v/>
      </c>
    </row>
    <row r="3376" spans="1:2" ht="18.75" customHeight="1">
      <c r="A3376" s="657">
        <f>IF(B3376="",MAX($A$8:A3375)+0,MAX($A$8:A3375)+1)</f>
        <v>403</v>
      </c>
      <c r="B3376" s="835" t="str">
        <f>IF(C3376="","",COUNTA($C$10:C3377))</f>
        <v/>
      </c>
    </row>
    <row r="3377" spans="1:2" ht="18.75" customHeight="1">
      <c r="A3377" s="657">
        <f>IF(B3377="",MAX($A$8:A3376)+0,MAX($A$8:A3376)+1)</f>
        <v>403</v>
      </c>
      <c r="B3377" s="835" t="str">
        <f>IF(C3377="","",COUNTA($C$10:C3378))</f>
        <v/>
      </c>
    </row>
    <row r="3378" spans="1:2" ht="18.75" customHeight="1">
      <c r="A3378" s="657">
        <f>IF(B3378="",MAX($A$8:A3377)+0,MAX($A$8:A3377)+1)</f>
        <v>403</v>
      </c>
      <c r="B3378" s="835" t="str">
        <f>IF(C3378="","",COUNTA($C$10:C3379))</f>
        <v/>
      </c>
    </row>
    <row r="3379" spans="1:2" ht="18.75" customHeight="1">
      <c r="A3379" s="657">
        <f>IF(B3379="",MAX($A$8:A3378)+0,MAX($A$8:A3378)+1)</f>
        <v>403</v>
      </c>
      <c r="B3379" s="835" t="str">
        <f>IF(C3379="","",COUNTA($C$10:C3380))</f>
        <v/>
      </c>
    </row>
    <row r="3380" spans="1:2" ht="18.75" customHeight="1">
      <c r="A3380" s="657">
        <f>IF(B3380="",MAX($A$8:A3379)+0,MAX($A$8:A3379)+1)</f>
        <v>403</v>
      </c>
      <c r="B3380" s="835" t="str">
        <f>IF(C3380="","",COUNTA($C$10:C3381))</f>
        <v/>
      </c>
    </row>
    <row r="3381" spans="1:2" ht="18.75" customHeight="1">
      <c r="A3381" s="657">
        <f>IF(B3381="",MAX($A$8:A3380)+0,MAX($A$8:A3380)+1)</f>
        <v>403</v>
      </c>
      <c r="B3381" s="835" t="str">
        <f>IF(C3381="","",COUNTA($C$10:C3382))</f>
        <v/>
      </c>
    </row>
    <row r="3382" spans="1:2" ht="18.75" customHeight="1">
      <c r="A3382" s="657">
        <f>IF(B3382="",MAX($A$8:A3381)+0,MAX($A$8:A3381)+1)</f>
        <v>403</v>
      </c>
      <c r="B3382" s="835" t="str">
        <f>IF(C3382="","",COUNTA($C$10:C3383))</f>
        <v/>
      </c>
    </row>
    <row r="3383" spans="1:2" ht="18.75" customHeight="1">
      <c r="A3383" s="657">
        <f>IF(B3383="",MAX($A$8:A3382)+0,MAX($A$8:A3382)+1)</f>
        <v>403</v>
      </c>
      <c r="B3383" s="835" t="str">
        <f>IF(C3383="","",COUNTA($C$10:C3384))</f>
        <v/>
      </c>
    </row>
    <row r="3384" spans="1:2" ht="18.75" customHeight="1">
      <c r="A3384" s="657">
        <f>IF(B3384="",MAX($A$8:A3383)+0,MAX($A$8:A3383)+1)</f>
        <v>403</v>
      </c>
      <c r="B3384" s="835" t="str">
        <f>IF(C3384="","",COUNTA($C$10:C3385))</f>
        <v/>
      </c>
    </row>
    <row r="3385" spans="1:2" ht="18.75" customHeight="1">
      <c r="A3385" s="657">
        <f>IF(B3385="",MAX($A$8:A3384)+0,MAX($A$8:A3384)+1)</f>
        <v>403</v>
      </c>
      <c r="B3385" s="835" t="str">
        <f>IF(C3385="","",COUNTA($C$10:C3386))</f>
        <v/>
      </c>
    </row>
    <row r="3386" spans="1:2" ht="18.75" customHeight="1">
      <c r="A3386" s="657">
        <f>IF(B3386="",MAX($A$8:A3385)+0,MAX($A$8:A3385)+1)</f>
        <v>403</v>
      </c>
      <c r="B3386" s="835" t="str">
        <f>IF(C3386="","",COUNTA($C$10:C3387))</f>
        <v/>
      </c>
    </row>
    <row r="3387" spans="1:2" ht="18.75" customHeight="1">
      <c r="A3387" s="657">
        <f>IF(B3387="",MAX($A$8:A3386)+0,MAX($A$8:A3386)+1)</f>
        <v>403</v>
      </c>
      <c r="B3387" s="835" t="str">
        <f>IF(C3387="","",COUNTA($C$10:C3388))</f>
        <v/>
      </c>
    </row>
    <row r="3388" spans="1:2" ht="18.75" customHeight="1">
      <c r="A3388" s="657">
        <f>IF(B3388="",MAX($A$8:A3387)+0,MAX($A$8:A3387)+1)</f>
        <v>403</v>
      </c>
      <c r="B3388" s="835" t="str">
        <f>IF(C3388="","",COUNTA($C$10:C3389))</f>
        <v/>
      </c>
    </row>
    <row r="3389" spans="1:2" ht="18.75" customHeight="1">
      <c r="A3389" s="657">
        <f>IF(B3389="",MAX($A$8:A3388)+0,MAX($A$8:A3388)+1)</f>
        <v>403</v>
      </c>
      <c r="B3389" s="835" t="str">
        <f>IF(C3389="","",COUNTA($C$10:C3390))</f>
        <v/>
      </c>
    </row>
    <row r="3390" spans="1:2" ht="18.75" customHeight="1">
      <c r="A3390" s="657">
        <f>IF(B3390="",MAX($A$8:A3389)+0,MAX($A$8:A3389)+1)</f>
        <v>403</v>
      </c>
      <c r="B3390" s="835" t="str">
        <f>IF(C3390="","",COUNTA($C$10:C3391))</f>
        <v/>
      </c>
    </row>
    <row r="3391" spans="1:2" ht="18.75" customHeight="1">
      <c r="A3391" s="657">
        <f>IF(B3391="",MAX($A$8:A3390)+0,MAX($A$8:A3390)+1)</f>
        <v>403</v>
      </c>
      <c r="B3391" s="835" t="str">
        <f>IF(C3391="","",COUNTA($C$10:C3392))</f>
        <v/>
      </c>
    </row>
    <row r="3392" spans="1:2" ht="18.75" customHeight="1">
      <c r="A3392" s="657">
        <f>IF(B3392="",MAX($A$8:A3391)+0,MAX($A$8:A3391)+1)</f>
        <v>403</v>
      </c>
      <c r="B3392" s="835" t="str">
        <f>IF(C3392="","",COUNTA($C$10:C3393))</f>
        <v/>
      </c>
    </row>
    <row r="3393" spans="1:2" ht="18.75" customHeight="1">
      <c r="A3393" s="657">
        <f>IF(B3393="",MAX($A$8:A3392)+0,MAX($A$8:A3392)+1)</f>
        <v>403</v>
      </c>
      <c r="B3393" s="835" t="str">
        <f>IF(C3393="","",COUNTA($C$10:C3394))</f>
        <v/>
      </c>
    </row>
    <row r="3394" spans="1:2" ht="18.75" customHeight="1">
      <c r="A3394" s="657">
        <f>IF(B3394="",MAX($A$8:A3393)+0,MAX($A$8:A3393)+1)</f>
        <v>403</v>
      </c>
      <c r="B3394" s="835" t="str">
        <f>IF(C3394="","",COUNTA($C$10:C3395))</f>
        <v/>
      </c>
    </row>
    <row r="3395" spans="1:2" ht="18.75" customHeight="1">
      <c r="A3395" s="657">
        <f>IF(B3395="",MAX($A$8:A3394)+0,MAX($A$8:A3394)+1)</f>
        <v>403</v>
      </c>
      <c r="B3395" s="835" t="str">
        <f>IF(C3395="","",COUNTA($C$10:C3396))</f>
        <v/>
      </c>
    </row>
    <row r="3396" spans="1:2" ht="18.75" customHeight="1">
      <c r="A3396" s="657">
        <f>IF(B3396="",MAX($A$8:A3395)+0,MAX($A$8:A3395)+1)</f>
        <v>403</v>
      </c>
      <c r="B3396" s="835" t="str">
        <f>IF(C3396="","",COUNTA($C$10:C3397))</f>
        <v/>
      </c>
    </row>
    <row r="3397" spans="1:2" ht="18.75" customHeight="1">
      <c r="A3397" s="657">
        <f>IF(B3397="",MAX($A$8:A3396)+0,MAX($A$8:A3396)+1)</f>
        <v>403</v>
      </c>
      <c r="B3397" s="835" t="str">
        <f>IF(C3397="","",COUNTA($C$10:C3398))</f>
        <v/>
      </c>
    </row>
    <row r="3398" spans="1:2" ht="18.75" customHeight="1">
      <c r="A3398" s="657">
        <f>IF(B3398="",MAX($A$8:A3397)+0,MAX($A$8:A3397)+1)</f>
        <v>403</v>
      </c>
      <c r="B3398" s="835" t="str">
        <f>IF(C3398="","",COUNTA($C$10:C3399))</f>
        <v/>
      </c>
    </row>
    <row r="3399" spans="1:2" ht="18.75" customHeight="1">
      <c r="A3399" s="657">
        <f>IF(B3399="",MAX($A$8:A3398)+0,MAX($A$8:A3398)+1)</f>
        <v>403</v>
      </c>
      <c r="B3399" s="835" t="str">
        <f>IF(C3399="","",COUNTA($C$10:C3400))</f>
        <v/>
      </c>
    </row>
    <row r="3400" spans="1:2" ht="18.75" customHeight="1">
      <c r="A3400" s="657">
        <f>IF(B3400="",MAX($A$8:A3399)+0,MAX($A$8:A3399)+1)</f>
        <v>403</v>
      </c>
      <c r="B3400" s="835" t="str">
        <f>IF(C3400="","",COUNTA($C$10:C3401))</f>
        <v/>
      </c>
    </row>
    <row r="3401" spans="1:2" ht="18.75" customHeight="1">
      <c r="A3401" s="657">
        <f>IF(B3401="",MAX($A$8:A3400)+0,MAX($A$8:A3400)+1)</f>
        <v>403</v>
      </c>
      <c r="B3401" s="835" t="str">
        <f>IF(C3401="","",COUNTA($C$10:C3402))</f>
        <v/>
      </c>
    </row>
    <row r="3402" spans="1:2" ht="18.75" customHeight="1">
      <c r="A3402" s="657">
        <f>IF(B3402="",MAX($A$8:A3401)+0,MAX($A$8:A3401)+1)</f>
        <v>403</v>
      </c>
      <c r="B3402" s="835" t="str">
        <f>IF(C3402="","",COUNTA($C$10:C3403))</f>
        <v/>
      </c>
    </row>
    <row r="3403" spans="1:2" ht="18.75" customHeight="1">
      <c r="A3403" s="657">
        <f>IF(B3403="",MAX($A$8:A3402)+0,MAX($A$8:A3402)+1)</f>
        <v>403</v>
      </c>
      <c r="B3403" s="835" t="str">
        <f>IF(C3403="","",COUNTA($C$10:C3404))</f>
        <v/>
      </c>
    </row>
    <row r="3404" spans="1:2" ht="18.75" customHeight="1">
      <c r="A3404" s="657">
        <f>IF(B3404="",MAX($A$8:A3403)+0,MAX($A$8:A3403)+1)</f>
        <v>403</v>
      </c>
      <c r="B3404" s="835" t="str">
        <f>IF(C3404="","",COUNTA($C$10:C3405))</f>
        <v/>
      </c>
    </row>
    <row r="3405" spans="1:2" ht="18.75" customHeight="1">
      <c r="A3405" s="657">
        <f>IF(B3405="",MAX($A$8:A3404)+0,MAX($A$8:A3404)+1)</f>
        <v>403</v>
      </c>
      <c r="B3405" s="835" t="str">
        <f>IF(C3405="","",COUNTA($C$10:C3406))</f>
        <v/>
      </c>
    </row>
    <row r="3406" spans="1:2" ht="18.75" customHeight="1">
      <c r="A3406" s="657">
        <f>IF(B3406="",MAX($A$8:A3405)+0,MAX($A$8:A3405)+1)</f>
        <v>403</v>
      </c>
      <c r="B3406" s="835" t="str">
        <f>IF(C3406="","",COUNTA($C$10:C3407))</f>
        <v/>
      </c>
    </row>
    <row r="3407" spans="1:2" ht="18.75" customHeight="1">
      <c r="A3407" s="657">
        <f>IF(B3407="",MAX($A$8:A3406)+0,MAX($A$8:A3406)+1)</f>
        <v>403</v>
      </c>
      <c r="B3407" s="835" t="str">
        <f>IF(C3407="","",COUNTA($C$10:C3408))</f>
        <v/>
      </c>
    </row>
    <row r="3408" spans="1:2" ht="18.75" customHeight="1">
      <c r="A3408" s="657">
        <f>IF(B3408="",MAX($A$8:A3407)+0,MAX($A$8:A3407)+1)</f>
        <v>403</v>
      </c>
      <c r="B3408" s="835" t="str">
        <f>IF(C3408="","",COUNTA($C$10:C3409))</f>
        <v/>
      </c>
    </row>
    <row r="3409" spans="1:2" ht="18.75" customHeight="1">
      <c r="A3409" s="657">
        <f>IF(B3409="",MAX($A$8:A3408)+0,MAX($A$8:A3408)+1)</f>
        <v>403</v>
      </c>
      <c r="B3409" s="835" t="str">
        <f>IF(C3409="","",COUNTA($C$10:C3410))</f>
        <v/>
      </c>
    </row>
    <row r="3410" spans="1:2" ht="18.75" customHeight="1">
      <c r="A3410" s="657">
        <f>IF(B3410="",MAX($A$8:A3409)+0,MAX($A$8:A3409)+1)</f>
        <v>403</v>
      </c>
      <c r="B3410" s="835" t="str">
        <f>IF(C3410="","",COUNTA($C$10:C3411))</f>
        <v/>
      </c>
    </row>
    <row r="3411" spans="1:2" ht="18.75" customHeight="1">
      <c r="A3411" s="657">
        <f>IF(B3411="",MAX($A$8:A3410)+0,MAX($A$8:A3410)+1)</f>
        <v>403</v>
      </c>
      <c r="B3411" s="835" t="str">
        <f>IF(C3411="","",COUNTA($C$10:C3412))</f>
        <v/>
      </c>
    </row>
    <row r="3412" spans="1:2" ht="18.75" customHeight="1">
      <c r="A3412" s="657">
        <f>IF(B3412="",MAX($A$8:A3411)+0,MAX($A$8:A3411)+1)</f>
        <v>403</v>
      </c>
      <c r="B3412" s="835" t="str">
        <f>IF(C3412="","",COUNTA($C$10:C3413))</f>
        <v/>
      </c>
    </row>
    <row r="3413" spans="1:2" ht="18.75" customHeight="1">
      <c r="A3413" s="657">
        <f>IF(B3413="",MAX($A$8:A3412)+0,MAX($A$8:A3412)+1)</f>
        <v>403</v>
      </c>
      <c r="B3413" s="835" t="str">
        <f>IF(C3413="","",COUNTA($C$10:C3414))</f>
        <v/>
      </c>
    </row>
    <row r="3414" spans="1:2" ht="18.75" customHeight="1">
      <c r="A3414" s="657">
        <f>IF(B3414="",MAX($A$8:A3413)+0,MAX($A$8:A3413)+1)</f>
        <v>403</v>
      </c>
      <c r="B3414" s="835" t="str">
        <f>IF(C3414="","",COUNTA($C$10:C3415))</f>
        <v/>
      </c>
    </row>
    <row r="3415" spans="1:2" ht="18.75" customHeight="1">
      <c r="A3415" s="657">
        <f>IF(B3415="",MAX($A$8:A3414)+0,MAX($A$8:A3414)+1)</f>
        <v>403</v>
      </c>
      <c r="B3415" s="835" t="str">
        <f>IF(C3415="","",COUNTA($C$10:C3416))</f>
        <v/>
      </c>
    </row>
    <row r="3416" spans="1:2" ht="18.75" customHeight="1">
      <c r="A3416" s="657">
        <f>IF(B3416="",MAX($A$8:A3415)+0,MAX($A$8:A3415)+1)</f>
        <v>403</v>
      </c>
      <c r="B3416" s="835" t="str">
        <f>IF(C3416="","",COUNTA($C$10:C3417))</f>
        <v/>
      </c>
    </row>
    <row r="3417" spans="1:2" ht="18.75" customHeight="1">
      <c r="A3417" s="657">
        <f>IF(B3417="",MAX($A$8:A3416)+0,MAX($A$8:A3416)+1)</f>
        <v>403</v>
      </c>
      <c r="B3417" s="835" t="str">
        <f>IF(C3417="","",COUNTA($C$10:C3418))</f>
        <v/>
      </c>
    </row>
    <row r="3418" spans="1:2" ht="18.75" customHeight="1">
      <c r="A3418" s="657">
        <f>IF(B3418="",MAX($A$8:A3417)+0,MAX($A$8:A3417)+1)</f>
        <v>403</v>
      </c>
      <c r="B3418" s="835" t="str">
        <f>IF(C3418="","",COUNTA($C$10:C3419))</f>
        <v/>
      </c>
    </row>
    <row r="3419" spans="1:2" ht="18.75" customHeight="1">
      <c r="A3419" s="657">
        <f>IF(B3419="",MAX($A$8:A3418)+0,MAX($A$8:A3418)+1)</f>
        <v>403</v>
      </c>
      <c r="B3419" s="835" t="str">
        <f>IF(C3419="","",COUNTA($C$10:C3420))</f>
        <v/>
      </c>
    </row>
    <row r="3420" spans="1:2" ht="18.75" customHeight="1">
      <c r="A3420" s="657">
        <f>IF(B3420="",MAX($A$8:A3419)+0,MAX($A$8:A3419)+1)</f>
        <v>403</v>
      </c>
      <c r="B3420" s="835" t="str">
        <f>IF(C3420="","",COUNTA($C$10:C3421))</f>
        <v/>
      </c>
    </row>
    <row r="3421" spans="1:2" ht="18.75" customHeight="1">
      <c r="A3421" s="657">
        <f>IF(B3421="",MAX($A$8:A3420)+0,MAX($A$8:A3420)+1)</f>
        <v>403</v>
      </c>
      <c r="B3421" s="835" t="str">
        <f>IF(C3421="","",COUNTA($C$10:C3422))</f>
        <v/>
      </c>
    </row>
    <row r="3422" spans="1:2" ht="18.75" customHeight="1">
      <c r="A3422" s="657">
        <f>IF(B3422="",MAX($A$8:A3421)+0,MAX($A$8:A3421)+1)</f>
        <v>403</v>
      </c>
      <c r="B3422" s="835" t="str">
        <f>IF(C3422="","",COUNTA($C$10:C3423))</f>
        <v/>
      </c>
    </row>
    <row r="3423" spans="1:2" ht="18.75" customHeight="1">
      <c r="A3423" s="657">
        <f>IF(B3423="",MAX($A$8:A3422)+0,MAX($A$8:A3422)+1)</f>
        <v>403</v>
      </c>
      <c r="B3423" s="835" t="str">
        <f>IF(C3423="","",COUNTA($C$10:C3424))</f>
        <v/>
      </c>
    </row>
    <row r="3424" spans="1:2" ht="18.75" customHeight="1">
      <c r="A3424" s="657">
        <f>IF(B3424="",MAX($A$8:A3423)+0,MAX($A$8:A3423)+1)</f>
        <v>403</v>
      </c>
      <c r="B3424" s="835" t="str">
        <f>IF(C3424="","",COUNTA($C$10:C3425))</f>
        <v/>
      </c>
    </row>
    <row r="3425" spans="1:2" ht="18.75" customHeight="1">
      <c r="A3425" s="657">
        <f>IF(B3425="",MAX($A$8:A3424)+0,MAX($A$8:A3424)+1)</f>
        <v>403</v>
      </c>
      <c r="B3425" s="835" t="str">
        <f>IF(C3425="","",COUNTA($C$10:C3426))</f>
        <v/>
      </c>
    </row>
    <row r="3426" spans="1:2" ht="18.75" customHeight="1">
      <c r="A3426" s="657">
        <f>IF(B3426="",MAX($A$8:A3425)+0,MAX($A$8:A3425)+1)</f>
        <v>403</v>
      </c>
      <c r="B3426" s="835" t="str">
        <f>IF(C3426="","",COUNTA($C$10:C3427))</f>
        <v/>
      </c>
    </row>
    <row r="3427" spans="1:2" ht="18.75" customHeight="1">
      <c r="A3427" s="657">
        <f>IF(B3427="",MAX($A$8:A3426)+0,MAX($A$8:A3426)+1)</f>
        <v>403</v>
      </c>
      <c r="B3427" s="835" t="str">
        <f>IF(C3427="","",COUNTA($C$10:C3428))</f>
        <v/>
      </c>
    </row>
    <row r="3428" spans="1:2" ht="18.75" customHeight="1">
      <c r="A3428" s="657">
        <f>IF(B3428="",MAX($A$8:A3427)+0,MAX($A$8:A3427)+1)</f>
        <v>403</v>
      </c>
      <c r="B3428" s="835" t="str">
        <f>IF(C3428="","",COUNTA($C$10:C3429))</f>
        <v/>
      </c>
    </row>
    <row r="3429" spans="1:2" ht="18.75" customHeight="1">
      <c r="A3429" s="657">
        <f>IF(B3429="",MAX($A$8:A3428)+0,MAX($A$8:A3428)+1)</f>
        <v>403</v>
      </c>
      <c r="B3429" s="835" t="str">
        <f>IF(C3429="","",COUNTA($C$10:C3430))</f>
        <v/>
      </c>
    </row>
    <row r="3430" spans="1:2" ht="18.75" customHeight="1">
      <c r="A3430" s="657">
        <f>IF(B3430="",MAX($A$8:A3429)+0,MAX($A$8:A3429)+1)</f>
        <v>403</v>
      </c>
      <c r="B3430" s="835" t="str">
        <f>IF(C3430="","",COUNTA($C$10:C3431))</f>
        <v/>
      </c>
    </row>
    <row r="3431" spans="1:2" ht="18.75" customHeight="1">
      <c r="A3431" s="657">
        <f>IF(B3431="",MAX($A$8:A3430)+0,MAX($A$8:A3430)+1)</f>
        <v>403</v>
      </c>
      <c r="B3431" s="835" t="str">
        <f>IF(C3431="","",COUNTA($C$10:C3432))</f>
        <v/>
      </c>
    </row>
    <row r="3432" spans="1:2" ht="18.75" customHeight="1">
      <c r="A3432" s="657">
        <f>IF(B3432="",MAX($A$8:A3431)+0,MAX($A$8:A3431)+1)</f>
        <v>403</v>
      </c>
      <c r="B3432" s="835" t="str">
        <f>IF(C3432="","",COUNTA($C$10:C3433))</f>
        <v/>
      </c>
    </row>
    <row r="3433" spans="1:2" ht="18.75" customHeight="1">
      <c r="A3433" s="657">
        <f>IF(B3433="",MAX($A$8:A3432)+0,MAX($A$8:A3432)+1)</f>
        <v>403</v>
      </c>
      <c r="B3433" s="835" t="str">
        <f>IF(C3433="","",COUNTA($C$10:C3434))</f>
        <v/>
      </c>
    </row>
    <row r="3434" spans="1:2" ht="18.75" customHeight="1">
      <c r="A3434" s="657">
        <f>IF(B3434="",MAX($A$8:A3433)+0,MAX($A$8:A3433)+1)</f>
        <v>403</v>
      </c>
      <c r="B3434" s="835" t="str">
        <f>IF(C3434="","",COUNTA($C$10:C3435))</f>
        <v/>
      </c>
    </row>
  </sheetData>
  <autoFilter ref="A9:DB3434"/>
  <phoneticPr fontId="68" type="noConversion"/>
  <printOptions horizontalCentered="1"/>
  <pageMargins left="0.41" right="0.37" top="0.38" bottom="0.37" header="0" footer="0.17"/>
  <pageSetup paperSize="9" scale="55" firstPageNumber="30" orientation="portrait" blackAndWhite="1" r:id="rId1"/>
  <headerFooter>
    <oddFooter>&amp;R&amp;9&amp;P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sheetPr>
  <dimension ref="A1:O65513"/>
  <sheetViews>
    <sheetView showZeros="0" view="pageBreakPreview" topLeftCell="A126" zoomScaleNormal="100" zoomScaleSheetLayoutView="100" workbookViewId="0">
      <selection activeCell="F146" sqref="F146"/>
    </sheetView>
  </sheetViews>
  <sheetFormatPr defaultRowHeight="19.5" customHeight="1"/>
  <cols>
    <col min="1" max="1" width="5.28515625" style="976" customWidth="1"/>
    <col min="2" max="2" width="44.7109375" style="195" bestFit="1" customWidth="1"/>
    <col min="3" max="3" width="36.42578125" style="195" customWidth="1"/>
    <col min="4" max="4" width="9.5703125" style="706" customWidth="1"/>
    <col min="5" max="6" width="12.28515625" style="193" customWidth="1"/>
    <col min="7" max="7" width="11" style="193" customWidth="1"/>
    <col min="8" max="8" width="12.85546875" style="193" customWidth="1"/>
    <col min="9" max="9" width="15.140625" style="193" customWidth="1"/>
    <col min="10" max="10" width="14.5703125" style="193" hidden="1" customWidth="1"/>
    <col min="11" max="11" width="18.5703125" style="193" hidden="1" customWidth="1"/>
    <col min="12" max="12" width="21.28515625" style="87" hidden="1" customWidth="1"/>
    <col min="13" max="13" width="41.42578125" style="378" hidden="1" customWidth="1"/>
    <col min="14" max="14" width="9.85546875" style="87" bestFit="1" customWidth="1"/>
    <col min="15" max="16384" width="9.140625" style="87"/>
  </cols>
  <sheetData>
    <row r="1" spans="1:14" ht="24" customHeight="1">
      <c r="A1" s="723" t="e">
        <f>+'10.PLV'!#REF!</f>
        <v>#REF!</v>
      </c>
      <c r="B1" s="724"/>
      <c r="C1" s="724"/>
      <c r="D1" s="725"/>
      <c r="E1" s="725"/>
      <c r="F1" s="726"/>
      <c r="G1" s="726"/>
      <c r="H1" s="726"/>
      <c r="I1" s="725"/>
      <c r="J1" s="725"/>
      <c r="K1" s="725"/>
      <c r="L1" s="725"/>
      <c r="M1" s="1132"/>
    </row>
    <row r="2" spans="1:14" ht="24" customHeight="1">
      <c r="A2" s="723" t="str">
        <f>+'10.PLV'!A2</f>
        <v>DỰ ÁN ĐẦU TƯ XÂY DỰNG CẦU LONG BÌNH – CHREY THOM</v>
      </c>
      <c r="B2" s="724"/>
      <c r="C2" s="724"/>
      <c r="D2" s="725"/>
      <c r="E2" s="725"/>
      <c r="F2" s="726"/>
      <c r="G2" s="726"/>
      <c r="H2" s="726"/>
      <c r="I2" s="725"/>
      <c r="J2" s="725"/>
      <c r="K2" s="725"/>
      <c r="L2" s="725"/>
      <c r="M2" s="1132"/>
    </row>
    <row r="3" spans="1:14" ht="24" customHeight="1">
      <c r="A3" s="727" t="str">
        <f>+'10.PLV'!A3</f>
        <v>HẠNG MỤC: PHẦN CẦU, PHẦN TUYẾN, CHIẾU SÁNG (PHÍA BỜ VIỆT NAM)</v>
      </c>
      <c r="B3" s="724"/>
      <c r="C3" s="724"/>
      <c r="D3" s="725"/>
      <c r="E3" s="725"/>
      <c r="F3" s="726"/>
      <c r="G3" s="726"/>
      <c r="H3" s="726"/>
      <c r="I3" s="725"/>
      <c r="J3" s="725"/>
      <c r="K3" s="725"/>
      <c r="L3" s="725"/>
      <c r="M3" s="1132"/>
    </row>
    <row r="4" spans="1:14" ht="24" customHeight="1">
      <c r="A4" s="727" t="e">
        <f>+'10.PLV'!#REF!</f>
        <v>#REF!</v>
      </c>
      <c r="B4" s="724"/>
      <c r="C4" s="724"/>
      <c r="D4" s="725"/>
      <c r="E4" s="725"/>
      <c r="F4" s="726"/>
      <c r="G4" s="726"/>
      <c r="H4" s="726"/>
      <c r="I4" s="725"/>
      <c r="J4" s="725"/>
      <c r="K4" s="725"/>
      <c r="L4" s="725"/>
      <c r="M4" s="1132"/>
    </row>
    <row r="5" spans="1:14" ht="24.75" customHeight="1">
      <c r="A5" s="728" t="s">
        <v>655</v>
      </c>
      <c r="B5" s="724"/>
      <c r="C5" s="724"/>
      <c r="D5" s="725"/>
      <c r="E5" s="725"/>
      <c r="F5" s="726"/>
      <c r="G5" s="726"/>
      <c r="H5" s="726"/>
      <c r="I5" s="725"/>
      <c r="J5" s="725"/>
      <c r="K5" s="725"/>
      <c r="L5" s="725"/>
      <c r="M5" s="1132"/>
    </row>
    <row r="6" spans="1:14" ht="24.75" customHeight="1">
      <c r="A6" s="728" t="s">
        <v>5017</v>
      </c>
      <c r="B6" s="724"/>
      <c r="C6" s="724"/>
      <c r="D6" s="725"/>
      <c r="E6" s="725"/>
      <c r="F6" s="726"/>
      <c r="G6" s="726"/>
      <c r="H6" s="726"/>
      <c r="I6" s="725"/>
      <c r="J6" s="725"/>
      <c r="K6" s="725"/>
      <c r="L6" s="725"/>
      <c r="M6" s="1132"/>
    </row>
    <row r="7" spans="1:14" ht="16.5" customHeight="1">
      <c r="A7" s="975"/>
      <c r="B7" s="729"/>
      <c r="C7" s="729"/>
      <c r="D7" s="700"/>
      <c r="E7" s="657"/>
      <c r="F7" s="730"/>
      <c r="G7" s="726"/>
      <c r="H7" s="726"/>
      <c r="I7" s="657"/>
      <c r="J7" s="657"/>
      <c r="K7" s="657"/>
      <c r="L7" s="658"/>
      <c r="M7" s="763" t="s">
        <v>5084</v>
      </c>
    </row>
    <row r="8" spans="1:14" s="659" customFormat="1" ht="29.25" customHeight="1">
      <c r="A8" s="1094" t="s">
        <v>529</v>
      </c>
      <c r="B8" s="229" t="s">
        <v>200</v>
      </c>
      <c r="C8" s="229" t="s">
        <v>4916</v>
      </c>
      <c r="D8" s="229" t="s">
        <v>282</v>
      </c>
      <c r="E8" s="229" t="s">
        <v>1995</v>
      </c>
      <c r="F8" s="1130" t="s">
        <v>1996</v>
      </c>
      <c r="G8" s="1130" t="s">
        <v>1997</v>
      </c>
      <c r="H8" s="1130" t="s">
        <v>455</v>
      </c>
      <c r="I8" s="229" t="s">
        <v>233</v>
      </c>
      <c r="J8" s="1095" t="s">
        <v>323</v>
      </c>
      <c r="K8" s="1096" t="s">
        <v>2143</v>
      </c>
      <c r="L8" s="229" t="s">
        <v>456</v>
      </c>
      <c r="M8" s="1131" t="s">
        <v>4927</v>
      </c>
    </row>
    <row r="9" spans="1:14" s="659" customFormat="1" ht="29.25" customHeight="1">
      <c r="A9" s="1105" t="s">
        <v>5009</v>
      </c>
      <c r="B9" s="1110" t="s">
        <v>5041</v>
      </c>
      <c r="C9" s="1102"/>
      <c r="D9" s="1106" t="s">
        <v>5002</v>
      </c>
      <c r="E9" s="1107" t="s">
        <v>5042</v>
      </c>
      <c r="F9" s="1107" t="s">
        <v>5043</v>
      </c>
      <c r="G9" s="1108" t="s">
        <v>4977</v>
      </c>
      <c r="H9" s="1108" t="s">
        <v>5044</v>
      </c>
      <c r="I9" s="1109" t="s">
        <v>5045</v>
      </c>
      <c r="J9" s="1102"/>
      <c r="K9" s="1103"/>
      <c r="L9" s="1102"/>
      <c r="M9" s="1104"/>
    </row>
    <row r="10" spans="1:14" ht="19.5" customHeight="1">
      <c r="A10" s="1097"/>
      <c r="B10" s="1098" t="s">
        <v>216</v>
      </c>
      <c r="C10" s="1099"/>
      <c r="D10" s="320"/>
      <c r="E10" s="1024"/>
      <c r="F10" s="1024"/>
      <c r="G10" s="1024"/>
      <c r="H10" s="1024"/>
      <c r="I10" s="1024"/>
      <c r="J10" s="1024"/>
      <c r="K10" s="1024"/>
      <c r="L10" s="1100"/>
      <c r="M10" s="1101"/>
    </row>
    <row r="11" spans="1:14" ht="19.5" customHeight="1">
      <c r="A11" s="806" t="e">
        <f>IF(J11&gt;0,MAX($A$10:A10)+1,"")</f>
        <v>#REF!</v>
      </c>
      <c r="B11" s="245" t="s">
        <v>2209</v>
      </c>
      <c r="C11" s="245" t="str">
        <f>VLOOKUP(B11,DICH!B:C,2,FALSE)</f>
        <v>Stone 0x0.5 asphalt concrete</v>
      </c>
      <c r="D11" s="240" t="s">
        <v>545</v>
      </c>
      <c r="E11" s="1002">
        <f>'Cong bo gia'!D23</f>
        <v>127000</v>
      </c>
      <c r="F11" s="166"/>
      <c r="G11" s="166"/>
      <c r="H11" s="1002">
        <f>'13.vanchuyen'!AI23</f>
        <v>162185.41224953817</v>
      </c>
      <c r="I11" s="166">
        <f>SUM(E11:H11)</f>
        <v>289185.41224953817</v>
      </c>
      <c r="J11" s="323" t="e">
        <f>SUMIF('8.Dgia'!E:E,'11.gia '!B11,'8.Dgia'!P:P)</f>
        <v>#REF!</v>
      </c>
      <c r="K11" s="166" t="e">
        <f t="shared" ref="K11:K18" si="0">J11*I11</f>
        <v>#REF!</v>
      </c>
      <c r="L11" s="322" t="s">
        <v>5632</v>
      </c>
      <c r="M11" s="1062" t="s">
        <v>5633</v>
      </c>
      <c r="N11" s="193"/>
    </row>
    <row r="12" spans="1:14" ht="19.5" customHeight="1">
      <c r="A12" s="806" t="e">
        <f>IF(J12&gt;0,MAX($A$10:A11)+1,"")</f>
        <v>#REF!</v>
      </c>
      <c r="B12" s="245" t="s">
        <v>86</v>
      </c>
      <c r="C12" s="245" t="str">
        <f>VLOOKUP(B12,DICH!B:C,2,FALSE)</f>
        <v>Stone 0.5x1 asphalt concrete</v>
      </c>
      <c r="D12" s="240" t="s">
        <v>545</v>
      </c>
      <c r="E12" s="1002">
        <f>'Cong bo gia'!D17</f>
        <v>192000</v>
      </c>
      <c r="F12" s="166"/>
      <c r="G12" s="166"/>
      <c r="H12" s="1002">
        <f>H11</f>
        <v>162185.41224953817</v>
      </c>
      <c r="I12" s="166">
        <f>SUM(E12:H12)</f>
        <v>354185.41224953817</v>
      </c>
      <c r="J12" s="323" t="e">
        <f>SUMIF('8.Dgia'!E:E,'11.gia '!B12,'8.Dgia'!P:P)</f>
        <v>#REF!</v>
      </c>
      <c r="K12" s="166" t="e">
        <f t="shared" si="0"/>
        <v>#REF!</v>
      </c>
      <c r="L12" s="322" t="s">
        <v>750</v>
      </c>
      <c r="M12" s="1062" t="s">
        <v>4251</v>
      </c>
      <c r="N12" s="193"/>
    </row>
    <row r="13" spans="1:14" ht="19.5" customHeight="1">
      <c r="A13" s="806" t="e">
        <f>IF(J13&gt;0,MAX($A$10:A12)+1,"")</f>
        <v>#REF!</v>
      </c>
      <c r="B13" s="245" t="s">
        <v>2210</v>
      </c>
      <c r="C13" s="245" t="str">
        <f>VLOOKUP(B13,DICH!B:C,2,FALSE)</f>
        <v>Stone 1x1.6 asphalt concrete</v>
      </c>
      <c r="D13" s="240" t="s">
        <v>545</v>
      </c>
      <c r="E13" s="1002">
        <f>'Cong bo gia'!D17</f>
        <v>192000</v>
      </c>
      <c r="F13" s="166"/>
      <c r="G13" s="166"/>
      <c r="H13" s="1002">
        <f>H12</f>
        <v>162185.41224953817</v>
      </c>
      <c r="I13" s="166">
        <f>SUM(E13:H13)</f>
        <v>354185.41224953817</v>
      </c>
      <c r="J13" s="323" t="e">
        <f>SUMIF('8.Dgia'!E:E,'11.gia '!B13,'8.Dgia'!P:P)</f>
        <v>#REF!</v>
      </c>
      <c r="K13" s="166" t="e">
        <f>J13*I13</f>
        <v>#REF!</v>
      </c>
      <c r="L13" s="322" t="s">
        <v>750</v>
      </c>
      <c r="M13" s="1062" t="s">
        <v>4251</v>
      </c>
      <c r="N13" s="193"/>
    </row>
    <row r="14" spans="1:14" ht="19.5" customHeight="1">
      <c r="A14" s="806" t="e">
        <f>IF(J14&gt;0,MAX($A$10:A13)+1,"")</f>
        <v>#REF!</v>
      </c>
      <c r="B14" s="245" t="s">
        <v>85</v>
      </c>
      <c r="C14" s="245" t="str">
        <f>VLOOKUP(B14,DICH!B:C,2,FALSE)</f>
        <v>Stone 1x2 asphalt concrete</v>
      </c>
      <c r="D14" s="240" t="s">
        <v>545</v>
      </c>
      <c r="E14" s="1002">
        <f>'Cong bo gia'!D17</f>
        <v>192000</v>
      </c>
      <c r="F14" s="166"/>
      <c r="G14" s="166"/>
      <c r="H14" s="1002">
        <f>H13</f>
        <v>162185.41224953817</v>
      </c>
      <c r="I14" s="166">
        <f>SUM(E14:H14)</f>
        <v>354185.41224953817</v>
      </c>
      <c r="J14" s="166" t="s">
        <v>457</v>
      </c>
      <c r="K14" s="166"/>
      <c r="L14" s="322" t="s">
        <v>5634</v>
      </c>
      <c r="M14" s="1062" t="s">
        <v>5635</v>
      </c>
      <c r="N14" s="193"/>
    </row>
    <row r="15" spans="1:14" ht="19.5" customHeight="1">
      <c r="A15" s="806" t="e">
        <f>IF(J15&gt;0,MAX($A$10:A14)+1,"")</f>
        <v>#REF!</v>
      </c>
      <c r="B15" s="245" t="s">
        <v>5180</v>
      </c>
      <c r="C15" s="245" t="str">
        <f>VLOOKUP(B15,[5]DICH!B$1:C$65536,2,FALSE)</f>
        <v>Stone 1.6x1.9 asphalt concrete</v>
      </c>
      <c r="D15" s="240" t="s">
        <v>545</v>
      </c>
      <c r="E15" s="1002">
        <f>E14</f>
        <v>192000</v>
      </c>
      <c r="F15" s="166"/>
      <c r="G15" s="166"/>
      <c r="H15" s="1002">
        <f>H14</f>
        <v>162185.41224953817</v>
      </c>
      <c r="I15" s="166">
        <f>SUM(E15:H15)</f>
        <v>354185.41224953817</v>
      </c>
      <c r="J15" s="323" t="e">
        <f>SUMIF('8.Dgia'!E:E,'11.gia '!B15,'8.Dgia'!P:P)</f>
        <v>#REF!</v>
      </c>
      <c r="K15" s="166" t="e">
        <f>J15*I15</f>
        <v>#REF!</v>
      </c>
      <c r="L15" s="322" t="s">
        <v>750</v>
      </c>
      <c r="M15" s="1062" t="s">
        <v>4251</v>
      </c>
      <c r="N15" s="193"/>
    </row>
    <row r="16" spans="1:14" ht="19.5" customHeight="1">
      <c r="A16" s="806" t="e">
        <f>IF(J16&gt;0,MAX($A$10:A15)+1,"")</f>
        <v>#REF!</v>
      </c>
      <c r="B16" s="245" t="s">
        <v>80</v>
      </c>
      <c r="C16" s="245" t="str">
        <f>VLOOKUP(B16,DICH!B:C,2,FALSE)</f>
        <v>Sand asphalt concrete</v>
      </c>
      <c r="D16" s="240" t="s">
        <v>545</v>
      </c>
      <c r="E16" s="166"/>
      <c r="F16" s="166"/>
      <c r="G16" s="166"/>
      <c r="H16" s="166"/>
      <c r="I16" s="166">
        <f>+I29</f>
        <v>128096.80157931453</v>
      </c>
      <c r="J16" s="323" t="s">
        <v>457</v>
      </c>
      <c r="K16" s="166"/>
      <c r="L16" s="322" t="s">
        <v>577</v>
      </c>
      <c r="M16" s="1062" t="s">
        <v>577</v>
      </c>
      <c r="N16" s="193"/>
    </row>
    <row r="17" spans="1:14" ht="19.5" customHeight="1">
      <c r="A17" s="806" t="str">
        <f>IF(J17&gt;0,MAX($A$10:A16)+1,"")</f>
        <v/>
      </c>
      <c r="B17" s="660" t="s">
        <v>215</v>
      </c>
      <c r="C17" s="245"/>
      <c r="D17" s="240"/>
      <c r="E17" s="166"/>
      <c r="F17" s="166"/>
      <c r="G17" s="166"/>
      <c r="H17" s="166"/>
      <c r="I17" s="166"/>
      <c r="J17" s="323">
        <f>SUMIF('8.Dgia'!E:E,'11.gia '!B17,'8.Dgia'!P:P)</f>
        <v>0</v>
      </c>
      <c r="K17" s="166">
        <f t="shared" si="0"/>
        <v>0</v>
      </c>
      <c r="L17" s="322"/>
      <c r="M17" s="1062"/>
      <c r="N17" s="193"/>
    </row>
    <row r="18" spans="1:14" ht="19.5" customHeight="1">
      <c r="A18" s="806" t="str">
        <f>IF(J18&gt;0,MAX($A$10:A17)+1,"")</f>
        <v/>
      </c>
      <c r="B18" s="245" t="s">
        <v>89</v>
      </c>
      <c r="C18" s="245" t="str">
        <f>VLOOKUP(B18,DICH!B:C,2,FALSE)</f>
        <v>Stone 0-0.5</v>
      </c>
      <c r="D18" s="240" t="s">
        <v>545</v>
      </c>
      <c r="E18" s="166"/>
      <c r="F18" s="166"/>
      <c r="G18" s="166"/>
      <c r="H18" s="166"/>
      <c r="I18" s="166">
        <f>+I19</f>
        <v>354185.41224953817</v>
      </c>
      <c r="J18" s="323">
        <f>SUMIF('8.Dgia'!E:E,'11.gia '!B18,'8.Dgia'!P:P)</f>
        <v>0</v>
      </c>
      <c r="K18" s="166">
        <f t="shared" si="0"/>
        <v>0</v>
      </c>
      <c r="L18" s="322" t="s">
        <v>750</v>
      </c>
      <c r="M18" s="1062" t="s">
        <v>4251</v>
      </c>
      <c r="N18" s="193"/>
    </row>
    <row r="19" spans="1:14" ht="19.5" customHeight="1">
      <c r="A19" s="806" t="e">
        <f>IF(J19&gt;0,MAX($A$10:A18)+1,"")</f>
        <v>#REF!</v>
      </c>
      <c r="B19" s="245" t="s">
        <v>750</v>
      </c>
      <c r="C19" s="245" t="str">
        <f>VLOOKUP(B19,DICH!B:C,2,FALSE)</f>
        <v>Stone 1x2</v>
      </c>
      <c r="D19" s="240" t="s">
        <v>545</v>
      </c>
      <c r="E19" s="1002">
        <f>'Cong bo gia'!D17</f>
        <v>192000</v>
      </c>
      <c r="F19" s="166"/>
      <c r="G19" s="166"/>
      <c r="H19" s="1002">
        <f>H14</f>
        <v>162185.41224953817</v>
      </c>
      <c r="I19" s="166">
        <f>SUM(E19:H19)</f>
        <v>354185.41224953817</v>
      </c>
      <c r="J19" s="323" t="e">
        <f>SUMIF('8.Dgia'!E:E,'11.gia '!B19,'8.Dgia'!P:P)</f>
        <v>#REF!</v>
      </c>
      <c r="K19" s="166" t="e">
        <f t="shared" ref="K19:K85" si="1">J19*I19</f>
        <v>#REF!</v>
      </c>
      <c r="L19" s="322" t="s">
        <v>5634</v>
      </c>
      <c r="M19" s="1062" t="s">
        <v>5635</v>
      </c>
      <c r="N19" s="193"/>
    </row>
    <row r="20" spans="1:14" ht="19.5" customHeight="1">
      <c r="A20" s="806" t="e">
        <f>IF(J20&gt;0,MAX($A$10:A19)+1,"")</f>
        <v>#REF!</v>
      </c>
      <c r="B20" s="661" t="s">
        <v>24</v>
      </c>
      <c r="C20" s="245" t="str">
        <f>VLOOKUP(B20,DICH!B:C,2,FALSE)</f>
        <v>Stone 0.5-2</v>
      </c>
      <c r="D20" s="240" t="s">
        <v>545</v>
      </c>
      <c r="E20" s="166"/>
      <c r="F20" s="166"/>
      <c r="G20" s="166"/>
      <c r="H20" s="166"/>
      <c r="I20" s="166">
        <f>+I19</f>
        <v>354185.41224953817</v>
      </c>
      <c r="J20" s="323" t="e">
        <f>SUMIF('8.Dgia'!E:E,'11.gia '!B20,'8.Dgia'!P:P)</f>
        <v>#REF!</v>
      </c>
      <c r="K20" s="166" t="e">
        <f t="shared" si="1"/>
        <v>#REF!</v>
      </c>
      <c r="L20" s="322" t="s">
        <v>3652</v>
      </c>
      <c r="M20" s="1062" t="s">
        <v>3652</v>
      </c>
      <c r="N20" s="193"/>
    </row>
    <row r="21" spans="1:14" ht="19.5" customHeight="1">
      <c r="A21" s="806" t="e">
        <f>IF(J21&gt;0,MAX($A$10:A20)+1,"")</f>
        <v>#REF!</v>
      </c>
      <c r="B21" s="661" t="s">
        <v>25</v>
      </c>
      <c r="C21" s="245" t="str">
        <f>VLOOKUP(B21,DICH!B:C,2,FALSE)</f>
        <v>Stone 0.5-1.6</v>
      </c>
      <c r="D21" s="240" t="s">
        <v>545</v>
      </c>
      <c r="E21" s="166"/>
      <c r="F21" s="166"/>
      <c r="G21" s="166"/>
      <c r="H21" s="166"/>
      <c r="I21" s="166">
        <f>+I20</f>
        <v>354185.41224953817</v>
      </c>
      <c r="J21" s="323" t="e">
        <f>SUMIF('8.Dgia'!E:E,'11.gia '!B21,'8.Dgia'!P:P)</f>
        <v>#REF!</v>
      </c>
      <c r="K21" s="166" t="e">
        <f t="shared" si="1"/>
        <v>#REF!</v>
      </c>
      <c r="L21" s="322" t="s">
        <v>3652</v>
      </c>
      <c r="M21" s="1062" t="s">
        <v>3652</v>
      </c>
      <c r="N21" s="193"/>
    </row>
    <row r="22" spans="1:14" ht="19.5" customHeight="1">
      <c r="A22" s="806" t="e">
        <f>IF(J22&gt;0,MAX($A$10:A21)+1,"")</f>
        <v>#REF!</v>
      </c>
      <c r="B22" s="661" t="s">
        <v>26</v>
      </c>
      <c r="C22" s="245" t="str">
        <f>VLOOKUP(B22,DICH!B:C,2,FALSE)</f>
        <v>Stone 0.5-1.0</v>
      </c>
      <c r="D22" s="240" t="s">
        <v>545</v>
      </c>
      <c r="E22" s="166"/>
      <c r="F22" s="166"/>
      <c r="G22" s="166"/>
      <c r="H22" s="166"/>
      <c r="I22" s="166">
        <f>+I21</f>
        <v>354185.41224953817</v>
      </c>
      <c r="J22" s="323" t="e">
        <f>SUMIF('8.Dgia'!E:E,'11.gia '!B22,'8.Dgia'!P:P)</f>
        <v>#REF!</v>
      </c>
      <c r="K22" s="166" t="e">
        <f t="shared" si="1"/>
        <v>#REF!</v>
      </c>
      <c r="L22" s="322" t="s">
        <v>3652</v>
      </c>
      <c r="M22" s="1062" t="s">
        <v>3652</v>
      </c>
      <c r="N22" s="193"/>
    </row>
    <row r="23" spans="1:14" ht="19.5" customHeight="1">
      <c r="A23" s="806" t="e">
        <f>IF(J23&gt;0,MAX($A$10:A22)+1,"")</f>
        <v>#REF!</v>
      </c>
      <c r="B23" s="245" t="s">
        <v>4</v>
      </c>
      <c r="C23" s="245" t="str">
        <f>VLOOKUP(B23,DICH!B:C,2,FALSE)</f>
        <v>Stone 4x6</v>
      </c>
      <c r="D23" s="240" t="s">
        <v>545</v>
      </c>
      <c r="E23" s="1002">
        <f>'Cong bo gia'!D18</f>
        <v>154000</v>
      </c>
      <c r="F23" s="166"/>
      <c r="G23" s="166"/>
      <c r="H23" s="1002">
        <f>'13.vanchuyen'!AI26</f>
        <v>146147.95224953818</v>
      </c>
      <c r="I23" s="166">
        <f t="shared" ref="I23:I32" si="2">SUM(E23:H23)</f>
        <v>300147.95224953815</v>
      </c>
      <c r="J23" s="323" t="e">
        <f>SUMIF('8.Dgia'!E:E,'11.gia '!B23,'8.Dgia'!P:P)</f>
        <v>#REF!</v>
      </c>
      <c r="K23" s="166" t="e">
        <f t="shared" si="1"/>
        <v>#REF!</v>
      </c>
      <c r="L23" s="322" t="s">
        <v>5636</v>
      </c>
      <c r="M23" s="1062" t="s">
        <v>5637</v>
      </c>
      <c r="N23" s="193"/>
    </row>
    <row r="24" spans="1:14" ht="19.5" customHeight="1">
      <c r="A24" s="806" t="e">
        <f>IF(J24&gt;0,MAX($A$10:A23)+1,"")</f>
        <v>#REF!</v>
      </c>
      <c r="B24" s="245" t="s">
        <v>5612</v>
      </c>
      <c r="C24" s="1418" t="str">
        <f>VLOOKUP(B24,DICH!B:C,2,FALSE)</f>
        <v>Stone aggregate 0x4 type 1</v>
      </c>
      <c r="D24" s="240" t="s">
        <v>545</v>
      </c>
      <c r="E24" s="1002">
        <f>'Cong bo gia'!D21</f>
        <v>137000</v>
      </c>
      <c r="F24" s="166"/>
      <c r="G24" s="166"/>
      <c r="H24" s="1002">
        <f>H19</f>
        <v>162185.41224953817</v>
      </c>
      <c r="I24" s="166">
        <f t="shared" si="2"/>
        <v>299185.41224953817</v>
      </c>
      <c r="J24" s="323" t="e">
        <f>SUMIF('8.Dgia'!E:E,'11.gia '!B24,'8.Dgia'!P:P)</f>
        <v>#REF!</v>
      </c>
      <c r="K24" s="166" t="e">
        <f t="shared" si="1"/>
        <v>#REF!</v>
      </c>
      <c r="L24" s="322" t="s">
        <v>5638</v>
      </c>
      <c r="M24" s="1062" t="s">
        <v>5639</v>
      </c>
      <c r="N24" s="193"/>
    </row>
    <row r="25" spans="1:14" ht="19.5" customHeight="1">
      <c r="A25" s="806" t="e">
        <f>IF(J25&gt;0,MAX($A$10:A24)+1,"")</f>
        <v>#REF!</v>
      </c>
      <c r="B25" s="245" t="s">
        <v>3571</v>
      </c>
      <c r="C25" s="1418" t="str">
        <f>VLOOKUP(B25,DICH!B:C,2,FALSE)</f>
        <v>Stone aggregate 0x4 type 2</v>
      </c>
      <c r="D25" s="240" t="s">
        <v>545</v>
      </c>
      <c r="E25" s="1002">
        <f>E24*0.9</f>
        <v>123300</v>
      </c>
      <c r="F25" s="166"/>
      <c r="G25" s="166"/>
      <c r="H25" s="1002">
        <f>H19</f>
        <v>162185.41224953817</v>
      </c>
      <c r="I25" s="166">
        <f>SUM(E25:H25)</f>
        <v>285485.41224953817</v>
      </c>
      <c r="J25" s="323" t="e">
        <f>SUMIF('8.Dgia'!E:E,'11.gia '!B25,'8.Dgia'!P:P)</f>
        <v>#REF!</v>
      </c>
      <c r="K25" s="166" t="e">
        <f>J25*I25</f>
        <v>#REF!</v>
      </c>
      <c r="L25" s="322" t="s">
        <v>5638</v>
      </c>
      <c r="M25" s="1062" t="s">
        <v>5639</v>
      </c>
      <c r="N25" s="193"/>
    </row>
    <row r="26" spans="1:14" ht="19.5" customHeight="1">
      <c r="A26" s="806" t="e">
        <f>IF(J26&gt;0,MAX($A$10:A25)+1,"")</f>
        <v>#REF!</v>
      </c>
      <c r="B26" s="245" t="s">
        <v>599</v>
      </c>
      <c r="C26" s="1436" t="str">
        <f>VLOOKUP(B26,DICH!B:C,2,FALSE)</f>
        <v>Masory</v>
      </c>
      <c r="D26" s="1437" t="s">
        <v>545</v>
      </c>
      <c r="E26" s="1438">
        <f>ssgda!M11</f>
        <v>150000</v>
      </c>
      <c r="F26" s="1438"/>
      <c r="G26" s="1438"/>
      <c r="H26" s="1438">
        <f>ssgda!N11</f>
        <v>151292.57724953818</v>
      </c>
      <c r="I26" s="166">
        <f t="shared" si="2"/>
        <v>301292.57724953815</v>
      </c>
      <c r="J26" s="1439" t="e">
        <f>SUMIF('8.Dgia'!E:E,'11.gia '!B26,'8.Dgia'!P:P)</f>
        <v>#REF!</v>
      </c>
      <c r="K26" s="1438" t="e">
        <f t="shared" si="1"/>
        <v>#REF!</v>
      </c>
      <c r="L26" s="1440" t="str">
        <f>ssgda!$P$11</f>
        <v>Antraco</v>
      </c>
      <c r="M26" s="1441" t="str">
        <f>L26</f>
        <v>Antraco</v>
      </c>
      <c r="N26" s="193"/>
    </row>
    <row r="27" spans="1:14" ht="19.5" customHeight="1">
      <c r="A27" s="806" t="e">
        <f>IF(J27&gt;0,MAX($A$10:A26)+1,"")</f>
        <v>#REF!</v>
      </c>
      <c r="B27" s="245" t="s">
        <v>602</v>
      </c>
      <c r="C27" s="245" t="str">
        <f>VLOOKUP(B27,DICH!B:C,2,FALSE)</f>
        <v>Find sand</v>
      </c>
      <c r="D27" s="240" t="s">
        <v>545</v>
      </c>
      <c r="E27" s="166">
        <f>'Cong bo gia'!D58</f>
        <v>12500</v>
      </c>
      <c r="F27" s="166"/>
      <c r="G27" s="166"/>
      <c r="H27" s="166">
        <f>'13.vanchuyen'!$AI$37</f>
        <v>80713.626124769085</v>
      </c>
      <c r="I27" s="166">
        <f t="shared" si="2"/>
        <v>93213.626124769085</v>
      </c>
      <c r="J27" s="323" t="e">
        <f>SUMIF('8.Dgia'!E:E,'11.gia '!B27,'8.Dgia'!P:P)</f>
        <v>#REF!</v>
      </c>
      <c r="K27" s="166" t="e">
        <f t="shared" si="1"/>
        <v>#REF!</v>
      </c>
      <c r="L27" s="322" t="s">
        <v>5640</v>
      </c>
      <c r="M27" s="1062" t="s">
        <v>5641</v>
      </c>
      <c r="N27" s="193"/>
    </row>
    <row r="28" spans="1:14" ht="19.5" customHeight="1">
      <c r="A28" s="806" t="e">
        <f>IF(J28&gt;0,MAX($A$10:A27)+1,"")</f>
        <v>#REF!</v>
      </c>
      <c r="B28" s="245" t="s">
        <v>588</v>
      </c>
      <c r="C28" s="245" t="str">
        <f>VLOOKUP(B28,DICH!B:C,2,FALSE)</f>
        <v>Medium sand</v>
      </c>
      <c r="D28" s="240" t="s">
        <v>545</v>
      </c>
      <c r="E28" s="166">
        <f>'Cong bo gia'!D59</f>
        <v>25454.545454545452</v>
      </c>
      <c r="F28" s="166"/>
      <c r="G28" s="166"/>
      <c r="H28" s="166">
        <f>'13.vanchuyen'!$AI$40</f>
        <v>102642.25612476908</v>
      </c>
      <c r="I28" s="166">
        <f t="shared" si="2"/>
        <v>128096.80157931453</v>
      </c>
      <c r="J28" s="323" t="e">
        <f>SUMIF('8.Dgia'!E:E,'11.gia '!B28,'8.Dgia'!P:P)</f>
        <v>#REF!</v>
      </c>
      <c r="K28" s="166" t="e">
        <f>J28*I28</f>
        <v>#REF!</v>
      </c>
      <c r="L28" s="322" t="s">
        <v>5642</v>
      </c>
      <c r="M28" s="1062" t="s">
        <v>5643</v>
      </c>
      <c r="N28" s="193"/>
    </row>
    <row r="29" spans="1:14" ht="19.5" customHeight="1">
      <c r="A29" s="806" t="e">
        <f>IF(J29&gt;0,MAX($A$10:A28)+1,"")</f>
        <v>#REF!</v>
      </c>
      <c r="B29" s="245" t="s">
        <v>214</v>
      </c>
      <c r="C29" s="245" t="str">
        <f>VLOOKUP(B29,DICH!B:C,2,FALSE)</f>
        <v>Sand to pouring concrete</v>
      </c>
      <c r="D29" s="240" t="s">
        <v>545</v>
      </c>
      <c r="E29" s="166">
        <f>+E28</f>
        <v>25454.545454545452</v>
      </c>
      <c r="F29" s="166"/>
      <c r="G29" s="166"/>
      <c r="H29" s="166">
        <f>+H28</f>
        <v>102642.25612476908</v>
      </c>
      <c r="I29" s="166">
        <f t="shared" si="2"/>
        <v>128096.80157931453</v>
      </c>
      <c r="J29" s="323" t="s">
        <v>457</v>
      </c>
      <c r="K29" s="166"/>
      <c r="L29" s="322" t="s">
        <v>577</v>
      </c>
      <c r="M29" s="1062" t="s">
        <v>4188</v>
      </c>
      <c r="N29" s="193"/>
    </row>
    <row r="30" spans="1:14" ht="19.5" customHeight="1">
      <c r="A30" s="806" t="e">
        <f>IF(J30&gt;0,MAX($A$10:A29)+1,"")</f>
        <v>#REF!</v>
      </c>
      <c r="B30" s="245" t="s">
        <v>3994</v>
      </c>
      <c r="C30" s="245" t="str">
        <f>VLOOKUP(B30,DICH!B:C,2,FALSE)</f>
        <v>Compensation resources</v>
      </c>
      <c r="D30" s="240" t="s">
        <v>545</v>
      </c>
      <c r="E30" s="166"/>
      <c r="F30" s="166">
        <v>2000</v>
      </c>
      <c r="G30" s="664"/>
      <c r="H30" s="166"/>
      <c r="I30" s="166">
        <f t="shared" si="2"/>
        <v>2000</v>
      </c>
      <c r="J30" s="323" t="s">
        <v>457</v>
      </c>
      <c r="K30" s="166" t="s">
        <v>457</v>
      </c>
      <c r="L30" s="322" t="s">
        <v>3992</v>
      </c>
      <c r="M30" s="1062" t="s">
        <v>4928</v>
      </c>
      <c r="N30" s="193"/>
    </row>
    <row r="31" spans="1:14" ht="25.5" customHeight="1">
      <c r="A31" s="806" t="e">
        <f>IF(J31&gt;0,MAX($A$10:A30)+1,"")</f>
        <v>#REF!</v>
      </c>
      <c r="B31" s="245" t="s">
        <v>383</v>
      </c>
      <c r="C31" s="245" t="str">
        <f>VLOOKUP(B31,DICH!B:C,2,FALSE)</f>
        <v>Clay</v>
      </c>
      <c r="D31" s="240" t="s">
        <v>545</v>
      </c>
      <c r="E31" s="166"/>
      <c r="F31" s="166"/>
      <c r="G31" s="664"/>
      <c r="H31" s="166">
        <f>'14.boc xep'!M15</f>
        <v>65283.353063803646</v>
      </c>
      <c r="I31" s="166">
        <f>'14.boc xep'!M15</f>
        <v>65283.353063803646</v>
      </c>
      <c r="J31" s="323" t="e">
        <f>SUMIF('8.Dgia'!E:E,'11.gia '!B31,'8.Dgia'!P:P)</f>
        <v>#REF!</v>
      </c>
      <c r="K31" s="166" t="e">
        <f>J31*I31</f>
        <v>#REF!</v>
      </c>
      <c r="L31" s="322" t="s">
        <v>3996</v>
      </c>
      <c r="M31" s="1062"/>
      <c r="N31" s="193"/>
    </row>
    <row r="32" spans="1:14" ht="19.5" customHeight="1">
      <c r="A32" s="806" t="e">
        <f>IF(J32&gt;0,MAX($A$10:A31)+1,"")</f>
        <v>#REF!</v>
      </c>
      <c r="B32" s="245" t="s">
        <v>191</v>
      </c>
      <c r="C32" s="245" t="str">
        <f>VLOOKUP(B32,DICH!B:C,2,FALSE)</f>
        <v>Selective aggregate</v>
      </c>
      <c r="D32" s="239" t="s">
        <v>545</v>
      </c>
      <c r="E32" s="166">
        <v>46818</v>
      </c>
      <c r="F32" s="166"/>
      <c r="G32" s="166"/>
      <c r="H32" s="166">
        <f>+'13.vanchuyen'!$AI$56</f>
        <v>144322.65112476909</v>
      </c>
      <c r="I32" s="166">
        <f t="shared" si="2"/>
        <v>191140.65112476909</v>
      </c>
      <c r="J32" s="323" t="e">
        <f>SUMIF('8.Dgia'!E:E,'11.gia '!B32,'8.Dgia'!P:P)</f>
        <v>#REF!</v>
      </c>
      <c r="K32" s="166" t="e">
        <f t="shared" si="1"/>
        <v>#REF!</v>
      </c>
      <c r="L32" s="324" t="s">
        <v>3558</v>
      </c>
      <c r="M32" s="1062" t="s">
        <v>4929</v>
      </c>
      <c r="N32" s="193"/>
    </row>
    <row r="33" spans="1:14" ht="19.5" customHeight="1">
      <c r="A33" s="806" t="e">
        <f>IF(J33&gt;0,MAX($A$10:A32)+1,"")</f>
        <v>#REF!</v>
      </c>
      <c r="B33" s="245" t="s">
        <v>587</v>
      </c>
      <c r="C33" s="245" t="str">
        <f>VLOOKUP(B33,DICH!B:C,2,FALSE)</f>
        <v>cement PC30</v>
      </c>
      <c r="D33" s="240" t="s">
        <v>558</v>
      </c>
      <c r="E33" s="1002">
        <f>'Cong bo gia'!D203/50</f>
        <v>1290.9090909090908</v>
      </c>
      <c r="F33" s="166"/>
      <c r="G33" s="166"/>
      <c r="H33" s="166">
        <f>'13.vanchuyen'!$AI$43/1000</f>
        <v>161.93176</v>
      </c>
      <c r="I33" s="166">
        <f t="shared" ref="I33:I38" si="3">SUM(E33:H33)</f>
        <v>1452.8408509090907</v>
      </c>
      <c r="J33" s="323" t="e">
        <f>SUMIF('8.Dgia'!E:E,'11.gia '!B33,'8.Dgia'!P:P)</f>
        <v>#REF!</v>
      </c>
      <c r="K33" s="166" t="e">
        <f t="shared" si="1"/>
        <v>#REF!</v>
      </c>
      <c r="L33" s="322" t="s">
        <v>5188</v>
      </c>
      <c r="M33" s="1062" t="s">
        <v>5189</v>
      </c>
      <c r="N33" s="193"/>
    </row>
    <row r="34" spans="1:14" ht="19.5" customHeight="1">
      <c r="A34" s="806" t="e">
        <f>IF(J34&gt;0,MAX($A$10:A33)+1,"")</f>
        <v>#REF!</v>
      </c>
      <c r="B34" s="245" t="s">
        <v>458</v>
      </c>
      <c r="C34" s="245" t="str">
        <f>VLOOKUP(B34,DICH!B:C,2,FALSE)</f>
        <v>cement PC40</v>
      </c>
      <c r="D34" s="240" t="s">
        <v>558</v>
      </c>
      <c r="E34" s="1002">
        <f>'Cong bo gia'!D204/50</f>
        <v>1345.4545454545453</v>
      </c>
      <c r="F34" s="166"/>
      <c r="G34" s="166"/>
      <c r="H34" s="1002">
        <f>'13.vanchuyen'!$AI$43/1000</f>
        <v>161.93176</v>
      </c>
      <c r="I34" s="166">
        <f t="shared" si="3"/>
        <v>1507.3863054545452</v>
      </c>
      <c r="J34" s="323" t="e">
        <f>SUMIF('8.Dgia'!E:E,'11.gia '!B34,'8.Dgia'!P:P)</f>
        <v>#REF!</v>
      </c>
      <c r="K34" s="166" t="e">
        <f t="shared" si="1"/>
        <v>#REF!</v>
      </c>
      <c r="L34" s="322" t="s">
        <v>5644</v>
      </c>
      <c r="M34" s="1062" t="s">
        <v>5645</v>
      </c>
      <c r="N34" s="193"/>
    </row>
    <row r="35" spans="1:14" ht="26.25" customHeight="1">
      <c r="A35" s="806" t="e">
        <f>IF(J35&gt;0,MAX($A$10:A34)+1,"")</f>
        <v>#REF!</v>
      </c>
      <c r="B35" s="245" t="s">
        <v>371</v>
      </c>
      <c r="C35" s="245" t="str">
        <f>VLOOKUP(B35,DICH!B:C,2,FALSE)</f>
        <v>steel bar D&lt;=10</v>
      </c>
      <c r="D35" s="240" t="s">
        <v>558</v>
      </c>
      <c r="E35" s="166">
        <f>'Cong bo gia'!E228</f>
        <v>16610</v>
      </c>
      <c r="F35" s="166"/>
      <c r="G35" s="166"/>
      <c r="H35" s="166">
        <f>'13.vanchuyen'!$AI$49/1000</f>
        <v>144.07556</v>
      </c>
      <c r="I35" s="166">
        <f t="shared" si="3"/>
        <v>16754.075560000001</v>
      </c>
      <c r="J35" s="323" t="e">
        <f>SUMIF('8.Dgia'!E:E,'11.gia '!B35,'8.Dgia'!P:P)</f>
        <v>#REF!</v>
      </c>
      <c r="K35" s="166" t="e">
        <f t="shared" si="1"/>
        <v>#REF!</v>
      </c>
      <c r="L35" s="324" t="s">
        <v>5646</v>
      </c>
      <c r="M35" s="1063" t="s">
        <v>5647</v>
      </c>
      <c r="N35" s="193"/>
    </row>
    <row r="36" spans="1:14" ht="22.5" customHeight="1">
      <c r="A36" s="806" t="e">
        <f>IF(J36&gt;0,MAX($A$10:A35)+1,"")</f>
        <v>#REF!</v>
      </c>
      <c r="B36" s="245" t="s">
        <v>671</v>
      </c>
      <c r="C36" s="245" t="str">
        <f>VLOOKUP(B36,DICH!B:C,2,FALSE)</f>
        <v>steel bar D&lt;=18</v>
      </c>
      <c r="D36" s="240" t="s">
        <v>558</v>
      </c>
      <c r="E36" s="166">
        <f>'Cong bo gia'!E229</f>
        <v>16460</v>
      </c>
      <c r="F36" s="166"/>
      <c r="G36" s="166"/>
      <c r="H36" s="166">
        <f>'13.vanchuyen'!$AI$49/1000</f>
        <v>144.07556</v>
      </c>
      <c r="I36" s="166">
        <f t="shared" si="3"/>
        <v>16604.075560000001</v>
      </c>
      <c r="J36" s="323" t="e">
        <f>SUMIF('8.Dgia'!E:E,'11.gia '!B36,'8.Dgia'!P:P)</f>
        <v>#REF!</v>
      </c>
      <c r="K36" s="166" t="e">
        <f t="shared" si="1"/>
        <v>#REF!</v>
      </c>
      <c r="L36" s="324" t="s">
        <v>5648</v>
      </c>
      <c r="M36" s="1063" t="s">
        <v>5649</v>
      </c>
      <c r="N36" s="193"/>
    </row>
    <row r="37" spans="1:14" ht="19.5" customHeight="1">
      <c r="A37" s="806" t="e">
        <f>IF(J37&gt;0,MAX($A$10:A36)+1,"")</f>
        <v>#REF!</v>
      </c>
      <c r="B37" s="245" t="s">
        <v>664</v>
      </c>
      <c r="C37" s="245" t="str">
        <f>VLOOKUP(B37,DICH!B:C,2,FALSE)</f>
        <v>steel bar D&gt;18</v>
      </c>
      <c r="D37" s="240" t="s">
        <v>558</v>
      </c>
      <c r="E37" s="166">
        <f>+E36</f>
        <v>16460</v>
      </c>
      <c r="F37" s="166"/>
      <c r="G37" s="166"/>
      <c r="H37" s="166">
        <f>'13.vanchuyen'!$AI$49/1000</f>
        <v>144.07556</v>
      </c>
      <c r="I37" s="166">
        <f t="shared" si="3"/>
        <v>16604.075560000001</v>
      </c>
      <c r="J37" s="323" t="e">
        <f>SUMIF('8.Dgia'!E:E,'11.gia '!B37,'8.Dgia'!P:P)</f>
        <v>#REF!</v>
      </c>
      <c r="K37" s="166" t="e">
        <f t="shared" si="1"/>
        <v>#REF!</v>
      </c>
      <c r="L37" s="322" t="s">
        <v>637</v>
      </c>
      <c r="M37" s="1062" t="s">
        <v>3652</v>
      </c>
      <c r="N37" s="193"/>
    </row>
    <row r="38" spans="1:14" ht="19.5" customHeight="1">
      <c r="A38" s="806" t="e">
        <f>IF(J38&gt;0,MAX($A$10:A37)+1,"")</f>
        <v>#REF!</v>
      </c>
      <c r="B38" s="245" t="s">
        <v>563</v>
      </c>
      <c r="C38" s="245" t="str">
        <f>VLOOKUP(B38,DICH!B:C,2,FALSE)</f>
        <v>Shaped steel</v>
      </c>
      <c r="D38" s="240" t="s">
        <v>558</v>
      </c>
      <c r="E38" s="166">
        <f>'Cong bo gia'!E273</f>
        <v>16559.172809172807</v>
      </c>
      <c r="F38" s="166"/>
      <c r="G38" s="166"/>
      <c r="H38" s="166">
        <f>'13.vanchuyen'!$AI$49/1000</f>
        <v>144.07556</v>
      </c>
      <c r="I38" s="166">
        <f t="shared" si="3"/>
        <v>16703.248369172808</v>
      </c>
      <c r="J38" s="323" t="e">
        <f>SUMIF('8.Dgia'!E:E,'11.gia '!B38,'8.Dgia'!P:P)</f>
        <v>#REF!</v>
      </c>
      <c r="K38" s="166" t="e">
        <f t="shared" si="1"/>
        <v>#REF!</v>
      </c>
      <c r="L38" s="322" t="s">
        <v>5650</v>
      </c>
      <c r="M38" s="1062" t="s">
        <v>5651</v>
      </c>
      <c r="N38" s="193"/>
    </row>
    <row r="39" spans="1:14" ht="19.5" customHeight="1">
      <c r="A39" s="806" t="e">
        <f>IF(J39&gt;0,MAX($A$10:A38)+1,"")</f>
        <v>#REF!</v>
      </c>
      <c r="B39" s="245" t="s">
        <v>3978</v>
      </c>
      <c r="C39" s="245" t="str">
        <f>VLOOKUP(B39,DICH!B:C,2,FALSE)</f>
        <v>Shaped steel of supporting frame system</v>
      </c>
      <c r="D39" s="240" t="s">
        <v>558</v>
      </c>
      <c r="E39" s="166">
        <f>E38</f>
        <v>16559.172809172807</v>
      </c>
      <c r="F39" s="166"/>
      <c r="G39" s="166"/>
      <c r="H39" s="166">
        <f>'13.vanchuyen'!$AI$49/1000</f>
        <v>144.07556</v>
      </c>
      <c r="I39" s="166">
        <f>SUM(E39:H39)</f>
        <v>16703.248369172808</v>
      </c>
      <c r="J39" s="323" t="e">
        <f>SUMIF('8.Dgia'!E:E,'11.gia '!B39,'8.Dgia'!P:P)</f>
        <v>#REF!</v>
      </c>
      <c r="K39" s="166" t="e">
        <f>J39*I39</f>
        <v>#REF!</v>
      </c>
      <c r="L39" s="322" t="s">
        <v>5650</v>
      </c>
      <c r="M39" s="1062" t="s">
        <v>5651</v>
      </c>
      <c r="N39" s="193"/>
    </row>
    <row r="40" spans="1:14" ht="19.5" customHeight="1">
      <c r="A40" s="806" t="e">
        <f>IF(J40&gt;0,MAX($A$10:A39)+1,"")</f>
        <v>#REF!</v>
      </c>
      <c r="B40" s="245" t="s">
        <v>3979</v>
      </c>
      <c r="C40" s="245" t="str">
        <f>VLOOKUP(B40,DICH!B:C,2,FALSE)</f>
        <v>Shaped steel of formwork system</v>
      </c>
      <c r="D40" s="240" t="s">
        <v>558</v>
      </c>
      <c r="E40" s="166">
        <f>E39</f>
        <v>16559.172809172807</v>
      </c>
      <c r="F40" s="166"/>
      <c r="G40" s="166"/>
      <c r="H40" s="166">
        <f>'13.vanchuyen'!$AI$49/1000</f>
        <v>144.07556</v>
      </c>
      <c r="I40" s="166">
        <f>SUM(E40:H40)</f>
        <v>16703.248369172808</v>
      </c>
      <c r="J40" s="323" t="e">
        <f>SUMIF('8.Dgia'!E:E,'11.gia '!B40,'8.Dgia'!P:P)</f>
        <v>#REF!</v>
      </c>
      <c r="K40" s="166" t="e">
        <f>J40*I40</f>
        <v>#REF!</v>
      </c>
      <c r="L40" s="322" t="s">
        <v>5650</v>
      </c>
      <c r="M40" s="1062" t="s">
        <v>5651</v>
      </c>
      <c r="N40" s="193"/>
    </row>
    <row r="41" spans="1:14" ht="19.5" customHeight="1">
      <c r="A41" s="806" t="e">
        <f>IF(J41&gt;0,MAX($A$10:A40)+1,"")</f>
        <v>#REF!</v>
      </c>
      <c r="B41" s="245" t="s">
        <v>431</v>
      </c>
      <c r="C41" s="245" t="str">
        <f>VLOOKUP(B41,DICH!B:C,2,FALSE)</f>
        <v>pipe steel</v>
      </c>
      <c r="D41" s="240" t="s">
        <v>558</v>
      </c>
      <c r="E41" s="166"/>
      <c r="F41" s="166"/>
      <c r="G41" s="166"/>
      <c r="H41" s="166"/>
      <c r="I41" s="166">
        <f>+I38</f>
        <v>16703.248369172808</v>
      </c>
      <c r="J41" s="323" t="e">
        <f>SUMIF('8.Dgia'!E:E,'11.gia '!B41,'8.Dgia'!P:P)</f>
        <v>#REF!</v>
      </c>
      <c r="K41" s="166" t="e">
        <f t="shared" si="1"/>
        <v>#REF!</v>
      </c>
      <c r="L41" s="322" t="s">
        <v>81</v>
      </c>
      <c r="M41" s="1062" t="s">
        <v>4930</v>
      </c>
      <c r="N41" s="193"/>
    </row>
    <row r="42" spans="1:14" ht="19.5" customHeight="1">
      <c r="A42" s="806" t="e">
        <f>IF(J42&gt;0,MAX($A$10:A41)+1,"")</f>
        <v>#REF!</v>
      </c>
      <c r="B42" s="245" t="s">
        <v>562</v>
      </c>
      <c r="C42" s="245" t="str">
        <f>VLOOKUP(B42,DICH!B:C,2,FALSE)</f>
        <v>Plate steel</v>
      </c>
      <c r="D42" s="240" t="s">
        <v>558</v>
      </c>
      <c r="E42" s="166">
        <f>'Cong bo gia'!E263</f>
        <v>12727.272727272726</v>
      </c>
      <c r="F42" s="166"/>
      <c r="G42" s="166"/>
      <c r="H42" s="166">
        <f>'13.vanchuyen'!$AI$49/1000</f>
        <v>144.07556</v>
      </c>
      <c r="I42" s="166">
        <f>SUM(E42:H42)</f>
        <v>12871.348287272725</v>
      </c>
      <c r="J42" s="323" t="e">
        <f>SUMIF('8.Dgia'!E:E,'11.gia '!B42,'8.Dgia'!P:P)</f>
        <v>#REF!</v>
      </c>
      <c r="K42" s="166" t="e">
        <f t="shared" si="1"/>
        <v>#REF!</v>
      </c>
      <c r="L42" s="322" t="s">
        <v>5652</v>
      </c>
      <c r="M42" s="1062" t="s">
        <v>5653</v>
      </c>
      <c r="N42" s="193"/>
    </row>
    <row r="43" spans="1:14" ht="19.5" customHeight="1">
      <c r="A43" s="806" t="e">
        <f>IF(J43&gt;0,MAX($A$10:A42)+1,"")</f>
        <v>#REF!</v>
      </c>
      <c r="B43" s="245" t="s">
        <v>3980</v>
      </c>
      <c r="C43" s="245" t="str">
        <f>VLOOKUP(B43,DICH!B:C,2,FALSE)</f>
        <v>plate steel of supporting frame system</v>
      </c>
      <c r="D43" s="240" t="s">
        <v>558</v>
      </c>
      <c r="E43" s="166">
        <f>E42</f>
        <v>12727.272727272726</v>
      </c>
      <c r="F43" s="166"/>
      <c r="G43" s="166"/>
      <c r="H43" s="166">
        <f>'13.vanchuyen'!$AI$49/1000</f>
        <v>144.07556</v>
      </c>
      <c r="I43" s="166">
        <f>SUM(E43:H43)</f>
        <v>12871.348287272725</v>
      </c>
      <c r="J43" s="323" t="e">
        <f>SUMIF('8.Dgia'!E:E,'11.gia '!B43,'8.Dgia'!P:P)</f>
        <v>#REF!</v>
      </c>
      <c r="K43" s="166" t="e">
        <f>J43*I43</f>
        <v>#REF!</v>
      </c>
      <c r="L43" s="322" t="s">
        <v>5652</v>
      </c>
      <c r="M43" s="1062" t="s">
        <v>5653</v>
      </c>
      <c r="N43" s="193"/>
    </row>
    <row r="44" spans="1:14" ht="19.5" customHeight="1">
      <c r="A44" s="806" t="e">
        <f>IF(J44&gt;0,MAX($A$10:A43)+1,"")</f>
        <v>#REF!</v>
      </c>
      <c r="B44" s="245" t="s">
        <v>3981</v>
      </c>
      <c r="C44" s="245" t="str">
        <f>VLOOKUP(B44,DICH!B:C,2,FALSE)</f>
        <v>plate steel of formwork system</v>
      </c>
      <c r="D44" s="240" t="s">
        <v>558</v>
      </c>
      <c r="E44" s="166">
        <f>E43</f>
        <v>12727.272727272726</v>
      </c>
      <c r="F44" s="166"/>
      <c r="G44" s="166"/>
      <c r="H44" s="166">
        <f>'13.vanchuyen'!$AI$49/1000</f>
        <v>144.07556</v>
      </c>
      <c r="I44" s="166">
        <f>SUM(E44:H44)</f>
        <v>12871.348287272725</v>
      </c>
      <c r="J44" s="323" t="e">
        <f>SUMIF('8.Dgia'!E:E,'11.gia '!B44,'8.Dgia'!P:P)</f>
        <v>#REF!</v>
      </c>
      <c r="K44" s="166" t="e">
        <f>J44*I44</f>
        <v>#REF!</v>
      </c>
      <c r="L44" s="322" t="s">
        <v>5652</v>
      </c>
      <c r="M44" s="1062" t="s">
        <v>5653</v>
      </c>
      <c r="N44" s="193"/>
    </row>
    <row r="45" spans="1:14" ht="19.5" customHeight="1">
      <c r="A45" s="806" t="e">
        <f>IF(J45&gt;0,MAX($A$10:A44)+1,"")</f>
        <v>#REF!</v>
      </c>
      <c r="B45" s="245" t="s">
        <v>638</v>
      </c>
      <c r="C45" s="245" t="str">
        <f>VLOOKUP(B45,DICH!B:C,2,FALSE)</f>
        <v>Steel sheet stake</v>
      </c>
      <c r="D45" s="240" t="s">
        <v>543</v>
      </c>
      <c r="E45" s="166"/>
      <c r="F45" s="166"/>
      <c r="G45" s="166"/>
      <c r="H45" s="166"/>
      <c r="I45" s="166">
        <f>+I38*76.1</f>
        <v>1271117.2008940505</v>
      </c>
      <c r="J45" s="323" t="e">
        <f>SUMIF('8.Dgia'!E:E,'11.gia '!B45,'8.Dgia'!P:P)</f>
        <v>#REF!</v>
      </c>
      <c r="K45" s="166" t="e">
        <f t="shared" si="1"/>
        <v>#REF!</v>
      </c>
      <c r="L45" s="322" t="s">
        <v>5190</v>
      </c>
      <c r="M45" s="1062" t="s">
        <v>5191</v>
      </c>
      <c r="N45" s="193"/>
    </row>
    <row r="46" spans="1:14" ht="19.5" customHeight="1">
      <c r="A46" s="806" t="e">
        <f>IF(J46&gt;0,MAX($A$10:A45)+1,"")</f>
        <v>#REF!</v>
      </c>
      <c r="B46" s="245" t="s">
        <v>5600</v>
      </c>
      <c r="C46" s="245" t="str">
        <f>VLOOKUP(B46,DICH!B:C,2,FALSE)</f>
        <v>Shaped steel H250x250</v>
      </c>
      <c r="D46" s="240" t="s">
        <v>543</v>
      </c>
      <c r="E46" s="166"/>
      <c r="F46" s="166"/>
      <c r="G46" s="166"/>
      <c r="H46" s="166"/>
      <c r="I46" s="166">
        <f>+I38*74.2</f>
        <v>1239381.0289926224</v>
      </c>
      <c r="J46" s="323" t="e">
        <f>SUMIF('8.Dgia'!E:E,'11.gia '!B46,'8.Dgia'!P:P)</f>
        <v>#REF!</v>
      </c>
      <c r="K46" s="166" t="e">
        <f t="shared" si="1"/>
        <v>#REF!</v>
      </c>
      <c r="L46" s="322" t="s">
        <v>5606</v>
      </c>
      <c r="M46" s="1062" t="s">
        <v>5607</v>
      </c>
      <c r="N46" s="193"/>
    </row>
    <row r="47" spans="1:14" ht="19.5" customHeight="1">
      <c r="A47" s="806" t="e">
        <f>IF(J47&gt;0,MAX($A$10:A46)+1,"")</f>
        <v>#REF!</v>
      </c>
      <c r="B47" s="245" t="s">
        <v>83</v>
      </c>
      <c r="C47" s="245" t="str">
        <f>VLOOKUP(B47,DICH!B:C,2,FALSE)</f>
        <v>Tole thicknees 2mm</v>
      </c>
      <c r="D47" s="240" t="s">
        <v>558</v>
      </c>
      <c r="E47" s="166"/>
      <c r="F47" s="166">
        <v>20000</v>
      </c>
      <c r="G47" s="166"/>
      <c r="H47" s="166"/>
      <c r="I47" s="166">
        <f>SUM(E47:G47)</f>
        <v>20000</v>
      </c>
      <c r="J47" s="323" t="e">
        <f>SUMIF('8.Dgia'!E:E,'11.gia '!B47,'8.Dgia'!P:P)</f>
        <v>#REF!</v>
      </c>
      <c r="K47" s="166" t="e">
        <f t="shared" si="1"/>
        <v>#REF!</v>
      </c>
      <c r="L47" s="322" t="s">
        <v>306</v>
      </c>
      <c r="M47" s="1062" t="s">
        <v>4993</v>
      </c>
      <c r="N47" s="193"/>
    </row>
    <row r="48" spans="1:14" ht="19.5" customHeight="1">
      <c r="A48" s="806" t="str">
        <f>IF(J48&gt;0,MAX($A$10:A47)+1,"")</f>
        <v/>
      </c>
      <c r="B48" s="699" t="s">
        <v>508</v>
      </c>
      <c r="C48" s="245"/>
      <c r="D48" s="240"/>
      <c r="E48" s="166"/>
      <c r="F48" s="166"/>
      <c r="G48" s="166"/>
      <c r="H48" s="166"/>
      <c r="I48" s="166"/>
      <c r="J48" s="323">
        <f>SUMIF('8.Dgia'!E:E,'11.gia '!B48,'8.Dgia'!P:P)</f>
        <v>0</v>
      </c>
      <c r="K48" s="166">
        <f t="shared" si="1"/>
        <v>0</v>
      </c>
      <c r="L48" s="322"/>
      <c r="M48" s="1062"/>
      <c r="N48" s="193"/>
    </row>
    <row r="49" spans="1:14" ht="21.75" customHeight="1">
      <c r="A49" s="806" t="e">
        <f>IF(J49&gt;0,MAX($A$10:A48)+1,"")</f>
        <v>#REF!</v>
      </c>
      <c r="B49" s="245" t="s">
        <v>571</v>
      </c>
      <c r="C49" s="245" t="str">
        <f>VLOOKUP(B49,DICH!B:C,2,FALSE)</f>
        <v>high strength cable</v>
      </c>
      <c r="D49" s="240" t="s">
        <v>558</v>
      </c>
      <c r="E49" s="166"/>
      <c r="F49" s="166">
        <f>'12.ssg'!K6</f>
        <v>25454.545454545452</v>
      </c>
      <c r="G49" s="166"/>
      <c r="H49" s="166"/>
      <c r="I49" s="166">
        <f>SUM(E49:H49)</f>
        <v>25454.545454545452</v>
      </c>
      <c r="J49" s="323" t="e">
        <f>SUMIF('8.Dgia'!E:E,'11.gia '!B49,'8.Dgia'!P:P)</f>
        <v>#REF!</v>
      </c>
      <c r="K49" s="166" t="e">
        <f t="shared" si="1"/>
        <v>#REF!</v>
      </c>
      <c r="L49" s="322" t="str">
        <f>'[5]12.ssg'!K6</f>
        <v>Vĩnh Hưng ngày 20/5/2013</v>
      </c>
      <c r="M49" s="1064" t="s">
        <v>4953</v>
      </c>
      <c r="N49" s="193"/>
    </row>
    <row r="50" spans="1:14" ht="19.5" customHeight="1">
      <c r="A50" s="806" t="e">
        <f>IF(J50&gt;0,MAX($A$10:A49)+1,"")</f>
        <v>#REF!</v>
      </c>
      <c r="B50" s="245" t="s">
        <v>509</v>
      </c>
      <c r="C50" s="245" t="str">
        <f>VLOOKUP(B50,DICH!B:C,2,FALSE)</f>
        <v>Cable steel pipe D80/87</v>
      </c>
      <c r="D50" s="240" t="s">
        <v>543</v>
      </c>
      <c r="E50" s="166"/>
      <c r="F50" s="166">
        <f>'12.ssg'!K27</f>
        <v>38181.818181818177</v>
      </c>
      <c r="G50" s="166"/>
      <c r="H50" s="166"/>
      <c r="I50" s="166">
        <f t="shared" ref="I50:I80" si="4">SUM(E50:H50)</f>
        <v>38181.818181818177</v>
      </c>
      <c r="J50" s="323" t="e">
        <f>SUMIF('8.Dgia'!E:E,'11.gia '!B50,'8.Dgia'!P:P)</f>
        <v>#REF!</v>
      </c>
      <c r="K50" s="166" t="e">
        <f t="shared" si="1"/>
        <v>#REF!</v>
      </c>
      <c r="L50" s="322" t="str">
        <f>'[5]12.ssg'!K25</f>
        <v>Vĩnh Hưng ngày 20/5/2013</v>
      </c>
      <c r="M50" s="1064" t="s">
        <v>4953</v>
      </c>
      <c r="N50" s="193"/>
    </row>
    <row r="51" spans="1:14" ht="19.5" customHeight="1">
      <c r="A51" s="806" t="e">
        <f>IF(J51&gt;0,MAX($A$10:A50)+1,"")</f>
        <v>#REF!</v>
      </c>
      <c r="B51" s="245" t="s">
        <v>2066</v>
      </c>
      <c r="C51" s="245" t="str">
        <f>VLOOKUP(B51,DICH!B:C,2,FALSE)</f>
        <v>Cable steel pipe D110/117</v>
      </c>
      <c r="D51" s="240" t="s">
        <v>543</v>
      </c>
      <c r="E51" s="166"/>
      <c r="F51" s="166">
        <f>'12.ssg'!K26</f>
        <v>42727.272727272721</v>
      </c>
      <c r="G51" s="166"/>
      <c r="H51" s="166"/>
      <c r="I51" s="166">
        <f t="shared" si="4"/>
        <v>42727.272727272721</v>
      </c>
      <c r="J51" s="323" t="e">
        <f>SUMIF('8.Dgia'!E:E,'11.gia '!B51,'8.Dgia'!P:P)</f>
        <v>#REF!</v>
      </c>
      <c r="K51" s="166" t="e">
        <f t="shared" si="1"/>
        <v>#REF!</v>
      </c>
      <c r="L51" s="322" t="str">
        <f>'[5]12.ssg'!K24</f>
        <v>Vĩnh Hưng ngày 20/5/2013</v>
      </c>
      <c r="M51" s="1064" t="s">
        <v>4953</v>
      </c>
      <c r="N51" s="193"/>
    </row>
    <row r="52" spans="1:14" ht="19.5" customHeight="1">
      <c r="A52" s="806" t="e">
        <f>IF(J52&gt;0,MAX($A$10:A51)+1,"")</f>
        <v>#REF!</v>
      </c>
      <c r="B52" s="245" t="s">
        <v>2067</v>
      </c>
      <c r="C52" s="245" t="str">
        <f>VLOOKUP(B52,DICH!B:C,2,FALSE)</f>
        <v>Duct 20x75</v>
      </c>
      <c r="D52" s="240" t="s">
        <v>543</v>
      </c>
      <c r="E52" s="166"/>
      <c r="F52" s="166">
        <f>'12.ssg'!E28</f>
        <v>26363.63636363636</v>
      </c>
      <c r="G52" s="166"/>
      <c r="H52" s="166"/>
      <c r="I52" s="166">
        <f t="shared" si="4"/>
        <v>26363.63636363636</v>
      </c>
      <c r="J52" s="323" t="e">
        <f>SUMIF('8.Dgia'!E:E,'11.gia '!B52,'8.Dgia'!P:P)</f>
        <v>#REF!</v>
      </c>
      <c r="K52" s="166" t="e">
        <f t="shared" si="1"/>
        <v>#REF!</v>
      </c>
      <c r="L52" s="322" t="str">
        <f>'[5]12.ssg'!K26</f>
        <v>Vĩnh Hưng ngày 20/5/2013</v>
      </c>
      <c r="M52" s="1064" t="s">
        <v>4953</v>
      </c>
      <c r="N52" s="193"/>
    </row>
    <row r="53" spans="1:14" ht="19.5" customHeight="1">
      <c r="A53" s="806" t="e">
        <f>IF(J53&gt;0,MAX($A$10:A52)+1,"")</f>
        <v>#REF!</v>
      </c>
      <c r="B53" s="245" t="s">
        <v>2152</v>
      </c>
      <c r="C53" s="245" t="str">
        <f>VLOOKUP(B53,DICH!B:C,2,FALSE)</f>
        <v>joint pipe PVC D110/117</v>
      </c>
      <c r="D53" s="240" t="s">
        <v>543</v>
      </c>
      <c r="E53" s="166"/>
      <c r="F53" s="166">
        <f>'12.ssg'!K29</f>
        <v>40909.090909090904</v>
      </c>
      <c r="G53" s="166"/>
      <c r="H53" s="166"/>
      <c r="I53" s="166">
        <f>+I51</f>
        <v>42727.272727272721</v>
      </c>
      <c r="J53" s="323" t="e">
        <f>SUMIF('8.Dgia'!E:E,'11.gia '!B53,'8.Dgia'!P:P)</f>
        <v>#REF!</v>
      </c>
      <c r="K53" s="166" t="e">
        <f t="shared" si="1"/>
        <v>#REF!</v>
      </c>
      <c r="L53" s="245" t="str">
        <f>'[5]12.ssg'!K27</f>
        <v>Vĩnh Hưng ngày 20/5/2013</v>
      </c>
      <c r="M53" s="1064" t="s">
        <v>4953</v>
      </c>
      <c r="N53" s="193"/>
    </row>
    <row r="54" spans="1:14" ht="19.5" customHeight="1">
      <c r="A54" s="806" t="e">
        <f>IF(J54&gt;0,MAX($A$10:A53)+1,"")</f>
        <v>#REF!</v>
      </c>
      <c r="B54" s="245" t="s">
        <v>2153</v>
      </c>
      <c r="C54" s="245" t="str">
        <f>VLOOKUP(B54,DICH!B:C,2,FALSE)</f>
        <v>joint pipe PVC D80/87</v>
      </c>
      <c r="D54" s="240" t="s">
        <v>543</v>
      </c>
      <c r="E54" s="166"/>
      <c r="F54" s="166">
        <f>'12.ssg'!K30</f>
        <v>29999.999999999996</v>
      </c>
      <c r="G54" s="166"/>
      <c r="H54" s="166"/>
      <c r="I54" s="166">
        <f>+I50</f>
        <v>38181.818181818177</v>
      </c>
      <c r="J54" s="323" t="e">
        <f>SUMIF('8.Dgia'!E:E,'11.gia '!B54,'8.Dgia'!P:P)</f>
        <v>#REF!</v>
      </c>
      <c r="K54" s="166" t="e">
        <f t="shared" si="1"/>
        <v>#REF!</v>
      </c>
      <c r="L54" s="245" t="str">
        <f>'[5]12.ssg'!K28</f>
        <v>Vĩnh Hưng ngày 20/5/2013</v>
      </c>
      <c r="M54" s="1064" t="s">
        <v>4953</v>
      </c>
      <c r="N54" s="193"/>
    </row>
    <row r="55" spans="1:14" ht="19.5" customHeight="1">
      <c r="A55" s="806" t="e">
        <f>IF(J55&gt;0,MAX($A$10:A54)+1,"")</f>
        <v>#REF!</v>
      </c>
      <c r="B55" s="245" t="s">
        <v>2154</v>
      </c>
      <c r="C55" s="245" t="str">
        <f>VLOOKUP(B55,DICH!B:C,2,FALSE)</f>
        <v>joint duct 20x75</v>
      </c>
      <c r="D55" s="240" t="s">
        <v>543</v>
      </c>
      <c r="E55" s="166"/>
      <c r="F55" s="166"/>
      <c r="G55" s="166"/>
      <c r="H55" s="166"/>
      <c r="I55" s="166">
        <f>+I52</f>
        <v>26363.63636363636</v>
      </c>
      <c r="J55" s="323" t="e">
        <f>SUMIF('8.Dgia'!E:E,'11.gia '!B55,'8.Dgia'!P:P)</f>
        <v>#REF!</v>
      </c>
      <c r="K55" s="166" t="e">
        <f t="shared" si="1"/>
        <v>#REF!</v>
      </c>
      <c r="L55" s="245" t="s">
        <v>3653</v>
      </c>
      <c r="M55" s="1065" t="s">
        <v>4940</v>
      </c>
      <c r="N55" s="193"/>
    </row>
    <row r="56" spans="1:14" ht="19.5" customHeight="1">
      <c r="A56" s="806" t="e">
        <f>IF(J56&gt;0,MAX($A$10:A55)+1,"")</f>
        <v>#REF!</v>
      </c>
      <c r="B56" s="245" t="s">
        <v>2155</v>
      </c>
      <c r="C56" s="245" t="str">
        <f>VLOOKUP(B56,DICH!B:C,2,FALSE)</f>
        <v>joint pipe PVC D69/72</v>
      </c>
      <c r="D56" s="240" t="s">
        <v>543</v>
      </c>
      <c r="E56" s="166"/>
      <c r="F56" s="166"/>
      <c r="G56" s="166"/>
      <c r="H56" s="166"/>
      <c r="I56" s="166">
        <f>+I60</f>
        <v>64866.666666666664</v>
      </c>
      <c r="J56" s="323" t="e">
        <f>SUMIF('8.Dgia'!E:E,'11.gia '!B56,'8.Dgia'!P:P)</f>
        <v>#REF!</v>
      </c>
      <c r="K56" s="166" t="e">
        <f t="shared" si="1"/>
        <v>#REF!</v>
      </c>
      <c r="L56" s="245" t="s">
        <v>511</v>
      </c>
      <c r="M56" s="1065" t="s">
        <v>4949</v>
      </c>
      <c r="N56" s="193"/>
    </row>
    <row r="57" spans="1:14" ht="19.5" customHeight="1">
      <c r="A57" s="806" t="e">
        <f>IF(J57&gt;0,MAX($A$10:A56)+1,"")</f>
        <v>#REF!</v>
      </c>
      <c r="B57" s="245" t="s">
        <v>2156</v>
      </c>
      <c r="C57" s="245" t="str">
        <f>VLOOKUP(B57,DICH!B:C,2,FALSE)</f>
        <v>joint pipe PVC D84/89</v>
      </c>
      <c r="D57" s="240" t="s">
        <v>543</v>
      </c>
      <c r="E57" s="166"/>
      <c r="F57" s="166"/>
      <c r="G57" s="166"/>
      <c r="H57" s="166"/>
      <c r="I57" s="166">
        <f>+I59</f>
        <v>95033.333333333328</v>
      </c>
      <c r="J57" s="323" t="e">
        <f>SUMIF('8.Dgia'!E:E,'11.gia '!B57,'8.Dgia'!P:P)</f>
        <v>#REF!</v>
      </c>
      <c r="K57" s="166" t="e">
        <f t="shared" si="1"/>
        <v>#REF!</v>
      </c>
      <c r="L57" s="245" t="s">
        <v>510</v>
      </c>
      <c r="M57" s="1065" t="s">
        <v>4950</v>
      </c>
      <c r="N57" s="193"/>
    </row>
    <row r="58" spans="1:14" ht="19.5" customHeight="1">
      <c r="A58" s="806" t="e">
        <f>IF(J58&gt;0,MAX($A$10:A57)+1,"")</f>
        <v>#REF!</v>
      </c>
      <c r="B58" s="245" t="s">
        <v>2157</v>
      </c>
      <c r="C58" s="245" t="str">
        <f>VLOOKUP(B58,DICH!B:C,2,FALSE)</f>
        <v>joint pipe PVC D75/80</v>
      </c>
      <c r="D58" s="240" t="s">
        <v>543</v>
      </c>
      <c r="E58" s="166"/>
      <c r="F58" s="166"/>
      <c r="G58" s="166"/>
      <c r="H58" s="166"/>
      <c r="I58" s="166">
        <f>+I61</f>
        <v>80583.333333333328</v>
      </c>
      <c r="J58" s="323" t="e">
        <f>SUMIF('8.Dgia'!E:E,'11.gia '!B58,'8.Dgia'!P:P)</f>
        <v>#REF!</v>
      </c>
      <c r="K58" s="166" t="e">
        <f t="shared" si="1"/>
        <v>#REF!</v>
      </c>
      <c r="L58" s="245" t="s">
        <v>512</v>
      </c>
      <c r="M58" s="1065" t="s">
        <v>4951</v>
      </c>
      <c r="N58" s="193"/>
    </row>
    <row r="59" spans="1:14" ht="19.5" customHeight="1">
      <c r="A59" s="806" t="e">
        <f>IF(J59&gt;0,MAX($A$10:A58)+1,"")</f>
        <v>#REF!</v>
      </c>
      <c r="B59" s="245" t="s">
        <v>510</v>
      </c>
      <c r="C59" s="245" t="str">
        <f>VLOOKUP(B59,DICH!B:C,2,FALSE)</f>
        <v>Steel pipe D84/89</v>
      </c>
      <c r="D59" s="240" t="s">
        <v>543</v>
      </c>
      <c r="E59" s="166"/>
      <c r="F59" s="166">
        <f>570200/6</f>
        <v>95033.333333333328</v>
      </c>
      <c r="G59" s="166"/>
      <c r="H59" s="166"/>
      <c r="I59" s="166">
        <f t="shared" si="4"/>
        <v>95033.333333333328</v>
      </c>
      <c r="J59" s="323" t="e">
        <f>SUMIF('8.Dgia'!E:E,'11.gia '!B59,'8.Dgia'!P:P)</f>
        <v>#REF!</v>
      </c>
      <c r="K59" s="166" t="e">
        <f t="shared" si="1"/>
        <v>#REF!</v>
      </c>
      <c r="L59" s="663" t="s">
        <v>3406</v>
      </c>
      <c r="M59" s="1062" t="s">
        <v>3406</v>
      </c>
      <c r="N59" s="193"/>
    </row>
    <row r="60" spans="1:14" ht="19.5" customHeight="1">
      <c r="A60" s="806" t="e">
        <f>IF(J60&gt;0,MAX($A$10:A59)+1,"")</f>
        <v>#REF!</v>
      </c>
      <c r="B60" s="245" t="s">
        <v>511</v>
      </c>
      <c r="C60" s="245" t="str">
        <f>VLOOKUP(B60,DICH!B:C,2,FALSE)</f>
        <v>Steel pipe D69/72</v>
      </c>
      <c r="D60" s="240" t="s">
        <v>543</v>
      </c>
      <c r="E60" s="166"/>
      <c r="F60" s="166">
        <f>389200/6</f>
        <v>64866.666666666664</v>
      </c>
      <c r="G60" s="664"/>
      <c r="H60" s="664"/>
      <c r="I60" s="166">
        <f t="shared" si="4"/>
        <v>64866.666666666664</v>
      </c>
      <c r="J60" s="323" t="e">
        <f>SUMIF('8.Dgia'!E:E,'11.gia '!B60,'8.Dgia'!P:P)</f>
        <v>#REF!</v>
      </c>
      <c r="K60" s="166" t="e">
        <f t="shared" si="1"/>
        <v>#REF!</v>
      </c>
      <c r="L60" s="663" t="s">
        <v>3406</v>
      </c>
      <c r="M60" s="1062" t="s">
        <v>3406</v>
      </c>
      <c r="N60" s="193"/>
    </row>
    <row r="61" spans="1:14" ht="19.5" customHeight="1">
      <c r="A61" s="806" t="e">
        <f>IF(J61&gt;0,MAX($A$10:A60)+1,"")</f>
        <v>#REF!</v>
      </c>
      <c r="B61" s="245" t="s">
        <v>512</v>
      </c>
      <c r="C61" s="245" t="str">
        <f>VLOOKUP(B61,DICH!B:C,2,FALSE)</f>
        <v>Steel pipe D75/80</v>
      </c>
      <c r="D61" s="240" t="s">
        <v>543</v>
      </c>
      <c r="E61" s="166"/>
      <c r="F61" s="166">
        <f>483500/6</f>
        <v>80583.333333333328</v>
      </c>
      <c r="G61" s="166"/>
      <c r="H61" s="166"/>
      <c r="I61" s="166">
        <f t="shared" si="4"/>
        <v>80583.333333333328</v>
      </c>
      <c r="J61" s="323" t="e">
        <f>SUMIF('8.Dgia'!E:E,'11.gia '!B61,'8.Dgia'!P:P)</f>
        <v>#REF!</v>
      </c>
      <c r="K61" s="166" t="e">
        <f t="shared" si="1"/>
        <v>#REF!</v>
      </c>
      <c r="L61" s="663" t="s">
        <v>3406</v>
      </c>
      <c r="M61" s="1062" t="s">
        <v>3406</v>
      </c>
      <c r="N61" s="193"/>
    </row>
    <row r="62" spans="1:14" ht="19.5" customHeight="1">
      <c r="A62" s="806" t="e">
        <f>IF(J62&gt;0,MAX($A$10:A61)+1,"")</f>
        <v>#REF!</v>
      </c>
      <c r="B62" s="245" t="s">
        <v>84</v>
      </c>
      <c r="C62" s="245" t="str">
        <f>VLOOKUP(B62,DICH!B:C,2,FALSE)</f>
        <v>High strengthen bar D36 (kg)</v>
      </c>
      <c r="D62" s="240" t="s">
        <v>558</v>
      </c>
      <c r="E62" s="166"/>
      <c r="F62" s="166">
        <f>'12.ssg'!K23</f>
        <v>86980.172563393309</v>
      </c>
      <c r="G62" s="166"/>
      <c r="H62" s="166"/>
      <c r="I62" s="166">
        <f t="shared" si="4"/>
        <v>86980.172563393309</v>
      </c>
      <c r="J62" s="323" t="e">
        <f>SUMIF('8.Dgia'!E:E,'11.gia '!B62,'8.Dgia'!P:P)</f>
        <v>#REF!</v>
      </c>
      <c r="K62" s="166" t="e">
        <f t="shared" si="1"/>
        <v>#REF!</v>
      </c>
      <c r="L62" s="322" t="str">
        <f>'[5]12.ssg'!K21</f>
        <v>EID ngày 23/5/2013</v>
      </c>
      <c r="M62" s="1062" t="s">
        <v>4952</v>
      </c>
      <c r="N62" s="193"/>
    </row>
    <row r="63" spans="1:14" ht="19.5" customHeight="1">
      <c r="A63" s="806" t="e">
        <f>IF(J63&gt;0,MAX($A$10:A62)+1,"")</f>
        <v>#REF!</v>
      </c>
      <c r="B63" s="245" t="s">
        <v>617</v>
      </c>
      <c r="C63" s="245" t="str">
        <f>VLOOKUP(B63,DICH!B:C,2,FALSE)</f>
        <v>turn buckle D38mm</v>
      </c>
      <c r="D63" s="240" t="s">
        <v>14</v>
      </c>
      <c r="E63" s="166"/>
      <c r="F63" s="166"/>
      <c r="G63" s="166">
        <v>65000</v>
      </c>
      <c r="H63" s="166"/>
      <c r="I63" s="166">
        <f t="shared" si="4"/>
        <v>65000</v>
      </c>
      <c r="J63" s="323" t="e">
        <f>SUMIF('8.Dgia'!E:E,'11.gia '!B63,'8.Dgia'!P:P)</f>
        <v>#REF!</v>
      </c>
      <c r="K63" s="166" t="e">
        <f t="shared" si="1"/>
        <v>#REF!</v>
      </c>
      <c r="L63" s="322" t="s">
        <v>3983</v>
      </c>
      <c r="M63" s="1062" t="s">
        <v>3983</v>
      </c>
      <c r="N63" s="193"/>
    </row>
    <row r="64" spans="1:14" ht="19.5" customHeight="1">
      <c r="A64" s="806" t="e">
        <f>IF(J64&gt;0,MAX($A$10:A63)+1,"")</f>
        <v>#REF!</v>
      </c>
      <c r="B64" s="245" t="s">
        <v>513</v>
      </c>
      <c r="C64" s="245" t="str">
        <f>VLOOKUP(B64,DICH!B:C,2,FALSE)</f>
        <v>Steel plate 180x180x45</v>
      </c>
      <c r="D64" s="240" t="s">
        <v>558</v>
      </c>
      <c r="E64" s="166"/>
      <c r="F64" s="166"/>
      <c r="G64" s="166"/>
      <c r="H64" s="166"/>
      <c r="I64" s="166">
        <f>I38</f>
        <v>16703.248369172808</v>
      </c>
      <c r="J64" s="323" t="e">
        <f>SUMIF('8.Dgia'!E:E,'11.gia '!B64,'8.Dgia'!P:P)</f>
        <v>#REF!</v>
      </c>
      <c r="K64" s="166" t="e">
        <f t="shared" si="1"/>
        <v>#REF!</v>
      </c>
      <c r="L64" s="322" t="s">
        <v>563</v>
      </c>
      <c r="M64" s="1062" t="s">
        <v>4558</v>
      </c>
      <c r="N64" s="193"/>
    </row>
    <row r="65" spans="1:14" ht="19.5" customHeight="1">
      <c r="A65" s="806" t="e">
        <f>IF(J65&gt;0,MAX($A$10:A64)+1,"")</f>
        <v>#REF!</v>
      </c>
      <c r="B65" s="245" t="s">
        <v>665</v>
      </c>
      <c r="C65" s="245" t="str">
        <f>VLOOKUP(B65,DICH!B:C,2,FALSE)</f>
        <v xml:space="preserve"> Active cable anchorage 12s D15.2</v>
      </c>
      <c r="D65" s="240" t="s">
        <v>307</v>
      </c>
      <c r="E65" s="166"/>
      <c r="F65" s="166">
        <f>'12.ssg'!K17</f>
        <v>1790000</v>
      </c>
      <c r="G65" s="166"/>
      <c r="H65" s="166"/>
      <c r="I65" s="166">
        <f t="shared" si="4"/>
        <v>1790000</v>
      </c>
      <c r="J65" s="323" t="e">
        <f>SUMIF('8.Dgia'!E:E,'11.gia '!B65,'8.Dgia'!P:P)</f>
        <v>#REF!</v>
      </c>
      <c r="K65" s="166" t="e">
        <f t="shared" si="1"/>
        <v>#REF!</v>
      </c>
      <c r="L65" s="245" t="s">
        <v>5230</v>
      </c>
      <c r="M65" s="1064" t="s">
        <v>5231</v>
      </c>
      <c r="N65" s="193"/>
    </row>
    <row r="66" spans="1:14" ht="19.5" customHeight="1">
      <c r="A66" s="806" t="e">
        <f>IF(J66&gt;0,MAX($A$10:A65)+1,"")</f>
        <v>#REF!</v>
      </c>
      <c r="B66" s="245" t="s">
        <v>2024</v>
      </c>
      <c r="C66" s="245" t="str">
        <f>VLOOKUP(B66,DICH!B:C,2,FALSE)</f>
        <v xml:space="preserve"> Active cable anchorage 27s D15.2</v>
      </c>
      <c r="D66" s="240" t="s">
        <v>307</v>
      </c>
      <c r="E66" s="166"/>
      <c r="F66" s="166">
        <f>'12.ssg'!K18</f>
        <v>3137989.9999999995</v>
      </c>
      <c r="G66" s="166"/>
      <c r="H66" s="166"/>
      <c r="I66" s="166">
        <f t="shared" si="4"/>
        <v>3137989.9999999995</v>
      </c>
      <c r="J66" s="323" t="e">
        <f>SUMIF('8.Dgia'!E:E,'11.gia '!B66,'8.Dgia'!P:P)</f>
        <v>#REF!</v>
      </c>
      <c r="K66" s="166" t="e">
        <f t="shared" si="1"/>
        <v>#REF!</v>
      </c>
      <c r="L66" s="245" t="s">
        <v>5230</v>
      </c>
      <c r="M66" s="1064" t="s">
        <v>5231</v>
      </c>
      <c r="N66" s="193"/>
    </row>
    <row r="67" spans="1:14" ht="19.5" customHeight="1">
      <c r="A67" s="806" t="e">
        <f>IF(J67&gt;0,MAX($A$10:A66)+1,"")</f>
        <v>#REF!</v>
      </c>
      <c r="B67" s="245" t="s">
        <v>3457</v>
      </c>
      <c r="C67" s="245" t="str">
        <f>VLOOKUP(B67,DICH!B:C,2,FALSE)</f>
        <v xml:space="preserve"> Active cable anchorage 5s D15.2</v>
      </c>
      <c r="D67" s="240" t="s">
        <v>307</v>
      </c>
      <c r="E67" s="166"/>
      <c r="F67" s="166">
        <f>'12.ssg'!K19</f>
        <v>572727.27272727271</v>
      </c>
      <c r="G67" s="166"/>
      <c r="H67" s="166"/>
      <c r="I67" s="166">
        <f t="shared" si="4"/>
        <v>572727.27272727271</v>
      </c>
      <c r="J67" s="323" t="e">
        <f>SUMIF('8.Dgia'!E:E,'11.gia '!B67,'8.Dgia'!P:P)</f>
        <v>#REF!</v>
      </c>
      <c r="K67" s="166" t="e">
        <f t="shared" si="1"/>
        <v>#REF!</v>
      </c>
      <c r="L67" s="245" t="s">
        <v>5230</v>
      </c>
      <c r="M67" s="1064" t="s">
        <v>5231</v>
      </c>
      <c r="N67" s="193"/>
    </row>
    <row r="68" spans="1:14" ht="19.5" customHeight="1">
      <c r="A68" s="806" t="str">
        <f>IF(J68&gt;0,MAX($A$10:A67)+1,"")</f>
        <v/>
      </c>
      <c r="B68" s="245" t="s">
        <v>3458</v>
      </c>
      <c r="C68" s="245" t="str">
        <f>VLOOKUP(B68,DICH!B:C,2,FALSE)</f>
        <v xml:space="preserve"> Temporary cable anchorage</v>
      </c>
      <c r="D68" s="240" t="s">
        <v>307</v>
      </c>
      <c r="E68" s="166"/>
      <c r="F68" s="166">
        <f>'12.ssg'!K20</f>
        <v>400000</v>
      </c>
      <c r="G68" s="166"/>
      <c r="H68" s="166"/>
      <c r="I68" s="166">
        <f>SUM(E68:H68)</f>
        <v>400000</v>
      </c>
      <c r="J68" s="323">
        <f>SUMIF('8.Dgia'!E:E,'11.gia '!B68,'8.Dgia'!P:P)</f>
        <v>0</v>
      </c>
      <c r="K68" s="166">
        <f t="shared" si="1"/>
        <v>0</v>
      </c>
      <c r="L68" s="245" t="s">
        <v>306</v>
      </c>
      <c r="M68" s="1064" t="s">
        <v>306</v>
      </c>
      <c r="N68" s="193"/>
    </row>
    <row r="69" spans="1:14" ht="19.5" customHeight="1">
      <c r="A69" s="806" t="e">
        <f>IF(J69&gt;0,MAX($A$10:A68)+1,"")</f>
        <v>#REF!</v>
      </c>
      <c r="B69" s="245" t="s">
        <v>64</v>
      </c>
      <c r="C69" s="245" t="str">
        <f>VLOOKUP(B69,DICH!B:C,2,FALSE)</f>
        <v>Coupler D36</v>
      </c>
      <c r="D69" s="240" t="s">
        <v>307</v>
      </c>
      <c r="E69" s="166"/>
      <c r="F69" s="166">
        <f>'12.ssg'!K25</f>
        <v>879000</v>
      </c>
      <c r="G69" s="166"/>
      <c r="H69" s="166"/>
      <c r="I69" s="166">
        <f t="shared" si="4"/>
        <v>879000</v>
      </c>
      <c r="J69" s="323" t="e">
        <f>SUMIF('8.Dgia'!E:E,'11.gia '!B69,'8.Dgia'!P:P)</f>
        <v>#REF!</v>
      </c>
      <c r="K69" s="166" t="e">
        <f t="shared" si="1"/>
        <v>#REF!</v>
      </c>
      <c r="L69" s="322" t="s">
        <v>5233</v>
      </c>
      <c r="M69" s="1064" t="s">
        <v>4964</v>
      </c>
      <c r="N69" s="193"/>
    </row>
    <row r="70" spans="1:14" ht="19.5" customHeight="1">
      <c r="A70" s="806" t="e">
        <f>IF(J70&gt;0,MAX($A$10:A69)+1,"")</f>
        <v>#REF!</v>
      </c>
      <c r="B70" s="691" t="s">
        <v>3510</v>
      </c>
      <c r="C70" s="245" t="str">
        <f>VLOOKUP(B70,DICH!B:C,2,FALSE)</f>
        <v>Fixed bearing 4000 ton</v>
      </c>
      <c r="D70" s="240" t="s">
        <v>307</v>
      </c>
      <c r="E70" s="166"/>
      <c r="F70" s="166">
        <f>'12.ssg'!K8</f>
        <v>586363636.36363637</v>
      </c>
      <c r="G70" s="166"/>
      <c r="H70" s="166"/>
      <c r="I70" s="166">
        <f t="shared" si="4"/>
        <v>586363636.36363637</v>
      </c>
      <c r="J70" s="323" t="e">
        <f>SUMIF('8.Dgia'!E:E,'11.gia '!B70,'8.Dgia'!P:P)</f>
        <v>#REF!</v>
      </c>
      <c r="K70" s="166" t="e">
        <f t="shared" si="1"/>
        <v>#REF!</v>
      </c>
      <c r="L70" s="322" t="s">
        <v>5234</v>
      </c>
      <c r="M70" s="1064" t="s">
        <v>4954</v>
      </c>
      <c r="N70" s="193"/>
    </row>
    <row r="71" spans="1:14" ht="19.5" customHeight="1">
      <c r="A71" s="806" t="e">
        <f>IF(J71&gt;0,MAX($A$10:A70)+1,"")</f>
        <v>#REF!</v>
      </c>
      <c r="B71" s="687" t="s">
        <v>5216</v>
      </c>
      <c r="C71" s="245" t="str">
        <f>VLOOKUP(B71,DICH!B:C,2,FALSE)</f>
        <v>Movable bearing one direction 4000 ton (P3)</v>
      </c>
      <c r="D71" s="240" t="s">
        <v>307</v>
      </c>
      <c r="E71" s="166"/>
      <c r="F71" s="166">
        <f>'12.ssg'!K9</f>
        <v>752825545.45454538</v>
      </c>
      <c r="G71" s="166"/>
      <c r="H71" s="166"/>
      <c r="I71" s="166">
        <f t="shared" si="4"/>
        <v>752825545.45454538</v>
      </c>
      <c r="J71" s="323" t="e">
        <f>SUMIF('8.Dgia'!E:E,'11.gia '!B71,'8.Dgia'!P:P)</f>
        <v>#REF!</v>
      </c>
      <c r="K71" s="166" t="e">
        <f t="shared" ref="K71:K82" si="5">J71*I71</f>
        <v>#REF!</v>
      </c>
      <c r="L71" s="322" t="s">
        <v>5234</v>
      </c>
      <c r="M71" s="1064" t="s">
        <v>4954</v>
      </c>
      <c r="N71" s="193"/>
    </row>
    <row r="72" spans="1:14" ht="19.5" customHeight="1">
      <c r="A72" s="806" t="e">
        <f>IF(J72&gt;0,MAX($A$10:A71)+1,"")</f>
        <v>#REF!</v>
      </c>
      <c r="B72" s="687" t="s">
        <v>5218</v>
      </c>
      <c r="C72" s="245" t="str">
        <f>VLOOKUP(B72,DICH!B:C,2,FALSE)</f>
        <v>Movable bearing one direction 4000 ton (P4)</v>
      </c>
      <c r="D72" s="240" t="s">
        <v>307</v>
      </c>
      <c r="E72" s="166"/>
      <c r="F72" s="166">
        <f>'12.ssg'!K10</f>
        <v>836363636.36363626</v>
      </c>
      <c r="G72" s="166"/>
      <c r="H72" s="166"/>
      <c r="I72" s="166">
        <f t="shared" si="4"/>
        <v>836363636.36363626</v>
      </c>
      <c r="J72" s="323" t="e">
        <f>SUMIF('8.Dgia'!E:E,'11.gia '!B72,'8.Dgia'!P:P)</f>
        <v>#REF!</v>
      </c>
      <c r="K72" s="166" t="e">
        <f t="shared" si="5"/>
        <v>#REF!</v>
      </c>
      <c r="L72" s="322" t="s">
        <v>5234</v>
      </c>
      <c r="M72" s="1064" t="s">
        <v>4954</v>
      </c>
      <c r="N72" s="193"/>
    </row>
    <row r="73" spans="1:14" ht="19.5" customHeight="1">
      <c r="A73" s="806" t="e">
        <f>IF(J73&gt;0,MAX($A$10:A72)+1,"")</f>
        <v>#REF!</v>
      </c>
      <c r="B73" s="687" t="s">
        <v>5220</v>
      </c>
      <c r="C73" s="245" t="str">
        <f>VLOOKUP(B73,DICH!B:C,2,FALSE)</f>
        <v>Movable bearing multi direction 4000 ton (P4)</v>
      </c>
      <c r="D73" s="240" t="s">
        <v>307</v>
      </c>
      <c r="E73" s="166"/>
      <c r="F73" s="166">
        <f>'12.ssg'!K11</f>
        <v>766345454.5454545</v>
      </c>
      <c r="G73" s="166"/>
      <c r="H73" s="166"/>
      <c r="I73" s="166">
        <f t="shared" si="4"/>
        <v>766345454.5454545</v>
      </c>
      <c r="J73" s="323" t="e">
        <f>SUMIF('8.Dgia'!E:E,'11.gia '!B73,'8.Dgia'!P:P)</f>
        <v>#REF!</v>
      </c>
      <c r="K73" s="166" t="e">
        <f t="shared" si="5"/>
        <v>#REF!</v>
      </c>
      <c r="L73" s="322" t="s">
        <v>5234</v>
      </c>
      <c r="M73" s="1064" t="s">
        <v>4954</v>
      </c>
      <c r="N73" s="193"/>
    </row>
    <row r="74" spans="1:14" ht="19.5" customHeight="1">
      <c r="A74" s="806" t="e">
        <f>IF(J74&gt;0,MAX($A$10:A73)+1,"")</f>
        <v>#REF!</v>
      </c>
      <c r="B74" s="687" t="s">
        <v>5222</v>
      </c>
      <c r="C74" s="245" t="str">
        <f>VLOOKUP(B74,DICH!B:C,2,FALSE)</f>
        <v>Movable bearing one direction 900 ton (P2)</v>
      </c>
      <c r="D74" s="240" t="s">
        <v>307</v>
      </c>
      <c r="E74" s="166"/>
      <c r="F74" s="166">
        <f>'12.ssg'!K12</f>
        <v>218181818.18181816</v>
      </c>
      <c r="G74" s="166"/>
      <c r="H74" s="166"/>
      <c r="I74" s="166">
        <f t="shared" si="4"/>
        <v>218181818.18181816</v>
      </c>
      <c r="J74" s="323" t="e">
        <f>SUMIF('8.Dgia'!E:E,'11.gia '!B74,'8.Dgia'!P:P)</f>
        <v>#REF!</v>
      </c>
      <c r="K74" s="166" t="e">
        <f t="shared" si="5"/>
        <v>#REF!</v>
      </c>
      <c r="L74" s="322" t="s">
        <v>5234</v>
      </c>
      <c r="M74" s="1064" t="s">
        <v>4954</v>
      </c>
      <c r="N74" s="193"/>
    </row>
    <row r="75" spans="1:14" ht="19.5" customHeight="1">
      <c r="A75" s="806" t="e">
        <f>IF(J75&gt;0,MAX($A$10:A74)+1,"")</f>
        <v>#REF!</v>
      </c>
      <c r="B75" s="687" t="s">
        <v>5224</v>
      </c>
      <c r="C75" s="245" t="str">
        <f>VLOOKUP(B75,DICH!B:C,2,FALSE)</f>
        <v>Movable bearing one direction 900 ton (P5)</v>
      </c>
      <c r="D75" s="240"/>
      <c r="E75" s="166"/>
      <c r="F75" s="166">
        <f>'12.ssg'!K13</f>
        <v>205841999.99999997</v>
      </c>
      <c r="G75" s="166"/>
      <c r="H75" s="166"/>
      <c r="I75" s="166">
        <f t="shared" si="4"/>
        <v>205841999.99999997</v>
      </c>
      <c r="J75" s="323" t="e">
        <f>SUMIF('8.Dgia'!E:E,'11.gia '!B75,'8.Dgia'!P:P)</f>
        <v>#REF!</v>
      </c>
      <c r="K75" s="166" t="e">
        <f t="shared" si="5"/>
        <v>#REF!</v>
      </c>
      <c r="L75" s="322" t="s">
        <v>5234</v>
      </c>
      <c r="M75" s="1064" t="s">
        <v>4954</v>
      </c>
      <c r="N75" s="193"/>
    </row>
    <row r="76" spans="1:14" ht="19.5" customHeight="1">
      <c r="A76" s="806" t="e">
        <f>IF(J76&gt;0,MAX($A$10:A75)+1,"")</f>
        <v>#REF!</v>
      </c>
      <c r="B76" s="687" t="s">
        <v>5226</v>
      </c>
      <c r="C76" s="245" t="str">
        <f>VLOOKUP(B76,DICH!B:C,2,FALSE)</f>
        <v>Movable bearing multi direction 900 ton (P2)</v>
      </c>
      <c r="D76" s="240"/>
      <c r="E76" s="166"/>
      <c r="F76" s="166">
        <f>'12.ssg'!K14</f>
        <v>134545454.54545453</v>
      </c>
      <c r="G76" s="166"/>
      <c r="H76" s="166"/>
      <c r="I76" s="166">
        <f t="shared" si="4"/>
        <v>134545454.54545453</v>
      </c>
      <c r="J76" s="323" t="e">
        <f>SUMIF('8.Dgia'!E:E,'11.gia '!B76,'8.Dgia'!P:P)</f>
        <v>#REF!</v>
      </c>
      <c r="K76" s="166" t="e">
        <f t="shared" si="5"/>
        <v>#REF!</v>
      </c>
      <c r="L76" s="322" t="s">
        <v>5234</v>
      </c>
      <c r="M76" s="1064" t="s">
        <v>4954</v>
      </c>
      <c r="N76" s="193"/>
    </row>
    <row r="77" spans="1:14" ht="19.5" customHeight="1">
      <c r="A77" s="806" t="e">
        <f>IF(J77&gt;0,MAX($A$10:A76)+1,"")</f>
        <v>#REF!</v>
      </c>
      <c r="B77" s="687" t="s">
        <v>5229</v>
      </c>
      <c r="C77" s="245" t="str">
        <f>VLOOKUP(B77,DICH!B:C,2,FALSE)</f>
        <v>Movable bearing multi direction 900 ton (P5)</v>
      </c>
      <c r="D77" s="240"/>
      <c r="E77" s="166"/>
      <c r="F77" s="166">
        <f>'12.ssg'!K15</f>
        <v>161931344.54545453</v>
      </c>
      <c r="G77" s="166"/>
      <c r="H77" s="166"/>
      <c r="I77" s="166">
        <f t="shared" si="4"/>
        <v>161931344.54545453</v>
      </c>
      <c r="J77" s="323" t="e">
        <f>SUMIF('8.Dgia'!E:E,'11.gia '!B77,'8.Dgia'!P:P)</f>
        <v>#REF!</v>
      </c>
      <c r="K77" s="166" t="e">
        <f t="shared" si="5"/>
        <v>#REF!</v>
      </c>
      <c r="L77" s="322" t="s">
        <v>5232</v>
      </c>
      <c r="M77" s="1064" t="s">
        <v>4953</v>
      </c>
      <c r="N77" s="193"/>
    </row>
    <row r="78" spans="1:14" ht="19.5" customHeight="1">
      <c r="A78" s="806" t="e">
        <f>IF(J78&gt;0,MAX($A$10:A77)+1,"")</f>
        <v>#REF!</v>
      </c>
      <c r="B78" s="245" t="s">
        <v>3471</v>
      </c>
      <c r="C78" s="245" t="str">
        <f>VLOOKUP(B78,DICH!B:C,2,FALSE)</f>
        <v>Elastomeric bearing for girder 350x450x84mm</v>
      </c>
      <c r="D78" s="240" t="s">
        <v>307</v>
      </c>
      <c r="E78" s="166"/>
      <c r="F78" s="166">
        <f>'12.ssg'!K16</f>
        <v>5909090.9090909082</v>
      </c>
      <c r="G78" s="166"/>
      <c r="H78" s="166"/>
      <c r="I78" s="166">
        <f t="shared" si="4"/>
        <v>5909090.9090909082</v>
      </c>
      <c r="J78" s="323" t="e">
        <f>SUMIF('8.Dgia'!E:E,'11.gia '!B78,'8.Dgia'!P:P)</f>
        <v>#REF!</v>
      </c>
      <c r="K78" s="166" t="e">
        <f t="shared" si="5"/>
        <v>#REF!</v>
      </c>
      <c r="L78" s="322" t="s">
        <v>5230</v>
      </c>
      <c r="M78" s="1064" t="s">
        <v>5231</v>
      </c>
      <c r="N78" s="193"/>
    </row>
    <row r="79" spans="1:14" ht="19.5" customHeight="1">
      <c r="A79" s="806" t="e">
        <f>IF(J79&gt;0,MAX($A$10:A78)+1,"")</f>
        <v>#REF!</v>
      </c>
      <c r="B79" s="245" t="s">
        <v>594</v>
      </c>
      <c r="C79" s="245" t="str">
        <f>VLOOKUP(B79,DICH!B:C,2,FALSE)</f>
        <v>Expansion joint 10cm</v>
      </c>
      <c r="D79" s="240" t="s">
        <v>543</v>
      </c>
      <c r="E79" s="166"/>
      <c r="F79" s="166">
        <f>'12.ssg'!K21</f>
        <v>25890000</v>
      </c>
      <c r="G79" s="166"/>
      <c r="H79" s="166"/>
      <c r="I79" s="166">
        <f t="shared" si="4"/>
        <v>25890000</v>
      </c>
      <c r="J79" s="323" t="e">
        <f>SUMIF('8.Dgia'!E:E,'11.gia '!B79,'8.Dgia'!P:P)</f>
        <v>#REF!</v>
      </c>
      <c r="K79" s="166" t="e">
        <f t="shared" si="5"/>
        <v>#REF!</v>
      </c>
      <c r="L79" s="322" t="s">
        <v>5234</v>
      </c>
      <c r="M79" s="1064" t="s">
        <v>4954</v>
      </c>
      <c r="N79" s="193"/>
    </row>
    <row r="80" spans="1:14" ht="19.5" customHeight="1">
      <c r="A80" s="806" t="e">
        <f>IF(J80&gt;0,MAX($A$10:A79)+1,"")</f>
        <v>#REF!</v>
      </c>
      <c r="B80" s="245" t="s">
        <v>2025</v>
      </c>
      <c r="C80" s="245" t="str">
        <f>VLOOKUP(B80,DICH!B:C,2,FALSE)</f>
        <v>Expansion joint 24cm</v>
      </c>
      <c r="D80" s="240" t="s">
        <v>543</v>
      </c>
      <c r="E80" s="166"/>
      <c r="F80" s="166">
        <f>'12.ssg'!K22</f>
        <v>70727272.727272719</v>
      </c>
      <c r="G80" s="166"/>
      <c r="H80" s="166"/>
      <c r="I80" s="166">
        <f t="shared" si="4"/>
        <v>70727272.727272719</v>
      </c>
      <c r="J80" s="323" t="e">
        <f>SUMIF('8.Dgia'!E:E,'11.gia '!B80,'8.Dgia'!P:P)</f>
        <v>#REF!</v>
      </c>
      <c r="K80" s="166" t="e">
        <f t="shared" si="5"/>
        <v>#REF!</v>
      </c>
      <c r="L80" s="322" t="s">
        <v>5234</v>
      </c>
      <c r="M80" s="1064" t="s">
        <v>4954</v>
      </c>
      <c r="N80" s="193"/>
    </row>
    <row r="81" spans="1:14" ht="19.5" customHeight="1">
      <c r="A81" s="806" t="str">
        <f>IF(J81&gt;0,MAX($A$10:A80)+1,"")</f>
        <v/>
      </c>
      <c r="B81" s="699" t="s">
        <v>650</v>
      </c>
      <c r="C81" s="245"/>
      <c r="D81" s="240"/>
      <c r="E81" s="166"/>
      <c r="F81" s="166"/>
      <c r="G81" s="166"/>
      <c r="H81" s="166"/>
      <c r="I81" s="166"/>
      <c r="J81" s="323">
        <f>SUMIF('8.Dgia'!E:E,'11.gia '!B81,'8.Dgia'!P:P)</f>
        <v>0</v>
      </c>
      <c r="K81" s="166">
        <f t="shared" si="5"/>
        <v>0</v>
      </c>
      <c r="L81" s="322"/>
      <c r="M81" s="1062"/>
      <c r="N81" s="193"/>
    </row>
    <row r="82" spans="1:14" ht="19.5" customHeight="1">
      <c r="A82" s="806" t="str">
        <f>IF(J82&gt;0,MAX($A$10:A81)+1,"")</f>
        <v/>
      </c>
      <c r="B82" s="245" t="s">
        <v>651</v>
      </c>
      <c r="C82" s="245" t="s">
        <v>651</v>
      </c>
      <c r="D82" s="240" t="s">
        <v>558</v>
      </c>
      <c r="E82" s="166"/>
      <c r="F82" s="624">
        <v>10100</v>
      </c>
      <c r="G82" s="166"/>
      <c r="H82" s="166">
        <v>1080</v>
      </c>
      <c r="I82" s="166">
        <f>SUM(E82:H82)</f>
        <v>11180</v>
      </c>
      <c r="J82" s="323">
        <f>SUMIF('8.Dgia'!E:E,'11.gia '!B82,'8.Dgia'!P:P)</f>
        <v>0</v>
      </c>
      <c r="K82" s="166">
        <f t="shared" si="5"/>
        <v>0</v>
      </c>
      <c r="L82" s="322" t="s">
        <v>3903</v>
      </c>
      <c r="M82" s="1064" t="s">
        <v>4955</v>
      </c>
      <c r="N82" s="193"/>
    </row>
    <row r="83" spans="1:14" ht="19.5" customHeight="1">
      <c r="A83" s="806" t="str">
        <f>IF(J83&gt;0,MAX($A$10:A82)+1,"")</f>
        <v/>
      </c>
      <c r="B83" s="245" t="s">
        <v>633</v>
      </c>
      <c r="C83" s="245" t="s">
        <v>633</v>
      </c>
      <c r="D83" s="240" t="s">
        <v>464</v>
      </c>
      <c r="E83" s="166"/>
      <c r="F83" s="624">
        <v>15400</v>
      </c>
      <c r="G83" s="166"/>
      <c r="H83" s="166">
        <v>1080</v>
      </c>
      <c r="I83" s="166">
        <f t="shared" ref="I83:I88" si="6">SUM(E83:H83)</f>
        <v>16480</v>
      </c>
      <c r="J83" s="323">
        <f>SUMIF('8.Dgia'!E:E,'11.gia '!B83,'8.Dgia'!P:P)</f>
        <v>0</v>
      </c>
      <c r="K83" s="166">
        <f t="shared" si="1"/>
        <v>0</v>
      </c>
      <c r="L83" s="322" t="s">
        <v>3903</v>
      </c>
      <c r="M83" s="1064" t="s">
        <v>4955</v>
      </c>
      <c r="N83" s="193"/>
    </row>
    <row r="84" spans="1:14" ht="19.5" customHeight="1">
      <c r="A84" s="806" t="str">
        <f>IF(J84&gt;0,MAX($A$10:A83)+1,"")</f>
        <v/>
      </c>
      <c r="B84" s="245" t="s">
        <v>147</v>
      </c>
      <c r="C84" s="245" t="s">
        <v>147</v>
      </c>
      <c r="D84" s="240" t="s">
        <v>464</v>
      </c>
      <c r="E84" s="166"/>
      <c r="F84" s="624">
        <v>29700</v>
      </c>
      <c r="G84" s="166"/>
      <c r="H84" s="166">
        <v>1080</v>
      </c>
      <c r="I84" s="166">
        <f>SUM(E84:H84)</f>
        <v>30780</v>
      </c>
      <c r="J84" s="323">
        <f>SUMIF('8.Dgia'!E:E,'11.gia '!B84,'8.Dgia'!P:P)</f>
        <v>0</v>
      </c>
      <c r="K84" s="166">
        <f>J84*I84</f>
        <v>0</v>
      </c>
      <c r="L84" s="322" t="s">
        <v>3903</v>
      </c>
      <c r="M84" s="1064" t="s">
        <v>4955</v>
      </c>
      <c r="N84" s="193"/>
    </row>
    <row r="85" spans="1:14" ht="19.5" customHeight="1">
      <c r="A85" s="806" t="e">
        <f>IF(J85&gt;0,MAX($A$10:A84)+1,"")</f>
        <v>#REF!</v>
      </c>
      <c r="B85" s="245" t="s">
        <v>90</v>
      </c>
      <c r="C85" s="245" t="str">
        <f>VLOOKUP(B85,DICH!B:C,2,FALSE)</f>
        <v>Sikament R4</v>
      </c>
      <c r="D85" s="701" t="s">
        <v>558</v>
      </c>
      <c r="E85" s="166"/>
      <c r="F85" s="624">
        <v>16200</v>
      </c>
      <c r="G85" s="166"/>
      <c r="H85" s="166">
        <v>1080</v>
      </c>
      <c r="I85" s="166">
        <f t="shared" si="6"/>
        <v>17280</v>
      </c>
      <c r="J85" s="323" t="e">
        <f>SUMIF('8.Dgia'!E:E,'11.gia '!B85,'8.Dgia'!P:P)</f>
        <v>#REF!</v>
      </c>
      <c r="K85" s="166" t="e">
        <f t="shared" si="1"/>
        <v>#REF!</v>
      </c>
      <c r="L85" s="322" t="s">
        <v>3903</v>
      </c>
      <c r="M85" s="1064" t="s">
        <v>4955</v>
      </c>
      <c r="N85" s="193"/>
    </row>
    <row r="86" spans="1:14" ht="19.5" customHeight="1">
      <c r="A86" s="806" t="e">
        <f>IF(J86&gt;0,MAX($A$10:A85)+1,"")</f>
        <v>#REF!</v>
      </c>
      <c r="B86" s="245" t="s">
        <v>91</v>
      </c>
      <c r="C86" s="245" t="str">
        <f>VLOOKUP(B86,DICH!B:C,2,FALSE)</f>
        <v>Sika IntraplastZ</v>
      </c>
      <c r="D86" s="240" t="s">
        <v>558</v>
      </c>
      <c r="E86" s="166"/>
      <c r="F86" s="624">
        <v>77000</v>
      </c>
      <c r="G86" s="166"/>
      <c r="H86" s="166">
        <v>1080</v>
      </c>
      <c r="I86" s="166">
        <f t="shared" si="6"/>
        <v>78080</v>
      </c>
      <c r="J86" s="323" t="e">
        <f>SUMIF('8.Dgia'!E:E,'11.gia '!B86,'8.Dgia'!P:P)</f>
        <v>#REF!</v>
      </c>
      <c r="K86" s="166" t="e">
        <f t="shared" ref="K86:K149" si="7">J86*I86</f>
        <v>#REF!</v>
      </c>
      <c r="L86" s="322" t="s">
        <v>3903</v>
      </c>
      <c r="M86" s="1064" t="s">
        <v>4955</v>
      </c>
      <c r="N86" s="193"/>
    </row>
    <row r="87" spans="1:14" ht="19.5" customHeight="1">
      <c r="A87" s="806" t="e">
        <f>IF(J87&gt;0,MAX($A$10:A86)+1,"")</f>
        <v>#REF!</v>
      </c>
      <c r="B87" s="245" t="s">
        <v>604</v>
      </c>
      <c r="C87" s="245" t="str">
        <f>VLOOKUP(B87,DICH!B:C,2,FALSE)</f>
        <v>Bentonite</v>
      </c>
      <c r="D87" s="240" t="s">
        <v>558</v>
      </c>
      <c r="E87" s="166"/>
      <c r="F87" s="166">
        <f>3200000/1000/1.1</f>
        <v>2909.090909090909</v>
      </c>
      <c r="G87" s="166"/>
      <c r="H87" s="166"/>
      <c r="I87" s="166">
        <f t="shared" si="6"/>
        <v>2909.090909090909</v>
      </c>
      <c r="J87" s="323" t="e">
        <f>SUMIF('8.Dgia'!E:E,'11.gia '!B87,'8.Dgia'!P:P)</f>
        <v>#REF!</v>
      </c>
      <c r="K87" s="166" t="e">
        <f t="shared" si="7"/>
        <v>#REF!</v>
      </c>
      <c r="L87" s="322" t="s">
        <v>2020</v>
      </c>
      <c r="M87" s="1064" t="s">
        <v>4956</v>
      </c>
      <c r="N87" s="193"/>
    </row>
    <row r="88" spans="1:14" ht="19.5" customHeight="1">
      <c r="A88" s="806" t="e">
        <f>IF(J88&gt;0,MAX($A$10:A87)+1,"")</f>
        <v>#REF!</v>
      </c>
      <c r="B88" s="245" t="s">
        <v>605</v>
      </c>
      <c r="C88" s="245" t="str">
        <f>VLOOKUP(B88,DICH!B:C,2,FALSE)</f>
        <v>admixture CMC</v>
      </c>
      <c r="D88" s="240" t="s">
        <v>558</v>
      </c>
      <c r="E88" s="166"/>
      <c r="F88" s="166">
        <f>45000000/1.1/1000</f>
        <v>40909.090909090904</v>
      </c>
      <c r="G88" s="166"/>
      <c r="H88" s="166"/>
      <c r="I88" s="166">
        <f t="shared" si="6"/>
        <v>40909.090909090904</v>
      </c>
      <c r="J88" s="323" t="e">
        <f>SUMIF('8.Dgia'!E:E,'11.gia '!B88,'8.Dgia'!P:P)</f>
        <v>#REF!</v>
      </c>
      <c r="K88" s="166" t="e">
        <f t="shared" si="7"/>
        <v>#REF!</v>
      </c>
      <c r="L88" s="322" t="s">
        <v>2020</v>
      </c>
      <c r="M88" s="1064" t="s">
        <v>4956</v>
      </c>
      <c r="N88" s="193"/>
    </row>
    <row r="89" spans="1:14" ht="19.5" customHeight="1">
      <c r="A89" s="806" t="str">
        <f>IF(J89&gt;0,MAX($A$10:A88)+1,"")</f>
        <v/>
      </c>
      <c r="B89" s="245" t="s">
        <v>3407</v>
      </c>
      <c r="C89" s="245"/>
      <c r="D89" s="701" t="s">
        <v>558</v>
      </c>
      <c r="E89" s="166"/>
      <c r="F89" s="624">
        <f>F85</f>
        <v>16200</v>
      </c>
      <c r="G89" s="166"/>
      <c r="H89" s="166"/>
      <c r="I89" s="166">
        <f>SUM(E89:H89)</f>
        <v>16200</v>
      </c>
      <c r="J89" s="323">
        <f>SUMIF('8.Dgia'!E:E,'11.gia '!B89,'8.Dgia'!P:P)</f>
        <v>0</v>
      </c>
      <c r="K89" s="166">
        <f t="shared" si="7"/>
        <v>0</v>
      </c>
      <c r="L89" s="245" t="s">
        <v>90</v>
      </c>
      <c r="M89" s="664" t="s">
        <v>90</v>
      </c>
      <c r="N89" s="193"/>
    </row>
    <row r="90" spans="1:14" ht="19.5" customHeight="1">
      <c r="A90" s="806" t="str">
        <f>IF(J90&gt;0,MAX($A$10:A89)+1,"")</f>
        <v/>
      </c>
      <c r="B90" s="699" t="s">
        <v>621</v>
      </c>
      <c r="C90" s="245"/>
      <c r="D90" s="240"/>
      <c r="E90" s="166"/>
      <c r="F90" s="166"/>
      <c r="G90" s="166"/>
      <c r="H90" s="166"/>
      <c r="I90" s="166"/>
      <c r="J90" s="323">
        <f>SUMIF('8.Dgia'!E:E,'11.gia '!B90,'8.Dgia'!P:P)</f>
        <v>0</v>
      </c>
      <c r="K90" s="166">
        <f t="shared" si="7"/>
        <v>0</v>
      </c>
      <c r="L90" s="322"/>
      <c r="M90" s="1062"/>
      <c r="N90" s="193"/>
    </row>
    <row r="91" spans="1:14" ht="19.5" customHeight="1">
      <c r="A91" s="806" t="e">
        <f>IF(J91&gt;0,MAX($A$10:A90)+1,"")</f>
        <v>#REF!</v>
      </c>
      <c r="B91" s="245" t="s">
        <v>669</v>
      </c>
      <c r="C91" s="245" t="str">
        <f>VLOOKUP(B91,DICH!B:C,2,FALSE)</f>
        <v>pouring pipe D300</v>
      </c>
      <c r="D91" s="240" t="s">
        <v>543</v>
      </c>
      <c r="E91" s="166"/>
      <c r="F91" s="166"/>
      <c r="G91" s="623">
        <v>138000</v>
      </c>
      <c r="H91" s="166"/>
      <c r="I91" s="166">
        <f>SUM(E91:H91)</f>
        <v>138000</v>
      </c>
      <c r="J91" s="323" t="e">
        <f>SUMIF('8.Dgia'!E:E,'11.gia '!B91,'8.Dgia'!P:P)</f>
        <v>#REF!</v>
      </c>
      <c r="K91" s="166" t="e">
        <f t="shared" si="7"/>
        <v>#REF!</v>
      </c>
      <c r="L91" s="322" t="s">
        <v>654</v>
      </c>
      <c r="M91" s="1062" t="s">
        <v>3983</v>
      </c>
      <c r="N91" s="193"/>
    </row>
    <row r="92" spans="1:14" ht="19.5" customHeight="1">
      <c r="A92" s="806" t="e">
        <f>IF(J92&gt;0,MAX($A$10:A91)+1,"")</f>
        <v>#REF!</v>
      </c>
      <c r="B92" s="245" t="s">
        <v>668</v>
      </c>
      <c r="C92" s="245" t="str">
        <f>VLOOKUP(B92,DICH!B:C,2,FALSE)</f>
        <v>Pipe PVC D60</v>
      </c>
      <c r="D92" s="240" t="s">
        <v>543</v>
      </c>
      <c r="E92" s="166">
        <f>'Cong bo gia'!E925</f>
        <v>22600</v>
      </c>
      <c r="F92" s="166"/>
      <c r="G92" s="166"/>
      <c r="H92" s="166"/>
      <c r="I92" s="166">
        <f t="shared" ref="I92:I98" si="8">SUM(E92:H92)</f>
        <v>22600</v>
      </c>
      <c r="J92" s="323" t="e">
        <f>SUMIF('8.Dgia'!E:E,'11.gia '!B92,'8.Dgia'!P:P)</f>
        <v>#REF!</v>
      </c>
      <c r="K92" s="166" t="e">
        <f t="shared" si="7"/>
        <v>#REF!</v>
      </c>
      <c r="L92" s="322" t="s">
        <v>5654</v>
      </c>
      <c r="M92" s="1062" t="s">
        <v>5655</v>
      </c>
      <c r="N92" s="193"/>
    </row>
    <row r="93" spans="1:14" ht="19.5" customHeight="1">
      <c r="A93" s="806" t="e">
        <f>IF(J93&gt;0,MAX($A$10:A92)+1,"")</f>
        <v>#REF!</v>
      </c>
      <c r="B93" s="245" t="s">
        <v>2021</v>
      </c>
      <c r="C93" s="245" t="str">
        <f>VLOOKUP(B93,DICH!B:C,2,FALSE)</f>
        <v>Pipe PVC D114</v>
      </c>
      <c r="D93" s="240" t="s">
        <v>543</v>
      </c>
      <c r="E93" s="166">
        <f>'Cong bo gia'!E927</f>
        <v>81000</v>
      </c>
      <c r="F93" s="166"/>
      <c r="G93" s="166"/>
      <c r="H93" s="166"/>
      <c r="I93" s="166">
        <f t="shared" si="8"/>
        <v>81000</v>
      </c>
      <c r="J93" s="323" t="e">
        <f>SUMIF('8.Dgia'!E:E,'11.gia '!B93,'8.Dgia'!P:P)</f>
        <v>#REF!</v>
      </c>
      <c r="K93" s="166" t="e">
        <f t="shared" si="7"/>
        <v>#REF!</v>
      </c>
      <c r="L93" s="322" t="s">
        <v>5192</v>
      </c>
      <c r="M93" s="1062" t="s">
        <v>5193</v>
      </c>
      <c r="N93" s="193"/>
    </row>
    <row r="94" spans="1:14" ht="19.5" customHeight="1">
      <c r="A94" s="806" t="e">
        <f>IF(J94&gt;0,MAX($A$10:A93)+1,"")</f>
        <v>#REF!</v>
      </c>
      <c r="B94" s="245" t="s">
        <v>2229</v>
      </c>
      <c r="C94" s="245" t="str">
        <f>VLOOKUP(B94,DICH!B:C,2,FALSE)</f>
        <v>Pipe PVC D75</v>
      </c>
      <c r="D94" s="240" t="s">
        <v>543</v>
      </c>
      <c r="E94" s="166">
        <f>'Cong bo gia'!E934</f>
        <v>34500</v>
      </c>
      <c r="F94" s="166"/>
      <c r="G94" s="166"/>
      <c r="H94" s="166"/>
      <c r="I94" s="166">
        <f t="shared" si="8"/>
        <v>34500</v>
      </c>
      <c r="J94" s="323" t="e">
        <f>SUMIF('8.Dgia'!E:E,'11.gia '!B94,'8.Dgia'!P:P)</f>
        <v>#REF!</v>
      </c>
      <c r="K94" s="166" t="e">
        <f t="shared" si="7"/>
        <v>#REF!</v>
      </c>
      <c r="L94" s="322" t="s">
        <v>5376</v>
      </c>
      <c r="M94" s="1062" t="s">
        <v>5396</v>
      </c>
      <c r="N94" s="193"/>
    </row>
    <row r="95" spans="1:14" ht="19.5" customHeight="1">
      <c r="A95" s="806" t="str">
        <f>IF(J95&gt;0,MAX($A$10:A94)+1,"")</f>
        <v/>
      </c>
      <c r="B95" s="245" t="s">
        <v>358</v>
      </c>
      <c r="C95" s="245" t="str">
        <f>VLOOKUP(B95,DICH!B:C,2,FALSE)</f>
        <v>Pipe PVC D20/24</v>
      </c>
      <c r="D95" s="240" t="s">
        <v>543</v>
      </c>
      <c r="E95" s="166">
        <f>'Cong bo gia'!E920</f>
        <v>6200</v>
      </c>
      <c r="F95" s="166"/>
      <c r="G95" s="166"/>
      <c r="H95" s="166"/>
      <c r="I95" s="166">
        <f t="shared" si="8"/>
        <v>6200</v>
      </c>
      <c r="J95" s="323">
        <f>SUMIF('8.Dgia'!E:E,'11.gia '!B95,'8.Dgia'!P:P)</f>
        <v>0</v>
      </c>
      <c r="K95" s="166">
        <f t="shared" si="7"/>
        <v>0</v>
      </c>
      <c r="L95" s="322" t="s">
        <v>5377</v>
      </c>
      <c r="M95" s="1062" t="s">
        <v>5397</v>
      </c>
      <c r="N95" s="193"/>
    </row>
    <row r="96" spans="1:14" ht="19.5" customHeight="1">
      <c r="A96" s="806" t="str">
        <f>IF(J96&gt;0,MAX($A$10:A95)+1,"")</f>
        <v/>
      </c>
      <c r="B96" s="245" t="s">
        <v>361</v>
      </c>
      <c r="C96" s="245" t="str">
        <f>VLOOKUP(B96,DICH!B:C,2,FALSE)</f>
        <v>Pipe PVC D25/30</v>
      </c>
      <c r="D96" s="240" t="s">
        <v>543</v>
      </c>
      <c r="E96" s="166">
        <f>'Cong bo gia'!E922</f>
        <v>12300</v>
      </c>
      <c r="F96" s="166"/>
      <c r="G96" s="166"/>
      <c r="H96" s="166"/>
      <c r="I96" s="166">
        <f t="shared" si="8"/>
        <v>12300</v>
      </c>
      <c r="J96" s="323">
        <f>SUMIF('8.Dgia'!E:E,'11.gia '!B96,'8.Dgia'!P:P)</f>
        <v>0</v>
      </c>
      <c r="K96" s="166">
        <f t="shared" si="7"/>
        <v>0</v>
      </c>
      <c r="L96" s="322" t="s">
        <v>5378</v>
      </c>
      <c r="M96" s="1062" t="s">
        <v>5398</v>
      </c>
      <c r="N96" s="193"/>
    </row>
    <row r="97" spans="1:14" ht="19.5" customHeight="1">
      <c r="A97" s="806" t="e">
        <f>IF(J97&gt;0,MAX($A$10:A96)+1,"")</f>
        <v>#REF!</v>
      </c>
      <c r="B97" s="245" t="s">
        <v>51</v>
      </c>
      <c r="C97" s="245" t="str">
        <f>VLOOKUP(B97,DICH!B:C,2,FALSE)</f>
        <v>Pipe PVC D80</v>
      </c>
      <c r="D97" s="702" t="s">
        <v>543</v>
      </c>
      <c r="E97" s="166">
        <f>'Cong bo gia'!E934</f>
        <v>34500</v>
      </c>
      <c r="F97" s="166"/>
      <c r="G97" s="166"/>
      <c r="H97" s="166"/>
      <c r="I97" s="166">
        <f t="shared" si="8"/>
        <v>34500</v>
      </c>
      <c r="J97" s="323" t="e">
        <f>SUMIF('8.Dgia'!E:E,'11.gia '!B97,'8.Dgia'!P:P)</f>
        <v>#REF!</v>
      </c>
      <c r="K97" s="166" t="e">
        <f t="shared" si="7"/>
        <v>#REF!</v>
      </c>
      <c r="L97" s="322"/>
      <c r="M97" s="1062"/>
      <c r="N97" s="193"/>
    </row>
    <row r="98" spans="1:14" ht="19.5" customHeight="1">
      <c r="A98" s="806" t="e">
        <f>IF(J98&gt;0,MAX($A$10:A97)+1,"")</f>
        <v>#REF!</v>
      </c>
      <c r="B98" s="245" t="s">
        <v>2061</v>
      </c>
      <c r="C98" s="245" t="str">
        <f>VLOOKUP(B98,DICH!B:C,2,FALSE)</f>
        <v>Pipe PVC D100</v>
      </c>
      <c r="D98" s="702" t="s">
        <v>543</v>
      </c>
      <c r="E98" s="166">
        <f>'Cong bo gia'!E936</f>
        <v>72100</v>
      </c>
      <c r="F98" s="166"/>
      <c r="G98" s="166"/>
      <c r="H98" s="166"/>
      <c r="I98" s="166">
        <f t="shared" si="8"/>
        <v>72100</v>
      </c>
      <c r="J98" s="323" t="e">
        <f>SUMIF('8.Dgia'!E:E,'11.gia '!B98,'8.Dgia'!P:P)</f>
        <v>#REF!</v>
      </c>
      <c r="K98" s="166" t="e">
        <f t="shared" si="7"/>
        <v>#REF!</v>
      </c>
      <c r="L98" s="322" t="s">
        <v>5379</v>
      </c>
      <c r="M98" s="1062" t="s">
        <v>5399</v>
      </c>
      <c r="N98" s="193"/>
    </row>
    <row r="99" spans="1:14" ht="19.5" customHeight="1">
      <c r="A99" s="806" t="str">
        <f>IF(J99&gt;0,MAX($A$10:A98)+1,"")</f>
        <v/>
      </c>
      <c r="B99" s="245" t="s">
        <v>5587</v>
      </c>
      <c r="C99" s="245" t="str">
        <f>VLOOKUP(B99,DICH!B:C,2,FALSE)</f>
        <v>Pipe PVC D200</v>
      </c>
      <c r="D99" s="702" t="s">
        <v>543</v>
      </c>
      <c r="E99" s="166">
        <f>'Cong bo gia'!E937</f>
        <v>116300</v>
      </c>
      <c r="F99" s="166"/>
      <c r="G99" s="166"/>
      <c r="H99" s="166"/>
      <c r="I99" s="166">
        <f>SUM(E99:H99)</f>
        <v>116300</v>
      </c>
      <c r="J99" s="323">
        <f>SUMIF('8.Dgia'!E:E,'11.gia '!B99,'8.Dgia'!P:P)</f>
        <v>0</v>
      </c>
      <c r="K99" s="166">
        <f>J99*I99</f>
        <v>0</v>
      </c>
      <c r="L99" s="322" t="s">
        <v>5379</v>
      </c>
      <c r="M99" s="1062" t="s">
        <v>5399</v>
      </c>
      <c r="N99" s="193"/>
    </row>
    <row r="100" spans="1:14" ht="19.5" customHeight="1">
      <c r="A100" s="806" t="e">
        <f>IF(J100&gt;0,MAX($A$10:A98)+1,"")</f>
        <v>#REF!</v>
      </c>
      <c r="B100" s="245" t="s">
        <v>676</v>
      </c>
      <c r="C100" s="245" t="str">
        <f>VLOOKUP(B100,DICH!B:C,2,FALSE)</f>
        <v>Steel pipe D114</v>
      </c>
      <c r="D100" s="240" t="s">
        <v>543</v>
      </c>
      <c r="E100" s="166"/>
      <c r="F100" s="166">
        <f>1046800/6</f>
        <v>174466.66666666666</v>
      </c>
      <c r="G100" s="166"/>
      <c r="H100" s="166"/>
      <c r="I100" s="166">
        <f>SUM(E100:H100)</f>
        <v>174466.66666666666</v>
      </c>
      <c r="J100" s="323" t="e">
        <f>SUMIF('8.Dgia'!E:E,'11.gia '!B100,'8.Dgia'!P:P)</f>
        <v>#REF!</v>
      </c>
      <c r="K100" s="166" t="e">
        <f>J100*I100</f>
        <v>#REF!</v>
      </c>
      <c r="L100" s="322" t="s">
        <v>3411</v>
      </c>
      <c r="M100" s="1064" t="s">
        <v>4957</v>
      </c>
      <c r="N100" s="193"/>
    </row>
    <row r="101" spans="1:14" ht="19.5" customHeight="1">
      <c r="A101" s="806" t="e">
        <f>IF(J101&gt;0,MAX($A$10:A100)+1,"")</f>
        <v>#REF!</v>
      </c>
      <c r="B101" s="245" t="s">
        <v>675</v>
      </c>
      <c r="C101" s="245" t="str">
        <f>VLOOKUP(B101,DICH!B:C,2,FALSE)</f>
        <v>Steel pipe D60</v>
      </c>
      <c r="D101" s="240" t="s">
        <v>543</v>
      </c>
      <c r="E101" s="166"/>
      <c r="F101" s="166">
        <f>379700/6</f>
        <v>63283.333333333336</v>
      </c>
      <c r="G101" s="166"/>
      <c r="H101" s="166"/>
      <c r="I101" s="166">
        <f>SUM(E101:H101)</f>
        <v>63283.333333333336</v>
      </c>
      <c r="J101" s="323" t="e">
        <f>SUMIF('8.Dgia'!E:E,'11.gia '!B101,'8.Dgia'!P:P)</f>
        <v>#REF!</v>
      </c>
      <c r="K101" s="166" t="e">
        <f>J101*I101</f>
        <v>#REF!</v>
      </c>
      <c r="L101" s="322" t="s">
        <v>3411</v>
      </c>
      <c r="M101" s="1064" t="s">
        <v>4957</v>
      </c>
      <c r="N101" s="193"/>
    </row>
    <row r="102" spans="1:14" ht="19.5" customHeight="1">
      <c r="A102" s="806" t="e">
        <f>IF(J102&gt;0,MAX($A$10:A101)+1,"")</f>
        <v>#REF!</v>
      </c>
      <c r="B102" s="662" t="s">
        <v>182</v>
      </c>
      <c r="C102" s="245" t="str">
        <f>VLOOKUP(B102,DICH!B:C,2,FALSE)</f>
        <v>Steel pipe D80</v>
      </c>
      <c r="D102" s="703" t="s">
        <v>543</v>
      </c>
      <c r="E102" s="325"/>
      <c r="F102" s="325">
        <f>458800/6</f>
        <v>76466.666666666672</v>
      </c>
      <c r="G102" s="325"/>
      <c r="H102" s="325"/>
      <c r="I102" s="166">
        <f>SUM(E102:H102)</f>
        <v>76466.666666666672</v>
      </c>
      <c r="J102" s="323" t="e">
        <f>SUMIF('8.Dgia'!E:E,'11.gia '!B102,'8.Dgia'!P:P)</f>
        <v>#REF!</v>
      </c>
      <c r="K102" s="166" t="e">
        <f>J102*I102</f>
        <v>#REF!</v>
      </c>
      <c r="L102" s="322" t="s">
        <v>3411</v>
      </c>
      <c r="M102" s="1064" t="s">
        <v>4957</v>
      </c>
      <c r="N102" s="193"/>
    </row>
    <row r="103" spans="1:14" ht="19.5" customHeight="1">
      <c r="A103" s="806" t="str">
        <f>IF(J103&gt;0,MAX($A$10:A102)+1,"")</f>
        <v/>
      </c>
      <c r="B103" s="699" t="s">
        <v>496</v>
      </c>
      <c r="C103" s="245"/>
      <c r="D103" s="240"/>
      <c r="E103" s="166"/>
      <c r="F103" s="166"/>
      <c r="G103" s="166"/>
      <c r="H103" s="166"/>
      <c r="I103" s="166"/>
      <c r="J103" s="323">
        <f>SUMIF('8.Dgia'!E:E,'11.gia '!B103,'8.Dgia'!P:P)</f>
        <v>0</v>
      </c>
      <c r="K103" s="166">
        <f t="shared" si="7"/>
        <v>0</v>
      </c>
      <c r="L103" s="322"/>
      <c r="M103" s="1062"/>
      <c r="N103" s="193"/>
    </row>
    <row r="104" spans="1:14" ht="19.5" customHeight="1">
      <c r="A104" s="806" t="e">
        <f>IF(J104&gt;0,MAX($A$10:A103)+1,"")</f>
        <v>#REF!</v>
      </c>
      <c r="B104" s="245" t="s">
        <v>459</v>
      </c>
      <c r="C104" s="245" t="str">
        <f>VLOOKUP(B104,DICH!B:C,2,FALSE)</f>
        <v>Steel ware</v>
      </c>
      <c r="D104" s="240" t="s">
        <v>558</v>
      </c>
      <c r="E104" s="166">
        <f>'Cong bo gia'!E1584</f>
        <v>17143</v>
      </c>
      <c r="F104" s="166"/>
      <c r="G104" s="166"/>
      <c r="H104" s="166"/>
      <c r="I104" s="166">
        <f>SUM(E104:H104)</f>
        <v>17143</v>
      </c>
      <c r="J104" s="323" t="e">
        <f>SUMIF('8.Dgia'!E:E,'11.gia '!B104,'8.Dgia'!P:P)</f>
        <v>#REF!</v>
      </c>
      <c r="K104" s="166" t="e">
        <f t="shared" si="7"/>
        <v>#REF!</v>
      </c>
      <c r="L104" s="322" t="s">
        <v>5390</v>
      </c>
      <c r="M104" s="1062" t="s">
        <v>5400</v>
      </c>
      <c r="N104" s="193"/>
    </row>
    <row r="105" spans="1:14" ht="19.5" customHeight="1">
      <c r="A105" s="806" t="e">
        <f>IF(J105&gt;0,MAX($A$10:A104)+1,"")</f>
        <v>#REF!</v>
      </c>
      <c r="B105" s="245" t="s">
        <v>460</v>
      </c>
      <c r="C105" s="245" t="str">
        <f>VLOOKUP(B105,DICH!B:C,2,FALSE)</f>
        <v>Nail</v>
      </c>
      <c r="D105" s="240" t="s">
        <v>558</v>
      </c>
      <c r="E105" s="166">
        <f>'Cong bo gia'!E1583</f>
        <v>17143</v>
      </c>
      <c r="F105" s="166"/>
      <c r="G105" s="166"/>
      <c r="H105" s="166"/>
      <c r="I105" s="166">
        <f t="shared" ref="I105:I123" si="9">SUM(E105:H105)</f>
        <v>17143</v>
      </c>
      <c r="J105" s="323" t="e">
        <f>SUMIF('8.Dgia'!E:E,'11.gia '!B105,'8.Dgia'!P:P)</f>
        <v>#REF!</v>
      </c>
      <c r="K105" s="166" t="e">
        <f t="shared" si="7"/>
        <v>#REF!</v>
      </c>
      <c r="L105" s="322" t="s">
        <v>5380</v>
      </c>
      <c r="M105" s="1062" t="s">
        <v>5401</v>
      </c>
      <c r="N105" s="193"/>
    </row>
    <row r="106" spans="1:14" ht="19.5" customHeight="1">
      <c r="A106" s="806" t="e">
        <f>IF(J106&gt;0,MAX($A$10:A105)+1,"")</f>
        <v>#REF!</v>
      </c>
      <c r="B106" s="245" t="s">
        <v>652</v>
      </c>
      <c r="C106" s="245" t="str">
        <f>VLOOKUP(B106,DICH!B:C,2,FALSE)</f>
        <v>Thumbtack</v>
      </c>
      <c r="D106" s="240" t="s">
        <v>567</v>
      </c>
      <c r="E106" s="166"/>
      <c r="F106" s="166"/>
      <c r="G106" s="166">
        <v>1000</v>
      </c>
      <c r="H106" s="166"/>
      <c r="I106" s="166">
        <f t="shared" si="9"/>
        <v>1000</v>
      </c>
      <c r="J106" s="323" t="e">
        <f>SUMIF('8.Dgia'!E:E,'11.gia '!B106,'8.Dgia'!P:P)</f>
        <v>#REF!</v>
      </c>
      <c r="K106" s="166" t="e">
        <f t="shared" si="7"/>
        <v>#REF!</v>
      </c>
      <c r="L106" s="322" t="s">
        <v>3413</v>
      </c>
      <c r="M106" s="1062" t="s">
        <v>4971</v>
      </c>
      <c r="N106" s="193"/>
    </row>
    <row r="107" spans="1:14" ht="19.5" customHeight="1">
      <c r="A107" s="806" t="e">
        <f>IF(J107&gt;0,MAX($A$10:A106)+1,"")</f>
        <v>#REF!</v>
      </c>
      <c r="B107" s="245" t="s">
        <v>133</v>
      </c>
      <c r="C107" s="245" t="str">
        <f>VLOOKUP(B107,DICH!B:C,2,FALSE)</f>
        <v>Clinch-nail D22</v>
      </c>
      <c r="D107" s="240" t="s">
        <v>14</v>
      </c>
      <c r="E107" s="166"/>
      <c r="F107" s="166"/>
      <c r="G107" s="166">
        <v>1000</v>
      </c>
      <c r="H107" s="166"/>
      <c r="I107" s="166">
        <f t="shared" si="9"/>
        <v>1000</v>
      </c>
      <c r="J107" s="323" t="e">
        <f>SUMIF('8.Dgia'!E:E,'11.gia '!B107,'8.Dgia'!P:P)</f>
        <v>#REF!</v>
      </c>
      <c r="K107" s="166" t="e">
        <f t="shared" si="7"/>
        <v>#REF!</v>
      </c>
      <c r="L107" s="322" t="s">
        <v>5194</v>
      </c>
      <c r="M107" s="1062" t="s">
        <v>5195</v>
      </c>
      <c r="N107" s="193"/>
    </row>
    <row r="108" spans="1:14" ht="19.5" customHeight="1">
      <c r="A108" s="806" t="e">
        <f>IF(J108&gt;0,MAX($A$10:A107)+1,"")</f>
        <v>#REF!</v>
      </c>
      <c r="B108" s="245" t="s">
        <v>465</v>
      </c>
      <c r="C108" s="245" t="str">
        <f>VLOOKUP(B108,DICH!B:C,2,FALSE)</f>
        <v>Casing nail</v>
      </c>
      <c r="D108" s="240" t="s">
        <v>567</v>
      </c>
      <c r="E108" s="166"/>
      <c r="F108" s="166"/>
      <c r="G108" s="166">
        <v>1000</v>
      </c>
      <c r="H108" s="166"/>
      <c r="I108" s="166">
        <f t="shared" si="9"/>
        <v>1000</v>
      </c>
      <c r="J108" s="323" t="e">
        <f>SUMIF('8.Dgia'!E:E,'11.gia '!B108,'8.Dgia'!P:P)</f>
        <v>#REF!</v>
      </c>
      <c r="K108" s="166" t="e">
        <f t="shared" si="7"/>
        <v>#REF!</v>
      </c>
      <c r="L108" s="322" t="s">
        <v>3414</v>
      </c>
      <c r="M108" s="1062" t="s">
        <v>4972</v>
      </c>
      <c r="N108" s="193"/>
    </row>
    <row r="109" spans="1:14" ht="19.5" customHeight="1">
      <c r="A109" s="806" t="e">
        <f>IF(J109&gt;0,MAX($A$10:A108)+1,"")</f>
        <v>#REF!</v>
      </c>
      <c r="B109" s="661" t="s">
        <v>742</v>
      </c>
      <c r="C109" s="245" t="str">
        <f>VLOOKUP(B109,DICH!B:C,2,FALSE)</f>
        <v>Crampong nail</v>
      </c>
      <c r="D109" s="240" t="s">
        <v>567</v>
      </c>
      <c r="E109" s="166"/>
      <c r="F109" s="166"/>
      <c r="G109" s="166">
        <v>1000</v>
      </c>
      <c r="H109" s="166"/>
      <c r="I109" s="166">
        <f>SUM(E109:H109)</f>
        <v>1000</v>
      </c>
      <c r="J109" s="323" t="e">
        <f>SUMIF('8.Dgia'!E:E,'11.gia '!B109,'8.Dgia'!P:P)</f>
        <v>#REF!</v>
      </c>
      <c r="K109" s="166" t="e">
        <f>J109*I109</f>
        <v>#REF!</v>
      </c>
      <c r="L109" s="322" t="s">
        <v>3413</v>
      </c>
      <c r="M109" s="1062" t="s">
        <v>4971</v>
      </c>
      <c r="N109" s="193"/>
    </row>
    <row r="110" spans="1:14" ht="19.5" customHeight="1">
      <c r="A110" s="806" t="e">
        <f>IF(J110&gt;0,MAX($A$10:A109)+1,"")</f>
        <v>#REF!</v>
      </c>
      <c r="B110" s="245" t="s">
        <v>559</v>
      </c>
      <c r="C110" s="245" t="str">
        <f>VLOOKUP(B110,DICH!B:C,2,FALSE)</f>
        <v>welding electrode</v>
      </c>
      <c r="D110" s="240" t="s">
        <v>558</v>
      </c>
      <c r="E110" s="166">
        <f>'Cong bo gia'!E1590</f>
        <v>19090.909090909088</v>
      </c>
      <c r="F110" s="166"/>
      <c r="G110" s="166"/>
      <c r="H110" s="166"/>
      <c r="I110" s="166">
        <f t="shared" si="9"/>
        <v>19090.909090909088</v>
      </c>
      <c r="J110" s="323" t="e">
        <f>SUMIF('8.Dgia'!E:E,'11.gia '!B110,'8.Dgia'!P:P)</f>
        <v>#REF!</v>
      </c>
      <c r="K110" s="166" t="e">
        <f t="shared" si="7"/>
        <v>#REF!</v>
      </c>
      <c r="L110" s="322" t="s">
        <v>5381</v>
      </c>
      <c r="M110" s="1062" t="s">
        <v>5402</v>
      </c>
      <c r="N110" s="193"/>
    </row>
    <row r="111" spans="1:14" ht="19.5" customHeight="1">
      <c r="A111" s="806" t="e">
        <f>IF(J111&gt;0,MAX($A$10:A110)+1,"")</f>
        <v>#REF!</v>
      </c>
      <c r="B111" s="245" t="s">
        <v>586</v>
      </c>
      <c r="C111" s="245" t="str">
        <f>VLOOKUP(B111,DICH!B:C,2,FALSE)</f>
        <v>Zinc steel</v>
      </c>
      <c r="D111" s="240" t="s">
        <v>558</v>
      </c>
      <c r="E111" s="166"/>
      <c r="F111" s="624">
        <f>6200/1.1</f>
        <v>5636.363636363636</v>
      </c>
      <c r="G111" s="166"/>
      <c r="H111" s="166"/>
      <c r="I111" s="166">
        <f t="shared" si="9"/>
        <v>5636.363636363636</v>
      </c>
      <c r="J111" s="323" t="e">
        <f>SUMIF('8.Dgia'!E:E,'11.gia '!B111,'8.Dgia'!P:P)</f>
        <v>#REF!</v>
      </c>
      <c r="K111" s="166" t="e">
        <f t="shared" si="7"/>
        <v>#REF!</v>
      </c>
      <c r="L111" s="322" t="s">
        <v>3412</v>
      </c>
      <c r="M111" s="1064" t="s">
        <v>4958</v>
      </c>
      <c r="N111" s="193"/>
    </row>
    <row r="112" spans="1:14" ht="26.25" customHeight="1">
      <c r="A112" s="806" t="e">
        <f>IF(J112&gt;0,MAX($A$10:A111)+1,"")</f>
        <v>#REF!</v>
      </c>
      <c r="B112" s="245" t="s">
        <v>658</v>
      </c>
      <c r="C112" s="245" t="str">
        <f>VLOOKUP(B112,DICH!B:C,2,FALSE)</f>
        <v>Temporary railling B40</v>
      </c>
      <c r="D112" s="240" t="s">
        <v>548</v>
      </c>
      <c r="E112" s="166">
        <f>'Cong bo gia'!E1585*2.3</f>
        <v>37676.299999999996</v>
      </c>
      <c r="F112" s="166"/>
      <c r="G112" s="166"/>
      <c r="H112" s="166"/>
      <c r="I112" s="166">
        <f t="shared" si="9"/>
        <v>37676.299999999996</v>
      </c>
      <c r="J112" s="323" t="e">
        <f>SUMIF('8.Dgia'!E:E,'11.gia '!B112,'8.Dgia'!P:P)</f>
        <v>#REF!</v>
      </c>
      <c r="K112" s="166" t="e">
        <f t="shared" si="7"/>
        <v>#REF!</v>
      </c>
      <c r="L112" s="324" t="s">
        <v>5382</v>
      </c>
      <c r="M112" s="1063" t="s">
        <v>5403</v>
      </c>
      <c r="N112" s="193"/>
    </row>
    <row r="113" spans="1:14" ht="19.5" customHeight="1">
      <c r="A113" s="806" t="e">
        <f>IF(J113&gt;0,MAX($A$10:A112)+1,"")</f>
        <v>#REF!</v>
      </c>
      <c r="B113" s="245" t="s">
        <v>575</v>
      </c>
      <c r="C113" s="245" t="str">
        <f>VLOOKUP(B113,DICH!B:C,2,FALSE)</f>
        <v>Saw</v>
      </c>
      <c r="D113" s="240" t="s">
        <v>567</v>
      </c>
      <c r="E113" s="166"/>
      <c r="F113" s="166"/>
      <c r="G113" s="166">
        <v>4500</v>
      </c>
      <c r="H113" s="166"/>
      <c r="I113" s="166">
        <f t="shared" si="9"/>
        <v>4500</v>
      </c>
      <c r="J113" s="323" t="e">
        <f>SUMIF('8.Dgia'!E:E,'11.gia '!B113,'8.Dgia'!P:P)</f>
        <v>#REF!</v>
      </c>
      <c r="K113" s="166" t="e">
        <f t="shared" si="7"/>
        <v>#REF!</v>
      </c>
      <c r="L113" s="322" t="s">
        <v>3415</v>
      </c>
      <c r="M113" s="1062" t="s">
        <v>4973</v>
      </c>
      <c r="N113" s="193"/>
    </row>
    <row r="114" spans="1:14" ht="19.5" customHeight="1">
      <c r="A114" s="806" t="e">
        <f>IF(J114&gt;0,MAX($A$10:A113)+1,"")</f>
        <v>#REF!</v>
      </c>
      <c r="B114" s="245" t="s">
        <v>473</v>
      </c>
      <c r="C114" s="245" t="str">
        <f>VLOOKUP(B114,DICH!B:C,2,FALSE)</f>
        <v>turn buckle</v>
      </c>
      <c r="D114" s="240" t="s">
        <v>567</v>
      </c>
      <c r="E114" s="166"/>
      <c r="F114" s="166"/>
      <c r="G114" s="166">
        <v>25000</v>
      </c>
      <c r="H114" s="166"/>
      <c r="I114" s="166">
        <f t="shared" si="9"/>
        <v>25000</v>
      </c>
      <c r="J114" s="323" t="e">
        <f>SUMIF('8.Dgia'!E:E,'11.gia '!B114,'8.Dgia'!P:P)</f>
        <v>#REF!</v>
      </c>
      <c r="K114" s="166" t="e">
        <f t="shared" si="7"/>
        <v>#REF!</v>
      </c>
      <c r="L114" s="322" t="s">
        <v>5196</v>
      </c>
      <c r="M114" s="1062" t="s">
        <v>5197</v>
      </c>
      <c r="N114" s="193"/>
    </row>
    <row r="115" spans="1:14" ht="19.5" customHeight="1">
      <c r="A115" s="806" t="e">
        <f>IF(J115&gt;0,MAX($A$10:A114)+1,"")</f>
        <v>#REF!</v>
      </c>
      <c r="B115" s="245" t="s">
        <v>597</v>
      </c>
      <c r="C115" s="245" t="str">
        <f>VLOOKUP(B115,DICH!B:C,2,FALSE)</f>
        <v>Bbolt M14</v>
      </c>
      <c r="D115" s="240" t="s">
        <v>307</v>
      </c>
      <c r="E115" s="166"/>
      <c r="F115" s="166">
        <v>3000</v>
      </c>
      <c r="G115" s="166"/>
      <c r="H115" s="166"/>
      <c r="I115" s="166">
        <f t="shared" si="9"/>
        <v>3000</v>
      </c>
      <c r="J115" s="323" t="e">
        <f>SUMIF('8.Dgia'!E:E,'11.gia '!B115,'8.Dgia'!P:P)</f>
        <v>#REF!</v>
      </c>
      <c r="K115" s="166" t="e">
        <f t="shared" si="7"/>
        <v>#REF!</v>
      </c>
      <c r="L115" s="322" t="s">
        <v>3416</v>
      </c>
      <c r="M115" s="1062" t="s">
        <v>4974</v>
      </c>
      <c r="N115" s="193"/>
    </row>
    <row r="116" spans="1:14" ht="19.5" customHeight="1">
      <c r="A116" s="806" t="e">
        <f>IF(J116&gt;0,MAX($A$10:A115)+1,"")</f>
        <v>#REF!</v>
      </c>
      <c r="B116" s="245" t="s">
        <v>608</v>
      </c>
      <c r="C116" s="245" t="str">
        <f>VLOOKUP(B116,DICH!B:C,2,FALSE)</f>
        <v>Bbolt M16</v>
      </c>
      <c r="D116" s="240" t="s">
        <v>307</v>
      </c>
      <c r="E116" s="166"/>
      <c r="F116" s="166">
        <v>3500</v>
      </c>
      <c r="G116" s="166"/>
      <c r="H116" s="166"/>
      <c r="I116" s="166">
        <f t="shared" si="9"/>
        <v>3500</v>
      </c>
      <c r="J116" s="323" t="e">
        <f>SUMIF('8.Dgia'!E:E,'11.gia '!B116,'8.Dgia'!P:P)</f>
        <v>#REF!</v>
      </c>
      <c r="K116" s="166" t="e">
        <f t="shared" si="7"/>
        <v>#REF!</v>
      </c>
      <c r="L116" s="322" t="s">
        <v>3417</v>
      </c>
      <c r="M116" s="1062" t="s">
        <v>4975</v>
      </c>
      <c r="N116" s="193"/>
    </row>
    <row r="117" spans="1:14" ht="19.5" customHeight="1">
      <c r="A117" s="806" t="e">
        <f>IF(J117&gt;0,MAX($A$10:A116)+1,"")</f>
        <v>#REF!</v>
      </c>
      <c r="B117" s="245" t="s">
        <v>623</v>
      </c>
      <c r="C117" s="245" t="str">
        <f>VLOOKUP(B117,DICH!B:C,2,FALSE)</f>
        <v>Bbolt M20</v>
      </c>
      <c r="D117" s="240" t="s">
        <v>307</v>
      </c>
      <c r="E117" s="166"/>
      <c r="F117" s="166">
        <v>4000</v>
      </c>
      <c r="G117" s="166"/>
      <c r="H117" s="166"/>
      <c r="I117" s="166">
        <f t="shared" si="9"/>
        <v>4000</v>
      </c>
      <c r="J117" s="323" t="e">
        <f>SUMIF('8.Dgia'!E:E,'11.gia '!B117,'8.Dgia'!P:P)</f>
        <v>#REF!</v>
      </c>
      <c r="K117" s="166" t="e">
        <f t="shared" si="7"/>
        <v>#REF!</v>
      </c>
      <c r="L117" s="322" t="s">
        <v>5198</v>
      </c>
      <c r="M117" s="1062" t="s">
        <v>5199</v>
      </c>
      <c r="N117" s="193"/>
    </row>
    <row r="118" spans="1:14" ht="19.5" customHeight="1">
      <c r="A118" s="806" t="e">
        <f>IF(J118&gt;0,MAX($A$10:A117)+1,"")</f>
        <v>#REF!</v>
      </c>
      <c r="B118" s="245" t="s">
        <v>372</v>
      </c>
      <c r="C118" s="245" t="str">
        <f>VLOOKUP(B118,DICH!B:C,2,FALSE)</f>
        <v>Bbolt D22</v>
      </c>
      <c r="D118" s="240" t="s">
        <v>307</v>
      </c>
      <c r="E118" s="166"/>
      <c r="F118" s="166">
        <v>10000</v>
      </c>
      <c r="G118" s="166"/>
      <c r="H118" s="166"/>
      <c r="I118" s="166">
        <f t="shared" si="9"/>
        <v>10000</v>
      </c>
      <c r="J118" s="323" t="e">
        <f>SUMIF('8.Dgia'!E:E,'11.gia '!B118,'8.Dgia'!P:P)</f>
        <v>#REF!</v>
      </c>
      <c r="K118" s="166" t="e">
        <f t="shared" si="7"/>
        <v>#REF!</v>
      </c>
      <c r="L118" s="322" t="s">
        <v>3418</v>
      </c>
      <c r="M118" s="1062" t="s">
        <v>4976</v>
      </c>
      <c r="N118" s="193"/>
    </row>
    <row r="119" spans="1:14" ht="19.5" customHeight="1">
      <c r="A119" s="806" t="e">
        <f>IF(J119&gt;0,MAX($A$10:A118)+1,"")</f>
        <v>#REF!</v>
      </c>
      <c r="B119" s="662" t="s">
        <v>2069</v>
      </c>
      <c r="C119" s="245" t="str">
        <f>VLOOKUP(B119,DICH!B:C,2,FALSE)</f>
        <v>Bbolt D16mmm</v>
      </c>
      <c r="D119" s="240" t="s">
        <v>307</v>
      </c>
      <c r="E119" s="166"/>
      <c r="F119" s="166">
        <f>F116</f>
        <v>3500</v>
      </c>
      <c r="G119" s="166"/>
      <c r="H119" s="166"/>
      <c r="I119" s="166">
        <f t="shared" si="9"/>
        <v>3500</v>
      </c>
      <c r="J119" s="323" t="e">
        <f>SUMIF('8.Dgia'!E:E,'11.gia '!B119,'8.Dgia'!P:P)</f>
        <v>#REF!</v>
      </c>
      <c r="K119" s="166" t="e">
        <f t="shared" si="7"/>
        <v>#REF!</v>
      </c>
      <c r="L119" s="322" t="s">
        <v>3417</v>
      </c>
      <c r="M119" s="1062" t="s">
        <v>4975</v>
      </c>
      <c r="N119" s="193"/>
    </row>
    <row r="120" spans="1:14" ht="19.5" customHeight="1">
      <c r="A120" s="806" t="e">
        <f>IF(J120&gt;0,MAX($A$10:A119)+1,"")</f>
        <v>#REF!</v>
      </c>
      <c r="B120" s="662" t="s">
        <v>3420</v>
      </c>
      <c r="C120" s="245" t="str">
        <f>VLOOKUP(B120,DICH!B:C,2,FALSE)</f>
        <v>Bbolt M24x290</v>
      </c>
      <c r="D120" s="240" t="s">
        <v>307</v>
      </c>
      <c r="E120" s="166"/>
      <c r="F120" s="166">
        <v>10000</v>
      </c>
      <c r="G120" s="166"/>
      <c r="H120" s="166"/>
      <c r="I120" s="166">
        <f t="shared" si="9"/>
        <v>10000</v>
      </c>
      <c r="J120" s="323" t="e">
        <f>SUMIF('8.Dgia'!E:E,'11.gia '!B120,'8.Dgia'!P:P)</f>
        <v>#REF!</v>
      </c>
      <c r="K120" s="166" t="e">
        <f t="shared" si="7"/>
        <v>#REF!</v>
      </c>
      <c r="L120" s="322" t="s">
        <v>654</v>
      </c>
      <c r="M120" s="1062" t="s">
        <v>4977</v>
      </c>
      <c r="N120" s="193"/>
    </row>
    <row r="121" spans="1:14" ht="19.5" customHeight="1">
      <c r="A121" s="806" t="e">
        <f>IF(J121&gt;0,MAX($A$10:A120)+1,"")</f>
        <v>#REF!</v>
      </c>
      <c r="B121" s="662" t="s">
        <v>3421</v>
      </c>
      <c r="C121" s="245" t="str">
        <f>VLOOKUP(B121,DICH!B:C,2,FALSE)</f>
        <v>Bbolt M8x50</v>
      </c>
      <c r="D121" s="240" t="s">
        <v>307</v>
      </c>
      <c r="E121" s="166"/>
      <c r="F121" s="166">
        <v>1200</v>
      </c>
      <c r="G121" s="166"/>
      <c r="H121" s="166"/>
      <c r="I121" s="166">
        <f t="shared" si="9"/>
        <v>1200</v>
      </c>
      <c r="J121" s="323" t="e">
        <f>SUMIF('8.Dgia'!E:E,'11.gia '!B121,'8.Dgia'!P:P)</f>
        <v>#REF!</v>
      </c>
      <c r="K121" s="166" t="e">
        <f t="shared" si="7"/>
        <v>#REF!</v>
      </c>
      <c r="L121" s="322" t="s">
        <v>3419</v>
      </c>
      <c r="M121" s="1062" t="s">
        <v>4978</v>
      </c>
      <c r="N121" s="193"/>
    </row>
    <row r="122" spans="1:14" ht="19.5" customHeight="1">
      <c r="A122" s="806" t="e">
        <f>IF(J122&gt;0,MAX($A$10:A121)+1,"")</f>
        <v>#REF!</v>
      </c>
      <c r="B122" s="662" t="s">
        <v>2077</v>
      </c>
      <c r="C122" s="245" t="str">
        <f>VLOOKUP(B122,DICH!B:C,2,FALSE)</f>
        <v>Bbolt M10</v>
      </c>
      <c r="D122" s="240" t="s">
        <v>307</v>
      </c>
      <c r="E122" s="166"/>
      <c r="F122" s="166">
        <v>1200</v>
      </c>
      <c r="G122" s="166"/>
      <c r="H122" s="166"/>
      <c r="I122" s="166">
        <f t="shared" si="9"/>
        <v>1200</v>
      </c>
      <c r="J122" s="323" t="e">
        <f>SUMIF('8.Dgia'!E:E,'11.gia '!B122,'8.Dgia'!P:P)</f>
        <v>#REF!</v>
      </c>
      <c r="K122" s="166" t="e">
        <f t="shared" si="7"/>
        <v>#REF!</v>
      </c>
      <c r="L122" s="322" t="s">
        <v>3419</v>
      </c>
      <c r="M122" s="1062" t="s">
        <v>4978</v>
      </c>
      <c r="N122" s="193"/>
    </row>
    <row r="123" spans="1:14" ht="19.5" customHeight="1">
      <c r="A123" s="806" t="e">
        <f>IF(J123&gt;0,MAX($A$10:A122)+1,"")</f>
        <v>#REF!</v>
      </c>
      <c r="B123" s="662" t="s">
        <v>2080</v>
      </c>
      <c r="C123" s="245" t="str">
        <f>VLOOKUP(B123,DICH!B:C,2,FALSE)</f>
        <v>Bbolt M6</v>
      </c>
      <c r="D123" s="240" t="s">
        <v>307</v>
      </c>
      <c r="E123" s="166"/>
      <c r="F123" s="166">
        <f>F122</f>
        <v>1200</v>
      </c>
      <c r="G123" s="166"/>
      <c r="H123" s="166"/>
      <c r="I123" s="166">
        <f t="shared" si="9"/>
        <v>1200</v>
      </c>
      <c r="J123" s="323" t="e">
        <f>SUMIF('8.Dgia'!E:E,'11.gia '!B123,'8.Dgia'!P:P)</f>
        <v>#REF!</v>
      </c>
      <c r="K123" s="166" t="e">
        <f t="shared" si="7"/>
        <v>#REF!</v>
      </c>
      <c r="L123" s="662" t="s">
        <v>2077</v>
      </c>
      <c r="M123" s="1062" t="s">
        <v>4959</v>
      </c>
      <c r="N123" s="193"/>
    </row>
    <row r="124" spans="1:14" ht="19.5" customHeight="1">
      <c r="A124" s="806" t="str">
        <f>IF(J124&gt;0,MAX($A$10:A123)+1,"")</f>
        <v/>
      </c>
      <c r="B124" s="699" t="s">
        <v>495</v>
      </c>
      <c r="C124" s="245"/>
      <c r="D124" s="240"/>
      <c r="E124" s="166"/>
      <c r="F124" s="166"/>
      <c r="G124" s="166"/>
      <c r="H124" s="166"/>
      <c r="I124" s="166"/>
      <c r="J124" s="323">
        <f>SUMIF('8.Dgia'!E:E,'11.gia '!B124,'8.Dgia'!P:P)</f>
        <v>0</v>
      </c>
      <c r="K124" s="166">
        <f t="shared" si="7"/>
        <v>0</v>
      </c>
      <c r="L124" s="322"/>
      <c r="M124" s="1062"/>
      <c r="N124" s="193"/>
    </row>
    <row r="125" spans="1:14" ht="19.5" customHeight="1">
      <c r="A125" s="806" t="e">
        <f>IF(J125&gt;0,MAX($A$10:A124)+1,"")</f>
        <v>#REF!</v>
      </c>
      <c r="B125" s="245" t="s">
        <v>273</v>
      </c>
      <c r="C125" s="245" t="str">
        <f>VLOOKUP(B125,DICH!B:C,2,FALSE)</f>
        <v>Strut</v>
      </c>
      <c r="D125" s="240" t="s">
        <v>462</v>
      </c>
      <c r="E125" s="166">
        <f>'Cong bo gia'!E86</f>
        <v>17000</v>
      </c>
      <c r="F125" s="166"/>
      <c r="G125" s="166"/>
      <c r="H125" s="166"/>
      <c r="I125" s="166">
        <f t="shared" ref="I125:I131" si="10">SUM(E125:H125)</f>
        <v>17000</v>
      </c>
      <c r="J125" s="323" t="e">
        <f>SUMIF('8.Dgia'!E:E,'11.gia '!B125,'8.Dgia'!P:P)</f>
        <v>#REF!</v>
      </c>
      <c r="K125" s="166" t="e">
        <f t="shared" si="7"/>
        <v>#REF!</v>
      </c>
      <c r="L125" s="322" t="s">
        <v>5391</v>
      </c>
      <c r="M125" s="1062" t="s">
        <v>5404</v>
      </c>
      <c r="N125" s="193"/>
    </row>
    <row r="126" spans="1:14" ht="19.5" customHeight="1">
      <c r="A126" s="806" t="e">
        <f>IF(J126&gt;0,MAX($A$10:A125)+1,"")</f>
        <v>#REF!</v>
      </c>
      <c r="B126" s="245" t="s">
        <v>463</v>
      </c>
      <c r="C126" s="245" t="str">
        <f>VLOOKUP(B126,DICH!B:C,2,FALSE)</f>
        <v>Wooden pile</v>
      </c>
      <c r="D126" s="240" t="s">
        <v>543</v>
      </c>
      <c r="E126" s="166">
        <f>'Cong bo gia'!E86/4.7</f>
        <v>3617.0212765957444</v>
      </c>
      <c r="F126" s="166"/>
      <c r="G126" s="166"/>
      <c r="H126" s="166"/>
      <c r="I126" s="166">
        <f t="shared" si="10"/>
        <v>3617.0212765957444</v>
      </c>
      <c r="J126" s="323" t="e">
        <f>SUMIF('8.Dgia'!E:E,'11.gia '!B126,'8.Dgia'!P:P)</f>
        <v>#REF!</v>
      </c>
      <c r="K126" s="166" t="e">
        <f t="shared" si="7"/>
        <v>#REF!</v>
      </c>
      <c r="L126" s="322" t="s">
        <v>5391</v>
      </c>
      <c r="M126" s="1062" t="s">
        <v>5404</v>
      </c>
      <c r="N126" s="193"/>
    </row>
    <row r="127" spans="1:14" ht="19.5" customHeight="1">
      <c r="A127" s="806" t="e">
        <f>IF(J127&gt;0,MAX($A$10:A126)+1,"")</f>
        <v>#REF!</v>
      </c>
      <c r="B127" s="245" t="s">
        <v>134</v>
      </c>
      <c r="C127" s="245" t="str">
        <f>VLOOKUP(B127,DICH!B:C,2,FALSE)</f>
        <v>Wooden</v>
      </c>
      <c r="D127" s="240" t="s">
        <v>545</v>
      </c>
      <c r="E127" s="166">
        <f>'Cong bo gia'!E78</f>
        <v>5000000</v>
      </c>
      <c r="F127" s="166"/>
      <c r="G127" s="166"/>
      <c r="H127" s="166"/>
      <c r="I127" s="166">
        <f t="shared" si="10"/>
        <v>5000000</v>
      </c>
      <c r="J127" s="323" t="e">
        <f>SUMIF('8.Dgia'!E:E,'11.gia '!B127,'8.Dgia'!P:P)</f>
        <v>#REF!</v>
      </c>
      <c r="K127" s="166" t="e">
        <f t="shared" si="7"/>
        <v>#REF!</v>
      </c>
      <c r="L127" s="322" t="s">
        <v>5392</v>
      </c>
      <c r="M127" s="1062" t="s">
        <v>5405</v>
      </c>
      <c r="N127" s="193"/>
    </row>
    <row r="128" spans="1:14" ht="19.5" customHeight="1">
      <c r="A128" s="806" t="e">
        <f>IF(J128&gt;0,MAX($A$10:A127)+1,"")</f>
        <v>#REF!</v>
      </c>
      <c r="B128" s="245" t="s">
        <v>2083</v>
      </c>
      <c r="C128" s="245" t="str">
        <f>VLOOKUP(B128,DICH!B:C,2,FALSE)</f>
        <v>Bitumen soaking wood</v>
      </c>
      <c r="D128" s="702" t="s">
        <v>545</v>
      </c>
      <c r="E128" s="166">
        <f>E127</f>
        <v>5000000</v>
      </c>
      <c r="F128" s="166"/>
      <c r="G128" s="166"/>
      <c r="H128" s="166"/>
      <c r="I128" s="166">
        <f t="shared" si="10"/>
        <v>5000000</v>
      </c>
      <c r="J128" s="323" t="e">
        <f>SUMIF('8.Dgia'!E:E,'11.gia '!B128,'8.Dgia'!P:P)</f>
        <v>#REF!</v>
      </c>
      <c r="K128" s="166" t="e">
        <f>J128*I128</f>
        <v>#REF!</v>
      </c>
      <c r="L128" s="322" t="s">
        <v>134</v>
      </c>
      <c r="M128" s="1062" t="s">
        <v>4338</v>
      </c>
      <c r="N128" s="193"/>
    </row>
    <row r="129" spans="1:15" ht="19.5" customHeight="1">
      <c r="A129" s="806" t="e">
        <f>IF(J129&gt;0,MAX($A$10:A128)+1,"")</f>
        <v>#REF!</v>
      </c>
      <c r="B129" s="665" t="s">
        <v>2248</v>
      </c>
      <c r="C129" s="245" t="str">
        <f>VLOOKUP(B129,DICH!B:C,2,FALSE)</f>
        <v>wooden tie 14x22x180</v>
      </c>
      <c r="D129" s="1406" t="s">
        <v>2249</v>
      </c>
      <c r="E129" s="166"/>
      <c r="F129" s="166"/>
      <c r="G129" s="623">
        <v>412474</v>
      </c>
      <c r="H129" s="166"/>
      <c r="I129" s="166">
        <f t="shared" si="10"/>
        <v>412474</v>
      </c>
      <c r="J129" s="323" t="e">
        <f>SUMIF('8.Dgia'!E:E,'11.gia '!B129,'8.Dgia'!P:P)</f>
        <v>#REF!</v>
      </c>
      <c r="K129" s="166" t="e">
        <f>J129*I129</f>
        <v>#REF!</v>
      </c>
      <c r="L129" s="322" t="s">
        <v>5561</v>
      </c>
      <c r="M129" s="1062" t="s">
        <v>5030</v>
      </c>
      <c r="N129" s="193"/>
    </row>
    <row r="130" spans="1:15" ht="19.5" customHeight="1">
      <c r="A130" s="806" t="str">
        <f>IF(J130&gt;0,MAX($A$10:A129)+1,"")</f>
        <v/>
      </c>
      <c r="B130" s="245" t="s">
        <v>2245</v>
      </c>
      <c r="C130" s="245" t="str">
        <f>VLOOKUP(B130,DICH!B:C,2,FALSE)</f>
        <v>Wooden chock</v>
      </c>
      <c r="D130" s="240" t="s">
        <v>545</v>
      </c>
      <c r="E130" s="166">
        <f>E129</f>
        <v>0</v>
      </c>
      <c r="F130" s="166"/>
      <c r="G130" s="166"/>
      <c r="H130" s="166"/>
      <c r="I130" s="166">
        <f t="shared" si="10"/>
        <v>0</v>
      </c>
      <c r="J130" s="323">
        <f>SUMIF('8.Dgia'!E:E,'11.gia '!B130,'8.Dgia'!P:P)</f>
        <v>0</v>
      </c>
      <c r="K130" s="166">
        <f>J130*I130</f>
        <v>0</v>
      </c>
      <c r="L130" s="322" t="s">
        <v>134</v>
      </c>
      <c r="M130" s="1062" t="s">
        <v>4338</v>
      </c>
      <c r="N130" s="193"/>
    </row>
    <row r="131" spans="1:15" ht="19.5" customHeight="1">
      <c r="A131" s="806" t="e">
        <f>IF(J131&gt;0,MAX($A$10:A130)+1,"")</f>
        <v>#REF!</v>
      </c>
      <c r="B131" s="245" t="s">
        <v>593</v>
      </c>
      <c r="C131" s="245" t="str">
        <f>VLOOKUP(B131,DICH!B:C,2,FALSE)</f>
        <v>Firewood</v>
      </c>
      <c r="D131" s="240" t="s">
        <v>558</v>
      </c>
      <c r="E131" s="166"/>
      <c r="F131" s="166">
        <v>1000</v>
      </c>
      <c r="G131" s="166"/>
      <c r="H131" s="166"/>
      <c r="I131" s="166">
        <f t="shared" si="10"/>
        <v>1000</v>
      </c>
      <c r="J131" s="323" t="e">
        <f>SUMIF('8.Dgia'!E:E,'11.gia '!B131,'8.Dgia'!P:P)</f>
        <v>#REF!</v>
      </c>
      <c r="K131" s="166" t="e">
        <f t="shared" si="7"/>
        <v>#REF!</v>
      </c>
      <c r="L131" s="322" t="s">
        <v>306</v>
      </c>
      <c r="M131" s="1062" t="s">
        <v>4993</v>
      </c>
      <c r="N131" s="193"/>
    </row>
    <row r="132" spans="1:15" ht="19.5" customHeight="1">
      <c r="A132" s="806" t="str">
        <f>IF(J132&gt;0,MAX($A$10:A131)+1,"")</f>
        <v/>
      </c>
      <c r="B132" s="699" t="s">
        <v>493</v>
      </c>
      <c r="C132" s="245"/>
      <c r="D132" s="240"/>
      <c r="E132" s="166"/>
      <c r="F132" s="166"/>
      <c r="G132" s="166"/>
      <c r="H132" s="166"/>
      <c r="I132" s="166"/>
      <c r="J132" s="323">
        <f>SUMIF('8.Dgia'!E:E,'11.gia '!B132,'8.Dgia'!P:P)</f>
        <v>0</v>
      </c>
      <c r="K132" s="166">
        <f t="shared" si="7"/>
        <v>0</v>
      </c>
      <c r="L132" s="322"/>
      <c r="M132" s="1062"/>
      <c r="N132" s="193"/>
    </row>
    <row r="133" spans="1:15" ht="19.5" customHeight="1">
      <c r="A133" s="806" t="e">
        <f>IF(J133&gt;0,MAX($A$10:A132)+1,"")</f>
        <v>#REF!</v>
      </c>
      <c r="B133" s="245" t="s">
        <v>564</v>
      </c>
      <c r="C133" s="245" t="str">
        <f>VLOOKUP(B133,DICH!B:C,2,FALSE)</f>
        <v>oxygen</v>
      </c>
      <c r="D133" s="240" t="s">
        <v>565</v>
      </c>
      <c r="E133" s="166"/>
      <c r="F133" s="166"/>
      <c r="G133" s="166">
        <v>48000</v>
      </c>
      <c r="H133" s="166"/>
      <c r="I133" s="166">
        <f t="shared" ref="I133:I138" si="11">SUM(E133:H133)</f>
        <v>48000</v>
      </c>
      <c r="J133" s="323" t="e">
        <f>SUMIF('8.Dgia'!E:E,'11.gia '!B133,'8.Dgia'!P:P)</f>
        <v>#REF!</v>
      </c>
      <c r="K133" s="166" t="e">
        <f t="shared" si="7"/>
        <v>#REF!</v>
      </c>
      <c r="L133" s="322" t="s">
        <v>3470</v>
      </c>
      <c r="M133" s="1062" t="s">
        <v>4979</v>
      </c>
      <c r="N133" s="193"/>
    </row>
    <row r="134" spans="1:15" ht="19.5" customHeight="1">
      <c r="A134" s="806" t="e">
        <f>IF(J134&gt;0,MAX($A$10:A133)+1,"")</f>
        <v>#REF!</v>
      </c>
      <c r="B134" s="245" t="s">
        <v>566</v>
      </c>
      <c r="C134" s="245" t="str">
        <f>VLOOKUP(B134,DICH!B:C,2,FALSE)</f>
        <v>Calcium carbide</v>
      </c>
      <c r="D134" s="240" t="s">
        <v>558</v>
      </c>
      <c r="E134" s="166">
        <f>'Cong bo gia'!E1578</f>
        <v>14000</v>
      </c>
      <c r="F134" s="166"/>
      <c r="G134" s="166"/>
      <c r="H134" s="166"/>
      <c r="I134" s="166">
        <f t="shared" si="11"/>
        <v>14000</v>
      </c>
      <c r="J134" s="323" t="e">
        <f>SUMIF('8.Dgia'!E:E,'11.gia '!B134,'8.Dgia'!P:P)</f>
        <v>#REF!</v>
      </c>
      <c r="K134" s="166" t="e">
        <f t="shared" si="7"/>
        <v>#REF!</v>
      </c>
      <c r="L134" s="322" t="s">
        <v>5383</v>
      </c>
      <c r="M134" s="1062" t="s">
        <v>5406</v>
      </c>
      <c r="N134" s="193"/>
    </row>
    <row r="135" spans="1:15" ht="19.5" customHeight="1">
      <c r="A135" s="806" t="e">
        <f>IF(J135&gt;0,MAX($A$10:A134)+1,"")</f>
        <v>#REF!</v>
      </c>
      <c r="B135" s="245" t="s">
        <v>403</v>
      </c>
      <c r="C135" s="245" t="str">
        <f>VLOOKUP(B135,DICH!B:C,2,FALSE)</f>
        <v>Acetylene</v>
      </c>
      <c r="D135" s="240" t="s">
        <v>565</v>
      </c>
      <c r="E135" s="166"/>
      <c r="F135" s="166"/>
      <c r="G135" s="166">
        <v>48000</v>
      </c>
      <c r="H135" s="166"/>
      <c r="I135" s="166">
        <f t="shared" si="11"/>
        <v>48000</v>
      </c>
      <c r="J135" s="323" t="e">
        <f>SUMIF('8.Dgia'!E:E,'11.gia '!B135,'8.Dgia'!P:P)</f>
        <v>#REF!</v>
      </c>
      <c r="K135" s="166" t="e">
        <f t="shared" si="7"/>
        <v>#REF!</v>
      </c>
      <c r="L135" s="322" t="s">
        <v>3470</v>
      </c>
      <c r="M135" s="1062" t="s">
        <v>4979</v>
      </c>
      <c r="N135" s="193"/>
    </row>
    <row r="136" spans="1:15" ht="19.5" customHeight="1">
      <c r="A136" s="806" t="e">
        <f>IF(J136&gt;0,MAX($A$10:A135)+1,"")</f>
        <v>#REF!</v>
      </c>
      <c r="B136" s="245" t="s">
        <v>419</v>
      </c>
      <c r="C136" s="245" t="str">
        <f>VLOOKUP(B136,DICH!B:C,2,FALSE)</f>
        <v>Gas</v>
      </c>
      <c r="D136" s="240" t="s">
        <v>558</v>
      </c>
      <c r="E136" s="166"/>
      <c r="F136" s="166">
        <f>364000/12/1.1</f>
        <v>27575.757575757572</v>
      </c>
      <c r="G136" s="166"/>
      <c r="H136" s="166"/>
      <c r="I136" s="166">
        <f t="shared" si="11"/>
        <v>27575.757575757572</v>
      </c>
      <c r="J136" s="323" t="e">
        <f>SUMIF('8.Dgia'!E:E,'11.gia '!B136,'8.Dgia'!P:P)</f>
        <v>#REF!</v>
      </c>
      <c r="K136" s="166" t="e">
        <f t="shared" si="7"/>
        <v>#REF!</v>
      </c>
      <c r="L136" s="322" t="s">
        <v>3885</v>
      </c>
      <c r="M136" s="1062" t="s">
        <v>3885</v>
      </c>
      <c r="N136" s="193"/>
    </row>
    <row r="137" spans="1:15" ht="20.25" customHeight="1">
      <c r="A137" s="806" t="str">
        <f>IF(J137&gt;0,MAX($A$10:A136)+1,"")</f>
        <v/>
      </c>
      <c r="B137" s="245" t="s">
        <v>359</v>
      </c>
      <c r="C137" s="245"/>
      <c r="D137" s="240" t="s">
        <v>558</v>
      </c>
      <c r="E137" s="166"/>
      <c r="F137" s="166">
        <v>7000</v>
      </c>
      <c r="G137" s="166"/>
      <c r="H137" s="166"/>
      <c r="I137" s="166">
        <f t="shared" si="11"/>
        <v>7000</v>
      </c>
      <c r="J137" s="323">
        <f>SUMIF('8.Dgia'!E:E,'11.gia '!B137,'8.Dgia'!P:P)</f>
        <v>0</v>
      </c>
      <c r="K137" s="166">
        <f t="shared" si="7"/>
        <v>0</v>
      </c>
      <c r="L137" s="324" t="s">
        <v>306</v>
      </c>
      <c r="M137" s="1062" t="s">
        <v>4993</v>
      </c>
      <c r="N137" s="193"/>
    </row>
    <row r="138" spans="1:15" ht="19.5" customHeight="1">
      <c r="A138" s="806" t="e">
        <f>IF(J138&gt;0,MAX($A$10:A137)+1,"")</f>
        <v>#REF!</v>
      </c>
      <c r="B138" s="245" t="s">
        <v>360</v>
      </c>
      <c r="C138" s="245" t="str">
        <f>VLOOKUP(B138,DICH!B:C,2,FALSE)</f>
        <v>glue</v>
      </c>
      <c r="D138" s="240" t="s">
        <v>558</v>
      </c>
      <c r="E138" s="166">
        <f>'Cong bo gia'!F984</f>
        <v>100900</v>
      </c>
      <c r="F138" s="166"/>
      <c r="G138" s="166"/>
      <c r="H138" s="166"/>
      <c r="I138" s="166">
        <f t="shared" si="11"/>
        <v>100900</v>
      </c>
      <c r="J138" s="323" t="e">
        <f>SUMIF('8.Dgia'!E:E,'11.gia '!B138,'8.Dgia'!P:P)</f>
        <v>#REF!</v>
      </c>
      <c r="K138" s="166" t="e">
        <f t="shared" si="7"/>
        <v>#REF!</v>
      </c>
      <c r="L138" s="322" t="s">
        <v>5384</v>
      </c>
      <c r="M138" s="1062" t="s">
        <v>5407</v>
      </c>
      <c r="N138" s="193"/>
    </row>
    <row r="139" spans="1:15" ht="19.5" customHeight="1">
      <c r="A139" s="806" t="str">
        <f>IF(J139&gt;0,MAX($A$10:A138)+1,"")</f>
        <v/>
      </c>
      <c r="B139" s="699" t="s">
        <v>494</v>
      </c>
      <c r="C139" s="245"/>
      <c r="D139" s="240"/>
      <c r="E139" s="166"/>
      <c r="F139" s="166"/>
      <c r="G139" s="166"/>
      <c r="H139" s="166"/>
      <c r="I139" s="166"/>
      <c r="J139" s="323">
        <f>SUMIF('8.Dgia'!E:E,'11.gia '!B139,'8.Dgia'!P:P)</f>
        <v>0</v>
      </c>
      <c r="K139" s="166">
        <f t="shared" si="7"/>
        <v>0</v>
      </c>
      <c r="L139" s="322"/>
      <c r="M139" s="1062"/>
      <c r="N139" s="193"/>
    </row>
    <row r="140" spans="1:15" ht="19.5" customHeight="1">
      <c r="A140" s="806" t="e">
        <f>IF(J140&gt;0,MAX($A$10:A139)+1,"")</f>
        <v>#REF!</v>
      </c>
      <c r="B140" s="245" t="s">
        <v>590</v>
      </c>
      <c r="C140" s="245" t="str">
        <f>VLOOKUP(B140,DICH!B:C,2,FALSE)</f>
        <v>bitumen</v>
      </c>
      <c r="D140" s="240" t="s">
        <v>558</v>
      </c>
      <c r="E140" s="166">
        <f>'Cong bo gia'!E61</f>
        <v>15750</v>
      </c>
      <c r="F140" s="166"/>
      <c r="G140" s="166"/>
      <c r="H140" s="166">
        <f>'13.vanchuyen'!$AI$46/1000</f>
        <v>73.463399999999993</v>
      </c>
      <c r="I140" s="166">
        <f>SUM(E140:H140)</f>
        <v>15823.463400000001</v>
      </c>
      <c r="J140" s="323" t="e">
        <f>SUMIF('8.Dgia'!E:E,'11.gia '!B140,'8.Dgia'!P:P)</f>
        <v>#REF!</v>
      </c>
      <c r="K140" s="166" t="e">
        <f t="shared" si="7"/>
        <v>#REF!</v>
      </c>
      <c r="L140" s="322" t="s">
        <v>5375</v>
      </c>
      <c r="M140" s="1062" t="s">
        <v>5408</v>
      </c>
      <c r="N140" s="193"/>
    </row>
    <row r="141" spans="1:15" ht="19.5" customHeight="1">
      <c r="A141" s="806" t="e">
        <f>IF(J141&gt;0,MAX($A$10:A140)+1,"")</f>
        <v>#REF!</v>
      </c>
      <c r="B141" s="245" t="s">
        <v>660</v>
      </c>
      <c r="C141" s="245" t="str">
        <f>VLOOKUP(B141,DICH!B:C,2,FALSE)</f>
        <v>bitumen</v>
      </c>
      <c r="D141" s="240" t="s">
        <v>558</v>
      </c>
      <c r="E141" s="166"/>
      <c r="F141" s="166"/>
      <c r="G141" s="166"/>
      <c r="H141" s="166"/>
      <c r="I141" s="166">
        <f>+I140</f>
        <v>15823.463400000001</v>
      </c>
      <c r="J141" s="323" t="e">
        <f>SUMIF('8.Dgia'!E:E,'11.gia '!B141,'8.Dgia'!P:P)</f>
        <v>#REF!</v>
      </c>
      <c r="K141" s="166" t="e">
        <f t="shared" si="7"/>
        <v>#REF!</v>
      </c>
      <c r="L141" s="322" t="s">
        <v>2204</v>
      </c>
      <c r="M141" s="1062" t="s">
        <v>4445</v>
      </c>
      <c r="N141" s="193"/>
    </row>
    <row r="142" spans="1:15" ht="19.5" customHeight="1">
      <c r="A142" s="806" t="e">
        <f>IF(J142&gt;0,MAX($A$10:A141)+1,"")</f>
        <v>#REF!</v>
      </c>
      <c r="B142" s="245" t="s">
        <v>661</v>
      </c>
      <c r="C142" s="245" t="str">
        <f>VLOOKUP(B142,DICH!B:C,2,FALSE)</f>
        <v>Petroleum</v>
      </c>
      <c r="D142" s="240" t="s">
        <v>558</v>
      </c>
      <c r="E142" s="327"/>
      <c r="F142" s="327">
        <f>22460/1.1/0.87</f>
        <v>23469.174503657261</v>
      </c>
      <c r="G142" s="166"/>
      <c r="H142" s="166"/>
      <c r="I142" s="166">
        <f>SUM(E142:H142)</f>
        <v>23469.174503657261</v>
      </c>
      <c r="J142" s="323" t="e">
        <f>SUMIF('8.Dgia'!E:E,'11.gia '!B142,'8.Dgia'!P:P)</f>
        <v>#REF!</v>
      </c>
      <c r="K142" s="166" t="e">
        <f t="shared" si="7"/>
        <v>#REF!</v>
      </c>
      <c r="L142" s="322" t="s">
        <v>5522</v>
      </c>
      <c r="M142" s="1062" t="s">
        <v>5523</v>
      </c>
      <c r="N142" s="193"/>
      <c r="O142" s="327">
        <f>22460/1.1/0.87</f>
        <v>23469.174503657261</v>
      </c>
    </row>
    <row r="143" spans="1:15" ht="19.5" customHeight="1">
      <c r="A143" s="806" t="e">
        <f>IF(J143&gt;0,MAX($A$10:A142)+1,"")</f>
        <v>#REF!</v>
      </c>
      <c r="B143" s="245" t="s">
        <v>127</v>
      </c>
      <c r="C143" s="245" t="str">
        <f>VLOOKUP(B143,DICH!B:C,2,FALSE)</f>
        <v xml:space="preserve">Petrol -oil </v>
      </c>
      <c r="D143" s="240" t="s">
        <v>558</v>
      </c>
      <c r="E143" s="327"/>
      <c r="F143" s="327">
        <f>25250/1.1/0.74</f>
        <v>31019.656019656017</v>
      </c>
      <c r="G143" s="166"/>
      <c r="H143" s="166"/>
      <c r="I143" s="166">
        <f t="shared" ref="I143:I192" si="12">SUM(E143:H143)</f>
        <v>31019.656019656017</v>
      </c>
      <c r="J143" s="323" t="e">
        <f>SUMIF('8.Dgia'!E:E,'11.gia '!B143,'8.Dgia'!P:P)</f>
        <v>#REF!</v>
      </c>
      <c r="K143" s="166" t="e">
        <f t="shared" si="7"/>
        <v>#REF!</v>
      </c>
      <c r="L143" s="322" t="s">
        <v>5524</v>
      </c>
      <c r="M143" s="1062" t="s">
        <v>5525</v>
      </c>
      <c r="N143" s="193"/>
      <c r="O143" s="327">
        <f>25060/1.1/0.74</f>
        <v>30786.240786240785</v>
      </c>
    </row>
    <row r="144" spans="1:15" ht="19.5" customHeight="1">
      <c r="A144" s="806" t="e">
        <f>IF(J144&gt;0,MAX($A$10:A143)+1,"")</f>
        <v>#REF!</v>
      </c>
      <c r="B144" s="245" t="s">
        <v>653</v>
      </c>
      <c r="C144" s="245" t="str">
        <f>VLOOKUP(B144,DICH!B:C,2,FALSE)</f>
        <v>Diesel</v>
      </c>
      <c r="D144" s="240" t="s">
        <v>558</v>
      </c>
      <c r="E144" s="327"/>
      <c r="F144" s="327">
        <f>24520/1.1/0.87</f>
        <v>25621.734587251827</v>
      </c>
      <c r="G144" s="166"/>
      <c r="H144" s="166"/>
      <c r="I144" s="166">
        <f>SUM(E144:H144)</f>
        <v>25621.734587251827</v>
      </c>
      <c r="J144" s="323" t="e">
        <f>SUMIF('8.Dgia'!E:E,'11.gia '!B144,'8.Dgia'!P:P)</f>
        <v>#REF!</v>
      </c>
      <c r="K144" s="166" t="e">
        <f t="shared" si="7"/>
        <v>#REF!</v>
      </c>
      <c r="L144" s="322" t="s">
        <v>5526</v>
      </c>
      <c r="M144" s="1062" t="s">
        <v>5527</v>
      </c>
      <c r="N144" s="193"/>
      <c r="O144" s="327">
        <f>22700/1.1/0.87</f>
        <v>23719.958202716822</v>
      </c>
    </row>
    <row r="145" spans="1:15" ht="19.5" customHeight="1">
      <c r="A145" s="806" t="e">
        <f>IF(J145&gt;0,MAX($A$10:A144)+1,"")</f>
        <v>#REF!</v>
      </c>
      <c r="B145" s="245" t="s">
        <v>474</v>
      </c>
      <c r="C145" s="245" t="str">
        <f>VLOOKUP(B145,DICH!B:C,2,FALSE)</f>
        <v>Mazut</v>
      </c>
      <c r="D145" s="240" t="s">
        <v>558</v>
      </c>
      <c r="E145" s="327"/>
      <c r="F145" s="327">
        <f>20180/1.1</f>
        <v>18345.454545454544</v>
      </c>
      <c r="G145" s="166"/>
      <c r="H145" s="166"/>
      <c r="I145" s="166">
        <f t="shared" si="12"/>
        <v>18345.454545454544</v>
      </c>
      <c r="J145" s="323" t="e">
        <f>SUMIF('8.Dgia'!E:E,'11.gia '!B145,'8.Dgia'!P:P)</f>
        <v>#REF!</v>
      </c>
      <c r="K145" s="166" t="e">
        <f t="shared" si="7"/>
        <v>#REF!</v>
      </c>
      <c r="L145" s="322" t="s">
        <v>5528</v>
      </c>
      <c r="M145" s="1062" t="s">
        <v>5529</v>
      </c>
      <c r="N145" s="193"/>
      <c r="O145" s="327">
        <f>19140/1.1</f>
        <v>17400</v>
      </c>
    </row>
    <row r="146" spans="1:15" ht="19.5" customHeight="1">
      <c r="A146" s="806" t="e">
        <f>IF(J146&gt;0,MAX($A$10:A145)+1,"")</f>
        <v>#REF!</v>
      </c>
      <c r="B146" s="245" t="s">
        <v>408</v>
      </c>
      <c r="C146" s="245" t="str">
        <f>VLOOKUP(B146,DICH!B:C,2,FALSE)</f>
        <v xml:space="preserve">Safe oil </v>
      </c>
      <c r="D146" s="240" t="s">
        <v>558</v>
      </c>
      <c r="E146" s="327"/>
      <c r="F146" s="166"/>
      <c r="G146" s="327">
        <v>17454</v>
      </c>
      <c r="H146" s="166"/>
      <c r="I146" s="166">
        <f t="shared" si="12"/>
        <v>17454</v>
      </c>
      <c r="J146" s="323" t="e">
        <f>SUMIF('8.Dgia'!E:E,'11.gia '!B146,'8.Dgia'!P:P)</f>
        <v>#REF!</v>
      </c>
      <c r="K146" s="166" t="e">
        <f t="shared" si="7"/>
        <v>#REF!</v>
      </c>
      <c r="L146" s="322" t="s">
        <v>3422</v>
      </c>
      <c r="M146" s="1062" t="s">
        <v>4980</v>
      </c>
      <c r="N146" s="193"/>
    </row>
    <row r="147" spans="1:15" ht="19.5" customHeight="1">
      <c r="A147" s="806" t="e">
        <f>IF(J147&gt;0,MAX($A$10:A146)+1,"")</f>
        <v>#REF!</v>
      </c>
      <c r="B147" s="245" t="s">
        <v>615</v>
      </c>
      <c r="C147" s="245" t="str">
        <f>VLOOKUP(B147,DICH!B:C,2,FALSE)</f>
        <v>Oil CS46</v>
      </c>
      <c r="D147" s="240" t="s">
        <v>558</v>
      </c>
      <c r="E147" s="327"/>
      <c r="F147" s="166"/>
      <c r="G147" s="327">
        <f>+G146</f>
        <v>17454</v>
      </c>
      <c r="H147" s="166"/>
      <c r="I147" s="166">
        <f t="shared" si="12"/>
        <v>17454</v>
      </c>
      <c r="J147" s="323" t="e">
        <f>SUMIF('8.Dgia'!E:E,'11.gia '!B147,'8.Dgia'!P:P)</f>
        <v>#REF!</v>
      </c>
      <c r="K147" s="166" t="e">
        <f t="shared" si="7"/>
        <v>#REF!</v>
      </c>
      <c r="L147" s="322" t="s">
        <v>3423</v>
      </c>
      <c r="M147" s="1062" t="s">
        <v>4981</v>
      </c>
      <c r="N147" s="193"/>
    </row>
    <row r="148" spans="1:15" ht="19.5" customHeight="1">
      <c r="A148" s="806" t="e">
        <f>IF(J148&gt;0,MAX($A$10:A147)+1,"")</f>
        <v>#REF!</v>
      </c>
      <c r="B148" s="245" t="s">
        <v>616</v>
      </c>
      <c r="C148" s="245" t="str">
        <f>VLOOKUP(B148,DICH!B:C,2,FALSE)</f>
        <v>Lubricant grease</v>
      </c>
      <c r="D148" s="240" t="s">
        <v>558</v>
      </c>
      <c r="E148" s="327"/>
      <c r="F148" s="166"/>
      <c r="G148" s="327">
        <v>14560</v>
      </c>
      <c r="H148" s="166"/>
      <c r="I148" s="166">
        <f t="shared" si="12"/>
        <v>14560</v>
      </c>
      <c r="J148" s="323" t="e">
        <f>SUMIF('8.Dgia'!E:E,'11.gia '!B148,'8.Dgia'!P:P)</f>
        <v>#REF!</v>
      </c>
      <c r="K148" s="166" t="e">
        <f t="shared" si="7"/>
        <v>#REF!</v>
      </c>
      <c r="L148" s="322" t="s">
        <v>5200</v>
      </c>
      <c r="M148" s="1062" t="s">
        <v>5201</v>
      </c>
      <c r="N148" s="193"/>
    </row>
    <row r="149" spans="1:15" ht="19.5" customHeight="1">
      <c r="A149" s="806" t="e">
        <f>IF(J149&gt;0,MAX($A$10:A148)+1,"")</f>
        <v>#REF!</v>
      </c>
      <c r="B149" s="245" t="s">
        <v>126</v>
      </c>
      <c r="C149" s="245" t="str">
        <f>VLOOKUP(B149,DICH!B:C,2,FALSE)</f>
        <v>Paint</v>
      </c>
      <c r="D149" s="240" t="s">
        <v>558</v>
      </c>
      <c r="E149" s="166">
        <f>'Cong bo gia'!E750</f>
        <v>86666.666666666672</v>
      </c>
      <c r="F149" s="166"/>
      <c r="G149" s="166"/>
      <c r="H149" s="166"/>
      <c r="I149" s="166">
        <f t="shared" si="12"/>
        <v>86666.666666666672</v>
      </c>
      <c r="J149" s="323" t="e">
        <f>SUMIF('8.Dgia'!E:E,'11.gia '!B149,'8.Dgia'!P:P)</f>
        <v>#REF!</v>
      </c>
      <c r="K149" s="166" t="e">
        <f t="shared" si="7"/>
        <v>#REF!</v>
      </c>
      <c r="L149" s="322" t="s">
        <v>5385</v>
      </c>
      <c r="M149" s="1062" t="s">
        <v>5409</v>
      </c>
      <c r="N149" s="193"/>
    </row>
    <row r="150" spans="1:15" ht="19.5" customHeight="1">
      <c r="A150" s="806" t="e">
        <f>IF(J150&gt;0,MAX($A$10:A149)+1,"")</f>
        <v>#REF!</v>
      </c>
      <c r="B150" s="245" t="s">
        <v>596</v>
      </c>
      <c r="C150" s="245" t="str">
        <f>VLOOKUP(B150,DICH!B:C,2,FALSE)</f>
        <v>Antirust paint</v>
      </c>
      <c r="D150" s="240" t="s">
        <v>558</v>
      </c>
      <c r="E150" s="166">
        <f>'Cong bo gia'!E765</f>
        <v>41169.090909090904</v>
      </c>
      <c r="F150" s="166"/>
      <c r="G150" s="166"/>
      <c r="H150" s="166"/>
      <c r="I150" s="166">
        <f t="shared" si="12"/>
        <v>41169.090909090904</v>
      </c>
      <c r="J150" s="323" t="e">
        <f>SUMIF('8.Dgia'!E:E,'11.gia '!B150,'8.Dgia'!P:P)</f>
        <v>#REF!</v>
      </c>
      <c r="K150" s="166" t="e">
        <f t="shared" ref="K150:K223" si="13">J150*I150</f>
        <v>#REF!</v>
      </c>
      <c r="L150" s="322" t="s">
        <v>5386</v>
      </c>
      <c r="M150" s="1062" t="s">
        <v>5410</v>
      </c>
      <c r="N150" s="193"/>
    </row>
    <row r="151" spans="1:15" ht="19.5" customHeight="1">
      <c r="A151" s="806" t="e">
        <f>IF(J151&gt;0,MAX($A$10:A150)+1,"")</f>
        <v>#REF!</v>
      </c>
      <c r="B151" s="245" t="s">
        <v>13</v>
      </c>
      <c r="C151" s="245" t="str">
        <f>VLOOKUP(B151,DICH!B:C,2,FALSE)</f>
        <v>Priming paint</v>
      </c>
      <c r="D151" s="239" t="s">
        <v>558</v>
      </c>
      <c r="E151" s="166"/>
      <c r="F151" s="166">
        <v>65000</v>
      </c>
      <c r="G151" s="166"/>
      <c r="H151" s="166"/>
      <c r="I151" s="166">
        <f>SUM(E151:H151)</f>
        <v>65000</v>
      </c>
      <c r="J151" s="323" t="e">
        <f>SUMIF('8.Dgia'!E:E,'11.gia '!B151,'8.Dgia'!P:P)</f>
        <v>#REF!</v>
      </c>
      <c r="K151" s="166" t="e">
        <f>J151*I151</f>
        <v>#REF!</v>
      </c>
      <c r="L151" s="322" t="s">
        <v>3904</v>
      </c>
      <c r="M151" s="1064" t="s">
        <v>4960</v>
      </c>
      <c r="N151" s="193"/>
    </row>
    <row r="152" spans="1:15" ht="19.5" customHeight="1">
      <c r="A152" s="806" t="e">
        <f>IF(J152&gt;0,MAX($A$10:A151)+1,"")</f>
        <v>#REF!</v>
      </c>
      <c r="B152" s="245" t="s">
        <v>106</v>
      </c>
      <c r="C152" s="245" t="str">
        <f>VLOOKUP(B152,DICH!B:C,2,FALSE)</f>
        <v xml:space="preserve">Heat viscid paint </v>
      </c>
      <c r="D152" s="239" t="s">
        <v>558</v>
      </c>
      <c r="E152" s="166"/>
      <c r="F152" s="166">
        <v>19800</v>
      </c>
      <c r="G152" s="166"/>
      <c r="H152" s="166"/>
      <c r="I152" s="166">
        <f>SUM(E152:H152)</f>
        <v>19800</v>
      </c>
      <c r="J152" s="323" t="e">
        <f>SUMIF('8.Dgia'!E:E,'11.gia '!B152,'8.Dgia'!P:P)</f>
        <v>#REF!</v>
      </c>
      <c r="K152" s="166" t="e">
        <f>J152*I152</f>
        <v>#REF!</v>
      </c>
      <c r="L152" s="322" t="s">
        <v>3904</v>
      </c>
      <c r="M152" s="1064" t="s">
        <v>4960</v>
      </c>
      <c r="N152" s="193"/>
    </row>
    <row r="153" spans="1:15" ht="19.5" customHeight="1">
      <c r="A153" s="806" t="str">
        <f>IF(J153&gt;0,MAX($A$10:A152)+1,"")</f>
        <v/>
      </c>
      <c r="B153" s="245" t="s">
        <v>2206</v>
      </c>
      <c r="C153" s="245" t="e">
        <f>VLOOKUP(B153,DICH!B:C,2,FALSE)</f>
        <v>#N/A</v>
      </c>
      <c r="D153" s="240" t="s">
        <v>557</v>
      </c>
      <c r="E153" s="166"/>
      <c r="F153" s="166"/>
      <c r="G153" s="166"/>
      <c r="H153" s="166"/>
      <c r="I153" s="166"/>
      <c r="J153" s="323">
        <f>SUMIF('8.Dgia'!E:E,'11.gia '!B153,'8.Dgia'!P:P)</f>
        <v>0</v>
      </c>
      <c r="K153" s="166">
        <f t="shared" si="13"/>
        <v>0</v>
      </c>
      <c r="L153" s="322"/>
      <c r="M153" s="1062"/>
      <c r="N153" s="193"/>
    </row>
    <row r="154" spans="1:15" ht="19.5" customHeight="1">
      <c r="A154" s="806" t="str">
        <f>IF(J154&gt;0,MAX($A$10:A153)+1,"")</f>
        <v/>
      </c>
      <c r="B154" s="245" t="s">
        <v>2207</v>
      </c>
      <c r="C154" s="245" t="e">
        <f>VLOOKUP(B154,DICH!B:C,2,FALSE)</f>
        <v>#N/A</v>
      </c>
      <c r="D154" s="240" t="s">
        <v>557</v>
      </c>
      <c r="E154" s="166"/>
      <c r="F154" s="166"/>
      <c r="G154" s="166"/>
      <c r="H154" s="166"/>
      <c r="I154" s="166"/>
      <c r="J154" s="323">
        <f>SUMIF('8.Dgia'!E:E,'11.gia '!B154,'8.Dgia'!P:P)</f>
        <v>0</v>
      </c>
      <c r="K154" s="166">
        <f t="shared" si="13"/>
        <v>0</v>
      </c>
      <c r="L154" s="322"/>
      <c r="M154" s="1062"/>
      <c r="N154" s="193"/>
    </row>
    <row r="155" spans="1:15" ht="19.5" customHeight="1">
      <c r="A155" s="806" t="str">
        <f>IF(J155&gt;0,MAX($A$10:A154)+1,"")</f>
        <v/>
      </c>
      <c r="B155" s="699" t="s">
        <v>497</v>
      </c>
      <c r="C155" s="245" t="s">
        <v>5663</v>
      </c>
      <c r="D155" s="240"/>
      <c r="E155" s="166"/>
      <c r="F155" s="166"/>
      <c r="G155" s="166"/>
      <c r="H155" s="166"/>
      <c r="I155" s="166"/>
      <c r="J155" s="323">
        <f>SUMIF('8.Dgia'!E:E,'11.gia '!B155,'8.Dgia'!P:P)</f>
        <v>0</v>
      </c>
      <c r="K155" s="166">
        <f t="shared" si="13"/>
        <v>0</v>
      </c>
      <c r="L155" s="322"/>
      <c r="M155" s="1062"/>
      <c r="N155" s="193"/>
    </row>
    <row r="156" spans="1:15" ht="19.5" customHeight="1">
      <c r="A156" s="806" t="e">
        <f>IF(J156&gt;0,MAX($A$10:A155)+1,"")</f>
        <v>#REF!</v>
      </c>
      <c r="B156" s="245" t="s">
        <v>589</v>
      </c>
      <c r="C156" s="245" t="str">
        <f>VLOOKUP(B156,DICH!B:C,2,FALSE)</f>
        <v>water</v>
      </c>
      <c r="D156" s="240" t="s">
        <v>545</v>
      </c>
      <c r="E156" s="166"/>
      <c r="F156" s="166"/>
      <c r="G156" s="166">
        <v>4000</v>
      </c>
      <c r="H156" s="166"/>
      <c r="I156" s="166">
        <f t="shared" si="12"/>
        <v>4000</v>
      </c>
      <c r="J156" s="323" t="e">
        <f>SUMIF('8.Dgia'!E:E,'11.gia '!B156,'8.Dgia'!P:P)</f>
        <v>#REF!</v>
      </c>
      <c r="K156" s="166" t="e">
        <f t="shared" si="13"/>
        <v>#REF!</v>
      </c>
      <c r="L156" s="322" t="s">
        <v>3424</v>
      </c>
      <c r="M156" s="1062" t="s">
        <v>4982</v>
      </c>
      <c r="N156" s="193"/>
    </row>
    <row r="157" spans="1:15" ht="19.5" customHeight="1">
      <c r="A157" s="806" t="e">
        <f>IF(J157&gt;0,MAX($A$10:A156)+1,"")</f>
        <v>#REF!</v>
      </c>
      <c r="B157" s="245" t="s">
        <v>2094</v>
      </c>
      <c r="C157" s="245" t="str">
        <f>VLOOKUP(B157,DICH!B:C,2,FALSE)</f>
        <v>Grass</v>
      </c>
      <c r="D157" s="240" t="s">
        <v>548</v>
      </c>
      <c r="E157" s="166"/>
      <c r="F157" s="166">
        <v>5000</v>
      </c>
      <c r="G157" s="166"/>
      <c r="H157" s="166"/>
      <c r="I157" s="166">
        <f t="shared" si="12"/>
        <v>5000</v>
      </c>
      <c r="J157" s="323" t="e">
        <f>SUMIF('8.Dgia'!E:E,'11.gia '!B157,'8.Dgia'!P:P)</f>
        <v>#REF!</v>
      </c>
      <c r="K157" s="166" t="e">
        <f t="shared" si="13"/>
        <v>#REF!</v>
      </c>
      <c r="L157" s="322" t="s">
        <v>306</v>
      </c>
      <c r="M157" s="1062" t="s">
        <v>4993</v>
      </c>
      <c r="N157" s="193"/>
    </row>
    <row r="158" spans="1:15" ht="19.5" customHeight="1">
      <c r="A158" s="806" t="e">
        <f>IF(J158&gt;0,MAX($A$10:A157)+1,"")</f>
        <v>#REF!</v>
      </c>
      <c r="B158" s="245" t="s">
        <v>315</v>
      </c>
      <c r="C158" s="245" t="str">
        <f>VLOOKUP(B158,DICH!B:C,2,FALSE)</f>
        <v>Water-proof membrane layer</v>
      </c>
      <c r="D158" s="240" t="s">
        <v>548</v>
      </c>
      <c r="E158" s="166"/>
      <c r="F158" s="166">
        <f>99000/1.1</f>
        <v>90000</v>
      </c>
      <c r="G158" s="166"/>
      <c r="H158" s="166"/>
      <c r="I158" s="166">
        <f t="shared" si="12"/>
        <v>90000</v>
      </c>
      <c r="J158" s="323" t="e">
        <f>SUMIF('8.Dgia'!E:E,'11.gia '!B158,'8.Dgia'!P:P)</f>
        <v>#REF!</v>
      </c>
      <c r="K158" s="166" t="e">
        <f t="shared" si="13"/>
        <v>#REF!</v>
      </c>
      <c r="L158" s="322" t="s">
        <v>3905</v>
      </c>
      <c r="M158" s="1064" t="s">
        <v>4961</v>
      </c>
      <c r="N158" s="193"/>
    </row>
    <row r="159" spans="1:15" ht="19.5" customHeight="1">
      <c r="A159" s="806" t="e">
        <f>IF(J159&gt;0,MAX($A$10:A158)+1,"")</f>
        <v>#REF!</v>
      </c>
      <c r="B159" s="245" t="s">
        <v>591</v>
      </c>
      <c r="C159" s="245" t="str">
        <f>VLOOKUP(B159,DICH!B:C,2,FALSE)</f>
        <v>Oilpaper</v>
      </c>
      <c r="D159" s="240" t="s">
        <v>548</v>
      </c>
      <c r="E159" s="166"/>
      <c r="F159" s="166"/>
      <c r="G159" s="166">
        <v>4000</v>
      </c>
      <c r="H159" s="166"/>
      <c r="I159" s="166">
        <f t="shared" si="12"/>
        <v>4000</v>
      </c>
      <c r="J159" s="323" t="e">
        <f>SUMIF('8.Dgia'!E:E,'11.gia '!B159,'8.Dgia'!P:P)</f>
        <v>#REF!</v>
      </c>
      <c r="K159" s="166" t="e">
        <f t="shared" si="13"/>
        <v>#REF!</v>
      </c>
      <c r="L159" s="322" t="s">
        <v>3425</v>
      </c>
      <c r="M159" s="1062" t="s">
        <v>4983</v>
      </c>
      <c r="N159" s="193"/>
    </row>
    <row r="160" spans="1:15" ht="19.5" customHeight="1">
      <c r="A160" s="806" t="e">
        <f>IF(J160&gt;0,MAX($A$10:A159)+1,"")</f>
        <v>#REF!</v>
      </c>
      <c r="B160" s="245" t="s">
        <v>434</v>
      </c>
      <c r="C160" s="245" t="str">
        <f>VLOOKUP(B160,DICH!B:C,2,FALSE)</f>
        <v xml:space="preserve">alloy bucket teeth </v>
      </c>
      <c r="D160" s="240" t="s">
        <v>567</v>
      </c>
      <c r="E160" s="166"/>
      <c r="F160" s="166"/>
      <c r="G160" s="166">
        <v>85000</v>
      </c>
      <c r="H160" s="166"/>
      <c r="I160" s="166">
        <f t="shared" si="12"/>
        <v>85000</v>
      </c>
      <c r="J160" s="323" t="e">
        <f>SUMIF('8.Dgia'!E:E,'11.gia '!B160,'8.Dgia'!P:P)</f>
        <v>#REF!</v>
      </c>
      <c r="K160" s="166" t="e">
        <f t="shared" si="13"/>
        <v>#REF!</v>
      </c>
      <c r="L160" s="322" t="s">
        <v>3426</v>
      </c>
      <c r="M160" s="1062" t="s">
        <v>4984</v>
      </c>
      <c r="N160" s="193"/>
    </row>
    <row r="161" spans="1:14" ht="19.5" customHeight="1">
      <c r="A161" s="806" t="e">
        <f>IF(J161&gt;0,MAX($A$10:A160)+1,"")</f>
        <v>#REF!</v>
      </c>
      <c r="B161" s="245" t="s">
        <v>433</v>
      </c>
      <c r="C161" s="245" t="str">
        <f>VLOOKUP(B161,DICH!B:C,2,FALSE)</f>
        <v xml:space="preserve">Bucket of drill </v>
      </c>
      <c r="D161" s="240" t="s">
        <v>567</v>
      </c>
      <c r="E161" s="166"/>
      <c r="F161" s="166"/>
      <c r="G161" s="166">
        <v>3000000</v>
      </c>
      <c r="H161" s="166"/>
      <c r="I161" s="166">
        <f t="shared" si="12"/>
        <v>3000000</v>
      </c>
      <c r="J161" s="323" t="e">
        <f>SUMIF('8.Dgia'!E:E,'11.gia '!B161,'8.Dgia'!P:P)</f>
        <v>#REF!</v>
      </c>
      <c r="K161" s="166" t="e">
        <f t="shared" si="13"/>
        <v>#REF!</v>
      </c>
      <c r="L161" s="322" t="s">
        <v>3427</v>
      </c>
      <c r="M161" s="1062" t="s">
        <v>4985</v>
      </c>
      <c r="N161" s="193"/>
    </row>
    <row r="162" spans="1:14" ht="19.5" customHeight="1">
      <c r="A162" s="806" t="e">
        <f>IF(J162&gt;0,MAX($A$10:A161)+1,"")</f>
        <v>#REF!</v>
      </c>
      <c r="B162" s="245" t="s">
        <v>592</v>
      </c>
      <c r="C162" s="245" t="str">
        <f>VLOOKUP(B162,DICH!B:C,2,FALSE)</f>
        <v>Stone powder</v>
      </c>
      <c r="D162" s="240" t="s">
        <v>558</v>
      </c>
      <c r="E162" s="166"/>
      <c r="F162" s="166">
        <v>1000</v>
      </c>
      <c r="G162" s="166"/>
      <c r="H162" s="166"/>
      <c r="I162" s="166">
        <f t="shared" si="12"/>
        <v>1000</v>
      </c>
      <c r="J162" s="323" t="e">
        <f>SUMIF('8.Dgia'!E:E,'11.gia '!B162,'8.Dgia'!P:P)</f>
        <v>#REF!</v>
      </c>
      <c r="K162" s="166" t="e">
        <f t="shared" si="13"/>
        <v>#REF!</v>
      </c>
      <c r="L162" s="322" t="s">
        <v>306</v>
      </c>
      <c r="M162" s="1062" t="s">
        <v>4993</v>
      </c>
      <c r="N162" s="193"/>
    </row>
    <row r="163" spans="1:14" ht="19.5" customHeight="1">
      <c r="A163" s="806" t="e">
        <f>IF(J163&gt;0,MAX($A$10:A162)+1,"")</f>
        <v>#REF!</v>
      </c>
      <c r="B163" s="245" t="s">
        <v>97</v>
      </c>
      <c r="C163" s="245" t="str">
        <f>VLOOKUP(B163,DICH!B:C,2,FALSE)</f>
        <v>geotextile 12KN/m</v>
      </c>
      <c r="D163" s="240" t="s">
        <v>548</v>
      </c>
      <c r="E163" s="166"/>
      <c r="F163" s="166">
        <f>14000/1.1</f>
        <v>12727.272727272726</v>
      </c>
      <c r="G163" s="166"/>
      <c r="H163" s="166"/>
      <c r="I163" s="166">
        <f t="shared" si="12"/>
        <v>12727.272727272726</v>
      </c>
      <c r="J163" s="323" t="e">
        <f>SUMIF('8.Dgia'!E:E,'11.gia '!B163,'8.Dgia'!P:P)</f>
        <v>#REF!</v>
      </c>
      <c r="K163" s="166" t="e">
        <f t="shared" si="13"/>
        <v>#REF!</v>
      </c>
      <c r="L163" s="322" t="s">
        <v>3984</v>
      </c>
      <c r="M163" s="1064" t="s">
        <v>4962</v>
      </c>
      <c r="N163" s="193"/>
    </row>
    <row r="164" spans="1:14" ht="12.75">
      <c r="A164" s="806" t="e">
        <f>IF(J164&gt;0,MAX($A$10:A163)+1,"")</f>
        <v>#REF!</v>
      </c>
      <c r="B164" s="666" t="s">
        <v>98</v>
      </c>
      <c r="C164" s="245" t="str">
        <f>VLOOKUP(B164,DICH!B:C,2,FALSE)</f>
        <v>geotextile 200KN/m</v>
      </c>
      <c r="D164" s="240" t="s">
        <v>548</v>
      </c>
      <c r="E164" s="166"/>
      <c r="F164" s="166">
        <f>40000/1.1</f>
        <v>36363.63636363636</v>
      </c>
      <c r="G164" s="166"/>
      <c r="H164" s="166"/>
      <c r="I164" s="166">
        <f t="shared" si="12"/>
        <v>36363.63636363636</v>
      </c>
      <c r="J164" s="323" t="e">
        <f>SUMIF('8.Dgia'!E:E,'11.gia '!B164,'8.Dgia'!P:P)</f>
        <v>#REF!</v>
      </c>
      <c r="K164" s="166" t="e">
        <f t="shared" si="13"/>
        <v>#REF!</v>
      </c>
      <c r="L164" s="322" t="s">
        <v>3984</v>
      </c>
      <c r="M164" s="1064" t="s">
        <v>4962</v>
      </c>
      <c r="N164" s="193"/>
    </row>
    <row r="165" spans="1:14" ht="19.5" customHeight="1">
      <c r="A165" s="806" t="e">
        <f>IF(J165&gt;0,MAX($A$10:A164)+1,"")</f>
        <v>#REF!</v>
      </c>
      <c r="B165" s="245" t="s">
        <v>626</v>
      </c>
      <c r="C165" s="245" t="str">
        <f>VLOOKUP(B165,DICH!B:C,2,FALSE)</f>
        <v>Adhesive tape</v>
      </c>
      <c r="D165" s="240" t="s">
        <v>475</v>
      </c>
      <c r="E165" s="166"/>
      <c r="F165" s="166"/>
      <c r="G165" s="166">
        <v>3000</v>
      </c>
      <c r="H165" s="166"/>
      <c r="I165" s="166">
        <f t="shared" si="12"/>
        <v>3000</v>
      </c>
      <c r="J165" s="323" t="e">
        <f>SUMIF('8.Dgia'!E:E,'11.gia '!B165,'8.Dgia'!P:P)</f>
        <v>#REF!</v>
      </c>
      <c r="K165" s="166" t="e">
        <f t="shared" si="13"/>
        <v>#REF!</v>
      </c>
      <c r="L165" s="322" t="s">
        <v>3428</v>
      </c>
      <c r="M165" s="1062" t="s">
        <v>4986</v>
      </c>
      <c r="N165" s="193"/>
    </row>
    <row r="166" spans="1:14" ht="19.5" customHeight="1">
      <c r="A166" s="806" t="e">
        <f>IF(J166&gt;0,MAX($A$10:A165)+1,"")</f>
        <v>#REF!</v>
      </c>
      <c r="B166" s="245" t="s">
        <v>572</v>
      </c>
      <c r="C166" s="245" t="str">
        <f>VLOOKUP(B166,DICH!B:C,2,FALSE)</f>
        <v>Split stone</v>
      </c>
      <c r="D166" s="240" t="s">
        <v>573</v>
      </c>
      <c r="E166" s="166"/>
      <c r="F166" s="166"/>
      <c r="G166" s="166">
        <v>35000</v>
      </c>
      <c r="H166" s="166"/>
      <c r="I166" s="166">
        <f t="shared" si="12"/>
        <v>35000</v>
      </c>
      <c r="J166" s="323" t="e">
        <f>SUMIF('8.Dgia'!E:E,'11.gia '!B166,'8.Dgia'!P:P)</f>
        <v>#REF!</v>
      </c>
      <c r="K166" s="166" t="e">
        <f t="shared" si="13"/>
        <v>#REF!</v>
      </c>
      <c r="L166" s="322" t="s">
        <v>3429</v>
      </c>
      <c r="M166" s="1062" t="s">
        <v>4987</v>
      </c>
      <c r="N166" s="193"/>
    </row>
    <row r="167" spans="1:14" ht="19.5" customHeight="1">
      <c r="A167" s="806" t="e">
        <f>IF(J167&gt;0,MAX($A$10:A166)+1,"")</f>
        <v>#REF!</v>
      </c>
      <c r="B167" s="245" t="s">
        <v>406</v>
      </c>
      <c r="C167" s="245" t="str">
        <f>VLOOKUP(B167,DICH!B:C,2,FALSE)</f>
        <v xml:space="preserve">Grinding stone </v>
      </c>
      <c r="D167" s="240" t="s">
        <v>573</v>
      </c>
      <c r="E167" s="166"/>
      <c r="F167" s="166"/>
      <c r="G167" s="166">
        <v>25000</v>
      </c>
      <c r="H167" s="166"/>
      <c r="I167" s="166">
        <f t="shared" si="12"/>
        <v>25000</v>
      </c>
      <c r="J167" s="323" t="e">
        <f>SUMIF('8.Dgia'!E:E,'11.gia '!B167,'8.Dgia'!P:P)</f>
        <v>#REF!</v>
      </c>
      <c r="K167" s="166" t="e">
        <f t="shared" si="13"/>
        <v>#REF!</v>
      </c>
      <c r="L167" s="322" t="s">
        <v>3430</v>
      </c>
      <c r="M167" s="1062" t="s">
        <v>4988</v>
      </c>
      <c r="N167" s="193"/>
    </row>
    <row r="168" spans="1:14" ht="19.5" customHeight="1">
      <c r="A168" s="806" t="e">
        <f>IF(J168&gt;0,MAX($A$10:A167)+1,"")</f>
        <v>#REF!</v>
      </c>
      <c r="B168" s="245" t="s">
        <v>107</v>
      </c>
      <c r="C168" s="245" t="str">
        <f>VLOOKUP(B168,DICH!B:C,2,FALSE)</f>
        <v>Glue epoxy cover</v>
      </c>
      <c r="D168" s="702" t="s">
        <v>558</v>
      </c>
      <c r="E168" s="166"/>
      <c r="F168" s="624">
        <v>254000</v>
      </c>
      <c r="G168" s="166"/>
      <c r="H168" s="166">
        <v>1080</v>
      </c>
      <c r="I168" s="166">
        <f t="shared" si="12"/>
        <v>255080</v>
      </c>
      <c r="J168" s="323" t="e">
        <f>SUMIF('8.Dgia'!E:E,'11.gia '!B168,'8.Dgia'!P:P)</f>
        <v>#REF!</v>
      </c>
      <c r="K168" s="166" t="e">
        <f t="shared" si="13"/>
        <v>#REF!</v>
      </c>
      <c r="L168" s="322" t="s">
        <v>3906</v>
      </c>
      <c r="M168" s="1064" t="s">
        <v>4955</v>
      </c>
      <c r="N168" s="193"/>
    </row>
    <row r="169" spans="1:14" ht="19.5" customHeight="1">
      <c r="A169" s="806" t="str">
        <f>IF(J169&gt;0,MAX($A$10:A168)+1,"")</f>
        <v/>
      </c>
      <c r="B169" s="245" t="s">
        <v>649</v>
      </c>
      <c r="C169" s="245" t="str">
        <f>VLOOKUP(B169,DICH!B:C,2,FALSE)</f>
        <v>cable anchorage</v>
      </c>
      <c r="D169" s="702" t="s">
        <v>567</v>
      </c>
      <c r="E169" s="166"/>
      <c r="F169" s="166">
        <v>150000</v>
      </c>
      <c r="G169" s="166"/>
      <c r="H169" s="166"/>
      <c r="I169" s="166">
        <f t="shared" si="12"/>
        <v>150000</v>
      </c>
      <c r="J169" s="323">
        <f>SUMIF('8.Dgia'!E:E,'11.gia '!B169,'8.Dgia'!P:P)</f>
        <v>0</v>
      </c>
      <c r="K169" s="166">
        <f t="shared" si="13"/>
        <v>0</v>
      </c>
      <c r="L169" s="322" t="s">
        <v>306</v>
      </c>
      <c r="M169" s="1062" t="s">
        <v>4993</v>
      </c>
      <c r="N169" s="193"/>
    </row>
    <row r="170" spans="1:14" ht="19.5" customHeight="1">
      <c r="A170" s="806" t="str">
        <f>IF(J170&gt;0,MAX($A$10:A169)+1,"")</f>
        <v/>
      </c>
      <c r="B170" s="245" t="s">
        <v>362</v>
      </c>
      <c r="C170" s="245" t="str">
        <f>VLOOKUP(B170,DICH!B:C,2,FALSE)</f>
        <v xml:space="preserve">Separol oil </v>
      </c>
      <c r="D170" s="702" t="s">
        <v>464</v>
      </c>
      <c r="E170" s="166"/>
      <c r="F170" s="166">
        <v>39400</v>
      </c>
      <c r="G170" s="166"/>
      <c r="H170" s="166">
        <v>1080</v>
      </c>
      <c r="I170" s="166">
        <f t="shared" si="12"/>
        <v>40480</v>
      </c>
      <c r="J170" s="323">
        <f>SUMIF('8.Dgia'!E:E,'11.gia '!B170,'8.Dgia'!P:P)</f>
        <v>0</v>
      </c>
      <c r="K170" s="166">
        <f t="shared" si="13"/>
        <v>0</v>
      </c>
      <c r="L170" s="322" t="s">
        <v>3903</v>
      </c>
      <c r="M170" s="1064" t="s">
        <v>4955</v>
      </c>
      <c r="N170" s="193"/>
    </row>
    <row r="171" spans="1:14" ht="19.5" customHeight="1">
      <c r="A171" s="806" t="str">
        <f>IF(J171&gt;0,MAX($A$10:A170)+1,"")</f>
        <v/>
      </c>
      <c r="B171" s="245" t="s">
        <v>363</v>
      </c>
      <c r="C171" s="245" t="str">
        <f>VLOOKUP(B171,DICH!B:C,2,FALSE)</f>
        <v>Antisole (additive)</v>
      </c>
      <c r="D171" s="702" t="s">
        <v>464</v>
      </c>
      <c r="E171" s="166"/>
      <c r="F171" s="166">
        <v>23600</v>
      </c>
      <c r="G171" s="166"/>
      <c r="H171" s="166">
        <v>1080</v>
      </c>
      <c r="I171" s="166">
        <f t="shared" si="12"/>
        <v>24680</v>
      </c>
      <c r="J171" s="323">
        <f>SUMIF('8.Dgia'!E:E,'11.gia '!B171,'8.Dgia'!P:P)</f>
        <v>0</v>
      </c>
      <c r="K171" s="166">
        <f t="shared" si="13"/>
        <v>0</v>
      </c>
      <c r="L171" s="322" t="s">
        <v>3903</v>
      </c>
      <c r="M171" s="1064" t="s">
        <v>4955</v>
      </c>
      <c r="N171" s="193"/>
    </row>
    <row r="172" spans="1:14" ht="19.5" customHeight="1">
      <c r="A172" s="806" t="str">
        <f>IF(J172&gt;0,MAX($A$10:A171)+1,"")</f>
        <v/>
      </c>
      <c r="B172" s="245" t="s">
        <v>364</v>
      </c>
      <c r="C172" s="245" t="str">
        <f>VLOOKUP(B172,DICH!B:C,2,FALSE)</f>
        <v>Rugasol C (additive)</v>
      </c>
      <c r="D172" s="702" t="s">
        <v>464</v>
      </c>
      <c r="E172" s="166"/>
      <c r="F172" s="166">
        <v>21600</v>
      </c>
      <c r="G172" s="166"/>
      <c r="H172" s="166">
        <v>1080</v>
      </c>
      <c r="I172" s="166">
        <f t="shared" si="12"/>
        <v>22680</v>
      </c>
      <c r="J172" s="323">
        <f>SUMIF('8.Dgia'!E:E,'11.gia '!B172,'8.Dgia'!P:P)</f>
        <v>0</v>
      </c>
      <c r="K172" s="166">
        <f t="shared" si="13"/>
        <v>0</v>
      </c>
      <c r="L172" s="322" t="s">
        <v>3903</v>
      </c>
      <c r="M172" s="1064" t="s">
        <v>4955</v>
      </c>
      <c r="N172" s="193"/>
    </row>
    <row r="173" spans="1:14" ht="19.5" customHeight="1">
      <c r="A173" s="806" t="e">
        <f>IF(J173&gt;0,MAX($A$10:A172)+1,"")</f>
        <v>#REF!</v>
      </c>
      <c r="B173" s="245" t="s">
        <v>2198</v>
      </c>
      <c r="C173" s="245" t="str">
        <f>VLOOKUP(B173,DICH!B:C,2,FALSE)</f>
        <v>Concrete cutting blades D356mm</v>
      </c>
      <c r="D173" s="702" t="s">
        <v>567</v>
      </c>
      <c r="E173" s="166"/>
      <c r="F173" s="166"/>
      <c r="G173" s="166">
        <v>30000</v>
      </c>
      <c r="H173" s="166"/>
      <c r="I173" s="166">
        <f t="shared" si="12"/>
        <v>30000</v>
      </c>
      <c r="J173" s="323" t="e">
        <f>SUMIF('8.Dgia'!E:E,'11.gia '!B173,'8.Dgia'!P:P)</f>
        <v>#REF!</v>
      </c>
      <c r="K173" s="166" t="e">
        <f t="shared" si="13"/>
        <v>#REF!</v>
      </c>
      <c r="L173" s="322" t="s">
        <v>3431</v>
      </c>
      <c r="M173" s="1062" t="s">
        <v>4989</v>
      </c>
      <c r="N173" s="193"/>
    </row>
    <row r="174" spans="1:14" ht="19.5" customHeight="1">
      <c r="A174" s="806" t="e">
        <f>IF(J174&gt;0,MAX($A$10:A173)+1,"")</f>
        <v>#REF!</v>
      </c>
      <c r="B174" s="245" t="s">
        <v>739</v>
      </c>
      <c r="C174" s="245" t="str">
        <f>VLOOKUP(B174,DICH!B:C,2,FALSE)</f>
        <v xml:space="preserve">rail </v>
      </c>
      <c r="D174" s="702" t="s">
        <v>558</v>
      </c>
      <c r="E174" s="166"/>
      <c r="F174" s="166"/>
      <c r="G174" s="166"/>
      <c r="H174" s="166"/>
      <c r="I174" s="166">
        <f>+I38</f>
        <v>16703.248369172808</v>
      </c>
      <c r="J174" s="323" t="e">
        <f>SUMIF('8.Dgia'!E:E,'11.gia '!B174,'8.Dgia'!P:P)</f>
        <v>#REF!</v>
      </c>
      <c r="K174" s="166" t="e">
        <f t="shared" si="13"/>
        <v>#REF!</v>
      </c>
      <c r="L174" s="322" t="s">
        <v>81</v>
      </c>
      <c r="M174" s="1062" t="s">
        <v>4558</v>
      </c>
      <c r="N174" s="193"/>
    </row>
    <row r="175" spans="1:14" ht="19.5" customHeight="1">
      <c r="A175" s="806" t="e">
        <f>IF(J175&gt;0,MAX($A$10:A174)+1,"")</f>
        <v>#REF!</v>
      </c>
      <c r="B175" s="245" t="s">
        <v>741</v>
      </c>
      <c r="C175" s="245" t="str">
        <f>VLOOKUP(B175,DICH!B:C,2,FALSE)</f>
        <v>lap lunch</v>
      </c>
      <c r="D175" s="702" t="s">
        <v>307</v>
      </c>
      <c r="E175" s="166"/>
      <c r="F175" s="166"/>
      <c r="G175" s="166">
        <v>86500</v>
      </c>
      <c r="H175" s="166"/>
      <c r="I175" s="166">
        <f t="shared" si="12"/>
        <v>86500</v>
      </c>
      <c r="J175" s="323" t="e">
        <f>SUMIF('8.Dgia'!E:E,'11.gia '!B175,'8.Dgia'!P:P)</f>
        <v>#REF!</v>
      </c>
      <c r="K175" s="166" t="e">
        <f t="shared" si="13"/>
        <v>#REF!</v>
      </c>
      <c r="L175" s="322" t="s">
        <v>5202</v>
      </c>
      <c r="M175" s="1062" t="s">
        <v>5203</v>
      </c>
      <c r="N175" s="193"/>
    </row>
    <row r="176" spans="1:14" ht="19.5" customHeight="1">
      <c r="A176" s="806" t="e">
        <f>IF(J176&gt;0,MAX($A$10:A175)+1,"")</f>
        <v>#REF!</v>
      </c>
      <c r="B176" s="1309" t="s">
        <v>5491</v>
      </c>
      <c r="C176" s="1345" t="s">
        <v>5496</v>
      </c>
      <c r="D176" s="1346" t="s">
        <v>558</v>
      </c>
      <c r="E176" s="1002"/>
      <c r="F176" s="1002"/>
      <c r="G176" s="1002">
        <v>18500</v>
      </c>
      <c r="H176" s="1002"/>
      <c r="I176" s="166">
        <f t="shared" ref="I176:I181" si="14">SUM(E176:H176)</f>
        <v>18500</v>
      </c>
      <c r="J176" s="1347" t="s">
        <v>457</v>
      </c>
      <c r="K176" s="1002"/>
      <c r="L176" s="1226" t="s">
        <v>5499</v>
      </c>
      <c r="M176" s="1348" t="s">
        <v>5030</v>
      </c>
      <c r="N176" s="193"/>
    </row>
    <row r="177" spans="1:14" ht="19.5" customHeight="1">
      <c r="A177" s="806" t="e">
        <f>IF(J177&gt;0,MAX($A$10:A176)+1,"")</f>
        <v>#REF!</v>
      </c>
      <c r="B177" s="1308" t="s">
        <v>5513</v>
      </c>
      <c r="C177" s="1308" t="s">
        <v>5536</v>
      </c>
      <c r="D177" s="1346" t="s">
        <v>307</v>
      </c>
      <c r="E177" s="1002"/>
      <c r="F177" s="1349">
        <v>41100000</v>
      </c>
      <c r="G177" s="1002"/>
      <c r="H177" s="1002"/>
      <c r="I177" s="166">
        <f t="shared" si="14"/>
        <v>41100000</v>
      </c>
      <c r="J177" s="1347" t="s">
        <v>457</v>
      </c>
      <c r="K177" s="1002"/>
      <c r="L177" s="1226" t="s">
        <v>384</v>
      </c>
      <c r="M177" s="1062" t="s">
        <v>4993</v>
      </c>
      <c r="N177" s="193"/>
    </row>
    <row r="178" spans="1:14" ht="19.5" customHeight="1">
      <c r="A178" s="806" t="e">
        <f>IF(J178&gt;0,MAX($A$10:A177)+1,"")</f>
        <v>#REF!</v>
      </c>
      <c r="B178" s="1309" t="s">
        <v>5514</v>
      </c>
      <c r="C178" s="1345" t="s">
        <v>5537</v>
      </c>
      <c r="D178" s="1346" t="s">
        <v>567</v>
      </c>
      <c r="E178" s="1002"/>
      <c r="F178" s="1002"/>
      <c r="G178" s="1002">
        <v>65000</v>
      </c>
      <c r="H178" s="1002"/>
      <c r="I178" s="166">
        <f t="shared" si="14"/>
        <v>65000</v>
      </c>
      <c r="J178" s="1347" t="s">
        <v>457</v>
      </c>
      <c r="K178" s="1002"/>
      <c r="L178" s="1226" t="s">
        <v>5499</v>
      </c>
      <c r="M178" s="1348" t="s">
        <v>5030</v>
      </c>
      <c r="N178" s="193"/>
    </row>
    <row r="179" spans="1:14" ht="19.5" customHeight="1">
      <c r="A179" s="806" t="e">
        <f>IF(J179&gt;0,MAX($A$10:A178)+1,"")</f>
        <v>#REF!</v>
      </c>
      <c r="B179" s="1334" t="s">
        <v>5515</v>
      </c>
      <c r="C179" s="1345" t="s">
        <v>5538</v>
      </c>
      <c r="D179" s="1346" t="s">
        <v>5519</v>
      </c>
      <c r="E179" s="1002"/>
      <c r="F179" s="1349">
        <f>200000000</f>
        <v>200000000</v>
      </c>
      <c r="G179" s="1002"/>
      <c r="H179" s="1002"/>
      <c r="I179" s="166">
        <f t="shared" si="14"/>
        <v>200000000</v>
      </c>
      <c r="J179" s="1347" t="s">
        <v>457</v>
      </c>
      <c r="K179" s="1002"/>
      <c r="L179" s="1226" t="s">
        <v>5520</v>
      </c>
      <c r="M179" s="1348" t="s">
        <v>5521</v>
      </c>
      <c r="N179" s="193"/>
    </row>
    <row r="180" spans="1:14" ht="19.5" customHeight="1">
      <c r="A180" s="806" t="str">
        <f>IF(J180&gt;0,MAX($A$10:A179)+1,"")</f>
        <v/>
      </c>
      <c r="B180" s="1309"/>
      <c r="C180" s="1345"/>
      <c r="D180" s="1346"/>
      <c r="E180" s="1002"/>
      <c r="F180" s="1002"/>
      <c r="G180" s="1002"/>
      <c r="H180" s="1002"/>
      <c r="I180" s="166">
        <f t="shared" si="14"/>
        <v>0</v>
      </c>
      <c r="J180" s="1347"/>
      <c r="K180" s="1002"/>
      <c r="L180" s="1226"/>
      <c r="M180" s="1348"/>
      <c r="N180" s="193"/>
    </row>
    <row r="181" spans="1:14" ht="19.5" customHeight="1">
      <c r="A181" s="806" t="e">
        <f>IF(J181&gt;0,MAX($A$10:A180)+1,"")</f>
        <v>#REF!</v>
      </c>
      <c r="B181" s="245" t="s">
        <v>3469</v>
      </c>
      <c r="C181" s="245" t="str">
        <f>VLOOKUP(B181,DICH!B:C,2,FALSE)</f>
        <v>Tip for drill D20</v>
      </c>
      <c r="D181" s="702" t="s">
        <v>567</v>
      </c>
      <c r="E181" s="166"/>
      <c r="F181" s="166"/>
      <c r="G181" s="166">
        <v>50000</v>
      </c>
      <c r="H181" s="166"/>
      <c r="I181" s="166">
        <f t="shared" si="14"/>
        <v>50000</v>
      </c>
      <c r="J181" s="323" t="e">
        <f>SUMIF('8.Dgia'!E:E,'11.gia '!B181,'8.Dgia'!P:P)</f>
        <v>#REF!</v>
      </c>
      <c r="K181" s="166" t="e">
        <f t="shared" si="13"/>
        <v>#REF!</v>
      </c>
      <c r="L181" s="322" t="s">
        <v>3432</v>
      </c>
      <c r="M181" s="1062" t="s">
        <v>4990</v>
      </c>
      <c r="N181" s="193"/>
    </row>
    <row r="182" spans="1:14" ht="19.5" customHeight="1">
      <c r="A182" s="806" t="str">
        <f>IF(J182&gt;0,MAX($A$10:A181)+1,"")</f>
        <v/>
      </c>
      <c r="B182" s="661" t="s">
        <v>3620</v>
      </c>
      <c r="C182" s="245" t="str">
        <f>VLOOKUP(B182,DICH!B:C,2,FALSE)</f>
        <v>Drill rods L=1.5m</v>
      </c>
      <c r="D182" s="702" t="s">
        <v>567</v>
      </c>
      <c r="E182" s="166"/>
      <c r="F182" s="166"/>
      <c r="G182" s="166">
        <v>95000</v>
      </c>
      <c r="H182" s="166"/>
      <c r="I182" s="166">
        <f t="shared" si="12"/>
        <v>95000</v>
      </c>
      <c r="J182" s="323">
        <f>SUMIF('8.Dgia'!E:E,'11.gia '!B182,'8.Dgia'!P:P)</f>
        <v>0</v>
      </c>
      <c r="K182" s="166">
        <f t="shared" si="13"/>
        <v>0</v>
      </c>
      <c r="L182" s="322" t="s">
        <v>5204</v>
      </c>
      <c r="M182" s="1062" t="s">
        <v>5205</v>
      </c>
      <c r="N182" s="193"/>
    </row>
    <row r="183" spans="1:14" ht="19.5" customHeight="1">
      <c r="A183" s="806" t="str">
        <f>IF(J183&gt;0,MAX($A$10:A182)+1,"")</f>
        <v/>
      </c>
      <c r="B183" s="245" t="s">
        <v>67</v>
      </c>
      <c r="C183" s="245" t="str">
        <f>VLOOKUP(B183,DICH!B:C,2,FALSE)</f>
        <v>Drill rods L=1.83m</v>
      </c>
      <c r="D183" s="702" t="s">
        <v>567</v>
      </c>
      <c r="E183" s="166"/>
      <c r="F183" s="166"/>
      <c r="G183" s="166">
        <v>115000</v>
      </c>
      <c r="H183" s="166"/>
      <c r="I183" s="166">
        <f t="shared" si="12"/>
        <v>115000</v>
      </c>
      <c r="J183" s="323">
        <f>SUMIF('8.Dgia'!E:E,'11.gia '!B183,'8.Dgia'!P:P)</f>
        <v>0</v>
      </c>
      <c r="K183" s="166">
        <f t="shared" si="13"/>
        <v>0</v>
      </c>
      <c r="L183" s="322" t="s">
        <v>5206</v>
      </c>
      <c r="M183" s="1062" t="s">
        <v>5207</v>
      </c>
      <c r="N183" s="193"/>
    </row>
    <row r="184" spans="1:14" ht="19.5" customHeight="1">
      <c r="A184" s="806" t="e">
        <f>IF(J184&gt;0,MAX($A$10:A183)+1,"")</f>
        <v>#REF!</v>
      </c>
      <c r="B184" s="245" t="s">
        <v>151</v>
      </c>
      <c r="C184" s="245" t="str">
        <f>VLOOKUP(B184,DICH!B:C,2,FALSE)</f>
        <v>Brick 40x80x190</v>
      </c>
      <c r="D184" s="702" t="s">
        <v>573</v>
      </c>
      <c r="E184" s="166">
        <f>'Cong bo gia'!D480</f>
        <v>545.45454545454538</v>
      </c>
      <c r="F184" s="166"/>
      <c r="G184" s="166"/>
      <c r="H184" s="166"/>
      <c r="I184" s="166">
        <f t="shared" si="12"/>
        <v>545.45454545454538</v>
      </c>
      <c r="J184" s="323" t="e">
        <f>SUMIF('8.Dgia'!E:E,'11.gia '!B184,'8.Dgia'!P:P)</f>
        <v>#REF!</v>
      </c>
      <c r="K184" s="166" t="e">
        <f t="shared" si="13"/>
        <v>#REF!</v>
      </c>
      <c r="L184" s="322" t="s">
        <v>5387</v>
      </c>
      <c r="M184" s="1062" t="s">
        <v>5411</v>
      </c>
      <c r="N184" s="193"/>
    </row>
    <row r="185" spans="1:14" ht="19.5" customHeight="1">
      <c r="A185" s="806" t="str">
        <f>IF(J185&gt;0,MAX($A$10:A184)+1,"")</f>
        <v/>
      </c>
      <c r="B185" s="245" t="s">
        <v>161</v>
      </c>
      <c r="C185" s="245" t="str">
        <f>VLOOKUP(B185,DICH!B:C,2,FALSE)</f>
        <v>Cement brick</v>
      </c>
      <c r="D185" s="702" t="s">
        <v>548</v>
      </c>
      <c r="E185" s="166"/>
      <c r="F185" s="166"/>
      <c r="G185" s="166"/>
      <c r="H185" s="166"/>
      <c r="I185" s="166">
        <f t="shared" si="12"/>
        <v>0</v>
      </c>
      <c r="J185" s="323">
        <f>SUMIF('8.Dgia'!E:E,'11.gia '!B185,'8.Dgia'!P:P)</f>
        <v>0</v>
      </c>
      <c r="K185" s="166">
        <f t="shared" si="13"/>
        <v>0</v>
      </c>
      <c r="L185" s="322"/>
      <c r="M185" s="1062"/>
      <c r="N185" s="193"/>
    </row>
    <row r="186" spans="1:14" ht="19.5" customHeight="1">
      <c r="A186" s="806" t="e">
        <f>IF(J186&gt;0,MAX($A$10:A185)+1,"")</f>
        <v>#REF!</v>
      </c>
      <c r="B186" s="245" t="s">
        <v>3927</v>
      </c>
      <c r="C186" s="245" t="str">
        <f>VLOOKUP(B186,DICH!B:C,2,FALSE)</f>
        <v>Signal column D168</v>
      </c>
      <c r="D186" s="702" t="s">
        <v>543</v>
      </c>
      <c r="E186" s="166"/>
      <c r="F186" s="166">
        <f>3199400/6</f>
        <v>533233.33333333337</v>
      </c>
      <c r="G186" s="166"/>
      <c r="H186" s="166"/>
      <c r="I186" s="166">
        <f t="shared" si="12"/>
        <v>533233.33333333337</v>
      </c>
      <c r="J186" s="323" t="e">
        <f>SUMIF('8.Dgia'!E:E,'11.gia '!B186,'8.Dgia'!P:P)</f>
        <v>#REF!</v>
      </c>
      <c r="K186" s="166" t="e">
        <f t="shared" si="13"/>
        <v>#REF!</v>
      </c>
      <c r="L186" s="322" t="s">
        <v>3928</v>
      </c>
      <c r="M186" s="1064" t="s">
        <v>4963</v>
      </c>
      <c r="N186" s="193"/>
    </row>
    <row r="187" spans="1:14" ht="19.5" customHeight="1">
      <c r="A187" s="806" t="e">
        <f>IF(J187&gt;0,MAX($A$10:A186)+1,"")</f>
        <v>#REF!</v>
      </c>
      <c r="B187" s="245" t="s">
        <v>351</v>
      </c>
      <c r="C187" s="245" t="str">
        <f>VLOOKUP(B187,DICH!B:C,2,FALSE)</f>
        <v>Concrete of brick</v>
      </c>
      <c r="D187" s="704" t="s">
        <v>548</v>
      </c>
      <c r="E187" s="166"/>
      <c r="F187" s="166"/>
      <c r="G187" s="166"/>
      <c r="H187" s="166"/>
      <c r="I187" s="166">
        <f t="shared" si="12"/>
        <v>0</v>
      </c>
      <c r="J187" s="323" t="e">
        <f>SUMIF('8.Dgia'!E:E,'11.gia '!B187,'8.Dgia'!P:P)</f>
        <v>#REF!</v>
      </c>
      <c r="K187" s="166" t="e">
        <f t="shared" si="13"/>
        <v>#REF!</v>
      </c>
      <c r="L187" s="322"/>
      <c r="M187" s="1062"/>
      <c r="N187" s="193"/>
    </row>
    <row r="188" spans="1:14" ht="19.5" customHeight="1">
      <c r="A188" s="806" t="e">
        <f>IF(J188&gt;0,MAX($A$10:A187)+1,"")</f>
        <v>#REF!</v>
      </c>
      <c r="B188" s="245" t="s">
        <v>9</v>
      </c>
      <c r="C188" s="245" t="str">
        <f>VLOOKUP(B188,DICH!B:C,2,FALSE)</f>
        <v>Corrugated sheet iron</v>
      </c>
      <c r="D188" s="704" t="s">
        <v>543</v>
      </c>
      <c r="E188" s="166"/>
      <c r="F188" s="166">
        <f>730000/2.32</f>
        <v>314655.1724137931</v>
      </c>
      <c r="G188" s="166"/>
      <c r="H188" s="166"/>
      <c r="I188" s="166">
        <f t="shared" si="12"/>
        <v>314655.1724137931</v>
      </c>
      <c r="J188" s="323" t="e">
        <f>SUMIF('8.Dgia'!E:E,'11.gia '!B188,'8.Dgia'!P:P)</f>
        <v>#REF!</v>
      </c>
      <c r="K188" s="166" t="e">
        <f t="shared" si="13"/>
        <v>#REF!</v>
      </c>
      <c r="L188" s="322" t="s">
        <v>3904</v>
      </c>
      <c r="M188" s="1064" t="s">
        <v>4960</v>
      </c>
      <c r="N188" s="193"/>
    </row>
    <row r="189" spans="1:14" ht="19.5" customHeight="1">
      <c r="A189" s="806" t="e">
        <f>IF(J189&gt;0,MAX($A$10:A188)+1,"")</f>
        <v>#REF!</v>
      </c>
      <c r="B189" s="245" t="s">
        <v>3959</v>
      </c>
      <c r="C189" s="245" t="str">
        <f>VLOOKUP(B189,DICH!B:C,2,FALSE)</f>
        <v>Column of corrugated sheet iron, L=1.3m</v>
      </c>
      <c r="D189" s="704" t="s">
        <v>14</v>
      </c>
      <c r="E189" s="166"/>
      <c r="F189" s="166">
        <f>895000/1.25*1.3</f>
        <v>930800</v>
      </c>
      <c r="G189" s="166"/>
      <c r="H189" s="166"/>
      <c r="I189" s="166">
        <f t="shared" si="12"/>
        <v>930800</v>
      </c>
      <c r="J189" s="323" t="e">
        <f>SUMIF('8.Dgia'!E:E,'11.gia '!B189,'8.Dgia'!P:P)</f>
        <v>#REF!</v>
      </c>
      <c r="K189" s="166" t="e">
        <f t="shared" si="13"/>
        <v>#REF!</v>
      </c>
      <c r="L189" s="322" t="s">
        <v>3904</v>
      </c>
      <c r="M189" s="1064" t="s">
        <v>4960</v>
      </c>
      <c r="N189" s="193"/>
    </row>
    <row r="190" spans="1:14" ht="19.5" customHeight="1">
      <c r="A190" s="806" t="e">
        <f>IF(J190&gt;0,MAX($A$10:A189)+1,"")</f>
        <v>#REF!</v>
      </c>
      <c r="B190" s="661" t="s">
        <v>3455</v>
      </c>
      <c r="C190" s="245" t="str">
        <f>VLOOKUP(B190,DICH!B:C,2,FALSE)</f>
        <v>End of corrugated sheet iron 0.7m</v>
      </c>
      <c r="D190" s="704" t="s">
        <v>567</v>
      </c>
      <c r="E190" s="166"/>
      <c r="F190" s="166">
        <v>222000</v>
      </c>
      <c r="G190" s="166"/>
      <c r="H190" s="166"/>
      <c r="I190" s="166">
        <f t="shared" si="12"/>
        <v>222000</v>
      </c>
      <c r="J190" s="323" t="e">
        <f>SUMIF('8.Dgia'!E:E,'11.gia '!B190,'8.Dgia'!P:P)</f>
        <v>#REF!</v>
      </c>
      <c r="K190" s="166" t="e">
        <f t="shared" si="13"/>
        <v>#REF!</v>
      </c>
      <c r="L190" s="322" t="s">
        <v>3904</v>
      </c>
      <c r="M190" s="1064" t="s">
        <v>4960</v>
      </c>
      <c r="N190" s="193"/>
    </row>
    <row r="191" spans="1:14" ht="19.5" customHeight="1">
      <c r="A191" s="806" t="e">
        <f>IF(J191&gt;0,MAX($A$10:A190)+1,"")</f>
        <v>#REF!</v>
      </c>
      <c r="B191" s="245" t="s">
        <v>636</v>
      </c>
      <c r="C191" s="245" t="str">
        <f>VLOOKUP(B191,DICH!B:C,2,FALSE)</f>
        <v>Signal column D90</v>
      </c>
      <c r="D191" s="239" t="s">
        <v>543</v>
      </c>
      <c r="E191" s="166"/>
      <c r="F191" s="166"/>
      <c r="G191" s="166"/>
      <c r="H191" s="166"/>
      <c r="I191" s="166">
        <f>SUM(E191:H191)</f>
        <v>0</v>
      </c>
      <c r="J191" s="323" t="e">
        <f>SUMIF('8.Dgia'!E:E,'11.gia '!B191,'8.Dgia'!P:P)</f>
        <v>#REF!</v>
      </c>
      <c r="K191" s="166" t="e">
        <f>J191*I191</f>
        <v>#REF!</v>
      </c>
      <c r="L191" s="322" t="s">
        <v>3904</v>
      </c>
      <c r="M191" s="1064" t="s">
        <v>4960</v>
      </c>
      <c r="N191" s="193"/>
    </row>
    <row r="192" spans="1:14" ht="19.5" customHeight="1">
      <c r="A192" s="806" t="e">
        <f>IF(J192&gt;0,MAX($A$10:A191)+1,"")</f>
        <v>#REF!</v>
      </c>
      <c r="B192" s="245" t="s">
        <v>2173</v>
      </c>
      <c r="C192" s="245" t="str">
        <f>VLOOKUP(B192,DICH!B:C,2,FALSE)</f>
        <v>reflected light plate steel 40x180x5</v>
      </c>
      <c r="D192" s="704" t="s">
        <v>583</v>
      </c>
      <c r="E192" s="166"/>
      <c r="F192" s="166">
        <v>30000</v>
      </c>
      <c r="G192" s="166"/>
      <c r="H192" s="166"/>
      <c r="I192" s="166">
        <f t="shared" si="12"/>
        <v>30000</v>
      </c>
      <c r="J192" s="323" t="e">
        <f>SUMIF('8.Dgia'!E:E,'11.gia '!B192,'8.Dgia'!P:P)</f>
        <v>#REF!</v>
      </c>
      <c r="K192" s="166" t="e">
        <f t="shared" si="13"/>
        <v>#REF!</v>
      </c>
      <c r="L192" s="322" t="s">
        <v>306</v>
      </c>
      <c r="M192" s="1062" t="s">
        <v>4993</v>
      </c>
      <c r="N192" s="193"/>
    </row>
    <row r="193" spans="1:14" ht="19.5" customHeight="1">
      <c r="A193" s="806" t="e">
        <f>IF(J193&gt;0,MAX($A$10:A192)+1,"")</f>
        <v>#REF!</v>
      </c>
      <c r="B193" s="245" t="s">
        <v>12</v>
      </c>
      <c r="C193" s="245" t="str">
        <f>VLOOKUP(B193,DICH!B:C,2,FALSE)</f>
        <v>Gravel</v>
      </c>
      <c r="D193" s="702" t="s">
        <v>545</v>
      </c>
      <c r="E193" s="166"/>
      <c r="F193" s="166"/>
      <c r="G193" s="166"/>
      <c r="H193" s="166"/>
      <c r="I193" s="166">
        <f>+I19</f>
        <v>354185.41224953817</v>
      </c>
      <c r="J193" s="323" t="e">
        <f>SUMIF('8.Dgia'!E:E,'11.gia '!B193,'8.Dgia'!P:P)</f>
        <v>#REF!</v>
      </c>
      <c r="K193" s="166" t="e">
        <f t="shared" si="13"/>
        <v>#REF!</v>
      </c>
      <c r="L193" s="322" t="s">
        <v>750</v>
      </c>
      <c r="M193" s="1062" t="s">
        <v>4251</v>
      </c>
      <c r="N193" s="193"/>
    </row>
    <row r="194" spans="1:14" ht="19.5" customHeight="1">
      <c r="A194" s="806" t="e">
        <f>IF(J194&gt;0,MAX($A$10:A193)+1,"")</f>
        <v>#REF!</v>
      </c>
      <c r="B194" s="245" t="s">
        <v>2070</v>
      </c>
      <c r="C194" s="245" t="str">
        <f>VLOOKUP(B194,DICH!B:C,2,FALSE)</f>
        <v>Install cast  pipe D170/150</v>
      </c>
      <c r="D194" s="240" t="s">
        <v>543</v>
      </c>
      <c r="E194" s="166"/>
      <c r="F194" s="166">
        <v>450000</v>
      </c>
      <c r="G194" s="166"/>
      <c r="H194" s="166"/>
      <c r="I194" s="166">
        <f t="shared" ref="I194:I253" si="15">SUM(E194:H194)</f>
        <v>450000</v>
      </c>
      <c r="J194" s="323" t="e">
        <f>SUMIF('8.Dgia'!E:E,'11.gia '!B194,'8.Dgia'!P:P)</f>
        <v>#REF!</v>
      </c>
      <c r="K194" s="166" t="e">
        <f t="shared" si="13"/>
        <v>#REF!</v>
      </c>
      <c r="L194" s="322" t="s">
        <v>306</v>
      </c>
      <c r="M194" s="1062" t="s">
        <v>4993</v>
      </c>
      <c r="N194" s="193"/>
    </row>
    <row r="195" spans="1:14" ht="19.5" customHeight="1">
      <c r="A195" s="806" t="e">
        <f>IF(J195&gt;0,MAX($A$10:A194)+1,"")</f>
        <v>#REF!</v>
      </c>
      <c r="B195" s="245" t="s">
        <v>70</v>
      </c>
      <c r="C195" s="245" t="str">
        <f>VLOOKUP(B195,DICH!B:C,2,FALSE)</f>
        <v>Rubber joint</v>
      </c>
      <c r="D195" s="240" t="s">
        <v>567</v>
      </c>
      <c r="E195" s="166"/>
      <c r="F195" s="166">
        <v>17000</v>
      </c>
      <c r="G195" s="166"/>
      <c r="H195" s="166"/>
      <c r="I195" s="166">
        <f t="shared" si="15"/>
        <v>17000</v>
      </c>
      <c r="J195" s="323" t="e">
        <f>SUMIF('8.Dgia'!E:E,'11.gia '!B195,'8.Dgia'!P:P)</f>
        <v>#REF!</v>
      </c>
      <c r="K195" s="166" t="e">
        <f t="shared" si="13"/>
        <v>#REF!</v>
      </c>
      <c r="L195" s="322" t="s">
        <v>306</v>
      </c>
      <c r="M195" s="1062" t="s">
        <v>4993</v>
      </c>
      <c r="N195" s="193"/>
    </row>
    <row r="196" spans="1:14" ht="19.5" customHeight="1">
      <c r="A196" s="806" t="e">
        <f>IF(J196&gt;0,MAX($A$10:A195)+1,"")</f>
        <v>#REF!</v>
      </c>
      <c r="B196" s="245" t="s">
        <v>2142</v>
      </c>
      <c r="C196" s="245" t="str">
        <f>VLOOKUP(B196,DICH!B:C,2,FALSE)</f>
        <v>Pipe culvert D1500</v>
      </c>
      <c r="D196" s="704" t="s">
        <v>543</v>
      </c>
      <c r="E196" s="166">
        <f>'Cong bo gia'!D186</f>
        <v>3000000</v>
      </c>
      <c r="F196" s="166"/>
      <c r="G196" s="166"/>
      <c r="H196" s="166"/>
      <c r="I196" s="166">
        <f t="shared" si="15"/>
        <v>3000000</v>
      </c>
      <c r="J196" s="323" t="e">
        <f>SUMIF('8.Dgia'!E:E,'11.gia '!B196,'8.Dgia'!P:P)</f>
        <v>#REF!</v>
      </c>
      <c r="K196" s="166" t="e">
        <f t="shared" si="13"/>
        <v>#REF!</v>
      </c>
      <c r="L196" s="322" t="s">
        <v>5388</v>
      </c>
      <c r="M196" s="1062" t="s">
        <v>5412</v>
      </c>
      <c r="N196" s="193"/>
    </row>
    <row r="197" spans="1:14" ht="19.5" customHeight="1">
      <c r="A197" s="806" t="e">
        <f>IF(J197&gt;0,MAX($A$10:A196)+1,"")</f>
        <v>#REF!</v>
      </c>
      <c r="B197" s="245" t="s">
        <v>2110</v>
      </c>
      <c r="C197" s="245" t="str">
        <f>VLOOKUP(B197,DICH!B:C,2,FALSE)</f>
        <v>Rubber joint D1500</v>
      </c>
      <c r="D197" s="704" t="s">
        <v>14</v>
      </c>
      <c r="E197" s="166">
        <f>'Cong bo gia'!D154</f>
        <v>94400</v>
      </c>
      <c r="F197" s="166"/>
      <c r="G197" s="166"/>
      <c r="H197" s="166"/>
      <c r="I197" s="166">
        <f t="shared" si="15"/>
        <v>94400</v>
      </c>
      <c r="J197" s="323" t="e">
        <f>SUMIF('8.Dgia'!E:E,'11.gia '!B197,'8.Dgia'!P:P)</f>
        <v>#REF!</v>
      </c>
      <c r="K197" s="166" t="e">
        <f t="shared" si="13"/>
        <v>#REF!</v>
      </c>
      <c r="L197" s="322" t="s">
        <v>5389</v>
      </c>
      <c r="M197" s="1062" t="s">
        <v>5413</v>
      </c>
      <c r="N197" s="193"/>
    </row>
    <row r="198" spans="1:14" ht="19.5" customHeight="1">
      <c r="A198" s="806" t="str">
        <f>IF(J198&gt;0,MAX($A$10:A197)+1,"")</f>
        <v/>
      </c>
      <c r="B198" s="245" t="s">
        <v>2112</v>
      </c>
      <c r="C198" s="245" t="e">
        <f>VLOOKUP(B198,DICH!B:C,2,FALSE)</f>
        <v>#N/A</v>
      </c>
      <c r="D198" s="704" t="s">
        <v>14</v>
      </c>
      <c r="E198" s="166"/>
      <c r="F198" s="166"/>
      <c r="G198" s="166"/>
      <c r="H198" s="166"/>
      <c r="I198" s="166">
        <f t="shared" si="15"/>
        <v>0</v>
      </c>
      <c r="J198" s="323">
        <f>SUMIF('8.Dgia'!E:E,'11.gia '!B198,'8.Dgia'!P:P)</f>
        <v>0</v>
      </c>
      <c r="K198" s="166">
        <f t="shared" si="13"/>
        <v>0</v>
      </c>
      <c r="L198" s="322"/>
      <c r="M198" s="1062"/>
      <c r="N198" s="193"/>
    </row>
    <row r="199" spans="1:14" ht="19.5" customHeight="1">
      <c r="A199" s="806" t="str">
        <f>IF(J199&gt;0,MAX($A$10:A198)+1,"")</f>
        <v/>
      </c>
      <c r="B199" s="245" t="s">
        <v>49</v>
      </c>
      <c r="C199" s="245" t="e">
        <f>VLOOKUP(B199,DICH!B:C,2,FALSE)</f>
        <v>#N/A</v>
      </c>
      <c r="D199" s="704" t="s">
        <v>543</v>
      </c>
      <c r="E199" s="166"/>
      <c r="F199" s="166"/>
      <c r="G199" s="166"/>
      <c r="H199" s="166"/>
      <c r="I199" s="166">
        <f t="shared" si="15"/>
        <v>0</v>
      </c>
      <c r="J199" s="323">
        <f>SUMIF('8.Dgia'!E:E,'11.gia '!B199,'8.Dgia'!P:P)</f>
        <v>0</v>
      </c>
      <c r="K199" s="166">
        <f t="shared" si="13"/>
        <v>0</v>
      </c>
      <c r="L199" s="322"/>
      <c r="M199" s="1062"/>
      <c r="N199" s="193"/>
    </row>
    <row r="200" spans="1:14" ht="19.5" customHeight="1">
      <c r="A200" s="806" t="str">
        <f>IF(J200&gt;0,MAX($A$10:A199)+1,"")</f>
        <v/>
      </c>
      <c r="B200" s="245" t="s">
        <v>346</v>
      </c>
      <c r="C200" s="245" t="e">
        <f>VLOOKUP(B200,DICH!B:C,2,FALSE)</f>
        <v>#N/A</v>
      </c>
      <c r="D200" s="704" t="s">
        <v>14</v>
      </c>
      <c r="E200" s="166"/>
      <c r="F200" s="166"/>
      <c r="G200" s="166"/>
      <c r="H200" s="166"/>
      <c r="I200" s="166">
        <f t="shared" si="15"/>
        <v>0</v>
      </c>
      <c r="J200" s="323">
        <f>SUMIF('8.Dgia'!E:E,'11.gia '!B200,'8.Dgia'!P:P)</f>
        <v>0</v>
      </c>
      <c r="K200" s="166">
        <f t="shared" si="13"/>
        <v>0</v>
      </c>
      <c r="L200" s="322"/>
      <c r="M200" s="1062"/>
      <c r="N200" s="193"/>
    </row>
    <row r="201" spans="1:14" ht="19.5" customHeight="1">
      <c r="A201" s="806" t="e">
        <f>IF(J201&gt;0,MAX($A$10:A200)+1,"")</f>
        <v>#REF!</v>
      </c>
      <c r="B201" s="245" t="s">
        <v>682</v>
      </c>
      <c r="C201" s="245" t="str">
        <f>VLOOKUP(B201,DICH!B:C,2,FALSE)</f>
        <v>Bag</v>
      </c>
      <c r="D201" s="240" t="s">
        <v>567</v>
      </c>
      <c r="E201" s="166"/>
      <c r="F201" s="166">
        <v>10000</v>
      </c>
      <c r="G201" s="166"/>
      <c r="H201" s="166"/>
      <c r="I201" s="166">
        <f t="shared" si="15"/>
        <v>10000</v>
      </c>
      <c r="J201" s="323" t="e">
        <f>SUMIF('8.Dgia'!E:E,'11.gia '!B201,'8.Dgia'!P:P)</f>
        <v>#REF!</v>
      </c>
      <c r="K201" s="166" t="e">
        <f t="shared" si="13"/>
        <v>#REF!</v>
      </c>
      <c r="L201" s="322" t="s">
        <v>306</v>
      </c>
      <c r="M201" s="1062" t="s">
        <v>4993</v>
      </c>
      <c r="N201" s="193"/>
    </row>
    <row r="202" spans="1:14" ht="19.5" customHeight="1">
      <c r="A202" s="806" t="e">
        <f>IF(J202&gt;0,MAX($A$10:A201)+1,"")</f>
        <v>#REF!</v>
      </c>
      <c r="B202" s="245" t="s">
        <v>221</v>
      </c>
      <c r="C202" s="245" t="str">
        <f>VLOOKUP(B202,DICH!B:C,2,FALSE)</f>
        <v>Zinc steel</v>
      </c>
      <c r="D202" s="240" t="s">
        <v>558</v>
      </c>
      <c r="E202" s="166"/>
      <c r="F202" s="166">
        <v>25000</v>
      </c>
      <c r="G202" s="166"/>
      <c r="H202" s="166"/>
      <c r="I202" s="166">
        <f t="shared" si="15"/>
        <v>25000</v>
      </c>
      <c r="J202" s="323" t="e">
        <f>SUMIF('8.Dgia'!E:E,'11.gia '!B202,'8.Dgia'!P:P)</f>
        <v>#REF!</v>
      </c>
      <c r="K202" s="166" t="e">
        <f t="shared" si="13"/>
        <v>#REF!</v>
      </c>
      <c r="L202" s="322" t="s">
        <v>306</v>
      </c>
      <c r="M202" s="1062" t="s">
        <v>4993</v>
      </c>
      <c r="N202" s="193"/>
    </row>
    <row r="203" spans="1:14" ht="19.5" customHeight="1">
      <c r="A203" s="806" t="e">
        <f>IF(J203&gt;0,MAX($A$10:A202)+1,"")</f>
        <v>#REF!</v>
      </c>
      <c r="B203" s="245" t="s">
        <v>334</v>
      </c>
      <c r="C203" s="245" t="str">
        <f>VLOOKUP(B203,DICH!B:C,2,FALSE)</f>
        <v>Scew nut D36</v>
      </c>
      <c r="D203" s="240" t="s">
        <v>307</v>
      </c>
      <c r="E203" s="166"/>
      <c r="F203" s="166">
        <f>'12.ssg'!K24</f>
        <v>581000</v>
      </c>
      <c r="G203" s="166"/>
      <c r="H203" s="166"/>
      <c r="I203" s="166">
        <f t="shared" si="15"/>
        <v>581000</v>
      </c>
      <c r="J203" s="323" t="e">
        <f>SUMIF('8.Dgia'!E:E,'11.gia '!B203,'8.Dgia'!P:P)</f>
        <v>#REF!</v>
      </c>
      <c r="K203" s="166" t="e">
        <f t="shared" si="13"/>
        <v>#REF!</v>
      </c>
      <c r="L203" s="322" t="str">
        <f>'[5]12.ssg'!K22</f>
        <v>EID ngày 23/5/2013</v>
      </c>
      <c r="M203" s="1064" t="s">
        <v>4964</v>
      </c>
      <c r="N203" s="193"/>
    </row>
    <row r="204" spans="1:14" ht="19.5" customHeight="1">
      <c r="A204" s="806" t="e">
        <f>IF(J204&gt;0,MAX($A$10:A203)+1,"")</f>
        <v>#REF!</v>
      </c>
      <c r="B204" s="245" t="s">
        <v>335</v>
      </c>
      <c r="C204" s="245" t="str">
        <f>VLOOKUP(B204,DICH!B:C,2,FALSE)</f>
        <v>Check nut D36</v>
      </c>
      <c r="D204" s="240" t="s">
        <v>307</v>
      </c>
      <c r="E204" s="166"/>
      <c r="F204" s="166">
        <f>F203</f>
        <v>581000</v>
      </c>
      <c r="G204" s="166"/>
      <c r="H204" s="166"/>
      <c r="I204" s="166">
        <f t="shared" si="15"/>
        <v>581000</v>
      </c>
      <c r="J204" s="323" t="e">
        <f>SUMIF('8.Dgia'!E:E,'11.gia '!B204,'8.Dgia'!P:P)</f>
        <v>#REF!</v>
      </c>
      <c r="K204" s="166" t="e">
        <f t="shared" si="13"/>
        <v>#REF!</v>
      </c>
      <c r="L204" s="322" t="str">
        <f>L203</f>
        <v>EID ngày 23/5/2013</v>
      </c>
      <c r="M204" s="1064" t="s">
        <v>4964</v>
      </c>
      <c r="N204" s="193"/>
    </row>
    <row r="205" spans="1:14" ht="19.5" customHeight="1">
      <c r="A205" s="806" t="e">
        <f>IF(J205&gt;0,MAX($A$10:A204)+1,"")</f>
        <v>#REF!</v>
      </c>
      <c r="B205" s="245" t="s">
        <v>432</v>
      </c>
      <c r="C205" s="245" t="str">
        <f>VLOOKUP(B205,DICH!B:C,2,FALSE)</f>
        <v>Plastic plate, thickness 2mm</v>
      </c>
      <c r="D205" s="240" t="s">
        <v>548</v>
      </c>
      <c r="E205" s="166"/>
      <c r="F205" s="166">
        <v>180000</v>
      </c>
      <c r="G205" s="166"/>
      <c r="H205" s="166"/>
      <c r="I205" s="166">
        <f t="shared" si="15"/>
        <v>180000</v>
      </c>
      <c r="J205" s="323" t="e">
        <f>SUMIF('8.Dgia'!E:E,'11.gia '!B205,'8.Dgia'!P:P)</f>
        <v>#REF!</v>
      </c>
      <c r="K205" s="166" t="e">
        <f t="shared" si="13"/>
        <v>#REF!</v>
      </c>
      <c r="L205" s="322" t="s">
        <v>306</v>
      </c>
      <c r="M205" s="1062" t="s">
        <v>4993</v>
      </c>
      <c r="N205" s="193"/>
    </row>
    <row r="206" spans="1:14" ht="19.5" customHeight="1">
      <c r="A206" s="806" t="e">
        <f>IF(J206&gt;0,MAX($A$10:A205)+1,"")</f>
        <v>#REF!</v>
      </c>
      <c r="B206" s="245" t="s">
        <v>48</v>
      </c>
      <c r="C206" s="245" t="str">
        <f>VLOOKUP(B206,DICH!B:C,2,FALSE)</f>
        <v>Plastic plate preventing water</v>
      </c>
      <c r="D206" s="240" t="s">
        <v>543</v>
      </c>
      <c r="E206" s="166"/>
      <c r="F206" s="166">
        <f>168000</f>
        <v>168000</v>
      </c>
      <c r="G206" s="166"/>
      <c r="H206" s="166"/>
      <c r="I206" s="166">
        <f>SUM(E206:H206)</f>
        <v>168000</v>
      </c>
      <c r="J206" s="323" t="e">
        <f>SUMIF('8.Dgia'!E:E,'11.gia '!B206,'8.Dgia'!P:P)</f>
        <v>#REF!</v>
      </c>
      <c r="K206" s="166" t="e">
        <f>J206*I206</f>
        <v>#REF!</v>
      </c>
      <c r="L206" s="322" t="s">
        <v>3477</v>
      </c>
      <c r="M206" s="1064" t="s">
        <v>4965</v>
      </c>
      <c r="N206" s="193"/>
    </row>
    <row r="207" spans="1:14" ht="19.5" customHeight="1">
      <c r="A207" s="806" t="e">
        <f>IF(J207&gt;0,MAX($A$10:A206)+1,"")</f>
        <v>#REF!</v>
      </c>
      <c r="B207" s="245" t="s">
        <v>308</v>
      </c>
      <c r="C207" s="245" t="str">
        <f>VLOOKUP(B207,DICH!B:C,2,FALSE)</f>
        <v>Cover</v>
      </c>
      <c r="D207" s="240" t="s">
        <v>307</v>
      </c>
      <c r="E207" s="166"/>
      <c r="F207" s="166"/>
      <c r="G207" s="166"/>
      <c r="H207" s="166"/>
      <c r="I207" s="166">
        <f t="shared" si="15"/>
        <v>0</v>
      </c>
      <c r="J207" s="323" t="e">
        <f>SUMIF('8.Dgia'!E:E,'11.gia '!B207,'8.Dgia'!P:P)</f>
        <v>#REF!</v>
      </c>
      <c r="K207" s="166" t="e">
        <f t="shared" si="13"/>
        <v>#REF!</v>
      </c>
      <c r="L207" s="322"/>
      <c r="M207" s="1062"/>
      <c r="N207" s="193"/>
    </row>
    <row r="208" spans="1:14" ht="18" customHeight="1">
      <c r="A208" s="806" t="e">
        <f>IF(J208&gt;0,MAX($A$10:A207)+1,"")</f>
        <v>#REF!</v>
      </c>
      <c r="B208" s="245" t="s">
        <v>730</v>
      </c>
      <c r="C208" s="245" t="str">
        <f>VLOOKUP(B208,DICH!B:C,2,FALSE)</f>
        <v>Signal light</v>
      </c>
      <c r="D208" s="240" t="s">
        <v>307</v>
      </c>
      <c r="E208" s="166"/>
      <c r="F208" s="166">
        <f>5600000</f>
        <v>5600000</v>
      </c>
      <c r="G208" s="166"/>
      <c r="H208" s="166"/>
      <c r="I208" s="166">
        <f t="shared" si="15"/>
        <v>5600000</v>
      </c>
      <c r="J208" s="323" t="e">
        <f>SUMIF('8.Dgia'!E:E,'11.gia '!B208,'8.Dgia'!P:P)</f>
        <v>#REF!</v>
      </c>
      <c r="K208" s="166" t="e">
        <f t="shared" si="13"/>
        <v>#REF!</v>
      </c>
      <c r="L208" s="324" t="s">
        <v>3472</v>
      </c>
      <c r="M208" s="1064" t="s">
        <v>4966</v>
      </c>
      <c r="N208" s="193"/>
    </row>
    <row r="209" spans="1:14" ht="18" customHeight="1">
      <c r="A209" s="806" t="e">
        <f>IF(J209&gt;0,MAX($A$10:A208)+1,"")</f>
        <v>#REF!</v>
      </c>
      <c r="B209" s="245" t="s">
        <v>3569</v>
      </c>
      <c r="C209" s="245" t="str">
        <f>VLOOKUP(B209,DICH!B:C,2,FALSE)</f>
        <v>Signal light</v>
      </c>
      <c r="D209" s="240" t="s">
        <v>307</v>
      </c>
      <c r="E209" s="166"/>
      <c r="F209" s="166">
        <v>200000</v>
      </c>
      <c r="G209" s="166"/>
      <c r="H209" s="166"/>
      <c r="I209" s="166">
        <f>SUM(E209:H209)</f>
        <v>200000</v>
      </c>
      <c r="J209" s="323" t="e">
        <f>SUMIF('8.Dgia'!E:E,'11.gia '!B209,'8.Dgia'!P:P)</f>
        <v>#REF!</v>
      </c>
      <c r="K209" s="166" t="s">
        <v>457</v>
      </c>
      <c r="L209" s="324" t="s">
        <v>306</v>
      </c>
      <c r="M209" s="1062" t="s">
        <v>4993</v>
      </c>
      <c r="N209" s="193"/>
    </row>
    <row r="210" spans="1:14" ht="19.5" customHeight="1">
      <c r="A210" s="806" t="e">
        <f>IF(J210&gt;0,MAX($A$10:A208)+1,"")</f>
        <v>#REF!</v>
      </c>
      <c r="B210" s="662" t="s">
        <v>715</v>
      </c>
      <c r="C210" s="245" t="str">
        <f>VLOOKUP(B210,DICH!B:C,2,FALSE)</f>
        <v>High strengthen scew nut M32</v>
      </c>
      <c r="D210" s="240" t="s">
        <v>307</v>
      </c>
      <c r="E210" s="166"/>
      <c r="F210" s="166"/>
      <c r="G210" s="166"/>
      <c r="H210" s="166"/>
      <c r="I210" s="166">
        <f t="shared" si="15"/>
        <v>0</v>
      </c>
      <c r="J210" s="323" t="e">
        <f>SUMIF('8.Dgia'!E:E,'11.gia '!B210,'8.Dgia'!P:P)</f>
        <v>#REF!</v>
      </c>
      <c r="K210" s="166" t="e">
        <f t="shared" si="13"/>
        <v>#REF!</v>
      </c>
      <c r="L210" s="322" t="s">
        <v>578</v>
      </c>
      <c r="M210" s="1062" t="s">
        <v>4994</v>
      </c>
      <c r="N210" s="193"/>
    </row>
    <row r="211" spans="1:14" ht="19.5" customHeight="1">
      <c r="A211" s="806" t="e">
        <f>IF(J211&gt;0,MAX($A$10:A210)+1,"")</f>
        <v>#REF!</v>
      </c>
      <c r="B211" s="662" t="s">
        <v>722</v>
      </c>
      <c r="C211" s="245" t="str">
        <f>VLOOKUP(B211,DICH!B:C,2,FALSE)</f>
        <v>rubber plate, thickness 20mm</v>
      </c>
      <c r="D211" s="240" t="s">
        <v>548</v>
      </c>
      <c r="E211" s="166"/>
      <c r="F211" s="166">
        <v>1450000</v>
      </c>
      <c r="G211" s="664"/>
      <c r="H211" s="166"/>
      <c r="I211" s="166">
        <f t="shared" si="15"/>
        <v>1450000</v>
      </c>
      <c r="J211" s="323" t="e">
        <f>SUMIF('8.Dgia'!E:E,'11.gia '!B211,'8.Dgia'!P:P)</f>
        <v>#REF!</v>
      </c>
      <c r="K211" s="166" t="e">
        <f t="shared" si="13"/>
        <v>#REF!</v>
      </c>
      <c r="L211" s="322" t="s">
        <v>3982</v>
      </c>
      <c r="M211" s="1064" t="s">
        <v>4967</v>
      </c>
      <c r="N211" s="193"/>
    </row>
    <row r="212" spans="1:14" ht="19.5" customHeight="1">
      <c r="A212" s="806" t="e">
        <f>IF(J212&gt;0,MAX($A$10:A211)+1,"")</f>
        <v>#REF!</v>
      </c>
      <c r="B212" s="662" t="s">
        <v>498</v>
      </c>
      <c r="C212" s="245" t="str">
        <f>VLOOKUP(B212,DICH!B:C,2,FALSE)</f>
        <v>Cast iron grid</v>
      </c>
      <c r="D212" s="240" t="s">
        <v>558</v>
      </c>
      <c r="E212" s="166"/>
      <c r="F212" s="624">
        <v>29900</v>
      </c>
      <c r="G212" s="166"/>
      <c r="H212" s="166"/>
      <c r="I212" s="166">
        <f t="shared" si="15"/>
        <v>29900</v>
      </c>
      <c r="J212" s="323" t="e">
        <f>SUMIF('8.Dgia'!E:E,'11.gia '!B212,'8.Dgia'!P:P)</f>
        <v>#REF!</v>
      </c>
      <c r="K212" s="166" t="e">
        <f t="shared" si="13"/>
        <v>#REF!</v>
      </c>
      <c r="L212" s="663" t="s">
        <v>3435</v>
      </c>
      <c r="M212" s="1064" t="s">
        <v>4968</v>
      </c>
      <c r="N212" s="193"/>
    </row>
    <row r="213" spans="1:14" ht="19.5" customHeight="1">
      <c r="A213" s="806" t="e">
        <f>IF(J213&gt;0,MAX($A$10:A212)+1,"")</f>
        <v>#REF!</v>
      </c>
      <c r="B213" s="662" t="s">
        <v>514</v>
      </c>
      <c r="C213" s="245" t="str">
        <f>VLOOKUP(B213,DICH!B:C,2,FALSE)</f>
        <v>pup joint PVC D60</v>
      </c>
      <c r="D213" s="240" t="s">
        <v>307</v>
      </c>
      <c r="E213" s="166"/>
      <c r="F213" s="166"/>
      <c r="G213" s="166"/>
      <c r="H213" s="166"/>
      <c r="I213" s="166">
        <f t="shared" si="15"/>
        <v>0</v>
      </c>
      <c r="J213" s="323" t="e">
        <f>SUMIF('8.Dgia'!E:E,'11.gia '!B213,'8.Dgia'!P:P)</f>
        <v>#REF!</v>
      </c>
      <c r="K213" s="166" t="e">
        <f t="shared" si="13"/>
        <v>#REF!</v>
      </c>
      <c r="L213" s="322"/>
      <c r="M213" s="1062"/>
      <c r="N213" s="193"/>
    </row>
    <row r="214" spans="1:14" ht="19.5" customHeight="1">
      <c r="A214" s="806" t="str">
        <f>IF(J214&gt;0,MAX($A$10:A213)+1,"")</f>
        <v/>
      </c>
      <c r="B214" s="852" t="s">
        <v>3566</v>
      </c>
      <c r="C214" s="245" t="str">
        <f>VLOOKUP(B214,DICH!B:C,2,FALSE)</f>
        <v>Rectangular traffic sign 2x1m</v>
      </c>
      <c r="D214" s="240" t="s">
        <v>307</v>
      </c>
      <c r="E214" s="166"/>
      <c r="F214" s="166">
        <f>1000000*2*1</f>
        <v>2000000</v>
      </c>
      <c r="G214" s="166"/>
      <c r="H214" s="166"/>
      <c r="I214" s="166">
        <f t="shared" si="15"/>
        <v>2000000</v>
      </c>
      <c r="J214" s="323">
        <f>SUMIF('8.Dgia'!E:E,'11.gia '!B214,'8.Dgia'!P:P)</f>
        <v>0</v>
      </c>
      <c r="K214" s="166" t="s">
        <v>2489</v>
      </c>
      <c r="L214" s="322" t="s">
        <v>3904</v>
      </c>
      <c r="M214" s="1064" t="s">
        <v>4960</v>
      </c>
      <c r="N214" s="193"/>
    </row>
    <row r="215" spans="1:14" ht="19.5" customHeight="1">
      <c r="A215" s="806" t="str">
        <f>IF(J215&gt;0,MAX($A$10:A214)+1,"")</f>
        <v/>
      </c>
      <c r="B215" s="852" t="s">
        <v>3567</v>
      </c>
      <c r="C215" s="245" t="str">
        <f>VLOOKUP(B215,DICH!B:C,2,FALSE)</f>
        <v>Rectangular traffic sign 1.2x0.25m</v>
      </c>
      <c r="D215" s="240" t="s">
        <v>307</v>
      </c>
      <c r="E215" s="166"/>
      <c r="F215" s="166">
        <f>1000000*1.2*0.25</f>
        <v>300000</v>
      </c>
      <c r="G215" s="166"/>
      <c r="H215" s="166"/>
      <c r="I215" s="166">
        <f>SUM(E215:H215)</f>
        <v>300000</v>
      </c>
      <c r="J215" s="323">
        <f>SUMIF('8.Dgia'!E:E,'11.gia '!B215,'8.Dgia'!P:P)</f>
        <v>0</v>
      </c>
      <c r="K215" s="166" t="s">
        <v>2489</v>
      </c>
      <c r="L215" s="322" t="s">
        <v>3904</v>
      </c>
      <c r="M215" s="1064" t="s">
        <v>4960</v>
      </c>
      <c r="N215" s="193"/>
    </row>
    <row r="216" spans="1:14" ht="19.5" customHeight="1">
      <c r="A216" s="806" t="e">
        <f>IF(J216&gt;0,MAX($A$10:A215)+1,"")</f>
        <v>#REF!</v>
      </c>
      <c r="B216" s="662" t="s">
        <v>2050</v>
      </c>
      <c r="C216" s="245" t="str">
        <f>VLOOKUP(B216,DICH!B:C,2,FALSE)</f>
        <v>Rectangular traffic sign 2.4x1.5m</v>
      </c>
      <c r="D216" s="240" t="s">
        <v>307</v>
      </c>
      <c r="E216" s="166"/>
      <c r="F216" s="166">
        <f>1000000*2.4*1.5</f>
        <v>3600000</v>
      </c>
      <c r="G216" s="166"/>
      <c r="H216" s="166"/>
      <c r="I216" s="166">
        <f t="shared" si="15"/>
        <v>3600000</v>
      </c>
      <c r="J216" s="323" t="e">
        <f>SUMIF('8.Dgia'!E:E,'11.gia '!B216,'8.Dgia'!P:P)</f>
        <v>#REF!</v>
      </c>
      <c r="K216" s="166" t="e">
        <f t="shared" si="13"/>
        <v>#REF!</v>
      </c>
      <c r="L216" s="322" t="s">
        <v>3904</v>
      </c>
      <c r="M216" s="1064" t="s">
        <v>4960</v>
      </c>
      <c r="N216" s="193"/>
    </row>
    <row r="217" spans="1:14" ht="19.5" customHeight="1">
      <c r="A217" s="806" t="e">
        <f>IF(J217&gt;0,MAX($A$10:A216)+1,"")</f>
        <v>#REF!</v>
      </c>
      <c r="B217" s="662" t="s">
        <v>3952</v>
      </c>
      <c r="C217" s="245" t="str">
        <f>VLOOKUP(B217,DICH!B:C,2,FALSE)</f>
        <v>Rectangular traffic sign 1.6x1.0m</v>
      </c>
      <c r="D217" s="240" t="s">
        <v>307</v>
      </c>
      <c r="E217" s="166"/>
      <c r="F217" s="166">
        <f>1000000*1.6*1</f>
        <v>1600000</v>
      </c>
      <c r="G217" s="166"/>
      <c r="H217" s="166"/>
      <c r="I217" s="166">
        <f t="shared" si="15"/>
        <v>1600000</v>
      </c>
      <c r="J217" s="323" t="e">
        <f>SUMIF('8.Dgia'!E:E,'11.gia '!B217,'8.Dgia'!P:P)</f>
        <v>#REF!</v>
      </c>
      <c r="K217" s="166" t="e">
        <f t="shared" si="13"/>
        <v>#REF!</v>
      </c>
      <c r="L217" s="322" t="s">
        <v>3904</v>
      </c>
      <c r="M217" s="1064" t="s">
        <v>4960</v>
      </c>
      <c r="N217" s="193"/>
    </row>
    <row r="218" spans="1:14" ht="19.5" customHeight="1">
      <c r="A218" s="806" t="e">
        <f>IF(J218&gt;0,MAX($A$10:A217)+1,"")</f>
        <v>#REF!</v>
      </c>
      <c r="B218" s="662" t="s">
        <v>3953</v>
      </c>
      <c r="C218" s="245" t="str">
        <f>VLOOKUP(B218,DICH!B:C,2,FALSE)</f>
        <v>Rectangular traffic sign 0.9x0.45m</v>
      </c>
      <c r="D218" s="240" t="s">
        <v>307</v>
      </c>
      <c r="E218" s="166"/>
      <c r="F218" s="166">
        <f>1000000*0.9*0.45</f>
        <v>405000</v>
      </c>
      <c r="G218" s="166"/>
      <c r="H218" s="166"/>
      <c r="I218" s="166">
        <f t="shared" si="15"/>
        <v>405000</v>
      </c>
      <c r="J218" s="323" t="e">
        <f>SUMIF('8.Dgia'!E:E,'11.gia '!B218,'8.Dgia'!P:P)</f>
        <v>#REF!</v>
      </c>
      <c r="K218" s="166" t="e">
        <f t="shared" si="13"/>
        <v>#REF!</v>
      </c>
      <c r="L218" s="322" t="s">
        <v>3904</v>
      </c>
      <c r="M218" s="1064" t="s">
        <v>4960</v>
      </c>
      <c r="N218" s="193"/>
    </row>
    <row r="219" spans="1:14" ht="19.5" customHeight="1">
      <c r="A219" s="806" t="e">
        <f>IF(J219&gt;0,MAX($A$10:A218)+1,"")</f>
        <v>#REF!</v>
      </c>
      <c r="B219" s="662" t="s">
        <v>3954</v>
      </c>
      <c r="C219" s="245" t="str">
        <f>VLOOKUP(B219,DICH!B:C,2,FALSE)</f>
        <v>Square traffic sign 0.6x0.6m</v>
      </c>
      <c r="D219" s="240" t="s">
        <v>307</v>
      </c>
      <c r="E219" s="166"/>
      <c r="F219" s="166">
        <f>1000000*0.6*0.6</f>
        <v>360000</v>
      </c>
      <c r="G219" s="166"/>
      <c r="H219" s="166"/>
      <c r="I219" s="166">
        <f>SUM(E219:H219)</f>
        <v>360000</v>
      </c>
      <c r="J219" s="323" t="e">
        <f>SUMIF('8.Dgia'!E:E,'11.gia '!B219,'8.Dgia'!P:P)</f>
        <v>#REF!</v>
      </c>
      <c r="K219" s="166" t="e">
        <f>J219*I219</f>
        <v>#REF!</v>
      </c>
      <c r="L219" s="322" t="s">
        <v>3904</v>
      </c>
      <c r="M219" s="1064" t="s">
        <v>4960</v>
      </c>
      <c r="N219" s="193"/>
    </row>
    <row r="220" spans="1:14" ht="19.5" customHeight="1">
      <c r="A220" s="806" t="e">
        <f>IF(J220&gt;0,MAX($A$10:A219)+1,"")</f>
        <v>#REF!</v>
      </c>
      <c r="B220" s="662" t="s">
        <v>3955</v>
      </c>
      <c r="C220" s="245" t="str">
        <f>VLOOKUP(B220,DICH!B:C,2,FALSE)</f>
        <v>Rectangular traffic sign 0.7x0.3m</v>
      </c>
      <c r="D220" s="240" t="s">
        <v>307</v>
      </c>
      <c r="E220" s="166"/>
      <c r="F220" s="166">
        <f>1000000*0.7*0.3</f>
        <v>210000</v>
      </c>
      <c r="G220" s="166"/>
      <c r="H220" s="166"/>
      <c r="I220" s="166">
        <f>SUM(E220:H220)</f>
        <v>210000</v>
      </c>
      <c r="J220" s="323" t="e">
        <f>SUMIF('8.Dgia'!E:E,'11.gia '!B220,'8.Dgia'!P:P)</f>
        <v>#REF!</v>
      </c>
      <c r="K220" s="166" t="e">
        <f>J220*I220</f>
        <v>#REF!</v>
      </c>
      <c r="L220" s="322" t="s">
        <v>3904</v>
      </c>
      <c r="M220" s="1064" t="s">
        <v>4960</v>
      </c>
      <c r="N220" s="193"/>
    </row>
    <row r="221" spans="1:14" ht="19.5" customHeight="1">
      <c r="A221" s="806" t="e">
        <f>IF(J221&gt;0,MAX($A$10:A218)+1,"")</f>
        <v>#REF!</v>
      </c>
      <c r="B221" s="662" t="s">
        <v>2027</v>
      </c>
      <c r="C221" s="245" t="str">
        <f>VLOOKUP(B221,DICH!B:C,2,FALSE)</f>
        <v>Triangle traffic sign 0.87m</v>
      </c>
      <c r="D221" s="240" t="s">
        <v>307</v>
      </c>
      <c r="E221" s="166"/>
      <c r="F221" s="166">
        <f>380000</f>
        <v>380000</v>
      </c>
      <c r="G221" s="166"/>
      <c r="H221" s="166"/>
      <c r="I221" s="166">
        <f t="shared" si="15"/>
        <v>380000</v>
      </c>
      <c r="J221" s="323" t="e">
        <f>SUMIF('8.Dgia'!E:E,'11.gia '!B221,'8.Dgia'!P:P)</f>
        <v>#REF!</v>
      </c>
      <c r="K221" s="166" t="e">
        <f t="shared" si="13"/>
        <v>#REF!</v>
      </c>
      <c r="L221" s="322" t="s">
        <v>3904</v>
      </c>
      <c r="M221" s="1064" t="s">
        <v>4960</v>
      </c>
      <c r="N221" s="193"/>
    </row>
    <row r="222" spans="1:14" ht="19.5" customHeight="1">
      <c r="A222" s="806" t="e">
        <f>IF(J222&gt;0,MAX($A$10:A219)+1,"")</f>
        <v>#REF!</v>
      </c>
      <c r="B222" s="662" t="s">
        <v>3956</v>
      </c>
      <c r="C222" s="245" t="str">
        <f>VLOOKUP(B222,DICH!B:C,2,FALSE)</f>
        <v>Triangle traffic sign 0.7m</v>
      </c>
      <c r="D222" s="240" t="s">
        <v>307</v>
      </c>
      <c r="E222" s="166"/>
      <c r="F222" s="166">
        <v>253000</v>
      </c>
      <c r="G222" s="166"/>
      <c r="H222" s="166"/>
      <c r="I222" s="166">
        <f>SUM(E222:H222)</f>
        <v>253000</v>
      </c>
      <c r="J222" s="323" t="e">
        <f>SUMIF('8.Dgia'!E:E,'11.gia '!B222,'8.Dgia'!P:P)</f>
        <v>#REF!</v>
      </c>
      <c r="K222" s="166" t="e">
        <f>J222*I222</f>
        <v>#REF!</v>
      </c>
      <c r="L222" s="322" t="s">
        <v>3904</v>
      </c>
      <c r="M222" s="1064" t="s">
        <v>4960</v>
      </c>
      <c r="N222" s="193"/>
    </row>
    <row r="223" spans="1:14" ht="19.5" customHeight="1">
      <c r="A223" s="806" t="e">
        <f>IF(J223&gt;0,MAX($A$10:A221)+1,"")</f>
        <v>#REF!</v>
      </c>
      <c r="B223" s="662" t="s">
        <v>2103</v>
      </c>
      <c r="C223" s="245" t="str">
        <f>VLOOKUP(B223,DICH!B:C,2,FALSE)</f>
        <v>Circlar traffic sign 0.87m</v>
      </c>
      <c r="D223" s="240" t="s">
        <v>307</v>
      </c>
      <c r="E223" s="166"/>
      <c r="F223" s="166">
        <v>590000</v>
      </c>
      <c r="G223" s="166"/>
      <c r="H223" s="166"/>
      <c r="I223" s="166">
        <f t="shared" si="15"/>
        <v>590000</v>
      </c>
      <c r="J223" s="323" t="e">
        <f>SUMIF('8.Dgia'!E:E,'11.gia '!B223,'8.Dgia'!P:P)</f>
        <v>#REF!</v>
      </c>
      <c r="K223" s="166" t="e">
        <f t="shared" si="13"/>
        <v>#REF!</v>
      </c>
      <c r="L223" s="322" t="s">
        <v>3904</v>
      </c>
      <c r="M223" s="1064" t="s">
        <v>4960</v>
      </c>
      <c r="N223" s="193"/>
    </row>
    <row r="224" spans="1:14" ht="19.5" customHeight="1">
      <c r="A224" s="806" t="e">
        <f>IF(J224&gt;0,MAX($A$10:A223)+1,"")</f>
        <v>#REF!</v>
      </c>
      <c r="B224" s="662" t="s">
        <v>3957</v>
      </c>
      <c r="C224" s="245" t="str">
        <f>VLOOKUP(B224,DICH!B:C,2,FALSE)</f>
        <v>Circlar traffic sign 0.7m</v>
      </c>
      <c r="D224" s="240" t="s">
        <v>307</v>
      </c>
      <c r="E224" s="166"/>
      <c r="F224" s="166">
        <v>396000</v>
      </c>
      <c r="G224" s="166"/>
      <c r="H224" s="166"/>
      <c r="I224" s="166">
        <f>SUM(E224:H224)</f>
        <v>396000</v>
      </c>
      <c r="J224" s="323" t="e">
        <f>SUMIF('8.Dgia'!E:E,'11.gia '!B224,'8.Dgia'!P:P)</f>
        <v>#REF!</v>
      </c>
      <c r="K224" s="166" t="e">
        <f>J224*I224</f>
        <v>#REF!</v>
      </c>
      <c r="L224" s="322" t="s">
        <v>3904</v>
      </c>
      <c r="M224" s="1064" t="s">
        <v>4960</v>
      </c>
      <c r="N224" s="193"/>
    </row>
    <row r="225" spans="1:14" ht="19.5" customHeight="1">
      <c r="A225" s="806"/>
      <c r="B225" s="661" t="s">
        <v>3599</v>
      </c>
      <c r="C225" s="245">
        <f>VLOOKUP(B225,DICH!B:C,2,FALSE)</f>
        <v>0</v>
      </c>
      <c r="D225" s="820" t="s">
        <v>307</v>
      </c>
      <c r="E225" s="166"/>
      <c r="F225" s="166"/>
      <c r="G225" s="166">
        <v>300000</v>
      </c>
      <c r="H225" s="166"/>
      <c r="I225" s="166">
        <f t="shared" ref="I225:I242" si="16">SUM(E225:H225)</f>
        <v>300000</v>
      </c>
      <c r="J225" s="323">
        <f>SUMIF('8.Dgia'!E:E,'11.gia '!B225,'8.Dgia'!P:P)</f>
        <v>0</v>
      </c>
      <c r="K225" s="166">
        <f t="shared" ref="K225:K242" si="17">J225*I225</f>
        <v>0</v>
      </c>
      <c r="L225" s="322" t="s">
        <v>654</v>
      </c>
      <c r="M225" s="1062" t="s">
        <v>4977</v>
      </c>
      <c r="N225" s="193"/>
    </row>
    <row r="226" spans="1:14" ht="19.5" customHeight="1">
      <c r="A226" s="806"/>
      <c r="B226" s="661" t="s">
        <v>3600</v>
      </c>
      <c r="C226" s="245">
        <f>VLOOKUP(B226,DICH!B:C,2,FALSE)</f>
        <v>0</v>
      </c>
      <c r="D226" s="820" t="s">
        <v>307</v>
      </c>
      <c r="E226" s="166"/>
      <c r="F226" s="166"/>
      <c r="G226" s="166">
        <v>1350000</v>
      </c>
      <c r="H226" s="166"/>
      <c r="I226" s="166">
        <f t="shared" si="16"/>
        <v>1350000</v>
      </c>
      <c r="J226" s="323">
        <f>SUMIF('8.Dgia'!E:E,'11.gia '!B226,'8.Dgia'!P:P)</f>
        <v>0</v>
      </c>
      <c r="K226" s="166">
        <f t="shared" si="17"/>
        <v>0</v>
      </c>
      <c r="L226" s="322" t="s">
        <v>654</v>
      </c>
      <c r="M226" s="1062" t="s">
        <v>4977</v>
      </c>
      <c r="N226" s="193"/>
    </row>
    <row r="227" spans="1:14" ht="19.5" customHeight="1">
      <c r="A227" s="806"/>
      <c r="B227" s="661" t="s">
        <v>3601</v>
      </c>
      <c r="C227" s="245" t="str">
        <f>VLOOKUP(B227,DICH!B:C,2,FALSE)</f>
        <v>Exsiccator</v>
      </c>
      <c r="D227" s="820" t="s">
        <v>567</v>
      </c>
      <c r="E227" s="166"/>
      <c r="F227" s="166"/>
      <c r="G227" s="166">
        <v>160000</v>
      </c>
      <c r="H227" s="166"/>
      <c r="I227" s="166">
        <f t="shared" si="16"/>
        <v>160000</v>
      </c>
      <c r="J227" s="323">
        <f>SUMIF('8.Dgia'!E:E,'11.gia '!B227,'8.Dgia'!P:P)</f>
        <v>0</v>
      </c>
      <c r="K227" s="166">
        <f t="shared" si="17"/>
        <v>0</v>
      </c>
      <c r="L227" s="322" t="s">
        <v>654</v>
      </c>
      <c r="M227" s="1062" t="s">
        <v>4977</v>
      </c>
      <c r="N227" s="193"/>
    </row>
    <row r="228" spans="1:14" ht="19.5" customHeight="1">
      <c r="A228" s="806"/>
      <c r="B228" s="661" t="s">
        <v>3602</v>
      </c>
      <c r="C228" s="245" t="str">
        <f>VLOOKUP(B228,DICH!B:C,2,FALSE)</f>
        <v xml:space="preserve"> Triangle glass jar</v>
      </c>
      <c r="D228" s="820" t="s">
        <v>567</v>
      </c>
      <c r="E228" s="166"/>
      <c r="F228" s="166"/>
      <c r="G228" s="166">
        <v>40000</v>
      </c>
      <c r="H228" s="166"/>
      <c r="I228" s="166">
        <f t="shared" si="16"/>
        <v>40000</v>
      </c>
      <c r="J228" s="323">
        <f>SUMIF('8.Dgia'!E:E,'11.gia '!B228,'8.Dgia'!P:P)</f>
        <v>0</v>
      </c>
      <c r="K228" s="166">
        <f t="shared" si="17"/>
        <v>0</v>
      </c>
      <c r="L228" s="322" t="s">
        <v>654</v>
      </c>
      <c r="M228" s="1062" t="s">
        <v>4977</v>
      </c>
      <c r="N228" s="193"/>
    </row>
    <row r="229" spans="1:14" ht="19.5" customHeight="1">
      <c r="A229" s="806"/>
      <c r="B229" s="661" t="s">
        <v>3603</v>
      </c>
      <c r="C229" s="245" t="str">
        <f>VLOOKUP(B229,DICH!B:C,2,FALSE)</f>
        <v>Glass bowl</v>
      </c>
      <c r="D229" s="820" t="s">
        <v>567</v>
      </c>
      <c r="E229" s="166"/>
      <c r="F229" s="166"/>
      <c r="G229" s="166">
        <v>25000</v>
      </c>
      <c r="H229" s="166"/>
      <c r="I229" s="166">
        <f t="shared" si="16"/>
        <v>25000</v>
      </c>
      <c r="J229" s="323">
        <f>SUMIF('8.Dgia'!E:E,'11.gia '!B229,'8.Dgia'!P:P)</f>
        <v>0</v>
      </c>
      <c r="K229" s="166">
        <f t="shared" si="17"/>
        <v>0</v>
      </c>
      <c r="L229" s="322" t="s">
        <v>654</v>
      </c>
      <c r="M229" s="1062" t="s">
        <v>4977</v>
      </c>
      <c r="N229" s="193"/>
    </row>
    <row r="230" spans="1:14" ht="19.5" customHeight="1">
      <c r="A230" s="806"/>
      <c r="B230" s="661" t="s">
        <v>3604</v>
      </c>
      <c r="C230" s="245" t="str">
        <f>VLOOKUP(B230,DICH!B:C,2,FALSE)</f>
        <v>Density vase</v>
      </c>
      <c r="D230" s="820" t="s">
        <v>567</v>
      </c>
      <c r="E230" s="166"/>
      <c r="F230" s="166"/>
      <c r="G230" s="166">
        <v>30000</v>
      </c>
      <c r="H230" s="166"/>
      <c r="I230" s="166">
        <f t="shared" si="16"/>
        <v>30000</v>
      </c>
      <c r="J230" s="323">
        <f>SUMIF('8.Dgia'!E:E,'11.gia '!B230,'8.Dgia'!P:P)</f>
        <v>0</v>
      </c>
      <c r="K230" s="166">
        <f t="shared" si="17"/>
        <v>0</v>
      </c>
      <c r="L230" s="322" t="s">
        <v>654</v>
      </c>
      <c r="M230" s="1062" t="s">
        <v>4977</v>
      </c>
      <c r="N230" s="193"/>
    </row>
    <row r="231" spans="1:14" ht="19.5" customHeight="1">
      <c r="A231" s="806"/>
      <c r="B231" s="661" t="s">
        <v>3605</v>
      </c>
      <c r="C231" s="245">
        <f>VLOOKUP(B231,DICH!B:C,2,FALSE)</f>
        <v>0</v>
      </c>
      <c r="D231" s="820" t="s">
        <v>567</v>
      </c>
      <c r="E231" s="166"/>
      <c r="F231" s="166"/>
      <c r="G231" s="166">
        <v>15000</v>
      </c>
      <c r="H231" s="166"/>
      <c r="I231" s="166">
        <f t="shared" si="16"/>
        <v>15000</v>
      </c>
      <c r="J231" s="323">
        <f>SUMIF('8.Dgia'!E:E,'11.gia '!B231,'8.Dgia'!P:P)</f>
        <v>0</v>
      </c>
      <c r="K231" s="166">
        <f t="shared" si="17"/>
        <v>0</v>
      </c>
      <c r="L231" s="322" t="s">
        <v>654</v>
      </c>
      <c r="M231" s="1062" t="s">
        <v>4977</v>
      </c>
      <c r="N231" s="193"/>
    </row>
    <row r="232" spans="1:14" ht="19.5" customHeight="1">
      <c r="A232" s="806"/>
      <c r="B232" s="818" t="s">
        <v>3606</v>
      </c>
      <c r="C232" s="245" t="str">
        <f>VLOOKUP(B232,DICH!B:C,2,FALSE)</f>
        <v>Glass</v>
      </c>
      <c r="D232" s="820" t="s">
        <v>567</v>
      </c>
      <c r="E232" s="166"/>
      <c r="F232" s="166"/>
      <c r="G232" s="166">
        <v>15000</v>
      </c>
      <c r="H232" s="166"/>
      <c r="I232" s="166">
        <f t="shared" si="16"/>
        <v>15000</v>
      </c>
      <c r="J232" s="323">
        <f>SUMIF('8.Dgia'!E:E,'11.gia '!B232,'8.Dgia'!P:P)</f>
        <v>0</v>
      </c>
      <c r="K232" s="166">
        <f t="shared" si="17"/>
        <v>0</v>
      </c>
      <c r="L232" s="322" t="s">
        <v>654</v>
      </c>
      <c r="M232" s="1062" t="s">
        <v>4977</v>
      </c>
      <c r="N232" s="193"/>
    </row>
    <row r="233" spans="1:14" ht="19.5" customHeight="1">
      <c r="A233" s="806"/>
      <c r="B233" s="819" t="s">
        <v>3607</v>
      </c>
      <c r="C233" s="245" t="str">
        <f>VLOOKUP(B233,DICH!B:C,2,FALSE)</f>
        <v>Aluminium box</v>
      </c>
      <c r="D233" s="820" t="s">
        <v>567</v>
      </c>
      <c r="E233" s="166"/>
      <c r="F233" s="166"/>
      <c r="G233" s="166">
        <v>8000</v>
      </c>
      <c r="H233" s="166"/>
      <c r="I233" s="166">
        <f t="shared" si="16"/>
        <v>8000</v>
      </c>
      <c r="J233" s="323">
        <f>SUMIF('8.Dgia'!E:E,'11.gia '!B233,'8.Dgia'!P:P)</f>
        <v>0</v>
      </c>
      <c r="K233" s="166">
        <f t="shared" si="17"/>
        <v>0</v>
      </c>
      <c r="L233" s="322" t="s">
        <v>654</v>
      </c>
      <c r="M233" s="1062" t="s">
        <v>4977</v>
      </c>
      <c r="N233" s="193"/>
    </row>
    <row r="234" spans="1:14" ht="19.5" customHeight="1">
      <c r="A234" s="806"/>
      <c r="B234" s="819" t="s">
        <v>3608</v>
      </c>
      <c r="C234" s="245">
        <f>VLOOKUP(B234,DICH!B:C,2,FALSE)</f>
        <v>0</v>
      </c>
      <c r="D234" s="820" t="s">
        <v>307</v>
      </c>
      <c r="E234" s="166"/>
      <c r="F234" s="166"/>
      <c r="G234" s="166">
        <v>220000</v>
      </c>
      <c r="H234" s="166"/>
      <c r="I234" s="166">
        <f t="shared" si="16"/>
        <v>220000</v>
      </c>
      <c r="J234" s="323">
        <f>SUMIF('8.Dgia'!E:E,'11.gia '!B234,'8.Dgia'!P:P)</f>
        <v>0</v>
      </c>
      <c r="K234" s="166">
        <f t="shared" si="17"/>
        <v>0</v>
      </c>
      <c r="L234" s="322" t="s">
        <v>654</v>
      </c>
      <c r="M234" s="1062" t="s">
        <v>4977</v>
      </c>
      <c r="N234" s="193"/>
    </row>
    <row r="235" spans="1:14" ht="19.5" customHeight="1">
      <c r="A235" s="806"/>
      <c r="B235" s="819" t="s">
        <v>3609</v>
      </c>
      <c r="C235" s="245">
        <f>VLOOKUP(B235,DICH!B:C,2,FALSE)</f>
        <v>0</v>
      </c>
      <c r="D235" s="820" t="s">
        <v>307</v>
      </c>
      <c r="E235" s="166"/>
      <c r="F235" s="166"/>
      <c r="G235" s="166">
        <v>250000</v>
      </c>
      <c r="H235" s="166"/>
      <c r="I235" s="166">
        <f t="shared" si="16"/>
        <v>250000</v>
      </c>
      <c r="J235" s="323">
        <f>SUMIF('8.Dgia'!E:E,'11.gia '!B235,'8.Dgia'!P:P)</f>
        <v>0</v>
      </c>
      <c r="K235" s="166">
        <f t="shared" si="17"/>
        <v>0</v>
      </c>
      <c r="L235" s="322" t="s">
        <v>654</v>
      </c>
      <c r="M235" s="1062" t="s">
        <v>4977</v>
      </c>
      <c r="N235" s="193"/>
    </row>
    <row r="236" spans="1:14" ht="19.5" customHeight="1">
      <c r="A236" s="806"/>
      <c r="B236" s="819" t="s">
        <v>3610</v>
      </c>
      <c r="C236" s="245">
        <f>VLOOKUP(B236,DICH!B:C,2,FALSE)</f>
        <v>0</v>
      </c>
      <c r="D236" s="820" t="s">
        <v>567</v>
      </c>
      <c r="E236" s="166"/>
      <c r="F236" s="166"/>
      <c r="G236" s="166">
        <v>11000</v>
      </c>
      <c r="H236" s="166"/>
      <c r="I236" s="166">
        <f t="shared" si="16"/>
        <v>11000</v>
      </c>
      <c r="J236" s="323">
        <f>SUMIF('8.Dgia'!E:E,'11.gia '!B236,'8.Dgia'!P:P)</f>
        <v>0</v>
      </c>
      <c r="K236" s="166">
        <f t="shared" si="17"/>
        <v>0</v>
      </c>
      <c r="L236" s="322" t="s">
        <v>654</v>
      </c>
      <c r="M236" s="1062" t="s">
        <v>4977</v>
      </c>
      <c r="N236" s="193"/>
    </row>
    <row r="237" spans="1:14" ht="19.5" customHeight="1">
      <c r="A237" s="806"/>
      <c r="B237" s="661" t="s">
        <v>3611</v>
      </c>
      <c r="C237" s="245" t="str">
        <f>VLOOKUP(B237,DICH!B:C,2,FALSE)</f>
        <v>steel ruler 5m</v>
      </c>
      <c r="D237" s="820" t="s">
        <v>567</v>
      </c>
      <c r="E237" s="166"/>
      <c r="F237" s="166"/>
      <c r="G237" s="166">
        <v>15000</v>
      </c>
      <c r="H237" s="166"/>
      <c r="I237" s="166">
        <f t="shared" si="16"/>
        <v>15000</v>
      </c>
      <c r="J237" s="323">
        <f>SUMIF('8.Dgia'!E:E,'11.gia '!B237,'8.Dgia'!P:P)</f>
        <v>0</v>
      </c>
      <c r="K237" s="166">
        <f t="shared" si="17"/>
        <v>0</v>
      </c>
      <c r="L237" s="322" t="s">
        <v>654</v>
      </c>
      <c r="M237" s="1062" t="s">
        <v>4977</v>
      </c>
      <c r="N237" s="193"/>
    </row>
    <row r="238" spans="1:14" ht="19.5" customHeight="1">
      <c r="A238" s="806"/>
      <c r="B238" s="661" t="s">
        <v>3612</v>
      </c>
      <c r="C238" s="245" t="str">
        <f>VLOOKUP(B238,DICH!B:C,2,FALSE)</f>
        <v>steel ruler 42m</v>
      </c>
      <c r="D238" s="820" t="s">
        <v>567</v>
      </c>
      <c r="E238" s="166"/>
      <c r="F238" s="166"/>
      <c r="G238" s="166">
        <v>70000</v>
      </c>
      <c r="H238" s="166"/>
      <c r="I238" s="166">
        <f t="shared" si="16"/>
        <v>70000</v>
      </c>
      <c r="J238" s="323">
        <f>SUMIF('8.Dgia'!E:E,'11.gia '!B238,'8.Dgia'!P:P)</f>
        <v>0</v>
      </c>
      <c r="K238" s="166">
        <f t="shared" si="17"/>
        <v>0</v>
      </c>
      <c r="L238" s="322" t="s">
        <v>654</v>
      </c>
      <c r="M238" s="1062" t="s">
        <v>4977</v>
      </c>
      <c r="N238" s="193"/>
    </row>
    <row r="239" spans="1:14" ht="19.5" customHeight="1">
      <c r="A239" s="806"/>
      <c r="B239" s="819" t="s">
        <v>3613</v>
      </c>
      <c r="C239" s="245" t="e">
        <f>VLOOKUP(B239,DICH!B:C,2,FALSE)</f>
        <v>#N/A</v>
      </c>
      <c r="D239" s="820" t="s">
        <v>567</v>
      </c>
      <c r="E239" s="166"/>
      <c r="F239" s="166"/>
      <c r="G239" s="166">
        <v>250000</v>
      </c>
      <c r="H239" s="166"/>
      <c r="I239" s="166">
        <f t="shared" si="16"/>
        <v>250000</v>
      </c>
      <c r="J239" s="323">
        <f>SUMIF('8.Dgia'!E:E,'11.gia '!B239,'8.Dgia'!P:P)</f>
        <v>0</v>
      </c>
      <c r="K239" s="166">
        <f t="shared" si="17"/>
        <v>0</v>
      </c>
      <c r="L239" s="322" t="s">
        <v>654</v>
      </c>
      <c r="M239" s="1062" t="s">
        <v>4977</v>
      </c>
      <c r="N239" s="193"/>
    </row>
    <row r="240" spans="1:14" ht="19.5" customHeight="1">
      <c r="A240" s="806"/>
      <c r="B240" s="819" t="s">
        <v>3614</v>
      </c>
      <c r="C240" s="245" t="e">
        <f>VLOOKUP(B240,DICH!B:C,2,FALSE)</f>
        <v>#N/A</v>
      </c>
      <c r="D240" s="820" t="s">
        <v>2023</v>
      </c>
      <c r="E240" s="166"/>
      <c r="F240" s="166"/>
      <c r="G240" s="166">
        <v>7000</v>
      </c>
      <c r="H240" s="166"/>
      <c r="I240" s="166">
        <f t="shared" si="16"/>
        <v>7000</v>
      </c>
      <c r="J240" s="323">
        <f>SUMIF('8.Dgia'!E:E,'11.gia '!B240,'8.Dgia'!P:P)</f>
        <v>0</v>
      </c>
      <c r="K240" s="166">
        <f t="shared" si="17"/>
        <v>0</v>
      </c>
      <c r="L240" s="322" t="s">
        <v>654</v>
      </c>
      <c r="M240" s="1062" t="s">
        <v>4977</v>
      </c>
      <c r="N240" s="193"/>
    </row>
    <row r="241" spans="1:14" ht="19.5" customHeight="1">
      <c r="A241" s="806"/>
      <c r="B241" s="819" t="s">
        <v>3615</v>
      </c>
      <c r="C241" s="245" t="e">
        <f>VLOOKUP(B241,DICH!B:C,2,FALSE)</f>
        <v>#N/A</v>
      </c>
      <c r="D241" s="820" t="s">
        <v>543</v>
      </c>
      <c r="E241" s="166"/>
      <c r="F241" s="166"/>
      <c r="G241" s="166">
        <v>150000</v>
      </c>
      <c r="H241" s="166"/>
      <c r="I241" s="166">
        <f t="shared" si="16"/>
        <v>150000</v>
      </c>
      <c r="J241" s="323">
        <f>SUMIF('8.Dgia'!E:E,'11.gia '!B241,'8.Dgia'!P:P)</f>
        <v>0</v>
      </c>
      <c r="K241" s="166">
        <f t="shared" si="17"/>
        <v>0</v>
      </c>
      <c r="L241" s="322" t="s">
        <v>654</v>
      </c>
      <c r="M241" s="1062" t="s">
        <v>4977</v>
      </c>
      <c r="N241" s="193"/>
    </row>
    <row r="242" spans="1:14" ht="19.5" customHeight="1">
      <c r="A242" s="806" t="str">
        <f>IF(J242&gt;0,MAX($A$10:A224)+1,"")</f>
        <v/>
      </c>
      <c r="B242" s="819" t="s">
        <v>3621</v>
      </c>
      <c r="C242" s="245" t="str">
        <f>VLOOKUP(B242,DICH!B:C,2,FALSE)</f>
        <v>Tip for drill</v>
      </c>
      <c r="D242" s="820" t="s">
        <v>567</v>
      </c>
      <c r="E242" s="166"/>
      <c r="F242" s="166"/>
      <c r="G242" s="166">
        <v>50000</v>
      </c>
      <c r="H242" s="166"/>
      <c r="I242" s="166">
        <f t="shared" si="16"/>
        <v>50000</v>
      </c>
      <c r="J242" s="323">
        <f>SUMIF('8.Dgia'!E:E,'11.gia '!B242,'8.Dgia'!P:P)</f>
        <v>0</v>
      </c>
      <c r="K242" s="166">
        <f t="shared" si="17"/>
        <v>0</v>
      </c>
      <c r="L242" s="322" t="s">
        <v>654</v>
      </c>
      <c r="M242" s="1062" t="s">
        <v>4977</v>
      </c>
      <c r="N242" s="193"/>
    </row>
    <row r="243" spans="1:14" ht="19.5" customHeight="1">
      <c r="A243" s="806" t="e">
        <f>IF(J243&gt;0,MAX($A$10:A242)+1,"")</f>
        <v>#REF!</v>
      </c>
      <c r="B243" s="662" t="s">
        <v>145</v>
      </c>
      <c r="C243" s="245" t="str">
        <f>VLOOKUP(B243,DICH!B:C,2,FALSE)</f>
        <v xml:space="preserve"> plastic cudgel </v>
      </c>
      <c r="D243" s="702" t="s">
        <v>14</v>
      </c>
      <c r="E243" s="166"/>
      <c r="F243" s="166"/>
      <c r="G243" s="166">
        <v>500</v>
      </c>
      <c r="H243" s="166"/>
      <c r="I243" s="166">
        <f>SUM(E243:H243)</f>
        <v>500</v>
      </c>
      <c r="J243" s="323" t="e">
        <f>SUMIF('8.Dgia'!E:E,'11.gia '!B243,'8.Dgia'!P:P)</f>
        <v>#REF!</v>
      </c>
      <c r="K243" s="166" t="e">
        <f>J243*I243</f>
        <v>#REF!</v>
      </c>
      <c r="L243" s="322" t="s">
        <v>3433</v>
      </c>
      <c r="M243" s="1062" t="s">
        <v>4991</v>
      </c>
      <c r="N243" s="193"/>
    </row>
    <row r="244" spans="1:14" ht="19.5" customHeight="1">
      <c r="A244" s="806" t="e">
        <f>IF(J244&gt;0,MAX($A$10:A243)+1,"")</f>
        <v>#REF!</v>
      </c>
      <c r="B244" s="662" t="s">
        <v>146</v>
      </c>
      <c r="C244" s="245" t="str">
        <f>VLOOKUP(B244,DICH!B:C,2,FALSE)</f>
        <v>Plastic cup</v>
      </c>
      <c r="D244" s="702" t="s">
        <v>14</v>
      </c>
      <c r="E244" s="166"/>
      <c r="F244" s="166"/>
      <c r="G244" s="166">
        <v>1000</v>
      </c>
      <c r="H244" s="166"/>
      <c r="I244" s="166">
        <f t="shared" si="15"/>
        <v>1000</v>
      </c>
      <c r="J244" s="323" t="e">
        <f>SUMIF('8.Dgia'!E:E,'11.gia '!B244,'8.Dgia'!P:P)</f>
        <v>#REF!</v>
      </c>
      <c r="K244" s="166" t="e">
        <f t="shared" ref="K244:K280" si="18">J244*I244</f>
        <v>#REF!</v>
      </c>
      <c r="L244" s="322" t="s">
        <v>3434</v>
      </c>
      <c r="M244" s="1062" t="s">
        <v>4992</v>
      </c>
      <c r="N244" s="193"/>
    </row>
    <row r="245" spans="1:14" ht="19.5" customHeight="1">
      <c r="A245" s="806" t="e">
        <f>IF(J245&gt;0,MAX($A$10:A244)+1,"")</f>
        <v>#REF!</v>
      </c>
      <c r="B245" s="662" t="s">
        <v>631</v>
      </c>
      <c r="C245" s="245" t="str">
        <f>VLOOKUP(B245,DICH!B:C,2,FALSE)</f>
        <v>Stell pipe nipple D60</v>
      </c>
      <c r="D245" s="702" t="s">
        <v>14</v>
      </c>
      <c r="E245" s="166"/>
      <c r="F245" s="166"/>
      <c r="G245" s="166">
        <v>7000</v>
      </c>
      <c r="H245" s="166"/>
      <c r="I245" s="166">
        <f t="shared" si="15"/>
        <v>7000</v>
      </c>
      <c r="J245" s="323" t="e">
        <f>SUMIF('8.Dgia'!E:E,'11.gia '!B245,'8.Dgia'!P:P)</f>
        <v>#REF!</v>
      </c>
      <c r="K245" s="166" t="e">
        <f t="shared" si="18"/>
        <v>#REF!</v>
      </c>
      <c r="L245" s="322" t="s">
        <v>654</v>
      </c>
      <c r="M245" s="1062" t="s">
        <v>4977</v>
      </c>
      <c r="N245" s="193"/>
    </row>
    <row r="246" spans="1:14" ht="19.5" customHeight="1">
      <c r="A246" s="806" t="e">
        <f>IF(J246&gt;0,MAX($A$10:A245)+1,"")</f>
        <v>#REF!</v>
      </c>
      <c r="B246" s="662" t="s">
        <v>632</v>
      </c>
      <c r="C246" s="245" t="str">
        <f>VLOOKUP(B246,DICH!B:C,2,FALSE)</f>
        <v>Stell pipe nipple D114</v>
      </c>
      <c r="D246" s="702" t="s">
        <v>14</v>
      </c>
      <c r="E246" s="166"/>
      <c r="F246" s="166"/>
      <c r="G246" s="166">
        <v>16000</v>
      </c>
      <c r="H246" s="166"/>
      <c r="I246" s="166">
        <f t="shared" si="15"/>
        <v>16000</v>
      </c>
      <c r="J246" s="323" t="e">
        <f>SUMIF('8.Dgia'!E:E,'11.gia '!B246,'8.Dgia'!P:P)</f>
        <v>#REF!</v>
      </c>
      <c r="K246" s="166" t="e">
        <f t="shared" si="18"/>
        <v>#REF!</v>
      </c>
      <c r="L246" s="322" t="s">
        <v>654</v>
      </c>
      <c r="M246" s="1062" t="s">
        <v>4977</v>
      </c>
      <c r="N246" s="193"/>
    </row>
    <row r="247" spans="1:14" ht="19.5" customHeight="1">
      <c r="A247" s="806" t="e">
        <f>IF(J247&gt;0,MAX($A$10:A246)+1,"")</f>
        <v>#REF!</v>
      </c>
      <c r="B247" s="662" t="s">
        <v>317</v>
      </c>
      <c r="C247" s="245" t="str">
        <f>VLOOKUP(B247,DICH!B:C,2,FALSE)</f>
        <v>Scew nut M10</v>
      </c>
      <c r="D247" s="702" t="s">
        <v>307</v>
      </c>
      <c r="E247" s="166"/>
      <c r="F247" s="166">
        <v>3000</v>
      </c>
      <c r="G247" s="166"/>
      <c r="H247" s="166"/>
      <c r="I247" s="166">
        <f t="shared" si="15"/>
        <v>3000</v>
      </c>
      <c r="J247" s="323" t="e">
        <f>SUMIF('8.Dgia'!E:E,'11.gia '!B247,'8.Dgia'!P:P)</f>
        <v>#REF!</v>
      </c>
      <c r="K247" s="166" t="e">
        <f t="shared" si="18"/>
        <v>#REF!</v>
      </c>
      <c r="L247" s="322" t="s">
        <v>306</v>
      </c>
      <c r="M247" s="1062" t="s">
        <v>4993</v>
      </c>
      <c r="N247" s="193"/>
    </row>
    <row r="248" spans="1:14" ht="19.5" customHeight="1">
      <c r="A248" s="806" t="e">
        <f>IF(J248&gt;0,MAX($A$10:A247)+1,"")</f>
        <v>#REF!</v>
      </c>
      <c r="B248" s="662" t="s">
        <v>318</v>
      </c>
      <c r="C248" s="245" t="str">
        <f>VLOOKUP(B248,DICH!B:C,2,FALSE)</f>
        <v>Steel tacke M12</v>
      </c>
      <c r="D248" s="702" t="s">
        <v>307</v>
      </c>
      <c r="E248" s="166"/>
      <c r="F248" s="166">
        <v>2000</v>
      </c>
      <c r="G248" s="166"/>
      <c r="H248" s="166"/>
      <c r="I248" s="166">
        <f t="shared" si="15"/>
        <v>2000</v>
      </c>
      <c r="J248" s="323" t="e">
        <f>SUMIF('8.Dgia'!E:E,'11.gia '!B248,'8.Dgia'!P:P)</f>
        <v>#REF!</v>
      </c>
      <c r="K248" s="166" t="e">
        <f t="shared" si="18"/>
        <v>#REF!</v>
      </c>
      <c r="L248" s="322" t="s">
        <v>306</v>
      </c>
      <c r="M248" s="1062" t="s">
        <v>4993</v>
      </c>
      <c r="N248" s="193"/>
    </row>
    <row r="249" spans="1:14" ht="19.5" customHeight="1">
      <c r="A249" s="806" t="e">
        <f>IF(J249&gt;0,MAX($A$10:A248)+1,"")</f>
        <v>#REF!</v>
      </c>
      <c r="B249" s="667" t="s">
        <v>181</v>
      </c>
      <c r="C249" s="245" t="str">
        <f>VLOOKUP(B249,DICH!B:C,2,FALSE)</f>
        <v>Plastic cover D80</v>
      </c>
      <c r="D249" s="703" t="s">
        <v>567</v>
      </c>
      <c r="E249" s="325"/>
      <c r="F249" s="325">
        <v>5000</v>
      </c>
      <c r="G249" s="325"/>
      <c r="H249" s="325"/>
      <c r="I249" s="166">
        <f t="shared" si="15"/>
        <v>5000</v>
      </c>
      <c r="J249" s="323" t="e">
        <f>SUMIF('8.Dgia'!E:E,'11.gia '!B249,'8.Dgia'!P:P)</f>
        <v>#REF!</v>
      </c>
      <c r="K249" s="166" t="e">
        <f t="shared" si="18"/>
        <v>#REF!</v>
      </c>
      <c r="L249" s="322" t="s">
        <v>306</v>
      </c>
      <c r="M249" s="1062" t="s">
        <v>4993</v>
      </c>
      <c r="N249" s="193"/>
    </row>
    <row r="250" spans="1:14" ht="19.5" customHeight="1">
      <c r="A250" s="806" t="e">
        <f>IF(J250&gt;0,MAX($A$10:A249)+1,"")</f>
        <v>#REF!</v>
      </c>
      <c r="B250" s="667" t="s">
        <v>476</v>
      </c>
      <c r="C250" s="245" t="str">
        <f>VLOOKUP(B250,DICH!B:C,2,FALSE)</f>
        <v>Alcohol for washing</v>
      </c>
      <c r="D250" s="703" t="s">
        <v>558</v>
      </c>
      <c r="E250" s="325"/>
      <c r="F250" s="325">
        <v>7000</v>
      </c>
      <c r="G250" s="325"/>
      <c r="H250" s="325"/>
      <c r="I250" s="166">
        <f t="shared" si="15"/>
        <v>7000</v>
      </c>
      <c r="J250" s="323" t="e">
        <f>SUMIF('8.Dgia'!E:E,'11.gia '!B250,'8.Dgia'!P:P)</f>
        <v>#REF!</v>
      </c>
      <c r="K250" s="166" t="e">
        <f t="shared" si="18"/>
        <v>#REF!</v>
      </c>
      <c r="L250" s="322" t="s">
        <v>306</v>
      </c>
      <c r="M250" s="1062" t="s">
        <v>4993</v>
      </c>
      <c r="N250" s="193"/>
    </row>
    <row r="251" spans="1:14" ht="19.5" customHeight="1">
      <c r="A251" s="806" t="e">
        <f>IF(J251&gt;0,MAX($A$10:A250)+1,"")</f>
        <v>#REF!</v>
      </c>
      <c r="B251" s="667" t="s">
        <v>3834</v>
      </c>
      <c r="C251" s="245" t="str">
        <f>VLOOKUP(B251,DICH!B:C,2,FALSE)</f>
        <v>broom</v>
      </c>
      <c r="D251" s="703" t="s">
        <v>567</v>
      </c>
      <c r="E251" s="325"/>
      <c r="F251" s="325">
        <v>15000</v>
      </c>
      <c r="G251" s="325"/>
      <c r="H251" s="325"/>
      <c r="I251" s="166">
        <f>SUM(E251:H251)</f>
        <v>15000</v>
      </c>
      <c r="J251" s="323" t="e">
        <f>SUMIF('8.Dgia'!E:E,'11.gia '!B251,'8.Dgia'!P:P)</f>
        <v>#REF!</v>
      </c>
      <c r="K251" s="166" t="e">
        <f>J251*I251</f>
        <v>#REF!</v>
      </c>
      <c r="L251" s="322" t="s">
        <v>306</v>
      </c>
      <c r="M251" s="1062" t="s">
        <v>4993</v>
      </c>
      <c r="N251" s="193"/>
    </row>
    <row r="252" spans="1:14" ht="19.5" customHeight="1">
      <c r="A252" s="806" t="e">
        <f>IF(J252&gt;0,MAX($A$10:A251)+1,"")</f>
        <v>#REF!</v>
      </c>
      <c r="B252" s="667" t="s">
        <v>3835</v>
      </c>
      <c r="C252" s="245" t="str">
        <f>VLOOKUP(B252,DICH!B:C,2,FALSE)</f>
        <v>Concrete cutting blades</v>
      </c>
      <c r="D252" s="703" t="s">
        <v>567</v>
      </c>
      <c r="E252" s="325"/>
      <c r="F252" s="325"/>
      <c r="G252" s="325">
        <v>30000</v>
      </c>
      <c r="H252" s="325"/>
      <c r="I252" s="166">
        <f>SUM(E252:H252)</f>
        <v>30000</v>
      </c>
      <c r="J252" s="323" t="e">
        <f>SUMIF('8.Dgia'!E:E,'11.gia '!B252,'8.Dgia'!P:P)</f>
        <v>#REF!</v>
      </c>
      <c r="K252" s="166" t="e">
        <f>J252*I252</f>
        <v>#REF!</v>
      </c>
      <c r="L252" s="322" t="s">
        <v>654</v>
      </c>
      <c r="M252" s="1062" t="s">
        <v>4977</v>
      </c>
      <c r="N252" s="193"/>
    </row>
    <row r="253" spans="1:14" ht="19.5" customHeight="1">
      <c r="A253" s="806" t="e">
        <f>IF(J253&gt;0,MAX($A$10:A252)+1,"")</f>
        <v>#REF!</v>
      </c>
      <c r="B253" s="667" t="s">
        <v>224</v>
      </c>
      <c r="C253" s="245" t="str">
        <f>VLOOKUP(B253,DICH!B:C,2,FALSE)</f>
        <v>Lubricant grease</v>
      </c>
      <c r="D253" s="703" t="s">
        <v>558</v>
      </c>
      <c r="E253" s="325"/>
      <c r="F253" s="325">
        <v>15000</v>
      </c>
      <c r="G253" s="325"/>
      <c r="H253" s="325"/>
      <c r="I253" s="166">
        <f t="shared" si="15"/>
        <v>15000</v>
      </c>
      <c r="J253" s="323" t="e">
        <f>SUMIF('8.Dgia'!E:E,'11.gia '!B253,'8.Dgia'!P:P)</f>
        <v>#REF!</v>
      </c>
      <c r="K253" s="166" t="e">
        <f t="shared" si="18"/>
        <v>#REF!</v>
      </c>
      <c r="L253" s="326" t="s">
        <v>384</v>
      </c>
      <c r="M253" s="1062" t="s">
        <v>4993</v>
      </c>
      <c r="N253" s="193"/>
    </row>
    <row r="254" spans="1:14" ht="19.5" customHeight="1">
      <c r="A254" s="806" t="e">
        <f>IF(J254&gt;0,MAX($A$10:A253)+1,"")</f>
        <v>#REF!</v>
      </c>
      <c r="B254" s="667" t="s">
        <v>3525</v>
      </c>
      <c r="C254" s="245" t="str">
        <f>VLOOKUP(B254,DICH!B:C,2,FALSE)</f>
        <v>Supper - T girder</v>
      </c>
      <c r="D254" s="703" t="s">
        <v>740</v>
      </c>
      <c r="E254" s="325"/>
      <c r="F254" s="325">
        <f>295000000</f>
        <v>295000000</v>
      </c>
      <c r="G254" s="325"/>
      <c r="H254" s="325">
        <v>40000000</v>
      </c>
      <c r="I254" s="166">
        <f>SUM(E254:H254)</f>
        <v>335000000</v>
      </c>
      <c r="J254" s="323" t="e">
        <f>SUMIF('8.Dgia'!E:E,'11.gia '!B254,'8.Dgia'!P:P)</f>
        <v>#REF!</v>
      </c>
      <c r="K254" s="166" t="e">
        <f>J254*I254</f>
        <v>#REF!</v>
      </c>
      <c r="L254" s="326" t="s">
        <v>3937</v>
      </c>
      <c r="M254" s="1064" t="s">
        <v>4969</v>
      </c>
      <c r="N254" s="193"/>
    </row>
    <row r="255" spans="1:14" ht="19.5" customHeight="1">
      <c r="A255" s="806" t="e">
        <f>IF(J255&gt;0,MAX($A$10:A254)+1,"")</f>
        <v>#REF!</v>
      </c>
      <c r="B255" s="667" t="s">
        <v>3988</v>
      </c>
      <c r="C255" s="245" t="str">
        <f>VLOOKUP(B255,DICH!B:C,2,FALSE)</f>
        <v>Static loading test</v>
      </c>
      <c r="D255" s="703" t="s">
        <v>557</v>
      </c>
      <c r="E255" s="325"/>
      <c r="F255" s="325">
        <f>500000/1.1</f>
        <v>454545.45454545453</v>
      </c>
      <c r="G255" s="325"/>
      <c r="H255" s="325"/>
      <c r="I255" s="166">
        <f>SUM(E255:H255)</f>
        <v>454545.45454545453</v>
      </c>
      <c r="J255" s="323" t="s">
        <v>457</v>
      </c>
      <c r="K255" s="166" t="s">
        <v>457</v>
      </c>
      <c r="L255" s="326" t="s">
        <v>3989</v>
      </c>
      <c r="M255" s="1064" t="s">
        <v>4970</v>
      </c>
      <c r="N255" s="193"/>
    </row>
    <row r="256" spans="1:14" ht="19.5" customHeight="1">
      <c r="A256" s="806" t="str">
        <f>IF(J256&gt;0,MAX($A$10:A255)+1,"")</f>
        <v/>
      </c>
      <c r="B256" s="667" t="s">
        <v>3990</v>
      </c>
      <c r="C256" s="245" t="str">
        <f>VLOOKUP(B256,DICH!B:C,2,FALSE)</f>
        <v>PDA test on land</v>
      </c>
      <c r="D256" s="703" t="s">
        <v>275</v>
      </c>
      <c r="E256" s="325"/>
      <c r="F256" s="325">
        <v>30000000</v>
      </c>
      <c r="G256" s="325"/>
      <c r="H256" s="325"/>
      <c r="I256" s="166">
        <f>SUM(E256:H256)</f>
        <v>30000000</v>
      </c>
      <c r="J256" s="323"/>
      <c r="K256" s="166"/>
      <c r="L256" s="326" t="s">
        <v>3991</v>
      </c>
      <c r="M256" s="1064"/>
      <c r="N256" s="193"/>
    </row>
    <row r="257" spans="1:14" ht="19.5" customHeight="1">
      <c r="A257" s="806" t="str">
        <f>IF(J257&gt;0,MAX($A$10:A254)+1,"")</f>
        <v/>
      </c>
      <c r="B257" s="699" t="s">
        <v>1994</v>
      </c>
      <c r="C257" s="245"/>
      <c r="D257" s="703"/>
      <c r="E257" s="325"/>
      <c r="F257" s="325"/>
      <c r="G257" s="325"/>
      <c r="H257" s="325"/>
      <c r="I257" s="325"/>
      <c r="J257" s="323">
        <f>SUMIF('8.Dgia'!E:E,'11.gia '!B257,'8.Dgia'!P:P)</f>
        <v>0</v>
      </c>
      <c r="K257" s="166">
        <f t="shared" si="18"/>
        <v>0</v>
      </c>
      <c r="L257" s="326"/>
      <c r="M257" s="1066"/>
      <c r="N257" s="193"/>
    </row>
    <row r="258" spans="1:14" ht="19.5" customHeight="1">
      <c r="A258" s="806" t="e">
        <f>IF(J258&gt;0,MAX($A$10:A257)+1,"")</f>
        <v>#REF!</v>
      </c>
      <c r="B258" s="667" t="str">
        <f>+'10.PLV'!D7</f>
        <v>Vữa Bê tông C10 đá 1x2 SN 2-4</v>
      </c>
      <c r="C258" s="245" t="str">
        <f>VLOOKUP(B258,DICH!B:C,2,FALSE)</f>
        <v>Concrete motar C10 stone 1x2 slump 2-4</v>
      </c>
      <c r="D258" s="703" t="s">
        <v>545</v>
      </c>
      <c r="E258" s="325"/>
      <c r="F258" s="325"/>
      <c r="G258" s="325"/>
      <c r="H258" s="325"/>
      <c r="I258" s="166">
        <f>+'10.PLV'!I7</f>
        <v>752583.79606678337</v>
      </c>
      <c r="J258" s="323" t="e">
        <f>SUMIF('8.Dgia'!E:E,'11.gia '!B258,'8.Dgia'!P:P)</f>
        <v>#REF!</v>
      </c>
      <c r="K258" s="166" t="e">
        <f t="shared" si="18"/>
        <v>#REF!</v>
      </c>
      <c r="L258" s="326" t="s">
        <v>1994</v>
      </c>
      <c r="M258" s="1068" t="s">
        <v>4995</v>
      </c>
      <c r="N258" s="193"/>
    </row>
    <row r="259" spans="1:14" ht="19.5" customHeight="1">
      <c r="A259" s="806" t="e">
        <f>IF(J259&gt;0,MAX($A$10:A258)+1,"")</f>
        <v>#REF!</v>
      </c>
      <c r="B259" s="667" t="str">
        <f>+'10.PLV'!D12</f>
        <v>Vữa bê tông đá 1x2 C15 SN 2-4</v>
      </c>
      <c r="C259" s="245" t="str">
        <f>VLOOKUP(B259,DICH!B:C,2,FALSE)</f>
        <v>Concrete motar C15 stone 1x2 slump 2-4</v>
      </c>
      <c r="D259" s="703" t="s">
        <v>545</v>
      </c>
      <c r="E259" s="325"/>
      <c r="F259" s="325"/>
      <c r="G259" s="325"/>
      <c r="H259" s="325"/>
      <c r="I259" s="166">
        <f>+'10.PLV'!I12</f>
        <v>819715.92549294059</v>
      </c>
      <c r="J259" s="323" t="e">
        <f>SUMIF('8.Dgia'!E:E,'11.gia '!B259,'8.Dgia'!P:P)</f>
        <v>#REF!</v>
      </c>
      <c r="K259" s="166" t="e">
        <f t="shared" si="18"/>
        <v>#REF!</v>
      </c>
      <c r="L259" s="326" t="s">
        <v>1994</v>
      </c>
      <c r="M259" s="1066" t="s">
        <v>3652</v>
      </c>
      <c r="N259" s="193"/>
    </row>
    <row r="260" spans="1:14" ht="19.5" customHeight="1">
      <c r="A260" s="806" t="e">
        <f>IF(J260&gt;0,MAX($A$10:A259)+1,"")</f>
        <v>#REF!</v>
      </c>
      <c r="B260" s="667" t="str">
        <f>+'10.PLV'!D124</f>
        <v>Vữa bê tông đá 1x2 C15 SN 6-8</v>
      </c>
      <c r="C260" s="245" t="str">
        <f>VLOOKUP(B260,DICH!B:C,2,FALSE)</f>
        <v>Concrete motar C15 stone 1x2 slump 6-8</v>
      </c>
      <c r="D260" s="703"/>
      <c r="E260" s="325"/>
      <c r="F260" s="325"/>
      <c r="G260" s="325"/>
      <c r="H260" s="325"/>
      <c r="I260" s="166">
        <f>+'10.PLV'!I124</f>
        <v>836833.32894201751</v>
      </c>
      <c r="J260" s="323" t="e">
        <f>SUMIF('8.Dgia'!E:E,'11.gia '!B260,'8.Dgia'!P:P)</f>
        <v>#REF!</v>
      </c>
      <c r="K260" s="166" t="e">
        <f t="shared" si="18"/>
        <v>#REF!</v>
      </c>
      <c r="L260" s="326" t="s">
        <v>1994</v>
      </c>
      <c r="M260" s="1066" t="s">
        <v>3652</v>
      </c>
      <c r="N260" s="193"/>
    </row>
    <row r="261" spans="1:14" ht="19.5" customHeight="1">
      <c r="A261" s="806" t="e">
        <f>IF(J261&gt;0,MAX($A$10:A260)+1,"")</f>
        <v>#REF!</v>
      </c>
      <c r="B261" s="667" t="str">
        <f>+'10.PLV'!D17</f>
        <v>Vữa bê tông đá 1x2 C20 SN 2-4</v>
      </c>
      <c r="C261" s="245" t="str">
        <f>VLOOKUP(B261,DICH!B:C,2,FALSE)</f>
        <v>Concrete motar C20 stone 1x2 slump 2-4</v>
      </c>
      <c r="D261" s="703" t="s">
        <v>545</v>
      </c>
      <c r="E261" s="325"/>
      <c r="F261" s="325"/>
      <c r="G261" s="325"/>
      <c r="H261" s="325"/>
      <c r="I261" s="166">
        <f>+'10.PLV'!I17</f>
        <v>884378.32894201751</v>
      </c>
      <c r="J261" s="323" t="e">
        <f>SUMIF('8.Dgia'!E:E,'11.gia '!B261,'8.Dgia'!P:P)</f>
        <v>#REF!</v>
      </c>
      <c r="K261" s="166" t="e">
        <f t="shared" si="18"/>
        <v>#REF!</v>
      </c>
      <c r="L261" s="326" t="s">
        <v>1994</v>
      </c>
      <c r="M261" s="1066" t="s">
        <v>3652</v>
      </c>
      <c r="N261" s="193"/>
    </row>
    <row r="262" spans="1:14" ht="19.5" customHeight="1">
      <c r="A262" s="806" t="e">
        <f>IF(J262&gt;0,MAX($A$10:A261)+1,"")</f>
        <v>#REF!</v>
      </c>
      <c r="B262" s="667" t="str">
        <f>+'10.PLV'!D22</f>
        <v>Vữa bê tông đá 1x2 C25 SN 2-4</v>
      </c>
      <c r="C262" s="245" t="str">
        <f>VLOOKUP(B262,DICH!B:C,2,FALSE)</f>
        <v>Concrete motar C25 stone 1x2 slump 2-4</v>
      </c>
      <c r="D262" s="703" t="s">
        <v>545</v>
      </c>
      <c r="E262" s="325"/>
      <c r="F262" s="325"/>
      <c r="G262" s="325"/>
      <c r="H262" s="325"/>
      <c r="I262" s="166">
        <f>+'10.PLV'!I22</f>
        <v>950939.91780334397</v>
      </c>
      <c r="J262" s="323" t="e">
        <f>SUMIF('8.Dgia'!E:E,'11.gia '!B262,'8.Dgia'!P:P)</f>
        <v>#REF!</v>
      </c>
      <c r="K262" s="166" t="e">
        <f t="shared" si="18"/>
        <v>#REF!</v>
      </c>
      <c r="L262" s="326" t="s">
        <v>1994</v>
      </c>
      <c r="M262" s="1066" t="s">
        <v>3652</v>
      </c>
      <c r="N262" s="193"/>
    </row>
    <row r="263" spans="1:14" ht="19.5" customHeight="1">
      <c r="A263" s="806" t="e">
        <f>IF(J263&gt;0,MAX($A$10:A262)+1,"")</f>
        <v>#REF!</v>
      </c>
      <c r="B263" s="667" t="str">
        <f>+'10.PLV'!D27</f>
        <v>Vữa bê tông đá 1x2 C30 SN 2-4</v>
      </c>
      <c r="C263" s="245" t="str">
        <f>VLOOKUP(B263,DICH!B:C,2,FALSE)</f>
        <v>Concrete motar C30 stone 1x2 slump 2-4</v>
      </c>
      <c r="D263" s="703" t="s">
        <v>545</v>
      </c>
      <c r="E263" s="325"/>
      <c r="F263" s="325"/>
      <c r="G263" s="325"/>
      <c r="H263" s="325"/>
      <c r="I263" s="166">
        <f>+'10.PLV'!I27</f>
        <v>1021660.2728168666</v>
      </c>
      <c r="J263" s="323" t="e">
        <f>SUMIF('8.Dgia'!E:E,'11.gia '!B263,'8.Dgia'!P:P)</f>
        <v>#REF!</v>
      </c>
      <c r="K263" s="166" t="e">
        <f t="shared" si="18"/>
        <v>#REF!</v>
      </c>
      <c r="L263" s="326" t="s">
        <v>1994</v>
      </c>
      <c r="M263" s="1066" t="s">
        <v>3652</v>
      </c>
      <c r="N263" s="193"/>
    </row>
    <row r="264" spans="1:14" ht="19.5" customHeight="1">
      <c r="A264" s="806" t="str">
        <f>IF(J264&gt;0,MAX($A$10:A263)+1,"")</f>
        <v/>
      </c>
      <c r="B264" s="667" t="str">
        <f>+'10.PLV'!D42</f>
        <v>Vữa bê tông đá 1x2 C30 SN 6-8</v>
      </c>
      <c r="C264" s="245" t="str">
        <f>VLOOKUP(B264,DICH!B:C,2,FALSE)</f>
        <v>Concrete motar C30 stone 1x2 slump 6-8</v>
      </c>
      <c r="D264" s="703" t="s">
        <v>545</v>
      </c>
      <c r="E264" s="325"/>
      <c r="F264" s="325"/>
      <c r="G264" s="325"/>
      <c r="H264" s="325"/>
      <c r="I264" s="166">
        <f>+'10.PLV'!I42</f>
        <v>1060385.5064560827</v>
      </c>
      <c r="J264" s="323">
        <f>SUMIF('8.Dgia'!E:E,'11.gia '!B264,'8.Dgia'!P:P)</f>
        <v>0</v>
      </c>
      <c r="K264" s="166">
        <f t="shared" si="18"/>
        <v>0</v>
      </c>
      <c r="L264" s="326" t="s">
        <v>1994</v>
      </c>
      <c r="M264" s="1066" t="s">
        <v>3652</v>
      </c>
      <c r="N264" s="193"/>
    </row>
    <row r="265" spans="1:14" ht="19.5" customHeight="1">
      <c r="A265" s="806" t="e">
        <f>IF(J265&gt;0,MAX($A$10:A264)+1,"")</f>
        <v>#REF!</v>
      </c>
      <c r="B265" s="667" t="str">
        <f>+'10.PLV'!D53</f>
        <v>Vữa bê tông đá 1x2 C30 SN 14-17</v>
      </c>
      <c r="C265" s="245" t="str">
        <f>VLOOKUP(B265,DICH!B:C,2,FALSE)</f>
        <v>Concrete motar C30 stone 1x2 slump 14-17</v>
      </c>
      <c r="D265" s="703" t="s">
        <v>545</v>
      </c>
      <c r="E265" s="325"/>
      <c r="F265" s="325"/>
      <c r="G265" s="325"/>
      <c r="H265" s="325"/>
      <c r="I265" s="166">
        <f>+'10.PLV'!I53</f>
        <v>1130771.6239684112</v>
      </c>
      <c r="J265" s="323" t="e">
        <f>SUMIF('8.Dgia'!E:E,'11.gia '!B265,'8.Dgia'!P:P)</f>
        <v>#REF!</v>
      </c>
      <c r="K265" s="166" t="e">
        <f t="shared" si="18"/>
        <v>#REF!</v>
      </c>
      <c r="L265" s="326" t="s">
        <v>1994</v>
      </c>
      <c r="M265" s="1066" t="s">
        <v>3652</v>
      </c>
      <c r="N265" s="193"/>
    </row>
    <row r="266" spans="1:14" ht="19.5" customHeight="1">
      <c r="A266" s="806" t="str">
        <f>IF(J266&gt;0,MAX($A$10:A265)+1,"")</f>
        <v/>
      </c>
      <c r="B266" s="667" t="str">
        <f>+'10.PLV'!D47</f>
        <v>Vữa bê tông đá 1x2 C35 SN 6-8</v>
      </c>
      <c r="C266" s="245" t="str">
        <f>VLOOKUP(B266,DICH!B:C,2,FALSE)</f>
        <v>Concrete motar C35 stone 1x2 slump 6-8</v>
      </c>
      <c r="D266" s="703" t="s">
        <v>545</v>
      </c>
      <c r="E266" s="325"/>
      <c r="F266" s="325"/>
      <c r="G266" s="325"/>
      <c r="H266" s="325"/>
      <c r="I266" s="166">
        <f>+'10.PLV'!I47</f>
        <v>1153154.6838164818</v>
      </c>
      <c r="J266" s="323">
        <f>SUMIF('8.Dgia'!E:E,'11.gia '!B266,'8.Dgia'!P:P)</f>
        <v>0</v>
      </c>
      <c r="K266" s="166">
        <f t="shared" si="18"/>
        <v>0</v>
      </c>
      <c r="L266" s="326" t="s">
        <v>1994</v>
      </c>
      <c r="M266" s="1066" t="s">
        <v>3652</v>
      </c>
      <c r="N266" s="193"/>
    </row>
    <row r="267" spans="1:14" ht="19.5" customHeight="1">
      <c r="A267" s="806" t="e">
        <f>IF(J267&gt;0,MAX($A$10:A266)+1,"")</f>
        <v>#REF!</v>
      </c>
      <c r="B267" s="667" t="str">
        <f>+'10.PLV'!D60</f>
        <v>Vữa bê tông đá 1x2 C40 (M450, độ sụt 12-16cm)</v>
      </c>
      <c r="C267" s="245" t="str">
        <f>VLOOKUP(B267,DICH!B:C,2,FALSE)</f>
        <v>Concrete motar C40 stone 1x2 slump 12-16</v>
      </c>
      <c r="D267" s="703" t="s">
        <v>545</v>
      </c>
      <c r="E267" s="325"/>
      <c r="F267" s="325"/>
      <c r="G267" s="325"/>
      <c r="H267" s="325"/>
      <c r="I267" s="166">
        <f>+'10.PLV'!I60</f>
        <v>1233112.4080999186</v>
      </c>
      <c r="J267" s="323" t="e">
        <f>SUMIF('8.Dgia'!E:E,'11.gia '!B267,'8.Dgia'!P:P)</f>
        <v>#REF!</v>
      </c>
      <c r="K267" s="166" t="e">
        <f t="shared" si="18"/>
        <v>#REF!</v>
      </c>
      <c r="L267" s="326" t="s">
        <v>1994</v>
      </c>
      <c r="M267" s="1066" t="s">
        <v>3652</v>
      </c>
      <c r="N267" s="193"/>
    </row>
    <row r="268" spans="1:14" ht="19.5" customHeight="1">
      <c r="A268" s="806" t="e">
        <f>IF(J268&gt;0,MAX($A$10:A267)+1,"")</f>
        <v>#REF!</v>
      </c>
      <c r="B268" s="667" t="str">
        <f>+'10.PLV'!D66</f>
        <v>Vữa bê tông đá 1x2 C42 (độ sụt 8-12cm)</v>
      </c>
      <c r="C268" s="245" t="str">
        <f>VLOOKUP(B268,DICH!B:C,2,FALSE)</f>
        <v>Concrete motar C42 stone 1x2 slump 8-12</v>
      </c>
      <c r="D268" s="703" t="s">
        <v>545</v>
      </c>
      <c r="E268" s="325"/>
      <c r="F268" s="325"/>
      <c r="G268" s="325"/>
      <c r="H268" s="325"/>
      <c r="I268" s="166">
        <f>+'10.PLV'!I66</f>
        <v>1221620.8499686779</v>
      </c>
      <c r="J268" s="323" t="e">
        <f>SUMIF('8.Dgia'!E:E,'11.gia '!B268,'8.Dgia'!P:P)</f>
        <v>#REF!</v>
      </c>
      <c r="K268" s="166" t="e">
        <f t="shared" si="18"/>
        <v>#REF!</v>
      </c>
      <c r="L268" s="326" t="s">
        <v>1994</v>
      </c>
      <c r="M268" s="1066" t="s">
        <v>3652</v>
      </c>
      <c r="N268" s="193"/>
    </row>
    <row r="269" spans="1:14" ht="19.5" customHeight="1">
      <c r="A269" s="806" t="str">
        <f>IF(J269&gt;0,MAX($A$10:A268)+1,"")</f>
        <v/>
      </c>
      <c r="B269" s="667" t="str">
        <f>+'10.PLV'!D72</f>
        <v>Vữa bê tông đá 1x2 C50 (độ sụt 16-18cm)</v>
      </c>
      <c r="C269" s="245" t="str">
        <f>VLOOKUP(B269,DICH!B:C,2,FALSE)</f>
        <v>Concrete motar C50 stone 1x2 slump 16-18</v>
      </c>
      <c r="D269" s="703" t="s">
        <v>545</v>
      </c>
      <c r="E269" s="325"/>
      <c r="F269" s="325"/>
      <c r="G269" s="325"/>
      <c r="H269" s="325"/>
      <c r="I269" s="166">
        <f>+'10.PLV'!I72</f>
        <v>1271668.4809691417</v>
      </c>
      <c r="J269" s="323">
        <f>SUMIF('8.Dgia'!E:E,'11.gia '!B269,'8.Dgia'!P:P)</f>
        <v>0</v>
      </c>
      <c r="K269" s="166">
        <f t="shared" si="18"/>
        <v>0</v>
      </c>
      <c r="L269" s="326" t="s">
        <v>1994</v>
      </c>
      <c r="M269" s="1066" t="s">
        <v>3652</v>
      </c>
      <c r="N269" s="193"/>
    </row>
    <row r="270" spans="1:14" ht="19.5" customHeight="1">
      <c r="A270" s="806" t="e">
        <f>IF(J270&gt;0,MAX($A$10:A269)+1,"")</f>
        <v>#REF!</v>
      </c>
      <c r="B270" s="667" t="str">
        <f>+'10.PLV'!D78</f>
        <v>Vữa bê tông đá 4x6 C10 SN 2-4</v>
      </c>
      <c r="C270" s="245" t="str">
        <f>VLOOKUP(B270,DICH!B:C,2,FALSE)</f>
        <v>Concrete motar C10 stone 4x6 slump 2-4</v>
      </c>
      <c r="D270" s="703" t="s">
        <v>545</v>
      </c>
      <c r="E270" s="325"/>
      <c r="F270" s="325"/>
      <c r="G270" s="325"/>
      <c r="H270" s="325"/>
      <c r="I270" s="166">
        <f>+'10.PLV'!I78</f>
        <v>622342.43820975651</v>
      </c>
      <c r="J270" s="323" t="e">
        <f>SUMIF('8.Dgia'!E:E,'11.gia '!B270,'8.Dgia'!P:P)</f>
        <v>#REF!</v>
      </c>
      <c r="K270" s="166" t="e">
        <f t="shared" si="18"/>
        <v>#REF!</v>
      </c>
      <c r="L270" s="326" t="s">
        <v>1994</v>
      </c>
      <c r="M270" s="1066" t="s">
        <v>3652</v>
      </c>
      <c r="N270" s="193"/>
    </row>
    <row r="271" spans="1:14" ht="19.5" customHeight="1">
      <c r="A271" s="806" t="e">
        <f>IF(J271&gt;0,MAX($A$10:A270)+1,"")</f>
        <v>#REF!</v>
      </c>
      <c r="B271" s="667" t="str">
        <f>+'10.PLV'!D83</f>
        <v>Vữa bê tông đá 4x6 C20 SN 6-8</v>
      </c>
      <c r="C271" s="245" t="str">
        <f>VLOOKUP(B271,DICH!B:C,2,FALSE)</f>
        <v>Concrete motar C20 stone 4x6 slump 6-8</v>
      </c>
      <c r="D271" s="703" t="s">
        <v>545</v>
      </c>
      <c r="E271" s="325"/>
      <c r="F271" s="325"/>
      <c r="G271" s="325"/>
      <c r="H271" s="325"/>
      <c r="I271" s="166">
        <f>+'10.PLV'!I83</f>
        <v>796865.36865138682</v>
      </c>
      <c r="J271" s="323" t="e">
        <f>SUMIF('8.Dgia'!E:E,'11.gia '!B271,'8.Dgia'!P:P)</f>
        <v>#REF!</v>
      </c>
      <c r="K271" s="166" t="e">
        <f t="shared" si="18"/>
        <v>#REF!</v>
      </c>
      <c r="L271" s="326" t="s">
        <v>1994</v>
      </c>
      <c r="M271" s="1066" t="s">
        <v>3652</v>
      </c>
      <c r="N271" s="193"/>
    </row>
    <row r="272" spans="1:14" ht="19.5" customHeight="1">
      <c r="A272" s="806" t="e">
        <f>IF(J272&gt;0,MAX($A$10:A271)+1,"")</f>
        <v>#REF!</v>
      </c>
      <c r="B272" s="667" t="str">
        <f>+'10.PLV'!D112</f>
        <v>Vữa không co ngót</v>
      </c>
      <c r="C272" s="245" t="str">
        <f>VLOOKUP(B272,DICH!B:C,2,FALSE)</f>
        <v>Non-shringkage mortar</v>
      </c>
      <c r="D272" s="703" t="s">
        <v>545</v>
      </c>
      <c r="E272" s="325"/>
      <c r="F272" s="325"/>
      <c r="G272" s="325"/>
      <c r="H272" s="325"/>
      <c r="I272" s="166">
        <f>+'10.PLV'!I112</f>
        <v>21243140</v>
      </c>
      <c r="J272" s="323" t="e">
        <f>SUMIF('8.Dgia'!E:E,'11.gia '!B272,'8.Dgia'!P:P)</f>
        <v>#REF!</v>
      </c>
      <c r="K272" s="166" t="e">
        <f t="shared" si="18"/>
        <v>#REF!</v>
      </c>
      <c r="L272" s="326" t="s">
        <v>1994</v>
      </c>
      <c r="M272" s="1066" t="s">
        <v>3652</v>
      </c>
      <c r="N272" s="193"/>
    </row>
    <row r="273" spans="1:14" ht="19.5" customHeight="1">
      <c r="A273" s="806" t="e">
        <f>IF(J273&gt;0,MAX($A$10:A272)+1,"")</f>
        <v>#REF!</v>
      </c>
      <c r="B273" s="667" t="s">
        <v>2151</v>
      </c>
      <c r="C273" s="245" t="str">
        <f>VLOOKUP(B273,DICH!B:C,2,FALSE)</f>
        <v>Non-shringkage mortar (kg)</v>
      </c>
      <c r="D273" s="703" t="s">
        <v>558</v>
      </c>
      <c r="E273" s="325"/>
      <c r="F273" s="325"/>
      <c r="G273" s="325"/>
      <c r="H273" s="325"/>
      <c r="I273" s="166">
        <f>+'10.PLV'!I112/2350</f>
        <v>9039.6340425531907</v>
      </c>
      <c r="J273" s="323" t="e">
        <f>SUMIF('8.Dgia'!E:E,'11.gia '!B273,'8.Dgia'!P:P)</f>
        <v>#REF!</v>
      </c>
      <c r="K273" s="166" t="e">
        <f t="shared" si="18"/>
        <v>#REF!</v>
      </c>
      <c r="L273" s="326" t="s">
        <v>1994</v>
      </c>
      <c r="M273" s="1066" t="s">
        <v>3652</v>
      </c>
      <c r="N273" s="193"/>
    </row>
    <row r="274" spans="1:14" ht="19.5" customHeight="1">
      <c r="A274" s="806" t="e">
        <f>IF(J274&gt;0,MAX($A$10:A273)+1,"")</f>
        <v>#REF!</v>
      </c>
      <c r="B274" s="667" t="str">
        <f>+'10.PLV'!D115</f>
        <v>Vữa xi măng C10</v>
      </c>
      <c r="C274" s="245" t="str">
        <f>VLOOKUP(B274,DICH!B:C,2,FALSE)</f>
        <v>Cement motar C10</v>
      </c>
      <c r="D274" s="703" t="s">
        <v>545</v>
      </c>
      <c r="E274" s="325"/>
      <c r="F274" s="325"/>
      <c r="G274" s="325"/>
      <c r="H274" s="325"/>
      <c r="I274" s="166">
        <f>+'10.PLV'!I115</f>
        <v>599153.14975303912</v>
      </c>
      <c r="J274" s="323" t="e">
        <f>SUMIF('8.Dgia'!E:E,'11.gia '!B274,'8.Dgia'!P:P)</f>
        <v>#REF!</v>
      </c>
      <c r="K274" s="166" t="e">
        <f t="shared" si="18"/>
        <v>#REF!</v>
      </c>
      <c r="L274" s="326" t="s">
        <v>1994</v>
      </c>
      <c r="M274" s="1066" t="s">
        <v>3652</v>
      </c>
      <c r="N274" s="193"/>
    </row>
    <row r="275" spans="1:14" ht="19.5" customHeight="1">
      <c r="A275" s="806" t="str">
        <f>IF(J275&gt;0,MAX($A$10:A274)+1,"")</f>
        <v/>
      </c>
      <c r="B275" s="667" t="str">
        <f>+'10.PLV'!$D$37</f>
        <v>Vữa bê tông đá 1x2 C25 SN 6-8</v>
      </c>
      <c r="C275" s="245" t="str">
        <f>VLOOKUP(B275,DICH!B:C,2,FALSE)</f>
        <v>Concrete motar C25 stone 1x2 slump 6-8</v>
      </c>
      <c r="D275" s="703" t="s">
        <v>545</v>
      </c>
      <c r="E275" s="325"/>
      <c r="F275" s="325"/>
      <c r="G275" s="325"/>
      <c r="H275" s="325"/>
      <c r="I275" s="166">
        <f>+'10.PLV'!$I$37</f>
        <v>975348.03084768308</v>
      </c>
      <c r="J275" s="323">
        <f>SUMIF('8.Dgia'!E:E,'11.gia '!B275,'8.Dgia'!P:P)</f>
        <v>0</v>
      </c>
      <c r="K275" s="166">
        <f t="shared" si="18"/>
        <v>0</v>
      </c>
      <c r="L275" s="326" t="s">
        <v>1994</v>
      </c>
      <c r="M275" s="1066" t="s">
        <v>3652</v>
      </c>
      <c r="N275" s="193"/>
    </row>
    <row r="276" spans="1:14" ht="19.5" customHeight="1">
      <c r="A276" s="806" t="e">
        <f>IF(J276&gt;0,MAX($A$10:A275)+1,"")</f>
        <v>#REF!</v>
      </c>
      <c r="B276" s="667" t="str">
        <f>+'10.PLV'!$D$94</f>
        <v>Vữa bê tông đá 1x2 C25 (độ sụt 14-17cm)</v>
      </c>
      <c r="C276" s="245" t="str">
        <f>VLOOKUP(B276,DICH!B:C,2,FALSE)</f>
        <v>Concrete motar C25 stone 1x2 slump 14-17</v>
      </c>
      <c r="D276" s="703" t="s">
        <v>545</v>
      </c>
      <c r="E276" s="325"/>
      <c r="F276" s="325"/>
      <c r="G276" s="325"/>
      <c r="H276" s="325"/>
      <c r="I276" s="166">
        <f>+'10.PLV'!$I$94</f>
        <v>1037405.4707489562</v>
      </c>
      <c r="J276" s="323" t="e">
        <f>SUMIF('8.Dgia'!E:E,'11.gia '!B276,'8.Dgia'!P:P)</f>
        <v>#REF!</v>
      </c>
      <c r="K276" s="166" t="e">
        <f>J276*I276</f>
        <v>#REF!</v>
      </c>
      <c r="L276" s="326" t="s">
        <v>1994</v>
      </c>
      <c r="M276" s="1066" t="s">
        <v>3652</v>
      </c>
      <c r="N276" s="193"/>
    </row>
    <row r="277" spans="1:14" ht="19.5" customHeight="1">
      <c r="A277" s="806" t="str">
        <f>IF(J277&gt;0,MAX($A$10:A276)+1,"")</f>
        <v/>
      </c>
      <c r="B277" s="667" t="str">
        <f>+'10.PLV'!$D$88</f>
        <v>Vữa bê tông đá 1x2 C20 (độ sụt 14-17cm)</v>
      </c>
      <c r="C277" s="245" t="str">
        <f>VLOOKUP(B277,DICH!B:C,2,FALSE)</f>
        <v>Concrete motar C20 stone 1x2 slump 14-17</v>
      </c>
      <c r="D277" s="703" t="s">
        <v>545</v>
      </c>
      <c r="E277" s="325"/>
      <c r="F277" s="325"/>
      <c r="G277" s="325"/>
      <c r="H277" s="325"/>
      <c r="I277" s="166">
        <f>+'10.PLV'!$I$88</f>
        <v>957014.9064603569</v>
      </c>
      <c r="J277" s="323">
        <f>SUMIF('8.Dgia'!E:E,'11.gia '!B277,'8.Dgia'!P:P)</f>
        <v>0</v>
      </c>
      <c r="K277" s="166">
        <f>J277*I277</f>
        <v>0</v>
      </c>
      <c r="L277" s="326" t="s">
        <v>1994</v>
      </c>
      <c r="M277" s="1066" t="s">
        <v>3652</v>
      </c>
      <c r="N277" s="193"/>
    </row>
    <row r="278" spans="1:14" ht="19.5" customHeight="1">
      <c r="A278" s="806" t="e">
        <f>IF(J278&gt;0,MAX($A$10:A277)+1,"")</f>
        <v>#REF!</v>
      </c>
      <c r="B278" s="667" t="str">
        <f>+'10.PLV'!$D$100</f>
        <v>Vữa bê tông đá 1x2 C35 (độ sụt 14-17cm)</v>
      </c>
      <c r="C278" s="245" t="str">
        <f>VLOOKUP(B278,DICH!B:C,2,FALSE)</f>
        <v>Concrete motar C35 stone 1x2 slump 14-17</v>
      </c>
      <c r="D278" s="703" t="s">
        <v>545</v>
      </c>
      <c r="E278" s="325"/>
      <c r="F278" s="325"/>
      <c r="G278" s="325"/>
      <c r="H278" s="325"/>
      <c r="I278" s="166">
        <f>+'10.PLV'!$I$100</f>
        <v>1167220.6239684112</v>
      </c>
      <c r="J278" s="323" t="e">
        <f>SUMIF('8.Dgia'!E:E,'11.gia '!B278,'8.Dgia'!P:P)</f>
        <v>#REF!</v>
      </c>
      <c r="K278" s="166" t="e">
        <f>J278*I278</f>
        <v>#REF!</v>
      </c>
      <c r="L278" s="326" t="s">
        <v>1994</v>
      </c>
      <c r="M278" s="1066" t="s">
        <v>3652</v>
      </c>
      <c r="N278" s="193"/>
    </row>
    <row r="279" spans="1:14" ht="19.5" customHeight="1">
      <c r="A279" s="806" t="e">
        <f>IF(J279&gt;0,MAX($A$10:A278)+1,"")</f>
        <v>#REF!</v>
      </c>
      <c r="B279" s="667" t="str">
        <f>+'10.PLV'!$D$106</f>
        <v>Vữa Bê tông C20 đá 4x6 (độ sụt 14-17cm)</v>
      </c>
      <c r="C279" s="245" t="str">
        <f>VLOOKUP(B279,DICH!B:C,2,FALSE)</f>
        <v>Concrete motar C20 stone 4x6 slump 14-17</v>
      </c>
      <c r="D279" s="703" t="s">
        <v>545</v>
      </c>
      <c r="E279" s="325"/>
      <c r="F279" s="325"/>
      <c r="G279" s="325"/>
      <c r="H279" s="325"/>
      <c r="I279" s="166">
        <f>+'10.PLV'!$I$106</f>
        <v>901907.22891883098</v>
      </c>
      <c r="J279" s="323" t="e">
        <f>SUMIF('8.Dgia'!E:E,'11.gia '!B279,'8.Dgia'!P:P)</f>
        <v>#REF!</v>
      </c>
      <c r="K279" s="166" t="e">
        <f>J279*I279</f>
        <v>#REF!</v>
      </c>
      <c r="L279" s="326" t="s">
        <v>1994</v>
      </c>
      <c r="M279" s="1066" t="s">
        <v>3652</v>
      </c>
      <c r="N279" s="193"/>
    </row>
    <row r="280" spans="1:14" ht="19.5" customHeight="1">
      <c r="A280" s="806" t="str">
        <f>IF(J280&gt;0,MAX($A$10:A275)+1,"")</f>
        <v/>
      </c>
      <c r="B280" s="667" t="str">
        <f>+'10.PLV'!$D$119</f>
        <v>Vữa bê tông đá 1x2, C10 SN 2-4</v>
      </c>
      <c r="C280" s="245" t="str">
        <f>VLOOKUP(B280,DICH!B:C,2,FALSE)</f>
        <v>Concrete motar C20 stone 1x2 slump 2-4</v>
      </c>
      <c r="D280" s="703" t="s">
        <v>545</v>
      </c>
      <c r="E280" s="325"/>
      <c r="F280" s="325"/>
      <c r="G280" s="325"/>
      <c r="H280" s="325"/>
      <c r="I280" s="166">
        <f>+'10.PLV'!$I$119</f>
        <v>712525.74770075828</v>
      </c>
      <c r="J280" s="323">
        <f>SUMIF('8.Dgia'!E:E,'11.gia '!B280,'8.Dgia'!P:P)</f>
        <v>0</v>
      </c>
      <c r="K280" s="166">
        <f t="shared" si="18"/>
        <v>0</v>
      </c>
      <c r="L280" s="326" t="s">
        <v>1994</v>
      </c>
      <c r="M280" s="1066" t="s">
        <v>3652</v>
      </c>
      <c r="N280" s="193"/>
    </row>
    <row r="281" spans="1:14" ht="19.5" customHeight="1">
      <c r="A281" s="992" t="e">
        <f>IF(J281&gt;0,MAX($A$10:A280)+1,"")</f>
        <v>#REF!</v>
      </c>
      <c r="B281" s="668" t="str">
        <f>'10.PLV'!D32</f>
        <v>Vữa Bê tông C10 đá 1x2 SN 6-8</v>
      </c>
      <c r="C281" s="1058" t="str">
        <f>VLOOKUP(B281,DICH!B:C,2,FALSE)</f>
        <v>Concrete motar C10 stone 1x2 slump 6-8</v>
      </c>
      <c r="D281" s="705" t="s">
        <v>545</v>
      </c>
      <c r="E281" s="328"/>
      <c r="F281" s="328"/>
      <c r="G281" s="328"/>
      <c r="H281" s="328"/>
      <c r="I281" s="328">
        <f>'10.PLV'!I32</f>
        <v>766287.11909609917</v>
      </c>
      <c r="J281" s="734" t="e">
        <f>SUMIF('8.Dgia'!E:E,'11.gia '!B281,'8.Dgia'!P:P)</f>
        <v>#REF!</v>
      </c>
      <c r="K281" s="328" t="e">
        <f>J281*I281</f>
        <v>#REF!</v>
      </c>
      <c r="L281" s="329" t="s">
        <v>1994</v>
      </c>
      <c r="M281" s="1067" t="s">
        <v>3652</v>
      </c>
      <c r="N281" s="193"/>
    </row>
    <row r="282" spans="1:14" ht="19.5" customHeight="1">
      <c r="B282" s="195" t="s">
        <v>2205</v>
      </c>
    </row>
    <row r="289" spans="10:11" ht="19.5" customHeight="1">
      <c r="K289" s="193" t="e">
        <f>SUM(K11:K281)</f>
        <v>#REF!</v>
      </c>
    </row>
    <row r="290" spans="10:11" ht="19.5" customHeight="1">
      <c r="K290" s="193" t="e">
        <f>+#REF!</f>
        <v>#REF!</v>
      </c>
    </row>
    <row r="291" spans="10:11" ht="19.5" customHeight="1">
      <c r="J291" s="193" t="s">
        <v>2144</v>
      </c>
      <c r="K291" s="193" t="e">
        <f>K289-K290</f>
        <v>#REF!</v>
      </c>
    </row>
    <row r="65510" spans="13:13" ht="19.5" customHeight="1">
      <c r="M65510" s="1060"/>
    </row>
    <row r="65511" spans="13:13" ht="19.5" customHeight="1">
      <c r="M65511" s="1060"/>
    </row>
    <row r="65512" spans="13:13" ht="19.5" customHeight="1">
      <c r="M65512" s="1060"/>
    </row>
    <row r="65513" spans="13:13" ht="19.5" customHeight="1">
      <c r="M65513" s="1061"/>
    </row>
  </sheetData>
  <autoFilter ref="A9:P282"/>
  <phoneticPr fontId="3" type="noConversion"/>
  <printOptions horizontalCentered="1"/>
  <pageMargins left="0.32" right="0.28000000000000003" top="0.37" bottom="0.35433070866141703" header="0" footer="0.196850393700787"/>
  <pageSetup paperSize="9" scale="63" firstPageNumber="95" orientation="landscape" blackAndWhite="1" useFirstPageNumber="1" r:id="rId1"/>
  <headerFooter>
    <oddFooter>&amp;R&amp;9&amp;P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00B0F0"/>
  </sheetPr>
  <dimension ref="A1:AM112"/>
  <sheetViews>
    <sheetView showZeros="0" topLeftCell="G2" zoomScale="85" zoomScaleNormal="85" zoomScaleSheetLayoutView="85" workbookViewId="0">
      <selection activeCell="AE26" sqref="AE26"/>
    </sheetView>
  </sheetViews>
  <sheetFormatPr defaultColWidth="9.28515625" defaultRowHeight="15" customHeight="1"/>
  <cols>
    <col min="1" max="1" width="4.5703125" style="75" customWidth="1"/>
    <col min="2" max="2" width="17.5703125" style="75" customWidth="1"/>
    <col min="3" max="3" width="6.140625" style="75" bestFit="1" customWidth="1"/>
    <col min="4" max="4" width="7.140625" style="195" customWidth="1"/>
    <col min="5" max="5" width="12.140625" style="75" customWidth="1"/>
    <col min="6" max="6" width="11.5703125" style="75" bestFit="1" customWidth="1"/>
    <col min="7" max="7" width="15" style="75" customWidth="1"/>
    <col min="8" max="8" width="14.140625" style="75" customWidth="1"/>
    <col min="9" max="9" width="9.28515625" style="75" customWidth="1"/>
    <col min="10" max="10" width="8.28515625" style="75" customWidth="1"/>
    <col min="11" max="11" width="7.7109375" style="75" customWidth="1"/>
    <col min="12" max="12" width="5.7109375" style="75" customWidth="1"/>
    <col min="13" max="13" width="17.85546875" style="75" customWidth="1"/>
    <col min="14" max="14" width="3.5703125" style="75" customWidth="1"/>
    <col min="15" max="15" width="10.28515625" style="75" customWidth="1"/>
    <col min="16" max="16" width="2" style="75" bestFit="1" customWidth="1"/>
    <col min="17" max="17" width="5.28515625" style="75" hidden="1" customWidth="1"/>
    <col min="18" max="18" width="2.85546875" style="75" hidden="1" customWidth="1"/>
    <col min="19" max="19" width="4.7109375" style="75" hidden="1" customWidth="1"/>
    <col min="20" max="20" width="2.85546875" style="75" hidden="1" customWidth="1"/>
    <col min="21" max="21" width="5.85546875" style="75" customWidth="1"/>
    <col min="22" max="22" width="3" style="75" customWidth="1"/>
    <col min="23" max="23" width="5" style="75" customWidth="1"/>
    <col min="24" max="24" width="2.42578125" style="75" customWidth="1"/>
    <col min="25" max="25" width="4.28515625" style="191" customWidth="1"/>
    <col min="26" max="26" width="2" style="75" customWidth="1"/>
    <col min="27" max="27" width="4" style="75" customWidth="1"/>
    <col min="28" max="28" width="2.28515625" style="75" customWidth="1"/>
    <col min="29" max="29" width="5" style="75" customWidth="1"/>
    <col min="30" max="30" width="5.5703125" style="75" customWidth="1"/>
    <col min="31" max="31" width="10.28515625" style="192" customWidth="1"/>
    <col min="32" max="33" width="10.5703125" style="193" bestFit="1" customWidth="1"/>
    <col min="34" max="34" width="9.7109375" style="193" hidden="1" customWidth="1"/>
    <col min="35" max="35" width="16.140625" style="192" bestFit="1" customWidth="1"/>
    <col min="36" max="36" width="13.7109375" style="194" customWidth="1"/>
    <col min="37" max="16384" width="9.28515625" style="75"/>
  </cols>
  <sheetData>
    <row r="1" spans="1:36" s="111" customFormat="1" ht="19.5" customHeight="1">
      <c r="A1" s="308" t="e">
        <f>+'11.gia '!A1</f>
        <v>#REF!</v>
      </c>
      <c r="B1" s="40"/>
      <c r="C1" s="38"/>
      <c r="D1" s="105"/>
      <c r="E1" s="38"/>
      <c r="F1" s="38"/>
      <c r="G1" s="38"/>
      <c r="H1" s="38"/>
      <c r="I1" s="38"/>
      <c r="J1" s="38"/>
      <c r="K1" s="38"/>
      <c r="L1" s="38"/>
      <c r="M1" s="38"/>
      <c r="N1" s="38"/>
      <c r="O1" s="38"/>
      <c r="P1" s="38"/>
      <c r="Q1" s="38"/>
      <c r="R1" s="38"/>
      <c r="S1" s="38"/>
      <c r="T1" s="38"/>
      <c r="U1" s="38"/>
      <c r="V1" s="38"/>
      <c r="W1" s="38"/>
      <c r="X1" s="38"/>
      <c r="Y1" s="106"/>
      <c r="Z1" s="38"/>
      <c r="AA1" s="38"/>
      <c r="AB1" s="38"/>
      <c r="AC1" s="38"/>
      <c r="AD1" s="38"/>
      <c r="AE1" s="107"/>
      <c r="AF1" s="108"/>
      <c r="AG1" s="109"/>
      <c r="AH1" s="109"/>
      <c r="AI1" s="107"/>
      <c r="AJ1" s="110"/>
    </row>
    <row r="2" spans="1:36" s="111" customFormat="1" ht="19.5" customHeight="1">
      <c r="A2" s="308" t="str">
        <f>+'11.gia '!A2</f>
        <v>DỰ ÁN ĐẦU TƯ XÂY DỰNG CẦU LONG BÌNH – CHREY THOM</v>
      </c>
      <c r="B2" s="40"/>
      <c r="C2" s="38"/>
      <c r="D2" s="105"/>
      <c r="E2" s="38"/>
      <c r="F2" s="38"/>
      <c r="G2" s="38"/>
      <c r="H2" s="38"/>
      <c r="I2" s="38"/>
      <c r="J2" s="38"/>
      <c r="K2" s="38"/>
      <c r="L2" s="38"/>
      <c r="M2" s="38"/>
      <c r="N2" s="38"/>
      <c r="O2" s="38"/>
      <c r="P2" s="38"/>
      <c r="Q2" s="38"/>
      <c r="R2" s="38"/>
      <c r="S2" s="38"/>
      <c r="T2" s="38"/>
      <c r="U2" s="38"/>
      <c r="V2" s="38"/>
      <c r="W2" s="38"/>
      <c r="X2" s="38"/>
      <c r="Y2" s="106"/>
      <c r="Z2" s="38"/>
      <c r="AA2" s="38"/>
      <c r="AB2" s="38"/>
      <c r="AC2" s="38"/>
      <c r="AD2" s="38"/>
      <c r="AE2" s="107"/>
      <c r="AF2" s="108"/>
      <c r="AG2" s="109"/>
      <c r="AH2" s="109"/>
      <c r="AI2" s="107"/>
      <c r="AJ2" s="110"/>
    </row>
    <row r="3" spans="1:36" s="111" customFormat="1" ht="19.5" customHeight="1">
      <c r="A3" s="309" t="str">
        <f>+'11.gia '!A3</f>
        <v>HẠNG MỤC: PHẦN CẦU, PHẦN TUYẾN, CHIẾU SÁNG (PHÍA BỜ VIỆT NAM)</v>
      </c>
      <c r="B3" s="40"/>
      <c r="C3" s="38"/>
      <c r="D3" s="105"/>
      <c r="E3" s="38"/>
      <c r="F3" s="38"/>
      <c r="G3" s="38"/>
      <c r="H3" s="38"/>
      <c r="I3" s="38"/>
      <c r="J3" s="38"/>
      <c r="K3" s="38"/>
      <c r="L3" s="38"/>
      <c r="M3" s="38"/>
      <c r="N3" s="38"/>
      <c r="O3" s="38"/>
      <c r="P3" s="38"/>
      <c r="Q3" s="38"/>
      <c r="R3" s="38"/>
      <c r="S3" s="38"/>
      <c r="T3" s="38"/>
      <c r="U3" s="38"/>
      <c r="V3" s="38"/>
      <c r="W3" s="38"/>
      <c r="X3" s="38"/>
      <c r="Y3" s="106"/>
      <c r="Z3" s="38"/>
      <c r="AA3" s="38"/>
      <c r="AB3" s="38"/>
      <c r="AC3" s="38"/>
      <c r="AD3" s="38"/>
      <c r="AE3" s="107"/>
      <c r="AF3" s="108"/>
      <c r="AG3" s="109"/>
      <c r="AH3" s="109"/>
      <c r="AI3" s="107"/>
      <c r="AJ3" s="110"/>
    </row>
    <row r="4" spans="1:36" s="111" customFormat="1" ht="19.5" customHeight="1">
      <c r="A4" s="309" t="e">
        <f>+'11.gia '!A4</f>
        <v>#REF!</v>
      </c>
      <c r="B4" s="40"/>
      <c r="C4" s="38"/>
      <c r="D4" s="105"/>
      <c r="E4" s="38"/>
      <c r="F4" s="38"/>
      <c r="G4" s="38"/>
      <c r="H4" s="38"/>
      <c r="I4" s="38"/>
      <c r="J4" s="38"/>
      <c r="K4" s="38"/>
      <c r="L4" s="38"/>
      <c r="M4" s="38"/>
      <c r="N4" s="38"/>
      <c r="O4" s="38"/>
      <c r="P4" s="38"/>
      <c r="Q4" s="38"/>
      <c r="R4" s="38"/>
      <c r="S4" s="38"/>
      <c r="T4" s="38"/>
      <c r="U4" s="38"/>
      <c r="V4" s="38"/>
      <c r="W4" s="38"/>
      <c r="X4" s="38"/>
      <c r="Y4" s="106"/>
      <c r="Z4" s="38"/>
      <c r="AA4" s="38"/>
      <c r="AB4" s="38"/>
      <c r="AC4" s="38"/>
      <c r="AD4" s="38"/>
      <c r="AE4" s="107"/>
      <c r="AF4" s="108"/>
      <c r="AG4" s="109"/>
      <c r="AH4" s="109"/>
      <c r="AI4" s="107"/>
      <c r="AJ4" s="110"/>
    </row>
    <row r="5" spans="1:36" s="111" customFormat="1" ht="19.5" customHeight="1">
      <c r="A5" s="223" t="s">
        <v>262</v>
      </c>
      <c r="B5" s="40"/>
      <c r="C5" s="38"/>
      <c r="D5" s="105"/>
      <c r="E5" s="38"/>
      <c r="F5" s="38"/>
      <c r="G5" s="38"/>
      <c r="H5" s="38"/>
      <c r="I5" s="38"/>
      <c r="J5" s="38"/>
      <c r="K5" s="38"/>
      <c r="L5" s="38"/>
      <c r="M5" s="38"/>
      <c r="N5" s="38"/>
      <c r="O5" s="38"/>
      <c r="P5" s="38"/>
      <c r="Q5" s="38"/>
      <c r="R5" s="38"/>
      <c r="S5" s="38"/>
      <c r="T5" s="38"/>
      <c r="U5" s="38"/>
      <c r="V5" s="38"/>
      <c r="W5" s="38"/>
      <c r="X5" s="38"/>
      <c r="Y5" s="106"/>
      <c r="Z5" s="38"/>
      <c r="AA5" s="38"/>
      <c r="AB5" s="38"/>
      <c r="AC5" s="38"/>
      <c r="AD5" s="38"/>
      <c r="AE5" s="107"/>
      <c r="AF5" s="108"/>
      <c r="AG5" s="109"/>
      <c r="AH5" s="109"/>
      <c r="AI5" s="107"/>
      <c r="AJ5" s="110"/>
    </row>
    <row r="6" spans="1:36" s="111" customFormat="1" ht="19.5" customHeight="1">
      <c r="A6" s="223" t="s">
        <v>5072</v>
      </c>
      <c r="B6" s="40"/>
      <c r="C6" s="38"/>
      <c r="D6" s="105"/>
      <c r="E6" s="38"/>
      <c r="F6" s="38"/>
      <c r="G6" s="38"/>
      <c r="H6" s="38"/>
      <c r="I6" s="38"/>
      <c r="J6" s="38"/>
      <c r="K6" s="38"/>
      <c r="L6" s="38"/>
      <c r="M6" s="38"/>
      <c r="N6" s="38"/>
      <c r="O6" s="38"/>
      <c r="P6" s="38"/>
      <c r="Q6" s="38"/>
      <c r="R6" s="38"/>
      <c r="S6" s="38"/>
      <c r="T6" s="38"/>
      <c r="U6" s="38"/>
      <c r="V6" s="38"/>
      <c r="W6" s="38"/>
      <c r="X6" s="38"/>
      <c r="Y6" s="106"/>
      <c r="Z6" s="38"/>
      <c r="AA6" s="38"/>
      <c r="AB6" s="38"/>
      <c r="AC6" s="38"/>
      <c r="AD6" s="38"/>
      <c r="AE6" s="107"/>
      <c r="AF6" s="108"/>
      <c r="AG6" s="109"/>
      <c r="AH6" s="109"/>
      <c r="AI6" s="107"/>
      <c r="AJ6" s="110"/>
    </row>
    <row r="7" spans="1:36" s="111" customFormat="1" ht="19.5" hidden="1" customHeight="1">
      <c r="A7" s="223"/>
      <c r="B7" s="40"/>
      <c r="C7" s="38"/>
      <c r="D7" s="105"/>
      <c r="E7" s="38"/>
      <c r="F7" s="38"/>
      <c r="G7" s="38"/>
      <c r="H7" s="38"/>
      <c r="I7" s="38"/>
      <c r="J7" s="38"/>
      <c r="K7" s="38"/>
      <c r="L7" s="38"/>
      <c r="M7" s="38"/>
      <c r="N7" s="38"/>
      <c r="O7" s="38"/>
      <c r="P7" s="38"/>
      <c r="Q7" s="38"/>
      <c r="R7" s="38"/>
      <c r="S7" s="38"/>
      <c r="T7" s="38"/>
      <c r="U7" s="38"/>
      <c r="V7" s="38"/>
      <c r="W7" s="38"/>
      <c r="X7" s="38"/>
      <c r="Y7" s="106"/>
      <c r="Z7" s="38"/>
      <c r="AA7" s="38"/>
      <c r="AB7" s="38"/>
      <c r="AC7" s="38"/>
      <c r="AD7" s="38"/>
      <c r="AE7" s="107"/>
      <c r="AF7" s="108"/>
      <c r="AG7" s="109"/>
      <c r="AH7" s="109"/>
      <c r="AI7" s="349" t="s">
        <v>234</v>
      </c>
      <c r="AJ7" s="110"/>
    </row>
    <row r="8" spans="1:36" s="116" customFormat="1" ht="17.25" customHeight="1">
      <c r="A8" s="39"/>
      <c r="B8" s="112"/>
      <c r="C8" s="112"/>
      <c r="D8" s="113"/>
      <c r="E8" s="40"/>
      <c r="F8" s="40"/>
      <c r="G8" s="40"/>
      <c r="H8" s="40"/>
      <c r="I8" s="40"/>
      <c r="J8" s="40"/>
      <c r="K8" s="40"/>
      <c r="L8" s="40"/>
      <c r="M8" s="40"/>
      <c r="N8" s="40"/>
      <c r="O8" s="40"/>
      <c r="P8" s="40"/>
      <c r="Q8" s="40"/>
      <c r="R8" s="40"/>
      <c r="S8" s="40"/>
      <c r="T8" s="40"/>
      <c r="U8" s="40"/>
      <c r="V8" s="40"/>
      <c r="W8" s="40"/>
      <c r="X8" s="40"/>
      <c r="Y8" s="114"/>
      <c r="Z8" s="40"/>
      <c r="AA8" s="40"/>
      <c r="AB8" s="40"/>
      <c r="AC8" s="40"/>
      <c r="AD8" s="40"/>
      <c r="AE8" s="115"/>
      <c r="AF8" s="108"/>
      <c r="AG8" s="108"/>
      <c r="AH8" s="108"/>
      <c r="AI8" s="763" t="s">
        <v>5084</v>
      </c>
      <c r="AJ8" s="41"/>
    </row>
    <row r="9" spans="1:36" s="50" customFormat="1" ht="18.75" customHeight="1">
      <c r="A9" s="117" t="s">
        <v>524</v>
      </c>
      <c r="B9" s="118" t="s">
        <v>453</v>
      </c>
      <c r="C9" s="119" t="s">
        <v>261</v>
      </c>
      <c r="D9" s="120" t="s">
        <v>260</v>
      </c>
      <c r="E9" s="121" t="s">
        <v>259</v>
      </c>
      <c r="F9" s="121" t="s">
        <v>2006</v>
      </c>
      <c r="G9" s="122" t="s">
        <v>5050</v>
      </c>
      <c r="H9" s="123"/>
      <c r="I9" s="120" t="s">
        <v>257</v>
      </c>
      <c r="J9" s="120" t="s">
        <v>258</v>
      </c>
      <c r="K9" s="124" t="s">
        <v>257</v>
      </c>
      <c r="L9" s="121" t="s">
        <v>256</v>
      </c>
      <c r="M9" s="125" t="s">
        <v>454</v>
      </c>
      <c r="N9" s="125"/>
      <c r="O9" s="125"/>
      <c r="P9" s="125"/>
      <c r="Q9" s="125"/>
      <c r="R9" s="125"/>
      <c r="S9" s="125"/>
      <c r="T9" s="125"/>
      <c r="U9" s="125"/>
      <c r="V9" s="125"/>
      <c r="W9" s="125"/>
      <c r="X9" s="125"/>
      <c r="Y9" s="125"/>
      <c r="Z9" s="125"/>
      <c r="AA9" s="126"/>
      <c r="AB9" s="126"/>
      <c r="AC9" s="126"/>
      <c r="AD9" s="126"/>
      <c r="AE9" s="127" t="s">
        <v>255</v>
      </c>
      <c r="AF9" s="128" t="s">
        <v>378</v>
      </c>
      <c r="AG9" s="128" t="s">
        <v>378</v>
      </c>
      <c r="AH9" s="128" t="s">
        <v>192</v>
      </c>
      <c r="AI9" s="127" t="s">
        <v>254</v>
      </c>
      <c r="AJ9" s="129" t="s">
        <v>456</v>
      </c>
    </row>
    <row r="10" spans="1:36" s="50" customFormat="1" ht="18.75" customHeight="1">
      <c r="A10" s="130"/>
      <c r="B10" s="131"/>
      <c r="C10" s="131" t="s">
        <v>253</v>
      </c>
      <c r="D10" s="132" t="s">
        <v>252</v>
      </c>
      <c r="E10" s="130" t="s">
        <v>250</v>
      </c>
      <c r="F10" s="132" t="s">
        <v>251</v>
      </c>
      <c r="G10" s="133"/>
      <c r="H10" s="134"/>
      <c r="I10" s="132" t="s">
        <v>251</v>
      </c>
      <c r="J10" s="132" t="s">
        <v>250</v>
      </c>
      <c r="K10" s="135" t="s">
        <v>249</v>
      </c>
      <c r="L10" s="130" t="s">
        <v>248</v>
      </c>
      <c r="M10" s="1122" t="s">
        <v>5057</v>
      </c>
      <c r="N10" s="1123"/>
      <c r="O10" s="1123"/>
      <c r="P10" s="1123"/>
      <c r="Q10" s="1123"/>
      <c r="R10" s="1123"/>
      <c r="S10" s="1123"/>
      <c r="T10" s="1123"/>
      <c r="U10" s="1123"/>
      <c r="V10" s="1123"/>
      <c r="W10" s="1123"/>
      <c r="X10" s="1123"/>
      <c r="Y10" s="1123"/>
      <c r="Z10" s="1123"/>
      <c r="AA10" s="1124"/>
      <c r="AB10" s="1124"/>
      <c r="AC10" s="1124"/>
      <c r="AD10" s="1125"/>
      <c r="AE10" s="138" t="s">
        <v>247</v>
      </c>
      <c r="AF10" s="139" t="s">
        <v>377</v>
      </c>
      <c r="AG10" s="139" t="s">
        <v>193</v>
      </c>
      <c r="AH10" s="139" t="s">
        <v>3973</v>
      </c>
      <c r="AI10" s="138"/>
      <c r="AJ10" s="140"/>
    </row>
    <row r="11" spans="1:36" s="50" customFormat="1" ht="18.75" customHeight="1">
      <c r="A11" s="130"/>
      <c r="B11" s="130"/>
      <c r="C11" s="131"/>
      <c r="D11" s="1111" t="s">
        <v>246</v>
      </c>
      <c r="E11" s="130" t="s">
        <v>245</v>
      </c>
      <c r="F11" s="132" t="s">
        <v>244</v>
      </c>
      <c r="G11" s="132" t="s">
        <v>376</v>
      </c>
      <c r="H11" s="132" t="s">
        <v>375</v>
      </c>
      <c r="I11" s="132" t="s">
        <v>244</v>
      </c>
      <c r="J11" s="132" t="s">
        <v>243</v>
      </c>
      <c r="K11" s="135" t="s">
        <v>242</v>
      </c>
      <c r="L11" s="130" t="s">
        <v>241</v>
      </c>
      <c r="M11" s="136"/>
      <c r="N11" s="136"/>
      <c r="O11" s="136"/>
      <c r="P11" s="136"/>
      <c r="Q11" s="136"/>
      <c r="R11" s="136"/>
      <c r="S11" s="136"/>
      <c r="T11" s="136"/>
      <c r="U11" s="136"/>
      <c r="V11" s="136"/>
      <c r="W11" s="136"/>
      <c r="X11" s="136"/>
      <c r="Y11" s="137"/>
      <c r="Z11" s="136"/>
      <c r="AA11" s="136"/>
      <c r="AB11" s="136"/>
      <c r="AC11" s="136"/>
      <c r="AD11" s="136"/>
      <c r="AE11" s="138" t="s">
        <v>240</v>
      </c>
      <c r="AF11" s="139"/>
      <c r="AG11" s="139"/>
      <c r="AH11" s="139" t="s">
        <v>3974</v>
      </c>
      <c r="AI11" s="1112"/>
      <c r="AJ11" s="140"/>
    </row>
    <row r="12" spans="1:36" s="1121" customFormat="1" ht="25.5" customHeight="1">
      <c r="A12" s="1113" t="s">
        <v>5009</v>
      </c>
      <c r="B12" s="1113" t="s">
        <v>4916</v>
      </c>
      <c r="C12" s="1114" t="s">
        <v>5002</v>
      </c>
      <c r="D12" s="1115" t="s">
        <v>5048</v>
      </c>
      <c r="E12" s="1116" t="s">
        <v>5058</v>
      </c>
      <c r="F12" s="1116" t="s">
        <v>5049</v>
      </c>
      <c r="G12" s="1117" t="s">
        <v>5051</v>
      </c>
      <c r="H12" s="1117" t="s">
        <v>5052</v>
      </c>
      <c r="I12" s="1115" t="s">
        <v>5053</v>
      </c>
      <c r="J12" s="1117" t="s">
        <v>5054</v>
      </c>
      <c r="K12" s="1115" t="s">
        <v>5055</v>
      </c>
      <c r="L12" s="1113" t="s">
        <v>5056</v>
      </c>
      <c r="M12" s="1118"/>
      <c r="N12" s="1118"/>
      <c r="O12" s="1118"/>
      <c r="P12" s="1118"/>
      <c r="Q12" s="1118"/>
      <c r="R12" s="1118"/>
      <c r="S12" s="1118"/>
      <c r="T12" s="1118"/>
      <c r="U12" s="1118"/>
      <c r="V12" s="1118"/>
      <c r="W12" s="1118"/>
      <c r="X12" s="1118"/>
      <c r="Y12" s="1119"/>
      <c r="Z12" s="1118"/>
      <c r="AA12" s="1118"/>
      <c r="AB12" s="1118"/>
      <c r="AC12" s="1118"/>
      <c r="AD12" s="1118"/>
      <c r="AE12" s="1108" t="s">
        <v>5059</v>
      </c>
      <c r="AF12" s="1108" t="s">
        <v>5060</v>
      </c>
      <c r="AG12" s="1108" t="s">
        <v>5061</v>
      </c>
      <c r="AH12" s="1108" t="s">
        <v>5061</v>
      </c>
      <c r="AI12" s="1108" t="s">
        <v>5045</v>
      </c>
      <c r="AJ12" s="1120"/>
    </row>
    <row r="13" spans="1:36" s="50" customFormat="1" ht="15" hidden="1" customHeight="1">
      <c r="A13" s="42">
        <v>1</v>
      </c>
      <c r="B13" s="42">
        <f>A13+1</f>
        <v>2</v>
      </c>
      <c r="C13" s="43">
        <f>B13+1</f>
        <v>3</v>
      </c>
      <c r="D13" s="44">
        <f t="shared" ref="D13:L13" si="0">C13+1</f>
        <v>4</v>
      </c>
      <c r="E13" s="43">
        <f t="shared" si="0"/>
        <v>5</v>
      </c>
      <c r="F13" s="43"/>
      <c r="G13" s="43">
        <f>E13+1</f>
        <v>6</v>
      </c>
      <c r="H13" s="43">
        <f t="shared" si="0"/>
        <v>7</v>
      </c>
      <c r="I13" s="43">
        <f t="shared" si="0"/>
        <v>8</v>
      </c>
      <c r="J13" s="43">
        <f t="shared" si="0"/>
        <v>9</v>
      </c>
      <c r="K13" s="43">
        <f t="shared" si="0"/>
        <v>10</v>
      </c>
      <c r="L13" s="43">
        <f t="shared" si="0"/>
        <v>11</v>
      </c>
      <c r="M13" s="46"/>
      <c r="N13" s="45"/>
      <c r="O13" s="46"/>
      <c r="P13" s="46"/>
      <c r="Q13" s="46"/>
      <c r="R13" s="46"/>
      <c r="S13" s="46"/>
      <c r="T13" s="46"/>
      <c r="U13" s="46"/>
      <c r="V13" s="46"/>
      <c r="W13" s="46">
        <f>L13+1</f>
        <v>12</v>
      </c>
      <c r="X13" s="46"/>
      <c r="Y13" s="47"/>
      <c r="Z13" s="46"/>
      <c r="AA13" s="46"/>
      <c r="AB13" s="46"/>
      <c r="AC13" s="46"/>
      <c r="AD13" s="43"/>
      <c r="AE13" s="48">
        <f>W13+1</f>
        <v>13</v>
      </c>
      <c r="AF13" s="48">
        <f>AE13+1</f>
        <v>14</v>
      </c>
      <c r="AG13" s="48">
        <f>AF13+1</f>
        <v>15</v>
      </c>
      <c r="AH13" s="48">
        <f>AG13+1</f>
        <v>16</v>
      </c>
      <c r="AI13" s="48">
        <f>AH13+1</f>
        <v>17</v>
      </c>
      <c r="AJ13" s="49">
        <f>AI13+1</f>
        <v>18</v>
      </c>
    </row>
    <row r="14" spans="1:36" ht="15" customHeight="1">
      <c r="A14" s="142" t="s">
        <v>194</v>
      </c>
      <c r="B14" s="143"/>
      <c r="C14" s="144"/>
      <c r="D14" s="145"/>
      <c r="E14" s="51"/>
      <c r="F14" s="144"/>
      <c r="G14" s="52"/>
      <c r="H14" s="52"/>
      <c r="I14" s="51"/>
      <c r="J14" s="53"/>
      <c r="K14" s="144"/>
      <c r="L14" s="144"/>
      <c r="M14" s="1034"/>
      <c r="N14" s="146"/>
      <c r="O14" s="54"/>
      <c r="P14" s="55"/>
      <c r="Q14" s="55"/>
      <c r="R14" s="55"/>
      <c r="S14" s="55"/>
      <c r="T14" s="55"/>
      <c r="U14" s="56"/>
      <c r="V14" s="55"/>
      <c r="W14" s="57"/>
      <c r="X14" s="58"/>
      <c r="Y14" s="57"/>
      <c r="Z14" s="59"/>
      <c r="AA14" s="58"/>
      <c r="AB14" s="58"/>
      <c r="AC14" s="58"/>
      <c r="AD14" s="147"/>
      <c r="AE14" s="148"/>
      <c r="AF14" s="149"/>
      <c r="AG14" s="149"/>
      <c r="AH14" s="149"/>
      <c r="AI14" s="150"/>
      <c r="AJ14" s="151"/>
    </row>
    <row r="15" spans="1:36" s="50" customFormat="1" ht="16.5" hidden="1" customHeight="1">
      <c r="A15" s="175"/>
      <c r="B15" s="153" t="s">
        <v>3650</v>
      </c>
      <c r="C15" s="154"/>
      <c r="D15" s="155"/>
      <c r="E15" s="154"/>
      <c r="F15" s="154"/>
      <c r="G15" s="176"/>
      <c r="H15" s="176"/>
      <c r="I15" s="154"/>
      <c r="J15" s="154"/>
      <c r="K15" s="154"/>
      <c r="L15" s="154"/>
      <c r="M15" s="61"/>
      <c r="N15" s="156"/>
      <c r="O15" s="61"/>
      <c r="P15" s="61"/>
      <c r="Q15" s="61"/>
      <c r="R15" s="61"/>
      <c r="S15" s="61"/>
      <c r="T15" s="61"/>
      <c r="U15" s="61"/>
      <c r="V15" s="61"/>
      <c r="W15" s="61"/>
      <c r="X15" s="61"/>
      <c r="Y15" s="62"/>
      <c r="Z15" s="61"/>
      <c r="AA15" s="61"/>
      <c r="AB15" s="61"/>
      <c r="AC15" s="61"/>
      <c r="AD15" s="154"/>
      <c r="AE15" s="157"/>
      <c r="AF15" s="157"/>
      <c r="AG15" s="157"/>
      <c r="AH15" s="157"/>
      <c r="AI15" s="158"/>
      <c r="AJ15" s="159"/>
    </row>
    <row r="16" spans="1:36" ht="15" hidden="1" customHeight="1">
      <c r="A16" s="160">
        <v>1</v>
      </c>
      <c r="B16" s="72" t="s">
        <v>239</v>
      </c>
      <c r="C16" s="161" t="s">
        <v>545</v>
      </c>
      <c r="D16" s="162">
        <v>1.6</v>
      </c>
      <c r="E16" s="152"/>
      <c r="F16" s="154"/>
      <c r="G16" s="174"/>
      <c r="H16" s="174"/>
      <c r="I16" s="152"/>
      <c r="J16" s="163"/>
      <c r="K16" s="161"/>
      <c r="L16" s="161"/>
      <c r="M16" s="1035"/>
      <c r="N16" s="156"/>
      <c r="O16" s="60"/>
      <c r="P16" s="60"/>
      <c r="Q16" s="60"/>
      <c r="R16" s="60"/>
      <c r="S16" s="60"/>
      <c r="T16" s="60"/>
      <c r="U16" s="60"/>
      <c r="V16" s="60"/>
      <c r="W16" s="61"/>
      <c r="X16" s="61"/>
      <c r="Y16" s="62"/>
      <c r="Z16" s="61"/>
      <c r="AA16" s="61"/>
      <c r="AB16" s="61"/>
      <c r="AC16" s="61"/>
      <c r="AD16" s="154"/>
      <c r="AE16" s="164"/>
      <c r="AF16" s="165"/>
      <c r="AG16" s="166"/>
      <c r="AH16" s="166"/>
      <c r="AI16" s="167">
        <f>SUM(AE16:AH18)*vc</f>
        <v>164588.6261247691</v>
      </c>
      <c r="AJ16" s="168"/>
    </row>
    <row r="17" spans="1:37" ht="15" hidden="1" customHeight="1">
      <c r="A17" s="160" t="str">
        <f>IF(B17="","",MAX($A$15:A15)+1)</f>
        <v/>
      </c>
      <c r="B17" s="72"/>
      <c r="C17" s="161"/>
      <c r="D17" s="169">
        <f>D16</f>
        <v>1.6</v>
      </c>
      <c r="E17" s="63" t="s">
        <v>3560</v>
      </c>
      <c r="F17" s="161" t="s">
        <v>3595</v>
      </c>
      <c r="G17" s="64" t="s">
        <v>2011</v>
      </c>
      <c r="H17" s="64" t="s">
        <v>3589</v>
      </c>
      <c r="I17" s="65">
        <v>4</v>
      </c>
      <c r="J17" s="65">
        <v>9</v>
      </c>
      <c r="K17" s="161">
        <v>2</v>
      </c>
      <c r="L17" s="161">
        <f>IF(E17="Thủy",1,1.15)</f>
        <v>1.1499999999999999</v>
      </c>
      <c r="M17" s="1035"/>
      <c r="N17" s="170" t="str">
        <f>IF(E17="Thủy","(","")</f>
        <v/>
      </c>
      <c r="O17" s="66">
        <f>IF(E17="Thủy",LOOKUP(K17,CVT!A$58:A$60,CVT!B$58:B$60),INDEX(CVT,IF(J17&gt;100,1,MATCH(J17,KM,-1)),I17))</f>
        <v>2970</v>
      </c>
      <c r="P17" s="67" t="str">
        <f>IF(E17="Thủy","+","x")</f>
        <v>x</v>
      </c>
      <c r="Q17" s="67"/>
      <c r="R17" s="67"/>
      <c r="S17" s="67"/>
      <c r="T17" s="67"/>
      <c r="U17" s="68">
        <f>IF(E17="Thủy",LOOKUP(K17,CVT!A$58:A$60,CVT!D$58:D$60),J17)</f>
        <v>9</v>
      </c>
      <c r="V17" s="67" t="s">
        <v>457</v>
      </c>
      <c r="W17" s="69">
        <f>IF(E17="Thủy",IF(J17&lt;30,0,J17-30),D17)</f>
        <v>1.6</v>
      </c>
      <c r="X17" s="70" t="str">
        <f>IF(E17="Thủy",") x","x")</f>
        <v>x</v>
      </c>
      <c r="Y17" s="69">
        <f>IF(E17="Thủy",IF(J17=0,0,D17),1)</f>
        <v>1</v>
      </c>
      <c r="Z17" s="71" t="s">
        <v>457</v>
      </c>
      <c r="AA17" s="70">
        <f>IF(E17="Thủy",IF(I17=1,1,IF(I17=2,1.5,3)),LOOKUP(K17,CVT!B$48:B$51,CVT!C$48:C$51))</f>
        <v>1.1000000000000001</v>
      </c>
      <c r="AB17" s="70" t="s">
        <v>457</v>
      </c>
      <c r="AC17" s="70">
        <f>IF(E17="Thủy",1,L17)</f>
        <v>1.1499999999999999</v>
      </c>
      <c r="AD17" s="171">
        <f>IF(E17="Thủy",1,1)</f>
        <v>1</v>
      </c>
      <c r="AE17" s="172">
        <f>IF(E17="Thủy",(O17+Q17*S17+U17*W17)*Y17*AA17*AC17/AD17,O17*U17*W17*Y17*AA17*AC17/AD17)</f>
        <v>54101.52</v>
      </c>
      <c r="AF17" s="166"/>
      <c r="AG17" s="166"/>
      <c r="AH17" s="165"/>
      <c r="AI17" s="173"/>
      <c r="AJ17" s="177"/>
    </row>
    <row r="18" spans="1:37" ht="15" hidden="1" customHeight="1">
      <c r="A18" s="160" t="str">
        <f>IF(B18="","",MAX($A$15:A16)+1)</f>
        <v/>
      </c>
      <c r="B18" s="72"/>
      <c r="C18" s="161"/>
      <c r="D18" s="169">
        <f>+D16</f>
        <v>1.6</v>
      </c>
      <c r="E18" s="63" t="s">
        <v>236</v>
      </c>
      <c r="F18" s="161" t="s">
        <v>2007</v>
      </c>
      <c r="G18" s="64" t="s">
        <v>2011</v>
      </c>
      <c r="H18" s="64" t="s">
        <v>2005</v>
      </c>
      <c r="I18" s="65">
        <v>1</v>
      </c>
      <c r="J18" s="65">
        <f>(6+27)*1.5+56</f>
        <v>105.5</v>
      </c>
      <c r="K18" s="161">
        <v>2</v>
      </c>
      <c r="L18" s="161">
        <f>IF(E18="Thủy",1,1.15)</f>
        <v>1</v>
      </c>
      <c r="M18" s="1035"/>
      <c r="N18" s="170" t="str">
        <f>IF(E18="Thủy","(","")</f>
        <v>(</v>
      </c>
      <c r="O18" s="66">
        <f>IF(E18="Thủy",LOOKUP(K18,CVT!A$58:A$60,CVT!B$58:B$60),INDEX(CVT,IF(J18&gt;100,1,MATCH(J18,KM,-1)),I18))</f>
        <v>39312</v>
      </c>
      <c r="P18" s="67" t="str">
        <f>IF(E18="Thủy","+","x")</f>
        <v>+</v>
      </c>
      <c r="Q18" s="67"/>
      <c r="R18" s="67"/>
      <c r="S18" s="67"/>
      <c r="T18" s="67"/>
      <c r="U18" s="68">
        <f>IF(E18="Thủy",LOOKUP(K18,CVT!A$58:A$60,CVT!D$58:D$60),#REF!)</f>
        <v>269</v>
      </c>
      <c r="V18" s="67" t="s">
        <v>457</v>
      </c>
      <c r="W18" s="69">
        <f>IF(E18="Thủy",IF(J18&lt;30,0,J18-30),D18)</f>
        <v>75.5</v>
      </c>
      <c r="X18" s="70" t="str">
        <f>IF(E18="Thủy",") x","x")</f>
        <v>) x</v>
      </c>
      <c r="Y18" s="69">
        <f>IF(E18="Thủy",IF(J18=0,0,D18),1)</f>
        <v>1.6</v>
      </c>
      <c r="Z18" s="71" t="s">
        <v>457</v>
      </c>
      <c r="AA18" s="70">
        <f>IF(E18="Thủy",IF(I18=1,1,IF(I18=2,1.5,3)),LOOKUP(K18,CVT!B$48:B$51,CVT!C$48:C$51))</f>
        <v>1</v>
      </c>
      <c r="AB18" s="70" t="s">
        <v>457</v>
      </c>
      <c r="AC18" s="70">
        <f>IF(E18="Thủy",1,L18)</f>
        <v>1</v>
      </c>
      <c r="AD18" s="171">
        <f>IF(E18="Thủy",1,1)</f>
        <v>1</v>
      </c>
      <c r="AE18" s="172">
        <f>IF(E18="Thủy",(O18+Q18*S18+U18*W18)*Y18*AA18*AC18/AD18,O18*U18*W18*Y18*AA18*AC18/AD18)</f>
        <v>95394.400000000009</v>
      </c>
      <c r="AF18" s="166"/>
      <c r="AG18" s="166">
        <f>BX</f>
        <v>15092.706124769091</v>
      </c>
      <c r="AH18" s="165"/>
      <c r="AI18" s="173"/>
      <c r="AJ18" s="177"/>
    </row>
    <row r="19" spans="1:37" ht="15" hidden="1" customHeight="1">
      <c r="A19" s="160">
        <v>2</v>
      </c>
      <c r="B19" s="72" t="s">
        <v>238</v>
      </c>
      <c r="C19" s="161" t="s">
        <v>545</v>
      </c>
      <c r="D19" s="162">
        <v>1.5</v>
      </c>
      <c r="E19" s="152"/>
      <c r="F19" s="154"/>
      <c r="G19" s="174"/>
      <c r="H19" s="174"/>
      <c r="I19" s="152"/>
      <c r="J19" s="163"/>
      <c r="K19" s="161"/>
      <c r="L19" s="161"/>
      <c r="M19" s="1035"/>
      <c r="N19" s="156"/>
      <c r="O19" s="60"/>
      <c r="P19" s="60"/>
      <c r="Q19" s="60"/>
      <c r="R19" s="60"/>
      <c r="S19" s="60"/>
      <c r="T19" s="60"/>
      <c r="U19" s="60"/>
      <c r="V19" s="60"/>
      <c r="W19" s="61"/>
      <c r="X19" s="61"/>
      <c r="Y19" s="62"/>
      <c r="Z19" s="61"/>
      <c r="AA19" s="61"/>
      <c r="AB19" s="61"/>
      <c r="AC19" s="61"/>
      <c r="AD19" s="154"/>
      <c r="AE19" s="164"/>
      <c r="AF19" s="165"/>
      <c r="AG19" s="166"/>
      <c r="AH19" s="166"/>
      <c r="AI19" s="167">
        <f>SUM(AE19:AH21)*vc</f>
        <v>155245.13112476908</v>
      </c>
      <c r="AJ19" s="168"/>
    </row>
    <row r="20" spans="1:37" ht="15" hidden="1" customHeight="1">
      <c r="A20" s="160"/>
      <c r="B20" s="72" t="s">
        <v>237</v>
      </c>
      <c r="C20" s="161"/>
      <c r="D20" s="169">
        <f>D19</f>
        <v>1.5</v>
      </c>
      <c r="E20" s="63" t="s">
        <v>3560</v>
      </c>
      <c r="F20" s="161" t="s">
        <v>3595</v>
      </c>
      <c r="G20" s="64" t="s">
        <v>2011</v>
      </c>
      <c r="H20" s="64" t="s">
        <v>3589</v>
      </c>
      <c r="I20" s="65">
        <v>4</v>
      </c>
      <c r="J20" s="65">
        <v>9</v>
      </c>
      <c r="K20" s="161">
        <v>2</v>
      </c>
      <c r="L20" s="161">
        <f>IF(E20="Thủy",1,1.15)</f>
        <v>1.1499999999999999</v>
      </c>
      <c r="M20" s="1035"/>
      <c r="N20" s="170" t="str">
        <f>IF(E20="Thủy","(","")</f>
        <v/>
      </c>
      <c r="O20" s="66">
        <f>IF(E20="Thủy",LOOKUP(K20,CVT!A$58:A$60,CVT!B$58:B$60),INDEX(CVT,IF(J20&gt;100,1,MATCH(J20,KM,-1)),I20))</f>
        <v>2970</v>
      </c>
      <c r="P20" s="67" t="str">
        <f>IF(E20="Thủy","+","x")</f>
        <v>x</v>
      </c>
      <c r="Q20" s="67"/>
      <c r="R20" s="67"/>
      <c r="S20" s="67"/>
      <c r="T20" s="67"/>
      <c r="U20" s="68">
        <f>IF(E20="Thủy",LOOKUP(K20,CVT!A$58:A$60,CVT!D$58:D$60),J20)</f>
        <v>9</v>
      </c>
      <c r="V20" s="67" t="s">
        <v>457</v>
      </c>
      <c r="W20" s="69">
        <f>IF(E20="Thủy",IF(J20&lt;30,0,J20-30),D20)</f>
        <v>1.5</v>
      </c>
      <c r="X20" s="70" t="str">
        <f>IF(E20="Thủy",") x","x")</f>
        <v>x</v>
      </c>
      <c r="Y20" s="69">
        <f>IF(E20="Thủy",IF(J20=0,0,D20),1)</f>
        <v>1</v>
      </c>
      <c r="Z20" s="71" t="s">
        <v>457</v>
      </c>
      <c r="AA20" s="70">
        <f>IF(E20="Thủy",IF(I20=1,1,IF(I20=2,1.5,3)),LOOKUP(K20,CVT!B$48:B$51,CVT!C$48:C$51))</f>
        <v>1.1000000000000001</v>
      </c>
      <c r="AB20" s="70" t="s">
        <v>457</v>
      </c>
      <c r="AC20" s="70">
        <f>IF(E20="Thủy",1,L20)</f>
        <v>1.1499999999999999</v>
      </c>
      <c r="AD20" s="171">
        <f>IF(E20="Thủy",1,1)</f>
        <v>1</v>
      </c>
      <c r="AE20" s="172">
        <f>IF(E20="Thủy",(O20+Q20*S20+U20*W20)*Y20*AA20*AC20/AD20,O20*U20*W20*Y20*AA20*AC20/AD20)</f>
        <v>50720.174999999996</v>
      </c>
      <c r="AF20" s="166"/>
      <c r="AG20" s="166"/>
      <c r="AH20" s="165"/>
      <c r="AI20" s="173"/>
      <c r="AJ20" s="177"/>
    </row>
    <row r="21" spans="1:37" ht="15" hidden="1" customHeight="1">
      <c r="A21" s="160"/>
      <c r="B21" s="72"/>
      <c r="C21" s="161"/>
      <c r="D21" s="169">
        <f>+D19</f>
        <v>1.5</v>
      </c>
      <c r="E21" s="63" t="s">
        <v>236</v>
      </c>
      <c r="F21" s="161" t="s">
        <v>2007</v>
      </c>
      <c r="G21" s="64" t="s">
        <v>2011</v>
      </c>
      <c r="H21" s="64" t="s">
        <v>2005</v>
      </c>
      <c r="I21" s="65">
        <v>1</v>
      </c>
      <c r="J21" s="65">
        <f>+J18</f>
        <v>105.5</v>
      </c>
      <c r="K21" s="161">
        <v>2</v>
      </c>
      <c r="L21" s="161">
        <f>IF(E21="Thủy",1,1.15)</f>
        <v>1</v>
      </c>
      <c r="M21" s="1035"/>
      <c r="N21" s="170" t="str">
        <f>IF(E21="Thủy","(","")</f>
        <v>(</v>
      </c>
      <c r="O21" s="66">
        <f>IF(E21="Thủy",LOOKUP(K21,CVT!A$58:A$60,CVT!B$58:B$60),INDEX(CVT,IF(J21&gt;100,1,MATCH(J21,KM,-1)),I21))</f>
        <v>39312</v>
      </c>
      <c r="P21" s="67" t="str">
        <f>IF(E21="Thủy","+","x")</f>
        <v>+</v>
      </c>
      <c r="Q21" s="67"/>
      <c r="R21" s="67"/>
      <c r="S21" s="67"/>
      <c r="T21" s="67"/>
      <c r="U21" s="68">
        <f>IF(E21="Thủy",LOOKUP(K21,CVT!A$58:A$60,CVT!D$58:D$60),#REF!)</f>
        <v>269</v>
      </c>
      <c r="V21" s="67" t="s">
        <v>457</v>
      </c>
      <c r="W21" s="69">
        <f>IF(E21="Thủy",IF(J21&lt;30,0,J21-30),D21)</f>
        <v>75.5</v>
      </c>
      <c r="X21" s="70" t="str">
        <f>IF(E21="Thủy",") x","x")</f>
        <v>) x</v>
      </c>
      <c r="Y21" s="69">
        <f>IF(E21="Thủy",IF(J21=0,0,D21),1)</f>
        <v>1.5</v>
      </c>
      <c r="Z21" s="71" t="s">
        <v>457</v>
      </c>
      <c r="AA21" s="70">
        <f>IF(E21="Thủy",IF(I21=1,1,IF(I21=2,1.5,3)),LOOKUP(K21,CVT!B$48:B$51,CVT!C$48:C$51))</f>
        <v>1</v>
      </c>
      <c r="AB21" s="70" t="s">
        <v>457</v>
      </c>
      <c r="AC21" s="70">
        <f>IF(E21="Thủy",1,L21)</f>
        <v>1</v>
      </c>
      <c r="AD21" s="171">
        <f>IF(E21="Thủy",1,1)</f>
        <v>1</v>
      </c>
      <c r="AE21" s="172">
        <f>IF(E21="Thủy",(O21+Q21*S21+U21*W21)*Y21*AA21*AC21/AD21,O21*U21*W21*Y21*AA21*AC21/AD21)</f>
        <v>89432.25</v>
      </c>
      <c r="AF21" s="166"/>
      <c r="AG21" s="166">
        <f>BX</f>
        <v>15092.706124769091</v>
      </c>
      <c r="AH21" s="165"/>
      <c r="AI21" s="173"/>
      <c r="AJ21" s="177"/>
    </row>
    <row r="22" spans="1:37" s="50" customFormat="1" ht="16.5" customHeight="1">
      <c r="A22" s="175"/>
      <c r="B22" s="153" t="s">
        <v>3651</v>
      </c>
      <c r="C22" s="154"/>
      <c r="D22" s="155"/>
      <c r="E22" s="154"/>
      <c r="F22" s="154"/>
      <c r="G22" s="176"/>
      <c r="H22" s="176"/>
      <c r="I22" s="154"/>
      <c r="J22" s="154"/>
      <c r="K22" s="154"/>
      <c r="L22" s="154"/>
      <c r="M22" s="156"/>
      <c r="N22" s="61"/>
      <c r="O22" s="61"/>
      <c r="P22" s="61"/>
      <c r="Q22" s="61"/>
      <c r="R22" s="61"/>
      <c r="S22" s="61"/>
      <c r="T22" s="61"/>
      <c r="U22" s="61"/>
      <c r="V22" s="61"/>
      <c r="W22" s="61"/>
      <c r="X22" s="61"/>
      <c r="Y22" s="62"/>
      <c r="Z22" s="61"/>
      <c r="AA22" s="61"/>
      <c r="AB22" s="61"/>
      <c r="AC22" s="61"/>
      <c r="AD22" s="154"/>
      <c r="AE22" s="157"/>
      <c r="AF22" s="157"/>
      <c r="AG22" s="157"/>
      <c r="AH22" s="157"/>
      <c r="AI22" s="158"/>
      <c r="AJ22" s="159"/>
    </row>
    <row r="23" spans="1:37" ht="15" customHeight="1">
      <c r="A23" s="160">
        <v>1</v>
      </c>
      <c r="B23" s="72" t="s">
        <v>239</v>
      </c>
      <c r="C23" s="161" t="s">
        <v>545</v>
      </c>
      <c r="D23" s="162">
        <v>1.6</v>
      </c>
      <c r="E23" s="152"/>
      <c r="F23" s="154"/>
      <c r="G23" s="174"/>
      <c r="H23" s="174"/>
      <c r="I23" s="152"/>
      <c r="J23" s="163"/>
      <c r="K23" s="161"/>
      <c r="L23" s="161"/>
      <c r="M23" s="1037"/>
      <c r="N23" s="61"/>
      <c r="O23" s="60"/>
      <c r="P23" s="60"/>
      <c r="Q23" s="60"/>
      <c r="R23" s="60"/>
      <c r="S23" s="60"/>
      <c r="T23" s="60"/>
      <c r="U23" s="60"/>
      <c r="V23" s="60"/>
      <c r="W23" s="61"/>
      <c r="X23" s="61"/>
      <c r="Y23" s="62"/>
      <c r="Z23" s="61"/>
      <c r="AA23" s="61"/>
      <c r="AB23" s="61"/>
      <c r="AC23" s="61"/>
      <c r="AD23" s="154"/>
      <c r="AE23" s="164"/>
      <c r="AF23" s="165"/>
      <c r="AG23" s="166"/>
      <c r="AH23" s="166"/>
      <c r="AI23" s="167">
        <f>SUM(AE23:AH25)*vc</f>
        <v>162185.41224953817</v>
      </c>
      <c r="AJ23" s="168"/>
    </row>
    <row r="24" spans="1:37" ht="15" customHeight="1">
      <c r="A24" s="160"/>
      <c r="B24" s="72" t="s">
        <v>4247</v>
      </c>
      <c r="C24" s="161"/>
      <c r="D24" s="169">
        <f>+D23</f>
        <v>1.6</v>
      </c>
      <c r="E24" s="63" t="s">
        <v>236</v>
      </c>
      <c r="F24" s="161" t="s">
        <v>2007</v>
      </c>
      <c r="G24" s="64" t="s">
        <v>5071</v>
      </c>
      <c r="H24" s="64" t="s">
        <v>3589</v>
      </c>
      <c r="I24" s="65">
        <v>1</v>
      </c>
      <c r="J24" s="977">
        <f>(2+19+14.5)*1.5+41</f>
        <v>94.25</v>
      </c>
      <c r="K24" s="161">
        <v>2</v>
      </c>
      <c r="L24" s="161">
        <f>IF(E24="Thủy",1,1.15)</f>
        <v>1</v>
      </c>
      <c r="M24" s="1035"/>
      <c r="N24" s="170" t="str">
        <f>IF(E24="Thủy","(","")</f>
        <v>(</v>
      </c>
      <c r="O24" s="66">
        <f>IF(E24="Thủy",LOOKUP(K24,CVT!A$58:A$60,CVT!B$58:B$60),INDEX(CVT,IF(J24&gt;100,1,MATCH(J24,KM,-1)),I24))</f>
        <v>39312</v>
      </c>
      <c r="P24" s="67" t="str">
        <f>IF(E24="Thủy","+","x")</f>
        <v>+</v>
      </c>
      <c r="Q24" s="67"/>
      <c r="R24" s="67"/>
      <c r="S24" s="67"/>
      <c r="T24" s="67"/>
      <c r="U24" s="68">
        <f>IF(E24="Thủy",LOOKUP(K24,CVT!A$58:A$60,CVT!D$58:D$60),#REF!)</f>
        <v>269</v>
      </c>
      <c r="V24" s="67" t="s">
        <v>457</v>
      </c>
      <c r="W24" s="978">
        <f>IF(E24="Thủy",IF(J24&lt;30,0,J24-30),D24)</f>
        <v>64.25</v>
      </c>
      <c r="X24" s="70" t="str">
        <f>IF(E24="Thủy",") x","x")</f>
        <v>) x</v>
      </c>
      <c r="Y24" s="69">
        <f>IF(E24="Thủy",IF(J24=0,0,D24),1)</f>
        <v>1.6</v>
      </c>
      <c r="Z24" s="71" t="s">
        <v>457</v>
      </c>
      <c r="AA24" s="70">
        <f>IF(E24="Thủy",IF(I24=1,1,IF(I24=2,1.5,3)),LOOKUP(K24,CVT!B$48:B$51,CVT!C$48:C$51))</f>
        <v>1</v>
      </c>
      <c r="AB24" s="70" t="s">
        <v>457</v>
      </c>
      <c r="AC24" s="70">
        <f>IF(E24="Thủy",1,L24)</f>
        <v>1</v>
      </c>
      <c r="AD24" s="171">
        <f>IF(E24="Thủy",1,1)</f>
        <v>1</v>
      </c>
      <c r="AE24" s="172">
        <v>95000</v>
      </c>
      <c r="AF24" s="166">
        <f>BX</f>
        <v>15092.706124769091</v>
      </c>
      <c r="AG24" s="166">
        <f>BX</f>
        <v>15092.706124769091</v>
      </c>
      <c r="AH24" s="165"/>
      <c r="AI24" s="173"/>
      <c r="AJ24" s="177"/>
    </row>
    <row r="25" spans="1:37" ht="15" customHeight="1">
      <c r="A25" s="160" t="str">
        <f>IF(B25="","",MAX($A$15:A24)+1)</f>
        <v/>
      </c>
      <c r="B25" s="72"/>
      <c r="C25" s="161"/>
      <c r="D25" s="169">
        <f>+D24</f>
        <v>1.6</v>
      </c>
      <c r="E25" s="63" t="s">
        <v>3560</v>
      </c>
      <c r="F25" s="161" t="s">
        <v>3561</v>
      </c>
      <c r="G25" s="64" t="s">
        <v>3589</v>
      </c>
      <c r="H25" s="64" t="s">
        <v>2005</v>
      </c>
      <c r="I25" s="65">
        <v>5</v>
      </c>
      <c r="J25" s="1003">
        <v>1.5</v>
      </c>
      <c r="K25" s="161">
        <v>2</v>
      </c>
      <c r="L25" s="161">
        <f>IF(E25="Thủy",1,1.15)</f>
        <v>1.1499999999999999</v>
      </c>
      <c r="M25" s="1035"/>
      <c r="N25" s="170" t="str">
        <f>IF(E25="Thủy","(","")</f>
        <v/>
      </c>
      <c r="O25" s="66">
        <f>IF(E25="Thủy",LOOKUP(K25,CVT!A$58:A$60,CVT!B$58:B$60),INDEX(CVT,IF(J25&gt;100,1,MATCH(J25,KM,-1)),I25))</f>
        <v>10916</v>
      </c>
      <c r="P25" s="67" t="str">
        <f>IF(E25="Thủy","+","x")</f>
        <v>x</v>
      </c>
      <c r="Q25" s="67"/>
      <c r="R25" s="67"/>
      <c r="S25" s="67"/>
      <c r="T25" s="67"/>
      <c r="U25" s="68">
        <f>IF(E25="Thủy",LOOKUP(K25,CVT!A$58:A$60,CVT!D$58:D$60),J25)</f>
        <v>1.5</v>
      </c>
      <c r="V25" s="67" t="s">
        <v>457</v>
      </c>
      <c r="W25" s="69">
        <f>IF(E25="Thủy",IF(J25&lt;30,0,J25-30),D25)</f>
        <v>1.6</v>
      </c>
      <c r="X25" s="70" t="str">
        <f>IF(E25="Thủy",") x","x")</f>
        <v>x</v>
      </c>
      <c r="Y25" s="69">
        <f>IF(E25="Thủy",IF(J25=0,0,D25),1)</f>
        <v>1</v>
      </c>
      <c r="Z25" s="71" t="s">
        <v>457</v>
      </c>
      <c r="AA25" s="70">
        <f>IF(E25="Thủy",IF(I25=1,1,IF(I25=2,1.5,3)),LOOKUP(K25,CVT!B$48:B$51,CVT!C$48:C$51))</f>
        <v>1.1000000000000001</v>
      </c>
      <c r="AB25" s="70" t="s">
        <v>457</v>
      </c>
      <c r="AC25" s="70">
        <f>IF(E25="Thủy",1,L25)</f>
        <v>1.1499999999999999</v>
      </c>
      <c r="AD25" s="171">
        <f>IF(E25="Thủy",1,1)</f>
        <v>1</v>
      </c>
      <c r="AE25" s="172">
        <v>37000</v>
      </c>
      <c r="AF25" s="166"/>
      <c r="AG25" s="166"/>
      <c r="AH25" s="165"/>
      <c r="AI25" s="173"/>
      <c r="AJ25" s="177"/>
    </row>
    <row r="26" spans="1:37" ht="15" customHeight="1">
      <c r="A26" s="160">
        <v>2</v>
      </c>
      <c r="B26" s="72" t="s">
        <v>5062</v>
      </c>
      <c r="C26" s="161" t="s">
        <v>545</v>
      </c>
      <c r="D26" s="162">
        <v>1.5</v>
      </c>
      <c r="E26" s="152"/>
      <c r="F26" s="154"/>
      <c r="G26" s="174"/>
      <c r="H26" s="174"/>
      <c r="I26" s="152"/>
      <c r="J26" s="985"/>
      <c r="K26" s="161"/>
      <c r="L26" s="161"/>
      <c r="M26" s="1037"/>
      <c r="N26" s="61"/>
      <c r="O26" s="60"/>
      <c r="P26" s="60"/>
      <c r="Q26" s="60"/>
      <c r="R26" s="60"/>
      <c r="S26" s="60"/>
      <c r="T26" s="60"/>
      <c r="U26" s="60"/>
      <c r="V26" s="60"/>
      <c r="W26" s="986"/>
      <c r="X26" s="61"/>
      <c r="Y26" s="62"/>
      <c r="Z26" s="61"/>
      <c r="AA26" s="61"/>
      <c r="AB26" s="61"/>
      <c r="AC26" s="61"/>
      <c r="AD26" s="154"/>
      <c r="AE26" s="164"/>
      <c r="AF26" s="165"/>
      <c r="AG26" s="166"/>
      <c r="AH26" s="166"/>
      <c r="AI26" s="167">
        <f>SUM(AE26:AH28)*vc</f>
        <v>146147.95224953818</v>
      </c>
      <c r="AJ26" s="168"/>
    </row>
    <row r="27" spans="1:37" ht="15" customHeight="1">
      <c r="A27" s="160"/>
      <c r="B27" s="72" t="s">
        <v>5063</v>
      </c>
      <c r="C27" s="161"/>
      <c r="D27" s="169">
        <f>+D26</f>
        <v>1.5</v>
      </c>
      <c r="E27" s="63" t="s">
        <v>236</v>
      </c>
      <c r="F27" s="161" t="s">
        <v>2007</v>
      </c>
      <c r="G27" s="64" t="s">
        <v>5071</v>
      </c>
      <c r="H27" s="64" t="s">
        <v>3589</v>
      </c>
      <c r="I27" s="65">
        <v>1</v>
      </c>
      <c r="J27" s="977">
        <f>+J24</f>
        <v>94.25</v>
      </c>
      <c r="K27" s="161">
        <v>2</v>
      </c>
      <c r="L27" s="161">
        <f>IF(E27="Thủy",1,1.15)</f>
        <v>1</v>
      </c>
      <c r="M27" s="1035"/>
      <c r="N27" s="170" t="str">
        <f>IF(E27="Thủy","(","")</f>
        <v>(</v>
      </c>
      <c r="O27" s="66">
        <f>IF(E27="Thủy",LOOKUP(K27,CVT!A$58:A$60,CVT!B$58:B$60),INDEX(CVT,IF(J27&gt;100,1,MATCH(J27,KM,-1)),I27))</f>
        <v>39312</v>
      </c>
      <c r="P27" s="67" t="str">
        <f>IF(E27="Thủy","+","x")</f>
        <v>+</v>
      </c>
      <c r="Q27" s="67"/>
      <c r="R27" s="67"/>
      <c r="S27" s="67"/>
      <c r="T27" s="67"/>
      <c r="U27" s="68">
        <f>IF(E27="Thủy",LOOKUP(K27,CVT!A$58:A$60,CVT!D$58:D$60),#REF!)</f>
        <v>269</v>
      </c>
      <c r="V27" s="67" t="s">
        <v>457</v>
      </c>
      <c r="W27" s="978">
        <f>IF(E27="Thủy",IF(J27&lt;30,0,J27-30),D27)</f>
        <v>64.25</v>
      </c>
      <c r="X27" s="70" t="str">
        <f>IF(E27="Thủy",") x","x")</f>
        <v>) x</v>
      </c>
      <c r="Y27" s="69">
        <f>IF(E27="Thủy",IF(J27=0,0,D27),1)</f>
        <v>1.5</v>
      </c>
      <c r="Z27" s="71" t="s">
        <v>457</v>
      </c>
      <c r="AA27" s="70">
        <f>IF(E27="Thủy",IF(I27=1,1,IF(I27=2,1.5,3)),LOOKUP(K27,CVT!B$48:B$51,CVT!C$48:C$51))</f>
        <v>1</v>
      </c>
      <c r="AB27" s="70" t="s">
        <v>457</v>
      </c>
      <c r="AC27" s="70">
        <f>IF(E27="Thủy",1,L27)</f>
        <v>1</v>
      </c>
      <c r="AD27" s="171">
        <f>IF(E27="Thủy",1,1)</f>
        <v>1</v>
      </c>
      <c r="AE27" s="172">
        <f>IF(E27="Thủy",(O27+Q27*S27+U27*W27)*Y27*AA27*AC27/AD27,O27*U27*W27*Y27*AA27*AC27/AD27)</f>
        <v>84892.875</v>
      </c>
      <c r="AF27" s="166">
        <f>AG27</f>
        <v>15092.706124769091</v>
      </c>
      <c r="AG27" s="166">
        <f>BX</f>
        <v>15092.706124769091</v>
      </c>
      <c r="AH27" s="165"/>
      <c r="AI27" s="173"/>
      <c r="AJ27" s="177"/>
    </row>
    <row r="28" spans="1:37" ht="15" customHeight="1">
      <c r="A28" s="160" t="str">
        <f>IF(B28="","",MAX($A$15:A27)+1)</f>
        <v/>
      </c>
      <c r="B28" s="72"/>
      <c r="C28" s="161"/>
      <c r="D28" s="169">
        <f>+D27</f>
        <v>1.5</v>
      </c>
      <c r="E28" s="63" t="s">
        <v>3560</v>
      </c>
      <c r="F28" s="161" t="s">
        <v>3561</v>
      </c>
      <c r="G28" s="64" t="s">
        <v>3589</v>
      </c>
      <c r="H28" s="64" t="s">
        <v>2005</v>
      </c>
      <c r="I28" s="65">
        <v>5</v>
      </c>
      <c r="J28" s="1003">
        <v>1.5</v>
      </c>
      <c r="K28" s="161">
        <v>2</v>
      </c>
      <c r="L28" s="161">
        <f>IF(E28="Thủy",1,1.15)</f>
        <v>1.1499999999999999</v>
      </c>
      <c r="M28" s="1035"/>
      <c r="N28" s="170" t="str">
        <f>IF(E28="Thủy","(","")</f>
        <v/>
      </c>
      <c r="O28" s="66">
        <f>IF(E28="Thủy",LOOKUP(K28,CVT!A$58:A$60,CVT!B$58:B$60),INDEX(CVT,IF(J28&gt;100,1,MATCH(J28,KM,-1)),I28))</f>
        <v>10916</v>
      </c>
      <c r="P28" s="67" t="str">
        <f>IF(E28="Thủy","+","x")</f>
        <v>x</v>
      </c>
      <c r="Q28" s="67"/>
      <c r="R28" s="67"/>
      <c r="S28" s="67"/>
      <c r="T28" s="67"/>
      <c r="U28" s="68">
        <f>IF(E28="Thủy",LOOKUP(K28,CVT!A$58:A$60,CVT!D$58:D$60),J28)</f>
        <v>1.5</v>
      </c>
      <c r="V28" s="67" t="s">
        <v>457</v>
      </c>
      <c r="W28" s="69">
        <f>IF(E28="Thủy",IF(J28&lt;30,0,J28-30),D28)</f>
        <v>1.5</v>
      </c>
      <c r="X28" s="70" t="str">
        <f>IF(E28="Thủy",") x","x")</f>
        <v>x</v>
      </c>
      <c r="Y28" s="69">
        <f>IF(E28="Thủy",IF(J28=0,0,D28),1)</f>
        <v>1</v>
      </c>
      <c r="Z28" s="71" t="s">
        <v>457</v>
      </c>
      <c r="AA28" s="70">
        <f>IF(E28="Thủy",IF(I28=1,1,IF(I28=2,1.5,3)),LOOKUP(K28,CVT!B$48:B$51,CVT!C$48:C$51))</f>
        <v>1.1000000000000001</v>
      </c>
      <c r="AB28" s="70" t="s">
        <v>457</v>
      </c>
      <c r="AC28" s="70">
        <f>IF(E28="Thủy",1,L28)</f>
        <v>1.1499999999999999</v>
      </c>
      <c r="AD28" s="171">
        <f>IF(E28="Thủy",1,1)</f>
        <v>1</v>
      </c>
      <c r="AE28" s="172">
        <f>IF(E28="Thủy",(O28+Q28*S28+U28*W28)*Y28*AA28*AC28/AD28,O28*U28*W28*Y28*AA28*AC28/AD28)</f>
        <v>31069.665000000001</v>
      </c>
      <c r="AF28" s="166"/>
      <c r="AG28" s="166"/>
      <c r="AH28" s="165"/>
      <c r="AI28" s="173"/>
      <c r="AJ28" s="177"/>
    </row>
    <row r="29" spans="1:37" s="50" customFormat="1" ht="16.5" customHeight="1">
      <c r="A29" s="175"/>
      <c r="B29" s="153" t="s">
        <v>3894</v>
      </c>
      <c r="C29" s="154"/>
      <c r="D29" s="155"/>
      <c r="E29" s="154"/>
      <c r="F29" s="154"/>
      <c r="G29" s="176"/>
      <c r="H29" s="176"/>
      <c r="I29" s="154"/>
      <c r="J29" s="154"/>
      <c r="K29" s="154"/>
      <c r="L29" s="154"/>
      <c r="M29" s="1037"/>
      <c r="N29" s="61"/>
      <c r="O29" s="61"/>
      <c r="P29" s="61"/>
      <c r="Q29" s="61"/>
      <c r="R29" s="61"/>
      <c r="S29" s="61"/>
      <c r="T29" s="61"/>
      <c r="U29" s="61"/>
      <c r="V29" s="61"/>
      <c r="W29" s="61"/>
      <c r="X29" s="61"/>
      <c r="Y29" s="62"/>
      <c r="Z29" s="61"/>
      <c r="AA29" s="61"/>
      <c r="AB29" s="61"/>
      <c r="AC29" s="61"/>
      <c r="AD29" s="154"/>
      <c r="AE29" s="157"/>
      <c r="AF29" s="157"/>
      <c r="AG29" s="157"/>
      <c r="AH29" s="157"/>
      <c r="AI29" s="158"/>
      <c r="AJ29" s="159"/>
    </row>
    <row r="30" spans="1:37" ht="15" customHeight="1">
      <c r="A30" s="160">
        <v>1</v>
      </c>
      <c r="B30" s="72" t="s">
        <v>239</v>
      </c>
      <c r="C30" s="161" t="s">
        <v>545</v>
      </c>
      <c r="D30" s="162">
        <v>1.6</v>
      </c>
      <c r="E30" s="152"/>
      <c r="F30" s="154"/>
      <c r="G30" s="174"/>
      <c r="H30" s="174"/>
      <c r="I30" s="152"/>
      <c r="J30" s="163"/>
      <c r="K30" s="161"/>
      <c r="L30" s="161"/>
      <c r="M30" s="1037"/>
      <c r="N30" s="61"/>
      <c r="O30" s="60"/>
      <c r="P30" s="60"/>
      <c r="Q30" s="60"/>
      <c r="R30" s="60"/>
      <c r="S30" s="60"/>
      <c r="T30" s="60"/>
      <c r="U30" s="60"/>
      <c r="V30" s="60"/>
      <c r="W30" s="61"/>
      <c r="X30" s="61"/>
      <c r="Y30" s="62"/>
      <c r="Z30" s="61"/>
      <c r="AA30" s="61"/>
      <c r="AB30" s="61"/>
      <c r="AC30" s="61"/>
      <c r="AD30" s="154"/>
      <c r="AE30" s="164"/>
      <c r="AF30" s="165"/>
      <c r="AG30" s="166"/>
      <c r="AH30" s="166"/>
      <c r="AI30" s="167">
        <f>SUM(AE30:AH32)*vc</f>
        <v>159366.38824953817</v>
      </c>
      <c r="AJ30" s="168"/>
      <c r="AK30" s="314"/>
    </row>
    <row r="31" spans="1:37" ht="15" customHeight="1">
      <c r="A31" s="160"/>
      <c r="B31" s="72" t="s">
        <v>4247</v>
      </c>
      <c r="C31" s="161"/>
      <c r="D31" s="169">
        <f>+D30</f>
        <v>1.6</v>
      </c>
      <c r="E31" s="63" t="s">
        <v>236</v>
      </c>
      <c r="F31" s="161" t="s">
        <v>2007</v>
      </c>
      <c r="G31" s="64" t="s">
        <v>5071</v>
      </c>
      <c r="H31" s="64" t="s">
        <v>3589</v>
      </c>
      <c r="I31" s="65">
        <v>1</v>
      </c>
      <c r="J31" s="65">
        <f>(7+27)*1.5+21+35</f>
        <v>107</v>
      </c>
      <c r="K31" s="161">
        <v>2</v>
      </c>
      <c r="L31" s="161">
        <f>IF(E31="Thủy",1,1.15)</f>
        <v>1</v>
      </c>
      <c r="M31" s="1035"/>
      <c r="N31" s="170" t="str">
        <f>IF(E31="Thủy","(","")</f>
        <v>(</v>
      </c>
      <c r="O31" s="66">
        <f>IF(E31="Thủy",LOOKUP(K31,CVT!A$58:A$60,CVT!B$58:B$60),INDEX(CVT,IF(J31&gt;100,1,MATCH(J31,KM,-1)),I31))</f>
        <v>39312</v>
      </c>
      <c r="P31" s="67" t="str">
        <f>IF(E31="Thủy","+","x")</f>
        <v>+</v>
      </c>
      <c r="Q31" s="67"/>
      <c r="R31" s="67"/>
      <c r="S31" s="67"/>
      <c r="T31" s="67"/>
      <c r="U31" s="68">
        <f>IF(E31="Thủy",LOOKUP(K31,CVT!A$58:A$60,CVT!D$58:D$60),#REF!)</f>
        <v>269</v>
      </c>
      <c r="V31" s="67" t="s">
        <v>457</v>
      </c>
      <c r="W31" s="69">
        <f>IF(E31="Thủy",IF(J31&lt;30,0,J31-30),D31)</f>
        <v>77</v>
      </c>
      <c r="X31" s="70" t="str">
        <f>IF(E31="Thủy",") x","x")</f>
        <v>) x</v>
      </c>
      <c r="Y31" s="69">
        <f>IF(E31="Thủy",IF(J31=0,0,D31),1)</f>
        <v>1.6</v>
      </c>
      <c r="Z31" s="71" t="s">
        <v>457</v>
      </c>
      <c r="AA31" s="70">
        <f>IF(E31="Thủy",IF(I31=1,1,IF(I31=2,1.5,3)),LOOKUP(K31,CVT!B$48:B$51,CVT!C$48:C$51))</f>
        <v>1</v>
      </c>
      <c r="AB31" s="70" t="s">
        <v>457</v>
      </c>
      <c r="AC31" s="70">
        <f>IF(E31="Thủy",1,L31)</f>
        <v>1</v>
      </c>
      <c r="AD31" s="171">
        <f>IF(E31="Thủy",1,1)</f>
        <v>1</v>
      </c>
      <c r="AE31" s="172">
        <f>IF(E31="Thủy",(O31+Q31*S31+U31*W31)*Y31*AA31*AC31/AD31,O31*U31*W31*Y31*AA31*AC31/AD31)</f>
        <v>96040</v>
      </c>
      <c r="AF31" s="166">
        <f>AG31</f>
        <v>15092.706124769091</v>
      </c>
      <c r="AG31" s="166">
        <f>BX</f>
        <v>15092.706124769091</v>
      </c>
      <c r="AH31" s="165"/>
      <c r="AI31" s="173"/>
      <c r="AJ31" s="177"/>
    </row>
    <row r="32" spans="1:37" ht="15" customHeight="1">
      <c r="A32" s="160" t="str">
        <f>IF(B32="","",MAX($A$15:A31)+1)</f>
        <v/>
      </c>
      <c r="B32" s="72"/>
      <c r="C32" s="161"/>
      <c r="D32" s="169">
        <f>+D31</f>
        <v>1.6</v>
      </c>
      <c r="E32" s="63" t="s">
        <v>3560</v>
      </c>
      <c r="F32" s="161" t="s">
        <v>3561</v>
      </c>
      <c r="G32" s="64" t="s">
        <v>3589</v>
      </c>
      <c r="H32" s="64" t="s">
        <v>2005</v>
      </c>
      <c r="I32" s="65">
        <v>5</v>
      </c>
      <c r="J32" s="1003">
        <v>1.5</v>
      </c>
      <c r="K32" s="161">
        <v>2</v>
      </c>
      <c r="L32" s="161">
        <f>IF(E32="Thủy",1,1.15)</f>
        <v>1.1499999999999999</v>
      </c>
      <c r="M32" s="1035"/>
      <c r="N32" s="170" t="str">
        <f>IF(E32="Thủy","(","")</f>
        <v/>
      </c>
      <c r="O32" s="66">
        <f>IF(E32="Thủy",LOOKUP(K32,CVT!A$58:A$60,CVT!B$58:B$60),INDEX(CVT,IF(J32&gt;100,1,MATCH(J32,KM,-1)),I32))</f>
        <v>10916</v>
      </c>
      <c r="P32" s="67" t="str">
        <f>IF(E32="Thủy","+","x")</f>
        <v>x</v>
      </c>
      <c r="Q32" s="67"/>
      <c r="R32" s="67"/>
      <c r="S32" s="67"/>
      <c r="T32" s="67"/>
      <c r="U32" s="68">
        <f>IF(E32="Thủy",LOOKUP(K32,CVT!A$58:A$60,CVT!D$58:D$60),J32)</f>
        <v>1.5</v>
      </c>
      <c r="V32" s="67" t="s">
        <v>457</v>
      </c>
      <c r="W32" s="69">
        <f>IF(E32="Thủy",IF(J32&lt;30,0,J32-30),D32)</f>
        <v>1.6</v>
      </c>
      <c r="X32" s="70" t="str">
        <f>IF(E32="Thủy",") x","x")</f>
        <v>x</v>
      </c>
      <c r="Y32" s="69">
        <f>IF(E32="Thủy",IF(J32=0,0,D32),1)</f>
        <v>1</v>
      </c>
      <c r="Z32" s="71" t="s">
        <v>457</v>
      </c>
      <c r="AA32" s="70">
        <f>IF(E32="Thủy",IF(I32=1,1,IF(I32=2,1.5,3)),LOOKUP(K32,CVT!B$48:B$51,CVT!C$48:C$51))</f>
        <v>1.1000000000000001</v>
      </c>
      <c r="AB32" s="70" t="s">
        <v>457</v>
      </c>
      <c r="AC32" s="70">
        <f>IF(E32="Thủy",1,L32)</f>
        <v>1.1499999999999999</v>
      </c>
      <c r="AD32" s="171">
        <f>IF(E32="Thủy",1,1)</f>
        <v>1</v>
      </c>
      <c r="AE32" s="172">
        <f>IF(E32="Thủy",(O32+Q32*S32+U32*W32)*Y32*AA32*AC32/AD32,O32*U32*W32*Y32*AA32*AC32/AD32)</f>
        <v>33140.976000000002</v>
      </c>
      <c r="AF32" s="166"/>
      <c r="AG32" s="166"/>
      <c r="AH32" s="165"/>
      <c r="AI32" s="173"/>
      <c r="AJ32" s="177"/>
    </row>
    <row r="33" spans="1:36" ht="15" customHeight="1">
      <c r="A33" s="160">
        <v>2</v>
      </c>
      <c r="B33" s="72" t="s">
        <v>5062</v>
      </c>
      <c r="C33" s="161" t="s">
        <v>545</v>
      </c>
      <c r="D33" s="162">
        <v>1.5</v>
      </c>
      <c r="E33" s="152"/>
      <c r="F33" s="154"/>
      <c r="G33" s="174"/>
      <c r="H33" s="174"/>
      <c r="I33" s="152"/>
      <c r="J33" s="163"/>
      <c r="K33" s="161"/>
      <c r="L33" s="161"/>
      <c r="M33" s="1037"/>
      <c r="N33" s="61"/>
      <c r="O33" s="60"/>
      <c r="P33" s="60"/>
      <c r="Q33" s="60"/>
      <c r="R33" s="60"/>
      <c r="S33" s="60"/>
      <c r="T33" s="60"/>
      <c r="U33" s="60"/>
      <c r="V33" s="60"/>
      <c r="W33" s="61"/>
      <c r="X33" s="61"/>
      <c r="Y33" s="62"/>
      <c r="Z33" s="61"/>
      <c r="AA33" s="61"/>
      <c r="AB33" s="61"/>
      <c r="AC33" s="61"/>
      <c r="AD33" s="154"/>
      <c r="AE33" s="164"/>
      <c r="AF33" s="165"/>
      <c r="AG33" s="166"/>
      <c r="AH33" s="166"/>
      <c r="AI33" s="167">
        <f>SUM(AE33:AH35)*vc</f>
        <v>151292.57724953818</v>
      </c>
      <c r="AJ33" s="168"/>
    </row>
    <row r="34" spans="1:36" ht="15" customHeight="1">
      <c r="A34" s="160"/>
      <c r="B34" s="72" t="s">
        <v>5063</v>
      </c>
      <c r="C34" s="161"/>
      <c r="D34" s="169">
        <f>+D33</f>
        <v>1.5</v>
      </c>
      <c r="E34" s="63" t="s">
        <v>236</v>
      </c>
      <c r="F34" s="161" t="s">
        <v>2007</v>
      </c>
      <c r="G34" s="64" t="s">
        <v>5071</v>
      </c>
      <c r="H34" s="64" t="s">
        <v>3589</v>
      </c>
      <c r="I34" s="65">
        <v>1</v>
      </c>
      <c r="J34" s="65">
        <f>(7+27)*1.5+21+35</f>
        <v>107</v>
      </c>
      <c r="K34" s="161">
        <v>2</v>
      </c>
      <c r="L34" s="161">
        <f>IF(E34="Thủy",1,1.15)</f>
        <v>1</v>
      </c>
      <c r="M34" s="1037"/>
      <c r="N34" s="170" t="str">
        <f>IF(E34="Thủy","(","")</f>
        <v>(</v>
      </c>
      <c r="O34" s="66">
        <f>IF(E34="Thủy",LOOKUP(K34,CVT!A$58:A$60,CVT!B$58:B$60),INDEX(CVT,IF(J34&gt;100,1,MATCH(J34,KM,-1)),I34))</f>
        <v>39312</v>
      </c>
      <c r="P34" s="67" t="str">
        <f>IF(E34="Thủy","+","x")</f>
        <v>+</v>
      </c>
      <c r="Q34" s="67"/>
      <c r="R34" s="67"/>
      <c r="S34" s="67"/>
      <c r="T34" s="67"/>
      <c r="U34" s="68">
        <f>IF(E34="Thủy",LOOKUP(K34,CVT!A$58:A$60,CVT!D$58:D$60),#REF!)</f>
        <v>269</v>
      </c>
      <c r="V34" s="67" t="s">
        <v>457</v>
      </c>
      <c r="W34" s="69">
        <f>IF(E34="Thủy",IF(J34&lt;30,0,J34-30),D34)</f>
        <v>77</v>
      </c>
      <c r="X34" s="70" t="str">
        <f>IF(E34="Thủy",") x","x")</f>
        <v>) x</v>
      </c>
      <c r="Y34" s="69">
        <f>IF(E34="Thủy",IF(J34=0,0,D34),1)</f>
        <v>1.5</v>
      </c>
      <c r="Z34" s="71" t="s">
        <v>457</v>
      </c>
      <c r="AA34" s="70">
        <f>IF(E34="Thủy",IF(I34=1,1,IF(I34=2,1.5,3)),LOOKUP(K34,CVT!B$48:B$51,CVT!C$48:C$51))</f>
        <v>1</v>
      </c>
      <c r="AB34" s="70" t="s">
        <v>457</v>
      </c>
      <c r="AC34" s="70">
        <f>IF(E34="Thủy",1,L34)</f>
        <v>1</v>
      </c>
      <c r="AD34" s="171">
        <f>IF(E34="Thủy",1,1)</f>
        <v>1</v>
      </c>
      <c r="AE34" s="172">
        <f>IF(E34="Thủy",(O34+Q34*S34+U34*W34)*Y34*AA34*AC34/AD34,O34*U34*W34*Y34*AA34*AC34/AD34)</f>
        <v>90037.5</v>
      </c>
      <c r="AF34" s="166">
        <f>AG34</f>
        <v>15092.706124769091</v>
      </c>
      <c r="AG34" s="166">
        <f>BX</f>
        <v>15092.706124769091</v>
      </c>
      <c r="AH34" s="165"/>
      <c r="AI34" s="173"/>
      <c r="AJ34" s="177"/>
    </row>
    <row r="35" spans="1:36" ht="15" customHeight="1">
      <c r="A35" s="160" t="str">
        <f>IF(B35="","",MAX($A$15:A34)+1)</f>
        <v/>
      </c>
      <c r="B35" s="72"/>
      <c r="C35" s="161"/>
      <c r="D35" s="169">
        <f>+D34</f>
        <v>1.5</v>
      </c>
      <c r="E35" s="63" t="s">
        <v>3560</v>
      </c>
      <c r="F35" s="161" t="s">
        <v>3561</v>
      </c>
      <c r="G35" s="64" t="s">
        <v>3589</v>
      </c>
      <c r="H35" s="64" t="s">
        <v>2005</v>
      </c>
      <c r="I35" s="65">
        <v>5</v>
      </c>
      <c r="J35" s="1003">
        <v>1.5</v>
      </c>
      <c r="K35" s="161">
        <v>2</v>
      </c>
      <c r="L35" s="161">
        <f>IF(E35="Thủy",1,1.15)</f>
        <v>1.1499999999999999</v>
      </c>
      <c r="M35" s="1035"/>
      <c r="N35" s="170" t="str">
        <f>IF(E35="Thủy","(","")</f>
        <v/>
      </c>
      <c r="O35" s="66">
        <f>IF(E35="Thủy",LOOKUP(K35,CVT!A$58:A$60,CVT!B$58:B$60),INDEX(CVT,IF(J35&gt;100,1,MATCH(J35,KM,-1)),I35))</f>
        <v>10916</v>
      </c>
      <c r="P35" s="67" t="str">
        <f>IF(E35="Thủy","+","x")</f>
        <v>x</v>
      </c>
      <c r="Q35" s="67"/>
      <c r="R35" s="67"/>
      <c r="S35" s="67"/>
      <c r="T35" s="67"/>
      <c r="U35" s="68">
        <f>IF(E35="Thủy",LOOKUP(K35,CVT!A$58:A$60,CVT!D$58:D$60),J35)</f>
        <v>1.5</v>
      </c>
      <c r="V35" s="67" t="s">
        <v>457</v>
      </c>
      <c r="W35" s="69">
        <f>IF(E35="Thủy",IF(J35&lt;30,0,J35-30),D35)</f>
        <v>1.5</v>
      </c>
      <c r="X35" s="70" t="str">
        <f>IF(E35="Thủy",") x","x")</f>
        <v>x</v>
      </c>
      <c r="Y35" s="69">
        <f>IF(E35="Thủy",IF(J35=0,0,D35),1)</f>
        <v>1</v>
      </c>
      <c r="Z35" s="71" t="s">
        <v>457</v>
      </c>
      <c r="AA35" s="70">
        <f>IF(E35="Thủy",IF(I35=1,1,IF(I35=2,1.5,3)),LOOKUP(K35,CVT!B$48:B$51,CVT!C$48:C$51))</f>
        <v>1.1000000000000001</v>
      </c>
      <c r="AB35" s="70" t="s">
        <v>457</v>
      </c>
      <c r="AC35" s="70">
        <f>IF(E35="Thủy",1,L35)</f>
        <v>1.1499999999999999</v>
      </c>
      <c r="AD35" s="171">
        <f>IF(E35="Thủy",1,1)</f>
        <v>1</v>
      </c>
      <c r="AE35" s="172">
        <f>IF(E35="Thủy",(O35+Q35*S35+U35*W35)*Y35*AA35*AC35/AD35,O35*U35*W35*Y35*AA35*AC35/AD35)</f>
        <v>31069.665000000001</v>
      </c>
      <c r="AF35" s="166"/>
      <c r="AG35" s="166"/>
      <c r="AH35" s="165"/>
      <c r="AI35" s="173"/>
      <c r="AJ35" s="177"/>
    </row>
    <row r="36" spans="1:36" ht="15" customHeight="1">
      <c r="A36" s="160"/>
      <c r="B36" s="153" t="s">
        <v>2012</v>
      </c>
      <c r="C36" s="161"/>
      <c r="D36" s="169"/>
      <c r="E36" s="63"/>
      <c r="F36" s="161"/>
      <c r="G36" s="64"/>
      <c r="H36" s="64"/>
      <c r="I36" s="65"/>
      <c r="J36" s="65"/>
      <c r="K36" s="161"/>
      <c r="L36" s="161"/>
      <c r="M36" s="1035"/>
      <c r="N36" s="170"/>
      <c r="O36" s="66"/>
      <c r="P36" s="67"/>
      <c r="Q36" s="67"/>
      <c r="R36" s="67"/>
      <c r="S36" s="67"/>
      <c r="T36" s="67"/>
      <c r="U36" s="68"/>
      <c r="V36" s="67"/>
      <c r="W36" s="69"/>
      <c r="X36" s="70"/>
      <c r="Y36" s="69"/>
      <c r="Z36" s="71"/>
      <c r="AA36" s="70"/>
      <c r="AB36" s="70"/>
      <c r="AC36" s="70"/>
      <c r="AD36" s="171"/>
      <c r="AE36" s="172"/>
      <c r="AF36" s="166"/>
      <c r="AG36" s="166"/>
      <c r="AH36" s="165"/>
      <c r="AI36" s="173"/>
      <c r="AJ36" s="177"/>
    </row>
    <row r="37" spans="1:36" ht="15" customHeight="1">
      <c r="A37" s="160">
        <v>4</v>
      </c>
      <c r="B37" s="72" t="s">
        <v>196</v>
      </c>
      <c r="C37" s="161" t="s">
        <v>545</v>
      </c>
      <c r="D37" s="162">
        <v>1.2</v>
      </c>
      <c r="E37" s="152"/>
      <c r="F37" s="154"/>
      <c r="G37" s="174"/>
      <c r="H37" s="174"/>
      <c r="I37" s="152"/>
      <c r="J37" s="163"/>
      <c r="K37" s="161"/>
      <c r="L37" s="161"/>
      <c r="M37" s="1037"/>
      <c r="N37" s="61"/>
      <c r="O37" s="60"/>
      <c r="P37" s="60"/>
      <c r="Q37" s="60"/>
      <c r="R37" s="60"/>
      <c r="S37" s="60"/>
      <c r="T37" s="60"/>
      <c r="U37" s="60"/>
      <c r="V37" s="60"/>
      <c r="W37" s="61"/>
      <c r="X37" s="61"/>
      <c r="Y37" s="62"/>
      <c r="Z37" s="61"/>
      <c r="AA37" s="61"/>
      <c r="AB37" s="61"/>
      <c r="AC37" s="61"/>
      <c r="AD37" s="154"/>
      <c r="AE37" s="1413"/>
      <c r="AF37" s="1414"/>
      <c r="AG37" s="1002"/>
      <c r="AH37" s="1415"/>
      <c r="AI37" s="1041">
        <f>SUM(AE37:AH39)*vc</f>
        <v>80713.626124769085</v>
      </c>
      <c r="AJ37" s="168"/>
    </row>
    <row r="38" spans="1:36" ht="15" customHeight="1">
      <c r="A38" s="160"/>
      <c r="B38" s="72" t="s">
        <v>5064</v>
      </c>
      <c r="C38" s="161"/>
      <c r="D38" s="169">
        <f>+D37</f>
        <v>1.2</v>
      </c>
      <c r="E38" s="63" t="s">
        <v>236</v>
      </c>
      <c r="F38" s="161" t="s">
        <v>2007</v>
      </c>
      <c r="G38" s="64" t="s">
        <v>5071</v>
      </c>
      <c r="H38" s="64" t="s">
        <v>3589</v>
      </c>
      <c r="I38" s="65">
        <v>1</v>
      </c>
      <c r="J38" s="65">
        <v>29</v>
      </c>
      <c r="K38" s="161">
        <v>1</v>
      </c>
      <c r="L38" s="161">
        <f>IF(E38="Thủy",1,1.15)</f>
        <v>1</v>
      </c>
      <c r="M38" s="1037"/>
      <c r="N38" s="170" t="str">
        <f>IF(E38="Thủy","(","")</f>
        <v>(</v>
      </c>
      <c r="O38" s="66">
        <f>IF(E38="Thủy",LOOKUP(K38,CVT!A$58:A$60,CVT!B$58:B$60),INDEX(CVT,IF(J38&gt;100,1,MATCH(J38,KM,-1)),I38))</f>
        <v>35854</v>
      </c>
      <c r="P38" s="67"/>
      <c r="Q38" s="67"/>
      <c r="R38" s="67"/>
      <c r="S38" s="67"/>
      <c r="T38" s="67"/>
      <c r="U38" s="68"/>
      <c r="V38" s="67"/>
      <c r="W38" s="69"/>
      <c r="X38" s="70" t="str">
        <f>IF(E38="Thủy",") x","x")</f>
        <v>) x</v>
      </c>
      <c r="Y38" s="69">
        <f>IF(E38="Thủy",IF(J38=0,0,D38),1)</f>
        <v>1.2</v>
      </c>
      <c r="Z38" s="71" t="s">
        <v>457</v>
      </c>
      <c r="AA38" s="70">
        <f>IF(E38="Thủy",IF(I38=1,1,IF(I38=2,1.5,3)),LOOKUP(K38,CVT!B$48:B$51,CVT!C$48:C$51))</f>
        <v>1</v>
      </c>
      <c r="AB38" s="70" t="s">
        <v>457</v>
      </c>
      <c r="AC38" s="70">
        <f>IF(E38="Thủy",1,L38)</f>
        <v>1</v>
      </c>
      <c r="AD38" s="171">
        <f>IF(E38="Thủy",1,1)</f>
        <v>1</v>
      </c>
      <c r="AE38" s="1412">
        <f>IF(E38="Thủy",(O38+Q38*S38+U38*W38)*Y38*AA38*AC38/AD38,O38*U38*W38*Y38*AA38*AC38/AD38)</f>
        <v>43024.799999999996</v>
      </c>
      <c r="AF38" s="1002"/>
      <c r="AG38" s="1002">
        <f>BX</f>
        <v>15092.706124769091</v>
      </c>
      <c r="AH38" s="1414"/>
      <c r="AI38" s="1416"/>
      <c r="AJ38" s="177"/>
    </row>
    <row r="39" spans="1:36" ht="15" customHeight="1">
      <c r="A39" s="160" t="str">
        <f>IF(B39="","",MAX($A$15:A38)+1)</f>
        <v/>
      </c>
      <c r="B39" s="72"/>
      <c r="C39" s="161"/>
      <c r="D39" s="169">
        <f>+D38</f>
        <v>1.2</v>
      </c>
      <c r="E39" s="63" t="s">
        <v>3560</v>
      </c>
      <c r="F39" s="161" t="s">
        <v>3561</v>
      </c>
      <c r="G39" s="64" t="s">
        <v>3589</v>
      </c>
      <c r="H39" s="64" t="s">
        <v>2005</v>
      </c>
      <c r="I39" s="65">
        <v>5</v>
      </c>
      <c r="J39" s="1003">
        <v>1.5</v>
      </c>
      <c r="K39" s="161">
        <v>1</v>
      </c>
      <c r="L39" s="161">
        <f>IF(E39="Thủy",1,1.15)</f>
        <v>1.1499999999999999</v>
      </c>
      <c r="M39" s="1035"/>
      <c r="N39" s="170" t="str">
        <f>IF(E39="Thủy","(","")</f>
        <v/>
      </c>
      <c r="O39" s="66">
        <f>IF(E39="Thủy",LOOKUP(K39,CVT!A$58:A$60,CVT!B$58:B$60),INDEX(CVT,IF(J39&gt;100,1,MATCH(J39,KM,-1)),I39))</f>
        <v>10916</v>
      </c>
      <c r="P39" s="67" t="str">
        <f>IF(E39="Thủy","+","x")</f>
        <v>x</v>
      </c>
      <c r="Q39" s="67"/>
      <c r="R39" s="67"/>
      <c r="S39" s="67"/>
      <c r="T39" s="67"/>
      <c r="U39" s="68">
        <f>IF(E39="Thủy",LOOKUP(K39,CVT!A$58:A$60,CVT!D$58:D$60),J39)</f>
        <v>1.5</v>
      </c>
      <c r="V39" s="67" t="s">
        <v>457</v>
      </c>
      <c r="W39" s="69">
        <f>IF(E39="Thủy",IF(J39&lt;30,0,J39-30),D39)</f>
        <v>1.2</v>
      </c>
      <c r="X39" s="70" t="str">
        <f>IF(E39="Thủy",") x","x")</f>
        <v>x</v>
      </c>
      <c r="Y39" s="69">
        <f>IF(E39="Thủy",IF(J39=0,0,D39),1)</f>
        <v>1</v>
      </c>
      <c r="Z39" s="71" t="s">
        <v>457</v>
      </c>
      <c r="AA39" s="70">
        <f>IF(E39="Thủy",IF(I39=1,1,IF(I39=2,1.5,3)),LOOKUP(K39,CVT!B$48:B$51,CVT!C$48:C$51))</f>
        <v>1</v>
      </c>
      <c r="AB39" s="70" t="s">
        <v>457</v>
      </c>
      <c r="AC39" s="70">
        <f>IF(E39="Thủy",1,L39)</f>
        <v>1.1499999999999999</v>
      </c>
      <c r="AD39" s="171">
        <f>IF(E39="Thủy",1,1)</f>
        <v>1</v>
      </c>
      <c r="AE39" s="1412">
        <f>IF(E39="Thủy",(O39+Q39*S39+U39*W39)*Y39*AA39*AC39/AD39,O39*U39*W39*Y39*AA39*AC39/AD39)</f>
        <v>22596.12</v>
      </c>
      <c r="AF39" s="1002"/>
      <c r="AG39" s="1002"/>
      <c r="AH39" s="1414"/>
      <c r="AI39" s="1416"/>
      <c r="AJ39" s="177"/>
    </row>
    <row r="40" spans="1:36" ht="15" customHeight="1">
      <c r="A40" s="160">
        <v>4</v>
      </c>
      <c r="B40" s="72" t="s">
        <v>588</v>
      </c>
      <c r="C40" s="161" t="s">
        <v>545</v>
      </c>
      <c r="D40" s="162">
        <v>1.45</v>
      </c>
      <c r="E40" s="152"/>
      <c r="F40" s="154"/>
      <c r="G40" s="174"/>
      <c r="H40" s="174"/>
      <c r="I40" s="152"/>
      <c r="J40" s="163"/>
      <c r="K40" s="161"/>
      <c r="L40" s="161"/>
      <c r="M40" s="1037"/>
      <c r="N40" s="61"/>
      <c r="O40" s="60"/>
      <c r="P40" s="60"/>
      <c r="Q40" s="60"/>
      <c r="R40" s="60"/>
      <c r="S40" s="60"/>
      <c r="T40" s="60"/>
      <c r="U40" s="60"/>
      <c r="V40" s="60"/>
      <c r="W40" s="61"/>
      <c r="X40" s="61"/>
      <c r="Y40" s="62"/>
      <c r="Z40" s="61"/>
      <c r="AA40" s="61"/>
      <c r="AB40" s="61"/>
      <c r="AC40" s="61"/>
      <c r="AD40" s="154"/>
      <c r="AE40" s="1413"/>
      <c r="AF40" s="1414"/>
      <c r="AG40" s="1002"/>
      <c r="AH40" s="1002"/>
      <c r="AI40" s="1041">
        <f>SUM(AE40:AH42)*vc</f>
        <v>102642.25612476908</v>
      </c>
      <c r="AJ40" s="168"/>
    </row>
    <row r="41" spans="1:36" ht="15" customHeight="1">
      <c r="A41" s="160">
        <f>IF(B41="","",MAX($A$15:A40)+1)</f>
        <v>5</v>
      </c>
      <c r="B41" s="72" t="s">
        <v>5065</v>
      </c>
      <c r="C41" s="161"/>
      <c r="D41" s="169">
        <f>+D40</f>
        <v>1.45</v>
      </c>
      <c r="E41" s="63" t="s">
        <v>236</v>
      </c>
      <c r="F41" s="161" t="s">
        <v>2007</v>
      </c>
      <c r="G41" s="64" t="s">
        <v>2008</v>
      </c>
      <c r="H41" s="64" t="s">
        <v>3589</v>
      </c>
      <c r="I41" s="65">
        <v>1</v>
      </c>
      <c r="J41" s="977">
        <f>12.1*1.5+35</f>
        <v>53.15</v>
      </c>
      <c r="K41" s="161">
        <v>1</v>
      </c>
      <c r="L41" s="161">
        <f>IF(E41="Thủy",1,1.15)</f>
        <v>1</v>
      </c>
      <c r="M41" s="1035"/>
      <c r="N41" s="170" t="str">
        <f>IF(E41="Thủy","(","")</f>
        <v>(</v>
      </c>
      <c r="O41" s="66">
        <f>IF(E41="Thủy",LOOKUP(K41,CVT!A$58:A$60,CVT!B$58:B$60),INDEX(CVT,IF(J41&gt;100,1,MATCH(J41,KM,-1)),I41))</f>
        <v>35854</v>
      </c>
      <c r="P41" s="67" t="str">
        <f>IF(E41="Thủy","+","x")</f>
        <v>+</v>
      </c>
      <c r="Q41" s="67"/>
      <c r="R41" s="67"/>
      <c r="S41" s="67"/>
      <c r="T41" s="67"/>
      <c r="U41" s="68">
        <f>IF(E41="Thủy",LOOKUP(K41,CVT!A$58:A$60,CVT!D$58:D$60),#REF!)</f>
        <v>246</v>
      </c>
      <c r="V41" s="67" t="s">
        <v>457</v>
      </c>
      <c r="W41" s="978">
        <f>IF(E41="Thủy",IF(J41&lt;30,0,J41-30),D41)</f>
        <v>23.15</v>
      </c>
      <c r="X41" s="70" t="str">
        <f>IF(E41="Thủy",") x","x")</f>
        <v>) x</v>
      </c>
      <c r="Y41" s="69">
        <f>IF(E41="Thủy",IF(J41=0,0,D41),1)</f>
        <v>1.45</v>
      </c>
      <c r="Z41" s="71" t="s">
        <v>457</v>
      </c>
      <c r="AA41" s="70">
        <f>IF(E41="Thủy",IF(I41=1,1,IF(I41=2,1.5,3)),LOOKUP(K41,CVT!B$48:B$51,CVT!C$48:C$51))</f>
        <v>1</v>
      </c>
      <c r="AB41" s="70" t="s">
        <v>457</v>
      </c>
      <c r="AC41" s="70">
        <f>IF(E41="Thủy",1,L41)</f>
        <v>1</v>
      </c>
      <c r="AD41" s="171">
        <f>IF(E41="Thủy",1,1)</f>
        <v>1</v>
      </c>
      <c r="AE41" s="1412">
        <f>IF(E41="Thủy",(O41+Q41*S41+U41*W41)*Y41*AA41*AC41/AD41,O41*U41*W41*Y41*AA41*AC41/AD41)</f>
        <v>60245.904999999999</v>
      </c>
      <c r="AF41" s="1002"/>
      <c r="AG41" s="1002">
        <f>BX</f>
        <v>15092.706124769091</v>
      </c>
      <c r="AH41" s="1414"/>
      <c r="AI41" s="1416"/>
      <c r="AJ41" s="177"/>
    </row>
    <row r="42" spans="1:36" ht="15" customHeight="1">
      <c r="A42" s="160" t="str">
        <f>IF(B42="","",MAX($A$15:A41)+1)</f>
        <v/>
      </c>
      <c r="B42" s="72"/>
      <c r="C42" s="161"/>
      <c r="D42" s="169">
        <f>+D41</f>
        <v>1.45</v>
      </c>
      <c r="E42" s="63" t="s">
        <v>3560</v>
      </c>
      <c r="F42" s="161" t="s">
        <v>3561</v>
      </c>
      <c r="G42" s="64" t="s">
        <v>3589</v>
      </c>
      <c r="H42" s="64" t="s">
        <v>2005</v>
      </c>
      <c r="I42" s="65">
        <v>5</v>
      </c>
      <c r="J42" s="1003">
        <v>1.5</v>
      </c>
      <c r="K42" s="161">
        <v>1</v>
      </c>
      <c r="L42" s="161">
        <f>IF(E42="Thủy",1,1.15)</f>
        <v>1.1499999999999999</v>
      </c>
      <c r="M42" s="1035"/>
      <c r="N42" s="170" t="str">
        <f>IF(E42="Thủy","(","")</f>
        <v/>
      </c>
      <c r="O42" s="66">
        <f>IF(E42="Thủy",LOOKUP(K42,CVT!A$58:A$60,CVT!B$58:B$60),INDEX(CVT,IF(J42&gt;100,1,MATCH(J42,KM,-1)),I42))</f>
        <v>10916</v>
      </c>
      <c r="P42" s="67" t="str">
        <f>IF(E42="Thủy","+","x")</f>
        <v>x</v>
      </c>
      <c r="Q42" s="67"/>
      <c r="R42" s="67"/>
      <c r="S42" s="67"/>
      <c r="T42" s="67"/>
      <c r="U42" s="68">
        <f>IF(E42="Thủy",LOOKUP(K42,CVT!A$58:A$60,CVT!D$58:D$60),J42)</f>
        <v>1.5</v>
      </c>
      <c r="V42" s="67" t="s">
        <v>457</v>
      </c>
      <c r="W42" s="69">
        <f>IF(E42="Thủy",IF(J42&lt;30,0,J42-30),D42)</f>
        <v>1.45</v>
      </c>
      <c r="X42" s="70" t="str">
        <f>IF(E42="Thủy",") x","x")</f>
        <v>x</v>
      </c>
      <c r="Y42" s="69">
        <f>IF(E42="Thủy",IF(J42=0,0,D42),1)</f>
        <v>1</v>
      </c>
      <c r="Z42" s="71" t="s">
        <v>457</v>
      </c>
      <c r="AA42" s="70">
        <f>IF(E42="Thủy",IF(I42=1,1,IF(I42=2,1.5,3)),LOOKUP(K42,CVT!B$48:B$51,CVT!C$48:C$51))</f>
        <v>1</v>
      </c>
      <c r="AB42" s="70" t="s">
        <v>457</v>
      </c>
      <c r="AC42" s="70">
        <f>IF(E42="Thủy",1,L42)</f>
        <v>1.1499999999999999</v>
      </c>
      <c r="AD42" s="171">
        <f>IF(E42="Thủy",1,1)</f>
        <v>1</v>
      </c>
      <c r="AE42" s="1412">
        <f>IF(E42="Thủy",(O42+Q42*S42+U42*W42)*Y42*AA42*AC42/AD42,O42*U42*W42*Y42*AA42*AC42/AD42)</f>
        <v>27303.644999999997</v>
      </c>
      <c r="AF42" s="1002"/>
      <c r="AG42" s="1002"/>
      <c r="AH42" s="1414"/>
      <c r="AI42" s="1416"/>
      <c r="AJ42" s="177"/>
    </row>
    <row r="43" spans="1:36" ht="15" customHeight="1">
      <c r="A43" s="160">
        <f>A40+1</f>
        <v>5</v>
      </c>
      <c r="B43" s="72" t="s">
        <v>3640</v>
      </c>
      <c r="C43" s="161" t="s">
        <v>557</v>
      </c>
      <c r="D43" s="162">
        <v>1</v>
      </c>
      <c r="E43" s="152"/>
      <c r="F43" s="154"/>
      <c r="G43" s="174"/>
      <c r="H43" s="174"/>
      <c r="I43" s="152"/>
      <c r="J43" s="163"/>
      <c r="K43" s="161"/>
      <c r="L43" s="161"/>
      <c r="M43" s="1037"/>
      <c r="N43" s="61"/>
      <c r="O43" s="60"/>
      <c r="P43" s="60"/>
      <c r="Q43" s="60"/>
      <c r="R43" s="60"/>
      <c r="S43" s="60"/>
      <c r="T43" s="60"/>
      <c r="U43" s="60"/>
      <c r="V43" s="60"/>
      <c r="W43" s="61"/>
      <c r="X43" s="61"/>
      <c r="Y43" s="62"/>
      <c r="Z43" s="61"/>
      <c r="AA43" s="61"/>
      <c r="AB43" s="61"/>
      <c r="AC43" s="61"/>
      <c r="AD43" s="154"/>
      <c r="AE43" s="164"/>
      <c r="AF43" s="166">
        <f>$K$100*2</f>
        <v>77087.56</v>
      </c>
      <c r="AG43" s="166"/>
      <c r="AH43" s="166"/>
      <c r="AI43" s="167">
        <f>SUM(AE43:AH45)*vc</f>
        <v>161931.76</v>
      </c>
      <c r="AJ43" s="168"/>
    </row>
    <row r="44" spans="1:36" ht="15" customHeight="1">
      <c r="A44" s="160"/>
      <c r="B44" s="72" t="s">
        <v>5068</v>
      </c>
      <c r="C44" s="161"/>
      <c r="D44" s="169">
        <v>1</v>
      </c>
      <c r="E44" s="63" t="s">
        <v>236</v>
      </c>
      <c r="F44" s="161" t="s">
        <v>2007</v>
      </c>
      <c r="G44" s="64" t="s">
        <v>2009</v>
      </c>
      <c r="H44" s="64" t="s">
        <v>3589</v>
      </c>
      <c r="I44" s="65">
        <v>1</v>
      </c>
      <c r="J44" s="65">
        <f>8+55+35</f>
        <v>98</v>
      </c>
      <c r="K44" s="161">
        <v>3</v>
      </c>
      <c r="L44" s="161">
        <f>IF(E44="Thủy",1,1.15)</f>
        <v>1</v>
      </c>
      <c r="M44" s="1035"/>
      <c r="N44" s="170" t="str">
        <f>IF(E44="Thủy","(","")</f>
        <v>(</v>
      </c>
      <c r="O44" s="66">
        <f>IF(E44="Thủy",LOOKUP(K44,CVT!A$58:A$60,CVT!B$58:B$60),INDEX(CVT,IF(J44&gt;100,1,MATCH(J44,KM,-1)),I44))</f>
        <v>43498</v>
      </c>
      <c r="P44" s="67" t="str">
        <f>IF(E44="Thủy","+","x")</f>
        <v>+</v>
      </c>
      <c r="Q44" s="67"/>
      <c r="R44" s="67"/>
      <c r="S44" s="67"/>
      <c r="T44" s="67"/>
      <c r="U44" s="68">
        <f>IF(E44="Thủy",LOOKUP(K44,CVT!A$58:A$60,CVT!D$58:D$60),#REF!)</f>
        <v>295</v>
      </c>
      <c r="V44" s="67" t="s">
        <v>457</v>
      </c>
      <c r="W44" s="69">
        <f>IF(E44="Thủy",IF(J44&lt;30,0,J44-30),D44)</f>
        <v>68</v>
      </c>
      <c r="X44" s="70" t="str">
        <f>IF(E44="Thủy",") x","x")</f>
        <v>) x</v>
      </c>
      <c r="Y44" s="69">
        <f>IF(E44="Thủy",IF(J44=0,0,D44),1)</f>
        <v>1</v>
      </c>
      <c r="Z44" s="71" t="s">
        <v>457</v>
      </c>
      <c r="AA44" s="70">
        <f>IF(E44="Thủy",IF(I44=1,1,IF(I44=2,1.5,3)),LOOKUP(K44,CVT!B$48:B$51,CVT!C$48:C$51))</f>
        <v>1</v>
      </c>
      <c r="AB44" s="70" t="s">
        <v>457</v>
      </c>
      <c r="AC44" s="70">
        <f>IF(E44="Thủy",1,L44)</f>
        <v>1</v>
      </c>
      <c r="AD44" s="171">
        <f>IF(E44="Thủy",1,1)</f>
        <v>1</v>
      </c>
      <c r="AE44" s="172">
        <f>IF(E44="Thủy",(O44+Q44*S44+U44*W44)*Y44*AA44*AC44/AD44,O44*U44*W44*Y44*AA44*AC44/AD44)</f>
        <v>63558</v>
      </c>
      <c r="AF44" s="166"/>
      <c r="AG44" s="166"/>
      <c r="AH44" s="165"/>
      <c r="AI44" s="173"/>
      <c r="AJ44" s="168"/>
    </row>
    <row r="45" spans="1:36" ht="15" customHeight="1">
      <c r="A45" s="160" t="str">
        <f>IF(B45="","",MAX($A$15:A44)+1)</f>
        <v/>
      </c>
      <c r="B45" s="72"/>
      <c r="C45" s="161"/>
      <c r="D45" s="169">
        <f>+D44</f>
        <v>1</v>
      </c>
      <c r="E45" s="63" t="s">
        <v>3560</v>
      </c>
      <c r="F45" s="161" t="s">
        <v>3561</v>
      </c>
      <c r="G45" s="64" t="s">
        <v>3589</v>
      </c>
      <c r="H45" s="64" t="s">
        <v>2005</v>
      </c>
      <c r="I45" s="65">
        <v>5</v>
      </c>
      <c r="J45" s="1003">
        <v>1.5</v>
      </c>
      <c r="K45" s="161">
        <v>3</v>
      </c>
      <c r="L45" s="161">
        <v>1</v>
      </c>
      <c r="M45" s="1035"/>
      <c r="N45" s="170" t="str">
        <f>IF(E45="Thủy","(","")</f>
        <v/>
      </c>
      <c r="O45" s="66">
        <f>IF(E45="Thủy",LOOKUP(K45,CVT!A$58:A$60,CVT!B$58:B$60),INDEX(CVT,IF(J45&gt;100,1,MATCH(J45,KM,-1)),I45))</f>
        <v>10916</v>
      </c>
      <c r="P45" s="67" t="str">
        <f>IF(E45="Thủy","+","x")</f>
        <v>x</v>
      </c>
      <c r="Q45" s="67"/>
      <c r="R45" s="67"/>
      <c r="S45" s="67"/>
      <c r="T45" s="67"/>
      <c r="U45" s="68">
        <f>IF(E45="Thủy",LOOKUP(K45,CVT!A$58:A$60,CVT!D$58:D$60),J45)</f>
        <v>1.5</v>
      </c>
      <c r="V45" s="67" t="s">
        <v>457</v>
      </c>
      <c r="W45" s="69">
        <f>IF(E45="Thủy",IF(J45&lt;30,0,J45-30),D45)</f>
        <v>1</v>
      </c>
      <c r="X45" s="70" t="str">
        <f>IF(E45="Thủy",") x","x")</f>
        <v>x</v>
      </c>
      <c r="Y45" s="69">
        <f>IF(E45="Thủy",IF(J45=0,0,D45),1)</f>
        <v>1</v>
      </c>
      <c r="Z45" s="71" t="s">
        <v>457</v>
      </c>
      <c r="AA45" s="70">
        <f>IF(E45="Thủy",IF(I45=1,1,IF(I45=2,1.5,3)),LOOKUP(K45,CVT!B$48:B$51,CVT!C$48:C$51))</f>
        <v>1.3</v>
      </c>
      <c r="AB45" s="70" t="s">
        <v>457</v>
      </c>
      <c r="AC45" s="70">
        <f>IF(E45="Thủy",1,L45)</f>
        <v>1</v>
      </c>
      <c r="AD45" s="171">
        <f>IF(E45="Thủy",1,1)</f>
        <v>1</v>
      </c>
      <c r="AE45" s="172">
        <f>IF(E45="Thủy",(O45+Q45*S45+U45*W45)*Y45*AA45*AC45/AD45,O45*U45*W45*Y45*AA45*AC45/AD45)</f>
        <v>21286.2</v>
      </c>
      <c r="AF45" s="166"/>
      <c r="AG45" s="166"/>
      <c r="AH45" s="165"/>
      <c r="AI45" s="173"/>
      <c r="AJ45" s="177"/>
    </row>
    <row r="46" spans="1:36" ht="15" customHeight="1">
      <c r="A46" s="160">
        <f>A43+1</f>
        <v>6</v>
      </c>
      <c r="B46" s="72" t="s">
        <v>590</v>
      </c>
      <c r="C46" s="161" t="s">
        <v>557</v>
      </c>
      <c r="D46" s="162">
        <v>1</v>
      </c>
      <c r="E46" s="152"/>
      <c r="F46" s="154"/>
      <c r="G46" s="174"/>
      <c r="H46" s="174"/>
      <c r="I46" s="152"/>
      <c r="J46" s="163"/>
      <c r="K46" s="161"/>
      <c r="L46" s="161"/>
      <c r="M46" s="1037"/>
      <c r="N46" s="61"/>
      <c r="O46" s="60"/>
      <c r="P46" s="60"/>
      <c r="Q46" s="60"/>
      <c r="R46" s="60"/>
      <c r="S46" s="60"/>
      <c r="T46" s="60"/>
      <c r="U46" s="60"/>
      <c r="V46" s="60"/>
      <c r="W46" s="61"/>
      <c r="X46" s="61"/>
      <c r="Y46" s="62"/>
      <c r="Z46" s="61"/>
      <c r="AA46" s="61"/>
      <c r="AB46" s="61"/>
      <c r="AC46" s="61"/>
      <c r="AD46" s="154"/>
      <c r="AE46" s="164"/>
      <c r="AF46" s="165"/>
      <c r="AG46" s="166"/>
      <c r="AH46" s="165"/>
      <c r="AI46" s="167">
        <f>SUM(AE46:AH48)*vc</f>
        <v>73463.399999999994</v>
      </c>
      <c r="AJ46" s="177"/>
    </row>
    <row r="47" spans="1:36" ht="15" customHeight="1">
      <c r="A47" s="160"/>
      <c r="B47" s="72" t="s">
        <v>5066</v>
      </c>
      <c r="C47" s="161"/>
      <c r="D47" s="169">
        <v>1</v>
      </c>
      <c r="E47" s="63" t="s">
        <v>236</v>
      </c>
      <c r="F47" s="161" t="s">
        <v>2007</v>
      </c>
      <c r="G47" s="64" t="s">
        <v>2010</v>
      </c>
      <c r="H47" s="64" t="s">
        <v>3589</v>
      </c>
      <c r="I47" s="65">
        <v>1</v>
      </c>
      <c r="J47" s="65">
        <f>J44-8</f>
        <v>90</v>
      </c>
      <c r="K47" s="161">
        <v>2</v>
      </c>
      <c r="L47" s="161">
        <f>IF(E47="Thủy",1,1.15)</f>
        <v>1</v>
      </c>
      <c r="M47" s="1035"/>
      <c r="N47" s="170" t="str">
        <f>IF(E47="Thủy","(","")</f>
        <v>(</v>
      </c>
      <c r="O47" s="66">
        <f>IF(E47="Thủy",LOOKUP(K47,CVT!A$58:A$60,CVT!B$58:B$60),INDEX(CVT,IF(J47&gt;100,1,MATCH(J47,KM,-1)),I47))</f>
        <v>39312</v>
      </c>
      <c r="P47" s="67" t="str">
        <f>IF(E47="Thủy","+","x")</f>
        <v>+</v>
      </c>
      <c r="Q47" s="67"/>
      <c r="R47" s="67"/>
      <c r="S47" s="67"/>
      <c r="T47" s="67"/>
      <c r="U47" s="68">
        <f>IF(E47="Thủy",LOOKUP(K47,CVT!A$58:A$60,CVT!D$58:D$60),#REF!)</f>
        <v>269</v>
      </c>
      <c r="V47" s="67" t="s">
        <v>457</v>
      </c>
      <c r="W47" s="69">
        <f>IF(E47="Thủy",IF(J47&lt;30,0,J47-30),D47)</f>
        <v>60</v>
      </c>
      <c r="X47" s="70" t="str">
        <f>IF(E47="Thủy",") x","x")</f>
        <v>) x</v>
      </c>
      <c r="Y47" s="69">
        <f>IF(E47="Thủy",IF(J47=0,0,D47),1)</f>
        <v>1</v>
      </c>
      <c r="Z47" s="71" t="s">
        <v>457</v>
      </c>
      <c r="AA47" s="70">
        <f>IF(E47="Thủy",IF(I47=1,1,IF(I47=2,1.5,3)),LOOKUP(K47,CVT!B$48:B$51,CVT!C$48:C$51))</f>
        <v>1</v>
      </c>
      <c r="AB47" s="70" t="s">
        <v>457</v>
      </c>
      <c r="AC47" s="70">
        <f>IF(E47="Thủy",1,L47)</f>
        <v>1</v>
      </c>
      <c r="AD47" s="171">
        <f>IF(E47="Thủy",1,1)</f>
        <v>1</v>
      </c>
      <c r="AE47" s="172">
        <f>IF(E47="Thủy",(O47+Q47*S47+U47*W47)*Y47*AA47*AC47/AD47,O47*U47*W47*Y47*AA47*AC47/AD47)</f>
        <v>55452</v>
      </c>
      <c r="AF47" s="166"/>
      <c r="AG47" s="166"/>
      <c r="AH47" s="165"/>
      <c r="AI47" s="173"/>
      <c r="AJ47" s="168"/>
    </row>
    <row r="48" spans="1:36" ht="15" customHeight="1">
      <c r="A48" s="160" t="str">
        <f>IF(B48="","",MAX($A$15:A47)+1)</f>
        <v/>
      </c>
      <c r="B48" s="72"/>
      <c r="C48" s="161"/>
      <c r="D48" s="169">
        <v>1</v>
      </c>
      <c r="E48" s="63" t="s">
        <v>3560</v>
      </c>
      <c r="F48" s="161" t="s">
        <v>3561</v>
      </c>
      <c r="G48" s="64" t="s">
        <v>3589</v>
      </c>
      <c r="H48" s="64" t="s">
        <v>2005</v>
      </c>
      <c r="I48" s="65">
        <v>5</v>
      </c>
      <c r="J48" s="1003">
        <v>1.5</v>
      </c>
      <c r="K48" s="161">
        <v>2</v>
      </c>
      <c r="L48" s="161">
        <v>1</v>
      </c>
      <c r="M48" s="1035"/>
      <c r="N48" s="170" t="str">
        <f>IF(E48="Thủy","(","")</f>
        <v/>
      </c>
      <c r="O48" s="66">
        <f>IF(E48="Thủy",LOOKUP(K48,CVT!A$58:A$60,CVT!B$58:B$60),INDEX(CVT,IF(J48&gt;100,1,MATCH(J48,KM,-1)),I48))</f>
        <v>10916</v>
      </c>
      <c r="P48" s="67" t="str">
        <f>IF(E48="Thủy","+","x")</f>
        <v>x</v>
      </c>
      <c r="Q48" s="67"/>
      <c r="R48" s="67"/>
      <c r="S48" s="67"/>
      <c r="T48" s="67"/>
      <c r="U48" s="68">
        <f>IF(E48="Thủy",LOOKUP(K48,CVT!A$58:A$60,CVT!D$58:D$60),J48)</f>
        <v>1.5</v>
      </c>
      <c r="V48" s="67" t="s">
        <v>457</v>
      </c>
      <c r="W48" s="69">
        <f>IF(E48="Thủy",IF(J48&lt;30,0,J48-30),D48)</f>
        <v>1</v>
      </c>
      <c r="X48" s="70" t="str">
        <f>IF(E48="Thủy",") x","x")</f>
        <v>x</v>
      </c>
      <c r="Y48" s="69">
        <f>IF(E48="Thủy",IF(J48=0,0,D48),1)</f>
        <v>1</v>
      </c>
      <c r="Z48" s="71" t="s">
        <v>457</v>
      </c>
      <c r="AA48" s="70">
        <f>IF(E48="Thủy",IF(I48=1,1,IF(I48=2,1.5,3)),LOOKUP(K48,CVT!B$48:B$51,CVT!C$48:C$51))</f>
        <v>1.1000000000000001</v>
      </c>
      <c r="AB48" s="70" t="s">
        <v>457</v>
      </c>
      <c r="AC48" s="70">
        <f>IF(E48="Thủy",1,L48)</f>
        <v>1</v>
      </c>
      <c r="AD48" s="171">
        <f>IF(E48="Thủy",1,1)</f>
        <v>1</v>
      </c>
      <c r="AE48" s="172">
        <f>IF(E48="Thủy",(O48+Q48*S48+U48*W48)*Y48*AA48*AC48/AD48,O48*U48*W48*Y48*AA48*AC48/AD48)</f>
        <v>18011.400000000001</v>
      </c>
      <c r="AF48" s="166"/>
      <c r="AG48" s="166"/>
      <c r="AH48" s="165"/>
      <c r="AI48" s="173"/>
      <c r="AJ48" s="177"/>
    </row>
    <row r="49" spans="1:39" ht="15" customHeight="1">
      <c r="A49" s="160">
        <f>A46+1</f>
        <v>7</v>
      </c>
      <c r="B49" s="72" t="s">
        <v>222</v>
      </c>
      <c r="C49" s="161" t="s">
        <v>557</v>
      </c>
      <c r="D49" s="162">
        <v>1</v>
      </c>
      <c r="E49" s="152"/>
      <c r="F49" s="154"/>
      <c r="G49" s="174"/>
      <c r="H49" s="174"/>
      <c r="I49" s="152"/>
      <c r="J49" s="163"/>
      <c r="K49" s="161"/>
      <c r="L49" s="161"/>
      <c r="M49" s="1037"/>
      <c r="N49" s="61"/>
      <c r="O49" s="60"/>
      <c r="P49" s="60"/>
      <c r="Q49" s="60"/>
      <c r="R49" s="60"/>
      <c r="S49" s="60"/>
      <c r="T49" s="60"/>
      <c r="U49" s="60"/>
      <c r="V49" s="60"/>
      <c r="W49" s="61"/>
      <c r="X49" s="61"/>
      <c r="Y49" s="62"/>
      <c r="Z49" s="61"/>
      <c r="AA49" s="61"/>
      <c r="AB49" s="61"/>
      <c r="AC49" s="61"/>
      <c r="AD49" s="154"/>
      <c r="AE49" s="164"/>
      <c r="AF49" s="166">
        <f>+$K$100*2</f>
        <v>77087.56</v>
      </c>
      <c r="AG49" s="166"/>
      <c r="AH49" s="165"/>
      <c r="AI49" s="167">
        <f>SUM(AE49:AG51)*vc</f>
        <v>144075.56</v>
      </c>
      <c r="AJ49" s="177"/>
      <c r="AM49" s="75">
        <v>141907.28</v>
      </c>
    </row>
    <row r="50" spans="1:39" ht="15" customHeight="1">
      <c r="A50" s="160"/>
      <c r="B50" s="72" t="s">
        <v>5067</v>
      </c>
      <c r="C50" s="161"/>
      <c r="D50" s="169">
        <v>1</v>
      </c>
      <c r="E50" s="63" t="s">
        <v>236</v>
      </c>
      <c r="F50" s="161" t="s">
        <v>2007</v>
      </c>
      <c r="G50" s="64" t="s">
        <v>2010</v>
      </c>
      <c r="H50" s="64" t="s">
        <v>3589</v>
      </c>
      <c r="I50" s="65">
        <v>1</v>
      </c>
      <c r="J50" s="65">
        <f>+J47</f>
        <v>90</v>
      </c>
      <c r="K50" s="161">
        <v>1</v>
      </c>
      <c r="L50" s="161">
        <f>IF(E50="Thủy",1,1.15)</f>
        <v>1</v>
      </c>
      <c r="M50" s="1035"/>
      <c r="N50" s="170" t="str">
        <f>IF(E50="Thủy","(","")</f>
        <v>(</v>
      </c>
      <c r="O50" s="66">
        <f>IF(E50="Thủy",LOOKUP(K50,CVT!A$58:A$60,CVT!B$58:B$60),INDEX(CVT,IF(J50&gt;100,1,MATCH(J50,KM,-1)),I50))</f>
        <v>35854</v>
      </c>
      <c r="P50" s="67" t="str">
        <f>IF(E50="Thủy","+","x")</f>
        <v>+</v>
      </c>
      <c r="Q50" s="67"/>
      <c r="R50" s="67"/>
      <c r="S50" s="67"/>
      <c r="T50" s="67"/>
      <c r="U50" s="68">
        <f>IF(E50="Thủy",LOOKUP(K50,CVT!A$58:A$60,CVT!D$58:D$60),#REF!)</f>
        <v>246</v>
      </c>
      <c r="V50" s="67" t="s">
        <v>457</v>
      </c>
      <c r="W50" s="69">
        <f>IF(E50="Thủy",IF(J50&lt;30,0,J50-30),D50)</f>
        <v>60</v>
      </c>
      <c r="X50" s="70" t="str">
        <f>IF(E50="Thủy",") x","x")</f>
        <v>) x</v>
      </c>
      <c r="Y50" s="69">
        <f>IF(E50="Thủy",IF(J50=0,0,D50),1)</f>
        <v>1</v>
      </c>
      <c r="Z50" s="71" t="s">
        <v>457</v>
      </c>
      <c r="AA50" s="70">
        <f>IF(E50="Thủy",IF(I50=1,1,IF(I50=2,1.5,3)),LOOKUP(K50,CVT!B$48:B$51,CVT!C$48:C$51))</f>
        <v>1</v>
      </c>
      <c r="AB50" s="70" t="s">
        <v>457</v>
      </c>
      <c r="AC50" s="70">
        <f>IF(E50="Thủy",1,L50)</f>
        <v>1</v>
      </c>
      <c r="AD50" s="171">
        <f>IF(E50="Thủy",1,1)</f>
        <v>1</v>
      </c>
      <c r="AE50" s="172">
        <f>IF(E50="Thủy",(O50+Q50*S50+U50*W50)*Y50*AA50*AC50/AD50,O50*U50*W50*Y50*AA50*AC50/AD50)</f>
        <v>50614</v>
      </c>
      <c r="AF50" s="166"/>
      <c r="AG50" s="166"/>
      <c r="AH50" s="165"/>
      <c r="AI50" s="173"/>
      <c r="AJ50" s="168"/>
    </row>
    <row r="51" spans="1:39" ht="15" customHeight="1">
      <c r="A51" s="160" t="str">
        <f>IF(B51="","",MAX($A$15:A50)+1)</f>
        <v/>
      </c>
      <c r="B51" s="72"/>
      <c r="C51" s="161"/>
      <c r="D51" s="169">
        <f>+D50</f>
        <v>1</v>
      </c>
      <c r="E51" s="63" t="s">
        <v>3560</v>
      </c>
      <c r="F51" s="161" t="s">
        <v>3561</v>
      </c>
      <c r="G51" s="64" t="s">
        <v>3589</v>
      </c>
      <c r="H51" s="64" t="s">
        <v>2005</v>
      </c>
      <c r="I51" s="65">
        <v>5</v>
      </c>
      <c r="J51" s="1003">
        <v>1.5</v>
      </c>
      <c r="K51" s="161">
        <v>1</v>
      </c>
      <c r="L51" s="161">
        <v>1</v>
      </c>
      <c r="M51" s="1035"/>
      <c r="N51" s="170" t="str">
        <f>IF(E51="Thủy","(","")</f>
        <v/>
      </c>
      <c r="O51" s="66">
        <f>IF(E51="Thủy",LOOKUP(K51,CVT!A$58:A$60,CVT!B$58:B$60),INDEX(CVT,IF(J51&gt;100,1,MATCH(J51,KM,-1)),I51))</f>
        <v>10916</v>
      </c>
      <c r="P51" s="67" t="str">
        <f>IF(E51="Thủy","+","x")</f>
        <v>x</v>
      </c>
      <c r="Q51" s="67"/>
      <c r="R51" s="67"/>
      <c r="S51" s="67"/>
      <c r="T51" s="67"/>
      <c r="U51" s="68">
        <f>IF(E51="Thủy",LOOKUP(K51,CVT!A$58:A$60,CVT!D$58:D$60),J51)</f>
        <v>1.5</v>
      </c>
      <c r="V51" s="67" t="s">
        <v>457</v>
      </c>
      <c r="W51" s="69">
        <f>IF(E51="Thủy",IF(J51&lt;30,0,J51-30),D51)</f>
        <v>1</v>
      </c>
      <c r="X51" s="70" t="str">
        <f>IF(E51="Thủy",") x","x")</f>
        <v>x</v>
      </c>
      <c r="Y51" s="69">
        <f>IF(E51="Thủy",IF(J51=0,0,D51),1)</f>
        <v>1</v>
      </c>
      <c r="Z51" s="71" t="s">
        <v>457</v>
      </c>
      <c r="AA51" s="70">
        <f>IF(E51="Thủy",IF(I51=1,1,IF(I51=2,1.5,3)),LOOKUP(K51,CVT!B$48:B$51,CVT!C$48:C$51))</f>
        <v>1</v>
      </c>
      <c r="AB51" s="70" t="s">
        <v>457</v>
      </c>
      <c r="AC51" s="70">
        <f>IF(E51="Thủy",1,L51)</f>
        <v>1</v>
      </c>
      <c r="AD51" s="171">
        <f>IF(E51="Thủy",1,1)</f>
        <v>1</v>
      </c>
      <c r="AE51" s="172">
        <f>IF(E51="Thủy",(O51+Q51*S51+U51*W51)*Y51*AA51*AC51/AD51,O51*U51*W51*Y51*AA51*AC51/AD51)</f>
        <v>16374</v>
      </c>
      <c r="AF51" s="166"/>
      <c r="AG51" s="166"/>
      <c r="AH51" s="165"/>
      <c r="AI51" s="173"/>
      <c r="AJ51" s="177"/>
    </row>
    <row r="52" spans="1:39" ht="15" customHeight="1">
      <c r="A52" s="160">
        <f>+A49+1</f>
        <v>8</v>
      </c>
      <c r="B52" s="72" t="s">
        <v>2019</v>
      </c>
      <c r="C52" s="161" t="s">
        <v>557</v>
      </c>
      <c r="D52" s="162">
        <v>1</v>
      </c>
      <c r="E52" s="152"/>
      <c r="F52" s="154"/>
      <c r="G52" s="174"/>
      <c r="H52" s="174"/>
      <c r="I52" s="152"/>
      <c r="J52" s="163"/>
      <c r="K52" s="161"/>
      <c r="L52" s="161"/>
      <c r="M52" s="1037"/>
      <c r="N52" s="61"/>
      <c r="O52" s="60"/>
      <c r="P52" s="60"/>
      <c r="Q52" s="60"/>
      <c r="R52" s="60"/>
      <c r="S52" s="60"/>
      <c r="T52" s="60"/>
      <c r="U52" s="60"/>
      <c r="V52" s="60"/>
      <c r="W52" s="61"/>
      <c r="X52" s="61"/>
      <c r="Y52" s="62"/>
      <c r="Z52" s="61"/>
      <c r="AA52" s="61"/>
      <c r="AB52" s="61"/>
      <c r="AC52" s="61"/>
      <c r="AD52" s="154"/>
      <c r="AE52" s="164"/>
      <c r="AF52" s="166">
        <f>$K$100*2</f>
        <v>77087.56</v>
      </c>
      <c r="AG52" s="166"/>
      <c r="AH52" s="166"/>
      <c r="AI52" s="167">
        <f>SUM(AE52:AH54)*vc</f>
        <v>162521.76</v>
      </c>
      <c r="AJ52" s="168"/>
    </row>
    <row r="53" spans="1:39" ht="15" customHeight="1">
      <c r="A53" s="160"/>
      <c r="B53" s="72" t="s">
        <v>5069</v>
      </c>
      <c r="C53" s="161"/>
      <c r="D53" s="169">
        <v>1</v>
      </c>
      <c r="E53" s="63" t="s">
        <v>236</v>
      </c>
      <c r="F53" s="161" t="s">
        <v>2007</v>
      </c>
      <c r="G53" s="64" t="s">
        <v>2009</v>
      </c>
      <c r="H53" s="64" t="s">
        <v>3589</v>
      </c>
      <c r="I53" s="65">
        <v>1</v>
      </c>
      <c r="J53" s="65">
        <v>100</v>
      </c>
      <c r="K53" s="161">
        <v>3</v>
      </c>
      <c r="L53" s="161">
        <f>IF(E53="Thủy",1,1.15)</f>
        <v>1</v>
      </c>
      <c r="M53" s="1035"/>
      <c r="N53" s="170" t="str">
        <f>IF(E53="Thủy","(","")</f>
        <v>(</v>
      </c>
      <c r="O53" s="66">
        <f>IF(E53="Thủy",LOOKUP(K53,CVT!A$58:A$60,CVT!B$58:B$60),INDEX(CVT,IF(J53&gt;100,1,MATCH(J53,KM,-1)),I53))</f>
        <v>43498</v>
      </c>
      <c r="P53" s="67" t="str">
        <f>IF(E53="Thủy","+","x")</f>
        <v>+</v>
      </c>
      <c r="Q53" s="67"/>
      <c r="R53" s="67"/>
      <c r="S53" s="67"/>
      <c r="T53" s="67"/>
      <c r="U53" s="68">
        <f>IF(E53="Thủy",LOOKUP(K53,CVT!A$58:A$60,CVT!D$58:D$60),#REF!)</f>
        <v>295</v>
      </c>
      <c r="V53" s="67" t="s">
        <v>457</v>
      </c>
      <c r="W53" s="69">
        <f>IF(E53="Thủy",IF(J53&lt;30,0,J53-30),D53)</f>
        <v>70</v>
      </c>
      <c r="X53" s="70" t="str">
        <f>IF(E53="Thủy",") x","x")</f>
        <v>) x</v>
      </c>
      <c r="Y53" s="69">
        <f>IF(E53="Thủy",IF(J53=0,0,D53),1)</f>
        <v>1</v>
      </c>
      <c r="Z53" s="71" t="s">
        <v>457</v>
      </c>
      <c r="AA53" s="70">
        <f>IF(E53="Thủy",IF(I53=1,1,IF(I53=2,1.5,3)),LOOKUP(K53,CVT!B$48:B$51,CVT!C$48:C$51))</f>
        <v>1</v>
      </c>
      <c r="AB53" s="70" t="s">
        <v>457</v>
      </c>
      <c r="AC53" s="70">
        <f>IF(E53="Thủy",1,L53)</f>
        <v>1</v>
      </c>
      <c r="AD53" s="171">
        <f>IF(E53="Thủy",1,1)</f>
        <v>1</v>
      </c>
      <c r="AE53" s="172">
        <f>IF(E53="Thủy",(O53+Q53*S53+U53*W53)*Y53*AA53*AC53/AD53,O53*U53*W53*Y53*AA53*AC53/AD53)</f>
        <v>64148</v>
      </c>
      <c r="AF53" s="166"/>
      <c r="AG53" s="166"/>
      <c r="AH53" s="165"/>
      <c r="AI53" s="173"/>
      <c r="AJ53" s="168"/>
    </row>
    <row r="54" spans="1:39" ht="15" customHeight="1">
      <c r="A54" s="160" t="str">
        <f>IF(B54="","",MAX($A$15:A53)+1)</f>
        <v/>
      </c>
      <c r="B54" s="72"/>
      <c r="C54" s="161"/>
      <c r="D54" s="169">
        <f>+D53</f>
        <v>1</v>
      </c>
      <c r="E54" s="63" t="s">
        <v>3560</v>
      </c>
      <c r="F54" s="161" t="s">
        <v>3561</v>
      </c>
      <c r="G54" s="64" t="s">
        <v>3589</v>
      </c>
      <c r="H54" s="64" t="s">
        <v>2005</v>
      </c>
      <c r="I54" s="65">
        <v>5</v>
      </c>
      <c r="J54" s="1003">
        <v>1.5</v>
      </c>
      <c r="K54" s="161">
        <v>3</v>
      </c>
      <c r="L54" s="161">
        <v>1</v>
      </c>
      <c r="M54" s="1035"/>
      <c r="N54" s="170" t="str">
        <f>IF(E54="Thủy","(","")</f>
        <v/>
      </c>
      <c r="O54" s="66">
        <f>IF(E54="Thủy",LOOKUP(K54,CVT!A$58:A$60,CVT!B$58:B$60),INDEX(CVT,IF(J54&gt;100,1,MATCH(J54,KM,-1)),I54))</f>
        <v>10916</v>
      </c>
      <c r="P54" s="67" t="str">
        <f>IF(E54="Thủy","+","x")</f>
        <v>x</v>
      </c>
      <c r="Q54" s="67"/>
      <c r="R54" s="67"/>
      <c r="S54" s="67"/>
      <c r="T54" s="67"/>
      <c r="U54" s="68">
        <f>IF(E54="Thủy",LOOKUP(K54,CVT!A$58:A$60,CVT!D$58:D$60),J54)</f>
        <v>1.5</v>
      </c>
      <c r="V54" s="67" t="s">
        <v>457</v>
      </c>
      <c r="W54" s="69">
        <f>IF(E54="Thủy",IF(J54&lt;30,0,J54-30),D54)</f>
        <v>1</v>
      </c>
      <c r="X54" s="70" t="str">
        <f>IF(E54="Thủy",") x","x")</f>
        <v>x</v>
      </c>
      <c r="Y54" s="69">
        <f>IF(E54="Thủy",IF(J54=0,0,D54),1)</f>
        <v>1</v>
      </c>
      <c r="Z54" s="71" t="s">
        <v>457</v>
      </c>
      <c r="AA54" s="70">
        <f>IF(E54="Thủy",IF(I54=1,1,IF(I54=2,1.5,3)),LOOKUP(K54,CVT!B$48:B$51,CVT!C$48:C$51))</f>
        <v>1.3</v>
      </c>
      <c r="AB54" s="70" t="s">
        <v>457</v>
      </c>
      <c r="AC54" s="70">
        <f>IF(E54="Thủy",1,L54)</f>
        <v>1</v>
      </c>
      <c r="AD54" s="171">
        <f>IF(E54="Thủy",1,1)</f>
        <v>1</v>
      </c>
      <c r="AE54" s="172">
        <f>IF(E54="Thủy",(O54+Q54*S54+U54*W54)*Y54*AA54*AC54/AD54,O54*U54*W54*Y54*AA54*AC54/AD54)</f>
        <v>21286.2</v>
      </c>
      <c r="AF54" s="166"/>
      <c r="AG54" s="166"/>
      <c r="AH54" s="165"/>
      <c r="AI54" s="173"/>
      <c r="AJ54" s="177"/>
    </row>
    <row r="55" spans="1:39" ht="15" customHeight="1">
      <c r="A55" s="330"/>
      <c r="B55" s="153" t="s">
        <v>2139</v>
      </c>
      <c r="C55" s="331"/>
      <c r="D55" s="332"/>
      <c r="E55" s="333"/>
      <c r="F55" s="331"/>
      <c r="G55" s="334"/>
      <c r="H55" s="64"/>
      <c r="I55" s="335"/>
      <c r="J55" s="335"/>
      <c r="K55" s="331"/>
      <c r="L55" s="331"/>
      <c r="M55" s="1036"/>
      <c r="N55" s="336"/>
      <c r="O55" s="337"/>
      <c r="P55" s="338"/>
      <c r="Q55" s="338"/>
      <c r="R55" s="338"/>
      <c r="S55" s="338"/>
      <c r="T55" s="338"/>
      <c r="U55" s="339"/>
      <c r="V55" s="338"/>
      <c r="W55" s="340"/>
      <c r="X55" s="341"/>
      <c r="Y55" s="340"/>
      <c r="Z55" s="342"/>
      <c r="AA55" s="341"/>
      <c r="AB55" s="341"/>
      <c r="AC55" s="341"/>
      <c r="AD55" s="343"/>
      <c r="AE55" s="344"/>
      <c r="AF55" s="325"/>
      <c r="AG55" s="325"/>
      <c r="AH55" s="345"/>
      <c r="AI55" s="346"/>
      <c r="AJ55" s="347"/>
    </row>
    <row r="56" spans="1:39" ht="15" customHeight="1">
      <c r="A56" s="160">
        <v>10</v>
      </c>
      <c r="B56" s="72" t="s">
        <v>2133</v>
      </c>
      <c r="C56" s="161" t="s">
        <v>545</v>
      </c>
      <c r="D56" s="162">
        <v>1.45</v>
      </c>
      <c r="E56" s="152"/>
      <c r="F56" s="154"/>
      <c r="G56" s="174"/>
      <c r="H56" s="64"/>
      <c r="I56" s="152"/>
      <c r="J56" s="163"/>
      <c r="K56" s="161"/>
      <c r="L56" s="161"/>
      <c r="M56" s="1037"/>
      <c r="N56" s="61"/>
      <c r="O56" s="60"/>
      <c r="P56" s="60"/>
      <c r="Q56" s="60"/>
      <c r="R56" s="60"/>
      <c r="S56" s="60"/>
      <c r="T56" s="60"/>
      <c r="U56" s="60"/>
      <c r="V56" s="60"/>
      <c r="W56" s="61"/>
      <c r="X56" s="61"/>
      <c r="Y56" s="62"/>
      <c r="Z56" s="61"/>
      <c r="AA56" s="61"/>
      <c r="AB56" s="61"/>
      <c r="AC56" s="61"/>
      <c r="AD56" s="154"/>
      <c r="AE56" s="164"/>
      <c r="AF56" s="165"/>
      <c r="AG56" s="166"/>
      <c r="AH56" s="166"/>
      <c r="AI56" s="167">
        <f>SUM(AE56:AH58)*vc</f>
        <v>144322.65112476909</v>
      </c>
      <c r="AJ56" s="168"/>
    </row>
    <row r="57" spans="1:39" ht="15" customHeight="1">
      <c r="A57" s="160"/>
      <c r="B57" s="72" t="s">
        <v>5070</v>
      </c>
      <c r="C57" s="161"/>
      <c r="D57" s="169">
        <f>+D56</f>
        <v>1.45</v>
      </c>
      <c r="E57" s="63" t="s">
        <v>236</v>
      </c>
      <c r="F57" s="161" t="s">
        <v>2007</v>
      </c>
      <c r="G57" s="64" t="s">
        <v>2145</v>
      </c>
      <c r="H57" s="64" t="s">
        <v>2005</v>
      </c>
      <c r="I57" s="65">
        <v>1</v>
      </c>
      <c r="J57" s="65">
        <f>90*1.5+35</f>
        <v>170</v>
      </c>
      <c r="K57" s="161">
        <v>1</v>
      </c>
      <c r="L57" s="161">
        <f>IF(E57="Thủy",1,1.15)</f>
        <v>1</v>
      </c>
      <c r="M57" s="1035"/>
      <c r="N57" s="170" t="str">
        <f>IF(E57="Thủy","(","")</f>
        <v>(</v>
      </c>
      <c r="O57" s="66">
        <f>IF(E57="Thủy",LOOKUP(K57,CVT!A$58:A$60,CVT!B$58:B$60),INDEX(CVT,IF(J57&gt;100,1,MATCH(J57,KM,-1)),I57))</f>
        <v>35854</v>
      </c>
      <c r="P57" s="67" t="str">
        <f>IF(E57="Thủy","+","x")</f>
        <v>+</v>
      </c>
      <c r="Q57" s="67"/>
      <c r="R57" s="67"/>
      <c r="S57" s="67"/>
      <c r="T57" s="67"/>
      <c r="U57" s="68">
        <f>IF(E57="Thủy",LOOKUP(K57,CVT!A$58:A$60,CVT!D$58:D$60),#REF!)</f>
        <v>246</v>
      </c>
      <c r="V57" s="67" t="s">
        <v>457</v>
      </c>
      <c r="W57" s="69">
        <f>IF(E57="Thủy",IF(J57&lt;30,0,J57-30),D57)</f>
        <v>140</v>
      </c>
      <c r="X57" s="70" t="str">
        <f>IF(E57="Thủy",") x","x")</f>
        <v>) x</v>
      </c>
      <c r="Y57" s="69">
        <f>IF(E57="Thủy",IF(J57=0,0,D57),1)</f>
        <v>1.45</v>
      </c>
      <c r="Z57" s="71" t="s">
        <v>457</v>
      </c>
      <c r="AA57" s="70">
        <f>IF(E57="Thủy",IF(I57=1,1,IF(I57=2,1.5,3)),LOOKUP(K57,CVT!B$48:B$51,CVT!C$48:C$51))</f>
        <v>1</v>
      </c>
      <c r="AB57" s="70" t="s">
        <v>457</v>
      </c>
      <c r="AC57" s="70">
        <f>IF(E57="Thủy",1,L57)</f>
        <v>1</v>
      </c>
      <c r="AD57" s="171">
        <f>IF(E57="Thủy",1,1)</f>
        <v>1</v>
      </c>
      <c r="AE57" s="172">
        <f>IF(E57="Thủy",(O57+Q57*S57+U57*W57)*Y57*AA57*AC57/AD57,O57*U57*W57*Y57*AA57*AC57/AD57)</f>
        <v>101926.3</v>
      </c>
      <c r="AF57" s="166"/>
      <c r="AG57" s="166">
        <f>BX</f>
        <v>15092.706124769091</v>
      </c>
      <c r="AH57" s="165"/>
      <c r="AI57" s="173"/>
      <c r="AJ57" s="177"/>
    </row>
    <row r="58" spans="1:39" ht="15" customHeight="1">
      <c r="A58" s="160" t="str">
        <f>IF(B58="","",MAX($A$15:A57)+1)</f>
        <v/>
      </c>
      <c r="B58" s="72"/>
      <c r="C58" s="161"/>
      <c r="D58" s="169">
        <f>+D57</f>
        <v>1.45</v>
      </c>
      <c r="E58" s="63" t="s">
        <v>3560</v>
      </c>
      <c r="F58" s="161" t="s">
        <v>3561</v>
      </c>
      <c r="G58" s="64" t="s">
        <v>3589</v>
      </c>
      <c r="H58" s="64" t="s">
        <v>2005</v>
      </c>
      <c r="I58" s="65">
        <v>5</v>
      </c>
      <c r="J58" s="1003">
        <v>1.5</v>
      </c>
      <c r="K58" s="161">
        <v>1</v>
      </c>
      <c r="L58" s="161">
        <f>IF(E58="Thủy",1,1.15)</f>
        <v>1.1499999999999999</v>
      </c>
      <c r="M58" s="1035"/>
      <c r="N58" s="170" t="str">
        <f>IF(E58="Thủy","(","")</f>
        <v/>
      </c>
      <c r="O58" s="66">
        <f>IF(E58="Thủy",LOOKUP(K58,CVT!A$58:A$60,CVT!B$58:B$60),INDEX(CVT,IF(J58&gt;100,1,MATCH(J58,KM,-1)),I58))</f>
        <v>10916</v>
      </c>
      <c r="P58" s="67" t="str">
        <f>IF(E58="Thủy","+","x")</f>
        <v>x</v>
      </c>
      <c r="Q58" s="67"/>
      <c r="R58" s="67"/>
      <c r="S58" s="67"/>
      <c r="T58" s="67"/>
      <c r="U58" s="68">
        <f>IF(E58="Thủy",LOOKUP(K58,CVT!A$58:A$60,CVT!D$58:D$60),J58)</f>
        <v>1.5</v>
      </c>
      <c r="V58" s="67" t="s">
        <v>457</v>
      </c>
      <c r="W58" s="69">
        <f>IF(E58="Thủy",IF(J58&lt;30,0,J58-30),D58)</f>
        <v>1.45</v>
      </c>
      <c r="X58" s="70" t="str">
        <f>IF(E58="Thủy",") x","x")</f>
        <v>x</v>
      </c>
      <c r="Y58" s="69">
        <f>IF(E58="Thủy",IF(J58=0,0,D58),1)</f>
        <v>1</v>
      </c>
      <c r="Z58" s="71" t="s">
        <v>457</v>
      </c>
      <c r="AA58" s="70">
        <f>IF(E58="Thủy",IF(I58=1,1,IF(I58=2,1.5,3)),LOOKUP(K58,CVT!B$48:B$51,CVT!C$48:C$51))</f>
        <v>1</v>
      </c>
      <c r="AB58" s="70" t="s">
        <v>457</v>
      </c>
      <c r="AC58" s="70">
        <f>IF(E58="Thủy",1,L58)</f>
        <v>1.1499999999999999</v>
      </c>
      <c r="AD58" s="171">
        <f>IF(E58="Thủy",1,1)</f>
        <v>1</v>
      </c>
      <c r="AE58" s="172">
        <f>IF(E58="Thủy",(O58+Q58*S58+U58*W58)*Y58*AA58*AC58/AD58,O58*U58*W58*Y58*AA58*AC58/AD58)</f>
        <v>27303.644999999997</v>
      </c>
      <c r="AF58" s="166"/>
      <c r="AG58" s="166"/>
      <c r="AH58" s="165"/>
      <c r="AI58" s="173"/>
      <c r="AJ58" s="177"/>
    </row>
    <row r="59" spans="1:39" ht="15" customHeight="1">
      <c r="A59" s="330"/>
      <c r="B59" s="153" t="s">
        <v>5508</v>
      </c>
      <c r="C59" s="331"/>
      <c r="D59" s="332"/>
      <c r="E59" s="333"/>
      <c r="F59" s="331"/>
      <c r="G59" s="334"/>
      <c r="H59" s="64"/>
      <c r="I59" s="335"/>
      <c r="J59" s="335"/>
      <c r="K59" s="331"/>
      <c r="L59" s="331"/>
      <c r="M59" s="1036"/>
      <c r="N59" s="336"/>
      <c r="O59" s="337"/>
      <c r="P59" s="338"/>
      <c r="Q59" s="338"/>
      <c r="R59" s="338"/>
      <c r="S59" s="338"/>
      <c r="T59" s="338"/>
      <c r="U59" s="339"/>
      <c r="V59" s="338"/>
      <c r="W59" s="340"/>
      <c r="X59" s="341"/>
      <c r="Y59" s="340"/>
      <c r="Z59" s="342"/>
      <c r="AA59" s="341"/>
      <c r="AB59" s="341"/>
      <c r="AC59" s="341"/>
      <c r="AD59" s="343"/>
      <c r="AE59" s="344"/>
      <c r="AF59" s="325"/>
      <c r="AG59" s="325"/>
      <c r="AH59" s="345"/>
      <c r="AI59" s="346"/>
      <c r="AJ59" s="347"/>
    </row>
    <row r="60" spans="1:39" ht="15" customHeight="1">
      <c r="A60" s="160">
        <v>11</v>
      </c>
      <c r="B60" s="72" t="s">
        <v>5509</v>
      </c>
      <c r="C60" s="161" t="s">
        <v>557</v>
      </c>
      <c r="D60" s="162">
        <v>1</v>
      </c>
      <c r="E60" s="152"/>
      <c r="F60" s="154"/>
      <c r="G60" s="174"/>
      <c r="H60" s="64"/>
      <c r="I60" s="152"/>
      <c r="J60" s="163"/>
      <c r="K60" s="161"/>
      <c r="L60" s="161"/>
      <c r="M60" s="1037"/>
      <c r="N60" s="61"/>
      <c r="O60" s="60"/>
      <c r="P60" s="60"/>
      <c r="Q60" s="60"/>
      <c r="R60" s="60"/>
      <c r="S60" s="60"/>
      <c r="T60" s="60"/>
      <c r="U60" s="60"/>
      <c r="V60" s="60"/>
      <c r="W60" s="61"/>
      <c r="X60" s="61"/>
      <c r="Y60" s="62"/>
      <c r="Z60" s="61"/>
      <c r="AA60" s="61"/>
      <c r="AB60" s="61"/>
      <c r="AC60" s="61"/>
      <c r="AD60" s="154"/>
      <c r="AE60" s="164"/>
      <c r="AF60" s="165"/>
      <c r="AG60" s="166"/>
      <c r="AH60" s="166"/>
      <c r="AI60" s="167">
        <f>SUM(AE60:AH61)*vc</f>
        <v>50614</v>
      </c>
      <c r="AJ60" s="168"/>
    </row>
    <row r="61" spans="1:39" ht="15" customHeight="1">
      <c r="A61" s="160"/>
      <c r="B61" s="72" t="s">
        <v>5510</v>
      </c>
      <c r="C61" s="161"/>
      <c r="D61" s="169">
        <v>1</v>
      </c>
      <c r="E61" s="63" t="s">
        <v>236</v>
      </c>
      <c r="F61" s="161" t="s">
        <v>2007</v>
      </c>
      <c r="G61" s="64"/>
      <c r="H61" s="64"/>
      <c r="I61" s="65">
        <v>1</v>
      </c>
      <c r="J61" s="65">
        <v>90</v>
      </c>
      <c r="K61" s="161">
        <v>1</v>
      </c>
      <c r="L61" s="161">
        <f>IF(E61="Thủy",1,1.15)</f>
        <v>1</v>
      </c>
      <c r="M61" s="1035"/>
      <c r="N61" s="170" t="str">
        <f>IF(E61="Thủy","(","")</f>
        <v>(</v>
      </c>
      <c r="O61" s="66">
        <f>IF(E61="Thủy",LOOKUP(K61,CVT!A$58:A$60,CVT!B$58:B$60),INDEX(CVT,IF(J61&gt;100,1,MATCH(J61,KM,-1)),I61))</f>
        <v>35854</v>
      </c>
      <c r="P61" s="67" t="str">
        <f>IF(E61="Thủy","+","x")</f>
        <v>+</v>
      </c>
      <c r="Q61" s="67"/>
      <c r="R61" s="67"/>
      <c r="S61" s="67"/>
      <c r="T61" s="67"/>
      <c r="U61" s="68">
        <f>IF(E61="Thủy",LOOKUP(K61,CVT!A$58:A$60,CVT!D$58:D$60),#REF!)</f>
        <v>246</v>
      </c>
      <c r="V61" s="67" t="s">
        <v>457</v>
      </c>
      <c r="W61" s="69">
        <f>IF(E61="Thủy",IF(J61&lt;30,0,J61-30),D61)</f>
        <v>60</v>
      </c>
      <c r="X61" s="70" t="str">
        <f>IF(E61="Thủy",") x","x")</f>
        <v>) x</v>
      </c>
      <c r="Y61" s="69">
        <f>IF(E61="Thủy",IF(J61=0,0,D61),1)</f>
        <v>1</v>
      </c>
      <c r="Z61" s="71" t="s">
        <v>457</v>
      </c>
      <c r="AA61" s="70">
        <f>IF(E61="Thủy",IF(I61=1,1,IF(I61=2,1.5,3)),LOOKUP(K61,CVT!B$48:B$51,CVT!C$48:C$51))</f>
        <v>1</v>
      </c>
      <c r="AB61" s="70" t="s">
        <v>457</v>
      </c>
      <c r="AC61" s="70">
        <f>IF(E61="Thủy",1,L61)</f>
        <v>1</v>
      </c>
      <c r="AD61" s="171">
        <f>IF(E61="Thủy",1,1)</f>
        <v>1</v>
      </c>
      <c r="AE61" s="172">
        <f>IF(E61="Thủy",(O61+Q61*S61+U61*W61)*Y61*AA61*AC61/AD61,O61*U61*W61*Y61*AA61*AC61/AD61)</f>
        <v>50614</v>
      </c>
      <c r="AF61" s="166"/>
      <c r="AG61" s="166"/>
      <c r="AH61" s="165"/>
      <c r="AI61" s="173"/>
      <c r="AJ61" s="177"/>
    </row>
    <row r="62" spans="1:39" s="111" customFormat="1" ht="19.5" customHeight="1">
      <c r="A62" s="223" t="s">
        <v>4006</v>
      </c>
      <c r="B62" s="40"/>
      <c r="C62" s="38"/>
      <c r="D62" s="105"/>
      <c r="E62" s="38"/>
      <c r="F62" s="38"/>
      <c r="G62" s="38"/>
      <c r="H62" s="38"/>
      <c r="I62" s="38"/>
      <c r="J62" s="38"/>
      <c r="K62" s="38"/>
      <c r="L62" s="38"/>
      <c r="M62" s="38"/>
      <c r="N62" s="38"/>
      <c r="O62" s="38"/>
      <c r="P62" s="38"/>
      <c r="Q62" s="38"/>
      <c r="R62" s="38"/>
      <c r="S62" s="38"/>
      <c r="T62" s="38"/>
      <c r="U62" s="38"/>
      <c r="V62" s="38"/>
      <c r="W62" s="38"/>
      <c r="X62" s="38"/>
      <c r="Y62" s="106"/>
      <c r="Z62" s="38"/>
      <c r="AA62" s="38"/>
      <c r="AB62" s="38"/>
      <c r="AC62" s="38"/>
      <c r="AD62" s="38"/>
      <c r="AE62" s="107"/>
      <c r="AF62" s="108"/>
      <c r="AG62" s="109"/>
      <c r="AH62" s="109"/>
      <c r="AI62" s="107"/>
      <c r="AJ62" s="110"/>
    </row>
    <row r="63" spans="1:39" s="111" customFormat="1" ht="19.5" customHeight="1">
      <c r="A63" s="223" t="s">
        <v>5073</v>
      </c>
      <c r="B63" s="40"/>
      <c r="C63" s="38"/>
      <c r="D63" s="105"/>
      <c r="E63" s="38"/>
      <c r="F63" s="38"/>
      <c r="G63" s="38"/>
      <c r="H63" s="38"/>
      <c r="I63" s="38"/>
      <c r="J63" s="38"/>
      <c r="K63" s="38"/>
      <c r="L63" s="38"/>
      <c r="M63" s="38"/>
      <c r="N63" s="38"/>
      <c r="O63" s="38"/>
      <c r="P63" s="38"/>
      <c r="Q63" s="38"/>
      <c r="R63" s="38"/>
      <c r="S63" s="38"/>
      <c r="T63" s="38"/>
      <c r="U63" s="38"/>
      <c r="V63" s="38"/>
      <c r="W63" s="38"/>
      <c r="X63" s="38"/>
      <c r="Y63" s="106"/>
      <c r="Z63" s="38"/>
      <c r="AA63" s="38"/>
      <c r="AB63" s="38"/>
      <c r="AC63" s="38"/>
      <c r="AD63" s="38"/>
      <c r="AE63" s="107"/>
      <c r="AF63" s="108"/>
      <c r="AG63" s="109"/>
      <c r="AH63" s="109"/>
      <c r="AI63" s="107"/>
      <c r="AJ63" s="110"/>
    </row>
    <row r="64" spans="1:39" s="111" customFormat="1" ht="13.5" customHeight="1">
      <c r="A64" s="223"/>
      <c r="B64" s="40"/>
      <c r="C64" s="38"/>
      <c r="D64" s="105"/>
      <c r="E64" s="38"/>
      <c r="F64" s="38"/>
      <c r="G64" s="38"/>
      <c r="H64" s="38"/>
      <c r="I64" s="38"/>
      <c r="J64" s="38"/>
      <c r="K64" s="38"/>
      <c r="L64" s="38"/>
      <c r="M64" s="38"/>
      <c r="N64" s="38"/>
      <c r="O64" s="38"/>
      <c r="P64" s="38"/>
      <c r="Q64" s="38"/>
      <c r="R64" s="38"/>
      <c r="S64" s="38"/>
      <c r="T64" s="38"/>
      <c r="U64" s="38"/>
      <c r="V64" s="38"/>
      <c r="W64" s="38"/>
      <c r="X64" s="38"/>
      <c r="Y64" s="106"/>
      <c r="Z64" s="38"/>
      <c r="AA64" s="38"/>
      <c r="AB64" s="38"/>
      <c r="AC64" s="38"/>
      <c r="AD64" s="38"/>
      <c r="AE64" s="107"/>
      <c r="AF64" s="108"/>
      <c r="AG64" s="109"/>
      <c r="AH64" s="109"/>
      <c r="AI64" s="107"/>
      <c r="AJ64" s="110"/>
    </row>
    <row r="65" spans="1:38" ht="15" customHeight="1">
      <c r="A65" s="117" t="s">
        <v>524</v>
      </c>
      <c r="B65" s="118" t="s">
        <v>453</v>
      </c>
      <c r="C65" s="119" t="s">
        <v>261</v>
      </c>
      <c r="D65" s="120" t="s">
        <v>260</v>
      </c>
      <c r="E65" s="121" t="s">
        <v>259</v>
      </c>
      <c r="F65" s="121" t="s">
        <v>2006</v>
      </c>
      <c r="G65" s="122" t="s">
        <v>5050</v>
      </c>
      <c r="H65" s="123"/>
      <c r="I65" s="120" t="s">
        <v>257</v>
      </c>
      <c r="J65" s="120" t="s">
        <v>258</v>
      </c>
      <c r="K65" s="124" t="s">
        <v>257</v>
      </c>
      <c r="L65" s="121" t="s">
        <v>256</v>
      </c>
      <c r="M65" s="125" t="s">
        <v>454</v>
      </c>
      <c r="N65" s="125"/>
      <c r="O65" s="125"/>
      <c r="P65" s="125"/>
      <c r="Q65" s="125"/>
      <c r="R65" s="125"/>
      <c r="S65" s="125"/>
      <c r="T65" s="125"/>
      <c r="U65" s="125"/>
      <c r="V65" s="125"/>
      <c r="W65" s="125"/>
      <c r="X65" s="125"/>
      <c r="Y65" s="125"/>
      <c r="Z65" s="125"/>
      <c r="AA65" s="126"/>
      <c r="AB65" s="126"/>
      <c r="AC65" s="126"/>
      <c r="AD65" s="126"/>
      <c r="AE65" s="148"/>
      <c r="AF65" s="149"/>
      <c r="AG65" s="149"/>
      <c r="AH65" s="1042"/>
      <c r="AI65" s="150"/>
      <c r="AJ65" s="1043"/>
    </row>
    <row r="66" spans="1:38" ht="15" customHeight="1">
      <c r="A66" s="130"/>
      <c r="B66" s="131"/>
      <c r="C66" s="131" t="s">
        <v>253</v>
      </c>
      <c r="D66" s="132" t="s">
        <v>252</v>
      </c>
      <c r="E66" s="130" t="s">
        <v>250</v>
      </c>
      <c r="F66" s="132" t="s">
        <v>251</v>
      </c>
      <c r="G66" s="133"/>
      <c r="H66" s="134"/>
      <c r="I66" s="132" t="s">
        <v>251</v>
      </c>
      <c r="J66" s="132" t="s">
        <v>250</v>
      </c>
      <c r="K66" s="135" t="s">
        <v>249</v>
      </c>
      <c r="L66" s="130" t="s">
        <v>248</v>
      </c>
      <c r="M66" s="1122" t="s">
        <v>5057</v>
      </c>
      <c r="N66" s="1124"/>
      <c r="O66" s="1124"/>
      <c r="P66" s="1124"/>
      <c r="Q66" s="1124"/>
      <c r="R66" s="1124"/>
      <c r="S66" s="1124"/>
      <c r="T66" s="1124"/>
      <c r="U66" s="1124"/>
      <c r="V66" s="1124"/>
      <c r="W66" s="1124"/>
      <c r="X66" s="1124"/>
      <c r="Y66" s="1126"/>
      <c r="Z66" s="1124"/>
      <c r="AA66" s="1124"/>
      <c r="AB66" s="1124"/>
      <c r="AC66" s="1124"/>
      <c r="AD66" s="1124"/>
      <c r="AE66" s="344"/>
      <c r="AF66" s="325"/>
      <c r="AG66" s="325"/>
      <c r="AH66" s="345"/>
      <c r="AI66" s="346"/>
      <c r="AJ66" s="765"/>
    </row>
    <row r="67" spans="1:38" ht="15" customHeight="1">
      <c r="A67" s="130"/>
      <c r="B67" s="130"/>
      <c r="C67" s="131"/>
      <c r="D67" s="1111" t="s">
        <v>246</v>
      </c>
      <c r="E67" s="130" t="s">
        <v>245</v>
      </c>
      <c r="F67" s="132" t="s">
        <v>244</v>
      </c>
      <c r="G67" s="132" t="s">
        <v>376</v>
      </c>
      <c r="H67" s="132" t="s">
        <v>375</v>
      </c>
      <c r="I67" s="132" t="s">
        <v>244</v>
      </c>
      <c r="J67" s="132" t="s">
        <v>243</v>
      </c>
      <c r="K67" s="135" t="s">
        <v>242</v>
      </c>
      <c r="L67" s="130" t="s">
        <v>241</v>
      </c>
      <c r="M67" s="136"/>
      <c r="N67" s="136"/>
      <c r="O67" s="136"/>
      <c r="P67" s="136"/>
      <c r="Q67" s="136"/>
      <c r="R67" s="136"/>
      <c r="S67" s="136"/>
      <c r="T67" s="136"/>
      <c r="U67" s="136"/>
      <c r="V67" s="136"/>
      <c r="W67" s="136"/>
      <c r="X67" s="136"/>
      <c r="Y67" s="137"/>
      <c r="Z67" s="136"/>
      <c r="AA67" s="136"/>
      <c r="AB67" s="136"/>
      <c r="AC67" s="136"/>
      <c r="AD67" s="136"/>
      <c r="AE67" s="344"/>
      <c r="AF67" s="325"/>
      <c r="AG67" s="325"/>
      <c r="AH67" s="345"/>
      <c r="AI67" s="346"/>
      <c r="AJ67" s="765"/>
    </row>
    <row r="68" spans="1:38" s="1121" customFormat="1" ht="25.5" customHeight="1">
      <c r="A68" s="1113" t="s">
        <v>5009</v>
      </c>
      <c r="B68" s="1113" t="s">
        <v>4916</v>
      </c>
      <c r="C68" s="1114" t="s">
        <v>5002</v>
      </c>
      <c r="D68" s="1115" t="s">
        <v>5048</v>
      </c>
      <c r="E68" s="1116" t="s">
        <v>5058</v>
      </c>
      <c r="F68" s="1116" t="s">
        <v>5049</v>
      </c>
      <c r="G68" s="1117" t="s">
        <v>5051</v>
      </c>
      <c r="H68" s="1117" t="s">
        <v>5052</v>
      </c>
      <c r="I68" s="1115" t="s">
        <v>5053</v>
      </c>
      <c r="J68" s="1117" t="s">
        <v>5054</v>
      </c>
      <c r="K68" s="1115" t="s">
        <v>5055</v>
      </c>
      <c r="L68" s="1113" t="s">
        <v>5056</v>
      </c>
      <c r="M68" s="1118"/>
      <c r="N68" s="1118"/>
      <c r="O68" s="1118"/>
      <c r="P68" s="1118"/>
      <c r="Q68" s="1118"/>
      <c r="R68" s="1118"/>
      <c r="S68" s="1118"/>
      <c r="T68" s="1118"/>
      <c r="U68" s="1118"/>
      <c r="V68" s="1118"/>
      <c r="W68" s="1118"/>
      <c r="X68" s="1118"/>
      <c r="Y68" s="1119"/>
      <c r="Z68" s="1118"/>
      <c r="AA68" s="1118"/>
      <c r="AB68" s="1118"/>
      <c r="AC68" s="1118"/>
      <c r="AD68" s="1114"/>
      <c r="AE68" s="1108" t="s">
        <v>5059</v>
      </c>
      <c r="AF68" s="1108" t="s">
        <v>5060</v>
      </c>
      <c r="AG68" s="1108" t="s">
        <v>5061</v>
      </c>
      <c r="AH68" s="1108" t="s">
        <v>5061</v>
      </c>
      <c r="AI68" s="1108" t="s">
        <v>5045</v>
      </c>
      <c r="AJ68" s="1120"/>
    </row>
    <row r="69" spans="1:38" s="1121" customFormat="1" ht="25.5" customHeight="1">
      <c r="A69" s="1145"/>
      <c r="B69" s="1151" t="s">
        <v>3559</v>
      </c>
      <c r="C69" s="1146"/>
      <c r="D69" s="1147"/>
      <c r="E69" s="1148"/>
      <c r="F69" s="1148"/>
      <c r="G69" s="1149"/>
      <c r="H69" s="1149"/>
      <c r="I69" s="1147"/>
      <c r="J69" s="1149"/>
      <c r="K69" s="1147"/>
      <c r="L69" s="1146"/>
      <c r="M69" s="1442" t="s">
        <v>5208</v>
      </c>
      <c r="N69" s="1443"/>
      <c r="O69" s="1444"/>
      <c r="P69" s="1445"/>
      <c r="Q69" s="1445"/>
      <c r="R69" s="1445"/>
      <c r="S69" s="1445"/>
      <c r="T69" s="1445"/>
      <c r="U69" s="1446"/>
      <c r="V69" s="1445"/>
      <c r="W69" s="1447"/>
      <c r="X69" s="1448"/>
      <c r="Y69" s="1447"/>
      <c r="Z69" s="1449"/>
      <c r="AA69" s="1448"/>
      <c r="AB69" s="1448"/>
      <c r="AC69" s="1448"/>
      <c r="AD69" s="1450"/>
      <c r="AE69" s="1451"/>
      <c r="AF69" s="1452"/>
      <c r="AG69" s="1452"/>
      <c r="AH69" s="1453"/>
      <c r="AI69" s="1454">
        <f>SUM(AE70:AG71)</f>
        <v>4035440</v>
      </c>
      <c r="AJ69" s="1150"/>
    </row>
    <row r="70" spans="1:38" ht="101.25" customHeight="1">
      <c r="A70" s="330"/>
      <c r="B70" s="764" t="s">
        <v>3526</v>
      </c>
      <c r="C70" s="1152" t="s">
        <v>5209</v>
      </c>
      <c r="D70" s="332"/>
      <c r="E70" s="333"/>
      <c r="F70" s="331"/>
      <c r="G70" s="334" t="s">
        <v>3562</v>
      </c>
      <c r="H70" s="64" t="s">
        <v>5210</v>
      </c>
      <c r="I70" s="335"/>
      <c r="J70" s="335"/>
      <c r="K70" s="331"/>
      <c r="L70" s="331"/>
      <c r="M70" s="1039" t="s">
        <v>5079</v>
      </c>
      <c r="N70" s="336"/>
      <c r="O70" s="1023" t="s">
        <v>5656</v>
      </c>
      <c r="P70" s="338"/>
      <c r="Q70" s="338"/>
      <c r="R70" s="338"/>
      <c r="S70" s="338"/>
      <c r="T70" s="338"/>
      <c r="U70" s="339"/>
      <c r="V70" s="338"/>
      <c r="W70" s="340"/>
      <c r="X70" s="341"/>
      <c r="Y70" s="340"/>
      <c r="Z70" s="342"/>
      <c r="AA70" s="341"/>
      <c r="AB70" s="341"/>
      <c r="AC70" s="341"/>
      <c r="AD70" s="343"/>
      <c r="AE70" s="325">
        <f>(15000+20000+15000)*73</f>
        <v>3650000</v>
      </c>
      <c r="AF70" s="325"/>
      <c r="AG70" s="325"/>
      <c r="AH70" s="345"/>
      <c r="AI70" s="1016"/>
      <c r="AJ70" s="765"/>
    </row>
    <row r="71" spans="1:38" ht="47.25" customHeight="1">
      <c r="A71" s="330"/>
      <c r="B71" s="153"/>
      <c r="C71" s="331"/>
      <c r="D71" s="332"/>
      <c r="E71" s="333" t="s">
        <v>3560</v>
      </c>
      <c r="F71" s="331" t="s">
        <v>3561</v>
      </c>
      <c r="G71" s="64" t="s">
        <v>5210</v>
      </c>
      <c r="H71" s="64" t="s">
        <v>3963</v>
      </c>
      <c r="I71" s="335"/>
      <c r="J71" s="335">
        <v>0.2</v>
      </c>
      <c r="K71" s="331"/>
      <c r="L71" s="331"/>
      <c r="M71" s="1039" t="s">
        <v>5080</v>
      </c>
      <c r="N71" s="336"/>
      <c r="O71" s="337">
        <v>22000</v>
      </c>
      <c r="P71" s="338" t="s">
        <v>457</v>
      </c>
      <c r="Q71" s="338"/>
      <c r="R71" s="338"/>
      <c r="S71" s="338"/>
      <c r="T71" s="338"/>
      <c r="U71" s="340">
        <v>73</v>
      </c>
      <c r="V71" s="338" t="s">
        <v>457</v>
      </c>
      <c r="W71" s="340">
        <f>J71</f>
        <v>0.2</v>
      </c>
      <c r="X71" s="338" t="s">
        <v>457</v>
      </c>
      <c r="Y71" s="1018">
        <v>1.2</v>
      </c>
      <c r="Z71" s="342"/>
      <c r="AA71" s="1018" t="s">
        <v>3961</v>
      </c>
      <c r="AB71" s="341"/>
      <c r="AC71" s="341"/>
      <c r="AD71" s="343"/>
      <c r="AE71" s="344">
        <f>O71*U71*W71*Y71</f>
        <v>385440</v>
      </c>
      <c r="AF71" s="325"/>
      <c r="AG71" s="325"/>
      <c r="AH71" s="345"/>
      <c r="AI71" s="1016"/>
      <c r="AJ71" s="765"/>
    </row>
    <row r="72" spans="1:38" ht="15" customHeight="1">
      <c r="A72" s="330"/>
      <c r="B72" s="153"/>
      <c r="C72" s="331"/>
      <c r="D72" s="332"/>
      <c r="E72" s="333"/>
      <c r="F72" s="331"/>
      <c r="G72" s="334"/>
      <c r="H72" s="334"/>
      <c r="I72" s="335"/>
      <c r="J72" s="335"/>
      <c r="K72" s="331"/>
      <c r="L72" s="331"/>
      <c r="M72" s="1455" t="s">
        <v>3997</v>
      </c>
      <c r="N72" s="1443"/>
      <c r="O72" s="1444"/>
      <c r="P72" s="1445"/>
      <c r="Q72" s="1445"/>
      <c r="R72" s="1445"/>
      <c r="S72" s="1445"/>
      <c r="T72" s="1445"/>
      <c r="U72" s="1446"/>
      <c r="V72" s="1445"/>
      <c r="W72" s="1447"/>
      <c r="X72" s="1448"/>
      <c r="Y72" s="1447"/>
      <c r="Z72" s="1449"/>
      <c r="AA72" s="1448"/>
      <c r="AB72" s="1448"/>
      <c r="AC72" s="1448"/>
      <c r="AD72" s="1450"/>
      <c r="AE72" s="1451"/>
      <c r="AF72" s="1452"/>
      <c r="AG72" s="1452"/>
      <c r="AH72" s="1453"/>
      <c r="AI72" s="1454">
        <f>SUM(AE73:AG74)</f>
        <v>6540800</v>
      </c>
      <c r="AJ72" s="765"/>
    </row>
    <row r="73" spans="1:38" ht="69" customHeight="1">
      <c r="A73" s="330"/>
      <c r="B73" s="1038"/>
      <c r="C73" s="331"/>
      <c r="D73" s="332"/>
      <c r="E73" s="333"/>
      <c r="F73" s="331"/>
      <c r="G73" s="334"/>
      <c r="H73" s="334"/>
      <c r="I73" s="335"/>
      <c r="J73" s="335"/>
      <c r="K73" s="331"/>
      <c r="L73" s="331"/>
      <c r="M73" s="1039" t="s">
        <v>4002</v>
      </c>
      <c r="N73" s="336"/>
      <c r="O73" s="1023" t="s">
        <v>5656</v>
      </c>
      <c r="P73" s="338"/>
      <c r="Q73" s="338"/>
      <c r="R73" s="338"/>
      <c r="S73" s="338"/>
      <c r="T73" s="338"/>
      <c r="U73" s="339"/>
      <c r="V73" s="338"/>
      <c r="W73" s="340"/>
      <c r="X73" s="341"/>
      <c r="Y73" s="340"/>
      <c r="Z73" s="342"/>
      <c r="AA73" s="341"/>
      <c r="AB73" s="341"/>
      <c r="AC73" s="341"/>
      <c r="AD73" s="343"/>
      <c r="AE73" s="325">
        <f>(15000+20000+15000)*73</f>
        <v>3650000</v>
      </c>
      <c r="AF73" s="325"/>
      <c r="AG73" s="325"/>
      <c r="AH73" s="345"/>
      <c r="AI73" s="1016"/>
      <c r="AJ73" s="765"/>
    </row>
    <row r="74" spans="1:38" ht="36" customHeight="1">
      <c r="A74" s="330">
        <v>11</v>
      </c>
      <c r="B74" s="764" t="s">
        <v>3526</v>
      </c>
      <c r="C74" s="331" t="s">
        <v>3563</v>
      </c>
      <c r="D74" s="332">
        <v>1</v>
      </c>
      <c r="E74" s="333" t="s">
        <v>3560</v>
      </c>
      <c r="F74" s="331" t="s">
        <v>3561</v>
      </c>
      <c r="G74" s="334" t="s">
        <v>3562</v>
      </c>
      <c r="H74" s="64" t="s">
        <v>3963</v>
      </c>
      <c r="I74" s="335"/>
      <c r="J74" s="335">
        <v>1.5</v>
      </c>
      <c r="K74" s="331"/>
      <c r="L74" s="331"/>
      <c r="M74" s="1039" t="s">
        <v>5080</v>
      </c>
      <c r="N74" s="336"/>
      <c r="O74" s="337">
        <v>22000</v>
      </c>
      <c r="P74" s="338" t="s">
        <v>457</v>
      </c>
      <c r="Q74" s="338"/>
      <c r="R74" s="338"/>
      <c r="S74" s="338"/>
      <c r="T74" s="338"/>
      <c r="U74" s="340">
        <v>73</v>
      </c>
      <c r="V74" s="338" t="s">
        <v>457</v>
      </c>
      <c r="W74" s="340">
        <f>J74</f>
        <v>1.5</v>
      </c>
      <c r="X74" s="338" t="s">
        <v>457</v>
      </c>
      <c r="Y74" s="1018">
        <v>1.2</v>
      </c>
      <c r="Z74" s="342"/>
      <c r="AA74" s="1018" t="s">
        <v>3961</v>
      </c>
      <c r="AB74" s="341"/>
      <c r="AC74" s="341"/>
      <c r="AD74" s="343"/>
      <c r="AE74" s="344">
        <f>O74*U74*W74*Y74</f>
        <v>2890800</v>
      </c>
      <c r="AF74" s="325"/>
      <c r="AG74" s="325"/>
      <c r="AH74" s="325"/>
      <c r="AI74" s="167"/>
      <c r="AJ74" s="1020"/>
    </row>
    <row r="75" spans="1:38" ht="15" customHeight="1">
      <c r="A75" s="330"/>
      <c r="B75" s="764"/>
      <c r="C75" s="331"/>
      <c r="D75" s="332"/>
      <c r="E75" s="333"/>
      <c r="F75" s="331"/>
      <c r="G75" s="1127" t="s">
        <v>5074</v>
      </c>
      <c r="H75" s="1128" t="s">
        <v>5075</v>
      </c>
      <c r="I75" s="335"/>
      <c r="J75" s="335"/>
      <c r="K75" s="331"/>
      <c r="L75" s="331"/>
      <c r="M75" s="1455" t="s">
        <v>3998</v>
      </c>
      <c r="N75" s="1443"/>
      <c r="O75" s="1456"/>
      <c r="P75" s="1445"/>
      <c r="Q75" s="1445"/>
      <c r="R75" s="1445"/>
      <c r="S75" s="1445"/>
      <c r="T75" s="1445"/>
      <c r="U75" s="1447"/>
      <c r="V75" s="1445"/>
      <c r="W75" s="1447"/>
      <c r="X75" s="1445"/>
      <c r="Y75" s="1457"/>
      <c r="Z75" s="1449"/>
      <c r="AA75" s="1457"/>
      <c r="AB75" s="1448"/>
      <c r="AC75" s="1448"/>
      <c r="AD75" s="1450"/>
      <c r="AE75" s="1451"/>
      <c r="AF75" s="1452"/>
      <c r="AG75" s="1452"/>
      <c r="AH75" s="1452"/>
      <c r="AI75" s="1041">
        <f>SUM(AE76:AG80)</f>
        <v>14713250.018343454</v>
      </c>
      <c r="AJ75" s="1020"/>
    </row>
    <row r="76" spans="1:38" ht="54.75" customHeight="1">
      <c r="A76" s="330"/>
      <c r="B76" s="764"/>
      <c r="C76" s="331"/>
      <c r="D76" s="332"/>
      <c r="E76" s="333"/>
      <c r="F76" s="331"/>
      <c r="G76" s="334"/>
      <c r="H76" s="64"/>
      <c r="I76" s="335"/>
      <c r="J76" s="335"/>
      <c r="K76" s="331"/>
      <c r="L76" s="331"/>
      <c r="M76" s="1039" t="s">
        <v>4002</v>
      </c>
      <c r="N76" s="336"/>
      <c r="O76" s="1023" t="s">
        <v>5656</v>
      </c>
      <c r="P76" s="338"/>
      <c r="Q76" s="338"/>
      <c r="R76" s="338"/>
      <c r="S76" s="338"/>
      <c r="T76" s="338"/>
      <c r="U76" s="340"/>
      <c r="V76" s="338"/>
      <c r="W76" s="340"/>
      <c r="X76" s="338"/>
      <c r="Y76" s="1018"/>
      <c r="Z76" s="342"/>
      <c r="AA76" s="1018"/>
      <c r="AB76" s="341"/>
      <c r="AC76" s="341"/>
      <c r="AD76" s="343"/>
      <c r="AE76" s="325">
        <f>(15000+20000+15000)*73</f>
        <v>3650000</v>
      </c>
      <c r="AF76" s="325"/>
      <c r="AG76" s="325"/>
      <c r="AH76" s="325"/>
      <c r="AI76" s="167"/>
      <c r="AJ76" s="1020"/>
    </row>
    <row r="77" spans="1:38" ht="30" customHeight="1">
      <c r="A77" s="330"/>
      <c r="B77" s="764"/>
      <c r="C77" s="331"/>
      <c r="D77" s="332"/>
      <c r="E77" s="333" t="s">
        <v>3560</v>
      </c>
      <c r="F77" s="331" t="s">
        <v>3561</v>
      </c>
      <c r="G77" s="334" t="s">
        <v>3562</v>
      </c>
      <c r="H77" s="64" t="s">
        <v>3963</v>
      </c>
      <c r="I77" s="335"/>
      <c r="J77" s="335">
        <v>1.5</v>
      </c>
      <c r="K77" s="331"/>
      <c r="L77" s="331"/>
      <c r="M77" s="1039" t="s">
        <v>4005</v>
      </c>
      <c r="N77" s="336"/>
      <c r="O77" s="337">
        <v>22000</v>
      </c>
      <c r="P77" s="338" t="s">
        <v>457</v>
      </c>
      <c r="Q77" s="338"/>
      <c r="R77" s="338"/>
      <c r="S77" s="338"/>
      <c r="T77" s="338"/>
      <c r="U77" s="340">
        <v>73</v>
      </c>
      <c r="V77" s="338" t="s">
        <v>457</v>
      </c>
      <c r="W77" s="340">
        <f>J77</f>
        <v>1.5</v>
      </c>
      <c r="X77" s="338" t="s">
        <v>457</v>
      </c>
      <c r="Y77" s="1018">
        <v>1.2</v>
      </c>
      <c r="Z77" s="342"/>
      <c r="AA77" s="1018" t="s">
        <v>3961</v>
      </c>
      <c r="AB77" s="341"/>
      <c r="AC77" s="341"/>
      <c r="AD77" s="343"/>
      <c r="AE77" s="344">
        <f>O77*U77*W77*Y77</f>
        <v>2890800</v>
      </c>
      <c r="AF77" s="325"/>
      <c r="AG77" s="325"/>
      <c r="AH77" s="325"/>
      <c r="AI77" s="167"/>
      <c r="AJ77" s="765"/>
      <c r="AL77" s="75">
        <v>20192108.858032856</v>
      </c>
    </row>
    <row r="78" spans="1:38" ht="15" customHeight="1">
      <c r="A78" s="330"/>
      <c r="B78" s="764"/>
      <c r="C78" s="331"/>
      <c r="D78" s="332"/>
      <c r="E78" s="333"/>
      <c r="F78" s="331"/>
      <c r="G78" s="1127" t="s">
        <v>5074</v>
      </c>
      <c r="H78" s="1128" t="s">
        <v>5075</v>
      </c>
      <c r="I78" s="335"/>
      <c r="J78" s="335"/>
      <c r="K78" s="331"/>
      <c r="L78" s="331"/>
      <c r="M78" s="342" t="s">
        <v>3999</v>
      </c>
      <c r="N78" s="336"/>
      <c r="O78" s="337"/>
      <c r="P78" s="338"/>
      <c r="Q78" s="338"/>
      <c r="R78" s="338"/>
      <c r="S78" s="338"/>
      <c r="T78" s="338"/>
      <c r="U78" s="340"/>
      <c r="V78" s="338"/>
      <c r="W78" s="340"/>
      <c r="X78" s="338"/>
      <c r="Y78" s="1018"/>
      <c r="Z78" s="342"/>
      <c r="AA78" s="1018"/>
      <c r="AB78" s="341"/>
      <c r="AC78" s="341"/>
      <c r="AD78" s="343"/>
      <c r="AE78" s="325">
        <f>'14.boc xep'!$K$13</f>
        <v>2595250.0183434547</v>
      </c>
      <c r="AF78" s="325"/>
      <c r="AG78" s="325"/>
      <c r="AH78" s="325"/>
      <c r="AI78" s="1016"/>
      <c r="AJ78" s="765"/>
    </row>
    <row r="79" spans="1:38" ht="59.25" customHeight="1">
      <c r="A79" s="330"/>
      <c r="B79" s="764"/>
      <c r="C79" s="331"/>
      <c r="D79" s="332"/>
      <c r="E79" s="333"/>
      <c r="F79" s="331"/>
      <c r="G79" s="334"/>
      <c r="H79" s="64"/>
      <c r="I79" s="335"/>
      <c r="J79" s="335"/>
      <c r="K79" s="331"/>
      <c r="L79" s="331"/>
      <c r="M79" s="1039" t="s">
        <v>4002</v>
      </c>
      <c r="N79" s="336"/>
      <c r="O79" s="337"/>
      <c r="P79" s="338"/>
      <c r="Q79" s="338"/>
      <c r="R79" s="338"/>
      <c r="S79" s="338"/>
      <c r="T79" s="338"/>
      <c r="U79" s="340"/>
      <c r="V79" s="338"/>
      <c r="W79" s="340"/>
      <c r="X79" s="338"/>
      <c r="Y79" s="1018"/>
      <c r="Z79" s="342"/>
      <c r="AA79" s="1018"/>
      <c r="AB79" s="341"/>
      <c r="AC79" s="341"/>
      <c r="AD79" s="343"/>
      <c r="AE79" s="325">
        <f>(15000+20000+15000)*73</f>
        <v>3650000</v>
      </c>
      <c r="AF79" s="325"/>
      <c r="AG79" s="325"/>
      <c r="AH79" s="325"/>
      <c r="AI79" s="1016"/>
      <c r="AJ79" s="765"/>
    </row>
    <row r="80" spans="1:38" ht="33" customHeight="1">
      <c r="A80" s="330"/>
      <c r="B80" s="764"/>
      <c r="C80" s="331"/>
      <c r="D80" s="332"/>
      <c r="E80" s="333" t="s">
        <v>3560</v>
      </c>
      <c r="F80" s="331" t="s">
        <v>3561</v>
      </c>
      <c r="G80" s="64" t="s">
        <v>3963</v>
      </c>
      <c r="H80" s="64" t="s">
        <v>3964</v>
      </c>
      <c r="I80" s="335"/>
      <c r="J80" s="335">
        <v>1</v>
      </c>
      <c r="K80" s="331"/>
      <c r="L80" s="331"/>
      <c r="M80" s="1039" t="s">
        <v>4005</v>
      </c>
      <c r="N80" s="336"/>
      <c r="O80" s="337">
        <v>22000</v>
      </c>
      <c r="P80" s="338" t="s">
        <v>457</v>
      </c>
      <c r="Q80" s="338"/>
      <c r="R80" s="338"/>
      <c r="S80" s="338"/>
      <c r="T80" s="338"/>
      <c r="U80" s="340">
        <v>73</v>
      </c>
      <c r="V80" s="338" t="s">
        <v>457</v>
      </c>
      <c r="W80" s="340">
        <f>J80</f>
        <v>1</v>
      </c>
      <c r="X80" s="338" t="s">
        <v>457</v>
      </c>
      <c r="Y80" s="1018">
        <v>1.2</v>
      </c>
      <c r="Z80" s="342"/>
      <c r="AA80" s="1018" t="s">
        <v>3961</v>
      </c>
      <c r="AB80" s="341"/>
      <c r="AC80" s="341"/>
      <c r="AD80" s="343"/>
      <c r="AE80" s="344">
        <f>O80*U80*W80*Y80</f>
        <v>1927200</v>
      </c>
      <c r="AF80" s="325"/>
      <c r="AG80" s="325"/>
      <c r="AH80" s="345"/>
      <c r="AI80" s="1016"/>
      <c r="AJ80" s="765"/>
    </row>
    <row r="81" spans="1:36" ht="15" customHeight="1">
      <c r="A81" s="330"/>
      <c r="B81" s="764"/>
      <c r="C81" s="331"/>
      <c r="D81" s="332"/>
      <c r="E81" s="333"/>
      <c r="F81" s="331"/>
      <c r="G81" s="1128" t="s">
        <v>5075</v>
      </c>
      <c r="H81" s="1128" t="s">
        <v>5076</v>
      </c>
      <c r="I81" s="335"/>
      <c r="J81" s="335"/>
      <c r="K81" s="331"/>
      <c r="L81" s="331"/>
      <c r="M81" s="1455" t="s">
        <v>4001</v>
      </c>
      <c r="N81" s="1443"/>
      <c r="O81" s="1456"/>
      <c r="P81" s="1445"/>
      <c r="Q81" s="1445"/>
      <c r="R81" s="1445"/>
      <c r="S81" s="1445"/>
      <c r="T81" s="1445"/>
      <c r="U81" s="1447"/>
      <c r="V81" s="1445"/>
      <c r="W81" s="1447"/>
      <c r="X81" s="1445"/>
      <c r="Y81" s="1457"/>
      <c r="Z81" s="1449"/>
      <c r="AA81" s="1457"/>
      <c r="AB81" s="1448"/>
      <c r="AC81" s="1448"/>
      <c r="AD81" s="1450"/>
      <c r="AE81" s="1451"/>
      <c r="AF81" s="1452"/>
      <c r="AG81" s="1452"/>
      <c r="AH81" s="1453"/>
      <c r="AI81" s="1454">
        <f>SUM(AE82:AG85)</f>
        <v>16279000</v>
      </c>
      <c r="AJ81" s="765"/>
    </row>
    <row r="82" spans="1:36" ht="54.75" customHeight="1">
      <c r="A82" s="330"/>
      <c r="B82" s="764"/>
      <c r="C82" s="331"/>
      <c r="D82" s="332"/>
      <c r="E82" s="333"/>
      <c r="F82" s="331"/>
      <c r="G82" s="334"/>
      <c r="H82" s="64"/>
      <c r="I82" s="335"/>
      <c r="J82" s="335"/>
      <c r="K82" s="331"/>
      <c r="L82" s="331"/>
      <c r="M82" s="1039" t="s">
        <v>4002</v>
      </c>
      <c r="N82" s="336"/>
      <c r="O82" s="1023" t="s">
        <v>5656</v>
      </c>
      <c r="P82" s="338"/>
      <c r="Q82" s="338"/>
      <c r="R82" s="338"/>
      <c r="S82" s="338"/>
      <c r="T82" s="338"/>
      <c r="U82" s="340"/>
      <c r="V82" s="338"/>
      <c r="W82" s="340"/>
      <c r="X82" s="338"/>
      <c r="Y82" s="1018"/>
      <c r="Z82" s="342"/>
      <c r="AA82" s="1018"/>
      <c r="AB82" s="341"/>
      <c r="AC82" s="341"/>
      <c r="AD82" s="343"/>
      <c r="AE82" s="325">
        <f>(15000+20000+15000)*73</f>
        <v>3650000</v>
      </c>
      <c r="AF82" s="325"/>
      <c r="AG82" s="325"/>
      <c r="AH82" s="345"/>
      <c r="AI82" s="1016"/>
      <c r="AJ82" s="765"/>
    </row>
    <row r="83" spans="1:36" ht="35.25" customHeight="1">
      <c r="A83" s="330"/>
      <c r="B83" s="764"/>
      <c r="C83" s="331"/>
      <c r="D83" s="332"/>
      <c r="E83" s="333" t="s">
        <v>3560</v>
      </c>
      <c r="F83" s="331" t="s">
        <v>3561</v>
      </c>
      <c r="G83" s="334" t="s">
        <v>3562</v>
      </c>
      <c r="H83" s="1021" t="s">
        <v>3971</v>
      </c>
      <c r="I83" s="335"/>
      <c r="J83" s="335">
        <v>1</v>
      </c>
      <c r="K83" s="331"/>
      <c r="L83" s="331"/>
      <c r="M83" s="1039" t="s">
        <v>4005</v>
      </c>
      <c r="N83" s="336"/>
      <c r="O83" s="337">
        <v>22000</v>
      </c>
      <c r="P83" s="338" t="s">
        <v>457</v>
      </c>
      <c r="Q83" s="338"/>
      <c r="R83" s="338"/>
      <c r="S83" s="338"/>
      <c r="T83" s="338"/>
      <c r="U83" s="340">
        <v>73</v>
      </c>
      <c r="V83" s="338" t="s">
        <v>457</v>
      </c>
      <c r="W83" s="340">
        <f>J83</f>
        <v>1</v>
      </c>
      <c r="X83" s="338" t="s">
        <v>457</v>
      </c>
      <c r="Y83" s="1018">
        <v>1.2</v>
      </c>
      <c r="Z83" s="342"/>
      <c r="AA83" s="1018" t="s">
        <v>3961</v>
      </c>
      <c r="AB83" s="341"/>
      <c r="AC83" s="341"/>
      <c r="AD83" s="343"/>
      <c r="AE83" s="344">
        <f>O83*U83*W83*Y83</f>
        <v>1927200</v>
      </c>
      <c r="AF83" s="325"/>
      <c r="AG83" s="325"/>
      <c r="AH83" s="325"/>
      <c r="AI83" s="167"/>
      <c r="AJ83" s="765"/>
    </row>
    <row r="84" spans="1:36" ht="57" customHeight="1">
      <c r="A84" s="330"/>
      <c r="B84" s="764"/>
      <c r="C84" s="331"/>
      <c r="D84" s="332"/>
      <c r="E84" s="331"/>
      <c r="F84" s="331"/>
      <c r="G84" s="1127" t="s">
        <v>5074</v>
      </c>
      <c r="H84" s="1129" t="s">
        <v>5077</v>
      </c>
      <c r="I84" s="335"/>
      <c r="J84" s="335"/>
      <c r="K84" s="331"/>
      <c r="L84" s="331"/>
      <c r="M84" s="1039" t="s">
        <v>4003</v>
      </c>
      <c r="N84" s="336"/>
      <c r="O84" s="1023" t="s">
        <v>5657</v>
      </c>
      <c r="P84" s="338"/>
      <c r="Q84" s="338"/>
      <c r="R84" s="338"/>
      <c r="S84" s="338"/>
      <c r="T84" s="338"/>
      <c r="U84" s="340"/>
      <c r="V84" s="338"/>
      <c r="W84" s="340"/>
      <c r="X84" s="338"/>
      <c r="Y84" s="1018"/>
      <c r="Z84" s="342"/>
      <c r="AA84" s="1018"/>
      <c r="AB84" s="341"/>
      <c r="AC84" s="341"/>
      <c r="AD84" s="343"/>
      <c r="AE84" s="325">
        <f>(20000+30000+15000)*73</f>
        <v>4745000</v>
      </c>
      <c r="AF84" s="325"/>
      <c r="AG84" s="325"/>
      <c r="AH84" s="325"/>
      <c r="AI84" s="1016"/>
      <c r="AJ84" s="765"/>
    </row>
    <row r="85" spans="1:36" ht="36.75" customHeight="1">
      <c r="A85" s="330"/>
      <c r="B85" s="764"/>
      <c r="C85" s="331"/>
      <c r="D85" s="332"/>
      <c r="E85" s="331" t="s">
        <v>236</v>
      </c>
      <c r="F85" s="331"/>
      <c r="G85" s="1021" t="s">
        <v>3969</v>
      </c>
      <c r="H85" s="1021" t="s">
        <v>3970</v>
      </c>
      <c r="I85" s="335"/>
      <c r="J85" s="335" t="s">
        <v>3972</v>
      </c>
      <c r="K85" s="331"/>
      <c r="L85" s="331"/>
      <c r="M85" s="1039" t="s">
        <v>4004</v>
      </c>
      <c r="N85" s="336"/>
      <c r="O85" s="337">
        <v>54400</v>
      </c>
      <c r="P85" s="338" t="s">
        <v>457</v>
      </c>
      <c r="Q85" s="338"/>
      <c r="R85" s="338"/>
      <c r="S85" s="338"/>
      <c r="T85" s="338"/>
      <c r="U85" s="340">
        <v>73</v>
      </c>
      <c r="V85" s="338" t="s">
        <v>457</v>
      </c>
      <c r="W85" s="340">
        <v>1.5</v>
      </c>
      <c r="X85" s="338" t="s">
        <v>457</v>
      </c>
      <c r="Y85" s="1018">
        <v>1</v>
      </c>
      <c r="Z85" s="342"/>
      <c r="AA85" s="1018" t="s">
        <v>3962</v>
      </c>
      <c r="AB85" s="341"/>
      <c r="AC85" s="341"/>
      <c r="AD85" s="343"/>
      <c r="AE85" s="344">
        <f>O85*U85*W85*Y85</f>
        <v>5956800</v>
      </c>
      <c r="AF85" s="325"/>
      <c r="AG85" s="325"/>
      <c r="AH85" s="345"/>
      <c r="AI85" s="1016"/>
      <c r="AJ85" s="765"/>
    </row>
    <row r="86" spans="1:36" ht="37.5" customHeight="1">
      <c r="A86" s="330"/>
      <c r="B86" s="764"/>
      <c r="C86" s="331"/>
      <c r="D86" s="332"/>
      <c r="E86" s="333"/>
      <c r="F86" s="331"/>
      <c r="G86" s="1129" t="s">
        <v>5077</v>
      </c>
      <c r="H86" s="1129" t="s">
        <v>5078</v>
      </c>
      <c r="I86" s="335"/>
      <c r="J86" s="335"/>
      <c r="K86" s="331"/>
      <c r="L86" s="331"/>
      <c r="M86" s="1036"/>
      <c r="N86" s="336"/>
      <c r="O86" s="337"/>
      <c r="P86" s="1022"/>
      <c r="Q86" s="338"/>
      <c r="R86" s="338"/>
      <c r="S86" s="338"/>
      <c r="T86" s="338"/>
      <c r="U86" s="1023"/>
      <c r="V86" s="338"/>
      <c r="W86" s="340"/>
      <c r="X86" s="338"/>
      <c r="Y86" s="1018"/>
      <c r="Z86" s="342"/>
      <c r="AA86" s="1018"/>
      <c r="AB86" s="341"/>
      <c r="AC86" s="341"/>
      <c r="AD86" s="343"/>
      <c r="AE86" s="344"/>
      <c r="AF86" s="325"/>
      <c r="AG86" s="325"/>
      <c r="AH86" s="345"/>
      <c r="AI86" s="1016"/>
      <c r="AJ86" s="765"/>
    </row>
    <row r="87" spans="1:36" ht="15" customHeight="1">
      <c r="A87" s="330"/>
      <c r="B87" s="764"/>
      <c r="C87" s="331"/>
      <c r="D87" s="332"/>
      <c r="E87" s="333"/>
      <c r="F87" s="331"/>
      <c r="G87" s="334"/>
      <c r="H87" s="334"/>
      <c r="I87" s="335"/>
      <c r="J87" s="335"/>
      <c r="K87" s="331"/>
      <c r="L87" s="331"/>
      <c r="M87" s="1036"/>
      <c r="N87" s="336"/>
      <c r="O87" s="337"/>
      <c r="P87" s="1022"/>
      <c r="Q87" s="338"/>
      <c r="R87" s="338"/>
      <c r="S87" s="338"/>
      <c r="T87" s="338"/>
      <c r="U87" s="1023"/>
      <c r="V87" s="338"/>
      <c r="W87" s="340"/>
      <c r="X87" s="338"/>
      <c r="Y87" s="1018"/>
      <c r="Z87" s="342"/>
      <c r="AA87" s="1018"/>
      <c r="AB87" s="341"/>
      <c r="AC87" s="341"/>
      <c r="AD87" s="343"/>
      <c r="AE87" s="344"/>
      <c r="AF87" s="325"/>
      <c r="AG87" s="325"/>
      <c r="AH87" s="345"/>
      <c r="AI87" s="1016"/>
      <c r="AJ87" s="765"/>
    </row>
    <row r="88" spans="1:36" ht="13.5" customHeight="1">
      <c r="A88" s="73"/>
      <c r="B88" s="178"/>
      <c r="C88" s="179" t="s">
        <v>3564</v>
      </c>
      <c r="D88" s="178"/>
      <c r="E88" s="180"/>
      <c r="F88" s="180"/>
      <c r="G88" s="181"/>
      <c r="H88" s="181"/>
      <c r="I88" s="180"/>
      <c r="J88" s="180"/>
      <c r="K88" s="180"/>
      <c r="L88" s="180"/>
      <c r="M88" s="182"/>
      <c r="N88" s="1040"/>
      <c r="O88" s="74"/>
      <c r="P88" s="74"/>
      <c r="Q88" s="74"/>
      <c r="R88" s="74"/>
      <c r="S88" s="74"/>
      <c r="T88" s="74"/>
      <c r="U88" s="74"/>
      <c r="V88" s="74"/>
      <c r="W88" s="74"/>
      <c r="X88" s="74"/>
      <c r="Y88" s="183"/>
      <c r="Z88" s="74"/>
      <c r="AA88" s="74"/>
      <c r="AB88" s="74"/>
      <c r="AC88" s="74"/>
      <c r="AD88" s="74"/>
      <c r="AE88" s="184"/>
      <c r="AF88" s="185"/>
      <c r="AG88" s="185"/>
      <c r="AH88" s="185"/>
      <c r="AI88" s="184"/>
      <c r="AJ88" s="186"/>
    </row>
    <row r="89" spans="1:36" ht="9" customHeight="1">
      <c r="A89" s="187"/>
      <c r="D89" s="75"/>
      <c r="G89" s="76"/>
      <c r="H89" s="76"/>
      <c r="J89" s="76"/>
      <c r="K89" s="76"/>
      <c r="L89" s="76"/>
      <c r="M89" s="76"/>
      <c r="N89" s="76"/>
      <c r="O89" s="76"/>
      <c r="P89" s="76"/>
      <c r="Q89" s="76"/>
      <c r="R89" s="76"/>
      <c r="S89" s="76"/>
      <c r="T89" s="76"/>
      <c r="U89" s="76"/>
      <c r="V89" s="76"/>
      <c r="W89" s="76"/>
      <c r="X89" s="76"/>
      <c r="Y89" s="77"/>
      <c r="Z89" s="76"/>
      <c r="AA89" s="76"/>
      <c r="AB89" s="76"/>
      <c r="AC89" s="76"/>
      <c r="AD89" s="76"/>
      <c r="AE89" s="78"/>
      <c r="AF89" s="79"/>
      <c r="AG89" s="79"/>
      <c r="AH89" s="79"/>
      <c r="AI89" s="78"/>
      <c r="AJ89" s="80"/>
    </row>
    <row r="90" spans="1:36" ht="17.25" hidden="1" customHeight="1">
      <c r="A90" s="188"/>
      <c r="B90" s="77" t="s">
        <v>235</v>
      </c>
      <c r="C90" s="189"/>
      <c r="D90" s="77"/>
      <c r="E90" s="190">
        <v>1</v>
      </c>
      <c r="F90" s="190"/>
      <c r="I90" s="76"/>
    </row>
    <row r="91" spans="1:36" ht="17.25" hidden="1" customHeight="1">
      <c r="A91" s="188"/>
      <c r="B91" s="77" t="s">
        <v>197</v>
      </c>
    </row>
    <row r="92" spans="1:36" ht="17.25" customHeight="1">
      <c r="B92" s="196" t="s">
        <v>198</v>
      </c>
      <c r="C92" s="197"/>
      <c r="D92" s="198"/>
      <c r="E92" s="197"/>
      <c r="F92" s="197"/>
      <c r="G92" s="198"/>
      <c r="H92" s="197"/>
      <c r="I92" s="197"/>
      <c r="J92" s="197"/>
      <c r="K92" s="197"/>
      <c r="L92" s="199"/>
      <c r="M92" s="199"/>
      <c r="N92" s="200"/>
      <c r="O92" s="1017">
        <f>0.35+0.5*(21620/1.1/14714)+(0.15*1050/540)</f>
        <v>1.3095525391196181</v>
      </c>
    </row>
    <row r="93" spans="1:36" ht="17.25" customHeight="1">
      <c r="B93" s="197" t="s">
        <v>199</v>
      </c>
      <c r="C93" s="197"/>
      <c r="D93" s="198"/>
      <c r="E93" s="197"/>
      <c r="F93" s="197"/>
      <c r="G93" s="198"/>
      <c r="H93" s="197"/>
      <c r="I93" s="197"/>
      <c r="J93" s="197"/>
      <c r="K93" s="197"/>
      <c r="L93" s="199"/>
      <c r="M93" s="199"/>
      <c r="N93" s="200"/>
      <c r="O93" s="201"/>
      <c r="Y93" s="1017"/>
    </row>
    <row r="94" spans="1:36" ht="15.75" customHeight="1">
      <c r="B94" s="202" t="s">
        <v>200</v>
      </c>
      <c r="C94" s="203" t="s">
        <v>282</v>
      </c>
      <c r="D94" s="204" t="s">
        <v>283</v>
      </c>
      <c r="E94" s="311"/>
      <c r="F94" s="205"/>
      <c r="G94" s="204" t="s">
        <v>581</v>
      </c>
      <c r="H94" s="205"/>
      <c r="I94" s="206" t="s">
        <v>201</v>
      </c>
      <c r="J94" s="205"/>
      <c r="K94" s="207"/>
      <c r="L94" s="208" t="s">
        <v>569</v>
      </c>
      <c r="M94" s="208"/>
      <c r="N94" s="208"/>
      <c r="O94" s="209"/>
    </row>
    <row r="95" spans="1:36" ht="13.5" customHeight="1">
      <c r="B95" s="210"/>
      <c r="C95" s="211"/>
      <c r="D95" s="212"/>
      <c r="E95" s="217"/>
      <c r="F95" s="213"/>
      <c r="G95" s="212"/>
      <c r="H95" s="213"/>
      <c r="I95" s="214" t="s">
        <v>202</v>
      </c>
      <c r="J95" s="213"/>
      <c r="K95" s="215" t="s">
        <v>203</v>
      </c>
      <c r="L95" s="216"/>
      <c r="M95" s="216"/>
      <c r="N95" s="217"/>
      <c r="O95" s="218"/>
    </row>
    <row r="96" spans="1:36" ht="15" customHeight="1">
      <c r="B96" s="250" t="s">
        <v>204</v>
      </c>
      <c r="C96" s="251"/>
      <c r="D96" s="252"/>
      <c r="E96" s="257"/>
      <c r="F96" s="253"/>
      <c r="G96" s="252"/>
      <c r="H96" s="253"/>
      <c r="I96" s="254"/>
      <c r="J96" s="253"/>
      <c r="K96" s="255"/>
      <c r="L96" s="256"/>
      <c r="M96" s="256"/>
      <c r="N96" s="257"/>
      <c r="O96" s="258"/>
    </row>
    <row r="97" spans="2:21" ht="15" customHeight="1">
      <c r="B97" s="259" t="s">
        <v>205</v>
      </c>
      <c r="C97" s="260" t="s">
        <v>545</v>
      </c>
      <c r="D97" s="261">
        <f>0.45/2</f>
        <v>0.22500000000000001</v>
      </c>
      <c r="E97" s="312" t="s">
        <v>206</v>
      </c>
      <c r="F97" s="262"/>
      <c r="G97" s="263">
        <f>'16.NC'!$F$16</f>
        <v>202862</v>
      </c>
      <c r="H97" s="264"/>
      <c r="I97" s="265">
        <v>1</v>
      </c>
      <c r="J97" s="266"/>
      <c r="K97" s="263">
        <f>D97*G97*I97</f>
        <v>45643.950000000004</v>
      </c>
      <c r="L97" s="267"/>
      <c r="M97" s="267"/>
      <c r="N97" s="267"/>
      <c r="O97" s="268"/>
    </row>
    <row r="98" spans="2:21" ht="15" customHeight="1">
      <c r="B98" s="259" t="s">
        <v>207</v>
      </c>
      <c r="C98" s="260" t="s">
        <v>545</v>
      </c>
      <c r="D98" s="261">
        <f>0.37/2</f>
        <v>0.185</v>
      </c>
      <c r="E98" s="312" t="s">
        <v>208</v>
      </c>
      <c r="F98" s="262"/>
      <c r="G98" s="263">
        <f>'16.NC'!$F$16</f>
        <v>202862</v>
      </c>
      <c r="H98" s="264"/>
      <c r="I98" s="265">
        <v>1</v>
      </c>
      <c r="J98" s="266"/>
      <c r="K98" s="263">
        <f>D98*G98*I98</f>
        <v>37529.47</v>
      </c>
      <c r="L98" s="267"/>
      <c r="M98" s="267"/>
      <c r="N98" s="267"/>
      <c r="O98" s="268"/>
    </row>
    <row r="99" spans="2:21" ht="15" customHeight="1">
      <c r="B99" s="259" t="s">
        <v>274</v>
      </c>
      <c r="C99" s="260" t="s">
        <v>545</v>
      </c>
      <c r="D99" s="261">
        <f>0.38/2</f>
        <v>0.19</v>
      </c>
      <c r="E99" s="312" t="s">
        <v>209</v>
      </c>
      <c r="F99" s="262"/>
      <c r="G99" s="263">
        <f>'16.NC'!$F$16</f>
        <v>202862</v>
      </c>
      <c r="H99" s="264"/>
      <c r="I99" s="265">
        <v>1</v>
      </c>
      <c r="J99" s="266"/>
      <c r="K99" s="263">
        <f>D99*G99*I99</f>
        <v>38543.78</v>
      </c>
      <c r="L99" s="267"/>
      <c r="M99" s="267"/>
      <c r="N99" s="267"/>
      <c r="O99" s="268"/>
    </row>
    <row r="100" spans="2:21" ht="15" customHeight="1">
      <c r="B100" s="259" t="s">
        <v>210</v>
      </c>
      <c r="C100" s="260" t="s">
        <v>557</v>
      </c>
      <c r="D100" s="1458">
        <f>0.38/2</f>
        <v>0.19</v>
      </c>
      <c r="E100" s="312" t="s">
        <v>211</v>
      </c>
      <c r="F100" s="262"/>
      <c r="G100" s="263">
        <f>'16.NC'!$F$16</f>
        <v>202862</v>
      </c>
      <c r="H100" s="264"/>
      <c r="I100" s="265">
        <v>1</v>
      </c>
      <c r="J100" s="266"/>
      <c r="K100" s="263">
        <f>D100*G100*I100</f>
        <v>38543.78</v>
      </c>
      <c r="L100" s="267"/>
      <c r="M100" s="267"/>
      <c r="N100" s="267"/>
      <c r="O100" s="268"/>
      <c r="U100" s="75" t="s">
        <v>5658</v>
      </c>
    </row>
    <row r="101" spans="2:21" ht="15" customHeight="1">
      <c r="B101" s="269" t="s">
        <v>212</v>
      </c>
      <c r="C101" s="260"/>
      <c r="D101" s="261"/>
      <c r="E101" s="312"/>
      <c r="F101" s="262"/>
      <c r="G101" s="263"/>
      <c r="H101" s="264"/>
      <c r="I101" s="265"/>
      <c r="J101" s="266"/>
      <c r="K101" s="263"/>
      <c r="L101" s="267"/>
      <c r="M101" s="267"/>
      <c r="N101" s="267"/>
      <c r="O101" s="268"/>
    </row>
    <row r="102" spans="2:21" ht="15" customHeight="1">
      <c r="B102" s="259" t="s">
        <v>213</v>
      </c>
      <c r="C102" s="260" t="s">
        <v>545</v>
      </c>
      <c r="D102" s="261"/>
      <c r="E102" s="312"/>
      <c r="F102" s="262"/>
      <c r="G102" s="263"/>
      <c r="H102" s="264"/>
      <c r="I102" s="265"/>
      <c r="J102" s="266"/>
      <c r="K102" s="263">
        <f>BX</f>
        <v>15092.706124769091</v>
      </c>
      <c r="L102" s="267"/>
      <c r="M102" s="267"/>
      <c r="N102" s="267"/>
      <c r="O102" s="268"/>
    </row>
    <row r="103" spans="2:21" ht="9.75" customHeight="1">
      <c r="B103" s="270"/>
      <c r="C103" s="271"/>
      <c r="D103" s="272"/>
      <c r="E103" s="313"/>
      <c r="F103" s="273"/>
      <c r="G103" s="274"/>
      <c r="H103" s="275"/>
      <c r="I103" s="276"/>
      <c r="J103" s="277"/>
      <c r="K103" s="274"/>
      <c r="L103" s="278"/>
      <c r="M103" s="278"/>
      <c r="N103" s="278"/>
      <c r="O103" s="279"/>
    </row>
    <row r="109" spans="2:21" ht="15" customHeight="1">
      <c r="G109" s="307" t="s">
        <v>2004</v>
      </c>
    </row>
    <row r="110" spans="2:21" ht="15" customHeight="1">
      <c r="G110" s="310" t="s">
        <v>2001</v>
      </c>
    </row>
    <row r="111" spans="2:21" ht="15" customHeight="1">
      <c r="G111" s="310" t="s">
        <v>2002</v>
      </c>
    </row>
    <row r="112" spans="2:21" ht="15" customHeight="1">
      <c r="G112" s="310" t="s">
        <v>2003</v>
      </c>
    </row>
  </sheetData>
  <dataConsolidate/>
  <phoneticPr fontId="81" type="noConversion"/>
  <dataValidations disablePrompts="1" count="1">
    <dataValidation type="list" allowBlank="1" showInputMessage="1" showErrorMessage="1" sqref="F66 I66 F10 I10">
      <formula1>"soâng,ñöôøng"</formula1>
    </dataValidation>
  </dataValidations>
  <printOptions horizontalCentered="1"/>
  <pageMargins left="0.23622047244094499" right="0.196850393700787" top="0.59055118110236204" bottom="0.35433070866141703" header="0.94488188976377996" footer="0.196850393700787"/>
  <pageSetup paperSize="9" scale="61" firstPageNumber="73" orientation="landscape" r:id="rId1"/>
  <headerFooter>
    <oddFooter>&amp;R&amp;9&amp;P</oddFooter>
  </headerFooter>
  <rowBreaks count="1" manualBreakCount="1">
    <brk id="61" max="34"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00B0F0"/>
  </sheetPr>
  <dimension ref="A1:K158"/>
  <sheetViews>
    <sheetView topLeftCell="A91" zoomScaleNormal="100" zoomScaleSheetLayoutView="85" workbookViewId="0">
      <selection activeCell="I100" sqref="I100"/>
    </sheetView>
  </sheetViews>
  <sheetFormatPr defaultRowHeight="17.100000000000001" customHeight="1"/>
  <cols>
    <col min="1" max="1" width="4.42578125" style="219" customWidth="1"/>
    <col min="2" max="2" width="7" style="219" customWidth="1"/>
    <col min="3" max="3" width="9.7109375" style="219" customWidth="1"/>
    <col min="4" max="4" width="36.28515625" style="219" customWidth="1"/>
    <col min="5" max="5" width="40.7109375" style="219" hidden="1" customWidth="1"/>
    <col min="6" max="6" width="6.42578125" style="219" customWidth="1"/>
    <col min="7" max="7" width="10.42578125" style="382" bestFit="1" customWidth="1"/>
    <col min="8" max="8" width="12" style="383" customWidth="1"/>
    <col min="9" max="9" width="12.42578125" style="383" customWidth="1"/>
    <col min="10" max="10" width="18.28515625" style="219" customWidth="1"/>
    <col min="11" max="16384" width="9.140625" style="219"/>
  </cols>
  <sheetData>
    <row r="1" spans="1:10" s="231" customFormat="1" ht="24.75" customHeight="1">
      <c r="A1" s="223" t="s">
        <v>88</v>
      </c>
      <c r="B1" s="220"/>
      <c r="C1" s="220"/>
      <c r="D1" s="220"/>
      <c r="E1" s="220"/>
      <c r="F1" s="220"/>
      <c r="G1" s="375"/>
      <c r="H1" s="108"/>
      <c r="I1" s="108"/>
    </row>
    <row r="2" spans="1:10" s="231" customFormat="1" ht="21.75" customHeight="1">
      <c r="A2" s="2012" t="str">
        <f>GiaDuThau!A2</f>
        <v>DỰ ÁN ĐẦU TƯ XÂY DỰNG CẦU LONG BÌNH – CHREY THOM</v>
      </c>
      <c r="B2" s="220"/>
      <c r="C2" s="220"/>
      <c r="D2" s="220"/>
      <c r="E2" s="220"/>
      <c r="F2" s="220"/>
      <c r="G2" s="375"/>
      <c r="H2" s="108"/>
      <c r="I2" s="108"/>
    </row>
    <row r="3" spans="1:10" s="231" customFormat="1" ht="21.75" customHeight="1">
      <c r="A3" s="2013" t="str">
        <f>GiaDuThau!A3</f>
        <v>HẠNG MỤC: PHẦN CẦU, PHẦN TUYẾN, CHIẾU SÁNG (PHÍA BỜ VIỆT NAM)</v>
      </c>
      <c r="B3" s="220"/>
      <c r="C3" s="220"/>
      <c r="D3" s="220"/>
      <c r="E3" s="220"/>
      <c r="F3" s="220"/>
      <c r="G3" s="375"/>
      <c r="H3" s="108"/>
      <c r="I3" s="108"/>
    </row>
    <row r="4" spans="1:10" s="231" customFormat="1" ht="17.100000000000001" customHeight="1">
      <c r="A4" s="223"/>
      <c r="B4" s="220"/>
      <c r="C4" s="220"/>
      <c r="D4" s="220"/>
      <c r="E4" s="220"/>
      <c r="F4" s="220"/>
      <c r="G4" s="375"/>
      <c r="H4" s="108"/>
      <c r="I4" s="763" t="s">
        <v>5899</v>
      </c>
    </row>
    <row r="5" spans="1:10" s="376" customFormat="1" ht="27" customHeight="1">
      <c r="A5" s="228" t="s">
        <v>524</v>
      </c>
      <c r="B5" s="228" t="s">
        <v>281</v>
      </c>
      <c r="C5" s="228" t="s">
        <v>550</v>
      </c>
      <c r="D5" s="228" t="s">
        <v>87</v>
      </c>
      <c r="E5" s="228" t="s">
        <v>4998</v>
      </c>
      <c r="F5" s="228" t="s">
        <v>551</v>
      </c>
      <c r="G5" s="1053" t="s">
        <v>310</v>
      </c>
      <c r="H5" s="128" t="s">
        <v>311</v>
      </c>
      <c r="I5" s="128" t="s">
        <v>312</v>
      </c>
    </row>
    <row r="6" spans="1:10" s="376" customFormat="1" ht="17.100000000000001" customHeight="1">
      <c r="A6" s="1625" t="s">
        <v>5018</v>
      </c>
      <c r="B6" s="1626" t="s">
        <v>5039</v>
      </c>
      <c r="C6" s="1625" t="s">
        <v>5040</v>
      </c>
      <c r="D6" s="1627"/>
      <c r="E6" s="235"/>
      <c r="F6" s="1625" t="s">
        <v>5022</v>
      </c>
      <c r="G6" s="1628" t="s">
        <v>5036</v>
      </c>
      <c r="H6" s="1629" t="s">
        <v>5037</v>
      </c>
      <c r="I6" s="1629" t="s">
        <v>5038</v>
      </c>
    </row>
    <row r="7" spans="1:10" s="87" customFormat="1" ht="17.100000000000001" customHeight="1">
      <c r="A7" s="1632">
        <f>IF(C7="","",MAX($A$5:A5)+1)</f>
        <v>1</v>
      </c>
      <c r="B7" s="1632">
        <v>1776</v>
      </c>
      <c r="C7" s="1632" t="s">
        <v>2180</v>
      </c>
      <c r="D7" s="1633" t="s">
        <v>4018</v>
      </c>
      <c r="E7" s="1622" t="str">
        <f>VLOOKUP(D7,'11.gia '!B:C,2,FALSE)</f>
        <v>Concrete motar C10 stone 1x2 slump 2-4</v>
      </c>
      <c r="F7" s="1634" t="s">
        <v>545</v>
      </c>
      <c r="G7" s="1635"/>
      <c r="H7" s="149"/>
      <c r="I7" s="1042">
        <f>SUM(I8:I11)</f>
        <v>752583.79606678337</v>
      </c>
      <c r="J7" s="377"/>
    </row>
    <row r="8" spans="1:10" s="87" customFormat="1" ht="17.100000000000001" customHeight="1">
      <c r="A8" s="240" t="str">
        <f>IF(C8="","",MAX($A$7:A7)+1)</f>
        <v/>
      </c>
      <c r="B8" s="240"/>
      <c r="C8" s="240"/>
      <c r="D8" s="364" t="s">
        <v>458</v>
      </c>
      <c r="E8" s="1623" t="str">
        <f>VLOOKUP(D8,'11.gia '!B:C,2,FALSE)</f>
        <v>cement PC40</v>
      </c>
      <c r="F8" s="240" t="s">
        <v>558</v>
      </c>
      <c r="G8" s="239">
        <v>233</v>
      </c>
      <c r="H8" s="166">
        <f>GVL!$I$208</f>
        <v>1535</v>
      </c>
      <c r="I8" s="166">
        <f>H8*G8</f>
        <v>357655</v>
      </c>
      <c r="J8" s="378"/>
    </row>
    <row r="9" spans="1:10" s="87" customFormat="1" ht="17.100000000000001" customHeight="1">
      <c r="A9" s="240" t="str">
        <f>IF(C9="","",MAX($A$7:A8)+1)</f>
        <v/>
      </c>
      <c r="B9" s="240"/>
      <c r="C9" s="240"/>
      <c r="D9" s="364" t="s">
        <v>214</v>
      </c>
      <c r="E9" s="1623" t="str">
        <f>VLOOKUP(D9,'11.gia '!B:C,2,FALSE)</f>
        <v>Sand to pouring concrete</v>
      </c>
      <c r="F9" s="240" t="s">
        <v>545</v>
      </c>
      <c r="G9" s="239">
        <v>0.51</v>
      </c>
      <c r="H9" s="166">
        <f>GVL!$I$38</f>
        <v>128096.80157931453</v>
      </c>
      <c r="I9" s="166">
        <f>H9*G9</f>
        <v>65329.368805450409</v>
      </c>
      <c r="J9" s="378"/>
    </row>
    <row r="10" spans="1:10" s="87" customFormat="1" ht="17.100000000000001" customHeight="1">
      <c r="A10" s="240" t="str">
        <f>IF(C10="","",MAX($A$7:A9)+1)</f>
        <v/>
      </c>
      <c r="B10" s="240"/>
      <c r="C10" s="240"/>
      <c r="D10" s="364" t="s">
        <v>750</v>
      </c>
      <c r="E10" s="1623" t="str">
        <f>VLOOKUP(D10,'11.gia '!B:C,2,FALSE)</f>
        <v>Stone 1x2</v>
      </c>
      <c r="F10" s="240" t="s">
        <v>545</v>
      </c>
      <c r="G10" s="239">
        <v>0.90300000000000002</v>
      </c>
      <c r="H10" s="166">
        <f>GVL!$I$58</f>
        <v>364185.41224953817</v>
      </c>
      <c r="I10" s="166">
        <f>H10*G10</f>
        <v>328859.42726133298</v>
      </c>
      <c r="J10" s="378"/>
    </row>
    <row r="11" spans="1:10" s="87" customFormat="1" ht="17.100000000000001" customHeight="1">
      <c r="A11" s="249" t="str">
        <f>IF(C11="","",MAX($A$7:A10)+1)</f>
        <v/>
      </c>
      <c r="B11" s="249"/>
      <c r="C11" s="249"/>
      <c r="D11" s="381" t="s">
        <v>589</v>
      </c>
      <c r="E11" s="1623" t="str">
        <f>VLOOKUP(D11,'11.gia '!B:C,2,FALSE)</f>
        <v>water</v>
      </c>
      <c r="F11" s="249" t="s">
        <v>545</v>
      </c>
      <c r="G11" s="248">
        <v>0.185</v>
      </c>
      <c r="H11" s="328">
        <f>GVL!$I$129</f>
        <v>4000</v>
      </c>
      <c r="I11" s="328">
        <f>H11*G11</f>
        <v>740</v>
      </c>
      <c r="J11" s="378"/>
    </row>
    <row r="12" spans="1:10" s="87" customFormat="1" ht="17.100000000000001" customHeight="1">
      <c r="A12" s="320">
        <f>IF(C12="","",MAX($A$7:A11)+1)</f>
        <v>2</v>
      </c>
      <c r="B12" s="320">
        <v>1776</v>
      </c>
      <c r="C12" s="320" t="s">
        <v>2181</v>
      </c>
      <c r="D12" s="1092" t="s">
        <v>153</v>
      </c>
      <c r="E12" s="1624" t="str">
        <f>VLOOKUP(D12,'11.gia '!B:C,2,FALSE)</f>
        <v>Concrete motar C15 stone 1x2 slump 2-4</v>
      </c>
      <c r="F12" s="357" t="s">
        <v>545</v>
      </c>
      <c r="G12" s="950"/>
      <c r="H12" s="1024"/>
      <c r="I12" s="1093">
        <f>SUM(I13:I16)</f>
        <v>819715.92549294059</v>
      </c>
      <c r="J12" s="377"/>
    </row>
    <row r="13" spans="1:10" s="87" customFormat="1" ht="17.100000000000001" customHeight="1">
      <c r="A13" s="240" t="str">
        <f>IF(C13="","",MAX($A$7:A12)+1)</f>
        <v/>
      </c>
      <c r="B13" s="240"/>
      <c r="C13" s="240"/>
      <c r="D13" s="364" t="s">
        <v>458</v>
      </c>
      <c r="E13" s="1623" t="str">
        <f>VLOOKUP(D13,'11.gia '!B:C,2,FALSE)</f>
        <v>cement PC40</v>
      </c>
      <c r="F13" s="240" t="s">
        <v>558</v>
      </c>
      <c r="G13" s="239">
        <v>281</v>
      </c>
      <c r="H13" s="166">
        <f>GVL!$I$208</f>
        <v>1535</v>
      </c>
      <c r="I13" s="166">
        <f>H13*G13</f>
        <v>431335</v>
      </c>
      <c r="J13" s="378"/>
    </row>
    <row r="14" spans="1:10" s="87" customFormat="1" ht="17.100000000000001" customHeight="1">
      <c r="A14" s="240" t="str">
        <f>IF(C14="","",MAX($A$7:A13)+1)</f>
        <v/>
      </c>
      <c r="B14" s="240"/>
      <c r="C14" s="240"/>
      <c r="D14" s="364" t="s">
        <v>214</v>
      </c>
      <c r="E14" s="1623" t="str">
        <f>VLOOKUP(D14,'11.gia '!B:C,2,FALSE)</f>
        <v>Sand to pouring concrete</v>
      </c>
      <c r="F14" s="240" t="s">
        <v>545</v>
      </c>
      <c r="G14" s="239">
        <v>0.49299999999999999</v>
      </c>
      <c r="H14" s="166">
        <f>GVL!$I$38</f>
        <v>128096.80157931453</v>
      </c>
      <c r="I14" s="166">
        <f>H14*G14</f>
        <v>63151.723178602064</v>
      </c>
      <c r="J14" s="378"/>
    </row>
    <row r="15" spans="1:10" s="87" customFormat="1" ht="17.100000000000001" customHeight="1">
      <c r="A15" s="240" t="str">
        <f>IF(C15="","",MAX($A$7:A14)+1)</f>
        <v/>
      </c>
      <c r="B15" s="240"/>
      <c r="C15" s="240"/>
      <c r="D15" s="364" t="s">
        <v>750</v>
      </c>
      <c r="E15" s="1623" t="str">
        <f>VLOOKUP(D15,'11.gia '!B:C,2,FALSE)</f>
        <v>Stone 1x2</v>
      </c>
      <c r="F15" s="240" t="s">
        <v>545</v>
      </c>
      <c r="G15" s="239">
        <v>0.89100000000000001</v>
      </c>
      <c r="H15" s="166">
        <f>GVL!$I$58</f>
        <v>364185.41224953817</v>
      </c>
      <c r="I15" s="166">
        <f>H15*G15</f>
        <v>324489.20231433853</v>
      </c>
      <c r="J15" s="378"/>
    </row>
    <row r="16" spans="1:10" s="87" customFormat="1" ht="17.100000000000001" customHeight="1">
      <c r="A16" s="249" t="str">
        <f>IF(C16="","",MAX($A$7:A15)+1)</f>
        <v/>
      </c>
      <c r="B16" s="249"/>
      <c r="C16" s="249"/>
      <c r="D16" s="381" t="s">
        <v>589</v>
      </c>
      <c r="E16" s="1623" t="str">
        <f>VLOOKUP(D16,'11.gia '!B:C,2,FALSE)</f>
        <v>water</v>
      </c>
      <c r="F16" s="249" t="s">
        <v>545</v>
      </c>
      <c r="G16" s="248">
        <v>0.185</v>
      </c>
      <c r="H16" s="328">
        <f>GVL!$I$129</f>
        <v>4000</v>
      </c>
      <c r="I16" s="328">
        <f>H16*G16</f>
        <v>740</v>
      </c>
      <c r="J16" s="378"/>
    </row>
    <row r="17" spans="1:10" s="87" customFormat="1" ht="17.100000000000001" customHeight="1">
      <c r="A17" s="320">
        <f>IF(C17="","",MAX($A$7:A16)+1)</f>
        <v>3</v>
      </c>
      <c r="B17" s="320">
        <v>1776</v>
      </c>
      <c r="C17" s="320" t="s">
        <v>2182</v>
      </c>
      <c r="D17" s="1092" t="s">
        <v>155</v>
      </c>
      <c r="E17" s="1624" t="str">
        <f>VLOOKUP(D17,'11.gia '!B:C,2,FALSE)</f>
        <v>Concrete motar C20 stone 1x2 slump 2-4</v>
      </c>
      <c r="F17" s="357" t="s">
        <v>545</v>
      </c>
      <c r="G17" s="950"/>
      <c r="H17" s="1024"/>
      <c r="I17" s="1093">
        <f>SUM(I18:I21)</f>
        <v>884378.32894201751</v>
      </c>
      <c r="J17" s="377"/>
    </row>
    <row r="18" spans="1:10" s="87" customFormat="1" ht="17.100000000000001" customHeight="1">
      <c r="A18" s="240" t="str">
        <f>IF(C18="","",MAX($A$7:A17)+1)</f>
        <v/>
      </c>
      <c r="B18" s="240"/>
      <c r="C18" s="240"/>
      <c r="D18" s="364" t="s">
        <v>458</v>
      </c>
      <c r="E18" s="1623" t="str">
        <f>VLOOKUP(D18,'11.gia '!B:C,2,FALSE)</f>
        <v>cement PC40</v>
      </c>
      <c r="F18" s="240" t="s">
        <v>558</v>
      </c>
      <c r="G18" s="239">
        <v>327</v>
      </c>
      <c r="H18" s="166">
        <f>GVL!$I$208</f>
        <v>1535</v>
      </c>
      <c r="I18" s="166">
        <f>H18*G18</f>
        <v>501945</v>
      </c>
      <c r="J18" s="378"/>
    </row>
    <row r="19" spans="1:10" s="87" customFormat="1" ht="17.100000000000001" customHeight="1">
      <c r="A19" s="240" t="str">
        <f>IF(C19="","",MAX($A$7:A18)+1)</f>
        <v/>
      </c>
      <c r="B19" s="240"/>
      <c r="C19" s="240"/>
      <c r="D19" s="364" t="s">
        <v>214</v>
      </c>
      <c r="E19" s="1623" t="str">
        <f>VLOOKUP(D19,'11.gia '!B:C,2,FALSE)</f>
        <v>Sand to pouring concrete</v>
      </c>
      <c r="F19" s="240" t="s">
        <v>545</v>
      </c>
      <c r="G19" s="239">
        <v>0.47499999999999998</v>
      </c>
      <c r="H19" s="166">
        <f>GVL!$I$38</f>
        <v>128096.80157931453</v>
      </c>
      <c r="I19" s="166">
        <f>H19*G19</f>
        <v>60845.9807501744</v>
      </c>
      <c r="J19" s="378"/>
    </row>
    <row r="20" spans="1:10" s="87" customFormat="1" ht="17.100000000000001" customHeight="1">
      <c r="A20" s="240" t="str">
        <f>IF(C20="","",MAX($A$7:A19)+1)</f>
        <v/>
      </c>
      <c r="B20" s="240"/>
      <c r="C20" s="240"/>
      <c r="D20" s="364" t="s">
        <v>750</v>
      </c>
      <c r="E20" s="1623" t="str">
        <f>VLOOKUP(D20,'11.gia '!B:C,2,FALSE)</f>
        <v>Stone 1x2</v>
      </c>
      <c r="F20" s="240" t="s">
        <v>545</v>
      </c>
      <c r="G20" s="239">
        <v>0.88100000000000001</v>
      </c>
      <c r="H20" s="166">
        <f>GVL!$I$58</f>
        <v>364185.41224953817</v>
      </c>
      <c r="I20" s="166">
        <f>H20*G20</f>
        <v>320847.34819184314</v>
      </c>
      <c r="J20" s="378"/>
    </row>
    <row r="21" spans="1:10" s="87" customFormat="1" ht="17.100000000000001" customHeight="1">
      <c r="A21" s="249" t="str">
        <f>IF(C21="","",MAX($A$7:A20)+1)</f>
        <v/>
      </c>
      <c r="B21" s="249"/>
      <c r="C21" s="249"/>
      <c r="D21" s="381" t="s">
        <v>589</v>
      </c>
      <c r="E21" s="1623" t="str">
        <f>VLOOKUP(D21,'11.gia '!B:C,2,FALSE)</f>
        <v>water</v>
      </c>
      <c r="F21" s="249" t="s">
        <v>545</v>
      </c>
      <c r="G21" s="248">
        <v>0.185</v>
      </c>
      <c r="H21" s="328">
        <f>GVL!$I$129</f>
        <v>4000</v>
      </c>
      <c r="I21" s="328">
        <f>H21*G21</f>
        <v>740</v>
      </c>
      <c r="J21" s="378"/>
    </row>
    <row r="22" spans="1:10" s="87" customFormat="1" ht="17.100000000000001" customHeight="1">
      <c r="A22" s="320">
        <f>IF(C22="","",MAX($A$7:A21)+1)</f>
        <v>4</v>
      </c>
      <c r="B22" s="320">
        <v>1776</v>
      </c>
      <c r="C22" s="320" t="s">
        <v>2183</v>
      </c>
      <c r="D22" s="1092" t="s">
        <v>156</v>
      </c>
      <c r="E22" s="1624" t="str">
        <f>VLOOKUP(D22,'11.gia '!B:C,2,FALSE)</f>
        <v>Concrete motar C25 stone 1x2 slump 2-4</v>
      </c>
      <c r="F22" s="357" t="s">
        <v>545</v>
      </c>
      <c r="G22" s="950"/>
      <c r="H22" s="1024"/>
      <c r="I22" s="1093">
        <f>SUM(I23:I26)</f>
        <v>950939.91780334397</v>
      </c>
      <c r="J22" s="377"/>
    </row>
    <row r="23" spans="1:10" s="87" customFormat="1" ht="17.100000000000001" customHeight="1">
      <c r="A23" s="240" t="str">
        <f>IF(C23="","",MAX($A$7:A22)+1)</f>
        <v/>
      </c>
      <c r="B23" s="240"/>
      <c r="C23" s="240"/>
      <c r="D23" s="364" t="s">
        <v>458</v>
      </c>
      <c r="E23" s="1623" t="str">
        <f>VLOOKUP(D23,'11.gia '!B:C,2,FALSE)</f>
        <v>cement PC40</v>
      </c>
      <c r="F23" s="240" t="s">
        <v>558</v>
      </c>
      <c r="G23" s="239">
        <v>374</v>
      </c>
      <c r="H23" s="166">
        <f>GVL!$I$208</f>
        <v>1535</v>
      </c>
      <c r="I23" s="166">
        <f>H23*G23</f>
        <v>574090</v>
      </c>
      <c r="J23" s="378"/>
    </row>
    <row r="24" spans="1:10" s="87" customFormat="1" ht="17.100000000000001" customHeight="1">
      <c r="A24" s="240" t="str">
        <f>IF(C24="","",MAX($A$7:A23)+1)</f>
        <v/>
      </c>
      <c r="B24" s="240"/>
      <c r="C24" s="240"/>
      <c r="D24" s="364" t="s">
        <v>214</v>
      </c>
      <c r="E24" s="1623" t="str">
        <f>VLOOKUP(D24,'11.gia '!B:C,2,FALSE)</f>
        <v>Sand to pouring concrete</v>
      </c>
      <c r="F24" s="240" t="s">
        <v>545</v>
      </c>
      <c r="G24" s="239">
        <v>0.45700000000000002</v>
      </c>
      <c r="H24" s="166">
        <f>GVL!$I$38</f>
        <v>128096.80157931453</v>
      </c>
      <c r="I24" s="166">
        <f>H24*G24</f>
        <v>58540.238321746743</v>
      </c>
      <c r="J24" s="378"/>
    </row>
    <row r="25" spans="1:10" s="87" customFormat="1" ht="17.100000000000001" customHeight="1">
      <c r="A25" s="240" t="str">
        <f>IF(C25="","",MAX($A$7:A24)+1)</f>
        <v/>
      </c>
      <c r="B25" s="240"/>
      <c r="C25" s="240"/>
      <c r="D25" s="364" t="s">
        <v>750</v>
      </c>
      <c r="E25" s="1623" t="str">
        <f>VLOOKUP(D25,'11.gia '!B:C,2,FALSE)</f>
        <v>Stone 1x2</v>
      </c>
      <c r="F25" s="240" t="s">
        <v>545</v>
      </c>
      <c r="G25" s="239">
        <v>0.872</v>
      </c>
      <c r="H25" s="166">
        <f>GVL!$I$58</f>
        <v>364185.41224953817</v>
      </c>
      <c r="I25" s="166">
        <f>H25*G25</f>
        <v>317569.67948159727</v>
      </c>
      <c r="J25" s="378"/>
    </row>
    <row r="26" spans="1:10" s="87" customFormat="1" ht="17.100000000000001" customHeight="1">
      <c r="A26" s="249" t="str">
        <f>IF(C26="","",MAX($A$7:A25)+1)</f>
        <v/>
      </c>
      <c r="B26" s="249"/>
      <c r="C26" s="249"/>
      <c r="D26" s="381" t="s">
        <v>589</v>
      </c>
      <c r="E26" s="1623" t="str">
        <f>VLOOKUP(D26,'11.gia '!B:C,2,FALSE)</f>
        <v>water</v>
      </c>
      <c r="F26" s="249" t="s">
        <v>545</v>
      </c>
      <c r="G26" s="248">
        <v>0.185</v>
      </c>
      <c r="H26" s="328">
        <f>GVL!$I$129</f>
        <v>4000</v>
      </c>
      <c r="I26" s="328">
        <f>H26*G26</f>
        <v>740</v>
      </c>
      <c r="J26" s="378"/>
    </row>
    <row r="27" spans="1:10" s="87" customFormat="1" ht="17.100000000000001" customHeight="1">
      <c r="A27" s="320">
        <f>IF(C27="","",MAX($A$7:A26)+1)</f>
        <v>5</v>
      </c>
      <c r="B27" s="320">
        <v>1776</v>
      </c>
      <c r="C27" s="320" t="s">
        <v>2184</v>
      </c>
      <c r="D27" s="1092" t="s">
        <v>157</v>
      </c>
      <c r="E27" s="1624" t="str">
        <f>VLOOKUP(D27,'11.gia '!B:C,2,FALSE)</f>
        <v>Concrete motar C30 stone 1x2 slump 2-4</v>
      </c>
      <c r="F27" s="357" t="s">
        <v>545</v>
      </c>
      <c r="G27" s="950"/>
      <c r="H27" s="1024"/>
      <c r="I27" s="1093">
        <f>SUM(I28:I31)</f>
        <v>1021660.2728168666</v>
      </c>
      <c r="J27" s="377"/>
    </row>
    <row r="28" spans="1:10" s="87" customFormat="1" ht="17.100000000000001" customHeight="1">
      <c r="A28" s="240" t="str">
        <f>IF(C28="","",MAX($A$7:A27)+1)</f>
        <v/>
      </c>
      <c r="B28" s="240"/>
      <c r="C28" s="240"/>
      <c r="D28" s="364" t="s">
        <v>458</v>
      </c>
      <c r="E28" s="1623" t="str">
        <f>VLOOKUP(D28,'11.gia '!B:C,2,FALSE)</f>
        <v>cement PC40</v>
      </c>
      <c r="F28" s="240" t="s">
        <v>558</v>
      </c>
      <c r="G28" s="239">
        <v>425</v>
      </c>
      <c r="H28" s="166">
        <f>GVL!$I$208</f>
        <v>1535</v>
      </c>
      <c r="I28" s="166">
        <f>H28*G28</f>
        <v>652375</v>
      </c>
      <c r="J28" s="378"/>
    </row>
    <row r="29" spans="1:10" s="87" customFormat="1" ht="17.100000000000001" customHeight="1">
      <c r="A29" s="240" t="str">
        <f>IF(C29="","",MAX($A$7:A28)+1)</f>
        <v/>
      </c>
      <c r="B29" s="240"/>
      <c r="C29" s="240"/>
      <c r="D29" s="364" t="s">
        <v>214</v>
      </c>
      <c r="E29" s="1623" t="str">
        <f>VLOOKUP(D29,'11.gia '!B:C,2,FALSE)</f>
        <v>Sand to pouring concrete</v>
      </c>
      <c r="F29" s="240" t="s">
        <v>545</v>
      </c>
      <c r="G29" s="239">
        <v>0.432</v>
      </c>
      <c r="H29" s="166">
        <f>GVL!$I$38</f>
        <v>128096.80157931453</v>
      </c>
      <c r="I29" s="166">
        <f>H29*G29</f>
        <v>55337.818282263877</v>
      </c>
      <c r="J29" s="378"/>
    </row>
    <row r="30" spans="1:10" s="87" customFormat="1" ht="17.100000000000001" customHeight="1">
      <c r="A30" s="240" t="str">
        <f>IF(C30="","",MAX($A$7:A29)+1)</f>
        <v/>
      </c>
      <c r="B30" s="240"/>
      <c r="C30" s="240"/>
      <c r="D30" s="364" t="s">
        <v>750</v>
      </c>
      <c r="E30" s="1623" t="str">
        <f>VLOOKUP(D30,'11.gia '!B:C,2,FALSE)</f>
        <v>Stone 1x2</v>
      </c>
      <c r="F30" s="240" t="s">
        <v>545</v>
      </c>
      <c r="G30" s="239">
        <v>0.86</v>
      </c>
      <c r="H30" s="166">
        <f>GVL!$I$58</f>
        <v>364185.41224953817</v>
      </c>
      <c r="I30" s="166">
        <f>H30*G30</f>
        <v>313199.45453460282</v>
      </c>
      <c r="J30" s="378"/>
    </row>
    <row r="31" spans="1:10" s="87" customFormat="1" ht="17.100000000000001" customHeight="1">
      <c r="A31" s="249" t="str">
        <f>IF(C31="","",MAX($A$7:A30)+1)</f>
        <v/>
      </c>
      <c r="B31" s="249"/>
      <c r="C31" s="249"/>
      <c r="D31" s="381" t="s">
        <v>589</v>
      </c>
      <c r="E31" s="1623" t="str">
        <f>VLOOKUP(D31,'11.gia '!B:C,2,FALSE)</f>
        <v>water</v>
      </c>
      <c r="F31" s="249" t="s">
        <v>545</v>
      </c>
      <c r="G31" s="248">
        <v>0.187</v>
      </c>
      <c r="H31" s="328">
        <f>GVL!$I$129</f>
        <v>4000</v>
      </c>
      <c r="I31" s="328">
        <f>H31*G31</f>
        <v>748</v>
      </c>
      <c r="J31" s="378"/>
    </row>
    <row r="32" spans="1:10" ht="17.100000000000001" customHeight="1">
      <c r="A32" s="320">
        <f>IF(C32="","",MAX($A$7:A26)+1)</f>
        <v>5</v>
      </c>
      <c r="B32" s="320">
        <v>1776</v>
      </c>
      <c r="C32" s="320" t="s">
        <v>3831</v>
      </c>
      <c r="D32" s="1092" t="s">
        <v>4019</v>
      </c>
      <c r="E32" s="1624" t="str">
        <f>VLOOKUP(D32,'11.gia '!B:C,2,FALSE)</f>
        <v>Concrete motar C10 stone 1x2 slump 6-8</v>
      </c>
      <c r="F32" s="357" t="s">
        <v>545</v>
      </c>
      <c r="G32" s="950"/>
      <c r="H32" s="1024"/>
      <c r="I32" s="1093">
        <f>SUM(I33:I36)</f>
        <v>766287.11909609917</v>
      </c>
      <c r="J32" s="377"/>
    </row>
    <row r="33" spans="1:10" ht="17.100000000000001" customHeight="1">
      <c r="A33" s="240" t="str">
        <f>IF(C33="","",MAX($A$7:A32)+1)</f>
        <v/>
      </c>
      <c r="B33" s="240"/>
      <c r="C33" s="240"/>
      <c r="D33" s="364" t="s">
        <v>458</v>
      </c>
      <c r="E33" s="1623" t="str">
        <f>VLOOKUP(D33,'11.gia '!B:C,2,FALSE)</f>
        <v>cement PC40</v>
      </c>
      <c r="F33" s="240" t="s">
        <v>558</v>
      </c>
      <c r="G33" s="239">
        <v>246</v>
      </c>
      <c r="H33" s="166">
        <f>GVL!$I$208</f>
        <v>1535</v>
      </c>
      <c r="I33" s="166">
        <f>H33*G33</f>
        <v>377610</v>
      </c>
      <c r="J33" s="378"/>
    </row>
    <row r="34" spans="1:10" ht="17.100000000000001" customHeight="1">
      <c r="A34" s="240" t="str">
        <f>IF(C34="","",MAX($A$7:A33)+1)</f>
        <v/>
      </c>
      <c r="B34" s="240"/>
      <c r="C34" s="240"/>
      <c r="D34" s="364" t="s">
        <v>214</v>
      </c>
      <c r="E34" s="1623" t="str">
        <f>VLOOKUP(D34,'11.gia '!B:C,2,FALSE)</f>
        <v>Sand to pouring concrete</v>
      </c>
      <c r="F34" s="240" t="s">
        <v>545</v>
      </c>
      <c r="G34" s="239">
        <v>0.495</v>
      </c>
      <c r="H34" s="166">
        <f>GVL!$I$38</f>
        <v>128096.80157931453</v>
      </c>
      <c r="I34" s="166">
        <f>H34*G34</f>
        <v>63407.916781760694</v>
      </c>
      <c r="J34" s="378"/>
    </row>
    <row r="35" spans="1:10" ht="17.100000000000001" customHeight="1">
      <c r="A35" s="240" t="str">
        <f>IF(C35="","",MAX($A$7:A34)+1)</f>
        <v/>
      </c>
      <c r="B35" s="240"/>
      <c r="C35" s="240"/>
      <c r="D35" s="364" t="s">
        <v>750</v>
      </c>
      <c r="E35" s="1623" t="str">
        <f>VLOOKUP(D35,'11.gia '!B:C,2,FALSE)</f>
        <v>Stone 1x2</v>
      </c>
      <c r="F35" s="240" t="s">
        <v>545</v>
      </c>
      <c r="G35" s="239">
        <v>0.89100000000000001</v>
      </c>
      <c r="H35" s="166">
        <f>GVL!$I$58</f>
        <v>364185.41224953817</v>
      </c>
      <c r="I35" s="166">
        <f>H35*G35</f>
        <v>324489.20231433853</v>
      </c>
      <c r="J35" s="378"/>
    </row>
    <row r="36" spans="1:10" ht="17.100000000000001" customHeight="1">
      <c r="A36" s="249" t="str">
        <f>IF(C36="","",MAX($A$7:A35)+1)</f>
        <v/>
      </c>
      <c r="B36" s="249"/>
      <c r="C36" s="249"/>
      <c r="D36" s="381" t="s">
        <v>589</v>
      </c>
      <c r="E36" s="1623" t="str">
        <f>VLOOKUP(D36,'11.gia '!B:C,2,FALSE)</f>
        <v>water</v>
      </c>
      <c r="F36" s="249" t="s">
        <v>545</v>
      </c>
      <c r="G36" s="248">
        <v>0.19500000000000001</v>
      </c>
      <c r="H36" s="328">
        <f>GVL!$I$129</f>
        <v>4000</v>
      </c>
      <c r="I36" s="328">
        <f>H36*G36</f>
        <v>780</v>
      </c>
      <c r="J36" s="378"/>
    </row>
    <row r="37" spans="1:10" ht="17.100000000000001" customHeight="1">
      <c r="A37" s="320">
        <f>IF(C37="","",MAX($A$7:A31)+1)</f>
        <v>6</v>
      </c>
      <c r="B37" s="320">
        <v>1776</v>
      </c>
      <c r="C37" s="320" t="s">
        <v>2185</v>
      </c>
      <c r="D37" s="1092" t="s">
        <v>2075</v>
      </c>
      <c r="E37" s="1049" t="str">
        <f>VLOOKUP(D37,'11.gia '!B:C,2,FALSE)</f>
        <v>Concrete motar C25 stone 1x2 slump 6-8</v>
      </c>
      <c r="F37" s="357" t="s">
        <v>545</v>
      </c>
      <c r="G37" s="950"/>
      <c r="H37" s="1024"/>
      <c r="I37" s="1093">
        <f>SUM(I38:I41)</f>
        <v>975348.03084768308</v>
      </c>
      <c r="J37" s="377"/>
    </row>
    <row r="38" spans="1:10" ht="17.100000000000001" customHeight="1">
      <c r="A38" s="240" t="str">
        <f>IF(C38="","",MAX($A$7:A37)+1)</f>
        <v/>
      </c>
      <c r="B38" s="240"/>
      <c r="C38" s="240"/>
      <c r="D38" s="364" t="s">
        <v>458</v>
      </c>
      <c r="E38" s="848" t="str">
        <f>VLOOKUP(D38,'11.gia '!B:C,2,FALSE)</f>
        <v>cement PC40</v>
      </c>
      <c r="F38" s="240" t="s">
        <v>558</v>
      </c>
      <c r="G38" s="239">
        <v>394</v>
      </c>
      <c r="H38" s="166">
        <f>GVL!$I$208</f>
        <v>1535</v>
      </c>
      <c r="I38" s="166">
        <f>H38*G38</f>
        <v>604790</v>
      </c>
      <c r="J38" s="378"/>
    </row>
    <row r="39" spans="1:10" ht="17.100000000000001" customHeight="1">
      <c r="A39" s="240" t="str">
        <f>IF(C39="","",MAX($A$7:A38)+1)</f>
        <v/>
      </c>
      <c r="B39" s="240"/>
      <c r="C39" s="240"/>
      <c r="D39" s="364" t="s">
        <v>214</v>
      </c>
      <c r="E39" s="848" t="str">
        <f>VLOOKUP(D39,'11.gia '!B:C,2,FALSE)</f>
        <v>Sand to pouring concrete</v>
      </c>
      <c r="F39" s="240" t="s">
        <v>545</v>
      </c>
      <c r="G39" s="239">
        <v>0.436</v>
      </c>
      <c r="H39" s="166">
        <f>GVL!$I$38</f>
        <v>128096.80157931453</v>
      </c>
      <c r="I39" s="166">
        <f>H39*G39</f>
        <v>55850.205488581138</v>
      </c>
      <c r="J39" s="378"/>
    </row>
    <row r="40" spans="1:10" ht="17.100000000000001" customHeight="1">
      <c r="A40" s="240" t="str">
        <f>IF(C40="","",MAX($A$7:A39)+1)</f>
        <v/>
      </c>
      <c r="B40" s="240"/>
      <c r="C40" s="240"/>
      <c r="D40" s="364" t="s">
        <v>750</v>
      </c>
      <c r="E40" s="848" t="str">
        <f>VLOOKUP(D40,'11.gia '!B:C,2,FALSE)</f>
        <v>Stone 1x2</v>
      </c>
      <c r="F40" s="240" t="s">
        <v>545</v>
      </c>
      <c r="G40" s="239">
        <v>0.86199999999999999</v>
      </c>
      <c r="H40" s="166">
        <f>GVL!$I$58</f>
        <v>364185.41224953817</v>
      </c>
      <c r="I40" s="166">
        <f>H40*G40</f>
        <v>313927.82535910193</v>
      </c>
      <c r="J40" s="378"/>
    </row>
    <row r="41" spans="1:10" ht="17.100000000000001" customHeight="1">
      <c r="A41" s="249" t="str">
        <f>IF(C41="","",MAX($A$7:A40)+1)</f>
        <v/>
      </c>
      <c r="B41" s="249"/>
      <c r="C41" s="249"/>
      <c r="D41" s="381" t="s">
        <v>589</v>
      </c>
      <c r="E41" s="1471" t="str">
        <f>VLOOKUP(D41,'11.gia '!B:C,2,FALSE)</f>
        <v>water</v>
      </c>
      <c r="F41" s="249" t="s">
        <v>545</v>
      </c>
      <c r="G41" s="248">
        <v>0.19500000000000001</v>
      </c>
      <c r="H41" s="328">
        <f>GVL!$I$129</f>
        <v>4000</v>
      </c>
      <c r="I41" s="328">
        <f>H41*G41</f>
        <v>780</v>
      </c>
      <c r="J41" s="378"/>
    </row>
    <row r="42" spans="1:10" s="87" customFormat="1" ht="17.100000000000001" customHeight="1">
      <c r="A42" s="320">
        <f>IF(C42="","",MAX($A$7:A41)+1)</f>
        <v>7</v>
      </c>
      <c r="B42" s="320">
        <v>1776</v>
      </c>
      <c r="C42" s="320" t="s">
        <v>2186</v>
      </c>
      <c r="D42" s="1092" t="s">
        <v>158</v>
      </c>
      <c r="E42" s="1056" t="str">
        <f>VLOOKUP(D42,'11.gia '!B:C,2,FALSE)</f>
        <v>Concrete motar C30 stone 1x2 slump 6-8</v>
      </c>
      <c r="F42" s="357" t="s">
        <v>545</v>
      </c>
      <c r="G42" s="950"/>
      <c r="H42" s="1024"/>
      <c r="I42" s="1093">
        <f>SUM(I43:I46)</f>
        <v>1060385.5064560827</v>
      </c>
      <c r="J42" s="377"/>
    </row>
    <row r="43" spans="1:10" s="87" customFormat="1" ht="17.100000000000001" customHeight="1">
      <c r="A43" s="240" t="str">
        <f>IF(C43="","",MAX($A$7:A42)+1)</f>
        <v/>
      </c>
      <c r="B43" s="240"/>
      <c r="C43" s="240"/>
      <c r="D43" s="364" t="s">
        <v>458</v>
      </c>
      <c r="E43" s="848" t="str">
        <f>VLOOKUP(D43,'11.gia '!B:C,2,FALSE)</f>
        <v>cement PC40</v>
      </c>
      <c r="F43" s="240" t="s">
        <v>558</v>
      </c>
      <c r="G43" s="239">
        <v>455</v>
      </c>
      <c r="H43" s="166">
        <f>GVL!$I$208</f>
        <v>1535</v>
      </c>
      <c r="I43" s="166">
        <f>H43*G43</f>
        <v>698425</v>
      </c>
      <c r="J43" s="378"/>
    </row>
    <row r="44" spans="1:10" s="87" customFormat="1" ht="17.100000000000001" customHeight="1">
      <c r="A44" s="240" t="str">
        <f>IF(C44="","",MAX($A$7:A43)+1)</f>
        <v/>
      </c>
      <c r="B44" s="240"/>
      <c r="C44" s="240"/>
      <c r="D44" s="364" t="s">
        <v>214</v>
      </c>
      <c r="E44" s="848" t="str">
        <f>VLOOKUP(D44,'11.gia '!B:C,2,FALSE)</f>
        <v>Sand to pouring concrete</v>
      </c>
      <c r="F44" s="240" t="s">
        <v>545</v>
      </c>
      <c r="G44" s="239">
        <v>0.4</v>
      </c>
      <c r="H44" s="166">
        <f>GVL!$I$38</f>
        <v>128096.80157931453</v>
      </c>
      <c r="I44" s="166">
        <f>H44*G44</f>
        <v>51238.720631725817</v>
      </c>
      <c r="J44" s="378"/>
    </row>
    <row r="45" spans="1:10" s="87" customFormat="1" ht="17.100000000000001" customHeight="1">
      <c r="A45" s="240" t="str">
        <f>IF(C45="","",MAX($A$7:A44)+1)</f>
        <v/>
      </c>
      <c r="B45" s="240"/>
      <c r="C45" s="240"/>
      <c r="D45" s="364" t="s">
        <v>750</v>
      </c>
      <c r="E45" s="848" t="str">
        <f>VLOOKUP(D45,'11.gia '!B:C,2,FALSE)</f>
        <v>Stone 1x2</v>
      </c>
      <c r="F45" s="240" t="s">
        <v>545</v>
      </c>
      <c r="G45" s="239">
        <v>0.85099999999999998</v>
      </c>
      <c r="H45" s="166">
        <f>GVL!$I$58</f>
        <v>364185.41224953817</v>
      </c>
      <c r="I45" s="166">
        <f>H45*G45</f>
        <v>309921.78582435695</v>
      </c>
      <c r="J45" s="378"/>
    </row>
    <row r="46" spans="1:10" s="87" customFormat="1" ht="17.100000000000001" customHeight="1">
      <c r="A46" s="249" t="str">
        <f>IF(C46="","",MAX($A$7:A45)+1)</f>
        <v/>
      </c>
      <c r="B46" s="249"/>
      <c r="C46" s="249"/>
      <c r="D46" s="381" t="s">
        <v>589</v>
      </c>
      <c r="E46" s="1471" t="str">
        <f>VLOOKUP(D46,'11.gia '!B:C,2,FALSE)</f>
        <v>water</v>
      </c>
      <c r="F46" s="249" t="s">
        <v>545</v>
      </c>
      <c r="G46" s="248">
        <v>0.2</v>
      </c>
      <c r="H46" s="328">
        <f>GVL!$I$129</f>
        <v>4000</v>
      </c>
      <c r="I46" s="328">
        <f>H46*G46</f>
        <v>800</v>
      </c>
      <c r="J46" s="378"/>
    </row>
    <row r="47" spans="1:10" s="87" customFormat="1" ht="17.100000000000001" customHeight="1">
      <c r="A47" s="320">
        <f>IF(C47="","",MAX($A$7:A46)+1)</f>
        <v>8</v>
      </c>
      <c r="B47" s="320">
        <v>1776</v>
      </c>
      <c r="C47" s="320" t="s">
        <v>2192</v>
      </c>
      <c r="D47" s="1092" t="s">
        <v>160</v>
      </c>
      <c r="E47" s="1056" t="str">
        <f>VLOOKUP(D47,'11.gia '!B:C,2,FALSE)</f>
        <v>Concrete motar C35 stone 1x2 slump 6-8</v>
      </c>
      <c r="F47" s="357" t="s">
        <v>545</v>
      </c>
      <c r="G47" s="950"/>
      <c r="H47" s="1024"/>
      <c r="I47" s="1093">
        <f>SUM(I48:I52)</f>
        <v>1153154.6838164818</v>
      </c>
      <c r="J47" s="377"/>
    </row>
    <row r="48" spans="1:10" s="87" customFormat="1" ht="17.100000000000001" customHeight="1">
      <c r="A48" s="240" t="str">
        <f>IF(C48="","",MAX($A$7:A47)+1)</f>
        <v/>
      </c>
      <c r="B48" s="240"/>
      <c r="C48" s="240"/>
      <c r="D48" s="364" t="s">
        <v>458</v>
      </c>
      <c r="E48" s="848" t="str">
        <f>VLOOKUP(D48,'11.gia '!B:C,2,FALSE)</f>
        <v>cement PC40</v>
      </c>
      <c r="F48" s="240" t="s">
        <v>558</v>
      </c>
      <c r="G48" s="239">
        <v>458</v>
      </c>
      <c r="H48" s="166">
        <f>GVL!$I$208</f>
        <v>1535</v>
      </c>
      <c r="I48" s="166">
        <f>H48*G48</f>
        <v>703030</v>
      </c>
      <c r="J48" s="378"/>
    </row>
    <row r="49" spans="1:10" s="87" customFormat="1" ht="17.100000000000001" customHeight="1">
      <c r="A49" s="240" t="str">
        <f>IF(C49="","",MAX($A$7:A48)+1)</f>
        <v/>
      </c>
      <c r="B49" s="240"/>
      <c r="C49" s="240"/>
      <c r="D49" s="364" t="s">
        <v>214</v>
      </c>
      <c r="E49" s="848" t="str">
        <f>VLOOKUP(D49,'11.gia '!B:C,2,FALSE)</f>
        <v>Sand to pouring concrete</v>
      </c>
      <c r="F49" s="240" t="s">
        <v>545</v>
      </c>
      <c r="G49" s="379">
        <v>0.42399999999999999</v>
      </c>
      <c r="H49" s="166">
        <f>GVL!$I$38</f>
        <v>128096.80157931453</v>
      </c>
      <c r="I49" s="166">
        <f>H49*G49</f>
        <v>54313.043869629357</v>
      </c>
      <c r="J49" s="378"/>
    </row>
    <row r="50" spans="1:10" s="87" customFormat="1" ht="17.100000000000001" customHeight="1">
      <c r="A50" s="240" t="str">
        <f>IF(C50="","",MAX($A$7:A49)+1)</f>
        <v/>
      </c>
      <c r="B50" s="240"/>
      <c r="C50" s="240"/>
      <c r="D50" s="364" t="s">
        <v>750</v>
      </c>
      <c r="E50" s="848" t="str">
        <f>VLOOKUP(D50,'11.gia '!B:C,2,FALSE)</f>
        <v>Stone 1x2</v>
      </c>
      <c r="F50" s="240" t="s">
        <v>545</v>
      </c>
      <c r="G50" s="379">
        <v>0.86099999999999999</v>
      </c>
      <c r="H50" s="166">
        <f>GVL!$I$58</f>
        <v>364185.41224953817</v>
      </c>
      <c r="I50" s="166">
        <f>H50*G50</f>
        <v>313563.63994685235</v>
      </c>
      <c r="J50" s="378"/>
    </row>
    <row r="51" spans="1:10" s="87" customFormat="1" ht="17.100000000000001" customHeight="1">
      <c r="A51" s="1029" t="str">
        <f>IF(C51="","",MAX($A$7:A50)+1)</f>
        <v/>
      </c>
      <c r="B51" s="1029"/>
      <c r="C51" s="1029"/>
      <c r="D51" s="1630" t="s">
        <v>589</v>
      </c>
      <c r="E51" s="938" t="str">
        <f>VLOOKUP(D51,'11.gia '!B:C,2,FALSE)</f>
        <v>water</v>
      </c>
      <c r="F51" s="1029" t="s">
        <v>545</v>
      </c>
      <c r="G51" s="1990">
        <v>0.18099999999999999</v>
      </c>
      <c r="H51" s="325">
        <f>GVL!$I$129</f>
        <v>4000</v>
      </c>
      <c r="I51" s="325">
        <f>H51*G51</f>
        <v>724</v>
      </c>
      <c r="J51" s="378"/>
    </row>
    <row r="52" spans="1:10" s="87" customFormat="1" ht="17.100000000000001" customHeight="1">
      <c r="A52" s="249"/>
      <c r="B52" s="249"/>
      <c r="C52" s="249" t="s">
        <v>3408</v>
      </c>
      <c r="D52" s="381" t="s">
        <v>3407</v>
      </c>
      <c r="E52" s="1471">
        <f>VLOOKUP(D52,'11.gia '!B:C,2,FALSE)</f>
        <v>0</v>
      </c>
      <c r="F52" s="249" t="s">
        <v>558</v>
      </c>
      <c r="G52" s="1636">
        <f>+G48*1%</f>
        <v>4.58</v>
      </c>
      <c r="H52" s="328">
        <f>GVL!$I$152</f>
        <v>17800</v>
      </c>
      <c r="I52" s="328">
        <f>H52*G52</f>
        <v>81524</v>
      </c>
      <c r="J52" s="378"/>
    </row>
    <row r="53" spans="1:10" s="87" customFormat="1" ht="17.100000000000001" customHeight="1">
      <c r="A53" s="320">
        <f>IF(C53="","",MAX($A$7:A52)+1)</f>
        <v>9</v>
      </c>
      <c r="B53" s="320">
        <v>1776</v>
      </c>
      <c r="C53" s="320" t="s">
        <v>2187</v>
      </c>
      <c r="D53" s="1092" t="s">
        <v>159</v>
      </c>
      <c r="E53" s="1622" t="str">
        <f>VLOOKUP(D53,'11.gia '!B:C,2,FALSE)</f>
        <v>Concrete motar C30 stone 1x2 slump 14-17</v>
      </c>
      <c r="F53" s="357" t="s">
        <v>545</v>
      </c>
      <c r="G53" s="950"/>
      <c r="H53" s="1024"/>
      <c r="I53" s="1093">
        <f>SUM(I54:I58)</f>
        <v>1130771.6239684112</v>
      </c>
      <c r="J53" s="377"/>
    </row>
    <row r="54" spans="1:10" s="87" customFormat="1" ht="17.100000000000001" customHeight="1">
      <c r="A54" s="240" t="str">
        <f>IF(C54="","",MAX($A$7:A53)+1)</f>
        <v/>
      </c>
      <c r="B54" s="240"/>
      <c r="C54" s="240"/>
      <c r="D54" s="364" t="s">
        <v>458</v>
      </c>
      <c r="E54" s="1623" t="str">
        <f>VLOOKUP(D54,'11.gia '!B:C,2,FALSE)</f>
        <v>cement PC40</v>
      </c>
      <c r="F54" s="240" t="s">
        <v>558</v>
      </c>
      <c r="G54" s="239">
        <v>455</v>
      </c>
      <c r="H54" s="166">
        <f>GVL!$I$208</f>
        <v>1535</v>
      </c>
      <c r="I54" s="166">
        <f>H54*G54</f>
        <v>698425</v>
      </c>
      <c r="J54" s="378"/>
    </row>
    <row r="55" spans="1:10" s="87" customFormat="1" ht="17.100000000000001" customHeight="1">
      <c r="A55" s="240" t="str">
        <f>IF(C55="","",MAX($A$7:A54)+1)</f>
        <v/>
      </c>
      <c r="B55" s="240"/>
      <c r="C55" s="240"/>
      <c r="D55" s="364" t="s">
        <v>214</v>
      </c>
      <c r="E55" s="1623" t="str">
        <f>VLOOKUP(D55,'11.gia '!B:C,2,FALSE)</f>
        <v>Sand to pouring concrete</v>
      </c>
      <c r="F55" s="240" t="s">
        <v>545</v>
      </c>
      <c r="G55" s="239">
        <v>0.44800000000000001</v>
      </c>
      <c r="H55" s="166">
        <f>GVL!$I$38</f>
        <v>128096.80157931453</v>
      </c>
      <c r="I55" s="166">
        <f>H55*G55</f>
        <v>57387.367107532911</v>
      </c>
      <c r="J55" s="378"/>
    </row>
    <row r="56" spans="1:10" s="87" customFormat="1" ht="17.100000000000001" customHeight="1">
      <c r="A56" s="240" t="str">
        <f>IF(C56="","",MAX($A$7:A55)+1)</f>
        <v/>
      </c>
      <c r="B56" s="240"/>
      <c r="C56" s="240"/>
      <c r="D56" s="364" t="s">
        <v>750</v>
      </c>
      <c r="E56" s="1623" t="str">
        <f>VLOOKUP(D56,'11.gia '!B:C,2,FALSE)</f>
        <v>Stone 1x2</v>
      </c>
      <c r="F56" s="240" t="s">
        <v>545</v>
      </c>
      <c r="G56" s="239">
        <v>0.80500000000000005</v>
      </c>
      <c r="H56" s="166">
        <f>GVL!$I$58</f>
        <v>364185.41224953817</v>
      </c>
      <c r="I56" s="166">
        <f>H56*G56</f>
        <v>293169.25686087826</v>
      </c>
      <c r="J56" s="378"/>
    </row>
    <row r="57" spans="1:10" s="87" customFormat="1" ht="17.100000000000001" customHeight="1">
      <c r="A57" s="1029" t="str">
        <f>IF(C57="","",MAX($A$7:A56)+1)</f>
        <v/>
      </c>
      <c r="B57" s="1029"/>
      <c r="C57" s="1029"/>
      <c r="D57" s="1630" t="s">
        <v>589</v>
      </c>
      <c r="E57" s="1991" t="str">
        <f>VLOOKUP(D57,'11.gia '!B:C,2,FALSE)</f>
        <v>water</v>
      </c>
      <c r="F57" s="1029" t="s">
        <v>545</v>
      </c>
      <c r="G57" s="1992">
        <v>0.2</v>
      </c>
      <c r="H57" s="325">
        <f>GVL!$I$129</f>
        <v>4000</v>
      </c>
      <c r="I57" s="325">
        <f>H57*G57</f>
        <v>800</v>
      </c>
      <c r="J57" s="378"/>
    </row>
    <row r="58" spans="1:10" s="87" customFormat="1" ht="17.100000000000001" customHeight="1">
      <c r="A58" s="240"/>
      <c r="B58" s="240"/>
      <c r="C58" s="240" t="s">
        <v>3408</v>
      </c>
      <c r="D58" s="364" t="s">
        <v>3407</v>
      </c>
      <c r="E58" s="848">
        <f>VLOOKUP(D58,'11.gia '!B:C,2,FALSE)</f>
        <v>0</v>
      </c>
      <c r="F58" s="240" t="s">
        <v>558</v>
      </c>
      <c r="G58" s="380">
        <f>G54*1%</f>
        <v>4.55</v>
      </c>
      <c r="H58" s="166">
        <f>GVL!$I$152</f>
        <v>17800</v>
      </c>
      <c r="I58" s="166">
        <f>H58*G58</f>
        <v>80990</v>
      </c>
      <c r="J58" s="378"/>
    </row>
    <row r="59" spans="1:10" s="87" customFormat="1" ht="17.100000000000001" customHeight="1">
      <c r="A59" s="249" t="str">
        <f>IF(C59="","",MAX($A$7:A58)+1)</f>
        <v/>
      </c>
      <c r="B59" s="249"/>
      <c r="C59" s="249"/>
      <c r="D59" s="381" t="s">
        <v>277</v>
      </c>
      <c r="E59" s="1471" t="e">
        <f>VLOOKUP(D59,'11.gia '!B:C,2,FALSE)</f>
        <v>#N/A</v>
      </c>
      <c r="F59" s="249"/>
      <c r="G59" s="248"/>
      <c r="H59" s="328"/>
      <c r="I59" s="328"/>
    </row>
    <row r="60" spans="1:10" s="87" customFormat="1" ht="17.100000000000001" customHeight="1">
      <c r="A60" s="320">
        <f>IF(C60="","",MAX($A$7:A59)+1)</f>
        <v>10</v>
      </c>
      <c r="B60" s="320">
        <v>2880</v>
      </c>
      <c r="C60" s="320" t="s">
        <v>281</v>
      </c>
      <c r="D60" s="1631" t="s">
        <v>3410</v>
      </c>
      <c r="E60" s="1622" t="str">
        <f>VLOOKUP(D60,'11.gia '!B:C,2,FALSE)</f>
        <v>Concrete motar C40 stone 1x2 slump 12-16</v>
      </c>
      <c r="F60" s="357" t="s">
        <v>545</v>
      </c>
      <c r="G60" s="950"/>
      <c r="H60" s="1024"/>
      <c r="I60" s="1093">
        <f>SUM(I61:I65)</f>
        <v>1233112.4080999186</v>
      </c>
      <c r="J60" s="377"/>
    </row>
    <row r="61" spans="1:10" s="87" customFormat="1" ht="17.100000000000001" customHeight="1">
      <c r="A61" s="240" t="str">
        <f>IF(C61="","",MAX($A$7:A60)+1)</f>
        <v/>
      </c>
      <c r="B61" s="240"/>
      <c r="C61" s="240"/>
      <c r="D61" s="364" t="s">
        <v>458</v>
      </c>
      <c r="E61" s="1623" t="str">
        <f>VLOOKUP(D61,'11.gia '!B:C,2,FALSE)</f>
        <v>cement PC40</v>
      </c>
      <c r="F61" s="240" t="s">
        <v>558</v>
      </c>
      <c r="G61" s="239">
        <v>500</v>
      </c>
      <c r="H61" s="166">
        <f>GVL!$I$208</f>
        <v>1535</v>
      </c>
      <c r="I61" s="166">
        <f>H61*G61</f>
        <v>767500</v>
      </c>
      <c r="J61" s="378"/>
    </row>
    <row r="62" spans="1:10" s="87" customFormat="1" ht="17.100000000000001" customHeight="1">
      <c r="A62" s="240" t="str">
        <f>IF(C62="","",MAX($A$7:A61)+1)</f>
        <v/>
      </c>
      <c r="B62" s="240"/>
      <c r="C62" s="240"/>
      <c r="D62" s="364" t="s">
        <v>214</v>
      </c>
      <c r="E62" s="1623" t="str">
        <f>VLOOKUP(D62,'11.gia '!B:C,2,FALSE)</f>
        <v>Sand to pouring concrete</v>
      </c>
      <c r="F62" s="240" t="s">
        <v>545</v>
      </c>
      <c r="G62" s="379">
        <v>0.46400000000000002</v>
      </c>
      <c r="H62" s="166">
        <f>GVL!$I$38</f>
        <v>128096.80157931453</v>
      </c>
      <c r="I62" s="166">
        <f>H62*G62</f>
        <v>59436.915932801945</v>
      </c>
      <c r="J62" s="378"/>
    </row>
    <row r="63" spans="1:10" s="87" customFormat="1" ht="17.100000000000001" customHeight="1">
      <c r="A63" s="240" t="str">
        <f>IF(C63="","",MAX($A$7:A62)+1)</f>
        <v/>
      </c>
      <c r="B63" s="240"/>
      <c r="C63" s="240"/>
      <c r="D63" s="364" t="s">
        <v>750</v>
      </c>
      <c r="E63" s="1623" t="str">
        <f>VLOOKUP(D63,'11.gia '!B:C,2,FALSE)</f>
        <v>Stone 1x2</v>
      </c>
      <c r="F63" s="240" t="s">
        <v>545</v>
      </c>
      <c r="G63" s="379">
        <v>0.83</v>
      </c>
      <c r="H63" s="166">
        <f>GVL!$I$58</f>
        <v>364185.41224953817</v>
      </c>
      <c r="I63" s="166">
        <f>H63*G63</f>
        <v>302273.89216711669</v>
      </c>
      <c r="J63" s="378"/>
    </row>
    <row r="64" spans="1:10" s="87" customFormat="1" ht="17.100000000000001" customHeight="1">
      <c r="A64" s="240" t="str">
        <f>IF(C64="","",MAX($A$7:A63)+1)</f>
        <v/>
      </c>
      <c r="B64" s="240"/>
      <c r="C64" s="240"/>
      <c r="D64" s="364" t="s">
        <v>589</v>
      </c>
      <c r="E64" s="848" t="str">
        <f>VLOOKUP(D64,'11.gia '!B:C,2,FALSE)</f>
        <v>water</v>
      </c>
      <c r="F64" s="240" t="s">
        <v>545</v>
      </c>
      <c r="G64" s="379">
        <v>0.185</v>
      </c>
      <c r="H64" s="166">
        <f>GVL!$I$129</f>
        <v>4000</v>
      </c>
      <c r="I64" s="166">
        <f>H64*G64</f>
        <v>740</v>
      </c>
      <c r="J64" s="378"/>
    </row>
    <row r="65" spans="1:10" s="87" customFormat="1" ht="17.100000000000001" customHeight="1">
      <c r="A65" s="249" t="str">
        <f>IF(C65="","",MAX($A$7:A64)+1)</f>
        <v/>
      </c>
      <c r="B65" s="249"/>
      <c r="C65" s="249"/>
      <c r="D65" s="381" t="s">
        <v>633</v>
      </c>
      <c r="E65" s="1471" t="str">
        <f>VLOOKUP(D65,'11.gia '!B:C,2,FALSE)</f>
        <v>Sikament 2000AT</v>
      </c>
      <c r="F65" s="249" t="s">
        <v>464</v>
      </c>
      <c r="G65" s="1636">
        <v>5.97</v>
      </c>
      <c r="H65" s="328">
        <f>GVL!$I$157</f>
        <v>17280</v>
      </c>
      <c r="I65" s="328">
        <f>H65*G65</f>
        <v>103161.59999999999</v>
      </c>
      <c r="J65" s="378"/>
    </row>
    <row r="66" spans="1:10" s="87" customFormat="1" ht="17.100000000000001" customHeight="1">
      <c r="A66" s="320">
        <f>IF(C66="","",MAX($A$7:A65)+1)</f>
        <v>11</v>
      </c>
      <c r="B66" s="320">
        <v>2880</v>
      </c>
      <c r="C66" s="320" t="s">
        <v>281</v>
      </c>
      <c r="D66" s="1631" t="s">
        <v>3409</v>
      </c>
      <c r="E66" s="1622" t="str">
        <f>VLOOKUP(D66,'11.gia '!B:C,2,FALSE)</f>
        <v>Concrete motar C42 stone 1x2 slump 8-12</v>
      </c>
      <c r="F66" s="357" t="s">
        <v>545</v>
      </c>
      <c r="G66" s="950"/>
      <c r="H66" s="1024"/>
      <c r="I66" s="1093">
        <f>SUM(I67:I71)</f>
        <v>1221620.8499686779</v>
      </c>
      <c r="J66" s="377"/>
    </row>
    <row r="67" spans="1:10" s="87" customFormat="1" ht="17.100000000000001" customHeight="1">
      <c r="A67" s="240" t="str">
        <f>IF(C67="","",MAX($A$7:A66)+1)</f>
        <v/>
      </c>
      <c r="B67" s="240"/>
      <c r="C67" s="240"/>
      <c r="D67" s="364" t="s">
        <v>458</v>
      </c>
      <c r="E67" s="1623" t="str">
        <f>VLOOKUP(D67,'11.gia '!B:C,2,FALSE)</f>
        <v>cement PC40</v>
      </c>
      <c r="F67" s="240" t="s">
        <v>558</v>
      </c>
      <c r="G67" s="239">
        <v>501</v>
      </c>
      <c r="H67" s="166">
        <f>GVL!$I$208</f>
        <v>1535</v>
      </c>
      <c r="I67" s="166">
        <f>H67*G67</f>
        <v>769035</v>
      </c>
      <c r="J67" s="378"/>
    </row>
    <row r="68" spans="1:10" s="87" customFormat="1" ht="17.100000000000001" customHeight="1">
      <c r="A68" s="240" t="str">
        <f>IF(C68="","",MAX($A$7:A67)+1)</f>
        <v/>
      </c>
      <c r="B68" s="240"/>
      <c r="C68" s="240"/>
      <c r="D68" s="364" t="s">
        <v>214</v>
      </c>
      <c r="E68" s="1623" t="str">
        <f>VLOOKUP(D68,'11.gia '!B:C,2,FALSE)</f>
        <v>Sand to pouring concrete</v>
      </c>
      <c r="F68" s="240" t="s">
        <v>545</v>
      </c>
      <c r="G68" s="379">
        <v>0.41699999999999998</v>
      </c>
      <c r="H68" s="166">
        <f>GVL!$I$38</f>
        <v>128096.80157931453</v>
      </c>
      <c r="I68" s="166">
        <f>H68*G68</f>
        <v>53416.366258574155</v>
      </c>
      <c r="J68" s="378"/>
    </row>
    <row r="69" spans="1:10" s="87" customFormat="1" ht="17.100000000000001" customHeight="1">
      <c r="A69" s="240" t="str">
        <f>IF(C69="","",MAX($A$7:A68)+1)</f>
        <v/>
      </c>
      <c r="B69" s="240"/>
      <c r="C69" s="240"/>
      <c r="D69" s="364" t="s">
        <v>750</v>
      </c>
      <c r="E69" s="1623" t="str">
        <f>VLOOKUP(D69,'11.gia '!B:C,2,FALSE)</f>
        <v>Stone 1x2</v>
      </c>
      <c r="F69" s="240" t="s">
        <v>545</v>
      </c>
      <c r="G69" s="379">
        <v>0.85799999999999998</v>
      </c>
      <c r="H69" s="166">
        <f>GVL!$I$58</f>
        <v>364185.41224953817</v>
      </c>
      <c r="I69" s="166">
        <f>H69*G69</f>
        <v>312471.08371010376</v>
      </c>
      <c r="J69" s="378"/>
    </row>
    <row r="70" spans="1:10" s="87" customFormat="1" ht="17.100000000000001" customHeight="1">
      <c r="A70" s="240" t="str">
        <f>IF(C70="","",MAX($A$7:A69)+1)</f>
        <v/>
      </c>
      <c r="B70" s="240"/>
      <c r="C70" s="240"/>
      <c r="D70" s="364" t="s">
        <v>589</v>
      </c>
      <c r="E70" s="848" t="str">
        <f>VLOOKUP(D70,'11.gia '!B:C,2,FALSE)</f>
        <v>water</v>
      </c>
      <c r="F70" s="240" t="s">
        <v>545</v>
      </c>
      <c r="G70" s="379">
        <v>0.161</v>
      </c>
      <c r="H70" s="166">
        <f>GVL!$I$129</f>
        <v>4000</v>
      </c>
      <c r="I70" s="166">
        <f>H70*G70</f>
        <v>644</v>
      </c>
      <c r="J70" s="378"/>
    </row>
    <row r="71" spans="1:10" s="87" customFormat="1" ht="17.100000000000001" customHeight="1">
      <c r="A71" s="249" t="str">
        <f>IF(C71="","",MAX($A$7:A70)+1)</f>
        <v/>
      </c>
      <c r="B71" s="249"/>
      <c r="C71" s="249"/>
      <c r="D71" s="381" t="s">
        <v>633</v>
      </c>
      <c r="E71" s="1471" t="str">
        <f>VLOOKUP(D71,'11.gia '!B:C,2,FALSE)</f>
        <v>Sikament 2000AT</v>
      </c>
      <c r="F71" s="249" t="s">
        <v>464</v>
      </c>
      <c r="G71" s="1636">
        <v>4.9800000000000004</v>
      </c>
      <c r="H71" s="328">
        <f>GVL!$I$157</f>
        <v>17280</v>
      </c>
      <c r="I71" s="328">
        <f>H71*G71</f>
        <v>86054.400000000009</v>
      </c>
      <c r="J71" s="378"/>
    </row>
    <row r="72" spans="1:10" s="87" customFormat="1" ht="17.100000000000001" customHeight="1">
      <c r="A72" s="320">
        <f>IF(C72="","",MAX($A$7:A71)+1)</f>
        <v>12</v>
      </c>
      <c r="B72" s="320">
        <v>2880</v>
      </c>
      <c r="C72" s="320" t="s">
        <v>281</v>
      </c>
      <c r="D72" s="1092" t="s">
        <v>3950</v>
      </c>
      <c r="E72" s="1056" t="str">
        <f>VLOOKUP(D72,'11.gia '!B:C,2,FALSE)</f>
        <v>Concrete motar C50 stone 1x2 slump 16-18</v>
      </c>
      <c r="F72" s="357" t="s">
        <v>545</v>
      </c>
      <c r="G72" s="950"/>
      <c r="H72" s="1024"/>
      <c r="I72" s="1093">
        <f>SUM(I73:I77)</f>
        <v>1271668.4809691417</v>
      </c>
      <c r="J72" s="377"/>
    </row>
    <row r="73" spans="1:10" s="87" customFormat="1" ht="17.100000000000001" customHeight="1">
      <c r="A73" s="240" t="str">
        <f>IF(C73="","",MAX($A$7:A72)+1)</f>
        <v/>
      </c>
      <c r="B73" s="240"/>
      <c r="C73" s="240"/>
      <c r="D73" s="364" t="s">
        <v>458</v>
      </c>
      <c r="E73" s="848" t="str">
        <f>VLOOKUP(D73,'11.gia '!B:C,2,FALSE)</f>
        <v>cement PC40</v>
      </c>
      <c r="F73" s="240" t="s">
        <v>558</v>
      </c>
      <c r="G73" s="239">
        <v>505</v>
      </c>
      <c r="H73" s="166">
        <f>GVL!$I$208</f>
        <v>1535</v>
      </c>
      <c r="I73" s="166">
        <f>H73*G73</f>
        <v>775175</v>
      </c>
      <c r="J73" s="378"/>
    </row>
    <row r="74" spans="1:10" s="87" customFormat="1" ht="17.100000000000001" customHeight="1">
      <c r="A74" s="240" t="str">
        <f>IF(C74="","",MAX($A$7:A73)+1)</f>
        <v/>
      </c>
      <c r="B74" s="240"/>
      <c r="C74" s="240"/>
      <c r="D74" s="364" t="s">
        <v>214</v>
      </c>
      <c r="E74" s="848" t="str">
        <f>VLOOKUP(D74,'11.gia '!B:C,2,FALSE)</f>
        <v>Sand to pouring concrete</v>
      </c>
      <c r="F74" s="240" t="s">
        <v>545</v>
      </c>
      <c r="G74" s="379">
        <v>0.45100000000000001</v>
      </c>
      <c r="H74" s="166">
        <f>GVL!$I$38</f>
        <v>128096.80157931453</v>
      </c>
      <c r="I74" s="166">
        <f>H74*G74</f>
        <v>57771.657512270853</v>
      </c>
      <c r="J74" s="378"/>
    </row>
    <row r="75" spans="1:10" s="87" customFormat="1" ht="17.100000000000001" customHeight="1">
      <c r="A75" s="240" t="str">
        <f>IF(C75="","",MAX($A$7:A74)+1)</f>
        <v/>
      </c>
      <c r="B75" s="240"/>
      <c r="C75" s="240"/>
      <c r="D75" s="364" t="s">
        <v>750</v>
      </c>
      <c r="E75" s="848" t="str">
        <f>VLOOKUP(D75,'11.gia '!B:C,2,FALSE)</f>
        <v>Stone 1x2</v>
      </c>
      <c r="F75" s="240" t="s">
        <v>545</v>
      </c>
      <c r="G75" s="379">
        <v>0.82099999999999995</v>
      </c>
      <c r="H75" s="166">
        <f>GVL!$I$58</f>
        <v>364185.41224953817</v>
      </c>
      <c r="I75" s="166">
        <f>H75*G75</f>
        <v>298996.22345687082</v>
      </c>
      <c r="J75" s="378"/>
    </row>
    <row r="76" spans="1:10" s="87" customFormat="1" ht="17.100000000000001" customHeight="1">
      <c r="A76" s="240" t="str">
        <f>IF(C76="","",MAX($A$7:A75)+1)</f>
        <v/>
      </c>
      <c r="B76" s="240"/>
      <c r="C76" s="240"/>
      <c r="D76" s="364" t="s">
        <v>589</v>
      </c>
      <c r="E76" s="848" t="str">
        <f>VLOOKUP(D76,'11.gia '!B:C,2,FALSE)</f>
        <v>water</v>
      </c>
      <c r="F76" s="240" t="s">
        <v>545</v>
      </c>
      <c r="G76" s="379">
        <v>0.15</v>
      </c>
      <c r="H76" s="166">
        <f>GVL!$I$129</f>
        <v>4000</v>
      </c>
      <c r="I76" s="166">
        <f>H76*G76</f>
        <v>600</v>
      </c>
      <c r="J76" s="378"/>
    </row>
    <row r="77" spans="1:10" s="87" customFormat="1" ht="17.100000000000001" customHeight="1">
      <c r="A77" s="1029" t="str">
        <f>IF(C77="","",MAX($A$7:A76)+1)</f>
        <v/>
      </c>
      <c r="B77" s="1029"/>
      <c r="C77" s="249"/>
      <c r="D77" s="381" t="s">
        <v>147</v>
      </c>
      <c r="E77" s="1471" t="str">
        <f>VLOOKUP(D77,'11.gia '!B:C,2,FALSE)</f>
        <v>Sika Viscocrete 3000-10</v>
      </c>
      <c r="F77" s="249" t="s">
        <v>464</v>
      </c>
      <c r="G77" s="1636">
        <v>4.5199999999999996</v>
      </c>
      <c r="H77" s="328">
        <f>VLOOKUP(D77,'11.gia '!B:I,8,FALSE)</f>
        <v>30780</v>
      </c>
      <c r="I77" s="328">
        <f>H77*G77</f>
        <v>139125.59999999998</v>
      </c>
      <c r="J77" s="378"/>
    </row>
    <row r="78" spans="1:10" s="87" customFormat="1" ht="17.100000000000001" customHeight="1">
      <c r="A78" s="2014">
        <f>IF(C78="","",MAX($A$7:A77)+1)</f>
        <v>13</v>
      </c>
      <c r="B78" s="2014">
        <v>1776</v>
      </c>
      <c r="C78" s="2015" t="s">
        <v>2188</v>
      </c>
      <c r="D78" s="1092" t="s">
        <v>136</v>
      </c>
      <c r="E78" s="1622" t="str">
        <f>VLOOKUP(D78,'11.gia '!B:C,2,FALSE)</f>
        <v>Concrete motar C10 stone 4x6 slump 2-4</v>
      </c>
      <c r="F78" s="2016" t="s">
        <v>545</v>
      </c>
      <c r="G78" s="2016"/>
      <c r="H78" s="2016"/>
      <c r="I78" s="2016">
        <f>SUM(I79:I82)</f>
        <v>622342.43820975651</v>
      </c>
      <c r="J78" s="377"/>
    </row>
    <row r="79" spans="1:10" s="87" customFormat="1" ht="17.100000000000001" customHeight="1">
      <c r="A79" s="240" t="str">
        <f>IF(C79="","",MAX($A$7:A78)+1)</f>
        <v/>
      </c>
      <c r="B79" s="240"/>
      <c r="C79" s="240"/>
      <c r="D79" s="364" t="s">
        <v>587</v>
      </c>
      <c r="E79" s="1623" t="str">
        <f>VLOOKUP(D79,'11.gia '!B:C,2,FALSE)</f>
        <v>cement PC30</v>
      </c>
      <c r="F79" s="240" t="s">
        <v>558</v>
      </c>
      <c r="G79" s="239">
        <v>195</v>
      </c>
      <c r="H79" s="166">
        <f>GVL!$I$207</f>
        <v>1450</v>
      </c>
      <c r="I79" s="166">
        <f>H79*G79</f>
        <v>282750</v>
      </c>
      <c r="J79" s="378"/>
    </row>
    <row r="80" spans="1:10" s="87" customFormat="1" ht="17.100000000000001" customHeight="1">
      <c r="A80" s="240" t="str">
        <f>IF(C80="","",MAX($A$7:A79)+1)</f>
        <v/>
      </c>
      <c r="B80" s="240"/>
      <c r="C80" s="240"/>
      <c r="D80" s="364" t="s">
        <v>214</v>
      </c>
      <c r="E80" s="1623" t="str">
        <f>VLOOKUP(D80,'11.gia '!B:C,2,FALSE)</f>
        <v>Sand to pouring concrete</v>
      </c>
      <c r="F80" s="240" t="s">
        <v>545</v>
      </c>
      <c r="G80" s="239">
        <v>0.51600000000000001</v>
      </c>
      <c r="H80" s="166">
        <f>GVL!$I$38</f>
        <v>128096.80157931453</v>
      </c>
      <c r="I80" s="166">
        <f>H80*G80</f>
        <v>66097.9496149263</v>
      </c>
      <c r="J80" s="378"/>
    </row>
    <row r="81" spans="1:11" s="87" customFormat="1" ht="17.100000000000001" customHeight="1">
      <c r="A81" s="240" t="str">
        <f>IF(C81="","",MAX($A$7:A80)+1)</f>
        <v/>
      </c>
      <c r="B81" s="240"/>
      <c r="C81" s="240"/>
      <c r="D81" s="364" t="s">
        <v>4</v>
      </c>
      <c r="E81" s="1623" t="str">
        <f>VLOOKUP(D81,'11.gia '!B:C,2,FALSE)</f>
        <v>Stone 4x6</v>
      </c>
      <c r="F81" s="240" t="s">
        <v>545</v>
      </c>
      <c r="G81" s="239">
        <v>0.90900000000000003</v>
      </c>
      <c r="H81" s="166">
        <f>VLOOKUP(D81,'11.gia '!B:I,8,FALSE)</f>
        <v>300147.95224953815</v>
      </c>
      <c r="I81" s="166">
        <f>H81*G81</f>
        <v>272834.48859483021</v>
      </c>
      <c r="J81" s="378"/>
    </row>
    <row r="82" spans="1:11" s="87" customFormat="1" ht="17.100000000000001" customHeight="1">
      <c r="A82" s="249" t="str">
        <f>IF(C82="","",MAX($A$7:A81)+1)</f>
        <v/>
      </c>
      <c r="B82" s="249"/>
      <c r="C82" s="249"/>
      <c r="D82" s="381" t="s">
        <v>589</v>
      </c>
      <c r="E82" s="1623" t="str">
        <f>VLOOKUP(D82,'11.gia '!B:C,2,FALSE)</f>
        <v>water</v>
      </c>
      <c r="F82" s="249" t="s">
        <v>545</v>
      </c>
      <c r="G82" s="248">
        <v>0.16500000000000001</v>
      </c>
      <c r="H82" s="328">
        <f>GVL!$I$129</f>
        <v>4000</v>
      </c>
      <c r="I82" s="328">
        <f>H82*G82</f>
        <v>660</v>
      </c>
      <c r="J82" s="378"/>
    </row>
    <row r="83" spans="1:11" s="87" customFormat="1" ht="17.100000000000001" customHeight="1">
      <c r="A83" s="320">
        <f>IF(C83="","",MAX($A$7:A82)+1)</f>
        <v>14</v>
      </c>
      <c r="B83" s="320">
        <v>1776</v>
      </c>
      <c r="C83" s="320" t="s">
        <v>2189</v>
      </c>
      <c r="D83" s="1092" t="s">
        <v>163</v>
      </c>
      <c r="E83" s="1049" t="str">
        <f>VLOOKUP(D83,'11.gia '!B:C,2,FALSE)</f>
        <v>Concrete motar C20 stone 4x6 slump 6-8</v>
      </c>
      <c r="F83" s="357" t="s">
        <v>545</v>
      </c>
      <c r="G83" s="950"/>
      <c r="H83" s="1024"/>
      <c r="I83" s="1093">
        <f>SUM(I84:I87)</f>
        <v>796865.36865138682</v>
      </c>
      <c r="J83" s="377"/>
    </row>
    <row r="84" spans="1:11" s="87" customFormat="1" ht="17.100000000000001" customHeight="1">
      <c r="A84" s="240" t="str">
        <f>IF(C84="","",MAX($A$7:A83)+1)</f>
        <v/>
      </c>
      <c r="B84" s="240"/>
      <c r="C84" s="240"/>
      <c r="D84" s="364" t="s">
        <v>458</v>
      </c>
      <c r="E84" s="848" t="str">
        <f>VLOOKUP(D84,'11.gia '!B:C,2,FALSE)</f>
        <v>cement PC40</v>
      </c>
      <c r="F84" s="240" t="s">
        <v>558</v>
      </c>
      <c r="G84" s="239">
        <v>309</v>
      </c>
      <c r="H84" s="166">
        <f>GVL!$I$208</f>
        <v>1535</v>
      </c>
      <c r="I84" s="166">
        <f>H84*G84</f>
        <v>474315</v>
      </c>
      <c r="J84" s="378"/>
    </row>
    <row r="85" spans="1:11" s="87" customFormat="1" ht="17.100000000000001" customHeight="1">
      <c r="A85" s="240" t="str">
        <f>IF(C85="","",MAX($A$7:A84)+1)</f>
        <v/>
      </c>
      <c r="B85" s="240"/>
      <c r="C85" s="240"/>
      <c r="D85" s="364" t="s">
        <v>214</v>
      </c>
      <c r="E85" s="848" t="str">
        <f>VLOOKUP(D85,'11.gia '!B:C,2,FALSE)</f>
        <v>Sand to pouring concrete</v>
      </c>
      <c r="F85" s="240" t="s">
        <v>545</v>
      </c>
      <c r="G85" s="239">
        <v>0.46700000000000003</v>
      </c>
      <c r="H85" s="166">
        <f>GVL!$I$38</f>
        <v>128096.80157931453</v>
      </c>
      <c r="I85" s="166">
        <f>H85*G85</f>
        <v>59821.206337539887</v>
      </c>
      <c r="J85" s="378"/>
    </row>
    <row r="86" spans="1:11" s="87" customFormat="1" ht="17.100000000000001" customHeight="1">
      <c r="A86" s="240" t="str">
        <f>IF(C86="","",MAX($A$7:A85)+1)</f>
        <v/>
      </c>
      <c r="B86" s="240"/>
      <c r="C86" s="240"/>
      <c r="D86" s="364" t="s">
        <v>4</v>
      </c>
      <c r="E86" s="848" t="str">
        <f>VLOOKUP(D86,'11.gia '!B:C,2,FALSE)</f>
        <v>Stone 4x6</v>
      </c>
      <c r="F86" s="240" t="s">
        <v>545</v>
      </c>
      <c r="G86" s="239">
        <v>0.873</v>
      </c>
      <c r="H86" s="166">
        <f>VLOOKUP(D86,'11.gia '!B:I,8,FALSE)</f>
        <v>300147.95224953815</v>
      </c>
      <c r="I86" s="166">
        <f>H86*G86</f>
        <v>262029.16231384681</v>
      </c>
      <c r="J86" s="378"/>
    </row>
    <row r="87" spans="1:11" s="87" customFormat="1" ht="17.100000000000001" customHeight="1">
      <c r="A87" s="249" t="str">
        <f>IF(C87="","",MAX($A$7:A86)+1)</f>
        <v/>
      </c>
      <c r="B87" s="249"/>
      <c r="C87" s="249"/>
      <c r="D87" s="381" t="s">
        <v>589</v>
      </c>
      <c r="E87" s="1471" t="str">
        <f>VLOOKUP(D87,'11.gia '!B:C,2,FALSE)</f>
        <v>water</v>
      </c>
      <c r="F87" s="249" t="s">
        <v>545</v>
      </c>
      <c r="G87" s="248">
        <v>0.17499999999999999</v>
      </c>
      <c r="H87" s="328">
        <f>GVL!$I$129</f>
        <v>4000</v>
      </c>
      <c r="I87" s="328">
        <f>H87*G87</f>
        <v>700</v>
      </c>
      <c r="J87" s="378"/>
    </row>
    <row r="88" spans="1:11" s="280" customFormat="1" ht="17.100000000000001" customHeight="1">
      <c r="A88" s="320">
        <f>IF(C88="","",MAX($A$7:A87)+1)</f>
        <v>15</v>
      </c>
      <c r="B88" s="320">
        <v>1776</v>
      </c>
      <c r="C88" s="1637" t="s">
        <v>3945</v>
      </c>
      <c r="D88" s="1631" t="s">
        <v>3944</v>
      </c>
      <c r="E88" s="1056" t="str">
        <f>VLOOKUP(D88,'11.gia '!B:C,2,FALSE)</f>
        <v>Concrete motar C20 stone 1x2 slump 14-17</v>
      </c>
      <c r="F88" s="357" t="s">
        <v>545</v>
      </c>
      <c r="G88" s="1638"/>
      <c r="H88" s="1639"/>
      <c r="I88" s="1640">
        <f>SUM(I89:I93)</f>
        <v>957014.9064603569</v>
      </c>
      <c r="J88" s="377"/>
      <c r="K88" s="682"/>
    </row>
    <row r="89" spans="1:11" s="682" customFormat="1" ht="17.100000000000001" customHeight="1">
      <c r="A89" s="240" t="str">
        <f>IF(C89="","",MAX($A$7:A88)+1)</f>
        <v/>
      </c>
      <c r="B89" s="240"/>
      <c r="C89" s="240"/>
      <c r="D89" s="364" t="s">
        <v>458</v>
      </c>
      <c r="E89" s="848" t="str">
        <f>VLOOKUP(D89,'11.gia '!B:C,2,FALSE)</f>
        <v>cement PC40</v>
      </c>
      <c r="F89" s="704" t="s">
        <v>558</v>
      </c>
      <c r="G89" s="1013">
        <v>346</v>
      </c>
      <c r="H89" s="166">
        <f>GVL!$I$208</f>
        <v>1535</v>
      </c>
      <c r="I89" s="810">
        <f>H89*G89</f>
        <v>531110</v>
      </c>
      <c r="J89" s="378"/>
    </row>
    <row r="90" spans="1:11" s="682" customFormat="1" ht="17.100000000000001" customHeight="1">
      <c r="A90" s="240" t="str">
        <f>IF(C90="","",MAX($A$7:A89)+1)</f>
        <v/>
      </c>
      <c r="B90" s="240"/>
      <c r="C90" s="240"/>
      <c r="D90" s="364" t="s">
        <v>214</v>
      </c>
      <c r="E90" s="848" t="str">
        <f>VLOOKUP(D90,'11.gia '!B:C,2,FALSE)</f>
        <v>Sand to pouring concrete</v>
      </c>
      <c r="F90" s="704" t="s">
        <v>545</v>
      </c>
      <c r="G90" s="1988">
        <v>0.501</v>
      </c>
      <c r="H90" s="166">
        <f>GVL!$I$38</f>
        <v>128096.80157931453</v>
      </c>
      <c r="I90" s="810">
        <f>H90*G90</f>
        <v>64176.497591236577</v>
      </c>
      <c r="J90" s="378"/>
    </row>
    <row r="91" spans="1:11" s="682" customFormat="1" ht="17.100000000000001" customHeight="1">
      <c r="A91" s="240"/>
      <c r="B91" s="240"/>
      <c r="C91" s="240"/>
      <c r="D91" s="364" t="s">
        <v>750</v>
      </c>
      <c r="E91" s="848" t="str">
        <f>VLOOKUP(D91,'11.gia '!B:C,2,FALSE)</f>
        <v>Stone 1x2</v>
      </c>
      <c r="F91" s="704" t="s">
        <v>545</v>
      </c>
      <c r="G91" s="1988">
        <v>0.82199999999999995</v>
      </c>
      <c r="H91" s="166">
        <f>GVL!$I$58</f>
        <v>364185.41224953817</v>
      </c>
      <c r="I91" s="810">
        <f>H91*G91</f>
        <v>299360.40886912035</v>
      </c>
      <c r="J91" s="378"/>
    </row>
    <row r="92" spans="1:11" s="682" customFormat="1" ht="17.100000000000001" customHeight="1">
      <c r="A92" s="240"/>
      <c r="B92" s="240"/>
      <c r="C92" s="240"/>
      <c r="D92" s="364" t="s">
        <v>589</v>
      </c>
      <c r="E92" s="848" t="str">
        <f>VLOOKUP(D92,'11.gia '!B:C,2,FALSE)</f>
        <v>water</v>
      </c>
      <c r="F92" s="704" t="s">
        <v>545</v>
      </c>
      <c r="G92" s="1013">
        <v>0.19500000000000001</v>
      </c>
      <c r="H92" s="166">
        <f>GVL!$I$129</f>
        <v>4000</v>
      </c>
      <c r="I92" s="810">
        <f>H92*G92</f>
        <v>780</v>
      </c>
      <c r="J92" s="378"/>
    </row>
    <row r="93" spans="1:11" s="682" customFormat="1" ht="17.100000000000001" customHeight="1">
      <c r="A93" s="1029"/>
      <c r="B93" s="249"/>
      <c r="C93" s="249" t="s">
        <v>3408</v>
      </c>
      <c r="D93" s="381" t="s">
        <v>3407</v>
      </c>
      <c r="E93" s="1471">
        <f>VLOOKUP(D93,'11.gia '!B:C,2,FALSE)</f>
        <v>0</v>
      </c>
      <c r="F93" s="1502" t="s">
        <v>558</v>
      </c>
      <c r="G93" s="1993">
        <f>1%*G89</f>
        <v>3.46</v>
      </c>
      <c r="H93" s="328">
        <f>GVL!$I$152</f>
        <v>17800</v>
      </c>
      <c r="I93" s="1642">
        <f>H93*G93</f>
        <v>61588</v>
      </c>
      <c r="J93" s="378"/>
    </row>
    <row r="94" spans="1:11" s="280" customFormat="1" ht="17.100000000000001" customHeight="1">
      <c r="A94" s="1632">
        <f>IF(C94="","",MAX($A$7:A93)+1)</f>
        <v>16</v>
      </c>
      <c r="B94" s="320">
        <v>1776</v>
      </c>
      <c r="C94" s="1637" t="s">
        <v>3948</v>
      </c>
      <c r="D94" s="1631" t="s">
        <v>3946</v>
      </c>
      <c r="E94" s="1622" t="str">
        <f>VLOOKUP(D94,'11.gia '!B:C,2,FALSE)</f>
        <v>Concrete motar C25 stone 1x2 slump 14-17</v>
      </c>
      <c r="F94" s="357" t="s">
        <v>545</v>
      </c>
      <c r="G94" s="1638"/>
      <c r="H94" s="1639"/>
      <c r="I94" s="1640">
        <f>SUM(I95:I99)</f>
        <v>1037405.4707489562</v>
      </c>
      <c r="J94" s="377"/>
      <c r="K94" s="682"/>
    </row>
    <row r="95" spans="1:11" s="682" customFormat="1" ht="17.100000000000001" customHeight="1">
      <c r="A95" s="240" t="str">
        <f>IF(C95="","",MAX($A$7:A94)+1)</f>
        <v/>
      </c>
      <c r="B95" s="240"/>
      <c r="C95" s="240"/>
      <c r="D95" s="364" t="s">
        <v>458</v>
      </c>
      <c r="E95" s="1623" t="str">
        <f>VLOOKUP(D95,'11.gia '!B:C,2,FALSE)</f>
        <v>cement PC40</v>
      </c>
      <c r="F95" s="704" t="s">
        <v>558</v>
      </c>
      <c r="G95" s="806">
        <v>396</v>
      </c>
      <c r="H95" s="166">
        <f>GVL!$I$208</f>
        <v>1535</v>
      </c>
      <c r="I95" s="810">
        <f>H95*G95</f>
        <v>607860</v>
      </c>
      <c r="J95" s="378"/>
    </row>
    <row r="96" spans="1:11" s="682" customFormat="1" ht="17.100000000000001" customHeight="1">
      <c r="A96" s="240" t="str">
        <f>IF(C96="","",MAX($A$7:A95)+1)</f>
        <v/>
      </c>
      <c r="B96" s="240"/>
      <c r="C96" s="240"/>
      <c r="D96" s="364" t="s">
        <v>214</v>
      </c>
      <c r="E96" s="1623" t="str">
        <f>VLOOKUP(D96,'11.gia '!B:C,2,FALSE)</f>
        <v>Sand to pouring concrete</v>
      </c>
      <c r="F96" s="704" t="s">
        <v>545</v>
      </c>
      <c r="G96" s="379">
        <v>0.47699999999999998</v>
      </c>
      <c r="H96" s="166">
        <f>GVL!$I$38</f>
        <v>128096.80157931453</v>
      </c>
      <c r="I96" s="810">
        <f>H96*G96</f>
        <v>61102.17435333303</v>
      </c>
      <c r="J96" s="378"/>
    </row>
    <row r="97" spans="1:11" s="682" customFormat="1" ht="17.100000000000001" customHeight="1">
      <c r="A97" s="240" t="str">
        <f>IF(C97="","",MAX($A$7:A96)+1)</f>
        <v/>
      </c>
      <c r="B97" s="240"/>
      <c r="C97" s="240"/>
      <c r="D97" s="364" t="s">
        <v>750</v>
      </c>
      <c r="E97" s="1623" t="str">
        <f>VLOOKUP(D97,'11.gia '!B:C,2,FALSE)</f>
        <v>Stone 1x2</v>
      </c>
      <c r="F97" s="704" t="s">
        <v>545</v>
      </c>
      <c r="G97" s="379">
        <v>0.81599999999999995</v>
      </c>
      <c r="H97" s="166">
        <f>GVL!$I$58</f>
        <v>364185.41224953817</v>
      </c>
      <c r="I97" s="810">
        <f>H97*G97</f>
        <v>297175.29639562313</v>
      </c>
      <c r="J97" s="378"/>
    </row>
    <row r="98" spans="1:11" s="682" customFormat="1" ht="17.100000000000001" customHeight="1">
      <c r="A98" s="240" t="str">
        <f>IF(C98="","",MAX($A$7:A97)+1)</f>
        <v/>
      </c>
      <c r="B98" s="240"/>
      <c r="C98" s="240"/>
      <c r="D98" s="364" t="s">
        <v>589</v>
      </c>
      <c r="E98" s="848" t="str">
        <f>VLOOKUP(D98,'11.gia '!B:C,2,FALSE)</f>
        <v>water</v>
      </c>
      <c r="F98" s="704" t="s">
        <v>545</v>
      </c>
      <c r="G98" s="379">
        <v>0.19500000000000001</v>
      </c>
      <c r="H98" s="166">
        <f>GVL!$I$129</f>
        <v>4000</v>
      </c>
      <c r="I98" s="810">
        <f>H98*G98</f>
        <v>780</v>
      </c>
      <c r="J98" s="378"/>
    </row>
    <row r="99" spans="1:11" s="682" customFormat="1" ht="17.100000000000001" customHeight="1">
      <c r="A99" s="249"/>
      <c r="B99" s="249"/>
      <c r="C99" s="249" t="s">
        <v>3408</v>
      </c>
      <c r="D99" s="381" t="s">
        <v>3407</v>
      </c>
      <c r="E99" s="1471">
        <f>VLOOKUP(D99,'11.gia '!B:C,2,FALSE)</f>
        <v>0</v>
      </c>
      <c r="F99" s="1502" t="s">
        <v>558</v>
      </c>
      <c r="G99" s="1641">
        <f>1%*G95</f>
        <v>3.96</v>
      </c>
      <c r="H99" s="328">
        <f>GVL!$I$152</f>
        <v>17800</v>
      </c>
      <c r="I99" s="1642">
        <f>H99*G99</f>
        <v>70488</v>
      </c>
      <c r="J99" s="378"/>
    </row>
    <row r="100" spans="1:11" s="280" customFormat="1" ht="17.100000000000001" customHeight="1">
      <c r="A100" s="320">
        <f>IF(C100="","",MAX($A$7:A99)+1)</f>
        <v>17</v>
      </c>
      <c r="B100" s="320">
        <v>1776</v>
      </c>
      <c r="C100" s="1637" t="s">
        <v>3949</v>
      </c>
      <c r="D100" s="1631" t="s">
        <v>3947</v>
      </c>
      <c r="E100" s="1622" t="str">
        <f>VLOOKUP(D100,'11.gia '!B:C,2,FALSE)</f>
        <v>Concrete motar C35 stone 1x2 slump 14-17</v>
      </c>
      <c r="F100" s="357" t="s">
        <v>545</v>
      </c>
      <c r="G100" s="1638"/>
      <c r="H100" s="1639"/>
      <c r="I100" s="1640">
        <f>SUM(I101:I105)</f>
        <v>1167220.6239684112</v>
      </c>
      <c r="J100" s="377"/>
      <c r="K100" s="682"/>
    </row>
    <row r="101" spans="1:11" s="682" customFormat="1" ht="17.100000000000001" customHeight="1">
      <c r="A101" s="240" t="str">
        <f>IF(C101="","",MAX($A$7:A100)+1)</f>
        <v/>
      </c>
      <c r="B101" s="240"/>
      <c r="C101" s="240"/>
      <c r="D101" s="364" t="s">
        <v>458</v>
      </c>
      <c r="E101" s="1623" t="str">
        <f>VLOOKUP(D101,'11.gia '!B:C,2,FALSE)</f>
        <v>cement PC40</v>
      </c>
      <c r="F101" s="704" t="s">
        <v>558</v>
      </c>
      <c r="G101" s="806">
        <v>480</v>
      </c>
      <c r="H101" s="166">
        <f>GVL!$I$208</f>
        <v>1535</v>
      </c>
      <c r="I101" s="810">
        <f>H101*G101</f>
        <v>736800</v>
      </c>
      <c r="J101" s="378"/>
    </row>
    <row r="102" spans="1:11" s="682" customFormat="1" ht="17.100000000000001" customHeight="1">
      <c r="A102" s="240" t="str">
        <f>IF(C102="","",MAX($A$7:A101)+1)</f>
        <v/>
      </c>
      <c r="B102" s="240"/>
      <c r="C102" s="240"/>
      <c r="D102" s="364" t="s">
        <v>214</v>
      </c>
      <c r="E102" s="1623" t="str">
        <f>VLOOKUP(D102,'11.gia '!B:C,2,FALSE)</f>
        <v>Sand to pouring concrete</v>
      </c>
      <c r="F102" s="704" t="s">
        <v>545</v>
      </c>
      <c r="G102" s="379">
        <v>0.44800000000000001</v>
      </c>
      <c r="H102" s="166">
        <f>GVL!$I$38</f>
        <v>128096.80157931453</v>
      </c>
      <c r="I102" s="810">
        <f>H102*G102</f>
        <v>57387.367107532911</v>
      </c>
      <c r="J102" s="378"/>
    </row>
    <row r="103" spans="1:11" s="682" customFormat="1" ht="17.100000000000001" customHeight="1">
      <c r="A103" s="240" t="str">
        <f>IF(C103="","",MAX($A$7:A102)+1)</f>
        <v/>
      </c>
      <c r="B103" s="240"/>
      <c r="C103" s="240"/>
      <c r="D103" s="364" t="s">
        <v>750</v>
      </c>
      <c r="E103" s="1623" t="str">
        <f>VLOOKUP(D103,'11.gia '!B:C,2,FALSE)</f>
        <v>Stone 1x2</v>
      </c>
      <c r="F103" s="704" t="s">
        <v>545</v>
      </c>
      <c r="G103" s="379">
        <v>0.80500000000000005</v>
      </c>
      <c r="H103" s="166">
        <f>GVL!$I$58</f>
        <v>364185.41224953817</v>
      </c>
      <c r="I103" s="810">
        <f>H103*G103</f>
        <v>293169.25686087826</v>
      </c>
      <c r="J103" s="378"/>
    </row>
    <row r="104" spans="1:11" s="682" customFormat="1" ht="17.100000000000001" customHeight="1">
      <c r="A104" s="240" t="str">
        <f>IF(C104="","",MAX($A$7:A103)+1)</f>
        <v/>
      </c>
      <c r="B104" s="240"/>
      <c r="C104" s="240"/>
      <c r="D104" s="364" t="s">
        <v>589</v>
      </c>
      <c r="E104" s="1623" t="str">
        <f>VLOOKUP(D104,'11.gia '!B:C,2,FALSE)</f>
        <v>water</v>
      </c>
      <c r="F104" s="704" t="s">
        <v>545</v>
      </c>
      <c r="G104" s="379">
        <v>0.19</v>
      </c>
      <c r="H104" s="166">
        <f>GVL!$I$129</f>
        <v>4000</v>
      </c>
      <c r="I104" s="810">
        <f>H104*G104</f>
        <v>760</v>
      </c>
      <c r="J104" s="378"/>
    </row>
    <row r="105" spans="1:11" s="682" customFormat="1" ht="17.100000000000001" customHeight="1">
      <c r="A105" s="249"/>
      <c r="B105" s="249"/>
      <c r="C105" s="249" t="s">
        <v>3408</v>
      </c>
      <c r="D105" s="1058" t="s">
        <v>633</v>
      </c>
      <c r="E105" s="1623" t="str">
        <f>VLOOKUP(D105,'11.gia '!B:C,2,FALSE)</f>
        <v>Sikament 2000AT</v>
      </c>
      <c r="F105" s="1502" t="s">
        <v>558</v>
      </c>
      <c r="G105" s="1641">
        <f>1%*G101</f>
        <v>4.8</v>
      </c>
      <c r="H105" s="328">
        <f>VLOOKUP(D105,'11.gia '!B:I,8,FALSE)</f>
        <v>16480</v>
      </c>
      <c r="I105" s="1642">
        <f>H105*G105</f>
        <v>79104</v>
      </c>
      <c r="J105" s="378"/>
    </row>
    <row r="106" spans="1:11" s="280" customFormat="1" ht="17.100000000000001" customHeight="1">
      <c r="A106" s="320">
        <f>IF(C106="","",MAX($A$7:A105)+1)</f>
        <v>18</v>
      </c>
      <c r="B106" s="320">
        <v>1776</v>
      </c>
      <c r="C106" s="1637" t="s">
        <v>3951</v>
      </c>
      <c r="D106" s="1631" t="s">
        <v>4022</v>
      </c>
      <c r="E106" s="1624" t="str">
        <f>VLOOKUP(D106,'11.gia '!B:C,2,FALSE)</f>
        <v>Concrete motar C20 stone 4x6 slump 14-17</v>
      </c>
      <c r="F106" s="357" t="s">
        <v>545</v>
      </c>
      <c r="G106" s="1638"/>
      <c r="H106" s="1639"/>
      <c r="I106" s="1640">
        <f>SUM(I107:I111)</f>
        <v>901907.22891883098</v>
      </c>
      <c r="J106" s="377"/>
      <c r="K106" s="682"/>
    </row>
    <row r="107" spans="1:11" s="682" customFormat="1" ht="17.100000000000001" customHeight="1">
      <c r="A107" s="240" t="str">
        <f>IF(C107="","",MAX($A$7:A106)+1)</f>
        <v/>
      </c>
      <c r="B107" s="240"/>
      <c r="C107" s="240"/>
      <c r="D107" s="364" t="s">
        <v>458</v>
      </c>
      <c r="E107" s="1623" t="str">
        <f>VLOOKUP(D107,'11.gia '!B:C,2,FALSE)</f>
        <v>cement PC40</v>
      </c>
      <c r="F107" s="704" t="s">
        <v>558</v>
      </c>
      <c r="G107" s="806">
        <v>315</v>
      </c>
      <c r="H107" s="166">
        <f>GVL!$I$208</f>
        <v>1535</v>
      </c>
      <c r="I107" s="810">
        <f>H107*G107</f>
        <v>483525</v>
      </c>
      <c r="J107" s="378"/>
    </row>
    <row r="108" spans="1:11" s="682" customFormat="1" ht="17.100000000000001" customHeight="1">
      <c r="A108" s="240" t="str">
        <f>IF(C108="","",MAX($A$7:A107)+1)</f>
        <v/>
      </c>
      <c r="B108" s="240"/>
      <c r="C108" s="240"/>
      <c r="D108" s="364" t="s">
        <v>214</v>
      </c>
      <c r="E108" s="1623" t="str">
        <f>VLOOKUP(D108,'11.gia '!B:C,2,FALSE)</f>
        <v>Sand to pouring concrete</v>
      </c>
      <c r="F108" s="704" t="s">
        <v>545</v>
      </c>
      <c r="G108" s="379">
        <v>0.50700000000000001</v>
      </c>
      <c r="H108" s="166">
        <f>GVL!$I$38</f>
        <v>128096.80157931453</v>
      </c>
      <c r="I108" s="810">
        <f>H108*G108</f>
        <v>64945.078400712468</v>
      </c>
      <c r="J108" s="378"/>
    </row>
    <row r="109" spans="1:11" s="682" customFormat="1" ht="17.100000000000001" customHeight="1">
      <c r="A109" s="240" t="str">
        <f>IF(C109="","",MAX($A$7:A108)+1)</f>
        <v/>
      </c>
      <c r="B109" s="240"/>
      <c r="C109" s="240"/>
      <c r="D109" s="364" t="s">
        <v>750</v>
      </c>
      <c r="E109" s="1623" t="str">
        <f>VLOOKUP(D109,'11.gia '!B:C,2,FALSE)</f>
        <v>Stone 1x2</v>
      </c>
      <c r="F109" s="704" t="s">
        <v>545</v>
      </c>
      <c r="G109" s="379">
        <v>0.82599999999999996</v>
      </c>
      <c r="H109" s="166">
        <f>GVL!$I$58</f>
        <v>364185.41224953817</v>
      </c>
      <c r="I109" s="810">
        <f>H109*G109</f>
        <v>300817.15051811852</v>
      </c>
      <c r="J109" s="378"/>
    </row>
    <row r="110" spans="1:11" s="682" customFormat="1" ht="17.100000000000001" customHeight="1">
      <c r="A110" s="240" t="str">
        <f>IF(C110="","",MAX($A$7:A109)+1)</f>
        <v/>
      </c>
      <c r="B110" s="240"/>
      <c r="C110" s="240"/>
      <c r="D110" s="364" t="s">
        <v>589</v>
      </c>
      <c r="E110" s="1623" t="str">
        <f>VLOOKUP(D110,'11.gia '!B:C,2,FALSE)</f>
        <v>water</v>
      </c>
      <c r="F110" s="704" t="s">
        <v>545</v>
      </c>
      <c r="G110" s="1990">
        <v>0.17699999999999999</v>
      </c>
      <c r="H110" s="325">
        <f>GVL!$I$129</f>
        <v>4000</v>
      </c>
      <c r="I110" s="2017">
        <f>H110*G110</f>
        <v>708</v>
      </c>
      <c r="J110" s="378"/>
    </row>
    <row r="111" spans="1:11" s="682" customFormat="1" ht="17.100000000000001" customHeight="1">
      <c r="A111" s="249"/>
      <c r="B111" s="249"/>
      <c r="C111" s="249" t="s">
        <v>3408</v>
      </c>
      <c r="D111" s="1058" t="s">
        <v>633</v>
      </c>
      <c r="E111" s="1623" t="str">
        <f>VLOOKUP(D111,'11.gia '!B:C,2,FALSE)</f>
        <v>Sikament 2000AT</v>
      </c>
      <c r="F111" s="1502" t="s">
        <v>558</v>
      </c>
      <c r="G111" s="1641">
        <f>1%*G107</f>
        <v>3.15</v>
      </c>
      <c r="H111" s="328">
        <f>VLOOKUP(D111,'11.gia '!B:I,8,FALSE)</f>
        <v>16480</v>
      </c>
      <c r="I111" s="1642">
        <f>H111*G111</f>
        <v>51912</v>
      </c>
      <c r="J111" s="378"/>
    </row>
    <row r="112" spans="1:11" s="87" customFormat="1" ht="17.100000000000001" customHeight="1">
      <c r="A112" s="320">
        <f>IF(C112="","",MAX($A$7:A111)+1)</f>
        <v>19</v>
      </c>
      <c r="B112" s="320"/>
      <c r="C112" s="320" t="s">
        <v>584</v>
      </c>
      <c r="D112" s="1092" t="s">
        <v>568</v>
      </c>
      <c r="E112" s="1624" t="str">
        <f>VLOOKUP(D112,'11.gia '!B:C,2,FALSE)</f>
        <v>Non-shringkage mortar</v>
      </c>
      <c r="F112" s="357" t="s">
        <v>545</v>
      </c>
      <c r="G112" s="950"/>
      <c r="H112" s="1024"/>
      <c r="I112" s="1093">
        <f>SUM(I113:I114)</f>
        <v>21243140</v>
      </c>
      <c r="J112" s="377"/>
    </row>
    <row r="113" spans="1:10" s="87" customFormat="1" ht="17.100000000000001" customHeight="1">
      <c r="A113" s="240" t="str">
        <f>IF(C113="","",MAX($A$7:A112)+1)</f>
        <v/>
      </c>
      <c r="B113" s="1643"/>
      <c r="C113" s="240"/>
      <c r="D113" s="364" t="s">
        <v>651</v>
      </c>
      <c r="E113" s="1623" t="str">
        <f>VLOOKUP(D113,'11.gia '!B:C,2,FALSE)</f>
        <v>Sika grout 214-11</v>
      </c>
      <c r="F113" s="240" t="s">
        <v>558</v>
      </c>
      <c r="G113" s="806">
        <v>1900</v>
      </c>
      <c r="H113" s="166">
        <f>VLOOKUP(D113,'11.gia '!B:I,8,FALSE)</f>
        <v>11180</v>
      </c>
      <c r="I113" s="166">
        <f>H113*G113</f>
        <v>21242000</v>
      </c>
      <c r="J113" s="378"/>
    </row>
    <row r="114" spans="1:10" s="87" customFormat="1" ht="17.100000000000001" customHeight="1">
      <c r="A114" s="249" t="str">
        <f>IF(C114="","",MAX($A$7:A113)+1)</f>
        <v/>
      </c>
      <c r="B114" s="1644"/>
      <c r="C114" s="249"/>
      <c r="D114" s="381" t="s">
        <v>589</v>
      </c>
      <c r="E114" s="1623" t="str">
        <f>VLOOKUP(D114,'11.gia '!B:C,2,FALSE)</f>
        <v>water</v>
      </c>
      <c r="F114" s="249" t="s">
        <v>545</v>
      </c>
      <c r="G114" s="1641">
        <v>0.28499999999999998</v>
      </c>
      <c r="H114" s="328">
        <f>GVL!$I$129</f>
        <v>4000</v>
      </c>
      <c r="I114" s="328">
        <f>H114*G114</f>
        <v>1140</v>
      </c>
      <c r="J114" s="378"/>
    </row>
    <row r="115" spans="1:10" s="87" customFormat="1" ht="17.100000000000001" customHeight="1">
      <c r="A115" s="320">
        <f>IF(C115="","",MAX($A$7:A114)+1)</f>
        <v>20</v>
      </c>
      <c r="B115" s="320">
        <v>1776</v>
      </c>
      <c r="C115" s="320" t="s">
        <v>2190</v>
      </c>
      <c r="D115" s="1092" t="s">
        <v>2082</v>
      </c>
      <c r="E115" s="1624" t="str">
        <f>VLOOKUP(D115,'11.gia '!B:C,2,FALSE)</f>
        <v>Cement motar C10</v>
      </c>
      <c r="F115" s="357" t="s">
        <v>545</v>
      </c>
      <c r="G115" s="950"/>
      <c r="H115" s="1024"/>
      <c r="I115" s="1093">
        <f>SUM(I116:I118)</f>
        <v>599153.14975303912</v>
      </c>
      <c r="J115" s="377"/>
    </row>
    <row r="116" spans="1:10" s="87" customFormat="1" ht="17.100000000000001" customHeight="1">
      <c r="A116" s="240" t="str">
        <f>IF(C116="","",MAX($A$7:A115)+1)</f>
        <v/>
      </c>
      <c r="B116" s="240"/>
      <c r="C116" s="240"/>
      <c r="D116" s="364" t="s">
        <v>458</v>
      </c>
      <c r="E116" s="1623" t="str">
        <f>VLOOKUP(D116,'11.gia '!B:C,2,FALSE)</f>
        <v>cement PC40</v>
      </c>
      <c r="F116" s="240" t="s">
        <v>558</v>
      </c>
      <c r="G116" s="239">
        <v>297.02</v>
      </c>
      <c r="H116" s="166">
        <f>GVL!$I$208</f>
        <v>1535</v>
      </c>
      <c r="I116" s="166">
        <f>H116*G116</f>
        <v>455925.69999999995</v>
      </c>
      <c r="J116" s="378"/>
    </row>
    <row r="117" spans="1:10" s="87" customFormat="1" ht="17.100000000000001" customHeight="1">
      <c r="A117" s="240" t="str">
        <f>IF(C117="","",MAX($A$7:A116)+1)</f>
        <v/>
      </c>
      <c r="B117" s="240"/>
      <c r="C117" s="240"/>
      <c r="D117" s="364" t="s">
        <v>588</v>
      </c>
      <c r="E117" s="1623" t="str">
        <f>VLOOKUP(D117,'11.gia '!B:C,2,FALSE)</f>
        <v>Medium sand</v>
      </c>
      <c r="F117" s="240" t="s">
        <v>545</v>
      </c>
      <c r="G117" s="239">
        <v>1.1100000000000001</v>
      </c>
      <c r="H117" s="166">
        <f>GVL!$I$38</f>
        <v>128096.80157931453</v>
      </c>
      <c r="I117" s="166">
        <f>H117*G117</f>
        <v>142187.44975303914</v>
      </c>
      <c r="J117" s="378"/>
    </row>
    <row r="118" spans="1:10" s="87" customFormat="1" ht="17.100000000000001" customHeight="1">
      <c r="A118" s="249" t="str">
        <f>IF(C118="","",MAX($A$7:A117)+1)</f>
        <v/>
      </c>
      <c r="B118" s="249"/>
      <c r="C118" s="249"/>
      <c r="D118" s="381" t="s">
        <v>589</v>
      </c>
      <c r="E118" s="1623" t="str">
        <f>VLOOKUP(D118,'11.gia '!B:C,2,FALSE)</f>
        <v>water</v>
      </c>
      <c r="F118" s="249" t="s">
        <v>545</v>
      </c>
      <c r="G118" s="248">
        <v>0.26</v>
      </c>
      <c r="H118" s="328">
        <f>GVL!$I$129</f>
        <v>4000</v>
      </c>
      <c r="I118" s="328">
        <f>H118*G118</f>
        <v>1040</v>
      </c>
      <c r="J118" s="378"/>
    </row>
    <row r="119" spans="1:10" s="87" customFormat="1" ht="17.100000000000001" customHeight="1">
      <c r="A119" s="320">
        <f>IF(C119="","",MAX($A$7:A118)+1)</f>
        <v>21</v>
      </c>
      <c r="B119" s="320">
        <v>1776</v>
      </c>
      <c r="C119" s="320" t="s">
        <v>2113</v>
      </c>
      <c r="D119" s="1631" t="s">
        <v>2137</v>
      </c>
      <c r="E119" s="1049" t="str">
        <f>VLOOKUP(D119,'11.gia '!B:C,2,FALSE)</f>
        <v>Concrete motar C20 stone 1x2 slump 2-4</v>
      </c>
      <c r="F119" s="357" t="s">
        <v>545</v>
      </c>
      <c r="G119" s="950"/>
      <c r="H119" s="1024"/>
      <c r="I119" s="1093">
        <f>SUM(I120:I123)</f>
        <v>712525.74770075828</v>
      </c>
      <c r="J119" s="377"/>
    </row>
    <row r="120" spans="1:10" s="87" customFormat="1" ht="17.100000000000001" customHeight="1">
      <c r="A120" s="240" t="str">
        <f>IF(C120="","",MAX($A$7:A119)+1)</f>
        <v/>
      </c>
      <c r="B120" s="240"/>
      <c r="C120" s="240"/>
      <c r="D120" s="364" t="s">
        <v>587</v>
      </c>
      <c r="E120" s="848" t="str">
        <f>VLOOKUP(D120,'11.gia '!B:C,2,FALSE)</f>
        <v>cement PC30</v>
      </c>
      <c r="F120" s="240" t="s">
        <v>558</v>
      </c>
      <c r="G120" s="321">
        <v>218</v>
      </c>
      <c r="H120" s="166">
        <f>GVL!$I$207</f>
        <v>1450</v>
      </c>
      <c r="I120" s="166">
        <f>H120*G120</f>
        <v>316100</v>
      </c>
      <c r="J120" s="378"/>
    </row>
    <row r="121" spans="1:10" s="87" customFormat="1" ht="17.100000000000001" customHeight="1">
      <c r="A121" s="240" t="str">
        <f>IF(C121="","",MAX($A$7:A120)+1)</f>
        <v/>
      </c>
      <c r="B121" s="240"/>
      <c r="C121" s="240"/>
      <c r="D121" s="364" t="s">
        <v>214</v>
      </c>
      <c r="E121" s="848" t="str">
        <f>VLOOKUP(D121,'11.gia '!B:C,2,FALSE)</f>
        <v>Sand to pouring concrete</v>
      </c>
      <c r="F121" s="240" t="s">
        <v>545</v>
      </c>
      <c r="G121" s="1989">
        <v>0.51600000000000001</v>
      </c>
      <c r="H121" s="166">
        <f>GVL!$I$38</f>
        <v>128096.80157931453</v>
      </c>
      <c r="I121" s="166">
        <f>H121*G121</f>
        <v>66097.9496149263</v>
      </c>
      <c r="J121" s="378"/>
    </row>
    <row r="122" spans="1:10" s="87" customFormat="1" ht="17.100000000000001" customHeight="1">
      <c r="A122" s="240" t="str">
        <f>IF(C122="","",MAX($A$7:A121)+1)</f>
        <v/>
      </c>
      <c r="B122" s="240"/>
      <c r="C122" s="240"/>
      <c r="D122" s="364" t="s">
        <v>750</v>
      </c>
      <c r="E122" s="848" t="str">
        <f>VLOOKUP(D122,'11.gia '!B:C,2,FALSE)</f>
        <v>Stone 1x2</v>
      </c>
      <c r="F122" s="240" t="s">
        <v>545</v>
      </c>
      <c r="G122" s="1989">
        <v>0.90500000000000003</v>
      </c>
      <c r="H122" s="166">
        <f>GVL!$I$58</f>
        <v>364185.41224953817</v>
      </c>
      <c r="I122" s="166">
        <f>H122*G122</f>
        <v>329587.79808583204</v>
      </c>
      <c r="J122" s="378"/>
    </row>
    <row r="123" spans="1:10" s="87" customFormat="1" ht="17.100000000000001" customHeight="1">
      <c r="A123" s="249" t="str">
        <f>IF(C123="","",MAX($A$7:A122)+1)</f>
        <v/>
      </c>
      <c r="B123" s="249"/>
      <c r="C123" s="249"/>
      <c r="D123" s="381" t="s">
        <v>589</v>
      </c>
      <c r="E123" s="1471" t="str">
        <f>VLOOKUP(D123,'11.gia '!B:C,2,FALSE)</f>
        <v>water</v>
      </c>
      <c r="F123" s="249" t="s">
        <v>545</v>
      </c>
      <c r="G123" s="1645">
        <v>0.185</v>
      </c>
      <c r="H123" s="328">
        <f>GVL!$I$129</f>
        <v>4000</v>
      </c>
      <c r="I123" s="328">
        <f>H123*G123</f>
        <v>740</v>
      </c>
      <c r="J123" s="378"/>
    </row>
    <row r="124" spans="1:10" s="87" customFormat="1" ht="17.100000000000001" customHeight="1">
      <c r="A124" s="320">
        <f>IF(C124="","",MAX($A$7:A123)+1)</f>
        <v>22</v>
      </c>
      <c r="B124" s="320">
        <v>1776</v>
      </c>
      <c r="C124" s="320" t="s">
        <v>2191</v>
      </c>
      <c r="D124" s="1092" t="s">
        <v>154</v>
      </c>
      <c r="E124" s="1056" t="str">
        <f>VLOOKUP(D124,'11.gia '!B:C,2,FALSE)</f>
        <v>Concrete motar C15 stone 1x2 slump 6-8</v>
      </c>
      <c r="F124" s="357" t="s">
        <v>545</v>
      </c>
      <c r="G124" s="950"/>
      <c r="H124" s="1024"/>
      <c r="I124" s="1093">
        <f>SUM(I125:I128)</f>
        <v>836833.32894201751</v>
      </c>
      <c r="J124" s="377"/>
    </row>
    <row r="125" spans="1:10" s="87" customFormat="1" ht="17.100000000000001" customHeight="1">
      <c r="A125" s="240" t="str">
        <f>IF(C125="","",MAX($A$7:A124)+1)</f>
        <v/>
      </c>
      <c r="B125" s="240"/>
      <c r="C125" s="240"/>
      <c r="D125" s="364" t="s">
        <v>458</v>
      </c>
      <c r="E125" s="848" t="str">
        <f>VLOOKUP(D125,'11.gia '!B:C,2,FALSE)</f>
        <v>cement PC40</v>
      </c>
      <c r="F125" s="240" t="s">
        <v>558</v>
      </c>
      <c r="G125" s="239">
        <v>296</v>
      </c>
      <c r="H125" s="166">
        <f>GVL!$I$208</f>
        <v>1535</v>
      </c>
      <c r="I125" s="166">
        <f>H125*G125</f>
        <v>454360</v>
      </c>
      <c r="J125" s="378"/>
    </row>
    <row r="126" spans="1:10" s="87" customFormat="1" ht="17.100000000000001" customHeight="1">
      <c r="A126" s="240" t="str">
        <f>IF(C126="","",MAX($A$7:A125)+1)</f>
        <v/>
      </c>
      <c r="B126" s="240"/>
      <c r="C126" s="240"/>
      <c r="D126" s="364" t="s">
        <v>214</v>
      </c>
      <c r="E126" s="848" t="str">
        <f>VLOOKUP(D126,'11.gia '!B:C,2,FALSE)</f>
        <v>Sand to pouring concrete</v>
      </c>
      <c r="F126" s="240" t="s">
        <v>545</v>
      </c>
      <c r="G126" s="239">
        <v>0.47499999999999998</v>
      </c>
      <c r="H126" s="166">
        <f>GVL!$I$38</f>
        <v>128096.80157931453</v>
      </c>
      <c r="I126" s="166">
        <f>H126*G126</f>
        <v>60845.9807501744</v>
      </c>
      <c r="J126" s="378"/>
    </row>
    <row r="127" spans="1:10" s="87" customFormat="1" ht="17.100000000000001" customHeight="1">
      <c r="A127" s="240" t="str">
        <f>IF(C127="","",MAX($A$7:A126)+1)</f>
        <v/>
      </c>
      <c r="B127" s="240"/>
      <c r="C127" s="240"/>
      <c r="D127" s="364" t="s">
        <v>750</v>
      </c>
      <c r="E127" s="848" t="str">
        <f>VLOOKUP(D127,'11.gia '!B:C,2,FALSE)</f>
        <v>Stone 1x2</v>
      </c>
      <c r="F127" s="240" t="s">
        <v>545</v>
      </c>
      <c r="G127" s="239">
        <v>0.88100000000000001</v>
      </c>
      <c r="H127" s="166">
        <f>GVL!$I$58</f>
        <v>364185.41224953817</v>
      </c>
      <c r="I127" s="166">
        <f>H127*G127</f>
        <v>320847.34819184314</v>
      </c>
      <c r="J127" s="378"/>
    </row>
    <row r="128" spans="1:10" s="87" customFormat="1" ht="17.100000000000001" customHeight="1">
      <c r="A128" s="249" t="str">
        <f>IF(C128="","",MAX($A$7:A127)+1)</f>
        <v/>
      </c>
      <c r="B128" s="249"/>
      <c r="C128" s="249"/>
      <c r="D128" s="381" t="s">
        <v>589</v>
      </c>
      <c r="E128" s="1471" t="str">
        <f>VLOOKUP(D128,'11.gia '!B:C,2,FALSE)</f>
        <v>water</v>
      </c>
      <c r="F128" s="249" t="s">
        <v>545</v>
      </c>
      <c r="G128" s="248">
        <v>0.19500000000000001</v>
      </c>
      <c r="H128" s="328">
        <f>GVL!$I$129</f>
        <v>4000</v>
      </c>
      <c r="I128" s="328">
        <f>H128*G128</f>
        <v>780</v>
      </c>
      <c r="J128" s="378"/>
    </row>
    <row r="129" spans="1:10" s="87" customFormat="1" ht="17.100000000000001" customHeight="1">
      <c r="A129" s="320">
        <f>IF(C129="","",MAX($A$7:A128)+1)</f>
        <v>23</v>
      </c>
      <c r="B129" s="320" t="s">
        <v>3938</v>
      </c>
      <c r="C129" s="320" t="s">
        <v>169</v>
      </c>
      <c r="D129" s="1092" t="s">
        <v>3939</v>
      </c>
      <c r="E129" s="840" t="e">
        <f>VLOOKUP(D129,'11.gia '!B:C,2,FALSE)</f>
        <v>#N/A</v>
      </c>
      <c r="F129" s="357" t="s">
        <v>545</v>
      </c>
      <c r="G129" s="950"/>
      <c r="H129" s="1024"/>
      <c r="I129" s="1093">
        <f>SUM(I130:I134)</f>
        <v>1218231.9472457606</v>
      </c>
      <c r="J129" s="377"/>
    </row>
    <row r="130" spans="1:10" s="87" customFormat="1" ht="17.100000000000001" customHeight="1">
      <c r="A130" s="240" t="str">
        <f>IF(C130="","",MAX($A$7:A129)+1)</f>
        <v/>
      </c>
      <c r="B130" s="240"/>
      <c r="C130" s="240"/>
      <c r="D130" s="364" t="s">
        <v>458</v>
      </c>
      <c r="E130" s="848" t="str">
        <f>VLOOKUP(D130,'11.gia '!B:C,2,FALSE)</f>
        <v>cement PC40</v>
      </c>
      <c r="F130" s="240" t="s">
        <v>558</v>
      </c>
      <c r="G130" s="239">
        <v>501</v>
      </c>
      <c r="H130" s="166">
        <f>GVL!$I$208</f>
        <v>1535</v>
      </c>
      <c r="I130" s="166">
        <f>H130*G130</f>
        <v>769035</v>
      </c>
      <c r="J130" s="378"/>
    </row>
    <row r="131" spans="1:10" s="87" customFormat="1" ht="17.100000000000001" customHeight="1">
      <c r="A131" s="240" t="str">
        <f>IF(C131="","",MAX($A$7:A130)+1)</f>
        <v/>
      </c>
      <c r="B131" s="240"/>
      <c r="C131" s="240"/>
      <c r="D131" s="364" t="s">
        <v>214</v>
      </c>
      <c r="E131" s="848" t="str">
        <f>VLOOKUP(D131,'11.gia '!B:C,2,FALSE)</f>
        <v>Sand to pouring concrete</v>
      </c>
      <c r="F131" s="240" t="s">
        <v>545</v>
      </c>
      <c r="G131" s="379">
        <f>0.594/1.425</f>
        <v>0.41684210526315785</v>
      </c>
      <c r="H131" s="166">
        <f>GVL!$I$38</f>
        <v>128096.80157931453</v>
      </c>
      <c r="I131" s="166">
        <f>H131*G131</f>
        <v>53396.140447798469</v>
      </c>
      <c r="J131" s="378"/>
    </row>
    <row r="132" spans="1:10" s="87" customFormat="1" ht="17.100000000000001" customHeight="1">
      <c r="A132" s="240" t="str">
        <f>IF(C132="","",MAX($A$7:A131)+1)</f>
        <v/>
      </c>
      <c r="B132" s="240"/>
      <c r="C132" s="240"/>
      <c r="D132" s="364" t="s">
        <v>750</v>
      </c>
      <c r="E132" s="848" t="str">
        <f>VLOOKUP(D132,'11.gia '!B:C,2,FALSE)</f>
        <v>Stone 1x2</v>
      </c>
      <c r="F132" s="240" t="s">
        <v>545</v>
      </c>
      <c r="G132" s="379">
        <f>1.202/1.401</f>
        <v>0.85795860099928622</v>
      </c>
      <c r="H132" s="166">
        <f>GVL!$I$58</f>
        <v>364185.41224953817</v>
      </c>
      <c r="I132" s="166">
        <f>H132*G132</f>
        <v>312456.00679796207</v>
      </c>
      <c r="J132" s="378"/>
    </row>
    <row r="133" spans="1:10" s="87" customFormat="1" ht="17.100000000000001" customHeight="1">
      <c r="A133" s="240" t="str">
        <f>IF(C133="","",MAX($A$7:A132)+1)</f>
        <v/>
      </c>
      <c r="B133" s="240"/>
      <c r="C133" s="240"/>
      <c r="D133" s="364" t="s">
        <v>589</v>
      </c>
      <c r="E133" s="848" t="str">
        <f>VLOOKUP(D133,'11.gia '!B:C,2,FALSE)</f>
        <v>water</v>
      </c>
      <c r="F133" s="240" t="s">
        <v>545</v>
      </c>
      <c r="G133" s="239">
        <v>0.19500000000000001</v>
      </c>
      <c r="H133" s="166">
        <f>GVL!$I$129</f>
        <v>4000</v>
      </c>
      <c r="I133" s="166">
        <f>H133*G133</f>
        <v>780</v>
      </c>
      <c r="J133" s="378"/>
    </row>
    <row r="134" spans="1:10" s="87" customFormat="1" ht="17.100000000000001" customHeight="1">
      <c r="A134" s="249"/>
      <c r="B134" s="249"/>
      <c r="C134" s="249" t="s">
        <v>3408</v>
      </c>
      <c r="D134" s="1058" t="s">
        <v>633</v>
      </c>
      <c r="E134" s="1471" t="str">
        <f>VLOOKUP(D134,'11.gia '!B:C,2,FALSE)</f>
        <v>Sikament 2000AT</v>
      </c>
      <c r="F134" s="249" t="s">
        <v>558</v>
      </c>
      <c r="G134" s="1636">
        <f>+G130*1%</f>
        <v>5.01</v>
      </c>
      <c r="H134" s="328">
        <f>VLOOKUP(D134,'11.gia '!B:I,8,FALSE)</f>
        <v>16480</v>
      </c>
      <c r="I134" s="328">
        <f>H134*G134</f>
        <v>82564.800000000003</v>
      </c>
      <c r="J134" s="378"/>
    </row>
    <row r="135" spans="1:10" s="87" customFormat="1" ht="17.100000000000001" customHeight="1">
      <c r="A135" s="320">
        <f>IF(C135="","",MAX($A$7:A133)+1)</f>
        <v>24</v>
      </c>
      <c r="B135" s="320" t="s">
        <v>3938</v>
      </c>
      <c r="C135" s="320" t="s">
        <v>169</v>
      </c>
      <c r="D135" s="1092" t="s">
        <v>3940</v>
      </c>
      <c r="E135" s="840" t="e">
        <f>VLOOKUP(D135,'11.gia '!B:C,2,FALSE)</f>
        <v>#N/A</v>
      </c>
      <c r="F135" s="357" t="s">
        <v>545</v>
      </c>
      <c r="G135" s="950"/>
      <c r="H135" s="1024"/>
      <c r="I135" s="1093">
        <f>SUM(I136:I140)</f>
        <v>1024335.5703178402</v>
      </c>
      <c r="J135" s="377"/>
    </row>
    <row r="136" spans="1:10" s="87" customFormat="1" ht="17.100000000000001" customHeight="1">
      <c r="A136" s="240" t="str">
        <f>IF(C136="","",MAX($A$7:A135)+1)</f>
        <v/>
      </c>
      <c r="B136" s="240"/>
      <c r="C136" s="240"/>
      <c r="D136" s="364" t="s">
        <v>458</v>
      </c>
      <c r="E136" s="848" t="str">
        <f>VLOOKUP(D136,'11.gia '!B:C,2,FALSE)</f>
        <v>cement PC40</v>
      </c>
      <c r="F136" s="240" t="s">
        <v>558</v>
      </c>
      <c r="G136" s="239">
        <v>374</v>
      </c>
      <c r="H136" s="166">
        <f>GVL!$I$208</f>
        <v>1535</v>
      </c>
      <c r="I136" s="166">
        <f>H136*G136</f>
        <v>574090</v>
      </c>
      <c r="J136" s="378"/>
    </row>
    <row r="137" spans="1:10" s="87" customFormat="1" ht="17.100000000000001" customHeight="1">
      <c r="A137" s="240" t="str">
        <f>IF(C137="","",MAX($A$7:A136)+1)</f>
        <v/>
      </c>
      <c r="B137" s="240"/>
      <c r="C137" s="240"/>
      <c r="D137" s="364" t="s">
        <v>214</v>
      </c>
      <c r="E137" s="848" t="str">
        <f>VLOOKUP(D137,'11.gia '!B:C,2,FALSE)</f>
        <v>Sand to pouring concrete</v>
      </c>
      <c r="F137" s="240" t="s">
        <v>545</v>
      </c>
      <c r="G137" s="379">
        <f>0.651/1.425</f>
        <v>0.45684210526315788</v>
      </c>
      <c r="H137" s="166">
        <f>GVL!$I$38</f>
        <v>128096.80157931453</v>
      </c>
      <c r="I137" s="166">
        <f>H137*G137</f>
        <v>58520.012510971057</v>
      </c>
      <c r="J137" s="378"/>
    </row>
    <row r="138" spans="1:10" s="87" customFormat="1" ht="17.100000000000001" customHeight="1">
      <c r="A138" s="240" t="str">
        <f>IF(C138="","",MAX($A$7:A137)+1)</f>
        <v/>
      </c>
      <c r="B138" s="240"/>
      <c r="C138" s="240"/>
      <c r="D138" s="364" t="s">
        <v>750</v>
      </c>
      <c r="E138" s="848" t="str">
        <f>VLOOKUP(D138,'11.gia '!B:C,2,FALSE)</f>
        <v>Stone 1x2</v>
      </c>
      <c r="F138" s="240" t="s">
        <v>545</v>
      </c>
      <c r="G138" s="379">
        <f>1.248/1.401</f>
        <v>0.8907922912205567</v>
      </c>
      <c r="H138" s="166">
        <f>GVL!$I$58</f>
        <v>364185.41224953817</v>
      </c>
      <c r="I138" s="166">
        <f>H138*G138</f>
        <v>324413.5578068691</v>
      </c>
      <c r="J138" s="378"/>
    </row>
    <row r="139" spans="1:10" s="87" customFormat="1" ht="17.100000000000001" customHeight="1">
      <c r="A139" s="240" t="str">
        <f>IF(C139="","",MAX($A$7:A138)+1)</f>
        <v/>
      </c>
      <c r="B139" s="240"/>
      <c r="C139" s="240"/>
      <c r="D139" s="364" t="s">
        <v>589</v>
      </c>
      <c r="E139" s="848" t="str">
        <f>VLOOKUP(D139,'11.gia '!B:C,2,FALSE)</f>
        <v>water</v>
      </c>
      <c r="F139" s="240" t="s">
        <v>545</v>
      </c>
      <c r="G139" s="239">
        <v>0.185</v>
      </c>
      <c r="H139" s="166">
        <f>GVL!$I$129</f>
        <v>4000</v>
      </c>
      <c r="I139" s="166">
        <f>H139*G139</f>
        <v>740</v>
      </c>
      <c r="J139" s="378"/>
    </row>
    <row r="140" spans="1:10" s="87" customFormat="1" ht="17.100000000000001" customHeight="1">
      <c r="A140" s="249"/>
      <c r="B140" s="249"/>
      <c r="C140" s="249" t="s">
        <v>3408</v>
      </c>
      <c r="D140" s="381" t="s">
        <v>3407</v>
      </c>
      <c r="E140" s="1471">
        <f>VLOOKUP(D140,'11.gia '!B:C,2,FALSE)</f>
        <v>0</v>
      </c>
      <c r="F140" s="249" t="s">
        <v>558</v>
      </c>
      <c r="G140" s="1636">
        <f>+G136*1%</f>
        <v>3.74</v>
      </c>
      <c r="H140" s="328">
        <f>GVL!$I$152</f>
        <v>17800</v>
      </c>
      <c r="I140" s="328">
        <f>H140*G140</f>
        <v>66572</v>
      </c>
      <c r="J140" s="378"/>
    </row>
    <row r="141" spans="1:10" s="87" customFormat="1" ht="17.100000000000001" customHeight="1">
      <c r="A141" s="320">
        <f>IF(C141="","",MAX($A$7:A139)+1)</f>
        <v>25</v>
      </c>
      <c r="B141" s="320" t="s">
        <v>3938</v>
      </c>
      <c r="C141" s="320" t="s">
        <v>169</v>
      </c>
      <c r="D141" s="1092" t="s">
        <v>3941</v>
      </c>
      <c r="E141" s="840" t="e">
        <f>VLOOKUP(D141,'11.gia '!B:C,2,FALSE)</f>
        <v>#N/A</v>
      </c>
      <c r="F141" s="357" t="s">
        <v>545</v>
      </c>
      <c r="G141" s="950"/>
      <c r="H141" s="1024"/>
      <c r="I141" s="1093">
        <f>SUM(I142:I146)</f>
        <v>907710.39618396934</v>
      </c>
      <c r="J141" s="377"/>
    </row>
    <row r="142" spans="1:10" s="87" customFormat="1" ht="17.100000000000001" customHeight="1">
      <c r="A142" s="240" t="str">
        <f>IF(C142="","",MAX($A$7:A141)+1)</f>
        <v/>
      </c>
      <c r="B142" s="240"/>
      <c r="C142" s="240"/>
      <c r="D142" s="364" t="s">
        <v>458</v>
      </c>
      <c r="E142" s="848" t="str">
        <f>VLOOKUP(D142,'11.gia '!B:C,2,FALSE)</f>
        <v>cement PC40</v>
      </c>
      <c r="F142" s="240" t="s">
        <v>558</v>
      </c>
      <c r="G142" s="239">
        <v>309</v>
      </c>
      <c r="H142" s="166">
        <f>GVL!$I$208</f>
        <v>1535</v>
      </c>
      <c r="I142" s="166">
        <f>H142*G142</f>
        <v>474315</v>
      </c>
      <c r="J142" s="378"/>
    </row>
    <row r="143" spans="1:10" s="87" customFormat="1" ht="17.100000000000001" customHeight="1">
      <c r="A143" s="240" t="str">
        <f>IF(C143="","",MAX($A$7:A142)+1)</f>
        <v/>
      </c>
      <c r="B143" s="240"/>
      <c r="C143" s="240"/>
      <c r="D143" s="364" t="s">
        <v>214</v>
      </c>
      <c r="E143" s="848" t="str">
        <f>VLOOKUP(D143,'11.gia '!B:C,2,FALSE)</f>
        <v>Sand to pouring concrete</v>
      </c>
      <c r="F143" s="240" t="s">
        <v>545</v>
      </c>
      <c r="G143" s="379">
        <f>0.665/1.425</f>
        <v>0.46666666666666667</v>
      </c>
      <c r="H143" s="166">
        <f>GVL!$I$38</f>
        <v>128096.80157931453</v>
      </c>
      <c r="I143" s="166">
        <f>H143*G143</f>
        <v>59778.507403680116</v>
      </c>
      <c r="J143" s="378"/>
    </row>
    <row r="144" spans="1:10" s="87" customFormat="1" ht="17.100000000000001" customHeight="1">
      <c r="A144" s="240" t="str">
        <f>IF(C144="","",MAX($A$7:A143)+1)</f>
        <v/>
      </c>
      <c r="B144" s="240"/>
      <c r="C144" s="240"/>
      <c r="D144" s="364" t="s">
        <v>750</v>
      </c>
      <c r="E144" s="848" t="str">
        <f>VLOOKUP(D144,'11.gia '!B:C,2,FALSE)</f>
        <v>Stone 1x2</v>
      </c>
      <c r="F144" s="240" t="s">
        <v>545</v>
      </c>
      <c r="G144" s="379">
        <f>1.223/1.401</f>
        <v>0.8729478943611706</v>
      </c>
      <c r="H144" s="166">
        <f>GVL!$I$58</f>
        <v>364185.41224953817</v>
      </c>
      <c r="I144" s="166">
        <f>H144*G144</f>
        <v>317914.88878028921</v>
      </c>
      <c r="J144" s="378"/>
    </row>
    <row r="145" spans="1:10" s="87" customFormat="1" ht="17.100000000000001" customHeight="1">
      <c r="A145" s="240" t="str">
        <f>IF(C145="","",MAX($A$7:A144)+1)</f>
        <v/>
      </c>
      <c r="B145" s="240"/>
      <c r="C145" s="240"/>
      <c r="D145" s="364" t="s">
        <v>589</v>
      </c>
      <c r="E145" s="848" t="str">
        <f>VLOOKUP(D145,'11.gia '!B:C,2,FALSE)</f>
        <v>water</v>
      </c>
      <c r="F145" s="240" t="s">
        <v>545</v>
      </c>
      <c r="G145" s="239">
        <v>0.17499999999999999</v>
      </c>
      <c r="H145" s="166">
        <f>GVL!$I$129</f>
        <v>4000</v>
      </c>
      <c r="I145" s="166">
        <f>H145*G145</f>
        <v>700</v>
      </c>
      <c r="J145" s="378"/>
    </row>
    <row r="146" spans="1:10" s="87" customFormat="1" ht="17.100000000000001" customHeight="1">
      <c r="A146" s="249"/>
      <c r="B146" s="249"/>
      <c r="C146" s="249" t="s">
        <v>3408</v>
      </c>
      <c r="D146" s="381" t="s">
        <v>3407</v>
      </c>
      <c r="E146" s="1471">
        <f>VLOOKUP(D146,'11.gia '!B:C,2,FALSE)</f>
        <v>0</v>
      </c>
      <c r="F146" s="249" t="s">
        <v>558</v>
      </c>
      <c r="G146" s="1636">
        <f>+G142*1%</f>
        <v>3.09</v>
      </c>
      <c r="H146" s="328">
        <f>GVL!$I$152</f>
        <v>17800</v>
      </c>
      <c r="I146" s="328">
        <f>H146*G146</f>
        <v>55002</v>
      </c>
      <c r="J146" s="378"/>
    </row>
    <row r="147" spans="1:10" s="87" customFormat="1" ht="17.100000000000001" customHeight="1">
      <c r="A147" s="320">
        <f>IF(C147="","",MAX($A$7:A145)+1)</f>
        <v>26</v>
      </c>
      <c r="B147" s="320" t="s">
        <v>3938</v>
      </c>
      <c r="C147" s="320" t="s">
        <v>169</v>
      </c>
      <c r="D147" s="1092" t="s">
        <v>3942</v>
      </c>
      <c r="E147" s="840" t="e">
        <f>VLOOKUP(D147,'11.gia '!B:C,2,FALSE)</f>
        <v>#N/A</v>
      </c>
      <c r="F147" s="357" t="s">
        <v>545</v>
      </c>
      <c r="G147" s="950"/>
      <c r="H147" s="1024"/>
      <c r="I147" s="1093">
        <f>SUM(I148:I152)</f>
        <v>1153068.8592133769</v>
      </c>
      <c r="J147" s="377"/>
    </row>
    <row r="148" spans="1:10" s="87" customFormat="1" ht="17.100000000000001" customHeight="1">
      <c r="A148" s="240" t="str">
        <f>IF(C148="","",MAX($A$7:A147)+1)</f>
        <v/>
      </c>
      <c r="B148" s="240"/>
      <c r="C148" s="240"/>
      <c r="D148" s="364" t="s">
        <v>458</v>
      </c>
      <c r="E148" s="848" t="str">
        <f>VLOOKUP(D148,'11.gia '!B:C,2,FALSE)</f>
        <v>cement PC40</v>
      </c>
      <c r="F148" s="240" t="s">
        <v>558</v>
      </c>
      <c r="G148" s="239">
        <v>458</v>
      </c>
      <c r="H148" s="166">
        <f>GVL!$I$208</f>
        <v>1535</v>
      </c>
      <c r="I148" s="166">
        <f>H148*G148</f>
        <v>703030</v>
      </c>
      <c r="J148" s="378"/>
    </row>
    <row r="149" spans="1:10" s="87" customFormat="1" ht="17.100000000000001" customHeight="1">
      <c r="A149" s="240" t="str">
        <f>IF(C149="","",MAX($A$7:A148)+1)</f>
        <v/>
      </c>
      <c r="B149" s="240"/>
      <c r="C149" s="240"/>
      <c r="D149" s="364" t="s">
        <v>214</v>
      </c>
      <c r="E149" s="848" t="str">
        <f>VLOOKUP(D149,'11.gia '!B:C,2,FALSE)</f>
        <v>Sand to pouring concrete</v>
      </c>
      <c r="F149" s="240" t="s">
        <v>545</v>
      </c>
      <c r="G149" s="379">
        <f>0.604/1.425</f>
        <v>0.42385964912280699</v>
      </c>
      <c r="H149" s="166">
        <f>GVL!$I$38</f>
        <v>128096.80157931453</v>
      </c>
      <c r="I149" s="166">
        <f>H149*G149</f>
        <v>54295.065371162083</v>
      </c>
      <c r="J149" s="378"/>
    </row>
    <row r="150" spans="1:10" s="87" customFormat="1" ht="17.100000000000001" customHeight="1">
      <c r="A150" s="240" t="str">
        <f>IF(C150="","",MAX($A$7:A149)+1)</f>
        <v/>
      </c>
      <c r="B150" s="240"/>
      <c r="C150" s="240"/>
      <c r="D150" s="364" t="s">
        <v>750</v>
      </c>
      <c r="E150" s="848" t="str">
        <f>VLOOKUP(D150,'11.gia '!B:C,2,FALSE)</f>
        <v>Stone 1x2</v>
      </c>
      <c r="F150" s="240" t="s">
        <v>545</v>
      </c>
      <c r="G150" s="379">
        <f>1.206/1.401</f>
        <v>0.86081370449678796</v>
      </c>
      <c r="H150" s="166">
        <f>GVL!$I$58</f>
        <v>364185.41224953817</v>
      </c>
      <c r="I150" s="166">
        <f>H150*G150</f>
        <v>313495.79384221486</v>
      </c>
      <c r="J150" s="378"/>
    </row>
    <row r="151" spans="1:10" s="87" customFormat="1" ht="17.100000000000001" customHeight="1">
      <c r="A151" s="240" t="str">
        <f>IF(C151="","",MAX($A$7:A150)+1)</f>
        <v/>
      </c>
      <c r="B151" s="240"/>
      <c r="C151" s="240"/>
      <c r="D151" s="364" t="s">
        <v>589</v>
      </c>
      <c r="E151" s="848" t="str">
        <f>VLOOKUP(D151,'11.gia '!B:C,2,FALSE)</f>
        <v>water</v>
      </c>
      <c r="F151" s="240" t="s">
        <v>545</v>
      </c>
      <c r="G151" s="239">
        <v>0.18099999999999999</v>
      </c>
      <c r="H151" s="166">
        <f>GVL!$I$129</f>
        <v>4000</v>
      </c>
      <c r="I151" s="166">
        <f>H151*G151</f>
        <v>724</v>
      </c>
      <c r="J151" s="378"/>
    </row>
    <row r="152" spans="1:10" s="87" customFormat="1" ht="17.100000000000001" customHeight="1">
      <c r="A152" s="249"/>
      <c r="B152" s="249"/>
      <c r="C152" s="249" t="s">
        <v>3408</v>
      </c>
      <c r="D152" s="381" t="s">
        <v>3407</v>
      </c>
      <c r="E152" s="1471">
        <f>VLOOKUP(D152,'11.gia '!B:C,2,FALSE)</f>
        <v>0</v>
      </c>
      <c r="F152" s="249" t="s">
        <v>558</v>
      </c>
      <c r="G152" s="1636">
        <f>+G148*1%</f>
        <v>4.58</v>
      </c>
      <c r="H152" s="328">
        <f>GVL!$I$152</f>
        <v>17800</v>
      </c>
      <c r="I152" s="328">
        <f>H152*G152</f>
        <v>81524</v>
      </c>
      <c r="J152" s="378"/>
    </row>
    <row r="153" spans="1:10" s="87" customFormat="1" ht="17.100000000000001" customHeight="1">
      <c r="A153" s="320">
        <f>IF(C153="","",MAX($A$7:A151)+1)</f>
        <v>27</v>
      </c>
      <c r="B153" s="320" t="s">
        <v>3938</v>
      </c>
      <c r="C153" s="320" t="s">
        <v>169</v>
      </c>
      <c r="D153" s="1092" t="s">
        <v>3943</v>
      </c>
      <c r="E153" s="840" t="e">
        <f>VLOOKUP(D153,'11.gia '!B:C,2,FALSE)</f>
        <v>#N/A</v>
      </c>
      <c r="F153" s="357" t="s">
        <v>545</v>
      </c>
      <c r="G153" s="950"/>
      <c r="H153" s="1024"/>
      <c r="I153" s="1093">
        <f>SUM(I154:I158)</f>
        <v>809965.76490400359</v>
      </c>
      <c r="J153" s="377"/>
    </row>
    <row r="154" spans="1:10" s="87" customFormat="1" ht="17.100000000000001" customHeight="1">
      <c r="A154" s="240" t="str">
        <f>IF(C154="","",MAX($A$7:A153)+1)</f>
        <v/>
      </c>
      <c r="B154" s="240"/>
      <c r="C154" s="240"/>
      <c r="D154" s="364" t="s">
        <v>458</v>
      </c>
      <c r="E154" s="848" t="str">
        <f>VLOOKUP(D154,'11.gia '!B:C,2,FALSE)</f>
        <v>cement PC40</v>
      </c>
      <c r="F154" s="240" t="s">
        <v>558</v>
      </c>
      <c r="G154" s="239">
        <v>246</v>
      </c>
      <c r="H154" s="166">
        <f>GVL!$I$208</f>
        <v>1535</v>
      </c>
      <c r="I154" s="166">
        <f>H154*G154</f>
        <v>377610</v>
      </c>
      <c r="J154" s="378"/>
    </row>
    <row r="155" spans="1:10" s="87" customFormat="1" ht="17.100000000000001" customHeight="1">
      <c r="A155" s="240" t="str">
        <f>IF(C155="","",MAX($A$7:A154)+1)</f>
        <v/>
      </c>
      <c r="B155" s="240"/>
      <c r="C155" s="240"/>
      <c r="D155" s="364" t="s">
        <v>214</v>
      </c>
      <c r="E155" s="848" t="str">
        <f>VLOOKUP(D155,'11.gia '!B:C,2,FALSE)</f>
        <v>Sand to pouring concrete</v>
      </c>
      <c r="F155" s="240" t="s">
        <v>545</v>
      </c>
      <c r="G155" s="379">
        <f>0.705/1.425</f>
        <v>0.49473684210526314</v>
      </c>
      <c r="H155" s="166">
        <f>GVL!$I$38</f>
        <v>128096.80157931453</v>
      </c>
      <c r="I155" s="166">
        <f>H155*G155</f>
        <v>63374.207097134553</v>
      </c>
      <c r="J155" s="378"/>
    </row>
    <row r="156" spans="1:10" s="87" customFormat="1" ht="17.100000000000001" customHeight="1">
      <c r="A156" s="240" t="str">
        <f>IF(C156="","",MAX($A$7:A155)+1)</f>
        <v/>
      </c>
      <c r="B156" s="240"/>
      <c r="C156" s="240"/>
      <c r="D156" s="364" t="s">
        <v>750</v>
      </c>
      <c r="E156" s="848" t="str">
        <f>VLOOKUP(D156,'11.gia '!B:C,2,FALSE)</f>
        <v>Stone 1x2</v>
      </c>
      <c r="F156" s="240" t="s">
        <v>545</v>
      </c>
      <c r="G156" s="379">
        <f>1.248/1.401</f>
        <v>0.8907922912205567</v>
      </c>
      <c r="H156" s="166">
        <f>GVL!$I$58</f>
        <v>364185.41224953817</v>
      </c>
      <c r="I156" s="166">
        <f>H156*G156</f>
        <v>324413.5578068691</v>
      </c>
      <c r="J156" s="378"/>
    </row>
    <row r="157" spans="1:10" s="87" customFormat="1" ht="17.100000000000001" customHeight="1">
      <c r="A157" s="240" t="str">
        <f>IF(C157="","",MAX($A$7:A156)+1)</f>
        <v/>
      </c>
      <c r="B157" s="240"/>
      <c r="C157" s="240"/>
      <c r="D157" s="364" t="s">
        <v>589</v>
      </c>
      <c r="E157" s="848" t="str">
        <f>VLOOKUP(D157,'11.gia '!B:C,2,FALSE)</f>
        <v>water</v>
      </c>
      <c r="F157" s="240" t="s">
        <v>545</v>
      </c>
      <c r="G157" s="239">
        <v>0.19500000000000001</v>
      </c>
      <c r="H157" s="166">
        <f>GVL!$I$129</f>
        <v>4000</v>
      </c>
      <c r="I157" s="166">
        <f>H157*G157</f>
        <v>780</v>
      </c>
      <c r="J157" s="378"/>
    </row>
    <row r="158" spans="1:10" s="87" customFormat="1" ht="17.100000000000001" customHeight="1">
      <c r="A158" s="249"/>
      <c r="B158" s="249"/>
      <c r="C158" s="249" t="s">
        <v>3408</v>
      </c>
      <c r="D158" s="381" t="s">
        <v>3407</v>
      </c>
      <c r="E158" s="1471">
        <f>VLOOKUP(D158,'11.gia '!B:C,2,FALSE)</f>
        <v>0</v>
      </c>
      <c r="F158" s="249" t="s">
        <v>558</v>
      </c>
      <c r="G158" s="1636">
        <f>+G154*1%</f>
        <v>2.46</v>
      </c>
      <c r="H158" s="328">
        <f>GVL!$I$152</f>
        <v>17800</v>
      </c>
      <c r="I158" s="328">
        <f>H158*G158</f>
        <v>43788</v>
      </c>
      <c r="J158" s="378"/>
    </row>
  </sheetData>
  <autoFilter ref="A6:L158"/>
  <phoneticPr fontId="3" type="noConversion"/>
  <printOptions horizontalCentered="1"/>
  <pageMargins left="1.07" right="0.45" top="0.4" bottom="0.63" header="0" footer="0.41"/>
  <pageSetup paperSize="9" scale="80" firstPageNumber="61" orientation="portrait" blackAndWhite="1" r:id="rId1"/>
  <headerFooter>
    <oddFooter>&amp;CPage &amp;P of PLV</oddFooter>
  </headerFooter>
  <colBreaks count="1" manualBreakCount="1">
    <brk id="9"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M31"/>
  <sheetViews>
    <sheetView topLeftCell="A16" zoomScaleNormal="100" zoomScaleSheetLayoutView="85" workbookViewId="0">
      <selection activeCell="G30" sqref="G30"/>
    </sheetView>
  </sheetViews>
  <sheetFormatPr defaultRowHeight="20.25" customHeight="1"/>
  <cols>
    <col min="1" max="1" width="5.85546875" style="219" customWidth="1"/>
    <col min="2" max="2" width="32.7109375" style="219" customWidth="1"/>
    <col min="3" max="3" width="37" style="219" customWidth="1"/>
    <col min="4" max="4" width="8.28515625" style="219" customWidth="1"/>
    <col min="5" max="9" width="13.140625" style="383" customWidth="1"/>
    <col min="10" max="10" width="13.140625" style="383" hidden="1" customWidth="1"/>
    <col min="11" max="11" width="15.28515625" style="383" customWidth="1"/>
    <col min="12" max="12" width="24.140625" style="682" customWidth="1"/>
    <col min="13" max="16384" width="9.140625" style="219"/>
  </cols>
  <sheetData>
    <row r="1" spans="1:12" ht="18.75">
      <c r="A1" s="680" t="s">
        <v>3507</v>
      </c>
      <c r="B1" s="222"/>
      <c r="C1" s="222"/>
      <c r="D1" s="222"/>
      <c r="E1" s="681"/>
      <c r="F1" s="681"/>
      <c r="G1" s="681"/>
      <c r="H1" s="681"/>
      <c r="I1" s="681"/>
      <c r="J1" s="681"/>
      <c r="K1" s="681"/>
      <c r="L1" s="222"/>
    </row>
    <row r="2" spans="1:12">
      <c r="A2" s="223" t="s">
        <v>5046</v>
      </c>
      <c r="B2" s="222"/>
      <c r="C2" s="222"/>
      <c r="D2" s="222"/>
      <c r="E2" s="681"/>
      <c r="F2" s="681"/>
      <c r="G2" s="681"/>
      <c r="H2" s="681"/>
      <c r="I2" s="681"/>
      <c r="J2" s="681"/>
      <c r="K2" s="681"/>
      <c r="L2" s="222"/>
    </row>
    <row r="3" spans="1:12" ht="12.75"/>
    <row r="4" spans="1:12" ht="12.75">
      <c r="A4" s="683"/>
      <c r="B4" s="683"/>
      <c r="C4" s="683"/>
      <c r="D4" s="683"/>
      <c r="E4" s="684" t="s">
        <v>4947</v>
      </c>
      <c r="F4" s="684"/>
      <c r="G4" s="684"/>
      <c r="H4" s="684"/>
      <c r="I4" s="684"/>
      <c r="J4" s="684"/>
      <c r="K4" s="731"/>
      <c r="L4" s="696"/>
    </row>
    <row r="5" spans="1:12" ht="36.75" customHeight="1">
      <c r="A5" s="1059" t="s">
        <v>4943</v>
      </c>
      <c r="B5" s="685" t="s">
        <v>2017</v>
      </c>
      <c r="C5" s="685" t="s">
        <v>4946</v>
      </c>
      <c r="D5" s="1059" t="s">
        <v>4945</v>
      </c>
      <c r="E5" s="141" t="s">
        <v>3508</v>
      </c>
      <c r="F5" s="141" t="s">
        <v>3912</v>
      </c>
      <c r="G5" s="141" t="s">
        <v>5215</v>
      </c>
      <c r="H5" s="141" t="s">
        <v>3915</v>
      </c>
      <c r="I5" s="141" t="s">
        <v>3993</v>
      </c>
      <c r="J5" s="141" t="s">
        <v>3509</v>
      </c>
      <c r="K5" s="1055" t="s">
        <v>4944</v>
      </c>
      <c r="L5" s="686" t="s">
        <v>4948</v>
      </c>
    </row>
    <row r="6" spans="1:12" ht="20.25" customHeight="1">
      <c r="A6" s="320">
        <f>MAX(A5)+1</f>
        <v>1</v>
      </c>
      <c r="B6" s="695" t="s">
        <v>3521</v>
      </c>
      <c r="C6" s="695" t="s">
        <v>4931</v>
      </c>
      <c r="D6" s="696" t="s">
        <v>558</v>
      </c>
      <c r="E6" s="698">
        <f>28000000/1000/1.1</f>
        <v>25454.545454545452</v>
      </c>
      <c r="F6" s="698">
        <f>28200000/1000/1.1</f>
        <v>25636.363636363636</v>
      </c>
      <c r="G6" s="698">
        <f>28000000/1000/1.1</f>
        <v>25454.545454545452</v>
      </c>
      <c r="H6" s="693"/>
      <c r="I6" s="697">
        <f>26074125/1000</f>
        <v>26074.125</v>
      </c>
      <c r="J6" s="697">
        <f>28500000/1000</f>
        <v>28500</v>
      </c>
      <c r="K6" s="692">
        <f>MIN(E6:I6)</f>
        <v>25454.545454545452</v>
      </c>
      <c r="L6" s="320"/>
    </row>
    <row r="7" spans="1:12" ht="20.25" customHeight="1">
      <c r="A7" s="320">
        <f>MAX(A6)+1</f>
        <v>2</v>
      </c>
      <c r="B7" s="244" t="s">
        <v>3522</v>
      </c>
      <c r="C7" s="244" t="s">
        <v>4932</v>
      </c>
      <c r="D7" s="240" t="s">
        <v>558</v>
      </c>
      <c r="E7" s="697">
        <f>E6</f>
        <v>25454.545454545452</v>
      </c>
      <c r="F7" s="697">
        <f>F6</f>
        <v>25636.363636363636</v>
      </c>
      <c r="G7" s="697">
        <f>G6</f>
        <v>25454.545454545452</v>
      </c>
      <c r="H7" s="694"/>
      <c r="I7" s="697">
        <f>26074125/1000</f>
        <v>26074.125</v>
      </c>
      <c r="J7" s="697"/>
      <c r="K7" s="692">
        <f>MIN(E7:I7)</f>
        <v>25454.545454545452</v>
      </c>
      <c r="L7" s="320"/>
    </row>
    <row r="8" spans="1:12" ht="18.75" customHeight="1">
      <c r="A8" s="320">
        <f t="shared" ref="A8:A30" si="0">MAX(A7)+1</f>
        <v>3</v>
      </c>
      <c r="B8" s="691" t="s">
        <v>3510</v>
      </c>
      <c r="C8" s="691" t="s">
        <v>4342</v>
      </c>
      <c r="D8" s="320" t="s">
        <v>567</v>
      </c>
      <c r="E8" s="692">
        <f>650000000/1.1</f>
        <v>590909090.90909088</v>
      </c>
      <c r="F8" s="692">
        <f>698000000/1.1</f>
        <v>634545454.5454545</v>
      </c>
      <c r="G8" s="692">
        <f>645000000/1.1</f>
        <v>586363636.36363637</v>
      </c>
      <c r="H8" s="692"/>
      <c r="I8" s="692"/>
      <c r="J8" s="692">
        <v>646400000</v>
      </c>
      <c r="K8" s="692">
        <f t="shared" ref="K8:K30" si="1">MIN(E8:I8)</f>
        <v>586363636.36363637</v>
      </c>
      <c r="L8" s="320"/>
    </row>
    <row r="9" spans="1:12" ht="20.25" customHeight="1">
      <c r="A9" s="320">
        <f t="shared" si="0"/>
        <v>4</v>
      </c>
      <c r="B9" s="687" t="s">
        <v>5216</v>
      </c>
      <c r="C9" s="687" t="s">
        <v>5217</v>
      </c>
      <c r="D9" s="240" t="s">
        <v>567</v>
      </c>
      <c r="E9" s="688">
        <f>858919950/1.1</f>
        <v>780836318.18181813</v>
      </c>
      <c r="F9" s="688">
        <f>828108100/1.1</f>
        <v>752825545.45454538</v>
      </c>
      <c r="G9" s="688">
        <f>942700000/1.1</f>
        <v>856999999.99999988</v>
      </c>
      <c r="H9" s="688"/>
      <c r="I9" s="688"/>
      <c r="J9" s="688">
        <v>738580000</v>
      </c>
      <c r="K9" s="692">
        <f t="shared" si="1"/>
        <v>752825545.45454538</v>
      </c>
      <c r="L9" s="320"/>
    </row>
    <row r="10" spans="1:12" ht="20.25" customHeight="1">
      <c r="A10" s="320">
        <f t="shared" si="0"/>
        <v>5</v>
      </c>
      <c r="B10" s="687" t="s">
        <v>5218</v>
      </c>
      <c r="C10" s="687" t="s">
        <v>5219</v>
      </c>
      <c r="D10" s="240" t="s">
        <v>567</v>
      </c>
      <c r="E10" s="688">
        <f>920000000/1.1</f>
        <v>836363636.36363626</v>
      </c>
      <c r="F10" s="688">
        <f>980000000/1.1</f>
        <v>890909090.90909088</v>
      </c>
      <c r="G10" s="688">
        <f>1000000000/1.1</f>
        <v>909090909.090909</v>
      </c>
      <c r="H10" s="688"/>
      <c r="I10" s="688"/>
      <c r="J10" s="688"/>
      <c r="K10" s="692">
        <f t="shared" si="1"/>
        <v>836363636.36363626</v>
      </c>
      <c r="L10" s="320"/>
    </row>
    <row r="11" spans="1:12" ht="20.25" customHeight="1">
      <c r="A11" s="320">
        <f t="shared" si="0"/>
        <v>6</v>
      </c>
      <c r="B11" s="687" t="s">
        <v>5220</v>
      </c>
      <c r="C11" s="687" t="s">
        <v>5221</v>
      </c>
      <c r="D11" s="240" t="s">
        <v>567</v>
      </c>
      <c r="E11" s="688">
        <f>850000000/1.1</f>
        <v>772727272.72727263</v>
      </c>
      <c r="F11" s="688">
        <f>842980000/1.1</f>
        <v>766345454.5454545</v>
      </c>
      <c r="G11" s="688">
        <f>891589000/1.1</f>
        <v>810535454.5454545</v>
      </c>
      <c r="H11" s="688"/>
      <c r="I11" s="688"/>
      <c r="J11" s="688">
        <v>618276000</v>
      </c>
      <c r="K11" s="692">
        <f t="shared" si="1"/>
        <v>766345454.5454545</v>
      </c>
      <c r="L11" s="320"/>
    </row>
    <row r="12" spans="1:12" ht="20.25" customHeight="1">
      <c r="A12" s="320">
        <f t="shared" si="0"/>
        <v>7</v>
      </c>
      <c r="B12" s="687" t="s">
        <v>5222</v>
      </c>
      <c r="C12" s="687" t="s">
        <v>5223</v>
      </c>
      <c r="D12" s="240" t="s">
        <v>567</v>
      </c>
      <c r="E12" s="688">
        <f>315800000/1.1</f>
        <v>287090909.09090906</v>
      </c>
      <c r="F12" s="688">
        <f>240000000/1.1</f>
        <v>218181818.18181816</v>
      </c>
      <c r="G12" s="688">
        <f>278000000/1.1</f>
        <v>252727272.72727272</v>
      </c>
      <c r="H12" s="688"/>
      <c r="I12" s="688"/>
      <c r="J12" s="688">
        <v>126000000</v>
      </c>
      <c r="K12" s="692">
        <f t="shared" si="1"/>
        <v>218181818.18181816</v>
      </c>
      <c r="L12" s="320"/>
    </row>
    <row r="13" spans="1:12" ht="20.25" customHeight="1">
      <c r="A13" s="320">
        <f t="shared" si="0"/>
        <v>8</v>
      </c>
      <c r="B13" s="687" t="s">
        <v>5224</v>
      </c>
      <c r="C13" s="687" t="s">
        <v>5225</v>
      </c>
      <c r="D13" s="240" t="s">
        <v>567</v>
      </c>
      <c r="E13" s="688">
        <f>235134900/1.1</f>
        <v>213758999.99999997</v>
      </c>
      <c r="F13" s="688">
        <f>226426200/1.1</f>
        <v>205841999.99999997</v>
      </c>
      <c r="G13" s="688">
        <f>258500000/1.1</f>
        <v>234999999.99999997</v>
      </c>
      <c r="H13" s="688"/>
      <c r="I13" s="688"/>
      <c r="J13" s="688"/>
      <c r="K13" s="692">
        <f t="shared" si="1"/>
        <v>205841999.99999997</v>
      </c>
      <c r="L13" s="320"/>
    </row>
    <row r="14" spans="1:12" ht="20.25" customHeight="1">
      <c r="A14" s="320">
        <f t="shared" si="0"/>
        <v>9</v>
      </c>
      <c r="B14" s="687" t="s">
        <v>5226</v>
      </c>
      <c r="C14" s="687" t="s">
        <v>5228</v>
      </c>
      <c r="D14" s="240" t="s">
        <v>567</v>
      </c>
      <c r="E14" s="688">
        <f>150000000/1.1</f>
        <v>136363636.36363634</v>
      </c>
      <c r="F14" s="688">
        <f>148000000/1.1</f>
        <v>134545454.54545453</v>
      </c>
      <c r="G14" s="688">
        <f>189000000/1.1</f>
        <v>171818181.81818181</v>
      </c>
      <c r="H14" s="688"/>
      <c r="I14" s="688"/>
      <c r="J14" s="688">
        <v>108500000</v>
      </c>
      <c r="K14" s="692">
        <f t="shared" si="1"/>
        <v>134545454.54545453</v>
      </c>
      <c r="L14" s="320"/>
    </row>
    <row r="15" spans="1:12" ht="20.25" customHeight="1">
      <c r="A15" s="320">
        <f t="shared" si="0"/>
        <v>10</v>
      </c>
      <c r="B15" s="687" t="s">
        <v>5229</v>
      </c>
      <c r="C15" s="687" t="s">
        <v>5227</v>
      </c>
      <c r="D15" s="240" t="s">
        <v>567</v>
      </c>
      <c r="E15" s="688">
        <f>179480342/1.1</f>
        <v>163163947.27272725</v>
      </c>
      <c r="F15" s="688">
        <f>245145123/1.1</f>
        <v>222859202.72727272</v>
      </c>
      <c r="G15" s="688">
        <f>178124479/1.1</f>
        <v>161931344.54545453</v>
      </c>
      <c r="H15" s="688"/>
      <c r="I15" s="688"/>
      <c r="J15" s="688"/>
      <c r="K15" s="692">
        <f t="shared" si="1"/>
        <v>161931344.54545453</v>
      </c>
      <c r="L15" s="320"/>
    </row>
    <row r="16" spans="1:12" ht="20.25" customHeight="1">
      <c r="A16" s="320">
        <f t="shared" si="0"/>
        <v>11</v>
      </c>
      <c r="B16" s="687" t="s">
        <v>3511</v>
      </c>
      <c r="C16" s="687" t="s">
        <v>4341</v>
      </c>
      <c r="D16" s="240" t="s">
        <v>567</v>
      </c>
      <c r="E16" s="688">
        <f>6578915/1.1</f>
        <v>5980831.8181818174</v>
      </c>
      <c r="F16" s="688">
        <f>6500000/1.1</f>
        <v>5909090.9090909082</v>
      </c>
      <c r="G16" s="688">
        <f>7800000/1.1</f>
        <v>7090909.0909090899</v>
      </c>
      <c r="H16" s="689"/>
      <c r="I16" s="689"/>
      <c r="J16" s="688">
        <v>7280000</v>
      </c>
      <c r="K16" s="692">
        <f t="shared" si="1"/>
        <v>5909090.9090909082</v>
      </c>
      <c r="L16" s="320"/>
    </row>
    <row r="17" spans="1:13" ht="20.25" customHeight="1">
      <c r="A17" s="320">
        <f t="shared" si="0"/>
        <v>12</v>
      </c>
      <c r="B17" s="687" t="s">
        <v>3512</v>
      </c>
      <c r="C17" s="687" t="s">
        <v>4933</v>
      </c>
      <c r="D17" s="240" t="s">
        <v>307</v>
      </c>
      <c r="E17" s="688">
        <v>1790000</v>
      </c>
      <c r="F17" s="688">
        <v>1862000</v>
      </c>
      <c r="G17" s="688">
        <v>1820000</v>
      </c>
      <c r="H17" s="688"/>
      <c r="I17" s="688">
        <v>2186125</v>
      </c>
      <c r="J17" s="688">
        <v>1512000</v>
      </c>
      <c r="K17" s="692">
        <f t="shared" si="1"/>
        <v>1790000</v>
      </c>
      <c r="L17" s="320"/>
    </row>
    <row r="18" spans="1:13" ht="20.25" customHeight="1">
      <c r="A18" s="320">
        <f t="shared" si="0"/>
        <v>13</v>
      </c>
      <c r="B18" s="687" t="s">
        <v>3513</v>
      </c>
      <c r="C18" s="687" t="s">
        <v>4934</v>
      </c>
      <c r="D18" s="240" t="s">
        <v>307</v>
      </c>
      <c r="E18" s="688">
        <f>3542000/1.1</f>
        <v>3219999.9999999995</v>
      </c>
      <c r="F18" s="688">
        <f>3560478/1.1</f>
        <v>3236798.1818181816</v>
      </c>
      <c r="G18" s="688">
        <f>3451789/1.1</f>
        <v>3137989.9999999995</v>
      </c>
      <c r="H18" s="688"/>
      <c r="I18" s="688">
        <v>4918782</v>
      </c>
      <c r="J18" s="688">
        <v>3728000</v>
      </c>
      <c r="K18" s="692">
        <f t="shared" si="1"/>
        <v>3137989.9999999995</v>
      </c>
      <c r="L18" s="320"/>
    </row>
    <row r="19" spans="1:13" ht="20.25" customHeight="1">
      <c r="A19" s="320">
        <f t="shared" si="0"/>
        <v>14</v>
      </c>
      <c r="B19" s="687" t="s">
        <v>3523</v>
      </c>
      <c r="C19" s="687" t="s">
        <v>4935</v>
      </c>
      <c r="D19" s="240" t="s">
        <v>307</v>
      </c>
      <c r="E19" s="688">
        <f>695000/1.1</f>
        <v>631818.18181818177</v>
      </c>
      <c r="F19" s="688">
        <f>700000/1.1</f>
        <v>636363.63636363635</v>
      </c>
      <c r="G19" s="688">
        <f>630000/1.1</f>
        <v>572727.27272727271</v>
      </c>
      <c r="H19" s="688"/>
      <c r="I19" s="688">
        <v>728708</v>
      </c>
      <c r="J19" s="688">
        <v>636000</v>
      </c>
      <c r="K19" s="692">
        <f t="shared" si="1"/>
        <v>572727.27272727271</v>
      </c>
      <c r="L19" s="320"/>
    </row>
    <row r="20" spans="1:13" ht="20.25" customHeight="1">
      <c r="A20" s="320">
        <f t="shared" si="0"/>
        <v>15</v>
      </c>
      <c r="B20" s="687" t="s">
        <v>3514</v>
      </c>
      <c r="C20" s="687" t="s">
        <v>4936</v>
      </c>
      <c r="D20" s="240" t="s">
        <v>307</v>
      </c>
      <c r="E20" s="688"/>
      <c r="F20" s="688"/>
      <c r="G20" s="688"/>
      <c r="H20" s="688"/>
      <c r="I20" s="688"/>
      <c r="J20" s="688">
        <f>400000</f>
        <v>400000</v>
      </c>
      <c r="K20" s="692">
        <v>400000</v>
      </c>
      <c r="L20" s="320"/>
    </row>
    <row r="21" spans="1:13" ht="20.25" customHeight="1">
      <c r="A21" s="320">
        <f t="shared" si="0"/>
        <v>16</v>
      </c>
      <c r="B21" s="687" t="s">
        <v>3515</v>
      </c>
      <c r="C21" s="687" t="s">
        <v>4346</v>
      </c>
      <c r="D21" s="240" t="s">
        <v>543</v>
      </c>
      <c r="E21" s="688">
        <v>26000000</v>
      </c>
      <c r="F21" s="688">
        <v>27000000</v>
      </c>
      <c r="G21" s="688">
        <v>25890000</v>
      </c>
      <c r="H21" s="688"/>
      <c r="I21" s="688"/>
      <c r="J21" s="688">
        <f>14800000</f>
        <v>14800000</v>
      </c>
      <c r="K21" s="692">
        <f>MIN(E21:I21)</f>
        <v>25890000</v>
      </c>
      <c r="L21" s="320"/>
    </row>
    <row r="22" spans="1:13" ht="20.25" customHeight="1">
      <c r="A22" s="320">
        <f t="shared" si="0"/>
        <v>17</v>
      </c>
      <c r="B22" s="687" t="s">
        <v>3516</v>
      </c>
      <c r="C22" s="687" t="s">
        <v>4347</v>
      </c>
      <c r="D22" s="240" t="s">
        <v>543</v>
      </c>
      <c r="E22" s="688">
        <f>79800000/1.1</f>
        <v>72545454.545454547</v>
      </c>
      <c r="F22" s="688">
        <v>73054000</v>
      </c>
      <c r="G22" s="688">
        <f>77800000/1.1</f>
        <v>70727272.727272719</v>
      </c>
      <c r="H22" s="688"/>
      <c r="I22" s="688"/>
      <c r="J22" s="688">
        <f>26600000</f>
        <v>26600000</v>
      </c>
      <c r="K22" s="692">
        <f>MIN(E22:I22)</f>
        <v>70727272.727272719</v>
      </c>
      <c r="L22" s="320"/>
    </row>
    <row r="23" spans="1:13" ht="20.25" customHeight="1">
      <c r="A23" s="320">
        <f t="shared" si="0"/>
        <v>18</v>
      </c>
      <c r="B23" s="687" t="s">
        <v>62</v>
      </c>
      <c r="C23" s="687" t="s">
        <v>4937</v>
      </c>
      <c r="D23" s="240" t="s">
        <v>558</v>
      </c>
      <c r="E23" s="166"/>
      <c r="F23" s="166"/>
      <c r="G23" s="166"/>
      <c r="H23" s="688">
        <f>5560000/8/(PI()*0.036*0.036/4*7850)</f>
        <v>86980.172563393309</v>
      </c>
      <c r="I23" s="688"/>
      <c r="J23" s="688">
        <f>754000/(PI()*0.036*0.036/4*7850)</f>
        <v>94364.100881724546</v>
      </c>
      <c r="K23" s="692">
        <f t="shared" si="1"/>
        <v>86980.172563393309</v>
      </c>
      <c r="L23" s="320"/>
      <c r="M23" s="166">
        <f>2930000/(5*1.1*(PI()*0.036*0.036/4*7850))</f>
        <v>66671.525339631757</v>
      </c>
    </row>
    <row r="24" spans="1:13" ht="20.25" customHeight="1">
      <c r="A24" s="320">
        <f t="shared" si="0"/>
        <v>19</v>
      </c>
      <c r="B24" s="687" t="s">
        <v>3517</v>
      </c>
      <c r="C24" s="687" t="s">
        <v>4260</v>
      </c>
      <c r="D24" s="240" t="s">
        <v>567</v>
      </c>
      <c r="E24" s="688"/>
      <c r="F24" s="688"/>
      <c r="G24" s="688"/>
      <c r="H24" s="688">
        <f>581000</f>
        <v>581000</v>
      </c>
      <c r="I24" s="688"/>
      <c r="J24" s="688">
        <f>617000</f>
        <v>617000</v>
      </c>
      <c r="K24" s="692">
        <f t="shared" si="1"/>
        <v>581000</v>
      </c>
      <c r="L24" s="320"/>
      <c r="M24" s="688">
        <f>600000/1.1</f>
        <v>545454.54545454541</v>
      </c>
    </row>
    <row r="25" spans="1:13" ht="20.25" customHeight="1">
      <c r="A25" s="320">
        <f t="shared" si="0"/>
        <v>20</v>
      </c>
      <c r="B25" s="687" t="s">
        <v>64</v>
      </c>
      <c r="C25" s="687" t="s">
        <v>64</v>
      </c>
      <c r="D25" s="240" t="s">
        <v>567</v>
      </c>
      <c r="E25" s="688"/>
      <c r="F25" s="688"/>
      <c r="G25" s="688"/>
      <c r="H25" s="688">
        <f>879000</f>
        <v>879000</v>
      </c>
      <c r="I25" s="688"/>
      <c r="J25" s="688">
        <v>820000</v>
      </c>
      <c r="K25" s="692">
        <f t="shared" si="1"/>
        <v>879000</v>
      </c>
      <c r="L25" s="320"/>
      <c r="M25" s="688">
        <f>1085000/1.1</f>
        <v>986363.63636363624</v>
      </c>
    </row>
    <row r="26" spans="1:13" ht="20.25" customHeight="1">
      <c r="A26" s="320">
        <f t="shared" si="0"/>
        <v>21</v>
      </c>
      <c r="B26" s="687" t="s">
        <v>3518</v>
      </c>
      <c r="C26" s="687" t="s">
        <v>4938</v>
      </c>
      <c r="D26" s="240" t="s">
        <v>543</v>
      </c>
      <c r="E26" s="688">
        <f>48000/1.1</f>
        <v>43636.363636363632</v>
      </c>
      <c r="F26" s="688">
        <f>50000/1.1</f>
        <v>45454.545454545449</v>
      </c>
      <c r="G26" s="688">
        <f>47000/1.1</f>
        <v>42727.272727272721</v>
      </c>
      <c r="H26" s="688"/>
      <c r="I26" s="688"/>
      <c r="J26" s="688"/>
      <c r="K26" s="692">
        <f t="shared" si="1"/>
        <v>42727.272727272721</v>
      </c>
      <c r="L26" s="320"/>
    </row>
    <row r="27" spans="1:13" ht="20.25" customHeight="1">
      <c r="A27" s="320">
        <f t="shared" si="0"/>
        <v>22</v>
      </c>
      <c r="B27" s="687" t="s">
        <v>3519</v>
      </c>
      <c r="C27" s="687" t="s">
        <v>4939</v>
      </c>
      <c r="D27" s="240" t="s">
        <v>543</v>
      </c>
      <c r="E27" s="688">
        <f>45000/1.1</f>
        <v>40909.090909090904</v>
      </c>
      <c r="F27" s="688">
        <f>42000/1.1</f>
        <v>38181.818181818177</v>
      </c>
      <c r="G27" s="688">
        <f>48000/1.1</f>
        <v>43636.363636363632</v>
      </c>
      <c r="H27" s="688"/>
      <c r="I27" s="688"/>
      <c r="J27" s="688"/>
      <c r="K27" s="692">
        <f t="shared" si="1"/>
        <v>38181.818181818177</v>
      </c>
      <c r="L27" s="320"/>
    </row>
    <row r="28" spans="1:13" ht="20.25" customHeight="1">
      <c r="A28" s="320">
        <f>MAX(A27)+1</f>
        <v>23</v>
      </c>
      <c r="B28" s="687" t="s">
        <v>3520</v>
      </c>
      <c r="C28" s="687" t="s">
        <v>4940</v>
      </c>
      <c r="D28" s="240" t="s">
        <v>543</v>
      </c>
      <c r="E28" s="688">
        <f>29000/1.1</f>
        <v>26363.63636363636</v>
      </c>
      <c r="F28" s="688">
        <f>32000/1.1</f>
        <v>29090.909090909088</v>
      </c>
      <c r="G28" s="688">
        <f>33000/1.1</f>
        <v>29999.999999999996</v>
      </c>
      <c r="H28" s="688"/>
      <c r="I28" s="688"/>
      <c r="J28" s="688"/>
      <c r="K28" s="692">
        <f t="shared" si="1"/>
        <v>26363.63636363636</v>
      </c>
      <c r="L28" s="320"/>
    </row>
    <row r="29" spans="1:13" ht="20.25" customHeight="1">
      <c r="A29" s="320">
        <f t="shared" si="0"/>
        <v>24</v>
      </c>
      <c r="B29" s="687" t="s">
        <v>3913</v>
      </c>
      <c r="C29" s="687" t="s">
        <v>4941</v>
      </c>
      <c r="D29" s="240" t="s">
        <v>543</v>
      </c>
      <c r="E29" s="688">
        <f>48000/1.1</f>
        <v>43636.363636363632</v>
      </c>
      <c r="F29" s="688">
        <f>45000/1.1</f>
        <v>40909.090909090904</v>
      </c>
      <c r="G29" s="688">
        <f>49000/1.1</f>
        <v>44545.454545454544</v>
      </c>
      <c r="H29" s="688"/>
      <c r="I29" s="688"/>
      <c r="J29" s="688"/>
      <c r="K29" s="692">
        <f t="shared" si="1"/>
        <v>40909.090909090904</v>
      </c>
      <c r="L29" s="320"/>
    </row>
    <row r="30" spans="1:13" ht="20.25" customHeight="1">
      <c r="A30" s="320">
        <f t="shared" si="0"/>
        <v>25</v>
      </c>
      <c r="B30" s="687" t="s">
        <v>3914</v>
      </c>
      <c r="C30" s="687" t="s">
        <v>4942</v>
      </c>
      <c r="D30" s="240" t="s">
        <v>543</v>
      </c>
      <c r="E30" s="688">
        <f>33000/1.1</f>
        <v>29999.999999999996</v>
      </c>
      <c r="F30" s="688">
        <f>33000/1.1</f>
        <v>29999.999999999996</v>
      </c>
      <c r="G30" s="688">
        <f>33000/1.1</f>
        <v>29999.999999999996</v>
      </c>
      <c r="H30" s="688"/>
      <c r="I30" s="688"/>
      <c r="J30" s="688"/>
      <c r="K30" s="692">
        <f t="shared" si="1"/>
        <v>29999.999999999996</v>
      </c>
      <c r="L30" s="320"/>
    </row>
    <row r="31" spans="1:13" ht="20.25" customHeight="1">
      <c r="A31" s="249"/>
      <c r="B31" s="365"/>
      <c r="C31" s="365"/>
      <c r="D31" s="249"/>
      <c r="E31" s="690"/>
      <c r="F31" s="690"/>
      <c r="G31" s="690"/>
      <c r="H31" s="690"/>
      <c r="I31" s="690"/>
      <c r="J31" s="690"/>
      <c r="K31" s="690"/>
      <c r="L31" s="249"/>
    </row>
  </sheetData>
  <printOptions horizontalCentered="1"/>
  <pageMargins left="0.7" right="0.7" top="0.56999999999999995" bottom="0.41" header="0.3" footer="0.16"/>
  <pageSetup paperSize="9" scale="70" orientation="landscape" r:id="rId1"/>
  <headerFooter>
    <oddFooter>&amp;R&amp;P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S28"/>
  <sheetViews>
    <sheetView zoomScaleNormal="100" zoomScaleSheetLayoutView="100" workbookViewId="0">
      <selection activeCell="Q17" sqref="Q17"/>
    </sheetView>
  </sheetViews>
  <sheetFormatPr defaultColWidth="10.42578125" defaultRowHeight="15.75"/>
  <cols>
    <col min="1" max="1" width="19.42578125" style="772" customWidth="1"/>
    <col min="2" max="2" width="4.5703125" style="771" customWidth="1"/>
    <col min="3" max="3" width="13" style="772" customWidth="1"/>
    <col min="4" max="4" width="12.5703125" style="772" customWidth="1"/>
    <col min="5" max="6" width="11.28515625" style="772" customWidth="1"/>
    <col min="7" max="7" width="11.140625" style="772" customWidth="1"/>
    <col min="8" max="8" width="11.28515625" style="772" customWidth="1"/>
    <col min="9" max="9" width="11.28515625" style="772" hidden="1" customWidth="1"/>
    <col min="10" max="10" width="11.140625" style="772" hidden="1" customWidth="1"/>
    <col min="11" max="11" width="11.28515625" style="772" hidden="1" customWidth="1"/>
    <col min="12" max="12" width="12.140625" style="773" customWidth="1"/>
    <col min="13" max="15" width="12.140625" style="773" hidden="1" customWidth="1"/>
    <col min="16" max="16" width="19.140625" style="774" customWidth="1"/>
    <col min="17" max="17" width="24.7109375" style="772" customWidth="1"/>
    <col min="18" max="18" width="33.5703125" style="772" customWidth="1"/>
    <col min="19" max="19" width="14.28515625" style="772" customWidth="1"/>
    <col min="20" max="16384" width="10.42578125" style="772"/>
  </cols>
  <sheetData>
    <row r="1" spans="1:19">
      <c r="A1" s="770" t="s">
        <v>3572</v>
      </c>
    </row>
    <row r="2" spans="1:19">
      <c r="A2" s="775" t="s">
        <v>3573</v>
      </c>
      <c r="B2" s="775"/>
      <c r="C2" s="775"/>
      <c r="D2" s="775"/>
      <c r="E2" s="775"/>
      <c r="F2" s="775"/>
      <c r="G2" s="775"/>
      <c r="H2" s="775"/>
      <c r="I2" s="775"/>
      <c r="J2" s="775"/>
      <c r="K2" s="775"/>
      <c r="L2" s="775"/>
      <c r="M2" s="775"/>
      <c r="N2" s="775"/>
      <c r="O2" s="775"/>
      <c r="P2" s="776"/>
    </row>
    <row r="3" spans="1:19">
      <c r="A3" s="777"/>
      <c r="B3" s="778"/>
    </row>
    <row r="4" spans="1:19">
      <c r="A4" s="2160" t="s">
        <v>453</v>
      </c>
      <c r="B4" s="2160" t="s">
        <v>3574</v>
      </c>
      <c r="C4" s="779" t="s">
        <v>3575</v>
      </c>
      <c r="D4" s="779"/>
      <c r="E4" s="780"/>
      <c r="F4" s="779" t="s">
        <v>3576</v>
      </c>
      <c r="G4" s="779"/>
      <c r="H4" s="780"/>
      <c r="I4" s="779" t="s">
        <v>3576</v>
      </c>
      <c r="J4" s="779"/>
      <c r="K4" s="780"/>
      <c r="L4" s="2160" t="s">
        <v>3577</v>
      </c>
      <c r="M4" s="781"/>
      <c r="N4" s="781"/>
      <c r="O4" s="781"/>
      <c r="P4" s="2160" t="s">
        <v>3578</v>
      </c>
    </row>
    <row r="5" spans="1:19" ht="15.75" customHeight="1">
      <c r="A5" s="2160"/>
      <c r="B5" s="2160"/>
      <c r="C5" s="2160" t="s">
        <v>3590</v>
      </c>
      <c r="D5" s="2160" t="s">
        <v>3579</v>
      </c>
      <c r="E5" s="2160" t="s">
        <v>3580</v>
      </c>
      <c r="F5" s="2160" t="s">
        <v>3590</v>
      </c>
      <c r="G5" s="2160" t="s">
        <v>3581</v>
      </c>
      <c r="H5" s="2160" t="s">
        <v>3580</v>
      </c>
      <c r="I5" s="2160" t="s">
        <v>3590</v>
      </c>
      <c r="J5" s="2160" t="s">
        <v>3581</v>
      </c>
      <c r="K5" s="2160" t="s">
        <v>3580</v>
      </c>
      <c r="L5" s="2160"/>
      <c r="M5" s="394" t="s">
        <v>3582</v>
      </c>
      <c r="N5" s="782" t="s">
        <v>3583</v>
      </c>
      <c r="O5" s="782" t="s">
        <v>3584</v>
      </c>
      <c r="P5" s="2160"/>
    </row>
    <row r="6" spans="1:19" ht="33.75" customHeight="1">
      <c r="A6" s="2160"/>
      <c r="B6" s="2160"/>
      <c r="C6" s="2160"/>
      <c r="D6" s="2160"/>
      <c r="E6" s="2160"/>
      <c r="F6" s="2160"/>
      <c r="G6" s="2160"/>
      <c r="H6" s="2160"/>
      <c r="I6" s="2160"/>
      <c r="J6" s="2160"/>
      <c r="K6" s="2160"/>
      <c r="L6" s="2160"/>
      <c r="M6" s="782"/>
      <c r="N6" s="782"/>
      <c r="O6" s="782"/>
      <c r="P6" s="2160"/>
      <c r="Q6" s="772" t="s">
        <v>3585</v>
      </c>
      <c r="R6" s="772" t="s">
        <v>3586</v>
      </c>
      <c r="S6" s="772" t="s">
        <v>3587</v>
      </c>
    </row>
    <row r="7" spans="1:19" ht="45.75" customHeight="1">
      <c r="A7" s="1071" t="s">
        <v>4916</v>
      </c>
      <c r="B7" s="1071" t="s">
        <v>5002</v>
      </c>
      <c r="C7" s="1072" t="s">
        <v>5003</v>
      </c>
      <c r="D7" s="1072" t="s">
        <v>5005</v>
      </c>
      <c r="E7" s="1073" t="s">
        <v>5004</v>
      </c>
      <c r="F7" s="1072" t="s">
        <v>5003</v>
      </c>
      <c r="G7" s="1072" t="s">
        <v>5006</v>
      </c>
      <c r="H7" s="1073" t="s">
        <v>5004</v>
      </c>
      <c r="I7" s="1072"/>
      <c r="J7" s="1072"/>
      <c r="K7" s="1073"/>
      <c r="L7" s="1073" t="s">
        <v>5007</v>
      </c>
      <c r="M7" s="1074"/>
      <c r="N7" s="1074"/>
      <c r="O7" s="1074"/>
      <c r="P7" s="1073" t="s">
        <v>5008</v>
      </c>
    </row>
    <row r="8" spans="1:19">
      <c r="A8" s="783" t="s">
        <v>3588</v>
      </c>
      <c r="B8" s="784"/>
      <c r="C8" s="785"/>
      <c r="D8" s="786"/>
      <c r="E8" s="787"/>
      <c r="F8" s="785"/>
      <c r="G8" s="786"/>
      <c r="H8" s="787"/>
      <c r="I8" s="785"/>
      <c r="J8" s="786"/>
      <c r="K8" s="787"/>
      <c r="L8" s="1069"/>
      <c r="M8" s="1069"/>
      <c r="N8" s="1069"/>
      <c r="O8" s="1069"/>
      <c r="P8" s="1069"/>
    </row>
    <row r="9" spans="1:19">
      <c r="A9" s="795" t="s">
        <v>4999</v>
      </c>
      <c r="B9" s="788" t="s">
        <v>545</v>
      </c>
      <c r="C9" s="789">
        <f>'13.vanchuyen'!AI30</f>
        <v>159366.38824953817</v>
      </c>
      <c r="D9" s="789">
        <f>'Cong bo gia'!$D$44</f>
        <v>205000</v>
      </c>
      <c r="E9" s="791">
        <f>+D9+C9</f>
        <v>364366.38824953814</v>
      </c>
      <c r="F9" s="789">
        <f>'13.vanchuyen'!$AI$23</f>
        <v>162185.41224953817</v>
      </c>
      <c r="G9" s="789">
        <f>'Cong bo gia'!$D$17</f>
        <v>192000</v>
      </c>
      <c r="H9" s="791">
        <f>+G9+F9</f>
        <v>354185.41224953817</v>
      </c>
      <c r="I9" s="789"/>
      <c r="J9" s="790"/>
      <c r="K9" s="791"/>
      <c r="L9" s="792">
        <f>MIN(E9,H9,K9)</f>
        <v>354185.41224953817</v>
      </c>
      <c r="M9" s="793">
        <f>IF(L9=E9,D9,IF(L9=H9,G9,J9))</f>
        <v>192000</v>
      </c>
      <c r="N9" s="793">
        <f>IF(L9=E9,C9,IF(L9=H9,F9,I9))</f>
        <v>162185.41224953817</v>
      </c>
      <c r="O9" s="793" t="str">
        <f>IF(L9=E9,Q9,IF(L9=H9,R9,S9))</f>
        <v>Công bố An Giang tháng 5/2013, STT 1</v>
      </c>
      <c r="P9" s="794" t="str">
        <f>IF(L9=E9,"Antraco",IF(L9=H9,"Bà Đội",IF(L9=K9,"Cần Thơ")))</f>
        <v>Bà Đội</v>
      </c>
      <c r="Q9" s="796" t="s">
        <v>3895</v>
      </c>
      <c r="R9" s="796" t="s">
        <v>3899</v>
      </c>
      <c r="S9" s="796" t="s">
        <v>3591</v>
      </c>
    </row>
    <row r="10" spans="1:19">
      <c r="A10" s="795" t="s">
        <v>5000</v>
      </c>
      <c r="B10" s="788" t="s">
        <v>545</v>
      </c>
      <c r="C10" s="789">
        <f>'13.vanchuyen'!AI33</f>
        <v>151292.57724953818</v>
      </c>
      <c r="D10" s="789">
        <f>'Cong bo gia'!$D$46</f>
        <v>165000</v>
      </c>
      <c r="E10" s="791">
        <f>+D10+C10</f>
        <v>316292.57724953815</v>
      </c>
      <c r="F10" s="789">
        <f>'13.vanchuyen'!$AI$26</f>
        <v>146147.95224953818</v>
      </c>
      <c r="G10" s="789">
        <f>'Cong bo gia'!$D$18</f>
        <v>154000</v>
      </c>
      <c r="H10" s="791">
        <f>+G10+F10</f>
        <v>300147.95224953815</v>
      </c>
      <c r="I10" s="789"/>
      <c r="J10" s="790"/>
      <c r="K10" s="791"/>
      <c r="L10" s="792">
        <f>MIN(E10,H10,K10)</f>
        <v>300147.95224953815</v>
      </c>
      <c r="M10" s="793">
        <f>IF(L10=E10,D10,IF(L10=H10,G10,J10))</f>
        <v>154000</v>
      </c>
      <c r="N10" s="793">
        <f>IF(L10=E10,C10,IF(L10=H10,F10,I10))</f>
        <v>146147.95224953818</v>
      </c>
      <c r="O10" s="793" t="str">
        <f>IF(L10=E10,Q10,IF(L10=H10,R10,S10))</f>
        <v>Công bố An Giang tháng 5/2013, STT 2</v>
      </c>
      <c r="P10" s="794" t="str">
        <f>IF(L10=E10,"Antraco",IF(L10=H10,"Bà Đội",IF(L10=K10,"Cần Thơ")))</f>
        <v>Bà Đội</v>
      </c>
      <c r="Q10" s="796" t="s">
        <v>3896</v>
      </c>
      <c r="R10" s="796" t="s">
        <v>3900</v>
      </c>
      <c r="S10" s="796" t="s">
        <v>3592</v>
      </c>
    </row>
    <row r="11" spans="1:19">
      <c r="A11" s="795" t="s">
        <v>5001</v>
      </c>
      <c r="B11" s="788" t="s">
        <v>545</v>
      </c>
      <c r="C11" s="789">
        <f>$C$10</f>
        <v>151292.57724953818</v>
      </c>
      <c r="D11" s="789">
        <f>'Cong bo gia'!$D$56</f>
        <v>150000</v>
      </c>
      <c r="E11" s="791">
        <f>+D11+C11</f>
        <v>301292.57724953815</v>
      </c>
      <c r="F11" s="789"/>
      <c r="G11" s="789"/>
      <c r="H11" s="791">
        <f>+G11+F11</f>
        <v>0</v>
      </c>
      <c r="I11" s="789"/>
      <c r="J11" s="790"/>
      <c r="K11" s="791"/>
      <c r="L11" s="792">
        <f>+E11</f>
        <v>301292.57724953815</v>
      </c>
      <c r="M11" s="793">
        <f>IF(L11=E11,D11,IF(L11=H11,G11,J11))</f>
        <v>150000</v>
      </c>
      <c r="N11" s="793">
        <f>IF(L11=E11,C11,IF(L11=H11,F11,I11))</f>
        <v>151292.57724953818</v>
      </c>
      <c r="O11" s="793" t="str">
        <f>IF(L11=E11,Q11,IF(L11=H11,R11,S11))</f>
        <v>Công bố An Giang tháng 5/2013, STT 28</v>
      </c>
      <c r="P11" s="794" t="s">
        <v>5611</v>
      </c>
      <c r="Q11" s="796" t="s">
        <v>3897</v>
      </c>
      <c r="R11" s="796" t="s">
        <v>3901</v>
      </c>
      <c r="S11" s="796" t="s">
        <v>3593</v>
      </c>
    </row>
    <row r="12" spans="1:19" ht="63">
      <c r="A12" s="1070" t="s">
        <v>5613</v>
      </c>
      <c r="B12" s="797" t="s">
        <v>545</v>
      </c>
      <c r="C12" s="798">
        <f>$C$9</f>
        <v>159366.38824953817</v>
      </c>
      <c r="D12" s="798">
        <f>'Cong bo gia'!$D$48</f>
        <v>145000</v>
      </c>
      <c r="E12" s="800">
        <f>+D12+C12</f>
        <v>304366.38824953814</v>
      </c>
      <c r="F12" s="798">
        <f>F9</f>
        <v>162185.41224953817</v>
      </c>
      <c r="G12" s="798">
        <f>'Cong bo gia'!$D$21</f>
        <v>137000</v>
      </c>
      <c r="H12" s="800">
        <f>+G12+F12</f>
        <v>299185.41224953817</v>
      </c>
      <c r="I12" s="798"/>
      <c r="J12" s="799"/>
      <c r="K12" s="800"/>
      <c r="L12" s="801">
        <f>MIN(E12,H12)</f>
        <v>299185.41224953817</v>
      </c>
      <c r="M12" s="804">
        <f>IF(L12=E12,D12,IF(L12=H12,G12,J12))</f>
        <v>137000</v>
      </c>
      <c r="N12" s="804">
        <f>IF(L12=E12,C12,IF(L12=H12,F12,I12))</f>
        <v>162185.41224953817</v>
      </c>
      <c r="O12" s="804" t="str">
        <f>IF(L12=E12,Q12,IF(L12=H12,R12,S12))</f>
        <v>Công bố An Giang tháng 5/2013, STT 5</v>
      </c>
      <c r="P12" s="802" t="str">
        <f>IF(L12=E12,"Antraco",IF(L12=H12,"Bà Đội",IF(L12=K12,"Cần Thơ")))</f>
        <v>Bà Đội</v>
      </c>
      <c r="Q12" s="803" t="s">
        <v>3898</v>
      </c>
      <c r="R12" s="796" t="s">
        <v>3902</v>
      </c>
      <c r="S12" s="803" t="s">
        <v>3594</v>
      </c>
    </row>
    <row r="13" spans="1:19" ht="63">
      <c r="A13" s="1070" t="s">
        <v>5614</v>
      </c>
      <c r="B13" s="797" t="s">
        <v>545</v>
      </c>
      <c r="C13" s="798">
        <f>$C$9</f>
        <v>159366.38824953817</v>
      </c>
      <c r="D13" s="798">
        <f>'Cong bo gia'!$D$49</f>
        <v>127000</v>
      </c>
      <c r="E13" s="800">
        <f>+D13+C13</f>
        <v>286366.38824953814</v>
      </c>
      <c r="F13" s="798">
        <f>F12</f>
        <v>162185.41224953817</v>
      </c>
      <c r="G13" s="798">
        <f>G12*0.9</f>
        <v>123300</v>
      </c>
      <c r="H13" s="800">
        <f>+G13+F13</f>
        <v>285485.41224953817</v>
      </c>
      <c r="I13" s="798"/>
      <c r="J13" s="799"/>
      <c r="K13" s="800"/>
      <c r="L13" s="801">
        <f>MIN(E13,H13)</f>
        <v>285485.41224953817</v>
      </c>
      <c r="M13" s="804">
        <f>IF(L13=E13,D13,IF(L13=H13,G13,J13))</f>
        <v>123300</v>
      </c>
      <c r="N13" s="804">
        <f>IF(L13=E13,C13,IF(L13=H13,F13,I13))</f>
        <v>162185.41224953817</v>
      </c>
      <c r="O13" s="804">
        <f>IF(L13=E13,Q13,IF(L13=H13,R13,S13))</f>
        <v>0</v>
      </c>
      <c r="P13" s="802" t="str">
        <f>IF(L13=E13,"Antraco",IF(L13=H13,"Bà Đội",IF(L13=K13,"Cần Thơ")))</f>
        <v>Bà Đội</v>
      </c>
      <c r="Q13" s="803" t="s">
        <v>3898</v>
      </c>
    </row>
    <row r="14" spans="1:19">
      <c r="A14" s="224"/>
      <c r="B14" s="224"/>
    </row>
    <row r="15" spans="1:19">
      <c r="A15" s="224"/>
      <c r="B15" s="224"/>
    </row>
    <row r="16" spans="1:19">
      <c r="A16" s="224"/>
      <c r="B16" s="224"/>
    </row>
    <row r="27" spans="8:16">
      <c r="H27" s="773"/>
      <c r="K27" s="773"/>
      <c r="P27" s="773"/>
    </row>
    <row r="28" spans="8:16">
      <c r="H28" s="773"/>
      <c r="K28" s="773"/>
      <c r="P28" s="773"/>
    </row>
  </sheetData>
  <mergeCells count="13">
    <mergeCell ref="A4:A6"/>
    <mergeCell ref="B4:B6"/>
    <mergeCell ref="L4:L6"/>
    <mergeCell ref="P4:P6"/>
    <mergeCell ref="C5:C6"/>
    <mergeCell ref="D5:D6"/>
    <mergeCell ref="E5:E6"/>
    <mergeCell ref="F5:F6"/>
    <mergeCell ref="G5:G6"/>
    <mergeCell ref="H5:H6"/>
    <mergeCell ref="I5:I6"/>
    <mergeCell ref="J5:J6"/>
    <mergeCell ref="K5:K6"/>
  </mergeCells>
  <pageMargins left="0.7" right="0.7" top="0.75" bottom="0.75" header="0.3" footer="0.3"/>
  <pageSetup paperSize="9" scale="71" orientation="portrait" r:id="rId1"/>
  <headerFooter>
    <oddFooter>&amp;R&amp;P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00B0F0"/>
  </sheetPr>
  <dimension ref="A1:N20"/>
  <sheetViews>
    <sheetView showZeros="0" zoomScaleNormal="100" zoomScaleSheetLayoutView="100" workbookViewId="0">
      <selection activeCell="E11" sqref="E11"/>
    </sheetView>
  </sheetViews>
  <sheetFormatPr defaultColWidth="9.28515625" defaultRowHeight="15.75"/>
  <cols>
    <col min="1" max="1" width="2.5703125" style="95" customWidth="1"/>
    <col min="2" max="2" width="3.28515625" style="95" customWidth="1"/>
    <col min="3" max="3" width="5.85546875" style="95" bestFit="1" customWidth="1"/>
    <col min="4" max="4" width="9.85546875" style="95" customWidth="1"/>
    <col min="5" max="5" width="37.7109375" style="95" customWidth="1"/>
    <col min="6" max="6" width="33.42578125" style="95" hidden="1" customWidth="1"/>
    <col min="7" max="7" width="7.7109375" style="95" customWidth="1"/>
    <col min="8" max="8" width="10.5703125" style="95" customWidth="1"/>
    <col min="9" max="9" width="11.28515625" style="95" bestFit="1" customWidth="1"/>
    <col min="10" max="11" width="9.85546875" style="95" customWidth="1"/>
    <col min="12" max="13" width="16.140625" style="95" customWidth="1"/>
    <col min="14" max="14" width="13.42578125" style="95" customWidth="1"/>
    <col min="15" max="16384" width="9.28515625" style="95"/>
  </cols>
  <sheetData>
    <row r="1" spans="1:14" ht="20.25">
      <c r="A1" s="305" t="e">
        <f>+'11.gia '!A1</f>
        <v>#REF!</v>
      </c>
      <c r="B1" s="96"/>
      <c r="C1" s="96"/>
      <c r="D1" s="96"/>
      <c r="E1" s="96"/>
      <c r="F1" s="96"/>
      <c r="G1" s="96"/>
      <c r="H1" s="96"/>
      <c r="I1" s="96"/>
      <c r="J1" s="96"/>
      <c r="K1" s="96"/>
      <c r="L1" s="96"/>
      <c r="M1" s="1153"/>
      <c r="N1" s="95">
        <v>1</v>
      </c>
    </row>
    <row r="2" spans="1:14" ht="20.25">
      <c r="A2" s="305" t="str">
        <f>+'11.gia '!A2</f>
        <v>DỰ ÁN ĐẦU TƯ XÂY DỰNG CẦU LONG BÌNH – CHREY THOM</v>
      </c>
      <c r="B2" s="96"/>
      <c r="C2" s="96"/>
      <c r="D2" s="96"/>
      <c r="E2" s="96"/>
      <c r="F2" s="96"/>
      <c r="G2" s="96"/>
      <c r="H2" s="96"/>
      <c r="I2" s="96"/>
      <c r="J2" s="96"/>
      <c r="K2" s="96"/>
      <c r="L2" s="96"/>
      <c r="M2" s="1153"/>
      <c r="N2" s="95">
        <v>1</v>
      </c>
    </row>
    <row r="3" spans="1:14" ht="18.75">
      <c r="A3" s="306" t="str">
        <f>+'11.gia '!A3</f>
        <v>HẠNG MỤC: PHẦN CẦU, PHẦN TUYẾN, CHIẾU SÁNG (PHÍA BỜ VIỆT NAM)</v>
      </c>
      <c r="B3" s="96"/>
      <c r="C3" s="96"/>
      <c r="D3" s="96"/>
      <c r="E3" s="96"/>
      <c r="F3" s="96"/>
      <c r="G3" s="96"/>
      <c r="H3" s="96"/>
      <c r="I3" s="96"/>
      <c r="J3" s="96"/>
      <c r="K3" s="96"/>
      <c r="L3" s="96"/>
      <c r="M3" s="1153"/>
      <c r="N3" s="95">
        <v>1</v>
      </c>
    </row>
    <row r="4" spans="1:14" ht="18.75">
      <c r="A4" s="306" t="e">
        <f>+'11.gia '!A4</f>
        <v>#REF!</v>
      </c>
      <c r="B4" s="96"/>
      <c r="C4" s="96"/>
      <c r="D4" s="96"/>
      <c r="E4" s="96"/>
      <c r="F4" s="96"/>
      <c r="G4" s="96"/>
      <c r="H4" s="96"/>
      <c r="I4" s="96"/>
      <c r="J4" s="96"/>
      <c r="K4" s="96"/>
      <c r="L4" s="96"/>
      <c r="M4" s="1153"/>
      <c r="N4" s="95">
        <v>1</v>
      </c>
    </row>
    <row r="5" spans="1:14" ht="20.25">
      <c r="A5" s="223" t="s">
        <v>198</v>
      </c>
      <c r="B5" s="96"/>
      <c r="C5" s="96"/>
      <c r="D5" s="96"/>
      <c r="E5" s="96"/>
      <c r="F5" s="96"/>
      <c r="G5" s="96"/>
      <c r="H5" s="96"/>
      <c r="I5" s="96"/>
      <c r="J5" s="96"/>
      <c r="K5" s="96"/>
      <c r="L5" s="96"/>
      <c r="M5" s="1153"/>
      <c r="N5" s="95">
        <v>1</v>
      </c>
    </row>
    <row r="6" spans="1:14" ht="20.25">
      <c r="A6" s="223" t="s">
        <v>5047</v>
      </c>
      <c r="B6" s="96"/>
      <c r="C6" s="96"/>
      <c r="D6" s="96"/>
      <c r="E6" s="96"/>
      <c r="F6" s="96"/>
      <c r="G6" s="96"/>
      <c r="H6" s="96"/>
      <c r="I6" s="96"/>
      <c r="J6" s="96"/>
      <c r="K6" s="96"/>
      <c r="L6" s="96"/>
      <c r="M6" s="1153"/>
      <c r="N6" s="95">
        <v>1</v>
      </c>
    </row>
    <row r="7" spans="1:14" ht="20.25" hidden="1">
      <c r="A7" s="223"/>
      <c r="B7" s="96"/>
      <c r="C7" s="96"/>
      <c r="D7" s="96"/>
      <c r="E7" s="96"/>
      <c r="F7" s="96"/>
      <c r="G7" s="96"/>
      <c r="H7" s="96"/>
      <c r="I7" s="96"/>
      <c r="J7" s="96"/>
      <c r="K7" s="96"/>
      <c r="L7" s="96"/>
      <c r="M7" s="349" t="s">
        <v>234</v>
      </c>
    </row>
    <row r="8" spans="1:14" s="98" customFormat="1" ht="13.5">
      <c r="A8" s="348"/>
      <c r="B8" s="97"/>
      <c r="C8" s="97"/>
      <c r="D8" s="97"/>
      <c r="E8" s="97"/>
      <c r="F8" s="97"/>
      <c r="G8" s="97"/>
      <c r="H8" s="97"/>
      <c r="I8" s="97"/>
      <c r="J8" s="97"/>
      <c r="K8" s="97"/>
      <c r="L8" s="349"/>
      <c r="M8" s="763" t="s">
        <v>5084</v>
      </c>
      <c r="N8" s="98">
        <v>1</v>
      </c>
    </row>
    <row r="9" spans="1:14" s="28" customFormat="1" ht="19.5" customHeight="1">
      <c r="A9" s="37" t="s">
        <v>529</v>
      </c>
      <c r="B9" s="36"/>
      <c r="C9" s="36" t="s">
        <v>2018</v>
      </c>
      <c r="D9" s="35" t="s">
        <v>382</v>
      </c>
      <c r="E9" s="35" t="s">
        <v>534</v>
      </c>
      <c r="F9" s="35" t="s">
        <v>4904</v>
      </c>
      <c r="G9" s="34" t="s">
        <v>282</v>
      </c>
      <c r="H9" s="33" t="s">
        <v>323</v>
      </c>
      <c r="I9" s="230" t="s">
        <v>5028</v>
      </c>
      <c r="J9" s="32"/>
      <c r="K9" s="32"/>
      <c r="L9" s="31" t="s">
        <v>5252</v>
      </c>
      <c r="M9" s="31" t="s">
        <v>168</v>
      </c>
      <c r="N9" s="29"/>
    </row>
    <row r="10" spans="1:14" s="28" customFormat="1" ht="26.25" customHeight="1">
      <c r="A10" s="1133" t="s">
        <v>5009</v>
      </c>
      <c r="B10" s="1134"/>
      <c r="C10" s="1090" t="s">
        <v>5034</v>
      </c>
      <c r="D10" s="1091" t="s">
        <v>5035</v>
      </c>
      <c r="E10" s="30"/>
      <c r="F10" s="30"/>
      <c r="G10" s="1083" t="s">
        <v>5022</v>
      </c>
      <c r="H10" s="1084" t="s">
        <v>5026</v>
      </c>
      <c r="I10" s="1154" t="s">
        <v>5249</v>
      </c>
      <c r="J10" s="1154" t="s">
        <v>5250</v>
      </c>
      <c r="K10" s="1154" t="s">
        <v>5251</v>
      </c>
      <c r="L10" s="1085" t="s">
        <v>5025</v>
      </c>
      <c r="M10" s="1085" t="s">
        <v>5019</v>
      </c>
      <c r="N10" s="29"/>
    </row>
    <row r="11" spans="1:14" s="21" customFormat="1" ht="19.5" customHeight="1">
      <c r="A11" s="27"/>
      <c r="B11" s="26">
        <f>MAX($B$10:B10)+1</f>
        <v>1</v>
      </c>
      <c r="C11" s="26">
        <f>+'8.Dgia'!$B$2652</f>
        <v>307</v>
      </c>
      <c r="D11" s="25" t="s">
        <v>380</v>
      </c>
      <c r="E11" s="24" t="s">
        <v>379</v>
      </c>
      <c r="F11" s="24" t="s">
        <v>4276</v>
      </c>
      <c r="G11" s="240" t="str">
        <f>VLOOKUP(C11,'8.Dgia'!B:M,6,FALSE)</f>
        <v>100m3</v>
      </c>
      <c r="H11" s="23">
        <v>0.01</v>
      </c>
      <c r="I11" s="241">
        <f>VLOOKUP(C11,'8.Dgia'!B:M,10,FALSE)</f>
        <v>0</v>
      </c>
      <c r="J11" s="241">
        <f>VLOOKUP(C11,'8.Dgia'!B:M,11,FALSE)</f>
        <v>223409.212</v>
      </c>
      <c r="K11" s="241">
        <f>VLOOKUP(C11,'8.Dgia'!B:M,12,FALSE)</f>
        <v>1285861.400476909</v>
      </c>
      <c r="L11" s="241">
        <f>I11+J11+K11</f>
        <v>1509270.6124769091</v>
      </c>
      <c r="M11" s="22">
        <f>L11*H11</f>
        <v>15092.706124769091</v>
      </c>
      <c r="N11" s="7"/>
    </row>
    <row r="12" spans="1:14" s="21" customFormat="1" ht="19.5" customHeight="1">
      <c r="A12" s="27"/>
      <c r="B12" s="26">
        <f>MAX($B$10:B11)+1</f>
        <v>2</v>
      </c>
      <c r="C12" s="26">
        <f>+'8.Dgia'!$B$2138</f>
        <v>238</v>
      </c>
      <c r="D12" s="25" t="s">
        <v>2138</v>
      </c>
      <c r="E12" s="24" t="s">
        <v>2141</v>
      </c>
      <c r="F12" s="24" t="s">
        <v>4269</v>
      </c>
      <c r="G12" s="240" t="str">
        <f>VLOOKUP(C12,'8.Dgia'!B:M,6,FALSE)</f>
        <v>100m3</v>
      </c>
      <c r="H12" s="23">
        <v>0.01</v>
      </c>
      <c r="I12" s="241">
        <f>VLOOKUP(C12,'8.Dgia'!B:M,10,FALSE)</f>
        <v>0</v>
      </c>
      <c r="J12" s="241">
        <f>VLOOKUP(C12,'8.Dgia'!B:M,11,FALSE)</f>
        <v>93398.5</v>
      </c>
      <c r="K12" s="241">
        <f>VLOOKUP(C12,'8.Dgia'!B:M,12,FALSE)</f>
        <v>735364.79772709089</v>
      </c>
      <c r="L12" s="241">
        <f>I12+J12+K12</f>
        <v>828763.29772709089</v>
      </c>
      <c r="M12" s="22">
        <f>L12*H12</f>
        <v>8287.6329772709087</v>
      </c>
      <c r="N12" s="7"/>
    </row>
    <row r="13" spans="1:14" s="21" customFormat="1" ht="24.75" customHeight="1">
      <c r="A13" s="27"/>
      <c r="B13" s="26">
        <f>MAX($B$10:B12)+1</f>
        <v>3</v>
      </c>
      <c r="C13" s="26">
        <f>'8.Dgia'!$B$1063</f>
        <v>109</v>
      </c>
      <c r="D13" s="25" t="s">
        <v>3565</v>
      </c>
      <c r="E13" s="1019" t="s">
        <v>4000</v>
      </c>
      <c r="F13" s="1019" t="s">
        <v>4996</v>
      </c>
      <c r="G13" s="240" t="str">
        <f>VLOOKUP(C13,'8.Dgia'!B:M,6,FALSE)</f>
        <v>dầm/girder</v>
      </c>
      <c r="H13" s="23">
        <v>1</v>
      </c>
      <c r="I13" s="241">
        <f>VLOOKUP(C13,'8.Dgia'!B:M,10,FALSE)</f>
        <v>0</v>
      </c>
      <c r="J13" s="241">
        <f>VLOOKUP(C13,'8.Dgia'!B:M,11,FALSE)</f>
        <v>652253.25</v>
      </c>
      <c r="K13" s="241">
        <f>VLOOKUP(C13,'8.Dgia'!B:M,12,FALSE)</f>
        <v>2595250.0183434547</v>
      </c>
      <c r="L13" s="241">
        <f>I13+J13+K13</f>
        <v>3247503.2683434547</v>
      </c>
      <c r="M13" s="22">
        <f>L13*H13</f>
        <v>3247503.2683434547</v>
      </c>
      <c r="N13" s="7"/>
    </row>
    <row r="14" spans="1:14" s="21" customFormat="1" ht="24.75" hidden="1" customHeight="1">
      <c r="A14" s="1025"/>
      <c r="B14" s="26">
        <f>MAX($B$10:B13)+1</f>
        <v>4</v>
      </c>
      <c r="C14" s="26">
        <f>'8.Dgia'!$B$3336</f>
        <v>402</v>
      </c>
      <c r="D14" s="25" t="str">
        <f>'8.Dgia'!$D$3336</f>
        <v>AG.BC.004</v>
      </c>
      <c r="E14" s="1019" t="str">
        <f>'8.Dgia'!$E$3336</f>
        <v>Bơm cát san lấp mặt bằng cự ly 500 đến &lt;700m</v>
      </c>
      <c r="F14" s="1019"/>
      <c r="G14" s="240" t="str">
        <f>VLOOKUP(C14,'8.Dgia'!B:M,6,FALSE)</f>
        <v>m3</v>
      </c>
      <c r="H14" s="23">
        <v>1</v>
      </c>
      <c r="I14" s="241">
        <f>VLOOKUP(C14,'8.Dgia'!B:M,10,FALSE)</f>
        <v>1927.107</v>
      </c>
      <c r="J14" s="241">
        <f>VLOOKUP(C14,'8.Dgia'!B:M,11,FALSE)</f>
        <v>1261.7984000000001</v>
      </c>
      <c r="K14" s="241">
        <f>VLOOKUP(C14,'8.Dgia'!B:M,12,FALSE)</f>
        <v>7962.2995659277713</v>
      </c>
      <c r="L14" s="241">
        <f>I14+J14+K14</f>
        <v>11151.204965927771</v>
      </c>
      <c r="M14" s="22">
        <f>L14*H14</f>
        <v>11151.204965927771</v>
      </c>
      <c r="N14" s="7"/>
    </row>
    <row r="15" spans="1:14" s="21" customFormat="1" ht="24.75" customHeight="1">
      <c r="A15" s="1025"/>
      <c r="B15" s="1026"/>
      <c r="C15" s="1026"/>
      <c r="D15" s="1027"/>
      <c r="E15" s="1032" t="s">
        <v>3995</v>
      </c>
      <c r="F15" s="1032" t="s">
        <v>4345</v>
      </c>
      <c r="G15" s="1029" t="s">
        <v>545</v>
      </c>
      <c r="H15" s="1030"/>
      <c r="I15" s="1031"/>
      <c r="J15" s="1031"/>
      <c r="K15" s="1031"/>
      <c r="L15" s="1031"/>
      <c r="M15" s="1033">
        <f>M16+M17</f>
        <v>65283.353063803646</v>
      </c>
      <c r="N15" s="7"/>
    </row>
    <row r="16" spans="1:14" s="21" customFormat="1" ht="24.75" customHeight="1">
      <c r="A16" s="1025"/>
      <c r="B16" s="1026">
        <v>4</v>
      </c>
      <c r="C16" s="1026">
        <f>'8.Dgia'!B2077</f>
        <v>230</v>
      </c>
      <c r="D16" s="1027" t="str">
        <f>'8.Dgia'!D2077</f>
        <v>AB.24141</v>
      </c>
      <c r="E16" s="1028" t="s">
        <v>3995</v>
      </c>
      <c r="F16" s="1028" t="s">
        <v>4345</v>
      </c>
      <c r="G16" s="1029" t="s">
        <v>544</v>
      </c>
      <c r="H16" s="1030">
        <v>0.01</v>
      </c>
      <c r="I16" s="1031">
        <f>'8.Dgia'!K2077</f>
        <v>200000</v>
      </c>
      <c r="J16" s="1031">
        <f>'8.Dgia'!L2077</f>
        <v>93398.5</v>
      </c>
      <c r="K16" s="1031">
        <f>'8.Dgia'!M2077</f>
        <v>710859.86408672726</v>
      </c>
      <c r="L16" s="241">
        <f>I16+J16+K16</f>
        <v>1004258.3640867273</v>
      </c>
      <c r="M16" s="22">
        <f>L16*H16</f>
        <v>10042.583640867273</v>
      </c>
      <c r="N16" s="7"/>
    </row>
    <row r="17" spans="1:14" s="21" customFormat="1" ht="24.75" customHeight="1">
      <c r="A17" s="1025"/>
      <c r="B17" s="1026">
        <v>5</v>
      </c>
      <c r="C17" s="1026">
        <f>'8.Dgia'!B2837</f>
        <v>334</v>
      </c>
      <c r="D17" s="1027" t="str">
        <f>'8.Dgia'!D2845</f>
        <v>AB.66142</v>
      </c>
      <c r="E17" s="1028" t="str">
        <f>'8.Dgia'!E2837</f>
        <v>Vận chuyển bằng ôtô tự đổ, 10T, C1, L=15Km</v>
      </c>
      <c r="F17" s="1028" t="str">
        <f>'8.Dgia'!F2837</f>
        <v>Transport by dump truck, 10T, C1, L=15Km</v>
      </c>
      <c r="G17" s="1029" t="s">
        <v>544</v>
      </c>
      <c r="H17" s="1030">
        <v>0.01</v>
      </c>
      <c r="I17" s="1031"/>
      <c r="J17" s="1031"/>
      <c r="K17" s="1031">
        <f>'8.Dgia'!J2838</f>
        <v>5524076.9422936365</v>
      </c>
      <c r="L17" s="241">
        <f>I17+J17+K17</f>
        <v>5524076.9422936365</v>
      </c>
      <c r="M17" s="22">
        <f>L17*H17</f>
        <v>55240.76942293637</v>
      </c>
      <c r="N17" s="7"/>
    </row>
    <row r="18" spans="1:14" s="21" customFormat="1" ht="19.5" customHeight="1">
      <c r="A18" s="88"/>
      <c r="B18" s="89"/>
      <c r="C18" s="89"/>
      <c r="D18" s="90"/>
      <c r="E18" s="91"/>
      <c r="F18" s="91"/>
      <c r="G18" s="92"/>
      <c r="H18" s="93"/>
      <c r="I18" s="94"/>
      <c r="J18" s="94"/>
      <c r="K18" s="94"/>
      <c r="L18" s="94"/>
      <c r="M18" s="94"/>
      <c r="N18" s="7"/>
    </row>
    <row r="20" spans="1:14">
      <c r="E20" s="374" t="s">
        <v>3641</v>
      </c>
      <c r="F20" s="374" t="s">
        <v>4997</v>
      </c>
    </row>
  </sheetData>
  <phoneticPr fontId="68" type="noConversion"/>
  <printOptions horizontalCentered="1"/>
  <pageMargins left="0.39370078740157483" right="0.39370078740157483" top="0.59055118110236227" bottom="0.35433070866141736" header="0" footer="0.19685039370078741"/>
  <pageSetup paperSize="9" scale="78" firstPageNumber="74" orientation="landscape" horizontalDpi="1200" verticalDpi="1200" r:id="rId1"/>
  <headerFooter>
    <oddFooter>&amp;R&amp;8&amp;P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P19"/>
  <sheetViews>
    <sheetView workbookViewId="0">
      <selection activeCell="C17" sqref="C17"/>
    </sheetView>
  </sheetViews>
  <sheetFormatPr defaultRowHeight="12.75"/>
  <cols>
    <col min="1" max="1" width="3.42578125" customWidth="1"/>
    <col min="2" max="2" width="3.140625" customWidth="1"/>
    <col min="3" max="3" width="10.42578125" customWidth="1"/>
    <col min="4" max="4" width="11.28515625" customWidth="1"/>
    <col min="5" max="5" width="38.85546875" customWidth="1"/>
    <col min="6" max="6" width="39.7109375" hidden="1" customWidth="1"/>
    <col min="8" max="8" width="12.140625" customWidth="1"/>
    <col min="9" max="9" width="10.42578125" customWidth="1"/>
    <col min="10" max="10" width="13" customWidth="1"/>
    <col min="11" max="11" width="11.28515625" customWidth="1"/>
    <col min="12" max="12" width="11.85546875" hidden="1" customWidth="1"/>
    <col min="13" max="13" width="12" hidden="1" customWidth="1"/>
    <col min="14" max="14" width="12.5703125" hidden="1" customWidth="1"/>
    <col min="15" max="15" width="16.140625" customWidth="1"/>
    <col min="16" max="16" width="15.140625" customWidth="1"/>
    <col min="17" max="17" width="18.28515625" customWidth="1"/>
  </cols>
  <sheetData>
    <row r="1" spans="1:16" ht="20.25">
      <c r="A1" s="1361" t="s">
        <v>1999</v>
      </c>
      <c r="B1" s="1350"/>
      <c r="C1" s="1351"/>
      <c r="D1" s="1350"/>
      <c r="E1" s="113"/>
      <c r="F1" s="113"/>
      <c r="G1" s="1350"/>
      <c r="H1" s="350"/>
      <c r="I1" s="115"/>
      <c r="J1" s="115"/>
      <c r="K1" s="115"/>
      <c r="L1" s="115"/>
      <c r="M1" s="115"/>
      <c r="N1" s="115"/>
      <c r="O1" s="115"/>
      <c r="P1" s="115"/>
    </row>
    <row r="2" spans="1:16" ht="20.25">
      <c r="A2" s="1361" t="s">
        <v>5020</v>
      </c>
      <c r="B2" s="1350"/>
      <c r="C2" s="1351"/>
      <c r="D2" s="1350"/>
      <c r="E2" s="113"/>
      <c r="F2" s="113"/>
      <c r="G2" s="1350"/>
      <c r="H2" s="350"/>
      <c r="I2" s="115"/>
      <c r="J2" s="115"/>
      <c r="K2" s="115"/>
      <c r="L2" s="115"/>
      <c r="M2" s="115"/>
      <c r="N2" s="115"/>
      <c r="O2" s="115"/>
      <c r="P2" s="115"/>
    </row>
    <row r="3" spans="1:16" ht="18.75">
      <c r="A3" s="1362" t="s">
        <v>3456</v>
      </c>
      <c r="B3" s="1350"/>
      <c r="C3" s="1351"/>
      <c r="D3" s="1350"/>
      <c r="E3" s="113"/>
      <c r="F3" s="113"/>
      <c r="G3" s="1350"/>
      <c r="H3" s="350"/>
      <c r="I3" s="115"/>
      <c r="J3" s="115"/>
      <c r="K3" s="115"/>
      <c r="L3" s="115"/>
      <c r="M3" s="115"/>
      <c r="N3" s="115"/>
      <c r="O3" s="115"/>
      <c r="P3" s="115"/>
    </row>
    <row r="4" spans="1:16" ht="18.75">
      <c r="A4" s="1362" t="s">
        <v>5085</v>
      </c>
      <c r="B4" s="1350"/>
      <c r="C4" s="1351"/>
      <c r="D4" s="1350"/>
      <c r="E4" s="113"/>
      <c r="F4" s="113"/>
      <c r="G4" s="1350"/>
      <c r="H4" s="350"/>
      <c r="I4" s="115"/>
      <c r="J4" s="115"/>
      <c r="K4" s="115"/>
      <c r="L4" s="115"/>
      <c r="M4" s="115"/>
      <c r="N4" s="115"/>
      <c r="O4" s="115"/>
      <c r="P4" s="115"/>
    </row>
    <row r="5" spans="1:16" ht="20.25">
      <c r="A5" s="223" t="s">
        <v>5548</v>
      </c>
      <c r="B5" s="1350"/>
      <c r="C5" s="1351"/>
      <c r="D5" s="1350"/>
      <c r="E5" s="113"/>
      <c r="F5" s="113"/>
      <c r="G5" s="1350"/>
      <c r="H5" s="350"/>
      <c r="I5" s="115"/>
      <c r="J5" s="115"/>
      <c r="K5" s="115"/>
      <c r="L5" s="115"/>
      <c r="M5" s="115"/>
      <c r="N5" s="115"/>
      <c r="O5" s="115"/>
      <c r="P5" s="115"/>
    </row>
    <row r="6" spans="1:16" ht="20.25">
      <c r="A6" s="223" t="s">
        <v>5027</v>
      </c>
      <c r="B6" s="1350"/>
      <c r="C6" s="1351"/>
      <c r="D6" s="1350"/>
      <c r="E6" s="113"/>
      <c r="F6" s="113"/>
      <c r="G6" s="1350"/>
      <c r="H6" s="350"/>
      <c r="I6" s="115"/>
      <c r="J6" s="115"/>
      <c r="K6" s="115"/>
      <c r="L6" s="115"/>
      <c r="M6" s="115"/>
      <c r="N6" s="115"/>
      <c r="O6" s="115"/>
      <c r="P6" s="115"/>
    </row>
    <row r="7" spans="1:16" ht="13.5">
      <c r="A7" s="1350"/>
      <c r="B7" s="1350"/>
      <c r="C7" s="1351"/>
      <c r="D7" s="1350"/>
      <c r="E7" s="352"/>
      <c r="F7" s="352"/>
      <c r="G7" s="1350"/>
      <c r="H7" s="350"/>
      <c r="I7" s="115"/>
      <c r="J7" s="115"/>
      <c r="K7" s="115"/>
      <c r="L7" s="115"/>
      <c r="M7" s="115"/>
      <c r="N7" s="1352"/>
      <c r="O7" s="1377"/>
      <c r="P7" s="1374" t="s">
        <v>5084</v>
      </c>
    </row>
    <row r="8" spans="1:16">
      <c r="A8" s="1353" t="s">
        <v>524</v>
      </c>
      <c r="B8" s="1363"/>
      <c r="C8" s="1354" t="s">
        <v>266</v>
      </c>
      <c r="D8" s="1355" t="s">
        <v>533</v>
      </c>
      <c r="E8" s="229" t="s">
        <v>534</v>
      </c>
      <c r="F8" s="229" t="s">
        <v>4904</v>
      </c>
      <c r="G8" s="1355" t="s">
        <v>267</v>
      </c>
      <c r="H8" s="354" t="s">
        <v>535</v>
      </c>
      <c r="I8" s="230" t="s">
        <v>5028</v>
      </c>
      <c r="J8" s="230"/>
      <c r="K8" s="230"/>
      <c r="L8" s="230" t="s">
        <v>537</v>
      </c>
      <c r="M8" s="230"/>
      <c r="N8" s="230"/>
      <c r="O8" s="230" t="s">
        <v>1998</v>
      </c>
      <c r="P8" s="230" t="s">
        <v>168</v>
      </c>
    </row>
    <row r="9" spans="1:16">
      <c r="A9" s="1375"/>
      <c r="B9" s="1370"/>
      <c r="C9" s="1371"/>
      <c r="D9" s="1372"/>
      <c r="E9" s="1080"/>
      <c r="F9" s="1080"/>
      <c r="G9" s="1372" t="s">
        <v>268</v>
      </c>
      <c r="H9" s="1081" t="s">
        <v>538</v>
      </c>
      <c r="I9" s="1082" t="s">
        <v>539</v>
      </c>
      <c r="J9" s="1082" t="s">
        <v>540</v>
      </c>
      <c r="K9" s="1082" t="s">
        <v>541</v>
      </c>
      <c r="L9" s="1082" t="s">
        <v>539</v>
      </c>
      <c r="M9" s="1082" t="s">
        <v>540</v>
      </c>
      <c r="N9" s="1082" t="s">
        <v>541</v>
      </c>
      <c r="O9" s="1082"/>
      <c r="P9" s="1082"/>
    </row>
    <row r="10" spans="1:16" ht="25.5">
      <c r="A10" s="1380" t="s">
        <v>5009</v>
      </c>
      <c r="B10" s="1381"/>
      <c r="C10" s="1378" t="s">
        <v>5034</v>
      </c>
      <c r="D10" s="1379" t="s">
        <v>5035</v>
      </c>
      <c r="E10" s="236"/>
      <c r="F10" s="236"/>
      <c r="G10" s="1376" t="s">
        <v>5022</v>
      </c>
      <c r="H10" s="1084" t="s">
        <v>5026</v>
      </c>
      <c r="I10" s="1085" t="s">
        <v>4946</v>
      </c>
      <c r="J10" s="1085" t="s">
        <v>5023</v>
      </c>
      <c r="K10" s="1085" t="s">
        <v>5024</v>
      </c>
      <c r="L10" s="1085" t="s">
        <v>4946</v>
      </c>
      <c r="M10" s="1085" t="s">
        <v>5023</v>
      </c>
      <c r="N10" s="1085" t="s">
        <v>5024</v>
      </c>
      <c r="O10" s="1085" t="s">
        <v>5025</v>
      </c>
      <c r="P10" s="1085" t="s">
        <v>5019</v>
      </c>
    </row>
    <row r="11" spans="1:16">
      <c r="A11" s="1365"/>
      <c r="B11" s="1356"/>
      <c r="C11" s="1357"/>
      <c r="D11" s="1366"/>
      <c r="E11" s="247" t="s">
        <v>5540</v>
      </c>
      <c r="F11" s="247"/>
      <c r="G11" s="1358"/>
      <c r="H11" s="358"/>
      <c r="I11" s="241"/>
      <c r="J11" s="241"/>
      <c r="K11" s="241"/>
      <c r="L11" s="242"/>
      <c r="M11" s="242"/>
      <c r="N11" s="242"/>
      <c r="O11" s="241"/>
      <c r="P11" s="242">
        <f>P12</f>
        <v>14232575.386776768</v>
      </c>
    </row>
    <row r="12" spans="1:16" ht="32.25" customHeight="1">
      <c r="A12" s="1359"/>
      <c r="B12" s="1356">
        <v>1</v>
      </c>
      <c r="C12" s="1357">
        <f>'8.Dgia'!$B$1459</f>
        <v>157</v>
      </c>
      <c r="D12" s="1358" t="str">
        <f>VLOOKUP(C12,'8.Dgia'!B:M,3,FALSE)</f>
        <v>BB.11511vd</v>
      </c>
      <c r="E12" s="1360" t="str">
        <f>VLOOKUP(C12,'8.Dgia'!B:N,4,FALSE)</f>
        <v>Cung cấp và lắp đặt ống cống BTCT D1500 nối joint cao su (H10), L=3m, HS=1.15</v>
      </c>
      <c r="F12" s="1360" t="str">
        <f>VLOOKUP(C12,'8.Dgia'!B:M,5,FALSE)</f>
        <v>Supply &amp; install cluvert pipe D1500 (H10), L=3m, HS=1.15</v>
      </c>
      <c r="G12" s="1358" t="str">
        <f>VLOOKUP(C12,'8.Dgia'!B:M,6,FALSE)</f>
        <v>100m</v>
      </c>
      <c r="H12" s="360">
        <f>3/100</f>
        <v>0.03</v>
      </c>
      <c r="I12" s="1382">
        <f>VLOOKUP(C12,'8.Dgia'!B:M,10,FALSE)</f>
        <v>304569911.54576004</v>
      </c>
      <c r="J12" s="1382">
        <f>VLOOKUP(C12,'8.Dgia'!B:M,11,FALSE)</f>
        <v>60865701.417749994</v>
      </c>
      <c r="K12" s="1382">
        <f>VLOOKUP(C12,'8.Dgia'!B:M,12,FALSE)</f>
        <v>4177640.3529262501</v>
      </c>
      <c r="L12" s="241">
        <f>$H12*I12</f>
        <v>9137097.3463727999</v>
      </c>
      <c r="M12" s="241">
        <f>$H12*J12</f>
        <v>1825971.0425324996</v>
      </c>
      <c r="N12" s="241">
        <f>$H12*K12</f>
        <v>125329.2105877875</v>
      </c>
      <c r="O12" s="241">
        <f>(I12+J12*NCT*HSNC+K12)*TT*CC*TL*LT*VAT</f>
        <v>474419179.55922562</v>
      </c>
      <c r="P12" s="241">
        <f>O12*H12</f>
        <v>14232575.386776768</v>
      </c>
    </row>
    <row r="13" spans="1:16" ht="17.25" customHeight="1">
      <c r="A13" s="1359"/>
      <c r="B13" s="1356"/>
      <c r="C13" s="1357"/>
      <c r="D13" s="1358"/>
      <c r="E13" s="247" t="s">
        <v>5541</v>
      </c>
      <c r="F13" s="1360"/>
      <c r="G13" s="1358"/>
      <c r="H13" s="360"/>
      <c r="I13" s="241"/>
      <c r="J13" s="241"/>
      <c r="K13" s="241"/>
      <c r="L13" s="241"/>
      <c r="M13" s="241"/>
      <c r="N13" s="241"/>
      <c r="O13" s="241"/>
      <c r="P13" s="359">
        <f>SUM(P14:P18)</f>
        <v>15196137.954964504</v>
      </c>
    </row>
    <row r="14" spans="1:16" ht="24" customHeight="1">
      <c r="A14" s="1359"/>
      <c r="B14" s="1356">
        <v>2</v>
      </c>
      <c r="C14" s="1357">
        <f>'8.Dgia'!$B$3319</f>
        <v>400</v>
      </c>
      <c r="D14" s="1358" t="str">
        <f>VLOOKUP(C14,'8.Dgia'!B:M,3,FALSE)</f>
        <v>AG.11510</v>
      </c>
      <c r="E14" s="1360" t="str">
        <f>VLOOKUP(C14,'8.Dgia'!B:N,4,FALSE)</f>
        <v>Bê tông cống C25 đá 1x2</v>
      </c>
      <c r="F14" s="1360" t="str">
        <f>VLOOKUP(C14,'8.Dgia'!B:M,5,FALSE)</f>
        <v>C25 concrete stone 1×2</v>
      </c>
      <c r="G14" s="1358" t="str">
        <f>VLOOKUP(C14,'8.Dgia'!B:M,6,FALSE)</f>
        <v>m3</v>
      </c>
      <c r="H14" s="360">
        <v>1.867</v>
      </c>
      <c r="I14" s="1382">
        <f>VLOOKUP(C14,'8.Dgia'!B:M,10,FALSE)</f>
        <v>970030.03665324603</v>
      </c>
      <c r="J14" s="1382">
        <f>VLOOKUP(C14,'8.Dgia'!B:M,11,FALSE)</f>
        <v>454410.88000000006</v>
      </c>
      <c r="K14" s="1382">
        <f>VLOOKUP(C14,'8.Dgia'!B:M,12,FALSE)</f>
        <v>18856.805550000001</v>
      </c>
      <c r="L14" s="241">
        <f t="shared" ref="L14:N18" si="0">$H14*I14</f>
        <v>1811046.0784316103</v>
      </c>
      <c r="M14" s="241">
        <f t="shared" si="0"/>
        <v>848385.11296000006</v>
      </c>
      <c r="N14" s="241">
        <f t="shared" si="0"/>
        <v>35205.655961850003</v>
      </c>
      <c r="O14" s="241">
        <f>(I14+J14*NCT*HSNC+K14)*TT*CC*TL*LT*VAT</f>
        <v>1869626.6735639307</v>
      </c>
      <c r="P14" s="241">
        <f>O14*H14</f>
        <v>3490592.9995438587</v>
      </c>
    </row>
    <row r="15" spans="1:16" ht="24" customHeight="1">
      <c r="A15" s="1359"/>
      <c r="B15" s="1356">
        <v>3</v>
      </c>
      <c r="C15" s="1357">
        <f>'8.Dgia'!$B$3327</f>
        <v>401</v>
      </c>
      <c r="D15" s="1358" t="str">
        <f>VLOOKUP(C15,'8.Dgia'!B:M,3,FALSE)</f>
        <v>AG.13310</v>
      </c>
      <c r="E15" s="1360" t="str">
        <f>VLOOKUP(C15,'8.Dgia'!B:N,4,FALSE)</f>
        <v>Cốt thép D&lt;=10 cống đúc sẵn</v>
      </c>
      <c r="F15" s="1360" t="str">
        <f>VLOOKUP(C15,'8.Dgia'!B:M,5,FALSE)</f>
        <v xml:space="preserve">Reinforce D&lt;=10 </v>
      </c>
      <c r="G15" s="1358" t="str">
        <f>VLOOKUP(C15,'8.Dgia'!B:M,6,FALSE)</f>
        <v>tấn/ton</v>
      </c>
      <c r="H15" s="360">
        <f>197.35/1000</f>
        <v>0.19735</v>
      </c>
      <c r="I15" s="1382">
        <f>VLOOKUP(C15,'8.Dgia'!B:M,10,FALSE)</f>
        <v>17205048.9978</v>
      </c>
      <c r="J15" s="1382">
        <f>VLOOKUP(C15,'8.Dgia'!B:M,11,FALSE)</f>
        <v>5206084.0600000005</v>
      </c>
      <c r="K15" s="1382">
        <f>VLOOKUP(C15,'8.Dgia'!B:M,12,FALSE)</f>
        <v>32116.740000000005</v>
      </c>
      <c r="L15" s="241">
        <f t="shared" si="0"/>
        <v>3395416.4197158301</v>
      </c>
      <c r="M15" s="241">
        <f t="shared" si="0"/>
        <v>1027420.6892410001</v>
      </c>
      <c r="N15" s="241">
        <f t="shared" si="0"/>
        <v>6338.2386390000011</v>
      </c>
      <c r="O15" s="241">
        <f>(I15+J15*NCT*HSNC+K15)*TT*CC*TL*LT*VAT</f>
        <v>28926132.867365833</v>
      </c>
      <c r="P15" s="241">
        <f>O15*H15</f>
        <v>5708572.3213746473</v>
      </c>
    </row>
    <row r="16" spans="1:16" ht="42" customHeight="1">
      <c r="A16" s="1359"/>
      <c r="B16" s="1356">
        <v>4</v>
      </c>
      <c r="C16" s="1357">
        <f>'8.Dgia'!$B$1469</f>
        <v>158</v>
      </c>
      <c r="D16" s="1358" t="str">
        <f>VLOOKUP(C16,'8.Dgia'!B:M,3,FALSE)</f>
        <v>BB.11511vd</v>
      </c>
      <c r="E16" s="1364" t="str">
        <f>VLOOKUP(C16,'8.Dgia'!B:N,4,FALSE)</f>
        <v>Cung cấp và lắp đặt ống cống BTCT D1500 nối joint cao su (H10), L=3m, HS=1.15, tạm tính KH=50%</v>
      </c>
      <c r="F16" s="1364" t="str">
        <f>VLOOKUP(C16,'8.Dgia'!B:M,5,FALSE)</f>
        <v>Supply &amp; install cluvert pipe D1500 (H10), L=3m, HS=1.15, amor=50%</v>
      </c>
      <c r="G16" s="1358" t="str">
        <f>VLOOKUP(C16,'8.Dgia'!B:M,6,FALSE)</f>
        <v>100m</v>
      </c>
      <c r="H16" s="360">
        <f>3/100</f>
        <v>0.03</v>
      </c>
      <c r="I16" s="1382"/>
      <c r="J16" s="1382">
        <f>VLOOKUP(C16,'8.Dgia'!B:M,11,FALSE)</f>
        <v>60865701.417749994</v>
      </c>
      <c r="K16" s="1382">
        <f>VLOOKUP(C16,'8.Dgia'!B:M,12,FALSE)</f>
        <v>4177640.3529262501</v>
      </c>
      <c r="L16" s="241">
        <f t="shared" si="0"/>
        <v>0</v>
      </c>
      <c r="M16" s="241">
        <f t="shared" si="0"/>
        <v>1825971.0425324996</v>
      </c>
      <c r="N16" s="241">
        <f t="shared" si="0"/>
        <v>125329.2105877875</v>
      </c>
      <c r="O16" s="241">
        <f>(I16+J16*NCT*HSNC+K16)*TT*CC*TL*LT*VAT</f>
        <v>87437747.748991325</v>
      </c>
      <c r="P16" s="241">
        <f>O16*H16</f>
        <v>2623132.4324697396</v>
      </c>
    </row>
    <row r="17" spans="1:16" ht="42" customHeight="1">
      <c r="A17" s="1359"/>
      <c r="B17" s="1356">
        <v>5</v>
      </c>
      <c r="C17" s="1357">
        <f>'8.Dgia'!$B$2959</f>
        <v>351</v>
      </c>
      <c r="D17" s="1358" t="str">
        <f>VLOOKUP(C17,'8.Dgia'!B:M,3,FALSE)</f>
        <v>Báo giá</v>
      </c>
      <c r="E17" s="1364" t="str">
        <f>VLOOKUP(C17,'8.Dgia'!B:N,4,FALSE)</f>
        <v>Joint cao su cống D1500</v>
      </c>
      <c r="F17" s="1364" t="str">
        <f>VLOOKUP(C17,'8.Dgia'!B:M,5,FALSE)</f>
        <v>Rubber joint D1500</v>
      </c>
      <c r="G17" s="1358" t="str">
        <f>VLOOKUP(C17,'8.Dgia'!B:M,6,FALSE)</f>
        <v>cái/each</v>
      </c>
      <c r="H17" s="360">
        <v>2</v>
      </c>
      <c r="I17" s="1382">
        <f>VLOOKUP(C17,'8.Dgia'!B:M,10,FALSE)</f>
        <v>94400</v>
      </c>
      <c r="J17" s="1382">
        <f>VLOOKUP(C17,'8.Dgia'!B:M,11,FALSE)</f>
        <v>0</v>
      </c>
      <c r="K17" s="1382">
        <f>VLOOKUP(C17,'8.Dgia'!B:M,12,FALSE)</f>
        <v>0</v>
      </c>
      <c r="L17" s="241">
        <f>$H17*I17</f>
        <v>188800</v>
      </c>
      <c r="M17" s="241">
        <f>$H17*J17</f>
        <v>0</v>
      </c>
      <c r="N17" s="241">
        <f>$H17*K17</f>
        <v>0</v>
      </c>
      <c r="O17" s="241">
        <f>(I17+J17*NCT*HSNC+K17)*TT*CC*TL*LT*VAT</f>
        <v>119943.05996112002</v>
      </c>
      <c r="P17" s="241">
        <f>O17*H17</f>
        <v>239886.11992224003</v>
      </c>
    </row>
    <row r="18" spans="1:16" ht="25.5" customHeight="1">
      <c r="A18" s="1359"/>
      <c r="B18" s="1356">
        <v>6</v>
      </c>
      <c r="C18" s="1357">
        <f>'8.Dgia'!$B$1183</f>
        <v>123</v>
      </c>
      <c r="D18" s="1358" t="str">
        <f>VLOOKUP(C18,'8.Dgia'!B:M,3,FALSE)</f>
        <v>AG.32211</v>
      </c>
      <c r="E18" s="1360" t="str">
        <f>VLOOKUP(C18,'8.Dgia'!B:N,4,FALSE)</f>
        <v>Ván khuôn kết cấu đúc sẵn</v>
      </c>
      <c r="F18" s="1360" t="str">
        <f>VLOOKUP(C18,'8.Dgia'!B:M,5,FALSE)</f>
        <v>Formwork of precast structure</v>
      </c>
      <c r="G18" s="1358" t="str">
        <f>VLOOKUP(C18,'8.Dgia'!B:M,6,FALSE)</f>
        <v>100m2</v>
      </c>
      <c r="H18" s="360">
        <v>0.30536280592892789</v>
      </c>
      <c r="I18" s="1382">
        <f>VLOOKUP(C18,'8.Dgia'!B:M,10,FALSE)</f>
        <v>557014.28542626358</v>
      </c>
      <c r="J18" s="1382">
        <f>VLOOKUP(C18,'8.Dgia'!B:M,11,FALSE)</f>
        <v>6953121.5200000005</v>
      </c>
      <c r="K18" s="1382">
        <f>VLOOKUP(C18,'8.Dgia'!B:M,12,FALSE)</f>
        <v>136203.60449249999</v>
      </c>
      <c r="L18" s="241">
        <f t="shared" si="0"/>
        <v>170091.44514026056</v>
      </c>
      <c r="M18" s="241">
        <f t="shared" si="0"/>
        <v>2123224.6973120123</v>
      </c>
      <c r="N18" s="241">
        <f t="shared" si="0"/>
        <v>41591.514845463724</v>
      </c>
      <c r="O18" s="241">
        <f>(I18+J18*NCT*HSNC+K18)*TT*CC*TL*LT*VAT</f>
        <v>10263051.101198737</v>
      </c>
      <c r="P18" s="241">
        <f>O18*H18</f>
        <v>3133954.0816540197</v>
      </c>
    </row>
    <row r="19" spans="1:16">
      <c r="A19" s="1367"/>
      <c r="B19" s="1373" t="s">
        <v>415</v>
      </c>
      <c r="C19" s="1368"/>
      <c r="D19" s="1369"/>
      <c r="E19" s="366"/>
      <c r="F19" s="366"/>
      <c r="G19" s="1369"/>
      <c r="H19" s="367"/>
      <c r="I19" s="368"/>
      <c r="J19" s="368"/>
      <c r="K19" s="368"/>
      <c r="L19" s="368"/>
      <c r="M19" s="368"/>
      <c r="N19" s="368"/>
      <c r="O19" s="184">
        <v>0</v>
      </c>
      <c r="P19" s="184">
        <v>0</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N1796"/>
  <sheetViews>
    <sheetView topLeftCell="A920" zoomScaleNormal="100" zoomScaleSheetLayoutView="70" workbookViewId="0">
      <selection activeCell="E936" sqref="E936"/>
    </sheetView>
  </sheetViews>
  <sheetFormatPr defaultRowHeight="16.5"/>
  <cols>
    <col min="1" max="1" width="6.42578125" style="622" customWidth="1"/>
    <col min="2" max="2" width="74.85546875" style="483" customWidth="1"/>
    <col min="3" max="3" width="7.85546875" style="483" customWidth="1"/>
    <col min="4" max="4" width="12.42578125" style="483" customWidth="1"/>
    <col min="5" max="5" width="13.5703125" style="483" customWidth="1"/>
    <col min="6" max="6" width="15.42578125" style="310" customWidth="1"/>
    <col min="7" max="7" width="6.42578125" style="622" customWidth="1"/>
    <col min="8" max="8" width="74.85546875" style="483" customWidth="1"/>
    <col min="9" max="9" width="7.85546875" style="483" customWidth="1"/>
    <col min="10" max="10" width="12.42578125" style="483" customWidth="1"/>
    <col min="11" max="11" width="13.5703125" style="483" customWidth="1"/>
    <col min="12" max="12" width="15.42578125" style="310" customWidth="1"/>
    <col min="13" max="16384" width="9.140625" style="483"/>
  </cols>
  <sheetData>
    <row r="1" spans="1:13" ht="27" customHeight="1">
      <c r="A1" s="2160" t="s">
        <v>2257</v>
      </c>
      <c r="B1" s="2160"/>
      <c r="C1" s="2160"/>
      <c r="D1" s="2160"/>
      <c r="E1" s="2160"/>
      <c r="F1" s="2160"/>
      <c r="G1" s="2160" t="s">
        <v>2257</v>
      </c>
      <c r="H1" s="2160"/>
      <c r="I1" s="2160"/>
      <c r="J1" s="2160"/>
      <c r="K1" s="2160"/>
      <c r="L1" s="2160"/>
    </row>
    <row r="2" spans="1:13" ht="19.5" customHeight="1">
      <c r="A2" s="2160" t="s">
        <v>3806</v>
      </c>
      <c r="B2" s="2160"/>
      <c r="C2" s="2160"/>
      <c r="D2" s="2160"/>
      <c r="E2" s="2160"/>
      <c r="F2" s="2160"/>
      <c r="G2" s="2160" t="s">
        <v>3806</v>
      </c>
      <c r="H2" s="2160"/>
      <c r="I2" s="2160"/>
      <c r="J2" s="2160"/>
      <c r="K2" s="2160"/>
      <c r="L2" s="2160"/>
    </row>
    <row r="3" spans="1:13" ht="9" customHeight="1">
      <c r="A3" s="484" t="s">
        <v>3807</v>
      </c>
      <c r="B3" s="485"/>
      <c r="C3" s="485"/>
      <c r="D3" s="485"/>
      <c r="E3" s="486"/>
      <c r="F3" s="486"/>
      <c r="G3" s="484" t="s">
        <v>3807</v>
      </c>
      <c r="H3" s="485"/>
      <c r="I3" s="485"/>
      <c r="J3" s="485"/>
      <c r="K3" s="486"/>
      <c r="L3" s="486"/>
    </row>
    <row r="4" spans="1:13" ht="26.25" customHeight="1">
      <c r="A4" s="2160" t="s">
        <v>5253</v>
      </c>
      <c r="B4" s="2160"/>
      <c r="C4" s="2160"/>
      <c r="D4" s="2160"/>
      <c r="E4" s="2160"/>
      <c r="F4" s="2160"/>
      <c r="G4" s="2160" t="s">
        <v>5253</v>
      </c>
      <c r="H4" s="2160"/>
      <c r="I4" s="2160"/>
      <c r="J4" s="2160"/>
      <c r="K4" s="2160"/>
      <c r="L4" s="2160"/>
    </row>
    <row r="5" spans="1:13" ht="15.75" customHeight="1">
      <c r="A5" s="487"/>
      <c r="B5" s="488"/>
      <c r="C5" s="488"/>
      <c r="D5" s="488"/>
      <c r="E5" s="488"/>
      <c r="F5" s="488"/>
      <c r="G5" s="487"/>
      <c r="H5" s="488"/>
      <c r="I5" s="488"/>
      <c r="J5" s="488"/>
      <c r="K5" s="488"/>
      <c r="L5" s="488"/>
    </row>
    <row r="6" spans="1:13" ht="27.75" customHeight="1">
      <c r="A6" s="2160" t="s">
        <v>2258</v>
      </c>
      <c r="B6" s="2160"/>
      <c r="C6" s="2160"/>
      <c r="D6" s="2160"/>
      <c r="E6" s="2160"/>
      <c r="F6" s="2160"/>
      <c r="G6" s="2160" t="s">
        <v>2258</v>
      </c>
      <c r="H6" s="2160"/>
      <c r="I6" s="2160"/>
      <c r="J6" s="2160"/>
      <c r="K6" s="2160"/>
      <c r="L6" s="2160"/>
    </row>
    <row r="7" spans="1:13" ht="20.25" customHeight="1">
      <c r="A7" s="2160" t="s">
        <v>5254</v>
      </c>
      <c r="B7" s="2160"/>
      <c r="C7" s="2160"/>
      <c r="D7" s="2160"/>
      <c r="E7" s="2160"/>
      <c r="F7" s="2160"/>
      <c r="G7" s="2160" t="s">
        <v>5254</v>
      </c>
      <c r="H7" s="2160"/>
      <c r="I7" s="2160"/>
      <c r="J7" s="2160"/>
      <c r="K7" s="2160"/>
      <c r="L7" s="2160"/>
    </row>
    <row r="8" spans="1:13" ht="18.75" customHeight="1">
      <c r="A8" s="2160" t="s">
        <v>2259</v>
      </c>
      <c r="B8" s="2160"/>
      <c r="C8" s="2160"/>
      <c r="D8" s="2160"/>
      <c r="E8" s="2160"/>
      <c r="F8" s="2160"/>
      <c r="G8" s="2160" t="s">
        <v>2259</v>
      </c>
      <c r="H8" s="2160"/>
      <c r="I8" s="2160"/>
      <c r="J8" s="2160"/>
      <c r="K8" s="2160"/>
      <c r="L8" s="2160"/>
    </row>
    <row r="9" spans="1:13" ht="15" customHeight="1">
      <c r="A9" s="2160" t="s">
        <v>2260</v>
      </c>
      <c r="B9" s="2160"/>
      <c r="C9" s="2160"/>
      <c r="D9" s="2160"/>
      <c r="E9" s="2160"/>
      <c r="F9" s="2160"/>
      <c r="G9" s="2160" t="s">
        <v>2260</v>
      </c>
      <c r="H9" s="2160"/>
      <c r="I9" s="2160"/>
      <c r="J9" s="2160"/>
      <c r="K9" s="2160"/>
      <c r="L9" s="2160"/>
    </row>
    <row r="10" spans="1:13" ht="40.5" customHeight="1">
      <c r="A10" s="2160" t="s">
        <v>5255</v>
      </c>
      <c r="B10" s="2160"/>
      <c r="C10" s="2160"/>
      <c r="D10" s="2160"/>
      <c r="E10" s="2160"/>
      <c r="F10" s="2160"/>
      <c r="G10" s="2160" t="s">
        <v>5255</v>
      </c>
      <c r="H10" s="2160"/>
      <c r="I10" s="2160"/>
      <c r="J10" s="2160"/>
      <c r="K10" s="2160"/>
      <c r="L10" s="2160"/>
    </row>
    <row r="11" spans="1:13" ht="21" customHeight="1">
      <c r="A11" s="2160" t="s">
        <v>524</v>
      </c>
      <c r="B11" s="2160" t="s">
        <v>2261</v>
      </c>
      <c r="C11" s="2160" t="s">
        <v>2262</v>
      </c>
      <c r="D11" s="2160" t="s">
        <v>2263</v>
      </c>
      <c r="E11" s="2160"/>
      <c r="F11" s="2160"/>
      <c r="G11" s="2160" t="s">
        <v>524</v>
      </c>
      <c r="H11" s="2160" t="s">
        <v>2261</v>
      </c>
      <c r="I11" s="2160" t="s">
        <v>2262</v>
      </c>
      <c r="J11" s="2160" t="s">
        <v>2263</v>
      </c>
      <c r="K11" s="2160"/>
      <c r="L11" s="2160"/>
    </row>
    <row r="12" spans="1:13" ht="30" customHeight="1">
      <c r="A12" s="2160"/>
      <c r="B12" s="2160"/>
      <c r="C12" s="2160"/>
      <c r="D12" s="2160" t="s">
        <v>3841</v>
      </c>
      <c r="E12" s="2160" t="s">
        <v>2264</v>
      </c>
      <c r="F12" s="2160"/>
      <c r="G12" s="2160"/>
      <c r="H12" s="2160"/>
      <c r="I12" s="2160"/>
      <c r="J12" s="2160" t="s">
        <v>3841</v>
      </c>
      <c r="K12" s="2160" t="s">
        <v>2264</v>
      </c>
      <c r="L12" s="2160"/>
    </row>
    <row r="13" spans="1:13" s="489" customFormat="1" ht="16.5" customHeight="1">
      <c r="A13" s="2160"/>
      <c r="B13" s="2160"/>
      <c r="C13" s="2160"/>
      <c r="D13" s="2160"/>
      <c r="E13" s="490" t="s">
        <v>2265</v>
      </c>
      <c r="F13" s="490" t="s">
        <v>2266</v>
      </c>
      <c r="G13" s="2160"/>
      <c r="H13" s="2160"/>
      <c r="I13" s="2160"/>
      <c r="J13" s="2160"/>
      <c r="K13" s="490" t="s">
        <v>2265</v>
      </c>
      <c r="L13" s="490" t="s">
        <v>2266</v>
      </c>
    </row>
    <row r="14" spans="1:13" s="489" customFormat="1" ht="33" customHeight="1">
      <c r="A14" s="491" t="s">
        <v>525</v>
      </c>
      <c r="B14" s="492" t="s">
        <v>2267</v>
      </c>
      <c r="C14" s="493"/>
      <c r="D14" s="493"/>
      <c r="E14" s="494"/>
      <c r="F14" s="495"/>
      <c r="G14" s="491" t="s">
        <v>525</v>
      </c>
      <c r="H14" s="492" t="s">
        <v>2267</v>
      </c>
      <c r="I14" s="493"/>
      <c r="J14" s="493"/>
      <c r="K14" s="494"/>
      <c r="L14" s="495"/>
      <c r="M14" s="489" t="str">
        <f>IF(B14=H14,"DDDDDDDĐ","SSSSSSSSSSSS")</f>
        <v>DDDDDDDĐ</v>
      </c>
    </row>
    <row r="15" spans="1:13" s="489" customFormat="1" ht="15.75" customHeight="1">
      <c r="A15" s="496"/>
      <c r="B15" s="497" t="s">
        <v>2268</v>
      </c>
      <c r="C15" s="498"/>
      <c r="D15" s="498"/>
      <c r="E15" s="499"/>
      <c r="F15" s="500"/>
      <c r="G15" s="496"/>
      <c r="H15" s="497" t="s">
        <v>2268</v>
      </c>
      <c r="I15" s="498"/>
      <c r="J15" s="498"/>
      <c r="K15" s="499"/>
      <c r="L15" s="500"/>
      <c r="M15" s="489" t="str">
        <f t="shared" ref="M15:M35" si="0">IF(B15=H15,"DDDDDDDĐ","SSSSSSSSSSSS")</f>
        <v>DDDDDDDĐ</v>
      </c>
    </row>
    <row r="16" spans="1:13" s="489" customFormat="1" ht="18.600000000000001" customHeight="1">
      <c r="A16" s="501"/>
      <c r="B16" s="502" t="s">
        <v>2269</v>
      </c>
      <c r="C16" s="503"/>
      <c r="D16" s="503"/>
      <c r="E16" s="1008"/>
      <c r="F16" s="504"/>
      <c r="G16" s="501"/>
      <c r="H16" s="502" t="s">
        <v>2269</v>
      </c>
      <c r="I16" s="503"/>
      <c r="J16" s="503"/>
      <c r="K16" s="1008"/>
      <c r="L16" s="504"/>
      <c r="M16" s="489" t="str">
        <f t="shared" si="0"/>
        <v>DDDDDDDĐ</v>
      </c>
    </row>
    <row r="17" spans="1:13" s="489" customFormat="1" ht="18.600000000000001" customHeight="1">
      <c r="A17" s="505">
        <v>1</v>
      </c>
      <c r="B17" s="506" t="s">
        <v>2270</v>
      </c>
      <c r="C17" s="507" t="s">
        <v>5256</v>
      </c>
      <c r="D17" s="1432">
        <v>192000</v>
      </c>
      <c r="E17" s="509"/>
      <c r="F17" s="509"/>
      <c r="G17" s="505">
        <v>1</v>
      </c>
      <c r="H17" s="506" t="s">
        <v>2270</v>
      </c>
      <c r="I17" s="507" t="s">
        <v>5256</v>
      </c>
      <c r="J17" s="508">
        <v>192000</v>
      </c>
      <c r="K17" s="509"/>
      <c r="L17" s="509"/>
      <c r="M17" s="489" t="str">
        <f t="shared" si="0"/>
        <v>DDDDDDDĐ</v>
      </c>
    </row>
    <row r="18" spans="1:13" s="489" customFormat="1" ht="18.600000000000001" customHeight="1">
      <c r="A18" s="505">
        <v>2</v>
      </c>
      <c r="B18" s="506" t="s">
        <v>2271</v>
      </c>
      <c r="C18" s="507" t="s">
        <v>5256</v>
      </c>
      <c r="D18" s="1432">
        <v>154000</v>
      </c>
      <c r="E18" s="509"/>
      <c r="F18" s="509"/>
      <c r="G18" s="505">
        <v>2</v>
      </c>
      <c r="H18" s="506" t="s">
        <v>2271</v>
      </c>
      <c r="I18" s="507" t="s">
        <v>5256</v>
      </c>
      <c r="J18" s="508">
        <v>154000</v>
      </c>
      <c r="K18" s="509"/>
      <c r="L18" s="509"/>
      <c r="M18" s="489" t="str">
        <f t="shared" si="0"/>
        <v>DDDDDDDĐ</v>
      </c>
    </row>
    <row r="19" spans="1:13" s="489" customFormat="1" ht="18.600000000000001" customHeight="1">
      <c r="A19" s="505">
        <v>3</v>
      </c>
      <c r="B19" s="506" t="s">
        <v>2272</v>
      </c>
      <c r="C19" s="507" t="s">
        <v>5256</v>
      </c>
      <c r="D19" s="508">
        <v>154000</v>
      </c>
      <c r="E19" s="509"/>
      <c r="F19" s="509"/>
      <c r="G19" s="505">
        <v>3</v>
      </c>
      <c r="H19" s="506" t="s">
        <v>2272</v>
      </c>
      <c r="I19" s="507" t="s">
        <v>5256</v>
      </c>
      <c r="J19" s="508">
        <v>154000</v>
      </c>
      <c r="K19" s="509"/>
      <c r="L19" s="509"/>
      <c r="M19" s="489" t="str">
        <f t="shared" si="0"/>
        <v>DDDDDDDĐ</v>
      </c>
    </row>
    <row r="20" spans="1:13" s="489" customFormat="1" ht="18.600000000000001" customHeight="1">
      <c r="A20" s="505">
        <v>4</v>
      </c>
      <c r="B20" s="506" t="s">
        <v>2273</v>
      </c>
      <c r="C20" s="507" t="s">
        <v>5256</v>
      </c>
      <c r="D20" s="508">
        <v>161000</v>
      </c>
      <c r="E20" s="509"/>
      <c r="F20" s="509"/>
      <c r="G20" s="505">
        <v>4</v>
      </c>
      <c r="H20" s="506" t="s">
        <v>2273</v>
      </c>
      <c r="I20" s="507" t="s">
        <v>5256</v>
      </c>
      <c r="J20" s="508">
        <v>161000</v>
      </c>
      <c r="K20" s="509"/>
      <c r="L20" s="509"/>
      <c r="M20" s="489" t="str">
        <f t="shared" si="0"/>
        <v>DDDDDDDĐ</v>
      </c>
    </row>
    <row r="21" spans="1:13" s="489" customFormat="1" ht="18.600000000000001" customHeight="1">
      <c r="A21" s="505">
        <v>5</v>
      </c>
      <c r="B21" s="506" t="s">
        <v>2274</v>
      </c>
      <c r="C21" s="507" t="s">
        <v>5256</v>
      </c>
      <c r="D21" s="1432">
        <v>137000</v>
      </c>
      <c r="E21" s="509"/>
      <c r="F21" s="509"/>
      <c r="G21" s="505">
        <v>5</v>
      </c>
      <c r="H21" s="506" t="s">
        <v>2274</v>
      </c>
      <c r="I21" s="507" t="s">
        <v>5256</v>
      </c>
      <c r="J21" s="508">
        <v>137000</v>
      </c>
      <c r="K21" s="509"/>
      <c r="L21" s="509"/>
      <c r="M21" s="489" t="str">
        <f t="shared" si="0"/>
        <v>DDDDDDDĐ</v>
      </c>
    </row>
    <row r="22" spans="1:13" s="489" customFormat="1" ht="18.600000000000001" customHeight="1">
      <c r="A22" s="505">
        <v>6</v>
      </c>
      <c r="B22" s="506" t="s">
        <v>2275</v>
      </c>
      <c r="C22" s="507" t="s">
        <v>5256</v>
      </c>
      <c r="D22" s="508">
        <v>62000</v>
      </c>
      <c r="E22" s="509"/>
      <c r="F22" s="509"/>
      <c r="G22" s="505">
        <v>6</v>
      </c>
      <c r="H22" s="506" t="s">
        <v>2275</v>
      </c>
      <c r="I22" s="507" t="s">
        <v>5256</v>
      </c>
      <c r="J22" s="508">
        <v>62000</v>
      </c>
      <c r="K22" s="509"/>
      <c r="L22" s="509"/>
      <c r="M22" s="489" t="str">
        <f t="shared" si="0"/>
        <v>DDDDDDDĐ</v>
      </c>
    </row>
    <row r="23" spans="1:13" s="489" customFormat="1" ht="18.600000000000001" customHeight="1">
      <c r="A23" s="505">
        <v>7</v>
      </c>
      <c r="B23" s="506" t="s">
        <v>2276</v>
      </c>
      <c r="C23" s="507" t="s">
        <v>5256</v>
      </c>
      <c r="D23" s="1432">
        <v>127000</v>
      </c>
      <c r="E23" s="509"/>
      <c r="F23" s="509"/>
      <c r="G23" s="505">
        <v>7</v>
      </c>
      <c r="H23" s="506" t="s">
        <v>2276</v>
      </c>
      <c r="I23" s="507" t="s">
        <v>5256</v>
      </c>
      <c r="J23" s="508">
        <v>127000</v>
      </c>
      <c r="K23" s="509"/>
      <c r="L23" s="509"/>
      <c r="M23" s="489" t="str">
        <f t="shared" si="0"/>
        <v>DDDDDDDĐ</v>
      </c>
    </row>
    <row r="24" spans="1:13" s="489" customFormat="1" ht="18.600000000000001" customHeight="1">
      <c r="A24" s="505">
        <v>8</v>
      </c>
      <c r="B24" s="506" t="s">
        <v>2277</v>
      </c>
      <c r="C24" s="507" t="s">
        <v>5256</v>
      </c>
      <c r="D24" s="508">
        <v>77000</v>
      </c>
      <c r="E24" s="509"/>
      <c r="F24" s="509"/>
      <c r="G24" s="505">
        <v>8</v>
      </c>
      <c r="H24" s="506" t="s">
        <v>2277</v>
      </c>
      <c r="I24" s="507" t="s">
        <v>5256</v>
      </c>
      <c r="J24" s="508">
        <v>77000</v>
      </c>
      <c r="K24" s="509"/>
      <c r="L24" s="509"/>
      <c r="M24" s="489" t="str">
        <f t="shared" si="0"/>
        <v>DDDDDDDĐ</v>
      </c>
    </row>
    <row r="25" spans="1:13" s="489" customFormat="1" ht="18.600000000000001" customHeight="1">
      <c r="A25" s="505">
        <v>9</v>
      </c>
      <c r="B25" s="506" t="s">
        <v>2278</v>
      </c>
      <c r="C25" s="507" t="s">
        <v>5256</v>
      </c>
      <c r="D25" s="508">
        <v>52000</v>
      </c>
      <c r="E25" s="509"/>
      <c r="F25" s="509"/>
      <c r="G25" s="505">
        <v>9</v>
      </c>
      <c r="H25" s="506" t="s">
        <v>2278</v>
      </c>
      <c r="I25" s="507" t="s">
        <v>5256</v>
      </c>
      <c r="J25" s="508">
        <v>52000</v>
      </c>
      <c r="K25" s="509"/>
      <c r="L25" s="509"/>
      <c r="M25" s="489" t="str">
        <f t="shared" si="0"/>
        <v>DDDDDDDĐ</v>
      </c>
    </row>
    <row r="26" spans="1:13" s="489" customFormat="1" ht="18.600000000000001" customHeight="1">
      <c r="A26" s="505"/>
      <c r="B26" s="497" t="s">
        <v>2279</v>
      </c>
      <c r="C26" s="510"/>
      <c r="D26" s="508"/>
      <c r="E26" s="509"/>
      <c r="F26" s="509"/>
      <c r="G26" s="505"/>
      <c r="H26" s="497" t="s">
        <v>2279</v>
      </c>
      <c r="I26" s="510"/>
      <c r="J26" s="508"/>
      <c r="K26" s="509"/>
      <c r="L26" s="509"/>
      <c r="M26" s="489" t="str">
        <f t="shared" si="0"/>
        <v>DDDDDDDĐ</v>
      </c>
    </row>
    <row r="27" spans="1:13" s="489" customFormat="1" ht="18.600000000000001" customHeight="1">
      <c r="A27" s="501"/>
      <c r="B27" s="502" t="s">
        <v>2280</v>
      </c>
      <c r="C27" s="510"/>
      <c r="D27" s="508"/>
      <c r="E27" s="511"/>
      <c r="F27" s="504"/>
      <c r="G27" s="501"/>
      <c r="H27" s="502" t="s">
        <v>2280</v>
      </c>
      <c r="I27" s="510"/>
      <c r="J27" s="508"/>
      <c r="K27" s="511"/>
      <c r="L27" s="504"/>
      <c r="M27" s="489" t="str">
        <f t="shared" si="0"/>
        <v>DDDDDDDĐ</v>
      </c>
    </row>
    <row r="28" spans="1:13" s="489" customFormat="1" ht="18.600000000000001" customHeight="1">
      <c r="A28" s="501">
        <v>10</v>
      </c>
      <c r="B28" s="506" t="s">
        <v>2281</v>
      </c>
      <c r="C28" s="507" t="s">
        <v>5256</v>
      </c>
      <c r="D28" s="508">
        <v>200000</v>
      </c>
      <c r="E28" s="509"/>
      <c r="F28" s="509"/>
      <c r="G28" s="501">
        <v>10</v>
      </c>
      <c r="H28" s="506" t="s">
        <v>2281</v>
      </c>
      <c r="I28" s="507" t="s">
        <v>5256</v>
      </c>
      <c r="J28" s="508">
        <v>200000</v>
      </c>
      <c r="K28" s="509"/>
      <c r="L28" s="509"/>
      <c r="M28" s="489" t="str">
        <f t="shared" si="0"/>
        <v>DDDDDDDĐ</v>
      </c>
    </row>
    <row r="29" spans="1:13" s="489" customFormat="1" ht="18.600000000000001" customHeight="1">
      <c r="A29" s="501">
        <v>11</v>
      </c>
      <c r="B29" s="506" t="s">
        <v>2282</v>
      </c>
      <c r="C29" s="507" t="s">
        <v>5256</v>
      </c>
      <c r="D29" s="508">
        <v>190000</v>
      </c>
      <c r="E29" s="509"/>
      <c r="F29" s="509"/>
      <c r="G29" s="501">
        <v>11</v>
      </c>
      <c r="H29" s="506" t="s">
        <v>2282</v>
      </c>
      <c r="I29" s="507" t="s">
        <v>5256</v>
      </c>
      <c r="J29" s="508">
        <v>190000</v>
      </c>
      <c r="K29" s="509"/>
      <c r="L29" s="509"/>
      <c r="M29" s="489" t="str">
        <f t="shared" si="0"/>
        <v>DDDDDDDĐ</v>
      </c>
    </row>
    <row r="30" spans="1:13" s="489" customFormat="1" ht="18.600000000000001" customHeight="1">
      <c r="A30" s="501">
        <v>12</v>
      </c>
      <c r="B30" s="506" t="s">
        <v>3808</v>
      </c>
      <c r="C30" s="507" t="s">
        <v>5256</v>
      </c>
      <c r="D30" s="508">
        <v>180000</v>
      </c>
      <c r="E30" s="509"/>
      <c r="F30" s="509"/>
      <c r="G30" s="501">
        <v>12</v>
      </c>
      <c r="H30" s="506" t="s">
        <v>3808</v>
      </c>
      <c r="I30" s="507" t="s">
        <v>5256</v>
      </c>
      <c r="J30" s="508">
        <v>180000</v>
      </c>
      <c r="K30" s="509"/>
      <c r="L30" s="509"/>
      <c r="M30" s="489" t="str">
        <f t="shared" si="0"/>
        <v>DDDDDDDĐ</v>
      </c>
    </row>
    <row r="31" spans="1:13" s="489" customFormat="1" ht="18.600000000000001" customHeight="1">
      <c r="A31" s="501">
        <v>13</v>
      </c>
      <c r="B31" s="506" t="s">
        <v>3809</v>
      </c>
      <c r="C31" s="507" t="s">
        <v>5256</v>
      </c>
      <c r="D31" s="508">
        <v>152000</v>
      </c>
      <c r="E31" s="509"/>
      <c r="F31" s="509"/>
      <c r="G31" s="501">
        <v>13</v>
      </c>
      <c r="H31" s="506" t="s">
        <v>3809</v>
      </c>
      <c r="I31" s="507" t="s">
        <v>5256</v>
      </c>
      <c r="J31" s="508">
        <v>152000</v>
      </c>
      <c r="K31" s="509"/>
      <c r="L31" s="509"/>
      <c r="M31" s="489" t="str">
        <f t="shared" si="0"/>
        <v>DDDDDDDĐ</v>
      </c>
    </row>
    <row r="32" spans="1:13" s="489" customFormat="1" ht="18.600000000000001" customHeight="1">
      <c r="A32" s="501">
        <v>14</v>
      </c>
      <c r="B32" s="506" t="s">
        <v>2283</v>
      </c>
      <c r="C32" s="507" t="s">
        <v>5256</v>
      </c>
      <c r="D32" s="508">
        <v>157000</v>
      </c>
      <c r="E32" s="509"/>
      <c r="F32" s="509"/>
      <c r="G32" s="501">
        <v>14</v>
      </c>
      <c r="H32" s="506" t="s">
        <v>2283</v>
      </c>
      <c r="I32" s="507" t="s">
        <v>5256</v>
      </c>
      <c r="J32" s="508">
        <v>157000</v>
      </c>
      <c r="K32" s="509"/>
      <c r="L32" s="509"/>
      <c r="M32" s="489" t="str">
        <f t="shared" si="0"/>
        <v>DDDDDDDĐ</v>
      </c>
    </row>
    <row r="33" spans="1:13" s="489" customFormat="1" ht="18.600000000000001" customHeight="1">
      <c r="A33" s="501">
        <v>15</v>
      </c>
      <c r="B33" s="506" t="s">
        <v>3500</v>
      </c>
      <c r="C33" s="507" t="s">
        <v>5256</v>
      </c>
      <c r="D33" s="508">
        <v>130000</v>
      </c>
      <c r="E33" s="509"/>
      <c r="F33" s="509"/>
      <c r="G33" s="501">
        <v>15</v>
      </c>
      <c r="H33" s="506" t="s">
        <v>3500</v>
      </c>
      <c r="I33" s="507" t="s">
        <v>5256</v>
      </c>
      <c r="J33" s="508">
        <v>130000</v>
      </c>
      <c r="K33" s="509"/>
      <c r="L33" s="509"/>
      <c r="M33" s="489" t="str">
        <f t="shared" si="0"/>
        <v>DDDDDDDĐ</v>
      </c>
    </row>
    <row r="34" spans="1:13" s="489" customFormat="1" ht="18.600000000000001" customHeight="1">
      <c r="A34" s="501">
        <v>16</v>
      </c>
      <c r="B34" s="506" t="s">
        <v>3501</v>
      </c>
      <c r="C34" s="507" t="s">
        <v>5256</v>
      </c>
      <c r="D34" s="508">
        <v>138000</v>
      </c>
      <c r="E34" s="509"/>
      <c r="F34" s="509"/>
      <c r="G34" s="501">
        <v>16</v>
      </c>
      <c r="H34" s="506" t="s">
        <v>3501</v>
      </c>
      <c r="I34" s="507" t="s">
        <v>5256</v>
      </c>
      <c r="J34" s="508">
        <v>138000</v>
      </c>
      <c r="K34" s="509"/>
      <c r="L34" s="509"/>
      <c r="M34" s="489" t="str">
        <f t="shared" si="0"/>
        <v>DDDDDDDĐ</v>
      </c>
    </row>
    <row r="35" spans="1:13" s="489" customFormat="1" ht="18.600000000000001" customHeight="1">
      <c r="A35" s="501">
        <v>17</v>
      </c>
      <c r="B35" s="506" t="s">
        <v>3502</v>
      </c>
      <c r="C35" s="507" t="s">
        <v>5256</v>
      </c>
      <c r="D35" s="508">
        <v>108000</v>
      </c>
      <c r="E35" s="509"/>
      <c r="F35" s="509"/>
      <c r="G35" s="501">
        <v>17</v>
      </c>
      <c r="H35" s="506" t="s">
        <v>3502</v>
      </c>
      <c r="I35" s="507" t="s">
        <v>5256</v>
      </c>
      <c r="J35" s="508">
        <v>108000</v>
      </c>
      <c r="K35" s="509"/>
      <c r="L35" s="509"/>
      <c r="M35" s="489" t="str">
        <f t="shared" si="0"/>
        <v>DDDDDDDĐ</v>
      </c>
    </row>
    <row r="36" spans="1:13" s="489" customFormat="1" ht="18.600000000000001" customHeight="1">
      <c r="A36" s="501">
        <v>18</v>
      </c>
      <c r="B36" s="506" t="s">
        <v>2284</v>
      </c>
      <c r="C36" s="507" t="s">
        <v>5256</v>
      </c>
      <c r="D36" s="508">
        <v>115000</v>
      </c>
      <c r="E36" s="509"/>
      <c r="F36" s="509"/>
      <c r="G36" s="501">
        <v>18</v>
      </c>
      <c r="H36" s="506" t="s">
        <v>2284</v>
      </c>
      <c r="I36" s="507" t="s">
        <v>5256</v>
      </c>
      <c r="J36" s="508">
        <v>115000</v>
      </c>
      <c r="K36" s="509"/>
      <c r="L36" s="509"/>
      <c r="M36" s="489" t="str">
        <f t="shared" ref="M36:M99" si="1">IF(B36=H36,"DDDDDDDĐ","SSSSSSSSSSSS")</f>
        <v>DDDDDDDĐ</v>
      </c>
    </row>
    <row r="37" spans="1:13" s="489" customFormat="1" ht="18.600000000000001" customHeight="1">
      <c r="A37" s="501">
        <v>19</v>
      </c>
      <c r="B37" s="506" t="s">
        <v>2285</v>
      </c>
      <c r="C37" s="507" t="s">
        <v>5256</v>
      </c>
      <c r="D37" s="508">
        <v>95000</v>
      </c>
      <c r="E37" s="509"/>
      <c r="F37" s="509"/>
      <c r="G37" s="501">
        <v>19</v>
      </c>
      <c r="H37" s="506" t="s">
        <v>2285</v>
      </c>
      <c r="I37" s="507" t="s">
        <v>5256</v>
      </c>
      <c r="J37" s="508">
        <v>95000</v>
      </c>
      <c r="K37" s="509"/>
      <c r="L37" s="509"/>
      <c r="M37" s="489" t="str">
        <f t="shared" si="1"/>
        <v>DDDDDDDĐ</v>
      </c>
    </row>
    <row r="38" spans="1:13" s="489" customFormat="1" ht="18.600000000000001" customHeight="1">
      <c r="A38" s="501">
        <v>20</v>
      </c>
      <c r="B38" s="506" t="s">
        <v>2286</v>
      </c>
      <c r="C38" s="507" t="s">
        <v>5256</v>
      </c>
      <c r="D38" s="508">
        <v>50000</v>
      </c>
      <c r="E38" s="509"/>
      <c r="F38" s="509"/>
      <c r="G38" s="501">
        <v>20</v>
      </c>
      <c r="H38" s="506" t="s">
        <v>2286</v>
      </c>
      <c r="I38" s="507" t="s">
        <v>5256</v>
      </c>
      <c r="J38" s="508">
        <v>50000</v>
      </c>
      <c r="K38" s="509"/>
      <c r="L38" s="509"/>
      <c r="M38" s="489" t="str">
        <f t="shared" si="1"/>
        <v>DDDDDDDĐ</v>
      </c>
    </row>
    <row r="39" spans="1:13" s="489" customFormat="1" ht="18.600000000000001" customHeight="1">
      <c r="A39" s="501">
        <v>21</v>
      </c>
      <c r="B39" s="506" t="s">
        <v>2287</v>
      </c>
      <c r="C39" s="507" t="s">
        <v>5256</v>
      </c>
      <c r="D39" s="508">
        <v>55000</v>
      </c>
      <c r="E39" s="509"/>
      <c r="F39" s="509"/>
      <c r="G39" s="501">
        <v>21</v>
      </c>
      <c r="H39" s="506" t="s">
        <v>2287</v>
      </c>
      <c r="I39" s="507" t="s">
        <v>5256</v>
      </c>
      <c r="J39" s="508">
        <v>55000</v>
      </c>
      <c r="K39" s="509"/>
      <c r="L39" s="509"/>
      <c r="M39" s="489" t="str">
        <f t="shared" si="1"/>
        <v>DDDDDDDĐ</v>
      </c>
    </row>
    <row r="40" spans="1:13" s="489" customFormat="1" ht="18.600000000000001" customHeight="1">
      <c r="A40" s="501">
        <v>22</v>
      </c>
      <c r="B40" s="506" t="s">
        <v>2288</v>
      </c>
      <c r="C40" s="507" t="s">
        <v>5256</v>
      </c>
      <c r="D40" s="508">
        <v>60000</v>
      </c>
      <c r="E40" s="509"/>
      <c r="F40" s="509"/>
      <c r="G40" s="501">
        <v>22</v>
      </c>
      <c r="H40" s="506" t="s">
        <v>2288</v>
      </c>
      <c r="I40" s="507" t="s">
        <v>5256</v>
      </c>
      <c r="J40" s="508">
        <v>60000</v>
      </c>
      <c r="K40" s="509"/>
      <c r="L40" s="509"/>
      <c r="M40" s="489" t="str">
        <f t="shared" si="1"/>
        <v>DDDDDDDĐ</v>
      </c>
    </row>
    <row r="41" spans="1:13" s="489" customFormat="1" ht="18.600000000000001" customHeight="1">
      <c r="A41" s="501">
        <v>23</v>
      </c>
      <c r="B41" s="506" t="s">
        <v>2289</v>
      </c>
      <c r="C41" s="507" t="s">
        <v>5256</v>
      </c>
      <c r="D41" s="508">
        <v>50000</v>
      </c>
      <c r="E41" s="509"/>
      <c r="F41" s="509"/>
      <c r="G41" s="501">
        <v>23</v>
      </c>
      <c r="H41" s="506" t="s">
        <v>2289</v>
      </c>
      <c r="I41" s="507" t="s">
        <v>5256</v>
      </c>
      <c r="J41" s="508">
        <v>50000</v>
      </c>
      <c r="K41" s="509"/>
      <c r="L41" s="509"/>
      <c r="M41" s="489" t="str">
        <f t="shared" si="1"/>
        <v>DDDDDDDĐ</v>
      </c>
    </row>
    <row r="42" spans="1:13" s="489" customFormat="1" ht="18.600000000000001" customHeight="1">
      <c r="A42" s="505"/>
      <c r="B42" s="502" t="s">
        <v>2290</v>
      </c>
      <c r="C42" s="503"/>
      <c r="D42" s="508"/>
      <c r="E42" s="512"/>
      <c r="F42" s="504"/>
      <c r="G42" s="505"/>
      <c r="H42" s="502" t="s">
        <v>2290</v>
      </c>
      <c r="I42" s="503"/>
      <c r="J42" s="508"/>
      <c r="K42" s="512"/>
      <c r="L42" s="504"/>
      <c r="M42" s="489" t="str">
        <f t="shared" si="1"/>
        <v>DDDDDDDĐ</v>
      </c>
    </row>
    <row r="43" spans="1:13" s="489" customFormat="1" ht="18.600000000000001" customHeight="1">
      <c r="A43" s="505">
        <v>24</v>
      </c>
      <c r="B43" s="506" t="s">
        <v>2291</v>
      </c>
      <c r="C43" s="507" t="s">
        <v>5256</v>
      </c>
      <c r="D43" s="508">
        <v>215000</v>
      </c>
      <c r="E43" s="509"/>
      <c r="F43" s="509"/>
      <c r="G43" s="505">
        <v>24</v>
      </c>
      <c r="H43" s="506" t="s">
        <v>2291</v>
      </c>
      <c r="I43" s="507" t="s">
        <v>5256</v>
      </c>
      <c r="J43" s="508">
        <v>215000</v>
      </c>
      <c r="K43" s="509"/>
      <c r="L43" s="509"/>
      <c r="M43" s="489" t="str">
        <f t="shared" si="1"/>
        <v>DDDDDDDĐ</v>
      </c>
    </row>
    <row r="44" spans="1:13" s="489" customFormat="1" ht="18.95" customHeight="1">
      <c r="A44" s="505">
        <v>25</v>
      </c>
      <c r="B44" s="506" t="s">
        <v>2292</v>
      </c>
      <c r="C44" s="507" t="s">
        <v>5256</v>
      </c>
      <c r="D44" s="1432">
        <v>205000</v>
      </c>
      <c r="E44" s="509"/>
      <c r="F44" s="509"/>
      <c r="G44" s="505">
        <v>25</v>
      </c>
      <c r="H44" s="506" t="s">
        <v>2292</v>
      </c>
      <c r="I44" s="507" t="s">
        <v>5256</v>
      </c>
      <c r="J44" s="508">
        <v>205000</v>
      </c>
      <c r="K44" s="509"/>
      <c r="L44" s="509"/>
      <c r="M44" s="489" t="str">
        <f t="shared" si="1"/>
        <v>DDDDDDDĐ</v>
      </c>
    </row>
    <row r="45" spans="1:13" s="489" customFormat="1" ht="18" customHeight="1">
      <c r="A45" s="505">
        <v>26</v>
      </c>
      <c r="B45" s="506" t="s">
        <v>2293</v>
      </c>
      <c r="C45" s="507" t="s">
        <v>5256</v>
      </c>
      <c r="D45" s="508">
        <v>185000</v>
      </c>
      <c r="E45" s="509"/>
      <c r="F45" s="509"/>
      <c r="G45" s="505">
        <v>26</v>
      </c>
      <c r="H45" s="506" t="s">
        <v>2293</v>
      </c>
      <c r="I45" s="507" t="s">
        <v>5256</v>
      </c>
      <c r="J45" s="508">
        <v>185000</v>
      </c>
      <c r="K45" s="509"/>
      <c r="L45" s="509"/>
      <c r="M45" s="489" t="str">
        <f t="shared" si="1"/>
        <v>DDDDDDDĐ</v>
      </c>
    </row>
    <row r="46" spans="1:13" s="489" customFormat="1" ht="18" customHeight="1">
      <c r="A46" s="505">
        <v>27</v>
      </c>
      <c r="B46" s="506" t="s">
        <v>2294</v>
      </c>
      <c r="C46" s="507" t="s">
        <v>5256</v>
      </c>
      <c r="D46" s="1432">
        <v>165000</v>
      </c>
      <c r="E46" s="509"/>
      <c r="F46" s="509"/>
      <c r="G46" s="505">
        <v>27</v>
      </c>
      <c r="H46" s="506" t="s">
        <v>2294</v>
      </c>
      <c r="I46" s="507" t="s">
        <v>5256</v>
      </c>
      <c r="J46" s="508">
        <v>165000</v>
      </c>
      <c r="K46" s="509"/>
      <c r="L46" s="509"/>
      <c r="M46" s="489" t="str">
        <f t="shared" si="1"/>
        <v>DDDDDDDĐ</v>
      </c>
    </row>
    <row r="47" spans="1:13" s="489" customFormat="1" ht="18" customHeight="1">
      <c r="A47" s="505">
        <v>28</v>
      </c>
      <c r="B47" s="506" t="s">
        <v>2295</v>
      </c>
      <c r="C47" s="507" t="s">
        <v>5256</v>
      </c>
      <c r="D47" s="508">
        <v>162000</v>
      </c>
      <c r="E47" s="509"/>
      <c r="F47" s="509"/>
      <c r="G47" s="505">
        <v>28</v>
      </c>
      <c r="H47" s="506" t="s">
        <v>2295</v>
      </c>
      <c r="I47" s="507" t="s">
        <v>5256</v>
      </c>
      <c r="J47" s="508">
        <v>162000</v>
      </c>
      <c r="K47" s="509"/>
      <c r="L47" s="509"/>
      <c r="M47" s="489" t="str">
        <f t="shared" si="1"/>
        <v>DDDDDDDĐ</v>
      </c>
    </row>
    <row r="48" spans="1:13" s="489" customFormat="1" ht="18" customHeight="1">
      <c r="A48" s="505">
        <v>29</v>
      </c>
      <c r="B48" s="506" t="s">
        <v>2296</v>
      </c>
      <c r="C48" s="507" t="s">
        <v>5256</v>
      </c>
      <c r="D48" s="1432">
        <v>145000</v>
      </c>
      <c r="E48" s="509"/>
      <c r="F48" s="509"/>
      <c r="G48" s="505">
        <v>29</v>
      </c>
      <c r="H48" s="506" t="s">
        <v>2296</v>
      </c>
      <c r="I48" s="507" t="s">
        <v>5256</v>
      </c>
      <c r="J48" s="508">
        <v>145000</v>
      </c>
      <c r="K48" s="509"/>
      <c r="L48" s="509"/>
      <c r="M48" s="489" t="str">
        <f t="shared" si="1"/>
        <v>DDDDDDDĐ</v>
      </c>
    </row>
    <row r="49" spans="1:13" s="489" customFormat="1" ht="18" customHeight="1">
      <c r="A49" s="505">
        <v>30</v>
      </c>
      <c r="B49" s="506" t="s">
        <v>2297</v>
      </c>
      <c r="C49" s="507" t="s">
        <v>5256</v>
      </c>
      <c r="D49" s="1432">
        <v>127000</v>
      </c>
      <c r="E49" s="509"/>
      <c r="F49" s="509"/>
      <c r="G49" s="505">
        <v>30</v>
      </c>
      <c r="H49" s="506" t="s">
        <v>2297</v>
      </c>
      <c r="I49" s="507" t="s">
        <v>5256</v>
      </c>
      <c r="J49" s="508">
        <v>127000</v>
      </c>
      <c r="K49" s="509"/>
      <c r="L49" s="509"/>
      <c r="M49" s="489" t="str">
        <f t="shared" si="1"/>
        <v>DDDDDDDĐ</v>
      </c>
    </row>
    <row r="50" spans="1:13" s="489" customFormat="1" ht="18" customHeight="1">
      <c r="A50" s="505">
        <v>31</v>
      </c>
      <c r="B50" s="506" t="s">
        <v>2298</v>
      </c>
      <c r="C50" s="507" t="s">
        <v>5256</v>
      </c>
      <c r="D50" s="508">
        <v>153000</v>
      </c>
      <c r="E50" s="509"/>
      <c r="F50" s="509"/>
      <c r="G50" s="505">
        <v>31</v>
      </c>
      <c r="H50" s="506" t="s">
        <v>2298</v>
      </c>
      <c r="I50" s="507" t="s">
        <v>5256</v>
      </c>
      <c r="J50" s="508">
        <v>153000</v>
      </c>
      <c r="K50" s="509"/>
      <c r="L50" s="509"/>
      <c r="M50" s="489" t="str">
        <f t="shared" si="1"/>
        <v>DDDDDDDĐ</v>
      </c>
    </row>
    <row r="51" spans="1:13" s="489" customFormat="1" ht="18" customHeight="1">
      <c r="A51" s="505">
        <v>32</v>
      </c>
      <c r="B51" s="506" t="s">
        <v>2299</v>
      </c>
      <c r="C51" s="507" t="s">
        <v>5256</v>
      </c>
      <c r="D51" s="508">
        <v>145000</v>
      </c>
      <c r="E51" s="509"/>
      <c r="F51" s="509"/>
      <c r="G51" s="505">
        <v>32</v>
      </c>
      <c r="H51" s="506" t="s">
        <v>2299</v>
      </c>
      <c r="I51" s="507" t="s">
        <v>5256</v>
      </c>
      <c r="J51" s="508">
        <v>145000</v>
      </c>
      <c r="K51" s="509"/>
      <c r="L51" s="509"/>
      <c r="M51" s="489" t="str">
        <f t="shared" si="1"/>
        <v>DDDDDDDĐ</v>
      </c>
    </row>
    <row r="52" spans="1:13" s="489" customFormat="1" ht="18" customHeight="1">
      <c r="A52" s="505">
        <v>33</v>
      </c>
      <c r="B52" s="506" t="s">
        <v>2300</v>
      </c>
      <c r="C52" s="507" t="s">
        <v>5256</v>
      </c>
      <c r="D52" s="508">
        <v>115000</v>
      </c>
      <c r="E52" s="509"/>
      <c r="F52" s="509"/>
      <c r="G52" s="505">
        <v>33</v>
      </c>
      <c r="H52" s="506" t="s">
        <v>2300</v>
      </c>
      <c r="I52" s="507" t="s">
        <v>5256</v>
      </c>
      <c r="J52" s="508">
        <v>115000</v>
      </c>
      <c r="K52" s="509"/>
      <c r="L52" s="509"/>
      <c r="M52" s="489" t="str">
        <f t="shared" si="1"/>
        <v>DDDDDDDĐ</v>
      </c>
    </row>
    <row r="53" spans="1:13" s="489" customFormat="1" ht="18" customHeight="1">
      <c r="A53" s="505">
        <v>34</v>
      </c>
      <c r="B53" s="506" t="s">
        <v>2301</v>
      </c>
      <c r="C53" s="507" t="s">
        <v>5256</v>
      </c>
      <c r="D53" s="508">
        <v>143000</v>
      </c>
      <c r="E53" s="509"/>
      <c r="F53" s="509"/>
      <c r="G53" s="505">
        <v>34</v>
      </c>
      <c r="H53" s="506" t="s">
        <v>2301</v>
      </c>
      <c r="I53" s="507" t="s">
        <v>5256</v>
      </c>
      <c r="J53" s="508">
        <v>143000</v>
      </c>
      <c r="K53" s="509"/>
      <c r="L53" s="509"/>
      <c r="M53" s="489" t="str">
        <f t="shared" si="1"/>
        <v>DDDDDDDĐ</v>
      </c>
    </row>
    <row r="54" spans="1:13" s="489" customFormat="1" ht="18" customHeight="1">
      <c r="A54" s="505">
        <v>35</v>
      </c>
      <c r="B54" s="506" t="s">
        <v>3669</v>
      </c>
      <c r="C54" s="507" t="s">
        <v>5256</v>
      </c>
      <c r="D54" s="508">
        <v>225000</v>
      </c>
      <c r="E54" s="509"/>
      <c r="F54" s="509"/>
      <c r="G54" s="505">
        <v>35</v>
      </c>
      <c r="H54" s="506" t="s">
        <v>3669</v>
      </c>
      <c r="I54" s="507" t="s">
        <v>5256</v>
      </c>
      <c r="J54" s="508">
        <v>225000</v>
      </c>
      <c r="K54" s="509"/>
      <c r="L54" s="509"/>
      <c r="M54" s="489" t="str">
        <f t="shared" si="1"/>
        <v>DDDDDDDĐ</v>
      </c>
    </row>
    <row r="55" spans="1:13" s="489" customFormat="1" ht="18" customHeight="1">
      <c r="A55" s="505">
        <v>36</v>
      </c>
      <c r="B55" s="506" t="s">
        <v>2302</v>
      </c>
      <c r="C55" s="507" t="s">
        <v>5256</v>
      </c>
      <c r="D55" s="508">
        <v>205000</v>
      </c>
      <c r="E55" s="509"/>
      <c r="F55" s="509"/>
      <c r="G55" s="505">
        <v>36</v>
      </c>
      <c r="H55" s="506" t="s">
        <v>2302</v>
      </c>
      <c r="I55" s="507" t="s">
        <v>5256</v>
      </c>
      <c r="J55" s="508">
        <v>205000</v>
      </c>
      <c r="K55" s="509"/>
      <c r="L55" s="509"/>
      <c r="M55" s="489" t="str">
        <f t="shared" si="1"/>
        <v>DDDDDDDĐ</v>
      </c>
    </row>
    <row r="56" spans="1:13" s="489" customFormat="1" ht="18" customHeight="1">
      <c r="A56" s="505">
        <v>37</v>
      </c>
      <c r="B56" s="506" t="s">
        <v>3670</v>
      </c>
      <c r="C56" s="507" t="s">
        <v>5256</v>
      </c>
      <c r="D56" s="1432">
        <v>150000</v>
      </c>
      <c r="E56" s="509"/>
      <c r="F56" s="509"/>
      <c r="G56" s="505">
        <v>37</v>
      </c>
      <c r="H56" s="506" t="s">
        <v>3670</v>
      </c>
      <c r="I56" s="507" t="s">
        <v>5256</v>
      </c>
      <c r="J56" s="508">
        <v>150000</v>
      </c>
      <c r="K56" s="509"/>
      <c r="L56" s="509"/>
      <c r="M56" s="489" t="str">
        <f t="shared" si="1"/>
        <v>DDDDDDDĐ</v>
      </c>
    </row>
    <row r="57" spans="1:13" s="489" customFormat="1" ht="18" customHeight="1">
      <c r="A57" s="513" t="s">
        <v>531</v>
      </c>
      <c r="B57" s="502" t="s">
        <v>5257</v>
      </c>
      <c r="C57" s="510"/>
      <c r="D57" s="508"/>
      <c r="E57" s="511"/>
      <c r="F57" s="504"/>
      <c r="G57" s="513" t="s">
        <v>531</v>
      </c>
      <c r="H57" s="502" t="s">
        <v>5257</v>
      </c>
      <c r="I57" s="510"/>
      <c r="J57" s="508"/>
      <c r="K57" s="511"/>
      <c r="L57" s="504"/>
      <c r="M57" s="489" t="str">
        <f t="shared" si="1"/>
        <v>DDDDDDDĐ</v>
      </c>
    </row>
    <row r="58" spans="1:13" s="489" customFormat="1" ht="18" customHeight="1">
      <c r="A58" s="501">
        <v>38</v>
      </c>
      <c r="B58" s="506" t="s">
        <v>2303</v>
      </c>
      <c r="C58" s="507" t="s">
        <v>5256</v>
      </c>
      <c r="D58" s="1435">
        <v>12500</v>
      </c>
      <c r="E58" s="511"/>
      <c r="F58" s="511"/>
      <c r="G58" s="501">
        <v>38</v>
      </c>
      <c r="H58" s="506" t="s">
        <v>2303</v>
      </c>
      <c r="I58" s="507" t="s">
        <v>5256</v>
      </c>
      <c r="J58" s="508">
        <f>24000/1.1</f>
        <v>21818.181818181816</v>
      </c>
      <c r="K58" s="511"/>
      <c r="L58" s="511"/>
      <c r="M58" s="489" t="str">
        <f t="shared" si="1"/>
        <v>DDDDDDDĐ</v>
      </c>
    </row>
    <row r="59" spans="1:13" s="489" customFormat="1" ht="18.600000000000001" customHeight="1">
      <c r="A59" s="501">
        <v>39</v>
      </c>
      <c r="B59" s="506" t="s">
        <v>2304</v>
      </c>
      <c r="C59" s="507" t="s">
        <v>5256</v>
      </c>
      <c r="D59" s="1432">
        <f>28000/1.1</f>
        <v>25454.545454545452</v>
      </c>
      <c r="E59" s="511"/>
      <c r="F59" s="511"/>
      <c r="G59" s="501">
        <v>39</v>
      </c>
      <c r="H59" s="506" t="s">
        <v>2304</v>
      </c>
      <c r="I59" s="507" t="s">
        <v>5256</v>
      </c>
      <c r="J59" s="508">
        <f>28000/1.1</f>
        <v>25454.545454545452</v>
      </c>
      <c r="K59" s="511"/>
      <c r="L59" s="511"/>
      <c r="M59" s="489" t="str">
        <f t="shared" si="1"/>
        <v>DDDDDDDĐ</v>
      </c>
    </row>
    <row r="60" spans="1:13" s="489" customFormat="1" ht="18.600000000000001" customHeight="1">
      <c r="A60" s="513" t="s">
        <v>532</v>
      </c>
      <c r="B60" s="502" t="s">
        <v>2305</v>
      </c>
      <c r="C60" s="510"/>
      <c r="D60" s="508"/>
      <c r="E60" s="511"/>
      <c r="F60" s="511"/>
      <c r="G60" s="513" t="s">
        <v>532</v>
      </c>
      <c r="H60" s="502" t="s">
        <v>2305</v>
      </c>
      <c r="I60" s="510"/>
      <c r="J60" s="508"/>
      <c r="K60" s="511"/>
      <c r="L60" s="511"/>
      <c r="M60" s="489" t="str">
        <f t="shared" si="1"/>
        <v>DDDDDDDĐ</v>
      </c>
    </row>
    <row r="61" spans="1:13" s="489" customFormat="1" ht="18.600000000000001" customHeight="1">
      <c r="A61" s="501">
        <v>40</v>
      </c>
      <c r="B61" s="506" t="s">
        <v>2306</v>
      </c>
      <c r="C61" s="507" t="s">
        <v>2307</v>
      </c>
      <c r="D61" s="508"/>
      <c r="E61" s="1432">
        <v>15750</v>
      </c>
      <c r="F61" s="511"/>
      <c r="G61" s="501">
        <v>40</v>
      </c>
      <c r="H61" s="506" t="s">
        <v>2306</v>
      </c>
      <c r="I61" s="507" t="s">
        <v>2307</v>
      </c>
      <c r="J61" s="508"/>
      <c r="K61" s="508">
        <v>15750</v>
      </c>
      <c r="L61" s="511"/>
      <c r="M61" s="489" t="str">
        <f t="shared" si="1"/>
        <v>DDDDDDDĐ</v>
      </c>
    </row>
    <row r="62" spans="1:13" s="489" customFormat="1" ht="18.600000000000001" customHeight="1">
      <c r="A62" s="501">
        <v>41</v>
      </c>
      <c r="B62" s="506" t="s">
        <v>2308</v>
      </c>
      <c r="C62" s="507" t="s">
        <v>2307</v>
      </c>
      <c r="D62" s="508"/>
      <c r="E62" s="508">
        <v>14700</v>
      </c>
      <c r="F62" s="511"/>
      <c r="G62" s="501">
        <v>41</v>
      </c>
      <c r="H62" s="506" t="s">
        <v>2308</v>
      </c>
      <c r="I62" s="507" t="s">
        <v>2307</v>
      </c>
      <c r="J62" s="508"/>
      <c r="K62" s="508">
        <v>14700</v>
      </c>
      <c r="L62" s="511"/>
      <c r="M62" s="489" t="str">
        <f t="shared" si="1"/>
        <v>DDDDDDDĐ</v>
      </c>
    </row>
    <row r="63" spans="1:13" s="489" customFormat="1" ht="18.600000000000001" customHeight="1">
      <c r="A63" s="501"/>
      <c r="B63" s="514" t="s">
        <v>3671</v>
      </c>
      <c r="C63" s="510"/>
      <c r="D63" s="508"/>
      <c r="E63" s="508"/>
      <c r="F63" s="511"/>
      <c r="G63" s="501"/>
      <c r="H63" s="514" t="s">
        <v>3671</v>
      </c>
      <c r="I63" s="510"/>
      <c r="J63" s="508"/>
      <c r="K63" s="508"/>
      <c r="L63" s="511"/>
      <c r="M63" s="489" t="str">
        <f t="shared" si="1"/>
        <v>DDDDDDDĐ</v>
      </c>
    </row>
    <row r="64" spans="1:13" s="489" customFormat="1" ht="18.600000000000001" customHeight="1">
      <c r="A64" s="501">
        <v>42</v>
      </c>
      <c r="B64" s="506" t="s">
        <v>2309</v>
      </c>
      <c r="C64" s="507" t="s">
        <v>2310</v>
      </c>
      <c r="D64" s="508">
        <v>1800000</v>
      </c>
      <c r="E64" s="511"/>
      <c r="F64" s="511"/>
      <c r="G64" s="501">
        <v>42</v>
      </c>
      <c r="H64" s="506" t="s">
        <v>2309</v>
      </c>
      <c r="I64" s="507" t="s">
        <v>2310</v>
      </c>
      <c r="J64" s="508">
        <v>1800000</v>
      </c>
      <c r="K64" s="511"/>
      <c r="L64" s="511"/>
      <c r="M64" s="489" t="str">
        <f t="shared" si="1"/>
        <v>DDDDDDDĐ</v>
      </c>
    </row>
    <row r="65" spans="1:13" s="489" customFormat="1" ht="18.600000000000001" customHeight="1">
      <c r="A65" s="501">
        <v>43</v>
      </c>
      <c r="B65" s="506" t="s">
        <v>2311</v>
      </c>
      <c r="C65" s="507" t="s">
        <v>2310</v>
      </c>
      <c r="D65" s="508">
        <v>1750000</v>
      </c>
      <c r="E65" s="511"/>
      <c r="F65" s="511"/>
      <c r="G65" s="501">
        <v>43</v>
      </c>
      <c r="H65" s="506" t="s">
        <v>2311</v>
      </c>
      <c r="I65" s="507" t="s">
        <v>2310</v>
      </c>
      <c r="J65" s="508">
        <v>1750000</v>
      </c>
      <c r="K65" s="511"/>
      <c r="L65" s="511"/>
      <c r="M65" s="489" t="str">
        <f t="shared" si="1"/>
        <v>DDDDDDDĐ</v>
      </c>
    </row>
    <row r="66" spans="1:13" s="489" customFormat="1" ht="18.600000000000001" customHeight="1">
      <c r="A66" s="501">
        <v>44</v>
      </c>
      <c r="B66" s="506" t="s">
        <v>2312</v>
      </c>
      <c r="C66" s="507" t="s">
        <v>2310</v>
      </c>
      <c r="D66" s="508">
        <v>1700000</v>
      </c>
      <c r="E66" s="511"/>
      <c r="F66" s="511"/>
      <c r="G66" s="501">
        <v>44</v>
      </c>
      <c r="H66" s="506" t="s">
        <v>2312</v>
      </c>
      <c r="I66" s="507" t="s">
        <v>2310</v>
      </c>
      <c r="J66" s="508">
        <v>1700000</v>
      </c>
      <c r="K66" s="511"/>
      <c r="L66" s="511"/>
      <c r="M66" s="489" t="str">
        <f t="shared" si="1"/>
        <v>DDDDDDDĐ</v>
      </c>
    </row>
    <row r="67" spans="1:13" s="489" customFormat="1" ht="18.600000000000001" customHeight="1">
      <c r="A67" s="1161"/>
      <c r="B67" s="1164" t="s">
        <v>3672</v>
      </c>
      <c r="C67" s="1157"/>
      <c r="D67" s="1158"/>
      <c r="E67" s="1158"/>
      <c r="F67" s="1159"/>
      <c r="G67" s="1161"/>
      <c r="H67" s="1164" t="s">
        <v>3672</v>
      </c>
      <c r="I67" s="1157"/>
      <c r="J67" s="1158"/>
      <c r="K67" s="1158"/>
      <c r="L67" s="1159"/>
      <c r="M67" s="489" t="str">
        <f t="shared" si="1"/>
        <v>DDDDDDDĐ</v>
      </c>
    </row>
    <row r="68" spans="1:13" s="489" customFormat="1" ht="18.600000000000001" customHeight="1">
      <c r="A68" s="1161"/>
      <c r="B68" s="1164" t="s">
        <v>5258</v>
      </c>
      <c r="C68" s="1157"/>
      <c r="D68" s="1158"/>
      <c r="E68" s="1158"/>
      <c r="F68" s="1159"/>
      <c r="G68" s="1161"/>
      <c r="H68" s="1164" t="s">
        <v>5258</v>
      </c>
      <c r="I68" s="1157"/>
      <c r="J68" s="1158"/>
      <c r="K68" s="1158"/>
      <c r="L68" s="1159"/>
      <c r="M68" s="489" t="str">
        <f t="shared" si="1"/>
        <v>DDDDDDDĐ</v>
      </c>
    </row>
    <row r="69" spans="1:13" s="489" customFormat="1" ht="18.600000000000001" customHeight="1">
      <c r="A69" s="1161">
        <v>45</v>
      </c>
      <c r="B69" s="1162" t="s">
        <v>3673</v>
      </c>
      <c r="C69" s="1163" t="s">
        <v>2310</v>
      </c>
      <c r="D69" s="1158"/>
      <c r="E69" s="1159">
        <v>16681818</v>
      </c>
      <c r="F69" s="1159"/>
      <c r="G69" s="1161">
        <v>45</v>
      </c>
      <c r="H69" s="1162" t="s">
        <v>3673</v>
      </c>
      <c r="I69" s="1163" t="s">
        <v>2310</v>
      </c>
      <c r="J69" s="1158"/>
      <c r="K69" s="1159">
        <v>16681818</v>
      </c>
      <c r="L69" s="1159"/>
      <c r="M69" s="489" t="str">
        <f t="shared" si="1"/>
        <v>DDDDDDDĐ</v>
      </c>
    </row>
    <row r="70" spans="1:13" s="489" customFormat="1" ht="18.600000000000001" customHeight="1">
      <c r="A70" s="1161">
        <v>46</v>
      </c>
      <c r="B70" s="1162" t="s">
        <v>3674</v>
      </c>
      <c r="C70" s="1163" t="s">
        <v>2310</v>
      </c>
      <c r="D70" s="1158"/>
      <c r="E70" s="1159">
        <v>15009091</v>
      </c>
      <c r="F70" s="1159"/>
      <c r="G70" s="1161">
        <v>46</v>
      </c>
      <c r="H70" s="1162" t="s">
        <v>3674</v>
      </c>
      <c r="I70" s="1163" t="s">
        <v>2310</v>
      </c>
      <c r="J70" s="1158"/>
      <c r="K70" s="1159">
        <v>15009091</v>
      </c>
      <c r="L70" s="1159"/>
      <c r="M70" s="489" t="str">
        <f t="shared" si="1"/>
        <v>DDDDDDDĐ</v>
      </c>
    </row>
    <row r="71" spans="1:13" s="489" customFormat="1" ht="18.600000000000001" customHeight="1">
      <c r="A71" s="501"/>
      <c r="B71" s="1005" t="s">
        <v>3842</v>
      </c>
      <c r="C71" s="1006"/>
      <c r="D71" s="1006"/>
      <c r="E71" s="1006"/>
      <c r="F71" s="1007"/>
      <c r="G71" s="501"/>
      <c r="H71" s="1005" t="s">
        <v>3842</v>
      </c>
      <c r="I71" s="1006"/>
      <c r="J71" s="1006"/>
      <c r="K71" s="1006"/>
      <c r="L71" s="1007"/>
      <c r="M71" s="489" t="str">
        <f t="shared" si="1"/>
        <v>DDDDDDDĐ</v>
      </c>
    </row>
    <row r="72" spans="1:13" s="489" customFormat="1" ht="18.600000000000001" customHeight="1">
      <c r="A72" s="501">
        <v>47</v>
      </c>
      <c r="B72" s="506" t="s">
        <v>3843</v>
      </c>
      <c r="C72" s="507" t="s">
        <v>2310</v>
      </c>
      <c r="D72" s="508"/>
      <c r="E72" s="511">
        <v>3340000</v>
      </c>
      <c r="F72" s="511"/>
      <c r="G72" s="501">
        <v>47</v>
      </c>
      <c r="H72" s="506" t="s">
        <v>3843</v>
      </c>
      <c r="I72" s="507" t="s">
        <v>2310</v>
      </c>
      <c r="J72" s="508"/>
      <c r="K72" s="511">
        <v>3340000</v>
      </c>
      <c r="L72" s="511"/>
      <c r="M72" s="489" t="str">
        <f t="shared" si="1"/>
        <v>DDDDDDDĐ</v>
      </c>
    </row>
    <row r="73" spans="1:13" s="489" customFormat="1" ht="18.600000000000001" customHeight="1">
      <c r="A73" s="501"/>
      <c r="B73" s="514" t="s">
        <v>2313</v>
      </c>
      <c r="C73" s="510"/>
      <c r="D73" s="508"/>
      <c r="E73" s="511"/>
      <c r="F73" s="511"/>
      <c r="G73" s="501"/>
      <c r="H73" s="514" t="s">
        <v>2313</v>
      </c>
      <c r="I73" s="510"/>
      <c r="J73" s="508"/>
      <c r="K73" s="511"/>
      <c r="L73" s="511"/>
      <c r="M73" s="489" t="str">
        <f t="shared" si="1"/>
        <v>DDDDDDDĐ</v>
      </c>
    </row>
    <row r="74" spans="1:13" s="489" customFormat="1" ht="18" customHeight="1">
      <c r="A74" s="501">
        <v>48</v>
      </c>
      <c r="B74" s="506" t="s">
        <v>2314</v>
      </c>
      <c r="C74" s="507" t="s">
        <v>5256</v>
      </c>
      <c r="D74" s="515"/>
      <c r="E74" s="508">
        <v>1320000</v>
      </c>
      <c r="F74" s="511"/>
      <c r="G74" s="501">
        <v>48</v>
      </c>
      <c r="H74" s="506" t="s">
        <v>2314</v>
      </c>
      <c r="I74" s="507" t="s">
        <v>5256</v>
      </c>
      <c r="J74" s="515"/>
      <c r="K74" s="508">
        <v>1320000</v>
      </c>
      <c r="L74" s="511"/>
      <c r="M74" s="489" t="str">
        <f t="shared" si="1"/>
        <v>DDDDDDDĐ</v>
      </c>
    </row>
    <row r="75" spans="1:13" s="489" customFormat="1" ht="18" customHeight="1">
      <c r="A75" s="501">
        <v>49</v>
      </c>
      <c r="B75" s="506" t="s">
        <v>2315</v>
      </c>
      <c r="C75" s="507" t="s">
        <v>5256</v>
      </c>
      <c r="D75" s="515"/>
      <c r="E75" s="508">
        <v>1430000</v>
      </c>
      <c r="F75" s="511"/>
      <c r="G75" s="501">
        <v>49</v>
      </c>
      <c r="H75" s="506" t="s">
        <v>2315</v>
      </c>
      <c r="I75" s="507" t="s">
        <v>5256</v>
      </c>
      <c r="J75" s="515"/>
      <c r="K75" s="508">
        <v>1430000</v>
      </c>
      <c r="L75" s="511"/>
      <c r="M75" s="489" t="str">
        <f t="shared" si="1"/>
        <v>DDDDDDDĐ</v>
      </c>
    </row>
    <row r="76" spans="1:13" s="489" customFormat="1" ht="18" customHeight="1">
      <c r="A76" s="501">
        <v>50</v>
      </c>
      <c r="B76" s="506" t="s">
        <v>2316</v>
      </c>
      <c r="C76" s="507" t="s">
        <v>5256</v>
      </c>
      <c r="D76" s="515"/>
      <c r="E76" s="508">
        <v>1550000</v>
      </c>
      <c r="F76" s="511"/>
      <c r="G76" s="501">
        <v>50</v>
      </c>
      <c r="H76" s="506" t="s">
        <v>2316</v>
      </c>
      <c r="I76" s="507" t="s">
        <v>5256</v>
      </c>
      <c r="J76" s="515"/>
      <c r="K76" s="508">
        <v>1550000</v>
      </c>
      <c r="L76" s="511"/>
      <c r="M76" s="489" t="str">
        <f t="shared" si="1"/>
        <v>DDDDDDDĐ</v>
      </c>
    </row>
    <row r="77" spans="1:13" s="489" customFormat="1" ht="18" customHeight="1">
      <c r="A77" s="513" t="s">
        <v>505</v>
      </c>
      <c r="B77" s="502" t="s">
        <v>2317</v>
      </c>
      <c r="C77" s="516"/>
      <c r="D77" s="516"/>
      <c r="E77" s="517"/>
      <c r="F77" s="504"/>
      <c r="G77" s="513" t="s">
        <v>505</v>
      </c>
      <c r="H77" s="502" t="s">
        <v>2317</v>
      </c>
      <c r="I77" s="516"/>
      <c r="J77" s="516"/>
      <c r="K77" s="517"/>
      <c r="L77" s="504"/>
      <c r="M77" s="489" t="str">
        <f t="shared" si="1"/>
        <v>DDDDDDDĐ</v>
      </c>
    </row>
    <row r="78" spans="1:13" s="489" customFormat="1" ht="18" customHeight="1">
      <c r="A78" s="501">
        <v>51</v>
      </c>
      <c r="B78" s="506" t="s">
        <v>2318</v>
      </c>
      <c r="C78" s="507" t="s">
        <v>5256</v>
      </c>
      <c r="D78" s="510"/>
      <c r="E78" s="1432">
        <f>5500000/1.1</f>
        <v>5000000</v>
      </c>
      <c r="F78" s="508">
        <f>E78</f>
        <v>5000000</v>
      </c>
      <c r="G78" s="501">
        <v>51</v>
      </c>
      <c r="H78" s="506" t="s">
        <v>2318</v>
      </c>
      <c r="I78" s="507" t="s">
        <v>5256</v>
      </c>
      <c r="J78" s="510"/>
      <c r="K78" s="508">
        <f>5500000/1.1</f>
        <v>5000000</v>
      </c>
      <c r="L78" s="508">
        <f>K78</f>
        <v>5000000</v>
      </c>
      <c r="M78" s="489" t="str">
        <f t="shared" si="1"/>
        <v>DDDDDDDĐ</v>
      </c>
    </row>
    <row r="79" spans="1:13" s="489" customFormat="1" ht="18" customHeight="1">
      <c r="A79" s="501">
        <v>52</v>
      </c>
      <c r="B79" s="506" t="s">
        <v>2319</v>
      </c>
      <c r="C79" s="507" t="s">
        <v>5256</v>
      </c>
      <c r="D79" s="510"/>
      <c r="E79" s="508">
        <f>12000000/1.1</f>
        <v>10909090.909090908</v>
      </c>
      <c r="F79" s="508">
        <f t="shared" ref="F79:F84" si="2">E79</f>
        <v>10909090.909090908</v>
      </c>
      <c r="G79" s="501">
        <v>52</v>
      </c>
      <c r="H79" s="506" t="s">
        <v>2319</v>
      </c>
      <c r="I79" s="507" t="s">
        <v>5256</v>
      </c>
      <c r="J79" s="510"/>
      <c r="K79" s="508">
        <f>12000000/1.1</f>
        <v>10909090.909090908</v>
      </c>
      <c r="L79" s="508">
        <f t="shared" ref="L79:L84" si="3">K79</f>
        <v>10909090.909090908</v>
      </c>
      <c r="M79" s="489" t="str">
        <f t="shared" si="1"/>
        <v>DDDDDDDĐ</v>
      </c>
    </row>
    <row r="80" spans="1:13" s="489" customFormat="1" ht="18" customHeight="1">
      <c r="A80" s="501">
        <v>53</v>
      </c>
      <c r="B80" s="506" t="s">
        <v>2320</v>
      </c>
      <c r="C80" s="507" t="s">
        <v>5256</v>
      </c>
      <c r="D80" s="510"/>
      <c r="E80" s="508">
        <f>12500000/1.1</f>
        <v>11363636.363636363</v>
      </c>
      <c r="F80" s="508">
        <f t="shared" si="2"/>
        <v>11363636.363636363</v>
      </c>
      <c r="G80" s="501">
        <v>53</v>
      </c>
      <c r="H80" s="506" t="s">
        <v>2320</v>
      </c>
      <c r="I80" s="507" t="s">
        <v>5256</v>
      </c>
      <c r="J80" s="510"/>
      <c r="K80" s="508">
        <f>12500000/1.1</f>
        <v>11363636.363636363</v>
      </c>
      <c r="L80" s="508">
        <f t="shared" si="3"/>
        <v>11363636.363636363</v>
      </c>
      <c r="M80" s="489" t="str">
        <f t="shared" si="1"/>
        <v>DDDDDDDĐ</v>
      </c>
    </row>
    <row r="81" spans="1:14" s="489" customFormat="1" ht="18" customHeight="1">
      <c r="A81" s="501">
        <v>54</v>
      </c>
      <c r="B81" s="506" t="s">
        <v>2321</v>
      </c>
      <c r="C81" s="507" t="s">
        <v>5256</v>
      </c>
      <c r="D81" s="510"/>
      <c r="E81" s="508">
        <f>21000000/1.1</f>
        <v>19090909.09090909</v>
      </c>
      <c r="F81" s="508">
        <f t="shared" si="2"/>
        <v>19090909.09090909</v>
      </c>
      <c r="G81" s="501">
        <v>54</v>
      </c>
      <c r="H81" s="506" t="s">
        <v>2321</v>
      </c>
      <c r="I81" s="507" t="s">
        <v>5256</v>
      </c>
      <c r="J81" s="510"/>
      <c r="K81" s="508">
        <f>21000000/1.1</f>
        <v>19090909.09090909</v>
      </c>
      <c r="L81" s="508">
        <f t="shared" si="3"/>
        <v>19090909.09090909</v>
      </c>
      <c r="M81" s="489" t="str">
        <f t="shared" si="1"/>
        <v>DDDDDDDĐ</v>
      </c>
    </row>
    <row r="82" spans="1:14" s="489" customFormat="1" ht="18" customHeight="1">
      <c r="A82" s="501">
        <v>55</v>
      </c>
      <c r="B82" s="506" t="s">
        <v>2322</v>
      </c>
      <c r="C82" s="507" t="s">
        <v>5256</v>
      </c>
      <c r="D82" s="510"/>
      <c r="E82" s="508">
        <f>22000000/1.1</f>
        <v>20000000</v>
      </c>
      <c r="F82" s="508">
        <f t="shared" si="2"/>
        <v>20000000</v>
      </c>
      <c r="G82" s="501">
        <v>55</v>
      </c>
      <c r="H82" s="506" t="s">
        <v>2322</v>
      </c>
      <c r="I82" s="507" t="s">
        <v>5256</v>
      </c>
      <c r="J82" s="510"/>
      <c r="K82" s="508">
        <f>22000000/1.1</f>
        <v>20000000</v>
      </c>
      <c r="L82" s="508">
        <f t="shared" si="3"/>
        <v>20000000</v>
      </c>
      <c r="M82" s="489" t="str">
        <f t="shared" si="1"/>
        <v>DDDDDDDĐ</v>
      </c>
    </row>
    <row r="83" spans="1:14" s="519" customFormat="1" ht="18" customHeight="1">
      <c r="A83" s="501">
        <v>56</v>
      </c>
      <c r="B83" s="506" t="s">
        <v>3844</v>
      </c>
      <c r="C83" s="507" t="s">
        <v>5256</v>
      </c>
      <c r="D83" s="510"/>
      <c r="E83" s="508">
        <f>23000000/1.1</f>
        <v>20909090.909090906</v>
      </c>
      <c r="F83" s="508">
        <f t="shared" si="2"/>
        <v>20909090.909090906</v>
      </c>
      <c r="G83" s="501">
        <v>56</v>
      </c>
      <c r="H83" s="506" t="s">
        <v>3844</v>
      </c>
      <c r="I83" s="507" t="s">
        <v>5256</v>
      </c>
      <c r="J83" s="510"/>
      <c r="K83" s="508">
        <f>23000000/1.1</f>
        <v>20909090.909090906</v>
      </c>
      <c r="L83" s="508">
        <f t="shared" si="3"/>
        <v>20909090.909090906</v>
      </c>
      <c r="M83" s="489" t="str">
        <f t="shared" si="1"/>
        <v>DDDDDDDĐ</v>
      </c>
      <c r="N83" s="489"/>
    </row>
    <row r="84" spans="1:14" s="519" customFormat="1" ht="18" customHeight="1">
      <c r="A84" s="501">
        <v>57</v>
      </c>
      <c r="B84" s="506" t="s">
        <v>3845</v>
      </c>
      <c r="C84" s="507" t="s">
        <v>5256</v>
      </c>
      <c r="D84" s="510"/>
      <c r="E84" s="508">
        <f>25000000/1.1</f>
        <v>22727272.727272727</v>
      </c>
      <c r="F84" s="508">
        <f t="shared" si="2"/>
        <v>22727272.727272727</v>
      </c>
      <c r="G84" s="501">
        <v>57</v>
      </c>
      <c r="H84" s="506" t="s">
        <v>3845</v>
      </c>
      <c r="I84" s="507" t="s">
        <v>5256</v>
      </c>
      <c r="J84" s="510"/>
      <c r="K84" s="508">
        <f>25000000/1.1</f>
        <v>22727272.727272727</v>
      </c>
      <c r="L84" s="508">
        <f t="shared" si="3"/>
        <v>22727272.727272727</v>
      </c>
      <c r="M84" s="489" t="str">
        <f t="shared" si="1"/>
        <v>DDDDDDDĐ</v>
      </c>
      <c r="N84" s="489"/>
    </row>
    <row r="85" spans="1:14" s="519" customFormat="1" ht="21.75" customHeight="1">
      <c r="A85" s="513" t="s">
        <v>506</v>
      </c>
      <c r="B85" s="502" t="s">
        <v>2323</v>
      </c>
      <c r="C85" s="516"/>
      <c r="D85" s="516"/>
      <c r="E85" s="508"/>
      <c r="F85" s="504"/>
      <c r="G85" s="513" t="s">
        <v>506</v>
      </c>
      <c r="H85" s="502" t="s">
        <v>2323</v>
      </c>
      <c r="I85" s="516"/>
      <c r="J85" s="516"/>
      <c r="K85" s="508"/>
      <c r="L85" s="504"/>
      <c r="M85" s="489" t="str">
        <f t="shared" si="1"/>
        <v>DDDDDDDĐ</v>
      </c>
      <c r="N85" s="489"/>
    </row>
    <row r="86" spans="1:14" s="519" customFormat="1" ht="18.75" customHeight="1">
      <c r="A86" s="501">
        <v>58</v>
      </c>
      <c r="B86" s="506" t="s">
        <v>2324</v>
      </c>
      <c r="C86" s="507" t="s">
        <v>2325</v>
      </c>
      <c r="D86" s="510"/>
      <c r="E86" s="1432">
        <v>17000</v>
      </c>
      <c r="F86" s="508">
        <v>17000</v>
      </c>
      <c r="G86" s="501">
        <v>58</v>
      </c>
      <c r="H86" s="506" t="s">
        <v>2324</v>
      </c>
      <c r="I86" s="507" t="s">
        <v>2325</v>
      </c>
      <c r="J86" s="510"/>
      <c r="K86" s="508">
        <v>17000</v>
      </c>
      <c r="L86" s="508">
        <v>17000</v>
      </c>
      <c r="M86" s="489" t="str">
        <f t="shared" si="1"/>
        <v>DDDDDDDĐ</v>
      </c>
      <c r="N86" s="489"/>
    </row>
    <row r="87" spans="1:14" s="519" customFormat="1" ht="18" customHeight="1">
      <c r="A87" s="501">
        <v>59</v>
      </c>
      <c r="B87" s="506" t="s">
        <v>2326</v>
      </c>
      <c r="C87" s="507" t="s">
        <v>2325</v>
      </c>
      <c r="D87" s="510"/>
      <c r="E87" s="508">
        <v>20000</v>
      </c>
      <c r="F87" s="508">
        <v>20000</v>
      </c>
      <c r="G87" s="501">
        <v>59</v>
      </c>
      <c r="H87" s="506" t="s">
        <v>2326</v>
      </c>
      <c r="I87" s="507" t="s">
        <v>2325</v>
      </c>
      <c r="J87" s="510"/>
      <c r="K87" s="508">
        <v>20000</v>
      </c>
      <c r="L87" s="508">
        <v>20000</v>
      </c>
      <c r="M87" s="489" t="str">
        <f t="shared" si="1"/>
        <v>DDDDDDDĐ</v>
      </c>
      <c r="N87" s="489"/>
    </row>
    <row r="88" spans="1:14" s="519" customFormat="1" ht="18" customHeight="1">
      <c r="A88" s="520" t="s">
        <v>356</v>
      </c>
      <c r="B88" s="502" t="s">
        <v>2327</v>
      </c>
      <c r="C88" s="510"/>
      <c r="D88" s="510"/>
      <c r="E88" s="508"/>
      <c r="F88" s="508"/>
      <c r="G88" s="520" t="s">
        <v>356</v>
      </c>
      <c r="H88" s="502" t="s">
        <v>2327</v>
      </c>
      <c r="I88" s="510"/>
      <c r="J88" s="510"/>
      <c r="K88" s="508"/>
      <c r="L88" s="508"/>
      <c r="M88" s="489" t="str">
        <f t="shared" si="1"/>
        <v>DDDDDDDĐ</v>
      </c>
      <c r="N88" s="489"/>
    </row>
    <row r="89" spans="1:14" s="519" customFormat="1" ht="18" customHeight="1">
      <c r="A89" s="522"/>
      <c r="B89" s="2160" t="s">
        <v>2328</v>
      </c>
      <c r="C89" s="2160"/>
      <c r="D89" s="2160"/>
      <c r="E89" s="2160"/>
      <c r="F89" s="2160"/>
      <c r="G89" s="522"/>
      <c r="H89" s="2160" t="s">
        <v>2328</v>
      </c>
      <c r="I89" s="2160"/>
      <c r="J89" s="2160"/>
      <c r="K89" s="2160"/>
      <c r="L89" s="2160"/>
      <c r="M89" s="489" t="str">
        <f t="shared" si="1"/>
        <v>DDDDDDDĐ</v>
      </c>
      <c r="N89" s="489"/>
    </row>
    <row r="90" spans="1:14" s="519" customFormat="1" ht="18" customHeight="1">
      <c r="A90" s="518">
        <v>60</v>
      </c>
      <c r="B90" s="523" t="s">
        <v>2329</v>
      </c>
      <c r="C90" s="524" t="s">
        <v>2330</v>
      </c>
      <c r="D90" s="509">
        <v>3900000</v>
      </c>
      <c r="E90" s="509"/>
      <c r="F90" s="511"/>
      <c r="G90" s="518">
        <v>60</v>
      </c>
      <c r="H90" s="523" t="s">
        <v>2329</v>
      </c>
      <c r="I90" s="524" t="s">
        <v>2330</v>
      </c>
      <c r="J90" s="509">
        <v>3900000</v>
      </c>
      <c r="K90" s="509"/>
      <c r="L90" s="511"/>
      <c r="M90" s="489" t="str">
        <f t="shared" si="1"/>
        <v>DDDDDDDĐ</v>
      </c>
      <c r="N90" s="489"/>
    </row>
    <row r="91" spans="1:14" s="519" customFormat="1" ht="18" customHeight="1">
      <c r="A91" s="518">
        <v>61</v>
      </c>
      <c r="B91" s="523" t="s">
        <v>2331</v>
      </c>
      <c r="C91" s="524" t="s">
        <v>2330</v>
      </c>
      <c r="D91" s="509">
        <v>3600000</v>
      </c>
      <c r="E91" s="509"/>
      <c r="F91" s="511"/>
      <c r="G91" s="518">
        <v>61</v>
      </c>
      <c r="H91" s="523" t="s">
        <v>2331</v>
      </c>
      <c r="I91" s="524" t="s">
        <v>2330</v>
      </c>
      <c r="J91" s="509">
        <v>3600000</v>
      </c>
      <c r="K91" s="509"/>
      <c r="L91" s="511"/>
      <c r="M91" s="489" t="str">
        <f t="shared" si="1"/>
        <v>DDDDDDDĐ</v>
      </c>
      <c r="N91" s="489"/>
    </row>
    <row r="92" spans="1:14" s="519" customFormat="1" ht="18" customHeight="1">
      <c r="A92" s="518">
        <v>62</v>
      </c>
      <c r="B92" s="523" t="s">
        <v>2332</v>
      </c>
      <c r="C92" s="524" t="s">
        <v>2330</v>
      </c>
      <c r="D92" s="509">
        <v>2450000</v>
      </c>
      <c r="E92" s="509"/>
      <c r="F92" s="511"/>
      <c r="G92" s="518">
        <v>62</v>
      </c>
      <c r="H92" s="523" t="s">
        <v>2332</v>
      </c>
      <c r="I92" s="524" t="s">
        <v>2330</v>
      </c>
      <c r="J92" s="509">
        <v>2450000</v>
      </c>
      <c r="K92" s="509"/>
      <c r="L92" s="511"/>
      <c r="M92" s="489" t="str">
        <f t="shared" si="1"/>
        <v>DDDDDDDĐ</v>
      </c>
      <c r="N92" s="489"/>
    </row>
    <row r="93" spans="1:14" s="519" customFormat="1" ht="18" customHeight="1">
      <c r="A93" s="518">
        <v>63</v>
      </c>
      <c r="B93" s="523" t="s">
        <v>2333</v>
      </c>
      <c r="C93" s="524" t="s">
        <v>2330</v>
      </c>
      <c r="D93" s="509">
        <v>2000000</v>
      </c>
      <c r="E93" s="509"/>
      <c r="F93" s="511"/>
      <c r="G93" s="518">
        <v>63</v>
      </c>
      <c r="H93" s="523" t="s">
        <v>2333</v>
      </c>
      <c r="I93" s="524" t="s">
        <v>2330</v>
      </c>
      <c r="J93" s="509">
        <v>2000000</v>
      </c>
      <c r="K93" s="509"/>
      <c r="L93" s="511"/>
      <c r="M93" s="489" t="str">
        <f t="shared" si="1"/>
        <v>DDDDDDDĐ</v>
      </c>
      <c r="N93" s="489"/>
    </row>
    <row r="94" spans="1:14" s="519" customFormat="1" ht="18" customHeight="1">
      <c r="A94" s="518">
        <v>64</v>
      </c>
      <c r="B94" s="523" t="s">
        <v>2334</v>
      </c>
      <c r="C94" s="524" t="s">
        <v>2330</v>
      </c>
      <c r="D94" s="509">
        <v>1900000</v>
      </c>
      <c r="E94" s="509"/>
      <c r="F94" s="511"/>
      <c r="G94" s="518">
        <v>64</v>
      </c>
      <c r="H94" s="523" t="s">
        <v>2334</v>
      </c>
      <c r="I94" s="524" t="s">
        <v>2330</v>
      </c>
      <c r="J94" s="509">
        <v>1900000</v>
      </c>
      <c r="K94" s="509"/>
      <c r="L94" s="511"/>
      <c r="M94" s="489" t="str">
        <f t="shared" si="1"/>
        <v>DDDDDDDĐ</v>
      </c>
      <c r="N94" s="489"/>
    </row>
    <row r="95" spans="1:14" s="519" customFormat="1" ht="18" customHeight="1">
      <c r="A95" s="518">
        <v>65</v>
      </c>
      <c r="B95" s="523" t="s">
        <v>2335</v>
      </c>
      <c r="C95" s="524" t="s">
        <v>2330</v>
      </c>
      <c r="D95" s="509">
        <v>1200000</v>
      </c>
      <c r="E95" s="509"/>
      <c r="F95" s="511"/>
      <c r="G95" s="518">
        <v>65</v>
      </c>
      <c r="H95" s="523" t="s">
        <v>2335</v>
      </c>
      <c r="I95" s="524" t="s">
        <v>2330</v>
      </c>
      <c r="J95" s="509">
        <v>1200000</v>
      </c>
      <c r="K95" s="509"/>
      <c r="L95" s="511"/>
      <c r="M95" s="489" t="str">
        <f t="shared" si="1"/>
        <v>DDDDDDDĐ</v>
      </c>
      <c r="N95" s="489"/>
    </row>
    <row r="96" spans="1:14" s="519" customFormat="1" ht="18" customHeight="1">
      <c r="A96" s="518">
        <v>66</v>
      </c>
      <c r="B96" s="523" t="s">
        <v>2336</v>
      </c>
      <c r="C96" s="524" t="s">
        <v>2330</v>
      </c>
      <c r="D96" s="509">
        <v>1060000</v>
      </c>
      <c r="E96" s="509"/>
      <c r="F96" s="511"/>
      <c r="G96" s="518">
        <v>66</v>
      </c>
      <c r="H96" s="523" t="s">
        <v>2336</v>
      </c>
      <c r="I96" s="524" t="s">
        <v>2330</v>
      </c>
      <c r="J96" s="509">
        <v>1060000</v>
      </c>
      <c r="K96" s="509"/>
      <c r="L96" s="511"/>
      <c r="M96" s="489" t="str">
        <f t="shared" si="1"/>
        <v>DDDDDDDĐ</v>
      </c>
      <c r="N96" s="489"/>
    </row>
    <row r="97" spans="1:14" s="519" customFormat="1" ht="18" customHeight="1">
      <c r="A97" s="518">
        <v>67</v>
      </c>
      <c r="B97" s="523" t="s">
        <v>2337</v>
      </c>
      <c r="C97" s="524" t="s">
        <v>2338</v>
      </c>
      <c r="D97" s="509">
        <v>620000</v>
      </c>
      <c r="E97" s="509"/>
      <c r="F97" s="511"/>
      <c r="G97" s="518">
        <v>67</v>
      </c>
      <c r="H97" s="523" t="s">
        <v>2337</v>
      </c>
      <c r="I97" s="524" t="s">
        <v>2338</v>
      </c>
      <c r="J97" s="509">
        <v>620000</v>
      </c>
      <c r="K97" s="509"/>
      <c r="L97" s="511"/>
      <c r="M97" s="489" t="str">
        <f t="shared" si="1"/>
        <v>DDDDDDDĐ</v>
      </c>
      <c r="N97" s="489"/>
    </row>
    <row r="98" spans="1:14" s="519" customFormat="1" ht="18" customHeight="1">
      <c r="A98" s="518">
        <v>68</v>
      </c>
      <c r="B98" s="523" t="s">
        <v>2339</v>
      </c>
      <c r="C98" s="524" t="s">
        <v>2338</v>
      </c>
      <c r="D98" s="509">
        <v>360000</v>
      </c>
      <c r="E98" s="509"/>
      <c r="F98" s="511"/>
      <c r="G98" s="518">
        <v>68</v>
      </c>
      <c r="H98" s="523" t="s">
        <v>2339</v>
      </c>
      <c r="I98" s="524" t="s">
        <v>2338</v>
      </c>
      <c r="J98" s="509">
        <v>360000</v>
      </c>
      <c r="K98" s="509"/>
      <c r="L98" s="511"/>
      <c r="M98" s="489" t="str">
        <f t="shared" si="1"/>
        <v>DDDDDDDĐ</v>
      </c>
      <c r="N98" s="489"/>
    </row>
    <row r="99" spans="1:14" s="519" customFormat="1" ht="18" customHeight="1">
      <c r="A99" s="518">
        <v>69</v>
      </c>
      <c r="B99" s="523" t="s">
        <v>2340</v>
      </c>
      <c r="C99" s="524" t="s">
        <v>2338</v>
      </c>
      <c r="D99" s="509">
        <v>160000</v>
      </c>
      <c r="E99" s="509"/>
      <c r="F99" s="511"/>
      <c r="G99" s="518">
        <v>69</v>
      </c>
      <c r="H99" s="523" t="s">
        <v>2340</v>
      </c>
      <c r="I99" s="524" t="s">
        <v>2338</v>
      </c>
      <c r="J99" s="509">
        <v>160000</v>
      </c>
      <c r="K99" s="509"/>
      <c r="L99" s="511"/>
      <c r="M99" s="489" t="str">
        <f t="shared" si="1"/>
        <v>DDDDDDDĐ</v>
      </c>
      <c r="N99" s="489"/>
    </row>
    <row r="100" spans="1:14" s="519" customFormat="1" ht="18" customHeight="1">
      <c r="A100" s="518">
        <v>70</v>
      </c>
      <c r="B100" s="523" t="s">
        <v>2341</v>
      </c>
      <c r="C100" s="524" t="s">
        <v>2338</v>
      </c>
      <c r="D100" s="509">
        <v>180000</v>
      </c>
      <c r="E100" s="509"/>
      <c r="F100" s="511"/>
      <c r="G100" s="518">
        <v>70</v>
      </c>
      <c r="H100" s="523" t="s">
        <v>2341</v>
      </c>
      <c r="I100" s="524" t="s">
        <v>2338</v>
      </c>
      <c r="J100" s="509">
        <v>180000</v>
      </c>
      <c r="K100" s="509"/>
      <c r="L100" s="511"/>
      <c r="M100" s="489" t="str">
        <f t="shared" ref="M100:M163" si="4">IF(B100=H100,"DDDDDDDĐ","SSSSSSSSSSSS")</f>
        <v>DDDDDDDĐ</v>
      </c>
      <c r="N100" s="489"/>
    </row>
    <row r="101" spans="1:14" s="519" customFormat="1" ht="18" customHeight="1">
      <c r="A101" s="518">
        <v>71</v>
      </c>
      <c r="B101" s="523" t="s">
        <v>2342</v>
      </c>
      <c r="C101" s="524" t="s">
        <v>2338</v>
      </c>
      <c r="D101" s="509">
        <v>160000</v>
      </c>
      <c r="E101" s="509"/>
      <c r="F101" s="511"/>
      <c r="G101" s="518">
        <v>71</v>
      </c>
      <c r="H101" s="523" t="s">
        <v>2342</v>
      </c>
      <c r="I101" s="524" t="s">
        <v>2338</v>
      </c>
      <c r="J101" s="509">
        <v>160000</v>
      </c>
      <c r="K101" s="509"/>
      <c r="L101" s="511"/>
      <c r="M101" s="489" t="str">
        <f t="shared" si="4"/>
        <v>DDDDDDDĐ</v>
      </c>
      <c r="N101" s="489"/>
    </row>
    <row r="102" spans="1:14" s="519" customFormat="1" ht="18" customHeight="1">
      <c r="A102" s="518">
        <v>72</v>
      </c>
      <c r="B102" s="523" t="s">
        <v>5259</v>
      </c>
      <c r="C102" s="524" t="s">
        <v>2338</v>
      </c>
      <c r="D102" s="509">
        <v>280000</v>
      </c>
      <c r="E102" s="509"/>
      <c r="F102" s="511"/>
      <c r="G102" s="518">
        <v>72</v>
      </c>
      <c r="H102" s="523" t="s">
        <v>5259</v>
      </c>
      <c r="I102" s="524" t="s">
        <v>2338</v>
      </c>
      <c r="J102" s="509">
        <v>280000</v>
      </c>
      <c r="K102" s="509"/>
      <c r="L102" s="511"/>
      <c r="M102" s="489" t="str">
        <f t="shared" si="4"/>
        <v>DDDDDDDĐ</v>
      </c>
      <c r="N102" s="489"/>
    </row>
    <row r="103" spans="1:14" s="519" customFormat="1" ht="18" customHeight="1">
      <c r="A103" s="518">
        <v>73</v>
      </c>
      <c r="B103" s="523" t="s">
        <v>2343</v>
      </c>
      <c r="C103" s="524" t="s">
        <v>2344</v>
      </c>
      <c r="D103" s="509">
        <v>410000</v>
      </c>
      <c r="E103" s="509"/>
      <c r="F103" s="511"/>
      <c r="G103" s="518">
        <v>73</v>
      </c>
      <c r="H103" s="523" t="s">
        <v>2343</v>
      </c>
      <c r="I103" s="524" t="s">
        <v>2344</v>
      </c>
      <c r="J103" s="509">
        <v>410000</v>
      </c>
      <c r="K103" s="509"/>
      <c r="L103" s="511"/>
      <c r="M103" s="489" t="str">
        <f t="shared" si="4"/>
        <v>DDDDDDDĐ</v>
      </c>
      <c r="N103" s="489"/>
    </row>
    <row r="104" spans="1:14" s="519" customFormat="1" ht="18" customHeight="1">
      <c r="A104" s="518">
        <v>74</v>
      </c>
      <c r="B104" s="523" t="s">
        <v>2345</v>
      </c>
      <c r="C104" s="524" t="s">
        <v>2344</v>
      </c>
      <c r="D104" s="509">
        <v>300000</v>
      </c>
      <c r="E104" s="509"/>
      <c r="F104" s="511"/>
      <c r="G104" s="518">
        <v>74</v>
      </c>
      <c r="H104" s="523" t="s">
        <v>2345</v>
      </c>
      <c r="I104" s="524" t="s">
        <v>2344</v>
      </c>
      <c r="J104" s="509">
        <v>300000</v>
      </c>
      <c r="K104" s="509"/>
      <c r="L104" s="511"/>
      <c r="M104" s="489" t="str">
        <f t="shared" si="4"/>
        <v>DDDDDDDĐ</v>
      </c>
      <c r="N104" s="489"/>
    </row>
    <row r="105" spans="1:14" s="519" customFormat="1" ht="18" customHeight="1">
      <c r="A105" s="518">
        <v>75</v>
      </c>
      <c r="B105" s="523" t="s">
        <v>2346</v>
      </c>
      <c r="C105" s="524" t="s">
        <v>2344</v>
      </c>
      <c r="D105" s="509">
        <v>240000</v>
      </c>
      <c r="E105" s="509"/>
      <c r="F105" s="511"/>
      <c r="G105" s="518">
        <v>75</v>
      </c>
      <c r="H105" s="523" t="s">
        <v>2346</v>
      </c>
      <c r="I105" s="524" t="s">
        <v>2344</v>
      </c>
      <c r="J105" s="509">
        <v>240000</v>
      </c>
      <c r="K105" s="509"/>
      <c r="L105" s="511"/>
      <c r="M105" s="489" t="str">
        <f t="shared" si="4"/>
        <v>DDDDDDDĐ</v>
      </c>
      <c r="N105" s="489"/>
    </row>
    <row r="106" spans="1:14" s="519" customFormat="1" ht="18" customHeight="1">
      <c r="A106" s="518">
        <v>76</v>
      </c>
      <c r="B106" s="523" t="s">
        <v>2347</v>
      </c>
      <c r="C106" s="524" t="s">
        <v>2344</v>
      </c>
      <c r="D106" s="509">
        <v>200000</v>
      </c>
      <c r="E106" s="509"/>
      <c r="F106" s="511"/>
      <c r="G106" s="518">
        <v>76</v>
      </c>
      <c r="H106" s="523" t="s">
        <v>2347</v>
      </c>
      <c r="I106" s="524" t="s">
        <v>2344</v>
      </c>
      <c r="J106" s="509">
        <v>200000</v>
      </c>
      <c r="K106" s="509"/>
      <c r="L106" s="511"/>
      <c r="M106" s="489" t="str">
        <f t="shared" si="4"/>
        <v>DDDDDDDĐ</v>
      </c>
      <c r="N106" s="489"/>
    </row>
    <row r="107" spans="1:14" s="519" customFormat="1" ht="18" customHeight="1">
      <c r="A107" s="518">
        <v>77</v>
      </c>
      <c r="B107" s="523" t="s">
        <v>2348</v>
      </c>
      <c r="C107" s="524" t="s">
        <v>2344</v>
      </c>
      <c r="D107" s="509">
        <v>460000</v>
      </c>
      <c r="E107" s="509"/>
      <c r="F107" s="511"/>
      <c r="G107" s="518">
        <v>77</v>
      </c>
      <c r="H107" s="523" t="s">
        <v>2348</v>
      </c>
      <c r="I107" s="524" t="s">
        <v>2344</v>
      </c>
      <c r="J107" s="509">
        <v>460000</v>
      </c>
      <c r="K107" s="509"/>
      <c r="L107" s="511"/>
      <c r="M107" s="489" t="str">
        <f t="shared" si="4"/>
        <v>DDDDDDDĐ</v>
      </c>
      <c r="N107" s="489"/>
    </row>
    <row r="108" spans="1:14" s="519" customFormat="1" ht="18" customHeight="1">
      <c r="A108" s="518">
        <v>78</v>
      </c>
      <c r="B108" s="523" t="s">
        <v>2349</v>
      </c>
      <c r="C108" s="524" t="s">
        <v>2344</v>
      </c>
      <c r="D108" s="509">
        <v>490000</v>
      </c>
      <c r="E108" s="509"/>
      <c r="F108" s="511"/>
      <c r="G108" s="518">
        <v>78</v>
      </c>
      <c r="H108" s="523" t="s">
        <v>2349</v>
      </c>
      <c r="I108" s="524" t="s">
        <v>2344</v>
      </c>
      <c r="J108" s="509">
        <v>490000</v>
      </c>
      <c r="K108" s="509"/>
      <c r="L108" s="511"/>
      <c r="M108" s="489" t="str">
        <f t="shared" si="4"/>
        <v>DDDDDDDĐ</v>
      </c>
      <c r="N108" s="489"/>
    </row>
    <row r="109" spans="1:14" s="519" customFormat="1" ht="18" customHeight="1">
      <c r="A109" s="518">
        <v>79</v>
      </c>
      <c r="B109" s="523" t="s">
        <v>2350</v>
      </c>
      <c r="C109" s="524" t="s">
        <v>2344</v>
      </c>
      <c r="D109" s="509">
        <v>520000</v>
      </c>
      <c r="E109" s="509"/>
      <c r="F109" s="511"/>
      <c r="G109" s="518">
        <v>79</v>
      </c>
      <c r="H109" s="523" t="s">
        <v>2350</v>
      </c>
      <c r="I109" s="524" t="s">
        <v>2344</v>
      </c>
      <c r="J109" s="509">
        <v>520000</v>
      </c>
      <c r="K109" s="509"/>
      <c r="L109" s="511"/>
      <c r="M109" s="489" t="str">
        <f t="shared" si="4"/>
        <v>DDDDDDDĐ</v>
      </c>
      <c r="N109" s="489"/>
    </row>
    <row r="110" spans="1:14" s="519" customFormat="1" ht="18" customHeight="1">
      <c r="A110" s="518">
        <v>80</v>
      </c>
      <c r="B110" s="523" t="s">
        <v>2351</v>
      </c>
      <c r="C110" s="524" t="s">
        <v>2344</v>
      </c>
      <c r="D110" s="509">
        <v>340000</v>
      </c>
      <c r="E110" s="509"/>
      <c r="F110" s="511"/>
      <c r="G110" s="518">
        <v>80</v>
      </c>
      <c r="H110" s="523" t="s">
        <v>2351</v>
      </c>
      <c r="I110" s="524" t="s">
        <v>2344</v>
      </c>
      <c r="J110" s="509">
        <v>340000</v>
      </c>
      <c r="K110" s="509"/>
      <c r="L110" s="511"/>
      <c r="M110" s="489" t="str">
        <f t="shared" si="4"/>
        <v>DDDDDDDĐ</v>
      </c>
      <c r="N110" s="489"/>
    </row>
    <row r="111" spans="1:14" s="519" customFormat="1" ht="18" customHeight="1">
      <c r="A111" s="518">
        <v>81</v>
      </c>
      <c r="B111" s="523" t="s">
        <v>2352</v>
      </c>
      <c r="C111" s="524" t="s">
        <v>2344</v>
      </c>
      <c r="D111" s="509">
        <v>360000</v>
      </c>
      <c r="E111" s="509"/>
      <c r="F111" s="511"/>
      <c r="G111" s="518">
        <v>81</v>
      </c>
      <c r="H111" s="523" t="s">
        <v>2352</v>
      </c>
      <c r="I111" s="524" t="s">
        <v>2344</v>
      </c>
      <c r="J111" s="509">
        <v>360000</v>
      </c>
      <c r="K111" s="509"/>
      <c r="L111" s="511"/>
      <c r="M111" s="489" t="str">
        <f t="shared" si="4"/>
        <v>DDDDDDDĐ</v>
      </c>
      <c r="N111" s="489"/>
    </row>
    <row r="112" spans="1:14" s="519" customFormat="1" ht="36.75" customHeight="1">
      <c r="A112" s="518">
        <v>82</v>
      </c>
      <c r="B112" s="523" t="s">
        <v>2353</v>
      </c>
      <c r="C112" s="524" t="s">
        <v>2344</v>
      </c>
      <c r="D112" s="509">
        <v>390000</v>
      </c>
      <c r="E112" s="509"/>
      <c r="F112" s="511"/>
      <c r="G112" s="518">
        <v>82</v>
      </c>
      <c r="H112" s="523" t="s">
        <v>2353</v>
      </c>
      <c r="I112" s="524" t="s">
        <v>2344</v>
      </c>
      <c r="J112" s="509">
        <v>390000</v>
      </c>
      <c r="K112" s="509"/>
      <c r="L112" s="511"/>
      <c r="M112" s="489" t="str">
        <f t="shared" si="4"/>
        <v>DDDDDDDĐ</v>
      </c>
      <c r="N112" s="489"/>
    </row>
    <row r="113" spans="1:14" s="519" customFormat="1" ht="18">
      <c r="A113" s="518">
        <v>83</v>
      </c>
      <c r="B113" s="523" t="s">
        <v>2354</v>
      </c>
      <c r="C113" s="524" t="s">
        <v>2344</v>
      </c>
      <c r="D113" s="509">
        <v>220000</v>
      </c>
      <c r="E113" s="509"/>
      <c r="F113" s="511"/>
      <c r="G113" s="518">
        <v>83</v>
      </c>
      <c r="H113" s="523" t="s">
        <v>2354</v>
      </c>
      <c r="I113" s="524" t="s">
        <v>2344</v>
      </c>
      <c r="J113" s="509">
        <v>220000</v>
      </c>
      <c r="K113" s="509"/>
      <c r="L113" s="511"/>
      <c r="M113" s="489" t="str">
        <f t="shared" si="4"/>
        <v>DDDDDDDĐ</v>
      </c>
      <c r="N113" s="489"/>
    </row>
    <row r="114" spans="1:14" s="519" customFormat="1" ht="18.600000000000001" customHeight="1">
      <c r="A114" s="518">
        <v>84</v>
      </c>
      <c r="B114" s="523" t="s">
        <v>2355</v>
      </c>
      <c r="C114" s="524" t="s">
        <v>2344</v>
      </c>
      <c r="D114" s="509">
        <v>250000</v>
      </c>
      <c r="E114" s="509"/>
      <c r="F114" s="511"/>
      <c r="G114" s="518">
        <v>84</v>
      </c>
      <c r="H114" s="523" t="s">
        <v>2355</v>
      </c>
      <c r="I114" s="524" t="s">
        <v>2344</v>
      </c>
      <c r="J114" s="509">
        <v>250000</v>
      </c>
      <c r="K114" s="509"/>
      <c r="L114" s="511"/>
      <c r="M114" s="489" t="str">
        <f t="shared" si="4"/>
        <v>DDDDDDDĐ</v>
      </c>
      <c r="N114" s="489"/>
    </row>
    <row r="115" spans="1:14" s="519" customFormat="1" ht="18.600000000000001" customHeight="1">
      <c r="A115" s="518">
        <v>85</v>
      </c>
      <c r="B115" s="523" t="s">
        <v>2356</v>
      </c>
      <c r="C115" s="524" t="s">
        <v>2344</v>
      </c>
      <c r="D115" s="509">
        <v>290000</v>
      </c>
      <c r="E115" s="509"/>
      <c r="F115" s="511"/>
      <c r="G115" s="518">
        <v>85</v>
      </c>
      <c r="H115" s="523" t="s">
        <v>2356</v>
      </c>
      <c r="I115" s="524" t="s">
        <v>2344</v>
      </c>
      <c r="J115" s="509">
        <v>290000</v>
      </c>
      <c r="K115" s="509"/>
      <c r="L115" s="511"/>
      <c r="M115" s="489" t="str">
        <f t="shared" si="4"/>
        <v>DDDDDDDĐ</v>
      </c>
      <c r="N115" s="489"/>
    </row>
    <row r="116" spans="1:14" s="519" customFormat="1" ht="18.600000000000001" customHeight="1">
      <c r="A116" s="1165"/>
      <c r="B116" s="2160" t="s">
        <v>2357</v>
      </c>
      <c r="C116" s="2160"/>
      <c r="D116" s="2160"/>
      <c r="E116" s="2160"/>
      <c r="F116" s="2160"/>
      <c r="G116" s="1165"/>
      <c r="H116" s="2160" t="s">
        <v>2357</v>
      </c>
      <c r="I116" s="2160"/>
      <c r="J116" s="2160"/>
      <c r="K116" s="2160"/>
      <c r="L116" s="2160"/>
      <c r="M116" s="489" t="str">
        <f t="shared" si="4"/>
        <v>DDDDDDDĐ</v>
      </c>
      <c r="N116" s="489"/>
    </row>
    <row r="117" spans="1:14" s="519" customFormat="1" ht="18.600000000000001" customHeight="1">
      <c r="A117" s="1155"/>
      <c r="B117" s="1166" t="s">
        <v>2358</v>
      </c>
      <c r="C117" s="1167"/>
      <c r="D117" s="1167"/>
      <c r="E117" s="1167"/>
      <c r="F117" s="1167"/>
      <c r="G117" s="1155"/>
      <c r="H117" s="1166" t="s">
        <v>2358</v>
      </c>
      <c r="I117" s="1167"/>
      <c r="J117" s="1167"/>
      <c r="K117" s="1167"/>
      <c r="L117" s="1167"/>
      <c r="M117" s="489" t="str">
        <f t="shared" si="4"/>
        <v>DDDDDDDĐ</v>
      </c>
      <c r="N117" s="489"/>
    </row>
    <row r="118" spans="1:14" s="519" customFormat="1" ht="18.600000000000001" customHeight="1">
      <c r="A118" s="1161"/>
      <c r="B118" s="1164" t="s">
        <v>2359</v>
      </c>
      <c r="C118" s="1168"/>
      <c r="D118" s="1169"/>
      <c r="E118" s="1169"/>
      <c r="F118" s="1159"/>
      <c r="G118" s="1161"/>
      <c r="H118" s="1164" t="s">
        <v>2359</v>
      </c>
      <c r="I118" s="1168"/>
      <c r="J118" s="1169"/>
      <c r="K118" s="1169"/>
      <c r="L118" s="1159"/>
      <c r="M118" s="489" t="str">
        <f t="shared" si="4"/>
        <v>DDDDDDDĐ</v>
      </c>
    </row>
    <row r="119" spans="1:14" s="519" customFormat="1" ht="18.600000000000001" customHeight="1">
      <c r="A119" s="1161">
        <v>86</v>
      </c>
      <c r="B119" s="1170" t="s">
        <v>5260</v>
      </c>
      <c r="C119" s="1171" t="s">
        <v>2344</v>
      </c>
      <c r="D119" s="1169">
        <v>278300</v>
      </c>
      <c r="E119" s="1169"/>
      <c r="F119" s="1159"/>
      <c r="G119" s="1161">
        <v>86</v>
      </c>
      <c r="H119" s="1170" t="s">
        <v>5260</v>
      </c>
      <c r="I119" s="1171" t="s">
        <v>2344</v>
      </c>
      <c r="J119" s="1169">
        <v>278300</v>
      </c>
      <c r="K119" s="1169"/>
      <c r="L119" s="1159"/>
      <c r="M119" s="489" t="str">
        <f t="shared" si="4"/>
        <v>DDDDDDDĐ</v>
      </c>
    </row>
    <row r="120" spans="1:14" s="519" customFormat="1" ht="18.600000000000001" customHeight="1">
      <c r="A120" s="1161">
        <v>87</v>
      </c>
      <c r="B120" s="1170" t="s">
        <v>2360</v>
      </c>
      <c r="C120" s="1171" t="s">
        <v>2344</v>
      </c>
      <c r="D120" s="1169">
        <v>290400</v>
      </c>
      <c r="E120" s="1169"/>
      <c r="F120" s="1159"/>
      <c r="G120" s="1161">
        <v>87</v>
      </c>
      <c r="H120" s="1170" t="s">
        <v>2360</v>
      </c>
      <c r="I120" s="1171" t="s">
        <v>2344</v>
      </c>
      <c r="J120" s="1169">
        <v>290400</v>
      </c>
      <c r="K120" s="1169"/>
      <c r="L120" s="1159"/>
      <c r="M120" s="489" t="str">
        <f t="shared" si="4"/>
        <v>DDDDDDDĐ</v>
      </c>
    </row>
    <row r="121" spans="1:14" s="489" customFormat="1" ht="18.600000000000001" customHeight="1">
      <c r="A121" s="1161">
        <v>88</v>
      </c>
      <c r="B121" s="1170" t="s">
        <v>2361</v>
      </c>
      <c r="C121" s="1171" t="s">
        <v>2344</v>
      </c>
      <c r="D121" s="1169">
        <v>302500</v>
      </c>
      <c r="E121" s="1169"/>
      <c r="F121" s="1159"/>
      <c r="G121" s="1161">
        <v>88</v>
      </c>
      <c r="H121" s="1170" t="s">
        <v>2361</v>
      </c>
      <c r="I121" s="1171" t="s">
        <v>2344</v>
      </c>
      <c r="J121" s="1169">
        <v>302500</v>
      </c>
      <c r="K121" s="1169"/>
      <c r="L121" s="1159"/>
      <c r="M121" s="489" t="str">
        <f t="shared" si="4"/>
        <v>DDDDDDDĐ</v>
      </c>
    </row>
    <row r="122" spans="1:14" s="489" customFormat="1" ht="18.600000000000001" customHeight="1">
      <c r="A122" s="1161"/>
      <c r="B122" s="1164" t="s">
        <v>2362</v>
      </c>
      <c r="C122" s="1168"/>
      <c r="D122" s="1169"/>
      <c r="E122" s="1169"/>
      <c r="F122" s="1159"/>
      <c r="G122" s="1161"/>
      <c r="H122" s="1164" t="s">
        <v>2362</v>
      </c>
      <c r="I122" s="1168"/>
      <c r="J122" s="1169"/>
      <c r="K122" s="1169"/>
      <c r="L122" s="1159"/>
      <c r="M122" s="489" t="str">
        <f t="shared" si="4"/>
        <v>DDDDDDDĐ</v>
      </c>
    </row>
    <row r="123" spans="1:14" s="489" customFormat="1" ht="18.600000000000001" customHeight="1">
      <c r="A123" s="1161">
        <v>89</v>
      </c>
      <c r="B123" s="1170" t="s">
        <v>5260</v>
      </c>
      <c r="C123" s="1171" t="s">
        <v>2344</v>
      </c>
      <c r="D123" s="1169">
        <v>430500</v>
      </c>
      <c r="E123" s="1169"/>
      <c r="F123" s="1159"/>
      <c r="G123" s="1161">
        <v>89</v>
      </c>
      <c r="H123" s="1170" t="s">
        <v>5260</v>
      </c>
      <c r="I123" s="1171" t="s">
        <v>2344</v>
      </c>
      <c r="J123" s="1169">
        <v>430500</v>
      </c>
      <c r="K123" s="1169"/>
      <c r="L123" s="1159"/>
      <c r="M123" s="489" t="str">
        <f t="shared" si="4"/>
        <v>DDDDDDDĐ</v>
      </c>
    </row>
    <row r="124" spans="1:14" s="489" customFormat="1" ht="18.600000000000001" customHeight="1">
      <c r="A124" s="1161">
        <v>90</v>
      </c>
      <c r="B124" s="1170" t="s">
        <v>2360</v>
      </c>
      <c r="C124" s="1171" t="s">
        <v>2344</v>
      </c>
      <c r="D124" s="1169">
        <v>472500</v>
      </c>
      <c r="E124" s="1169"/>
      <c r="F124" s="1159"/>
      <c r="G124" s="1161">
        <v>90</v>
      </c>
      <c r="H124" s="1170" t="s">
        <v>2360</v>
      </c>
      <c r="I124" s="1171" t="s">
        <v>2344</v>
      </c>
      <c r="J124" s="1169">
        <v>472500</v>
      </c>
      <c r="K124" s="1169"/>
      <c r="L124" s="1159"/>
      <c r="M124" s="489" t="str">
        <f t="shared" si="4"/>
        <v>DDDDDDDĐ</v>
      </c>
    </row>
    <row r="125" spans="1:14" s="489" customFormat="1" ht="18.600000000000001" customHeight="1">
      <c r="A125" s="1161">
        <v>91</v>
      </c>
      <c r="B125" s="1170" t="s">
        <v>2361</v>
      </c>
      <c r="C125" s="1171" t="s">
        <v>2344</v>
      </c>
      <c r="D125" s="1169">
        <v>504000</v>
      </c>
      <c r="E125" s="1169"/>
      <c r="F125" s="1159"/>
      <c r="G125" s="1161">
        <v>91</v>
      </c>
      <c r="H125" s="1170" t="s">
        <v>2361</v>
      </c>
      <c r="I125" s="1171" t="s">
        <v>2344</v>
      </c>
      <c r="J125" s="1169">
        <v>504000</v>
      </c>
      <c r="K125" s="1169"/>
      <c r="L125" s="1159"/>
      <c r="M125" s="489" t="str">
        <f t="shared" si="4"/>
        <v>DDDDDDDĐ</v>
      </c>
    </row>
    <row r="126" spans="1:14" s="489" customFormat="1" ht="18.600000000000001" customHeight="1">
      <c r="A126" s="1161"/>
      <c r="B126" s="1164" t="s">
        <v>2363</v>
      </c>
      <c r="C126" s="1168"/>
      <c r="D126" s="1169"/>
      <c r="E126" s="1169"/>
      <c r="F126" s="1159"/>
      <c r="G126" s="1161"/>
      <c r="H126" s="1164" t="s">
        <v>2363</v>
      </c>
      <c r="I126" s="1168"/>
      <c r="J126" s="1169"/>
      <c r="K126" s="1169"/>
      <c r="L126" s="1159"/>
      <c r="M126" s="489" t="str">
        <f t="shared" si="4"/>
        <v>DDDDDDDĐ</v>
      </c>
    </row>
    <row r="127" spans="1:14" s="489" customFormat="1" ht="18.600000000000001" customHeight="1">
      <c r="A127" s="1161">
        <v>92</v>
      </c>
      <c r="B127" s="1170" t="s">
        <v>5260</v>
      </c>
      <c r="C127" s="1171" t="s">
        <v>2344</v>
      </c>
      <c r="D127" s="1169">
        <v>688800</v>
      </c>
      <c r="E127" s="1169"/>
      <c r="F127" s="1159"/>
      <c r="G127" s="1161">
        <v>92</v>
      </c>
      <c r="H127" s="1170" t="s">
        <v>5260</v>
      </c>
      <c r="I127" s="1171" t="s">
        <v>2344</v>
      </c>
      <c r="J127" s="1169">
        <v>688800</v>
      </c>
      <c r="K127" s="1169"/>
      <c r="L127" s="1159"/>
      <c r="M127" s="489" t="str">
        <f t="shared" si="4"/>
        <v>DDDDDDDĐ</v>
      </c>
    </row>
    <row r="128" spans="1:14" s="489" customFormat="1" ht="18.600000000000001" customHeight="1">
      <c r="A128" s="1161">
        <v>93</v>
      </c>
      <c r="B128" s="1170" t="s">
        <v>2360</v>
      </c>
      <c r="C128" s="1171" t="s">
        <v>2344</v>
      </c>
      <c r="D128" s="1169">
        <v>760200</v>
      </c>
      <c r="E128" s="1169"/>
      <c r="F128" s="1159"/>
      <c r="G128" s="1161">
        <v>93</v>
      </c>
      <c r="H128" s="1170" t="s">
        <v>2360</v>
      </c>
      <c r="I128" s="1171" t="s">
        <v>2344</v>
      </c>
      <c r="J128" s="1169">
        <v>760200</v>
      </c>
      <c r="K128" s="1169"/>
      <c r="L128" s="1159"/>
      <c r="M128" s="489" t="str">
        <f t="shared" si="4"/>
        <v>DDDDDDDĐ</v>
      </c>
    </row>
    <row r="129" spans="1:13" s="489" customFormat="1" ht="18.600000000000001" customHeight="1">
      <c r="A129" s="1161">
        <v>94</v>
      </c>
      <c r="B129" s="1170" t="s">
        <v>2361</v>
      </c>
      <c r="C129" s="1171" t="s">
        <v>2344</v>
      </c>
      <c r="D129" s="1169">
        <v>854700</v>
      </c>
      <c r="E129" s="1169"/>
      <c r="F129" s="1159"/>
      <c r="G129" s="1161">
        <v>94</v>
      </c>
      <c r="H129" s="1170" t="s">
        <v>2361</v>
      </c>
      <c r="I129" s="1171" t="s">
        <v>2344</v>
      </c>
      <c r="J129" s="1169">
        <v>854700</v>
      </c>
      <c r="K129" s="1169"/>
      <c r="L129" s="1159"/>
      <c r="M129" s="489" t="str">
        <f t="shared" si="4"/>
        <v>DDDDDDDĐ</v>
      </c>
    </row>
    <row r="130" spans="1:13" s="489" customFormat="1" ht="18.600000000000001" customHeight="1">
      <c r="A130" s="1161"/>
      <c r="B130" s="1164" t="s">
        <v>2364</v>
      </c>
      <c r="C130" s="1168"/>
      <c r="D130" s="1169"/>
      <c r="E130" s="1169"/>
      <c r="F130" s="1159"/>
      <c r="G130" s="1161"/>
      <c r="H130" s="1164" t="s">
        <v>2364</v>
      </c>
      <c r="I130" s="1168"/>
      <c r="J130" s="1169"/>
      <c r="K130" s="1169"/>
      <c r="L130" s="1159"/>
      <c r="M130" s="489" t="str">
        <f t="shared" si="4"/>
        <v>DDDDDDDĐ</v>
      </c>
    </row>
    <row r="131" spans="1:13" s="489" customFormat="1" ht="18.600000000000001" customHeight="1">
      <c r="A131" s="1161">
        <v>95</v>
      </c>
      <c r="B131" s="1170" t="s">
        <v>5260</v>
      </c>
      <c r="C131" s="1171" t="s">
        <v>2344</v>
      </c>
      <c r="D131" s="1169">
        <v>1092000</v>
      </c>
      <c r="E131" s="1169"/>
      <c r="F131" s="1159"/>
      <c r="G131" s="1161">
        <v>95</v>
      </c>
      <c r="H131" s="1170" t="s">
        <v>5260</v>
      </c>
      <c r="I131" s="1171" t="s">
        <v>2344</v>
      </c>
      <c r="J131" s="1169">
        <v>1092000</v>
      </c>
      <c r="K131" s="1169"/>
      <c r="L131" s="1159"/>
      <c r="M131" s="489" t="str">
        <f t="shared" si="4"/>
        <v>DDDDDDDĐ</v>
      </c>
    </row>
    <row r="132" spans="1:13" s="489" customFormat="1" ht="18.600000000000001" customHeight="1">
      <c r="A132" s="1161">
        <v>96</v>
      </c>
      <c r="B132" s="1170" t="s">
        <v>2360</v>
      </c>
      <c r="C132" s="1171" t="s">
        <v>2344</v>
      </c>
      <c r="D132" s="1169">
        <v>1201200</v>
      </c>
      <c r="E132" s="1169"/>
      <c r="F132" s="1159"/>
      <c r="G132" s="1161">
        <v>96</v>
      </c>
      <c r="H132" s="1170" t="s">
        <v>2360</v>
      </c>
      <c r="I132" s="1171" t="s">
        <v>2344</v>
      </c>
      <c r="J132" s="1169">
        <v>1201200</v>
      </c>
      <c r="K132" s="1169"/>
      <c r="L132" s="1159"/>
      <c r="M132" s="489" t="str">
        <f t="shared" si="4"/>
        <v>DDDDDDDĐ</v>
      </c>
    </row>
    <row r="133" spans="1:13" s="489" customFormat="1" ht="18.600000000000001" customHeight="1">
      <c r="A133" s="1161">
        <v>97</v>
      </c>
      <c r="B133" s="1170" t="s">
        <v>2361</v>
      </c>
      <c r="C133" s="1171" t="s">
        <v>2344</v>
      </c>
      <c r="D133" s="1169">
        <v>1356600</v>
      </c>
      <c r="E133" s="1169"/>
      <c r="F133" s="1159"/>
      <c r="G133" s="1161">
        <v>97</v>
      </c>
      <c r="H133" s="1170" t="s">
        <v>2361</v>
      </c>
      <c r="I133" s="1171" t="s">
        <v>2344</v>
      </c>
      <c r="J133" s="1169">
        <v>1356600</v>
      </c>
      <c r="K133" s="1169"/>
      <c r="L133" s="1159"/>
      <c r="M133" s="489" t="str">
        <f t="shared" si="4"/>
        <v>DDDDDDDĐ</v>
      </c>
    </row>
    <row r="134" spans="1:13" s="489" customFormat="1" ht="18.600000000000001" customHeight="1">
      <c r="A134" s="1161"/>
      <c r="B134" s="1164" t="s">
        <v>2365</v>
      </c>
      <c r="C134" s="1168"/>
      <c r="D134" s="1169"/>
      <c r="E134" s="1169"/>
      <c r="F134" s="1159"/>
      <c r="G134" s="1161"/>
      <c r="H134" s="1164" t="s">
        <v>2365</v>
      </c>
      <c r="I134" s="1168"/>
      <c r="J134" s="1169"/>
      <c r="K134" s="1169"/>
      <c r="L134" s="1159"/>
      <c r="M134" s="489" t="str">
        <f t="shared" si="4"/>
        <v>DDDDDDDĐ</v>
      </c>
    </row>
    <row r="135" spans="1:13" s="489" customFormat="1" ht="18.600000000000001" customHeight="1">
      <c r="A135" s="1161">
        <v>98</v>
      </c>
      <c r="B135" s="1170" t="s">
        <v>5260</v>
      </c>
      <c r="C135" s="1171" t="s">
        <v>2344</v>
      </c>
      <c r="D135" s="1169">
        <v>2103400</v>
      </c>
      <c r="E135" s="1169"/>
      <c r="F135" s="1159"/>
      <c r="G135" s="1161">
        <v>98</v>
      </c>
      <c r="H135" s="1170" t="s">
        <v>5260</v>
      </c>
      <c r="I135" s="1171" t="s">
        <v>2344</v>
      </c>
      <c r="J135" s="1169">
        <v>2103400</v>
      </c>
      <c r="K135" s="1169"/>
      <c r="L135" s="1159"/>
      <c r="M135" s="489" t="str">
        <f t="shared" si="4"/>
        <v>DDDDDDDĐ</v>
      </c>
    </row>
    <row r="136" spans="1:13" s="489" customFormat="1" ht="18.600000000000001" customHeight="1">
      <c r="A136" s="1161">
        <v>99</v>
      </c>
      <c r="B136" s="1170" t="s">
        <v>2360</v>
      </c>
      <c r="C136" s="1171" t="s">
        <v>2344</v>
      </c>
      <c r="D136" s="1169">
        <v>2189200</v>
      </c>
      <c r="E136" s="1169"/>
      <c r="F136" s="1159"/>
      <c r="G136" s="1161">
        <v>99</v>
      </c>
      <c r="H136" s="1170" t="s">
        <v>2360</v>
      </c>
      <c r="I136" s="1171" t="s">
        <v>2344</v>
      </c>
      <c r="J136" s="1169">
        <v>2189200</v>
      </c>
      <c r="K136" s="1169"/>
      <c r="L136" s="1159"/>
      <c r="M136" s="489" t="str">
        <f t="shared" si="4"/>
        <v>DDDDDDDĐ</v>
      </c>
    </row>
    <row r="137" spans="1:13" s="489" customFormat="1" ht="18.600000000000001" customHeight="1">
      <c r="A137" s="1161">
        <v>100</v>
      </c>
      <c r="B137" s="1170" t="s">
        <v>2361</v>
      </c>
      <c r="C137" s="1171" t="s">
        <v>2344</v>
      </c>
      <c r="D137" s="1169">
        <v>2321800</v>
      </c>
      <c r="E137" s="1169"/>
      <c r="F137" s="1159"/>
      <c r="G137" s="1161">
        <v>100</v>
      </c>
      <c r="H137" s="1170" t="s">
        <v>2361</v>
      </c>
      <c r="I137" s="1171" t="s">
        <v>2344</v>
      </c>
      <c r="J137" s="1169">
        <v>2321800</v>
      </c>
      <c r="K137" s="1169"/>
      <c r="L137" s="1159"/>
      <c r="M137" s="489" t="str">
        <f t="shared" si="4"/>
        <v>DDDDDDDĐ</v>
      </c>
    </row>
    <row r="138" spans="1:13" s="489" customFormat="1" ht="18.600000000000001" customHeight="1">
      <c r="A138" s="1161"/>
      <c r="B138" s="1164" t="s">
        <v>2366</v>
      </c>
      <c r="C138" s="1168"/>
      <c r="D138" s="1169"/>
      <c r="E138" s="1169"/>
      <c r="F138" s="1159"/>
      <c r="G138" s="1161"/>
      <c r="H138" s="1164" t="s">
        <v>2366</v>
      </c>
      <c r="I138" s="1168"/>
      <c r="J138" s="1169"/>
      <c r="K138" s="1169"/>
      <c r="L138" s="1159"/>
      <c r="M138" s="489" t="str">
        <f t="shared" si="4"/>
        <v>DDDDDDDĐ</v>
      </c>
    </row>
    <row r="139" spans="1:13" s="489" customFormat="1" ht="18.600000000000001" customHeight="1">
      <c r="A139" s="1161">
        <v>101</v>
      </c>
      <c r="B139" s="1170" t="s">
        <v>5260</v>
      </c>
      <c r="C139" s="1171" t="s">
        <v>2344</v>
      </c>
      <c r="D139" s="1169">
        <v>2587200</v>
      </c>
      <c r="E139" s="1169"/>
      <c r="F139" s="1159"/>
      <c r="G139" s="1161">
        <v>101</v>
      </c>
      <c r="H139" s="1170" t="s">
        <v>5260</v>
      </c>
      <c r="I139" s="1171" t="s">
        <v>2344</v>
      </c>
      <c r="J139" s="1169">
        <v>2587200</v>
      </c>
      <c r="K139" s="1169"/>
      <c r="L139" s="1159"/>
      <c r="M139" s="489" t="str">
        <f t="shared" si="4"/>
        <v>DDDDDDDĐ</v>
      </c>
    </row>
    <row r="140" spans="1:13" s="489" customFormat="1" ht="18.600000000000001" customHeight="1">
      <c r="A140" s="1161">
        <v>102</v>
      </c>
      <c r="B140" s="1170" t="s">
        <v>2360</v>
      </c>
      <c r="C140" s="1171" t="s">
        <v>2344</v>
      </c>
      <c r="D140" s="1169">
        <v>2752800</v>
      </c>
      <c r="E140" s="1169"/>
      <c r="F140" s="1159"/>
      <c r="G140" s="1161">
        <v>102</v>
      </c>
      <c r="H140" s="1170" t="s">
        <v>2360</v>
      </c>
      <c r="I140" s="1171" t="s">
        <v>2344</v>
      </c>
      <c r="J140" s="1169">
        <v>2752800</v>
      </c>
      <c r="K140" s="1169"/>
      <c r="L140" s="1159"/>
      <c r="M140" s="489" t="str">
        <f t="shared" si="4"/>
        <v>DDDDDDDĐ</v>
      </c>
    </row>
    <row r="141" spans="1:13" s="489" customFormat="1" ht="18.600000000000001" customHeight="1">
      <c r="A141" s="1161">
        <v>103</v>
      </c>
      <c r="B141" s="1170" t="s">
        <v>2361</v>
      </c>
      <c r="C141" s="1171" t="s">
        <v>2344</v>
      </c>
      <c r="D141" s="1169">
        <v>2985600</v>
      </c>
      <c r="E141" s="1169"/>
      <c r="F141" s="1159"/>
      <c r="G141" s="1161">
        <v>103</v>
      </c>
      <c r="H141" s="1170" t="s">
        <v>2361</v>
      </c>
      <c r="I141" s="1171" t="s">
        <v>2344</v>
      </c>
      <c r="J141" s="1169">
        <v>2985600</v>
      </c>
      <c r="K141" s="1169"/>
      <c r="L141" s="1159"/>
      <c r="M141" s="489" t="str">
        <f t="shared" si="4"/>
        <v>DDDDDDDĐ</v>
      </c>
    </row>
    <row r="142" spans="1:13" s="489" customFormat="1" ht="18.600000000000001" customHeight="1">
      <c r="A142" s="1161"/>
      <c r="B142" s="1164" t="s">
        <v>2367</v>
      </c>
      <c r="C142" s="1168"/>
      <c r="D142" s="1169"/>
      <c r="E142" s="1169"/>
      <c r="F142" s="1159"/>
      <c r="G142" s="1161"/>
      <c r="H142" s="1164" t="s">
        <v>2367</v>
      </c>
      <c r="I142" s="1168"/>
      <c r="J142" s="1169"/>
      <c r="K142" s="1169"/>
      <c r="L142" s="1159"/>
      <c r="M142" s="489" t="str">
        <f t="shared" si="4"/>
        <v>DDDDDDDĐ</v>
      </c>
    </row>
    <row r="143" spans="1:13" s="489" customFormat="1" ht="18.600000000000001" customHeight="1">
      <c r="A143" s="1161">
        <v>104</v>
      </c>
      <c r="B143" s="1170" t="s">
        <v>2368</v>
      </c>
      <c r="C143" s="1171" t="s">
        <v>2338</v>
      </c>
      <c r="D143" s="1169">
        <v>140000</v>
      </c>
      <c r="E143" s="1169"/>
      <c r="F143" s="1159"/>
      <c r="G143" s="1161">
        <v>104</v>
      </c>
      <c r="H143" s="1170" t="s">
        <v>2368</v>
      </c>
      <c r="I143" s="1171" t="s">
        <v>2338</v>
      </c>
      <c r="J143" s="1169">
        <v>140000</v>
      </c>
      <c r="K143" s="1169"/>
      <c r="L143" s="1159"/>
      <c r="M143" s="489" t="str">
        <f t="shared" si="4"/>
        <v>DDDDDDDĐ</v>
      </c>
    </row>
    <row r="144" spans="1:13" s="489" customFormat="1" ht="18.600000000000001" customHeight="1">
      <c r="A144" s="1161">
        <v>105</v>
      </c>
      <c r="B144" s="1170" t="s">
        <v>2369</v>
      </c>
      <c r="C144" s="1171" t="s">
        <v>2338</v>
      </c>
      <c r="D144" s="1169">
        <v>203000</v>
      </c>
      <c r="E144" s="1169"/>
      <c r="F144" s="1159"/>
      <c r="G144" s="1161">
        <v>105</v>
      </c>
      <c r="H144" s="1170" t="s">
        <v>2369</v>
      </c>
      <c r="I144" s="1171" t="s">
        <v>2338</v>
      </c>
      <c r="J144" s="1169">
        <v>203000</v>
      </c>
      <c r="K144" s="1169"/>
      <c r="L144" s="1159"/>
      <c r="M144" s="489" t="str">
        <f t="shared" si="4"/>
        <v>DDDDDDDĐ</v>
      </c>
    </row>
    <row r="145" spans="1:13" s="489" customFormat="1" ht="18.600000000000001" customHeight="1">
      <c r="A145" s="1161">
        <v>106</v>
      </c>
      <c r="B145" s="1170" t="s">
        <v>2370</v>
      </c>
      <c r="C145" s="1171" t="s">
        <v>2338</v>
      </c>
      <c r="D145" s="1169">
        <v>250000</v>
      </c>
      <c r="E145" s="1169"/>
      <c r="F145" s="1159"/>
      <c r="G145" s="1161">
        <v>106</v>
      </c>
      <c r="H145" s="1170" t="s">
        <v>2370</v>
      </c>
      <c r="I145" s="1171" t="s">
        <v>2338</v>
      </c>
      <c r="J145" s="1169">
        <v>250000</v>
      </c>
      <c r="K145" s="1169"/>
      <c r="L145" s="1159"/>
      <c r="M145" s="489" t="str">
        <f t="shared" si="4"/>
        <v>DDDDDDDĐ</v>
      </c>
    </row>
    <row r="146" spans="1:13" s="489" customFormat="1" ht="18.600000000000001" customHeight="1">
      <c r="A146" s="1161">
        <v>107</v>
      </c>
      <c r="B146" s="1170" t="s">
        <v>2371</v>
      </c>
      <c r="C146" s="1171" t="s">
        <v>2338</v>
      </c>
      <c r="D146" s="1169">
        <v>310000</v>
      </c>
      <c r="E146" s="1169"/>
      <c r="F146" s="1159"/>
      <c r="G146" s="1161">
        <v>107</v>
      </c>
      <c r="H146" s="1170" t="s">
        <v>2371</v>
      </c>
      <c r="I146" s="1171" t="s">
        <v>2338</v>
      </c>
      <c r="J146" s="1169">
        <v>310000</v>
      </c>
      <c r="K146" s="1169"/>
      <c r="L146" s="1159"/>
      <c r="M146" s="489" t="str">
        <f t="shared" si="4"/>
        <v>DDDDDDDĐ</v>
      </c>
    </row>
    <row r="147" spans="1:13" s="489" customFormat="1" ht="18.600000000000001" customHeight="1">
      <c r="A147" s="1161"/>
      <c r="B147" s="1164" t="s">
        <v>2372</v>
      </c>
      <c r="C147" s="1168"/>
      <c r="D147" s="1169"/>
      <c r="E147" s="1169"/>
      <c r="F147" s="1159"/>
      <c r="G147" s="1161"/>
      <c r="H147" s="1164" t="s">
        <v>2372</v>
      </c>
      <c r="I147" s="1168"/>
      <c r="J147" s="1169"/>
      <c r="K147" s="1169"/>
      <c r="L147" s="1159"/>
      <c r="M147" s="489" t="str">
        <f t="shared" si="4"/>
        <v>DDDDDDDĐ</v>
      </c>
    </row>
    <row r="148" spans="1:13" s="489" customFormat="1" ht="18.600000000000001" customHeight="1">
      <c r="A148" s="1161">
        <v>108</v>
      </c>
      <c r="B148" s="1170" t="s">
        <v>2373</v>
      </c>
      <c r="C148" s="1171" t="s">
        <v>2374</v>
      </c>
      <c r="D148" s="1169">
        <v>33500</v>
      </c>
      <c r="E148" s="1169"/>
      <c r="F148" s="1159"/>
      <c r="G148" s="1161">
        <v>108</v>
      </c>
      <c r="H148" s="1170" t="s">
        <v>2373</v>
      </c>
      <c r="I148" s="1171" t="s">
        <v>2374</v>
      </c>
      <c r="J148" s="1169">
        <v>33500</v>
      </c>
      <c r="K148" s="1169"/>
      <c r="L148" s="1159"/>
      <c r="M148" s="489" t="str">
        <f t="shared" si="4"/>
        <v>DDDDDDDĐ</v>
      </c>
    </row>
    <row r="149" spans="1:13" s="489" customFormat="1" ht="18.600000000000001" customHeight="1">
      <c r="A149" s="1161">
        <v>109</v>
      </c>
      <c r="B149" s="1170" t="s">
        <v>2375</v>
      </c>
      <c r="C149" s="1171" t="s">
        <v>2374</v>
      </c>
      <c r="D149" s="1169">
        <v>37800</v>
      </c>
      <c r="E149" s="1169"/>
      <c r="F149" s="1159"/>
      <c r="G149" s="1161">
        <v>109</v>
      </c>
      <c r="H149" s="1170" t="s">
        <v>2375</v>
      </c>
      <c r="I149" s="1171" t="s">
        <v>2374</v>
      </c>
      <c r="J149" s="1169">
        <v>37800</v>
      </c>
      <c r="K149" s="1169"/>
      <c r="L149" s="1159"/>
      <c r="M149" s="489" t="str">
        <f t="shared" si="4"/>
        <v>DDDDDDDĐ</v>
      </c>
    </row>
    <row r="150" spans="1:13" s="489" customFormat="1" ht="18.600000000000001" customHeight="1">
      <c r="A150" s="1161">
        <v>110</v>
      </c>
      <c r="B150" s="1170" t="s">
        <v>2376</v>
      </c>
      <c r="C150" s="1171" t="s">
        <v>2374</v>
      </c>
      <c r="D150" s="1169">
        <v>47500</v>
      </c>
      <c r="E150" s="1169"/>
      <c r="F150" s="1159"/>
      <c r="G150" s="1161">
        <v>110</v>
      </c>
      <c r="H150" s="1170" t="s">
        <v>2376</v>
      </c>
      <c r="I150" s="1171" t="s">
        <v>2374</v>
      </c>
      <c r="J150" s="1169">
        <v>47500</v>
      </c>
      <c r="K150" s="1169"/>
      <c r="L150" s="1159"/>
      <c r="M150" s="489" t="str">
        <f t="shared" si="4"/>
        <v>DDDDDDDĐ</v>
      </c>
    </row>
    <row r="151" spans="1:13" s="489" customFormat="1" ht="18.600000000000001" customHeight="1">
      <c r="A151" s="1161">
        <v>111</v>
      </c>
      <c r="B151" s="1170" t="s">
        <v>2377</v>
      </c>
      <c r="C151" s="1171" t="s">
        <v>2374</v>
      </c>
      <c r="D151" s="1169">
        <v>58400</v>
      </c>
      <c r="E151" s="1169"/>
      <c r="F151" s="1159"/>
      <c r="G151" s="1161">
        <v>111</v>
      </c>
      <c r="H151" s="1170" t="s">
        <v>2377</v>
      </c>
      <c r="I151" s="1171" t="s">
        <v>2374</v>
      </c>
      <c r="J151" s="1169">
        <v>58400</v>
      </c>
      <c r="K151" s="1169"/>
      <c r="L151" s="1159"/>
      <c r="M151" s="489" t="str">
        <f t="shared" si="4"/>
        <v>DDDDDDDĐ</v>
      </c>
    </row>
    <row r="152" spans="1:13" s="489" customFormat="1" ht="18.600000000000001" customHeight="1">
      <c r="A152" s="1161">
        <v>112</v>
      </c>
      <c r="B152" s="1170" t="s">
        <v>2378</v>
      </c>
      <c r="C152" s="1171" t="s">
        <v>2374</v>
      </c>
      <c r="D152" s="1169">
        <v>68200</v>
      </c>
      <c r="E152" s="1169"/>
      <c r="F152" s="1159"/>
      <c r="G152" s="1161">
        <v>112</v>
      </c>
      <c r="H152" s="1170" t="s">
        <v>2378</v>
      </c>
      <c r="I152" s="1171" t="s">
        <v>2374</v>
      </c>
      <c r="J152" s="1169">
        <v>68200</v>
      </c>
      <c r="K152" s="1169"/>
      <c r="L152" s="1159"/>
      <c r="M152" s="489" t="str">
        <f t="shared" si="4"/>
        <v>DDDDDDDĐ</v>
      </c>
    </row>
    <row r="153" spans="1:13" s="489" customFormat="1" ht="18.600000000000001" customHeight="1">
      <c r="A153" s="1161">
        <v>113</v>
      </c>
      <c r="B153" s="1170" t="s">
        <v>2379</v>
      </c>
      <c r="C153" s="1171" t="s">
        <v>2374</v>
      </c>
      <c r="D153" s="1169">
        <v>79100</v>
      </c>
      <c r="E153" s="1169"/>
      <c r="F153" s="1159"/>
      <c r="G153" s="1161">
        <v>113</v>
      </c>
      <c r="H153" s="1170" t="s">
        <v>2379</v>
      </c>
      <c r="I153" s="1171" t="s">
        <v>2374</v>
      </c>
      <c r="J153" s="1169">
        <v>79100</v>
      </c>
      <c r="K153" s="1169"/>
      <c r="L153" s="1159"/>
      <c r="M153" s="489" t="str">
        <f t="shared" si="4"/>
        <v>DDDDDDDĐ</v>
      </c>
    </row>
    <row r="154" spans="1:13" s="489" customFormat="1" ht="18.600000000000001" customHeight="1">
      <c r="A154" s="1161">
        <v>114</v>
      </c>
      <c r="B154" s="1170" t="s">
        <v>2380</v>
      </c>
      <c r="C154" s="1171" t="s">
        <v>2374</v>
      </c>
      <c r="D154" s="1433">
        <v>94400</v>
      </c>
      <c r="E154" s="1169"/>
      <c r="F154" s="1159"/>
      <c r="G154" s="1161">
        <v>114</v>
      </c>
      <c r="H154" s="1170" t="s">
        <v>2380</v>
      </c>
      <c r="I154" s="1171" t="s">
        <v>2374</v>
      </c>
      <c r="J154" s="1169">
        <v>94400</v>
      </c>
      <c r="K154" s="1169"/>
      <c r="L154" s="1159"/>
      <c r="M154" s="489" t="str">
        <f t="shared" si="4"/>
        <v>DDDDDDDĐ</v>
      </c>
    </row>
    <row r="155" spans="1:13" s="489" customFormat="1" ht="18.600000000000001" customHeight="1">
      <c r="A155" s="1161">
        <v>115</v>
      </c>
      <c r="B155" s="1170" t="s">
        <v>2381</v>
      </c>
      <c r="C155" s="1171" t="s">
        <v>2374</v>
      </c>
      <c r="D155" s="1169">
        <v>107000</v>
      </c>
      <c r="E155" s="1169"/>
      <c r="F155" s="1159"/>
      <c r="G155" s="1161">
        <v>115</v>
      </c>
      <c r="H155" s="1170" t="s">
        <v>2381</v>
      </c>
      <c r="I155" s="1171" t="s">
        <v>2374</v>
      </c>
      <c r="J155" s="1169">
        <v>107000</v>
      </c>
      <c r="K155" s="1169"/>
      <c r="L155" s="1159"/>
      <c r="M155" s="489" t="str">
        <f t="shared" si="4"/>
        <v>DDDDDDDĐ</v>
      </c>
    </row>
    <row r="156" spans="1:13" s="489" customFormat="1" ht="18.600000000000001" customHeight="1">
      <c r="A156" s="1161">
        <v>116</v>
      </c>
      <c r="B156" s="1170" t="s">
        <v>2382</v>
      </c>
      <c r="C156" s="1171" t="s">
        <v>2374</v>
      </c>
      <c r="D156" s="1169">
        <v>118000</v>
      </c>
      <c r="E156" s="1169"/>
      <c r="F156" s="1159"/>
      <c r="G156" s="1161">
        <v>116</v>
      </c>
      <c r="H156" s="1170" t="s">
        <v>2382</v>
      </c>
      <c r="I156" s="1171" t="s">
        <v>2374</v>
      </c>
      <c r="J156" s="1169">
        <v>118000</v>
      </c>
      <c r="K156" s="1169"/>
      <c r="L156" s="1159"/>
      <c r="M156" s="489" t="str">
        <f t="shared" si="4"/>
        <v>DDDDDDDĐ</v>
      </c>
    </row>
    <row r="157" spans="1:13" s="489" customFormat="1" ht="38.25" customHeight="1">
      <c r="A157" s="1161"/>
      <c r="B157" s="2160" t="s">
        <v>5261</v>
      </c>
      <c r="C157" s="2160"/>
      <c r="D157" s="2160"/>
      <c r="E157" s="2160"/>
      <c r="F157" s="2160"/>
      <c r="G157" s="1161"/>
      <c r="H157" s="2160" t="s">
        <v>5261</v>
      </c>
      <c r="I157" s="2160"/>
      <c r="J157" s="2160"/>
      <c r="K157" s="2160"/>
      <c r="L157" s="2160"/>
      <c r="M157" s="489" t="str">
        <f t="shared" si="4"/>
        <v>DDDDDDDĐ</v>
      </c>
    </row>
    <row r="158" spans="1:13" s="489" customFormat="1" ht="20.100000000000001" customHeight="1">
      <c r="A158" s="1161">
        <v>117</v>
      </c>
      <c r="B158" s="1170" t="s">
        <v>2383</v>
      </c>
      <c r="C158" s="1171" t="s">
        <v>2344</v>
      </c>
      <c r="D158" s="1169">
        <v>44100</v>
      </c>
      <c r="E158" s="1169"/>
      <c r="F158" s="1159"/>
      <c r="G158" s="1161">
        <v>117</v>
      </c>
      <c r="H158" s="1170" t="s">
        <v>2383</v>
      </c>
      <c r="I158" s="1171" t="s">
        <v>2344</v>
      </c>
      <c r="J158" s="1169">
        <v>44100</v>
      </c>
      <c r="K158" s="1169"/>
      <c r="L158" s="1159"/>
      <c r="M158" s="489" t="str">
        <f t="shared" si="4"/>
        <v>DDDDDDDĐ</v>
      </c>
    </row>
    <row r="159" spans="1:13" s="489" customFormat="1" ht="20.100000000000001" customHeight="1">
      <c r="A159" s="1161">
        <v>118</v>
      </c>
      <c r="B159" s="1170" t="s">
        <v>2384</v>
      </c>
      <c r="C159" s="1171" t="s">
        <v>2344</v>
      </c>
      <c r="D159" s="1169">
        <v>61900</v>
      </c>
      <c r="E159" s="1169"/>
      <c r="F159" s="1159"/>
      <c r="G159" s="1161">
        <v>118</v>
      </c>
      <c r="H159" s="1170" t="s">
        <v>2384</v>
      </c>
      <c r="I159" s="1171" t="s">
        <v>2344</v>
      </c>
      <c r="J159" s="1169">
        <v>61900</v>
      </c>
      <c r="K159" s="1169"/>
      <c r="L159" s="1159"/>
      <c r="M159" s="489" t="str">
        <f t="shared" si="4"/>
        <v>DDDDDDDĐ</v>
      </c>
    </row>
    <row r="160" spans="1:13" s="489" customFormat="1" ht="20.100000000000001" customHeight="1">
      <c r="A160" s="1161">
        <v>119</v>
      </c>
      <c r="B160" s="1170" t="s">
        <v>2385</v>
      </c>
      <c r="C160" s="1171" t="s">
        <v>2344</v>
      </c>
      <c r="D160" s="1169">
        <v>85100</v>
      </c>
      <c r="E160" s="1169"/>
      <c r="F160" s="1159"/>
      <c r="G160" s="1161">
        <v>119</v>
      </c>
      <c r="H160" s="1170" t="s">
        <v>2385</v>
      </c>
      <c r="I160" s="1171" t="s">
        <v>2344</v>
      </c>
      <c r="J160" s="1169">
        <v>85100</v>
      </c>
      <c r="K160" s="1169"/>
      <c r="L160" s="1159"/>
      <c r="M160" s="489" t="str">
        <f t="shared" si="4"/>
        <v>DDDDDDDĐ</v>
      </c>
    </row>
    <row r="161" spans="1:13" s="489" customFormat="1" ht="20.100000000000001" customHeight="1">
      <c r="A161" s="501"/>
      <c r="B161" s="2160" t="s">
        <v>3675</v>
      </c>
      <c r="C161" s="2160"/>
      <c r="D161" s="2160"/>
      <c r="E161" s="2160"/>
      <c r="F161" s="2160"/>
      <c r="G161" s="501"/>
      <c r="H161" s="2160" t="s">
        <v>3675</v>
      </c>
      <c r="I161" s="2160"/>
      <c r="J161" s="2160"/>
      <c r="K161" s="2160"/>
      <c r="L161" s="2160"/>
      <c r="M161" s="489" t="str">
        <f t="shared" si="4"/>
        <v>DDDDDDDĐ</v>
      </c>
    </row>
    <row r="162" spans="1:13" s="489" customFormat="1" ht="36.75" customHeight="1">
      <c r="A162" s="501">
        <v>120</v>
      </c>
      <c r="B162" s="523" t="s">
        <v>2386</v>
      </c>
      <c r="C162" s="524" t="s">
        <v>2344</v>
      </c>
      <c r="D162" s="509">
        <v>43900</v>
      </c>
      <c r="E162" s="509">
        <f t="shared" ref="E162:F165" si="5">D162</f>
        <v>43900</v>
      </c>
      <c r="F162" s="511">
        <f t="shared" si="5"/>
        <v>43900</v>
      </c>
      <c r="G162" s="501">
        <v>120</v>
      </c>
      <c r="H162" s="523" t="s">
        <v>2386</v>
      </c>
      <c r="I162" s="524" t="s">
        <v>2344</v>
      </c>
      <c r="J162" s="509">
        <v>43900</v>
      </c>
      <c r="K162" s="509">
        <f>J162</f>
        <v>43900</v>
      </c>
      <c r="L162" s="511">
        <f>K162</f>
        <v>43900</v>
      </c>
      <c r="M162" s="489" t="str">
        <f t="shared" si="4"/>
        <v>DDDDDDDĐ</v>
      </c>
    </row>
    <row r="163" spans="1:13" s="489" customFormat="1" ht="20.100000000000001" customHeight="1">
      <c r="A163" s="501">
        <v>121</v>
      </c>
      <c r="B163" s="523" t="s">
        <v>2387</v>
      </c>
      <c r="C163" s="524" t="s">
        <v>2344</v>
      </c>
      <c r="D163" s="509">
        <v>60900</v>
      </c>
      <c r="E163" s="509">
        <f t="shared" si="5"/>
        <v>60900</v>
      </c>
      <c r="F163" s="511">
        <f t="shared" si="5"/>
        <v>60900</v>
      </c>
      <c r="G163" s="501">
        <v>121</v>
      </c>
      <c r="H163" s="523" t="s">
        <v>2387</v>
      </c>
      <c r="I163" s="524" t="s">
        <v>2344</v>
      </c>
      <c r="J163" s="509">
        <v>60900</v>
      </c>
      <c r="K163" s="509">
        <f t="shared" ref="K163:L165" si="6">J163</f>
        <v>60900</v>
      </c>
      <c r="L163" s="511">
        <f t="shared" si="6"/>
        <v>60900</v>
      </c>
      <c r="M163" s="489" t="str">
        <f t="shared" si="4"/>
        <v>DDDDDDDĐ</v>
      </c>
    </row>
    <row r="164" spans="1:13" s="489" customFormat="1" ht="20.100000000000001" customHeight="1">
      <c r="A164" s="501">
        <v>122</v>
      </c>
      <c r="B164" s="523" t="s">
        <v>2388</v>
      </c>
      <c r="C164" s="524" t="s">
        <v>2344</v>
      </c>
      <c r="D164" s="509">
        <v>84900</v>
      </c>
      <c r="E164" s="509">
        <f t="shared" si="5"/>
        <v>84900</v>
      </c>
      <c r="F164" s="511">
        <f t="shared" si="5"/>
        <v>84900</v>
      </c>
      <c r="G164" s="501">
        <v>122</v>
      </c>
      <c r="H164" s="523" t="s">
        <v>2388</v>
      </c>
      <c r="I164" s="524" t="s">
        <v>2344</v>
      </c>
      <c r="J164" s="509">
        <v>84900</v>
      </c>
      <c r="K164" s="509">
        <f t="shared" si="6"/>
        <v>84900</v>
      </c>
      <c r="L164" s="511">
        <f t="shared" si="6"/>
        <v>84900</v>
      </c>
      <c r="M164" s="489" t="str">
        <f t="shared" ref="M164:M227" si="7">IF(B164=H164,"DDDDDDDĐ","SSSSSSSSSSSS")</f>
        <v>DDDDDDDĐ</v>
      </c>
    </row>
    <row r="165" spans="1:13" s="489" customFormat="1" ht="18.600000000000001" customHeight="1">
      <c r="A165" s="501">
        <v>123</v>
      </c>
      <c r="B165" s="523" t="s">
        <v>2389</v>
      </c>
      <c r="C165" s="524" t="s">
        <v>2344</v>
      </c>
      <c r="D165" s="509">
        <v>260000</v>
      </c>
      <c r="E165" s="509">
        <f t="shared" si="5"/>
        <v>260000</v>
      </c>
      <c r="F165" s="511">
        <f t="shared" si="5"/>
        <v>260000</v>
      </c>
      <c r="G165" s="501">
        <v>123</v>
      </c>
      <c r="H165" s="523" t="s">
        <v>2389</v>
      </c>
      <c r="I165" s="524" t="s">
        <v>2344</v>
      </c>
      <c r="J165" s="509">
        <v>260000</v>
      </c>
      <c r="K165" s="509">
        <f t="shared" si="6"/>
        <v>260000</v>
      </c>
      <c r="L165" s="511">
        <f t="shared" si="6"/>
        <v>260000</v>
      </c>
      <c r="M165" s="489" t="str">
        <f t="shared" si="7"/>
        <v>DDDDDDDĐ</v>
      </c>
    </row>
    <row r="166" spans="1:13" s="489" customFormat="1" ht="18.600000000000001" customHeight="1">
      <c r="A166" s="501"/>
      <c r="B166" s="2160" t="s">
        <v>3846</v>
      </c>
      <c r="C166" s="2160"/>
      <c r="D166" s="2160"/>
      <c r="E166" s="2160"/>
      <c r="F166" s="2160"/>
      <c r="G166" s="501"/>
      <c r="H166" s="2160" t="s">
        <v>3846</v>
      </c>
      <c r="I166" s="2160"/>
      <c r="J166" s="2160"/>
      <c r="K166" s="2160"/>
      <c r="L166" s="2160"/>
      <c r="M166" s="489" t="str">
        <f t="shared" si="7"/>
        <v>DDDDDDDĐ</v>
      </c>
    </row>
    <row r="167" spans="1:13" s="489" customFormat="1" ht="18.600000000000001" customHeight="1">
      <c r="A167" s="501">
        <v>124</v>
      </c>
      <c r="B167" s="523" t="s">
        <v>2390</v>
      </c>
      <c r="C167" s="524" t="s">
        <v>2344</v>
      </c>
      <c r="D167" s="509">
        <v>45000</v>
      </c>
      <c r="E167" s="509">
        <f>D167</f>
        <v>45000</v>
      </c>
      <c r="F167" s="511"/>
      <c r="G167" s="501">
        <v>124</v>
      </c>
      <c r="H167" s="523" t="s">
        <v>2390</v>
      </c>
      <c r="I167" s="524" t="s">
        <v>2344</v>
      </c>
      <c r="J167" s="509">
        <v>45000</v>
      </c>
      <c r="K167" s="509">
        <f>J167</f>
        <v>45000</v>
      </c>
      <c r="L167" s="511"/>
      <c r="M167" s="489" t="str">
        <f t="shared" si="7"/>
        <v>DDDDDDDĐ</v>
      </c>
    </row>
    <row r="168" spans="1:13" s="489" customFormat="1" ht="18.600000000000001" customHeight="1">
      <c r="A168" s="501">
        <v>125</v>
      </c>
      <c r="B168" s="523" t="s">
        <v>2391</v>
      </c>
      <c r="C168" s="524" t="s">
        <v>2344</v>
      </c>
      <c r="D168" s="509">
        <v>65000</v>
      </c>
      <c r="E168" s="509">
        <f>D168</f>
        <v>65000</v>
      </c>
      <c r="F168" s="511"/>
      <c r="G168" s="501">
        <v>125</v>
      </c>
      <c r="H168" s="523" t="s">
        <v>2391</v>
      </c>
      <c r="I168" s="524" t="s">
        <v>2344</v>
      </c>
      <c r="J168" s="509">
        <v>65000</v>
      </c>
      <c r="K168" s="509">
        <f>J168</f>
        <v>65000</v>
      </c>
      <c r="L168" s="511"/>
      <c r="M168" s="489" t="str">
        <f t="shared" si="7"/>
        <v>DDDDDDDĐ</v>
      </c>
    </row>
    <row r="169" spans="1:13" s="489" customFormat="1" ht="18.600000000000001" customHeight="1">
      <c r="A169" s="501"/>
      <c r="B169" s="514" t="s">
        <v>3676</v>
      </c>
      <c r="C169" s="510"/>
      <c r="D169" s="508"/>
      <c r="E169" s="509"/>
      <c r="F169" s="511"/>
      <c r="G169" s="501"/>
      <c r="H169" s="514" t="s">
        <v>3676</v>
      </c>
      <c r="I169" s="510"/>
      <c r="J169" s="508"/>
      <c r="K169" s="509"/>
      <c r="L169" s="511"/>
      <c r="M169" s="489" t="str">
        <f t="shared" si="7"/>
        <v>DDDDDDDĐ</v>
      </c>
    </row>
    <row r="170" spans="1:13" s="489" customFormat="1" ht="18.600000000000001" customHeight="1">
      <c r="A170" s="501">
        <v>126</v>
      </c>
      <c r="B170" s="523" t="s">
        <v>3677</v>
      </c>
      <c r="C170" s="524" t="s">
        <v>2392</v>
      </c>
      <c r="D170" s="509">
        <v>350000</v>
      </c>
      <c r="E170" s="509"/>
      <c r="F170" s="511"/>
      <c r="G170" s="501">
        <v>126</v>
      </c>
      <c r="H170" s="523" t="s">
        <v>3677</v>
      </c>
      <c r="I170" s="524" t="s">
        <v>2392</v>
      </c>
      <c r="J170" s="509">
        <v>350000</v>
      </c>
      <c r="K170" s="509"/>
      <c r="L170" s="511"/>
      <c r="M170" s="489" t="str">
        <f t="shared" si="7"/>
        <v>DDDDDDDĐ</v>
      </c>
    </row>
    <row r="171" spans="1:13" s="489" customFormat="1" ht="18.600000000000001" customHeight="1">
      <c r="A171" s="501">
        <v>127</v>
      </c>
      <c r="B171" s="523" t="s">
        <v>3678</v>
      </c>
      <c r="C171" s="524" t="s">
        <v>2392</v>
      </c>
      <c r="D171" s="509">
        <v>370000</v>
      </c>
      <c r="E171" s="509"/>
      <c r="F171" s="511"/>
      <c r="G171" s="501">
        <v>127</v>
      </c>
      <c r="H171" s="523" t="s">
        <v>3678</v>
      </c>
      <c r="I171" s="524" t="s">
        <v>2392</v>
      </c>
      <c r="J171" s="509">
        <v>370000</v>
      </c>
      <c r="K171" s="509"/>
      <c r="L171" s="511"/>
      <c r="M171" s="489" t="str">
        <f t="shared" si="7"/>
        <v>DDDDDDDĐ</v>
      </c>
    </row>
    <row r="172" spans="1:13" s="489" customFormat="1" ht="21" customHeight="1">
      <c r="A172" s="501">
        <v>128</v>
      </c>
      <c r="B172" s="523" t="s">
        <v>3679</v>
      </c>
      <c r="C172" s="524" t="s">
        <v>2392</v>
      </c>
      <c r="D172" s="509">
        <v>400000</v>
      </c>
      <c r="E172" s="509"/>
      <c r="F172" s="511"/>
      <c r="G172" s="501">
        <v>128</v>
      </c>
      <c r="H172" s="523" t="s">
        <v>3679</v>
      </c>
      <c r="I172" s="524" t="s">
        <v>2392</v>
      </c>
      <c r="J172" s="509">
        <v>400000</v>
      </c>
      <c r="K172" s="509"/>
      <c r="L172" s="511"/>
      <c r="M172" s="489" t="str">
        <f t="shared" si="7"/>
        <v>DDDDDDDĐ</v>
      </c>
    </row>
    <row r="173" spans="1:13" s="489" customFormat="1" ht="18.95" customHeight="1">
      <c r="A173" s="501">
        <v>129</v>
      </c>
      <c r="B173" s="523" t="s">
        <v>3680</v>
      </c>
      <c r="C173" s="524" t="s">
        <v>2392</v>
      </c>
      <c r="D173" s="509">
        <v>480000</v>
      </c>
      <c r="E173" s="509"/>
      <c r="F173" s="511"/>
      <c r="G173" s="501">
        <v>129</v>
      </c>
      <c r="H173" s="523" t="s">
        <v>3680</v>
      </c>
      <c r="I173" s="524" t="s">
        <v>2392</v>
      </c>
      <c r="J173" s="509">
        <v>480000</v>
      </c>
      <c r="K173" s="509"/>
      <c r="L173" s="511"/>
      <c r="M173" s="489" t="str">
        <f t="shared" si="7"/>
        <v>DDDDDDDĐ</v>
      </c>
    </row>
    <row r="174" spans="1:13" s="489" customFormat="1" ht="18.95" customHeight="1">
      <c r="A174" s="501">
        <v>130</v>
      </c>
      <c r="B174" s="523" t="s">
        <v>3681</v>
      </c>
      <c r="C174" s="524" t="s">
        <v>2392</v>
      </c>
      <c r="D174" s="509">
        <v>520000</v>
      </c>
      <c r="E174" s="509"/>
      <c r="F174" s="511"/>
      <c r="G174" s="501">
        <v>130</v>
      </c>
      <c r="H174" s="523" t="s">
        <v>3681</v>
      </c>
      <c r="I174" s="524" t="s">
        <v>2392</v>
      </c>
      <c r="J174" s="509">
        <v>520000</v>
      </c>
      <c r="K174" s="509"/>
      <c r="L174" s="511"/>
      <c r="M174" s="489" t="str">
        <f t="shared" si="7"/>
        <v>DDDDDDDĐ</v>
      </c>
    </row>
    <row r="175" spans="1:13" s="489" customFormat="1" ht="18.95" customHeight="1">
      <c r="A175" s="501">
        <v>131</v>
      </c>
      <c r="B175" s="523" t="s">
        <v>3682</v>
      </c>
      <c r="C175" s="524" t="s">
        <v>2392</v>
      </c>
      <c r="D175" s="509">
        <v>560000</v>
      </c>
      <c r="E175" s="509"/>
      <c r="F175" s="511"/>
      <c r="G175" s="501">
        <v>131</v>
      </c>
      <c r="H175" s="523" t="s">
        <v>3682</v>
      </c>
      <c r="I175" s="524" t="s">
        <v>2392</v>
      </c>
      <c r="J175" s="509">
        <v>560000</v>
      </c>
      <c r="K175" s="509"/>
      <c r="L175" s="511"/>
      <c r="M175" s="489" t="str">
        <f t="shared" si="7"/>
        <v>DDDDDDDĐ</v>
      </c>
    </row>
    <row r="176" spans="1:13" s="489" customFormat="1" ht="18.95" customHeight="1">
      <c r="A176" s="501">
        <v>132</v>
      </c>
      <c r="B176" s="523" t="s">
        <v>3683</v>
      </c>
      <c r="C176" s="524" t="s">
        <v>2392</v>
      </c>
      <c r="D176" s="509">
        <v>770000</v>
      </c>
      <c r="E176" s="509"/>
      <c r="F176" s="511"/>
      <c r="G176" s="501">
        <v>132</v>
      </c>
      <c r="H176" s="523" t="s">
        <v>3683</v>
      </c>
      <c r="I176" s="524" t="s">
        <v>2392</v>
      </c>
      <c r="J176" s="509">
        <v>770000</v>
      </c>
      <c r="K176" s="509"/>
      <c r="L176" s="511"/>
      <c r="M176" s="489" t="str">
        <f t="shared" si="7"/>
        <v>DDDDDDDĐ</v>
      </c>
    </row>
    <row r="177" spans="1:13" s="489" customFormat="1" ht="18.95" customHeight="1">
      <c r="A177" s="501">
        <v>133</v>
      </c>
      <c r="B177" s="523" t="s">
        <v>3684</v>
      </c>
      <c r="C177" s="524" t="s">
        <v>2392</v>
      </c>
      <c r="D177" s="509">
        <v>870000</v>
      </c>
      <c r="E177" s="509"/>
      <c r="F177" s="511"/>
      <c r="G177" s="501">
        <v>133</v>
      </c>
      <c r="H177" s="523" t="s">
        <v>3684</v>
      </c>
      <c r="I177" s="524" t="s">
        <v>2392</v>
      </c>
      <c r="J177" s="509">
        <v>870000</v>
      </c>
      <c r="K177" s="509"/>
      <c r="L177" s="511"/>
      <c r="M177" s="489" t="str">
        <f t="shared" si="7"/>
        <v>DDDDDDDĐ</v>
      </c>
    </row>
    <row r="178" spans="1:13" s="489" customFormat="1" ht="18.95" customHeight="1">
      <c r="A178" s="501">
        <v>134</v>
      </c>
      <c r="B178" s="523" t="s">
        <v>3685</v>
      </c>
      <c r="C178" s="524" t="s">
        <v>2392</v>
      </c>
      <c r="D178" s="509">
        <v>970000</v>
      </c>
      <c r="E178" s="509"/>
      <c r="F178" s="511"/>
      <c r="G178" s="501">
        <v>134</v>
      </c>
      <c r="H178" s="523" t="s">
        <v>3685</v>
      </c>
      <c r="I178" s="524" t="s">
        <v>2392</v>
      </c>
      <c r="J178" s="509">
        <v>970000</v>
      </c>
      <c r="K178" s="509"/>
      <c r="L178" s="511"/>
      <c r="M178" s="489" t="str">
        <f t="shared" si="7"/>
        <v>DDDDDDDĐ</v>
      </c>
    </row>
    <row r="179" spans="1:13" s="489" customFormat="1" ht="18.95" customHeight="1">
      <c r="A179" s="501">
        <v>135</v>
      </c>
      <c r="B179" s="523" t="s">
        <v>3686</v>
      </c>
      <c r="C179" s="524" t="s">
        <v>2392</v>
      </c>
      <c r="D179" s="509">
        <v>1200000</v>
      </c>
      <c r="E179" s="509"/>
      <c r="F179" s="511"/>
      <c r="G179" s="501">
        <v>135</v>
      </c>
      <c r="H179" s="523" t="s">
        <v>3686</v>
      </c>
      <c r="I179" s="524" t="s">
        <v>2392</v>
      </c>
      <c r="J179" s="509">
        <v>1200000</v>
      </c>
      <c r="K179" s="509"/>
      <c r="L179" s="511"/>
      <c r="M179" s="489" t="str">
        <f t="shared" si="7"/>
        <v>DDDDDDDĐ</v>
      </c>
    </row>
    <row r="180" spans="1:13" s="489" customFormat="1" ht="18.95" customHeight="1">
      <c r="A180" s="501">
        <v>136</v>
      </c>
      <c r="B180" s="523" t="s">
        <v>3687</v>
      </c>
      <c r="C180" s="524" t="s">
        <v>2392</v>
      </c>
      <c r="D180" s="509">
        <v>1400000</v>
      </c>
      <c r="E180" s="509"/>
      <c r="F180" s="511"/>
      <c r="G180" s="501">
        <v>136</v>
      </c>
      <c r="H180" s="523" t="s">
        <v>3687</v>
      </c>
      <c r="I180" s="524" t="s">
        <v>2392</v>
      </c>
      <c r="J180" s="509">
        <v>1400000</v>
      </c>
      <c r="K180" s="509"/>
      <c r="L180" s="511"/>
      <c r="M180" s="489" t="str">
        <f t="shared" si="7"/>
        <v>DDDDDDDĐ</v>
      </c>
    </row>
    <row r="181" spans="1:13" s="489" customFormat="1" ht="18.95" customHeight="1">
      <c r="A181" s="501">
        <v>137</v>
      </c>
      <c r="B181" s="523" t="s">
        <v>3688</v>
      </c>
      <c r="C181" s="524" t="s">
        <v>2392</v>
      </c>
      <c r="D181" s="509">
        <v>1600000</v>
      </c>
      <c r="E181" s="509"/>
      <c r="F181" s="511"/>
      <c r="G181" s="501">
        <v>137</v>
      </c>
      <c r="H181" s="523" t="s">
        <v>3688</v>
      </c>
      <c r="I181" s="524" t="s">
        <v>2392</v>
      </c>
      <c r="J181" s="509">
        <v>1600000</v>
      </c>
      <c r="K181" s="509"/>
      <c r="L181" s="511"/>
      <c r="M181" s="489" t="str">
        <f t="shared" si="7"/>
        <v>DDDDDDDĐ</v>
      </c>
    </row>
    <row r="182" spans="1:13" s="489" customFormat="1" ht="18.95" customHeight="1">
      <c r="A182" s="501">
        <v>138</v>
      </c>
      <c r="B182" s="523" t="s">
        <v>3689</v>
      </c>
      <c r="C182" s="524" t="s">
        <v>2392</v>
      </c>
      <c r="D182" s="509">
        <v>2300000</v>
      </c>
      <c r="E182" s="509"/>
      <c r="F182" s="511"/>
      <c r="G182" s="501">
        <v>138</v>
      </c>
      <c r="H182" s="523" t="s">
        <v>3689</v>
      </c>
      <c r="I182" s="524" t="s">
        <v>2392</v>
      </c>
      <c r="J182" s="509">
        <v>2300000</v>
      </c>
      <c r="K182" s="509"/>
      <c r="L182" s="511"/>
      <c r="M182" s="489" t="str">
        <f t="shared" si="7"/>
        <v>DDDDDDDĐ</v>
      </c>
    </row>
    <row r="183" spans="1:13" s="489" customFormat="1" ht="18.95" customHeight="1">
      <c r="A183" s="501">
        <v>139</v>
      </c>
      <c r="B183" s="523" t="s">
        <v>3690</v>
      </c>
      <c r="C183" s="524" t="s">
        <v>2392</v>
      </c>
      <c r="D183" s="509">
        <v>2500000</v>
      </c>
      <c r="E183" s="509"/>
      <c r="F183" s="511"/>
      <c r="G183" s="501">
        <v>139</v>
      </c>
      <c r="H183" s="523" t="s">
        <v>3690</v>
      </c>
      <c r="I183" s="524" t="s">
        <v>2392</v>
      </c>
      <c r="J183" s="509">
        <v>2500000</v>
      </c>
      <c r="K183" s="509"/>
      <c r="L183" s="511"/>
      <c r="M183" s="489" t="str">
        <f t="shared" si="7"/>
        <v>DDDDDDDĐ</v>
      </c>
    </row>
    <row r="184" spans="1:13" s="489" customFormat="1" ht="18.95" customHeight="1">
      <c r="A184" s="501">
        <v>140</v>
      </c>
      <c r="B184" s="523" t="s">
        <v>3691</v>
      </c>
      <c r="C184" s="524" t="s">
        <v>2392</v>
      </c>
      <c r="D184" s="509">
        <v>2700000</v>
      </c>
      <c r="E184" s="509"/>
      <c r="F184" s="511"/>
      <c r="G184" s="501">
        <v>140</v>
      </c>
      <c r="H184" s="523" t="s">
        <v>3691</v>
      </c>
      <c r="I184" s="524" t="s">
        <v>2392</v>
      </c>
      <c r="J184" s="509">
        <v>2700000</v>
      </c>
      <c r="K184" s="509"/>
      <c r="L184" s="511"/>
      <c r="M184" s="489" t="str">
        <f t="shared" si="7"/>
        <v>DDDDDDDĐ</v>
      </c>
    </row>
    <row r="185" spans="1:13" s="489" customFormat="1" ht="22.5" customHeight="1">
      <c r="A185" s="501">
        <v>141</v>
      </c>
      <c r="B185" s="523" t="s">
        <v>3692</v>
      </c>
      <c r="C185" s="524" t="s">
        <v>2392</v>
      </c>
      <c r="D185" s="509">
        <v>2800000</v>
      </c>
      <c r="E185" s="509"/>
      <c r="F185" s="511"/>
      <c r="G185" s="501">
        <v>141</v>
      </c>
      <c r="H185" s="523" t="s">
        <v>3692</v>
      </c>
      <c r="I185" s="524" t="s">
        <v>2392</v>
      </c>
      <c r="J185" s="509">
        <v>2800000</v>
      </c>
      <c r="K185" s="509"/>
      <c r="L185" s="511"/>
      <c r="M185" s="489" t="str">
        <f t="shared" si="7"/>
        <v>DDDDDDDĐ</v>
      </c>
    </row>
    <row r="186" spans="1:13" s="489" customFormat="1" ht="20.100000000000001" customHeight="1">
      <c r="A186" s="501">
        <v>142</v>
      </c>
      <c r="B186" s="523" t="s">
        <v>3693</v>
      </c>
      <c r="C186" s="524" t="s">
        <v>2392</v>
      </c>
      <c r="D186" s="1433">
        <v>3000000</v>
      </c>
      <c r="E186" s="509"/>
      <c r="F186" s="511"/>
      <c r="G186" s="501">
        <v>142</v>
      </c>
      <c r="H186" s="523" t="s">
        <v>3693</v>
      </c>
      <c r="I186" s="524" t="s">
        <v>2392</v>
      </c>
      <c r="J186" s="509">
        <v>3000000</v>
      </c>
      <c r="K186" s="509"/>
      <c r="L186" s="511"/>
      <c r="M186" s="489" t="str">
        <f t="shared" si="7"/>
        <v>DDDDDDDĐ</v>
      </c>
    </row>
    <row r="187" spans="1:13" s="489" customFormat="1" ht="20.100000000000001" customHeight="1">
      <c r="A187" s="501">
        <v>143</v>
      </c>
      <c r="B187" s="523" t="s">
        <v>3694</v>
      </c>
      <c r="C187" s="524" t="s">
        <v>2392</v>
      </c>
      <c r="D187" s="509">
        <v>3200000</v>
      </c>
      <c r="E187" s="509"/>
      <c r="F187" s="511"/>
      <c r="G187" s="501">
        <v>143</v>
      </c>
      <c r="H187" s="523" t="s">
        <v>3694</v>
      </c>
      <c r="I187" s="524" t="s">
        <v>2392</v>
      </c>
      <c r="J187" s="509">
        <v>3200000</v>
      </c>
      <c r="K187" s="509"/>
      <c r="L187" s="511"/>
      <c r="M187" s="489" t="str">
        <f t="shared" si="7"/>
        <v>DDDDDDDĐ</v>
      </c>
    </row>
    <row r="188" spans="1:13" s="489" customFormat="1" ht="20.100000000000001" customHeight="1">
      <c r="A188" s="513" t="s">
        <v>2097</v>
      </c>
      <c r="B188" s="514" t="s">
        <v>2393</v>
      </c>
      <c r="C188" s="515"/>
      <c r="D188" s="509"/>
      <c r="E188" s="509"/>
      <c r="F188" s="511"/>
      <c r="G188" s="513" t="s">
        <v>2097</v>
      </c>
      <c r="H188" s="514" t="s">
        <v>2393</v>
      </c>
      <c r="I188" s="515"/>
      <c r="J188" s="509"/>
      <c r="K188" s="509"/>
      <c r="L188" s="511"/>
      <c r="M188" s="489" t="str">
        <f t="shared" si="7"/>
        <v>DDDDDDDĐ</v>
      </c>
    </row>
    <row r="189" spans="1:13" s="489" customFormat="1" ht="20.100000000000001" customHeight="1">
      <c r="A189" s="501">
        <v>144</v>
      </c>
      <c r="B189" s="523" t="s">
        <v>2394</v>
      </c>
      <c r="C189" s="524" t="s">
        <v>2395</v>
      </c>
      <c r="D189" s="509">
        <f>120000000/1.1</f>
        <v>109090909.09090908</v>
      </c>
      <c r="E189" s="509"/>
      <c r="F189" s="511"/>
      <c r="G189" s="501">
        <v>144</v>
      </c>
      <c r="H189" s="523" t="s">
        <v>2394</v>
      </c>
      <c r="I189" s="524" t="s">
        <v>2395</v>
      </c>
      <c r="J189" s="509">
        <f>120000000/1.1</f>
        <v>109090909.09090908</v>
      </c>
      <c r="K189" s="509"/>
      <c r="L189" s="511"/>
      <c r="M189" s="489" t="str">
        <f t="shared" si="7"/>
        <v>DDDDDDDĐ</v>
      </c>
    </row>
    <row r="190" spans="1:13" s="489" customFormat="1" ht="18" customHeight="1">
      <c r="A190" s="501">
        <v>145</v>
      </c>
      <c r="B190" s="523" t="s">
        <v>2396</v>
      </c>
      <c r="C190" s="524" t="s">
        <v>2395</v>
      </c>
      <c r="D190" s="509">
        <f>67000000/1.1</f>
        <v>60909090.909090906</v>
      </c>
      <c r="E190" s="509"/>
      <c r="F190" s="511"/>
      <c r="G190" s="501">
        <v>145</v>
      </c>
      <c r="H190" s="523" t="s">
        <v>2396</v>
      </c>
      <c r="I190" s="524" t="s">
        <v>2395</v>
      </c>
      <c r="J190" s="509">
        <f>67000000/1.1</f>
        <v>60909090.909090906</v>
      </c>
      <c r="K190" s="509"/>
      <c r="L190" s="511"/>
      <c r="M190" s="489" t="str">
        <f t="shared" si="7"/>
        <v>DDDDDDDĐ</v>
      </c>
    </row>
    <row r="191" spans="1:13" s="489" customFormat="1" ht="18" customHeight="1">
      <c r="A191" s="501">
        <v>146</v>
      </c>
      <c r="B191" s="523" t="s">
        <v>2397</v>
      </c>
      <c r="C191" s="524" t="s">
        <v>2395</v>
      </c>
      <c r="D191" s="509">
        <f>34000000/1.1</f>
        <v>30909090.909090906</v>
      </c>
      <c r="E191" s="509"/>
      <c r="F191" s="511"/>
      <c r="G191" s="501">
        <v>146</v>
      </c>
      <c r="H191" s="523" t="s">
        <v>2397</v>
      </c>
      <c r="I191" s="524" t="s">
        <v>2395</v>
      </c>
      <c r="J191" s="509">
        <f>34000000/1.1</f>
        <v>30909090.909090906</v>
      </c>
      <c r="K191" s="509"/>
      <c r="L191" s="511"/>
      <c r="M191" s="489" t="str">
        <f t="shared" si="7"/>
        <v>DDDDDDDĐ</v>
      </c>
    </row>
    <row r="192" spans="1:13" s="489" customFormat="1" ht="18" customHeight="1">
      <c r="A192" s="501">
        <v>147</v>
      </c>
      <c r="B192" s="523" t="s">
        <v>2398</v>
      </c>
      <c r="C192" s="524" t="s">
        <v>2395</v>
      </c>
      <c r="D192" s="509">
        <f>17500000/1.1</f>
        <v>15909090.909090908</v>
      </c>
      <c r="E192" s="509"/>
      <c r="F192" s="511"/>
      <c r="G192" s="501">
        <v>147</v>
      </c>
      <c r="H192" s="523" t="s">
        <v>2398</v>
      </c>
      <c r="I192" s="524" t="s">
        <v>2395</v>
      </c>
      <c r="J192" s="509">
        <f>17500000/1.1</f>
        <v>15909090.909090908</v>
      </c>
      <c r="K192" s="509"/>
      <c r="L192" s="511"/>
      <c r="M192" s="489" t="str">
        <f t="shared" si="7"/>
        <v>DDDDDDDĐ</v>
      </c>
    </row>
    <row r="193" spans="1:13" s="489" customFormat="1" ht="18" customHeight="1">
      <c r="A193" s="501">
        <v>148</v>
      </c>
      <c r="B193" s="523" t="s">
        <v>2399</v>
      </c>
      <c r="C193" s="524" t="s">
        <v>2400</v>
      </c>
      <c r="D193" s="509">
        <f>1275000/1.1</f>
        <v>1159090.9090909089</v>
      </c>
      <c r="E193" s="509"/>
      <c r="F193" s="511"/>
      <c r="G193" s="501">
        <v>148</v>
      </c>
      <c r="H193" s="523" t="s">
        <v>2399</v>
      </c>
      <c r="I193" s="524" t="s">
        <v>2400</v>
      </c>
      <c r="J193" s="509">
        <f>1275000/1.1</f>
        <v>1159090.9090909089</v>
      </c>
      <c r="K193" s="509"/>
      <c r="L193" s="511"/>
      <c r="M193" s="489" t="str">
        <f t="shared" si="7"/>
        <v>DDDDDDDĐ</v>
      </c>
    </row>
    <row r="194" spans="1:13" s="489" customFormat="1" ht="18" customHeight="1">
      <c r="A194" s="501">
        <v>149</v>
      </c>
      <c r="B194" s="523" t="s">
        <v>2401</v>
      </c>
      <c r="C194" s="524" t="s">
        <v>2400</v>
      </c>
      <c r="D194" s="509">
        <f>630000/1.1</f>
        <v>572727.27272727271</v>
      </c>
      <c r="E194" s="509"/>
      <c r="F194" s="511"/>
      <c r="G194" s="501">
        <v>149</v>
      </c>
      <c r="H194" s="523" t="s">
        <v>2401</v>
      </c>
      <c r="I194" s="524" t="s">
        <v>2400</v>
      </c>
      <c r="J194" s="509">
        <f>630000/1.1</f>
        <v>572727.27272727271</v>
      </c>
      <c r="K194" s="509"/>
      <c r="L194" s="511"/>
      <c r="M194" s="489" t="str">
        <f t="shared" si="7"/>
        <v>DDDDDDDĐ</v>
      </c>
    </row>
    <row r="195" spans="1:13" s="489" customFormat="1" ht="18" customHeight="1">
      <c r="A195" s="501">
        <v>150</v>
      </c>
      <c r="B195" s="523" t="s">
        <v>2402</v>
      </c>
      <c r="C195" s="524" t="s">
        <v>2400</v>
      </c>
      <c r="D195" s="509">
        <f>285000/1.1</f>
        <v>259090.90909090906</v>
      </c>
      <c r="E195" s="509"/>
      <c r="F195" s="511"/>
      <c r="G195" s="501">
        <v>150</v>
      </c>
      <c r="H195" s="523" t="s">
        <v>2402</v>
      </c>
      <c r="I195" s="524" t="s">
        <v>2400</v>
      </c>
      <c r="J195" s="509">
        <f>285000/1.1</f>
        <v>259090.90909090906</v>
      </c>
      <c r="K195" s="509"/>
      <c r="L195" s="511"/>
      <c r="M195" s="489" t="str">
        <f t="shared" si="7"/>
        <v>DDDDDDDĐ</v>
      </c>
    </row>
    <row r="196" spans="1:13" s="489" customFormat="1" ht="18" customHeight="1">
      <c r="A196" s="501">
        <v>151</v>
      </c>
      <c r="B196" s="523" t="s">
        <v>2403</v>
      </c>
      <c r="C196" s="524" t="s">
        <v>2400</v>
      </c>
      <c r="D196" s="509">
        <f>175000/1.1</f>
        <v>159090.90909090909</v>
      </c>
      <c r="E196" s="509"/>
      <c r="F196" s="511"/>
      <c r="G196" s="501">
        <v>151</v>
      </c>
      <c r="H196" s="523" t="s">
        <v>2403</v>
      </c>
      <c r="I196" s="524" t="s">
        <v>2400</v>
      </c>
      <c r="J196" s="509">
        <f>175000/1.1</f>
        <v>159090.90909090909</v>
      </c>
      <c r="K196" s="509"/>
      <c r="L196" s="511"/>
      <c r="M196" s="489" t="str">
        <f t="shared" si="7"/>
        <v>DDDDDDDĐ</v>
      </c>
    </row>
    <row r="197" spans="1:13" s="489" customFormat="1" ht="18" customHeight="1">
      <c r="A197" s="501">
        <v>152</v>
      </c>
      <c r="B197" s="523" t="s">
        <v>2404</v>
      </c>
      <c r="C197" s="524" t="s">
        <v>2400</v>
      </c>
      <c r="D197" s="509">
        <f>100000/1.1</f>
        <v>90909.090909090897</v>
      </c>
      <c r="E197" s="509"/>
      <c r="F197" s="511"/>
      <c r="G197" s="501">
        <v>152</v>
      </c>
      <c r="H197" s="523" t="s">
        <v>2404</v>
      </c>
      <c r="I197" s="524" t="s">
        <v>2400</v>
      </c>
      <c r="J197" s="509">
        <f>100000/1.1</f>
        <v>90909.090909090897</v>
      </c>
      <c r="K197" s="509"/>
      <c r="L197" s="511"/>
      <c r="M197" s="489" t="str">
        <f t="shared" si="7"/>
        <v>DDDDDDDĐ</v>
      </c>
    </row>
    <row r="198" spans="1:13" s="489" customFormat="1" ht="20.100000000000001" customHeight="1">
      <c r="A198" s="501">
        <v>153</v>
      </c>
      <c r="B198" s="523" t="s">
        <v>2405</v>
      </c>
      <c r="C198" s="524" t="s">
        <v>2400</v>
      </c>
      <c r="D198" s="509">
        <f>285000/1.1</f>
        <v>259090.90909090906</v>
      </c>
      <c r="E198" s="509"/>
      <c r="F198" s="511"/>
      <c r="G198" s="501">
        <v>153</v>
      </c>
      <c r="H198" s="523" t="s">
        <v>2405</v>
      </c>
      <c r="I198" s="524" t="s">
        <v>2400</v>
      </c>
      <c r="J198" s="509">
        <f>285000/1.1</f>
        <v>259090.90909090906</v>
      </c>
      <c r="K198" s="509"/>
      <c r="L198" s="511"/>
      <c r="M198" s="489" t="str">
        <f t="shared" si="7"/>
        <v>DDDDDDDĐ</v>
      </c>
    </row>
    <row r="199" spans="1:13" s="489" customFormat="1" ht="36" customHeight="1">
      <c r="A199" s="501">
        <v>154</v>
      </c>
      <c r="B199" s="523" t="s">
        <v>2406</v>
      </c>
      <c r="C199" s="524" t="s">
        <v>2400</v>
      </c>
      <c r="D199" s="509">
        <f>680000/1.1</f>
        <v>618181.81818181812</v>
      </c>
      <c r="E199" s="509"/>
      <c r="F199" s="511"/>
      <c r="G199" s="501">
        <v>154</v>
      </c>
      <c r="H199" s="523" t="s">
        <v>2406</v>
      </c>
      <c r="I199" s="524" t="s">
        <v>2400</v>
      </c>
      <c r="J199" s="509">
        <f>680000/1.1</f>
        <v>618181.81818181812</v>
      </c>
      <c r="K199" s="509"/>
      <c r="L199" s="511"/>
      <c r="M199" s="489" t="str">
        <f t="shared" si="7"/>
        <v>DDDDDDDĐ</v>
      </c>
    </row>
    <row r="200" spans="1:13" s="489" customFormat="1" ht="18" customHeight="1">
      <c r="A200" s="501">
        <v>155</v>
      </c>
      <c r="B200" s="523" t="s">
        <v>2407</v>
      </c>
      <c r="C200" s="524" t="s">
        <v>2344</v>
      </c>
      <c r="D200" s="509">
        <f>1155000/1.1</f>
        <v>1050000</v>
      </c>
      <c r="E200" s="509"/>
      <c r="F200" s="511"/>
      <c r="G200" s="501">
        <v>155</v>
      </c>
      <c r="H200" s="523" t="s">
        <v>2407</v>
      </c>
      <c r="I200" s="524" t="s">
        <v>2344</v>
      </c>
      <c r="J200" s="509">
        <f>1155000/1.1</f>
        <v>1050000</v>
      </c>
      <c r="K200" s="509"/>
      <c r="L200" s="511"/>
      <c r="M200" s="489" t="str">
        <f t="shared" si="7"/>
        <v>DDDDDDDĐ</v>
      </c>
    </row>
    <row r="201" spans="1:13" s="489" customFormat="1" ht="18" customHeight="1">
      <c r="A201" s="513" t="s">
        <v>2107</v>
      </c>
      <c r="B201" s="502" t="s">
        <v>2408</v>
      </c>
      <c r="C201" s="503"/>
      <c r="D201" s="503"/>
      <c r="E201" s="510"/>
      <c r="F201" s="504"/>
      <c r="G201" s="513" t="s">
        <v>2107</v>
      </c>
      <c r="H201" s="502" t="s">
        <v>2408</v>
      </c>
      <c r="I201" s="503"/>
      <c r="J201" s="503"/>
      <c r="K201" s="510"/>
      <c r="L201" s="504"/>
      <c r="M201" s="489" t="str">
        <f t="shared" si="7"/>
        <v>DDDDDDDĐ</v>
      </c>
    </row>
    <row r="202" spans="1:13" s="489" customFormat="1" ht="18" customHeight="1">
      <c r="A202" s="1155"/>
      <c r="B202" s="1156" t="s">
        <v>2409</v>
      </c>
      <c r="C202" s="1172"/>
      <c r="D202" s="1172"/>
      <c r="E202" s="1172"/>
      <c r="F202" s="1160"/>
      <c r="G202" s="1155"/>
      <c r="H202" s="1156" t="s">
        <v>2409</v>
      </c>
      <c r="I202" s="1172"/>
      <c r="J202" s="1172"/>
      <c r="K202" s="1172"/>
      <c r="L202" s="1160"/>
      <c r="M202" s="489" t="str">
        <f t="shared" si="7"/>
        <v>DDDDDDDĐ</v>
      </c>
    </row>
    <row r="203" spans="1:13" s="489" customFormat="1" ht="18" customHeight="1">
      <c r="A203" s="1161">
        <v>156</v>
      </c>
      <c r="B203" s="1162" t="s">
        <v>2410</v>
      </c>
      <c r="C203" s="1163" t="s">
        <v>2411</v>
      </c>
      <c r="D203" s="1432">
        <f>71000/1.1</f>
        <v>64545.454545454537</v>
      </c>
      <c r="E203" s="1172"/>
      <c r="F203" s="1160"/>
      <c r="G203" s="1161">
        <v>156</v>
      </c>
      <c r="H203" s="1162" t="s">
        <v>2410</v>
      </c>
      <c r="I203" s="1163" t="s">
        <v>2411</v>
      </c>
      <c r="J203" s="1158">
        <f>71000/1.1</f>
        <v>64545.454545454537</v>
      </c>
      <c r="K203" s="1172"/>
      <c r="L203" s="1160"/>
      <c r="M203" s="489" t="str">
        <f t="shared" si="7"/>
        <v>DDDDDDDĐ</v>
      </c>
    </row>
    <row r="204" spans="1:13" s="489" customFormat="1" ht="18" customHeight="1">
      <c r="A204" s="1161">
        <v>157</v>
      </c>
      <c r="B204" s="1162" t="s">
        <v>2412</v>
      </c>
      <c r="C204" s="1163" t="s">
        <v>2411</v>
      </c>
      <c r="D204" s="1432">
        <f>74000/1.1</f>
        <v>67272.727272727265</v>
      </c>
      <c r="E204" s="1172"/>
      <c r="F204" s="1160"/>
      <c r="G204" s="1161">
        <v>157</v>
      </c>
      <c r="H204" s="1162" t="s">
        <v>2412</v>
      </c>
      <c r="I204" s="1163" t="s">
        <v>2411</v>
      </c>
      <c r="J204" s="1158">
        <f>74000/1.1</f>
        <v>67272.727272727265</v>
      </c>
      <c r="K204" s="1172"/>
      <c r="L204" s="1160"/>
      <c r="M204" s="489" t="str">
        <f t="shared" si="7"/>
        <v>DDDDDDDĐ</v>
      </c>
    </row>
    <row r="205" spans="1:13" s="489" customFormat="1" ht="18" customHeight="1">
      <c r="A205" s="501"/>
      <c r="B205" s="502" t="s">
        <v>2413</v>
      </c>
      <c r="C205" s="516"/>
      <c r="D205" s="503"/>
      <c r="E205" s="517"/>
      <c r="F205" s="504"/>
      <c r="G205" s="501"/>
      <c r="H205" s="502" t="s">
        <v>2413</v>
      </c>
      <c r="I205" s="516"/>
      <c r="J205" s="503"/>
      <c r="K205" s="517"/>
      <c r="L205" s="504"/>
      <c r="M205" s="489" t="str">
        <f t="shared" si="7"/>
        <v>DDDDDDDĐ</v>
      </c>
    </row>
    <row r="206" spans="1:13" s="489" customFormat="1" ht="18" customHeight="1">
      <c r="A206" s="501">
        <v>158</v>
      </c>
      <c r="B206" s="506" t="s">
        <v>2414</v>
      </c>
      <c r="C206" s="507" t="s">
        <v>2411</v>
      </c>
      <c r="D206" s="510"/>
      <c r="E206" s="508">
        <f>84000/1.1</f>
        <v>76363.636363636353</v>
      </c>
      <c r="F206" s="504"/>
      <c r="G206" s="501">
        <v>158</v>
      </c>
      <c r="H206" s="506" t="s">
        <v>2414</v>
      </c>
      <c r="I206" s="507" t="s">
        <v>2411</v>
      </c>
      <c r="J206" s="510"/>
      <c r="K206" s="508">
        <f>84000/1.1</f>
        <v>76363.636363636353</v>
      </c>
      <c r="L206" s="504"/>
      <c r="M206" s="489" t="str">
        <f t="shared" si="7"/>
        <v>DDDDDDDĐ</v>
      </c>
    </row>
    <row r="207" spans="1:13" s="489" customFormat="1" ht="18" customHeight="1">
      <c r="A207" s="501">
        <v>159</v>
      </c>
      <c r="B207" s="506" t="s">
        <v>2415</v>
      </c>
      <c r="C207" s="507" t="s">
        <v>2411</v>
      </c>
      <c r="D207" s="508">
        <f>83000/1.1</f>
        <v>75454.545454545441</v>
      </c>
      <c r="E207" s="508"/>
      <c r="F207" s="504"/>
      <c r="G207" s="501">
        <v>159</v>
      </c>
      <c r="H207" s="506" t="s">
        <v>2415</v>
      </c>
      <c r="I207" s="507" t="s">
        <v>2411</v>
      </c>
      <c r="J207" s="508">
        <f>83000/1.1</f>
        <v>75454.545454545441</v>
      </c>
      <c r="K207" s="508"/>
      <c r="L207" s="504"/>
      <c r="M207" s="489" t="str">
        <f t="shared" si="7"/>
        <v>DDDDDDDĐ</v>
      </c>
    </row>
    <row r="208" spans="1:13" s="489" customFormat="1" ht="18" customHeight="1">
      <c r="A208" s="501">
        <v>160</v>
      </c>
      <c r="B208" s="506" t="s">
        <v>2416</v>
      </c>
      <c r="C208" s="507" t="s">
        <v>2411</v>
      </c>
      <c r="D208" s="508">
        <f>72100/1.1</f>
        <v>65545.454545454544</v>
      </c>
      <c r="E208" s="508"/>
      <c r="F208" s="504"/>
      <c r="G208" s="501">
        <v>160</v>
      </c>
      <c r="H208" s="506" t="s">
        <v>2416</v>
      </c>
      <c r="I208" s="507" t="s">
        <v>2411</v>
      </c>
      <c r="J208" s="508">
        <f>72100/1.1</f>
        <v>65545.454545454544</v>
      </c>
      <c r="K208" s="508"/>
      <c r="L208" s="504"/>
      <c r="M208" s="489" t="str">
        <f t="shared" si="7"/>
        <v>DDDDDDDĐ</v>
      </c>
    </row>
    <row r="209" spans="1:13" s="489" customFormat="1" ht="18" customHeight="1">
      <c r="A209" s="501">
        <v>161</v>
      </c>
      <c r="B209" s="506" t="s">
        <v>2417</v>
      </c>
      <c r="C209" s="507" t="s">
        <v>2411</v>
      </c>
      <c r="D209" s="508">
        <f>79500/1.1</f>
        <v>72272.727272727265</v>
      </c>
      <c r="E209" s="508"/>
      <c r="F209" s="504"/>
      <c r="G209" s="501">
        <v>161</v>
      </c>
      <c r="H209" s="506" t="s">
        <v>2417</v>
      </c>
      <c r="I209" s="507" t="s">
        <v>2411</v>
      </c>
      <c r="J209" s="508">
        <f>79500/1.1</f>
        <v>72272.727272727265</v>
      </c>
      <c r="K209" s="508"/>
      <c r="L209" s="504"/>
      <c r="M209" s="489" t="str">
        <f t="shared" si="7"/>
        <v>DDDDDDDĐ</v>
      </c>
    </row>
    <row r="210" spans="1:13" s="489" customFormat="1" ht="18" customHeight="1">
      <c r="A210" s="501">
        <v>162</v>
      </c>
      <c r="B210" s="1173" t="s">
        <v>2418</v>
      </c>
      <c r="C210" s="1174" t="s">
        <v>2411</v>
      </c>
      <c r="D210" s="1175"/>
      <c r="E210" s="1176">
        <f>170000/1.1</f>
        <v>154545.45454545453</v>
      </c>
      <c r="F210" s="508"/>
      <c r="G210" s="501">
        <v>162</v>
      </c>
      <c r="H210" s="1173" t="s">
        <v>2418</v>
      </c>
      <c r="I210" s="1174" t="s">
        <v>2411</v>
      </c>
      <c r="J210" s="1175"/>
      <c r="K210" s="1176">
        <f>170000/1.1</f>
        <v>154545.45454545453</v>
      </c>
      <c r="L210" s="508"/>
      <c r="M210" s="489" t="str">
        <f t="shared" si="7"/>
        <v>DDDDDDDĐ</v>
      </c>
    </row>
    <row r="211" spans="1:13" s="489" customFormat="1" ht="18" customHeight="1">
      <c r="A211" s="1161">
        <v>163</v>
      </c>
      <c r="B211" s="1162" t="s">
        <v>2419</v>
      </c>
      <c r="C211" s="1163" t="s">
        <v>2411</v>
      </c>
      <c r="D211" s="1157"/>
      <c r="E211" s="1158">
        <v>80000</v>
      </c>
      <c r="F211" s="508"/>
      <c r="G211" s="1161">
        <v>163</v>
      </c>
      <c r="H211" s="1162" t="s">
        <v>2419</v>
      </c>
      <c r="I211" s="1163" t="s">
        <v>2411</v>
      </c>
      <c r="J211" s="1157"/>
      <c r="K211" s="1158">
        <v>80000</v>
      </c>
      <c r="L211" s="508"/>
      <c r="M211" s="489" t="str">
        <f t="shared" si="7"/>
        <v>DDDDDDDĐ</v>
      </c>
    </row>
    <row r="212" spans="1:13" s="489" customFormat="1" ht="18" customHeight="1">
      <c r="A212" s="501">
        <v>164</v>
      </c>
      <c r="B212" s="506" t="s">
        <v>3695</v>
      </c>
      <c r="C212" s="507" t="s">
        <v>2411</v>
      </c>
      <c r="D212" s="508"/>
      <c r="E212" s="508">
        <f>76000/1.1</f>
        <v>69090.909090909088</v>
      </c>
      <c r="F212" s="508">
        <f>E212</f>
        <v>69090.909090909088</v>
      </c>
      <c r="G212" s="501">
        <v>164</v>
      </c>
      <c r="H212" s="506" t="s">
        <v>3695</v>
      </c>
      <c r="I212" s="507" t="s">
        <v>2411</v>
      </c>
      <c r="J212" s="508"/>
      <c r="K212" s="508">
        <f>76000/1.1</f>
        <v>69090.909090909088</v>
      </c>
      <c r="L212" s="508">
        <f>K212</f>
        <v>69090.909090909088</v>
      </c>
      <c r="M212" s="489" t="str">
        <f t="shared" si="7"/>
        <v>DDDDDDDĐ</v>
      </c>
    </row>
    <row r="213" spans="1:13" s="489" customFormat="1" ht="18" customHeight="1">
      <c r="A213" s="1161">
        <v>165</v>
      </c>
      <c r="B213" s="1162" t="s">
        <v>2420</v>
      </c>
      <c r="C213" s="1163" t="s">
        <v>2411</v>
      </c>
      <c r="D213" s="1158"/>
      <c r="E213" s="1158">
        <v>72727</v>
      </c>
      <c r="F213" s="508"/>
      <c r="G213" s="1161">
        <v>165</v>
      </c>
      <c r="H213" s="1162" t="s">
        <v>2420</v>
      </c>
      <c r="I213" s="1163" t="s">
        <v>2411</v>
      </c>
      <c r="J213" s="1158"/>
      <c r="K213" s="1158">
        <v>72727</v>
      </c>
      <c r="L213" s="508"/>
      <c r="M213" s="489" t="str">
        <f t="shared" si="7"/>
        <v>DDDDDDDĐ</v>
      </c>
    </row>
    <row r="214" spans="1:13" s="489" customFormat="1" ht="18" customHeight="1">
      <c r="A214" s="1161">
        <v>166</v>
      </c>
      <c r="B214" s="1162" t="s">
        <v>3696</v>
      </c>
      <c r="C214" s="1163" t="s">
        <v>2411</v>
      </c>
      <c r="D214" s="1158">
        <f>84000/1.1</f>
        <v>76363.636363636353</v>
      </c>
      <c r="E214" s="1158"/>
      <c r="F214" s="1158"/>
      <c r="G214" s="1161">
        <v>166</v>
      </c>
      <c r="H214" s="1162" t="s">
        <v>3696</v>
      </c>
      <c r="I214" s="1163" t="s">
        <v>2411</v>
      </c>
      <c r="J214" s="1158">
        <f>84000/1.1</f>
        <v>76363.636363636353</v>
      </c>
      <c r="K214" s="1158"/>
      <c r="L214" s="1158"/>
      <c r="M214" s="489" t="str">
        <f t="shared" si="7"/>
        <v>DDDDDDDĐ</v>
      </c>
    </row>
    <row r="215" spans="1:13" s="489" customFormat="1" ht="18" customHeight="1">
      <c r="A215" s="1161">
        <v>167</v>
      </c>
      <c r="B215" s="1162" t="s">
        <v>3697</v>
      </c>
      <c r="C215" s="1163" t="s">
        <v>2411</v>
      </c>
      <c r="D215" s="1158">
        <f>73000/1.1</f>
        <v>66363.636363636353</v>
      </c>
      <c r="E215" s="1158"/>
      <c r="F215" s="1158"/>
      <c r="G215" s="1161">
        <v>167</v>
      </c>
      <c r="H215" s="1162" t="s">
        <v>3697</v>
      </c>
      <c r="I215" s="1163" t="s">
        <v>2411</v>
      </c>
      <c r="J215" s="1158">
        <f>73000/1.1</f>
        <v>66363.636363636353</v>
      </c>
      <c r="K215" s="1158"/>
      <c r="L215" s="1158"/>
      <c r="M215" s="489" t="str">
        <f t="shared" si="7"/>
        <v>DDDDDDDĐ</v>
      </c>
    </row>
    <row r="216" spans="1:13" s="489" customFormat="1" ht="18" customHeight="1">
      <c r="A216" s="1161">
        <v>168</v>
      </c>
      <c r="B216" s="1162" t="s">
        <v>3698</v>
      </c>
      <c r="C216" s="1163" t="s">
        <v>2411</v>
      </c>
      <c r="D216" s="1158">
        <f>70000/1.1</f>
        <v>63636.363636363632</v>
      </c>
      <c r="E216" s="1158"/>
      <c r="F216" s="1158"/>
      <c r="G216" s="1161">
        <v>168</v>
      </c>
      <c r="H216" s="1162" t="s">
        <v>3698</v>
      </c>
      <c r="I216" s="1163" t="s">
        <v>2411</v>
      </c>
      <c r="J216" s="1158">
        <f>70000/1.1</f>
        <v>63636.363636363632</v>
      </c>
      <c r="K216" s="1158"/>
      <c r="L216" s="1158"/>
      <c r="M216" s="489" t="str">
        <f t="shared" si="7"/>
        <v>DDDDDDDĐ</v>
      </c>
    </row>
    <row r="217" spans="1:13" s="489" customFormat="1" ht="20.100000000000001" customHeight="1">
      <c r="A217" s="513" t="s">
        <v>2421</v>
      </c>
      <c r="B217" s="502" t="s">
        <v>2422</v>
      </c>
      <c r="C217" s="510"/>
      <c r="D217" s="510"/>
      <c r="E217" s="517"/>
      <c r="F217" s="517"/>
      <c r="G217" s="513" t="s">
        <v>2421</v>
      </c>
      <c r="H217" s="502" t="s">
        <v>2422</v>
      </c>
      <c r="I217" s="510"/>
      <c r="J217" s="510"/>
      <c r="K217" s="517"/>
      <c r="L217" s="517"/>
      <c r="M217" s="489" t="str">
        <f t="shared" si="7"/>
        <v>DDDDDDDĐ</v>
      </c>
    </row>
    <row r="218" spans="1:13" s="489" customFormat="1" ht="20.100000000000001" customHeight="1">
      <c r="A218" s="501"/>
      <c r="B218" s="2160" t="s">
        <v>2423</v>
      </c>
      <c r="C218" s="2160"/>
      <c r="D218" s="2160"/>
      <c r="E218" s="2160"/>
      <c r="F218" s="2160"/>
      <c r="G218" s="501"/>
      <c r="H218" s="2160" t="s">
        <v>2423</v>
      </c>
      <c r="I218" s="2160"/>
      <c r="J218" s="2160"/>
      <c r="K218" s="2160"/>
      <c r="L218" s="2160"/>
      <c r="M218" s="489" t="str">
        <f t="shared" si="7"/>
        <v>DDDDDDDĐ</v>
      </c>
    </row>
    <row r="219" spans="1:13" s="489" customFormat="1" ht="20.100000000000001" customHeight="1">
      <c r="A219" s="501">
        <v>169</v>
      </c>
      <c r="B219" s="506" t="s">
        <v>2424</v>
      </c>
      <c r="C219" s="507" t="s">
        <v>2307</v>
      </c>
      <c r="D219" s="508"/>
      <c r="E219" s="508">
        <v>16550</v>
      </c>
      <c r="F219" s="517"/>
      <c r="G219" s="501">
        <v>169</v>
      </c>
      <c r="H219" s="506" t="s">
        <v>2424</v>
      </c>
      <c r="I219" s="507" t="s">
        <v>2307</v>
      </c>
      <c r="J219" s="508"/>
      <c r="K219" s="508">
        <v>16550</v>
      </c>
      <c r="L219" s="517"/>
      <c r="M219" s="489" t="str">
        <f t="shared" si="7"/>
        <v>DDDDDDDĐ</v>
      </c>
    </row>
    <row r="220" spans="1:13" s="489" customFormat="1" ht="20.100000000000001" customHeight="1">
      <c r="A220" s="501">
        <v>170</v>
      </c>
      <c r="B220" s="506" t="s">
        <v>2425</v>
      </c>
      <c r="C220" s="507" t="s">
        <v>2307</v>
      </c>
      <c r="D220" s="508"/>
      <c r="E220" s="508">
        <v>16500</v>
      </c>
      <c r="F220" s="517"/>
      <c r="G220" s="501">
        <v>170</v>
      </c>
      <c r="H220" s="506" t="s">
        <v>2425</v>
      </c>
      <c r="I220" s="507" t="s">
        <v>2307</v>
      </c>
      <c r="J220" s="508"/>
      <c r="K220" s="508">
        <v>16500</v>
      </c>
      <c r="L220" s="517"/>
      <c r="M220" s="489" t="str">
        <f t="shared" si="7"/>
        <v>DDDDDDDĐ</v>
      </c>
    </row>
    <row r="221" spans="1:13" s="489" customFormat="1" ht="20.100000000000001" customHeight="1">
      <c r="A221" s="501">
        <v>171</v>
      </c>
      <c r="B221" s="506" t="s">
        <v>2426</v>
      </c>
      <c r="C221" s="507" t="s">
        <v>2307</v>
      </c>
      <c r="D221" s="508"/>
      <c r="E221" s="508">
        <v>16510</v>
      </c>
      <c r="F221" s="517"/>
      <c r="G221" s="501">
        <v>171</v>
      </c>
      <c r="H221" s="506" t="s">
        <v>2426</v>
      </c>
      <c r="I221" s="507" t="s">
        <v>2307</v>
      </c>
      <c r="J221" s="508"/>
      <c r="K221" s="508">
        <v>16510</v>
      </c>
      <c r="L221" s="517"/>
      <c r="M221" s="489" t="str">
        <f t="shared" si="7"/>
        <v>DDDDDDDĐ</v>
      </c>
    </row>
    <row r="222" spans="1:13" s="489" customFormat="1" ht="18" customHeight="1">
      <c r="A222" s="501">
        <v>172</v>
      </c>
      <c r="B222" s="506" t="s">
        <v>2427</v>
      </c>
      <c r="C222" s="507" t="s">
        <v>2307</v>
      </c>
      <c r="D222" s="508"/>
      <c r="E222" s="508">
        <v>16510</v>
      </c>
      <c r="F222" s="517"/>
      <c r="G222" s="501">
        <v>172</v>
      </c>
      <c r="H222" s="506" t="s">
        <v>2427</v>
      </c>
      <c r="I222" s="507" t="s">
        <v>2307</v>
      </c>
      <c r="J222" s="508"/>
      <c r="K222" s="508">
        <v>16510</v>
      </c>
      <c r="L222" s="517"/>
      <c r="M222" s="489" t="str">
        <f t="shared" si="7"/>
        <v>DDDDDDDĐ</v>
      </c>
    </row>
    <row r="223" spans="1:13" s="489" customFormat="1" ht="18" customHeight="1">
      <c r="A223" s="501">
        <v>173</v>
      </c>
      <c r="B223" s="506" t="s">
        <v>2428</v>
      </c>
      <c r="C223" s="507" t="s">
        <v>2307</v>
      </c>
      <c r="D223" s="508"/>
      <c r="E223" s="508">
        <v>16460</v>
      </c>
      <c r="F223" s="517"/>
      <c r="G223" s="501">
        <v>173</v>
      </c>
      <c r="H223" s="506" t="s">
        <v>2428</v>
      </c>
      <c r="I223" s="507" t="s">
        <v>2307</v>
      </c>
      <c r="J223" s="508"/>
      <c r="K223" s="508">
        <v>16460</v>
      </c>
      <c r="L223" s="517"/>
      <c r="M223" s="489" t="str">
        <f t="shared" si="7"/>
        <v>DDDDDDDĐ</v>
      </c>
    </row>
    <row r="224" spans="1:13" s="489" customFormat="1" ht="18" customHeight="1">
      <c r="A224" s="501">
        <v>174</v>
      </c>
      <c r="B224" s="506" t="s">
        <v>2429</v>
      </c>
      <c r="C224" s="507" t="s">
        <v>2307</v>
      </c>
      <c r="D224" s="508"/>
      <c r="E224" s="508">
        <v>16750</v>
      </c>
      <c r="F224" s="517"/>
      <c r="G224" s="501">
        <v>174</v>
      </c>
      <c r="H224" s="506" t="s">
        <v>2429</v>
      </c>
      <c r="I224" s="507" t="s">
        <v>2307</v>
      </c>
      <c r="J224" s="508"/>
      <c r="K224" s="508">
        <v>16750</v>
      </c>
      <c r="L224" s="517"/>
      <c r="M224" s="489" t="str">
        <f t="shared" si="7"/>
        <v>DDDDDDDĐ</v>
      </c>
    </row>
    <row r="225" spans="1:13" s="489" customFormat="1" ht="18" customHeight="1">
      <c r="A225" s="501">
        <v>175</v>
      </c>
      <c r="B225" s="506" t="s">
        <v>2430</v>
      </c>
      <c r="C225" s="507" t="s">
        <v>2307</v>
      </c>
      <c r="D225" s="508"/>
      <c r="E225" s="508">
        <v>16610</v>
      </c>
      <c r="F225" s="517"/>
      <c r="G225" s="501">
        <v>175</v>
      </c>
      <c r="H225" s="506" t="s">
        <v>2430</v>
      </c>
      <c r="I225" s="507" t="s">
        <v>2307</v>
      </c>
      <c r="J225" s="508"/>
      <c r="K225" s="508">
        <v>16610</v>
      </c>
      <c r="L225" s="517"/>
      <c r="M225" s="489" t="str">
        <f t="shared" si="7"/>
        <v>DDDDDDDĐ</v>
      </c>
    </row>
    <row r="226" spans="1:13" s="489" customFormat="1" ht="18" customHeight="1">
      <c r="A226" s="501">
        <v>176</v>
      </c>
      <c r="B226" s="506" t="s">
        <v>3699</v>
      </c>
      <c r="C226" s="507" t="s">
        <v>2307</v>
      </c>
      <c r="D226" s="508"/>
      <c r="E226" s="508">
        <v>16460</v>
      </c>
      <c r="F226" s="517"/>
      <c r="G226" s="501">
        <v>176</v>
      </c>
      <c r="H226" s="506" t="s">
        <v>3699</v>
      </c>
      <c r="I226" s="507" t="s">
        <v>2307</v>
      </c>
      <c r="J226" s="508"/>
      <c r="K226" s="508">
        <v>16460</v>
      </c>
      <c r="L226" s="517"/>
      <c r="M226" s="489" t="str">
        <f t="shared" si="7"/>
        <v>DDDDDDDĐ</v>
      </c>
    </row>
    <row r="227" spans="1:13" s="489" customFormat="1" ht="18" customHeight="1">
      <c r="A227" s="501">
        <v>177</v>
      </c>
      <c r="B227" s="506" t="s">
        <v>3700</v>
      </c>
      <c r="C227" s="507" t="s">
        <v>2307</v>
      </c>
      <c r="D227" s="508"/>
      <c r="E227" s="508">
        <v>16760</v>
      </c>
      <c r="F227" s="517"/>
      <c r="G227" s="501">
        <v>177</v>
      </c>
      <c r="H227" s="506" t="s">
        <v>3700</v>
      </c>
      <c r="I227" s="507" t="s">
        <v>2307</v>
      </c>
      <c r="J227" s="508"/>
      <c r="K227" s="508">
        <v>16760</v>
      </c>
      <c r="L227" s="517"/>
      <c r="M227" s="489" t="str">
        <f t="shared" si="7"/>
        <v>DDDDDDDĐ</v>
      </c>
    </row>
    <row r="228" spans="1:13" s="489" customFormat="1" ht="18" customHeight="1">
      <c r="A228" s="501">
        <v>178</v>
      </c>
      <c r="B228" s="506" t="s">
        <v>3810</v>
      </c>
      <c r="C228" s="507" t="s">
        <v>2307</v>
      </c>
      <c r="D228" s="508"/>
      <c r="E228" s="1432">
        <v>16610</v>
      </c>
      <c r="F228" s="517"/>
      <c r="G228" s="501">
        <v>178</v>
      </c>
      <c r="H228" s="506" t="s">
        <v>3810</v>
      </c>
      <c r="I228" s="507" t="s">
        <v>2307</v>
      </c>
      <c r="J228" s="508"/>
      <c r="K228" s="508">
        <v>16610</v>
      </c>
      <c r="L228" s="517"/>
      <c r="M228" s="489" t="str">
        <f t="shared" ref="M228:M292" si="8">IF(B228=H228,"DDDDDDDĐ","SSSSSSSSSSSS")</f>
        <v>DDDDDDDĐ</v>
      </c>
    </row>
    <row r="229" spans="1:13" s="489" customFormat="1" ht="18" customHeight="1">
      <c r="A229" s="501">
        <v>179</v>
      </c>
      <c r="B229" s="506" t="s">
        <v>3811</v>
      </c>
      <c r="C229" s="507" t="s">
        <v>2307</v>
      </c>
      <c r="D229" s="508"/>
      <c r="E229" s="1432">
        <v>16460</v>
      </c>
      <c r="F229" s="517"/>
      <c r="G229" s="501">
        <v>179</v>
      </c>
      <c r="H229" s="506" t="s">
        <v>3811</v>
      </c>
      <c r="I229" s="507" t="s">
        <v>2307</v>
      </c>
      <c r="J229" s="508"/>
      <c r="K229" s="508">
        <v>16460</v>
      </c>
      <c r="L229" s="517"/>
      <c r="M229" s="489" t="str">
        <f t="shared" si="8"/>
        <v>DDDDDDDĐ</v>
      </c>
    </row>
    <row r="230" spans="1:13" s="489" customFormat="1" ht="18" customHeight="1">
      <c r="A230" s="501">
        <v>180</v>
      </c>
      <c r="B230" s="506" t="s">
        <v>3812</v>
      </c>
      <c r="C230" s="507" t="s">
        <v>2307</v>
      </c>
      <c r="D230" s="508"/>
      <c r="E230" s="508">
        <v>16760</v>
      </c>
      <c r="F230" s="517"/>
      <c r="G230" s="501">
        <v>180</v>
      </c>
      <c r="H230" s="506" t="s">
        <v>3812</v>
      </c>
      <c r="I230" s="507" t="s">
        <v>2307</v>
      </c>
      <c r="J230" s="508"/>
      <c r="K230" s="508">
        <v>16760</v>
      </c>
      <c r="L230" s="517"/>
      <c r="M230" s="489" t="str">
        <f t="shared" si="8"/>
        <v>DDDDDDDĐ</v>
      </c>
    </row>
    <row r="231" spans="1:13" s="489" customFormat="1" ht="18" customHeight="1">
      <c r="A231" s="501">
        <v>181</v>
      </c>
      <c r="B231" s="506" t="s">
        <v>3701</v>
      </c>
      <c r="C231" s="507" t="s">
        <v>2307</v>
      </c>
      <c r="D231" s="508"/>
      <c r="E231" s="508">
        <v>16810</v>
      </c>
      <c r="F231" s="517"/>
      <c r="G231" s="501">
        <v>181</v>
      </c>
      <c r="H231" s="506" t="s">
        <v>3701</v>
      </c>
      <c r="I231" s="507" t="s">
        <v>2307</v>
      </c>
      <c r="J231" s="508"/>
      <c r="K231" s="508">
        <v>16810</v>
      </c>
      <c r="L231" s="517"/>
      <c r="M231" s="489" t="str">
        <f t="shared" si="8"/>
        <v>DDDDDDDĐ</v>
      </c>
    </row>
    <row r="232" spans="1:13" s="489" customFormat="1" ht="18" customHeight="1">
      <c r="A232" s="501">
        <v>182</v>
      </c>
      <c r="B232" s="506" t="s">
        <v>3702</v>
      </c>
      <c r="C232" s="507" t="s">
        <v>2307</v>
      </c>
      <c r="D232" s="508"/>
      <c r="E232" s="508">
        <v>16660</v>
      </c>
      <c r="F232" s="517"/>
      <c r="G232" s="501">
        <v>182</v>
      </c>
      <c r="H232" s="506" t="s">
        <v>3702</v>
      </c>
      <c r="I232" s="507" t="s">
        <v>2307</v>
      </c>
      <c r="J232" s="508"/>
      <c r="K232" s="508">
        <v>16660</v>
      </c>
      <c r="L232" s="517"/>
      <c r="M232" s="489" t="str">
        <f t="shared" si="8"/>
        <v>DDDDDDDĐ</v>
      </c>
    </row>
    <row r="233" spans="1:13" s="489" customFormat="1" ht="18" customHeight="1">
      <c r="A233" s="501">
        <v>183</v>
      </c>
      <c r="B233" s="506" t="s">
        <v>3813</v>
      </c>
      <c r="C233" s="507" t="s">
        <v>2307</v>
      </c>
      <c r="D233" s="508"/>
      <c r="E233" s="508">
        <v>16960</v>
      </c>
      <c r="F233" s="517"/>
      <c r="G233" s="501">
        <v>183</v>
      </c>
      <c r="H233" s="506" t="s">
        <v>3813</v>
      </c>
      <c r="I233" s="507" t="s">
        <v>2307</v>
      </c>
      <c r="J233" s="508"/>
      <c r="K233" s="508">
        <v>16960</v>
      </c>
      <c r="L233" s="517"/>
      <c r="M233" s="489" t="str">
        <f t="shared" si="8"/>
        <v>DDDDDDDĐ</v>
      </c>
    </row>
    <row r="234" spans="1:13" s="489" customFormat="1" ht="18" customHeight="1">
      <c r="A234" s="501">
        <v>184</v>
      </c>
      <c r="B234" s="506" t="s">
        <v>3814</v>
      </c>
      <c r="C234" s="507" t="s">
        <v>2307</v>
      </c>
      <c r="D234" s="508"/>
      <c r="E234" s="508">
        <v>16810</v>
      </c>
      <c r="F234" s="517"/>
      <c r="G234" s="501">
        <v>184</v>
      </c>
      <c r="H234" s="506" t="s">
        <v>3814</v>
      </c>
      <c r="I234" s="507" t="s">
        <v>2307</v>
      </c>
      <c r="J234" s="508"/>
      <c r="K234" s="508">
        <v>16810</v>
      </c>
      <c r="L234" s="517"/>
      <c r="M234" s="489" t="str">
        <f t="shared" si="8"/>
        <v>DDDDDDDĐ</v>
      </c>
    </row>
    <row r="235" spans="1:13" s="489" customFormat="1" ht="18" customHeight="1">
      <c r="A235" s="501">
        <v>185</v>
      </c>
      <c r="B235" s="506" t="s">
        <v>2431</v>
      </c>
      <c r="C235" s="507" t="s">
        <v>2307</v>
      </c>
      <c r="D235" s="508"/>
      <c r="E235" s="508">
        <v>16810</v>
      </c>
      <c r="F235" s="517"/>
      <c r="G235" s="501">
        <v>185</v>
      </c>
      <c r="H235" s="506" t="s">
        <v>2431</v>
      </c>
      <c r="I235" s="507" t="s">
        <v>2307</v>
      </c>
      <c r="J235" s="508"/>
      <c r="K235" s="508">
        <v>16810</v>
      </c>
      <c r="L235" s="517"/>
      <c r="M235" s="489" t="str">
        <f t="shared" si="8"/>
        <v>DDDDDDDĐ</v>
      </c>
    </row>
    <row r="236" spans="1:13" s="489" customFormat="1" ht="18" customHeight="1">
      <c r="A236" s="501"/>
      <c r="B236" s="502" t="s">
        <v>2432</v>
      </c>
      <c r="C236" s="510"/>
      <c r="D236" s="510"/>
      <c r="E236" s="508"/>
      <c r="F236" s="508"/>
      <c r="G236" s="501"/>
      <c r="H236" s="502" t="s">
        <v>2432</v>
      </c>
      <c r="I236" s="510"/>
      <c r="J236" s="510"/>
      <c r="K236" s="508"/>
      <c r="L236" s="508"/>
      <c r="M236" s="489" t="str">
        <f t="shared" si="8"/>
        <v>DDDDDDDĐ</v>
      </c>
    </row>
    <row r="237" spans="1:13" s="489" customFormat="1" ht="18" customHeight="1">
      <c r="A237" s="501"/>
      <c r="B237" s="502" t="s">
        <v>2433</v>
      </c>
      <c r="C237" s="510"/>
      <c r="D237" s="510"/>
      <c r="E237" s="508"/>
      <c r="F237" s="508"/>
      <c r="G237" s="501"/>
      <c r="H237" s="502" t="s">
        <v>2433</v>
      </c>
      <c r="I237" s="510"/>
      <c r="J237" s="510"/>
      <c r="K237" s="508"/>
      <c r="L237" s="508"/>
      <c r="M237" s="489" t="str">
        <f t="shared" si="8"/>
        <v>DDDDDDDĐ</v>
      </c>
    </row>
    <row r="238" spans="1:13" s="489" customFormat="1" ht="18" customHeight="1">
      <c r="A238" s="501">
        <v>186</v>
      </c>
      <c r="B238" s="506" t="s">
        <v>2434</v>
      </c>
      <c r="C238" s="507" t="s">
        <v>2307</v>
      </c>
      <c r="D238" s="508">
        <v>15250</v>
      </c>
      <c r="E238" s="508"/>
      <c r="F238" s="508"/>
      <c r="G238" s="501">
        <v>186</v>
      </c>
      <c r="H238" s="506" t="s">
        <v>2434</v>
      </c>
      <c r="I238" s="507" t="s">
        <v>2307</v>
      </c>
      <c r="J238" s="508">
        <v>15250</v>
      </c>
      <c r="K238" s="508"/>
      <c r="L238" s="508"/>
      <c r="M238" s="489" t="str">
        <f t="shared" si="8"/>
        <v>DDDDDDDĐ</v>
      </c>
    </row>
    <row r="239" spans="1:13" s="489" customFormat="1" ht="18" customHeight="1">
      <c r="A239" s="501">
        <v>187</v>
      </c>
      <c r="B239" s="506" t="s">
        <v>3703</v>
      </c>
      <c r="C239" s="507" t="s">
        <v>2307</v>
      </c>
      <c r="D239" s="508">
        <v>15250</v>
      </c>
      <c r="E239" s="508"/>
      <c r="F239" s="508"/>
      <c r="G239" s="501">
        <v>187</v>
      </c>
      <c r="H239" s="506" t="s">
        <v>3703</v>
      </c>
      <c r="I239" s="507" t="s">
        <v>2307</v>
      </c>
      <c r="J239" s="508">
        <v>15250</v>
      </c>
      <c r="K239" s="508"/>
      <c r="L239" s="508"/>
      <c r="M239" s="489" t="str">
        <f t="shared" si="8"/>
        <v>DDDDDDDĐ</v>
      </c>
    </row>
    <row r="240" spans="1:13" s="489" customFormat="1" ht="18" customHeight="1">
      <c r="A240" s="501">
        <v>188</v>
      </c>
      <c r="B240" s="506" t="s">
        <v>2435</v>
      </c>
      <c r="C240" s="507" t="s">
        <v>2307</v>
      </c>
      <c r="D240" s="508">
        <v>15490</v>
      </c>
      <c r="E240" s="508"/>
      <c r="F240" s="508"/>
      <c r="G240" s="501">
        <v>188</v>
      </c>
      <c r="H240" s="506" t="s">
        <v>2435</v>
      </c>
      <c r="I240" s="507" t="s">
        <v>2307</v>
      </c>
      <c r="J240" s="508">
        <v>15490</v>
      </c>
      <c r="K240" s="508"/>
      <c r="L240" s="508"/>
      <c r="M240" s="489" t="str">
        <f t="shared" si="8"/>
        <v>DDDDDDDĐ</v>
      </c>
    </row>
    <row r="241" spans="1:13" s="489" customFormat="1" ht="18" customHeight="1">
      <c r="A241" s="501">
        <v>189</v>
      </c>
      <c r="B241" s="506" t="s">
        <v>3704</v>
      </c>
      <c r="C241" s="507" t="s">
        <v>2307</v>
      </c>
      <c r="D241" s="508">
        <v>15500</v>
      </c>
      <c r="E241" s="508"/>
      <c r="F241" s="508"/>
      <c r="G241" s="501">
        <v>189</v>
      </c>
      <c r="H241" s="506" t="s">
        <v>3704</v>
      </c>
      <c r="I241" s="507" t="s">
        <v>2307</v>
      </c>
      <c r="J241" s="508">
        <v>15500</v>
      </c>
      <c r="K241" s="508"/>
      <c r="L241" s="508"/>
      <c r="M241" s="489" t="str">
        <f t="shared" si="8"/>
        <v>DDDDDDDĐ</v>
      </c>
    </row>
    <row r="242" spans="1:13" s="489" customFormat="1" ht="18.75" customHeight="1">
      <c r="A242" s="501">
        <v>190</v>
      </c>
      <c r="B242" s="506" t="s">
        <v>3705</v>
      </c>
      <c r="C242" s="507" t="s">
        <v>2307</v>
      </c>
      <c r="D242" s="508">
        <v>15350</v>
      </c>
      <c r="E242" s="508"/>
      <c r="F242" s="508"/>
      <c r="G242" s="501">
        <v>190</v>
      </c>
      <c r="H242" s="506" t="s">
        <v>3705</v>
      </c>
      <c r="I242" s="507" t="s">
        <v>2307</v>
      </c>
      <c r="J242" s="508">
        <v>15350</v>
      </c>
      <c r="K242" s="508"/>
      <c r="L242" s="508"/>
      <c r="M242" s="489" t="str">
        <f t="shared" si="8"/>
        <v>DDDDDDDĐ</v>
      </c>
    </row>
    <row r="243" spans="1:13" s="489" customFormat="1" ht="18" customHeight="1">
      <c r="A243" s="501">
        <v>191</v>
      </c>
      <c r="B243" s="506" t="s">
        <v>3706</v>
      </c>
      <c r="C243" s="507" t="s">
        <v>2307</v>
      </c>
      <c r="D243" s="508">
        <v>15650</v>
      </c>
      <c r="E243" s="508"/>
      <c r="F243" s="508"/>
      <c r="G243" s="501">
        <v>191</v>
      </c>
      <c r="H243" s="506" t="s">
        <v>3706</v>
      </c>
      <c r="I243" s="507" t="s">
        <v>2307</v>
      </c>
      <c r="J243" s="508">
        <v>15650</v>
      </c>
      <c r="K243" s="508"/>
      <c r="L243" s="508"/>
      <c r="M243" s="489" t="str">
        <f t="shared" si="8"/>
        <v>DDDDDDDĐ</v>
      </c>
    </row>
    <row r="244" spans="1:13" s="489" customFormat="1" ht="18" customHeight="1">
      <c r="A244" s="501">
        <v>192</v>
      </c>
      <c r="B244" s="506" t="s">
        <v>3707</v>
      </c>
      <c r="C244" s="507" t="s">
        <v>2307</v>
      </c>
      <c r="D244" s="508">
        <v>15700</v>
      </c>
      <c r="E244" s="508"/>
      <c r="F244" s="508"/>
      <c r="G244" s="501">
        <v>192</v>
      </c>
      <c r="H244" s="506" t="s">
        <v>3707</v>
      </c>
      <c r="I244" s="507" t="s">
        <v>2307</v>
      </c>
      <c r="J244" s="508">
        <v>15700</v>
      </c>
      <c r="K244" s="508"/>
      <c r="L244" s="508"/>
      <c r="M244" s="489" t="str">
        <f t="shared" si="8"/>
        <v>DDDDDDDĐ</v>
      </c>
    </row>
    <row r="245" spans="1:13" s="489" customFormat="1" ht="18" customHeight="1">
      <c r="A245" s="501">
        <v>193</v>
      </c>
      <c r="B245" s="506" t="s">
        <v>3708</v>
      </c>
      <c r="C245" s="507" t="s">
        <v>2307</v>
      </c>
      <c r="D245" s="508">
        <v>15550</v>
      </c>
      <c r="E245" s="508"/>
      <c r="F245" s="508"/>
      <c r="G245" s="501">
        <v>193</v>
      </c>
      <c r="H245" s="506" t="s">
        <v>3708</v>
      </c>
      <c r="I245" s="507" t="s">
        <v>2307</v>
      </c>
      <c r="J245" s="508">
        <v>15550</v>
      </c>
      <c r="K245" s="508"/>
      <c r="L245" s="508"/>
      <c r="M245" s="489" t="str">
        <f t="shared" si="8"/>
        <v>DDDDDDDĐ</v>
      </c>
    </row>
    <row r="246" spans="1:13" s="489" customFormat="1" ht="18" customHeight="1">
      <c r="A246" s="501">
        <v>194</v>
      </c>
      <c r="B246" s="506" t="s">
        <v>3709</v>
      </c>
      <c r="C246" s="507" t="s">
        <v>2307</v>
      </c>
      <c r="D246" s="508">
        <v>15850</v>
      </c>
      <c r="E246" s="508"/>
      <c r="F246" s="508"/>
      <c r="G246" s="501">
        <v>194</v>
      </c>
      <c r="H246" s="506" t="s">
        <v>3709</v>
      </c>
      <c r="I246" s="507" t="s">
        <v>2307</v>
      </c>
      <c r="J246" s="508">
        <v>15850</v>
      </c>
      <c r="K246" s="508"/>
      <c r="L246" s="508"/>
      <c r="M246" s="489" t="str">
        <f t="shared" si="8"/>
        <v>DDDDDDDĐ</v>
      </c>
    </row>
    <row r="247" spans="1:13" s="489" customFormat="1" ht="18" customHeight="1">
      <c r="A247" s="501">
        <v>195</v>
      </c>
      <c r="B247" s="506" t="s">
        <v>3710</v>
      </c>
      <c r="C247" s="507" t="s">
        <v>2307</v>
      </c>
      <c r="D247" s="508">
        <v>15850</v>
      </c>
      <c r="E247" s="508"/>
      <c r="F247" s="508"/>
      <c r="G247" s="501">
        <v>195</v>
      </c>
      <c r="H247" s="506" t="s">
        <v>3710</v>
      </c>
      <c r="I247" s="507" t="s">
        <v>2307</v>
      </c>
      <c r="J247" s="508">
        <v>15850</v>
      </c>
      <c r="K247" s="508"/>
      <c r="L247" s="508"/>
      <c r="M247" s="489" t="str">
        <f t="shared" si="8"/>
        <v>DDDDDDDĐ</v>
      </c>
    </row>
    <row r="248" spans="1:13" s="489" customFormat="1" ht="18" customHeight="1">
      <c r="A248" s="501">
        <v>196</v>
      </c>
      <c r="B248" s="506" t="s">
        <v>3711</v>
      </c>
      <c r="C248" s="507" t="s">
        <v>2307</v>
      </c>
      <c r="D248" s="508">
        <v>15770</v>
      </c>
      <c r="E248" s="508"/>
      <c r="F248" s="508"/>
      <c r="G248" s="501">
        <v>196</v>
      </c>
      <c r="H248" s="506" t="s">
        <v>3711</v>
      </c>
      <c r="I248" s="507" t="s">
        <v>2307</v>
      </c>
      <c r="J248" s="508">
        <v>15770</v>
      </c>
      <c r="K248" s="508"/>
      <c r="L248" s="508"/>
      <c r="M248" s="489" t="str">
        <f t="shared" si="8"/>
        <v>DDDDDDDĐ</v>
      </c>
    </row>
    <row r="249" spans="1:13" s="489" customFormat="1" ht="18" customHeight="1">
      <c r="A249" s="501">
        <v>197</v>
      </c>
      <c r="B249" s="506" t="s">
        <v>3712</v>
      </c>
      <c r="C249" s="507" t="s">
        <v>2307</v>
      </c>
      <c r="D249" s="508">
        <v>16000</v>
      </c>
      <c r="E249" s="508"/>
      <c r="F249" s="508"/>
      <c r="G249" s="501">
        <v>197</v>
      </c>
      <c r="H249" s="506" t="s">
        <v>3712</v>
      </c>
      <c r="I249" s="507" t="s">
        <v>2307</v>
      </c>
      <c r="J249" s="508">
        <v>16000</v>
      </c>
      <c r="K249" s="508"/>
      <c r="L249" s="508"/>
      <c r="M249" s="489" t="str">
        <f t="shared" si="8"/>
        <v>DDDDDDDĐ</v>
      </c>
    </row>
    <row r="250" spans="1:13" s="489" customFormat="1" ht="18" customHeight="1">
      <c r="A250" s="501">
        <v>198</v>
      </c>
      <c r="B250" s="506" t="s">
        <v>3713</v>
      </c>
      <c r="C250" s="507" t="s">
        <v>2307</v>
      </c>
      <c r="D250" s="508">
        <v>15850</v>
      </c>
      <c r="E250" s="508"/>
      <c r="F250" s="508"/>
      <c r="G250" s="501">
        <v>198</v>
      </c>
      <c r="H250" s="506" t="s">
        <v>3713</v>
      </c>
      <c r="I250" s="507" t="s">
        <v>2307</v>
      </c>
      <c r="J250" s="508">
        <v>15850</v>
      </c>
      <c r="K250" s="508"/>
      <c r="L250" s="508"/>
      <c r="M250" s="489" t="str">
        <f t="shared" si="8"/>
        <v>DDDDDDDĐ</v>
      </c>
    </row>
    <row r="251" spans="1:13" s="489" customFormat="1" ht="20.100000000000001" customHeight="1">
      <c r="A251" s="501">
        <v>199</v>
      </c>
      <c r="B251" s="506" t="s">
        <v>3714</v>
      </c>
      <c r="C251" s="507" t="s">
        <v>2307</v>
      </c>
      <c r="D251" s="508">
        <v>15700</v>
      </c>
      <c r="E251" s="508"/>
      <c r="F251" s="508"/>
      <c r="G251" s="501">
        <v>199</v>
      </c>
      <c r="H251" s="506" t="s">
        <v>3714</v>
      </c>
      <c r="I251" s="507" t="s">
        <v>2307</v>
      </c>
      <c r="J251" s="508">
        <v>15700</v>
      </c>
      <c r="K251" s="508"/>
      <c r="L251" s="508"/>
      <c r="M251" s="489" t="str">
        <f t="shared" si="8"/>
        <v>DDDDDDDĐ</v>
      </c>
    </row>
    <row r="252" spans="1:13" s="489" customFormat="1" ht="18" customHeight="1">
      <c r="A252" s="501">
        <v>200</v>
      </c>
      <c r="B252" s="506" t="s">
        <v>3715</v>
      </c>
      <c r="C252" s="507" t="s">
        <v>2307</v>
      </c>
      <c r="D252" s="508">
        <v>16000</v>
      </c>
      <c r="E252" s="508"/>
      <c r="F252" s="508"/>
      <c r="G252" s="501">
        <v>200</v>
      </c>
      <c r="H252" s="506" t="s">
        <v>3715</v>
      </c>
      <c r="I252" s="507" t="s">
        <v>2307</v>
      </c>
      <c r="J252" s="508">
        <v>16000</v>
      </c>
      <c r="K252" s="508"/>
      <c r="L252" s="508"/>
      <c r="M252" s="489" t="str">
        <f t="shared" si="8"/>
        <v>DDDDDDDĐ</v>
      </c>
    </row>
    <row r="253" spans="1:13" s="489" customFormat="1" ht="18" customHeight="1">
      <c r="A253" s="513"/>
      <c r="B253" s="502" t="s">
        <v>2436</v>
      </c>
      <c r="C253" s="510"/>
      <c r="D253" s="508"/>
      <c r="E253" s="508"/>
      <c r="F253" s="508"/>
      <c r="G253" s="513"/>
      <c r="H253" s="502" t="s">
        <v>2436</v>
      </c>
      <c r="I253" s="510"/>
      <c r="J253" s="508"/>
      <c r="K253" s="508"/>
      <c r="L253" s="508"/>
      <c r="M253" s="489" t="str">
        <f t="shared" si="8"/>
        <v>DDDDDDDĐ</v>
      </c>
    </row>
    <row r="254" spans="1:13" s="489" customFormat="1" ht="18" customHeight="1">
      <c r="A254" s="501">
        <v>201</v>
      </c>
      <c r="B254" s="506" t="s">
        <v>2437</v>
      </c>
      <c r="C254" s="507" t="s">
        <v>2307</v>
      </c>
      <c r="D254" s="508">
        <v>14950</v>
      </c>
      <c r="E254" s="508"/>
      <c r="F254" s="508"/>
      <c r="G254" s="501">
        <v>201</v>
      </c>
      <c r="H254" s="506" t="s">
        <v>2437</v>
      </c>
      <c r="I254" s="507" t="s">
        <v>2307</v>
      </c>
      <c r="J254" s="508">
        <v>14950</v>
      </c>
      <c r="K254" s="508"/>
      <c r="L254" s="508"/>
      <c r="M254" s="489" t="str">
        <f t="shared" si="8"/>
        <v>DDDDDDDĐ</v>
      </c>
    </row>
    <row r="255" spans="1:13" s="489" customFormat="1" ht="18" customHeight="1">
      <c r="A255" s="501">
        <v>202</v>
      </c>
      <c r="B255" s="506" t="s">
        <v>3716</v>
      </c>
      <c r="C255" s="507" t="s">
        <v>2307</v>
      </c>
      <c r="D255" s="508">
        <v>14900</v>
      </c>
      <c r="E255" s="508"/>
      <c r="F255" s="508"/>
      <c r="G255" s="501">
        <v>202</v>
      </c>
      <c r="H255" s="506" t="s">
        <v>3716</v>
      </c>
      <c r="I255" s="507" t="s">
        <v>2307</v>
      </c>
      <c r="J255" s="508">
        <v>14900</v>
      </c>
      <c r="K255" s="508"/>
      <c r="L255" s="508"/>
      <c r="M255" s="489" t="str">
        <f t="shared" si="8"/>
        <v>DDDDDDDĐ</v>
      </c>
    </row>
    <row r="256" spans="1:13" s="489" customFormat="1" ht="18" customHeight="1">
      <c r="A256" s="501">
        <v>203</v>
      </c>
      <c r="B256" s="506" t="s">
        <v>3717</v>
      </c>
      <c r="C256" s="507" t="s">
        <v>2307</v>
      </c>
      <c r="D256" s="508">
        <v>14900</v>
      </c>
      <c r="E256" s="508"/>
      <c r="F256" s="508"/>
      <c r="G256" s="501">
        <v>203</v>
      </c>
      <c r="H256" s="506" t="s">
        <v>3717</v>
      </c>
      <c r="I256" s="507" t="s">
        <v>2307</v>
      </c>
      <c r="J256" s="508">
        <v>14900</v>
      </c>
      <c r="K256" s="508"/>
      <c r="L256" s="508"/>
      <c r="M256" s="489" t="str">
        <f t="shared" si="8"/>
        <v>DDDDDDDĐ</v>
      </c>
    </row>
    <row r="257" spans="1:13" s="489" customFormat="1" ht="18" customHeight="1">
      <c r="A257" s="501">
        <v>204</v>
      </c>
      <c r="B257" s="506" t="s">
        <v>5091</v>
      </c>
      <c r="C257" s="507" t="s">
        <v>2307</v>
      </c>
      <c r="D257" s="508">
        <v>15150</v>
      </c>
      <c r="E257" s="508"/>
      <c r="F257" s="508"/>
      <c r="G257" s="501">
        <v>204</v>
      </c>
      <c r="H257" s="506" t="s">
        <v>5091</v>
      </c>
      <c r="I257" s="507" t="s">
        <v>2307</v>
      </c>
      <c r="J257" s="508">
        <v>15150</v>
      </c>
      <c r="K257" s="508"/>
      <c r="L257" s="508"/>
      <c r="M257" s="489" t="str">
        <f t="shared" si="8"/>
        <v>DDDDDDDĐ</v>
      </c>
    </row>
    <row r="258" spans="1:13" s="489" customFormat="1" ht="18.95" customHeight="1">
      <c r="A258" s="501">
        <v>205</v>
      </c>
      <c r="B258" s="506" t="s">
        <v>5092</v>
      </c>
      <c r="C258" s="507" t="s">
        <v>2307</v>
      </c>
      <c r="D258" s="508">
        <v>15000</v>
      </c>
      <c r="E258" s="508"/>
      <c r="F258" s="508"/>
      <c r="G258" s="501">
        <v>205</v>
      </c>
      <c r="H258" s="506" t="s">
        <v>5092</v>
      </c>
      <c r="I258" s="507" t="s">
        <v>2307</v>
      </c>
      <c r="J258" s="508">
        <v>15000</v>
      </c>
      <c r="K258" s="508"/>
      <c r="L258" s="508"/>
      <c r="M258" s="489" t="str">
        <f t="shared" si="8"/>
        <v>DDDDDDDĐ</v>
      </c>
    </row>
    <row r="259" spans="1:13" s="489" customFormat="1" ht="18.600000000000001" customHeight="1">
      <c r="A259" s="1161"/>
      <c r="B259" s="1177" t="s">
        <v>2438</v>
      </c>
      <c r="C259" s="1178"/>
      <c r="D259" s="1158"/>
      <c r="E259" s="1158"/>
      <c r="F259" s="1158"/>
      <c r="G259" s="1161"/>
      <c r="H259" s="1177" t="s">
        <v>2438</v>
      </c>
      <c r="I259" s="1178"/>
      <c r="J259" s="1158"/>
      <c r="K259" s="1158"/>
      <c r="L259" s="1158"/>
      <c r="M259" s="489" t="str">
        <f t="shared" si="8"/>
        <v>DDDDDDDĐ</v>
      </c>
    </row>
    <row r="260" spans="1:13" s="489" customFormat="1" ht="18.600000000000001" customHeight="1">
      <c r="A260" s="1161"/>
      <c r="B260" s="1156" t="s">
        <v>2439</v>
      </c>
      <c r="C260" s="1157"/>
      <c r="D260" s="1179"/>
      <c r="E260" s="1158"/>
      <c r="F260" s="1158"/>
      <c r="G260" s="1161"/>
      <c r="H260" s="1156" t="s">
        <v>2439</v>
      </c>
      <c r="I260" s="1157"/>
      <c r="J260" s="1179"/>
      <c r="K260" s="1158"/>
      <c r="L260" s="1158"/>
      <c r="M260" s="489" t="str">
        <f t="shared" si="8"/>
        <v>DDDDDDDĐ</v>
      </c>
    </row>
    <row r="261" spans="1:13" s="489" customFormat="1" ht="18.600000000000001" customHeight="1">
      <c r="A261" s="1161">
        <v>206</v>
      </c>
      <c r="B261" s="1180" t="s">
        <v>2440</v>
      </c>
      <c r="C261" s="1163" t="s">
        <v>2307</v>
      </c>
      <c r="D261" s="1181"/>
      <c r="E261" s="1158">
        <f>14500/1.1</f>
        <v>13181.81818181818</v>
      </c>
      <c r="F261" s="1158"/>
      <c r="G261" s="1161">
        <v>206</v>
      </c>
      <c r="H261" s="1180" t="s">
        <v>2440</v>
      </c>
      <c r="I261" s="1163" t="s">
        <v>2307</v>
      </c>
      <c r="J261" s="1181"/>
      <c r="K261" s="1158">
        <f>14500/1.1</f>
        <v>13181.81818181818</v>
      </c>
      <c r="L261" s="1158"/>
      <c r="M261" s="489" t="str">
        <f t="shared" si="8"/>
        <v>DDDDDDDĐ</v>
      </c>
    </row>
    <row r="262" spans="1:13" s="489" customFormat="1" ht="18.600000000000001" customHeight="1">
      <c r="A262" s="1161">
        <v>207</v>
      </c>
      <c r="B262" s="1180" t="s">
        <v>2441</v>
      </c>
      <c r="C262" s="1163" t="s">
        <v>2307</v>
      </c>
      <c r="D262" s="1181"/>
      <c r="E262" s="1158">
        <f t="shared" ref="E262:E267" si="9">14000/1.1</f>
        <v>12727.272727272726</v>
      </c>
      <c r="F262" s="1158"/>
      <c r="G262" s="1161">
        <v>207</v>
      </c>
      <c r="H262" s="1180" t="s">
        <v>2441</v>
      </c>
      <c r="I262" s="1163" t="s">
        <v>2307</v>
      </c>
      <c r="J262" s="1181"/>
      <c r="K262" s="1158">
        <f t="shared" ref="K262:K267" si="10">14000/1.1</f>
        <v>12727.272727272726</v>
      </c>
      <c r="L262" s="1158"/>
      <c r="M262" s="489" t="str">
        <f t="shared" si="8"/>
        <v>DDDDDDDĐ</v>
      </c>
    </row>
    <row r="263" spans="1:13" s="489" customFormat="1" ht="18.600000000000001" customHeight="1">
      <c r="A263" s="1161">
        <v>208</v>
      </c>
      <c r="B263" s="1180" t="s">
        <v>2442</v>
      </c>
      <c r="C263" s="1163" t="s">
        <v>2307</v>
      </c>
      <c r="D263" s="1181"/>
      <c r="E263" s="1432">
        <f t="shared" si="9"/>
        <v>12727.272727272726</v>
      </c>
      <c r="F263" s="1158"/>
      <c r="G263" s="1161">
        <v>208</v>
      </c>
      <c r="H263" s="1180" t="s">
        <v>2442</v>
      </c>
      <c r="I263" s="1163" t="s">
        <v>2307</v>
      </c>
      <c r="J263" s="1181"/>
      <c r="K263" s="1158">
        <f t="shared" si="10"/>
        <v>12727.272727272726</v>
      </c>
      <c r="L263" s="1158"/>
      <c r="M263" s="489" t="str">
        <f t="shared" si="8"/>
        <v>DDDDDDDĐ</v>
      </c>
    </row>
    <row r="264" spans="1:13" s="489" customFormat="1" ht="18.600000000000001" customHeight="1">
      <c r="A264" s="1161">
        <v>209</v>
      </c>
      <c r="B264" s="1180" t="s">
        <v>2443</v>
      </c>
      <c r="C264" s="1163" t="s">
        <v>2307</v>
      </c>
      <c r="D264" s="1181"/>
      <c r="E264" s="1158">
        <f t="shared" si="9"/>
        <v>12727.272727272726</v>
      </c>
      <c r="F264" s="1158"/>
      <c r="G264" s="1161">
        <v>209</v>
      </c>
      <c r="H264" s="1180" t="s">
        <v>2443</v>
      </c>
      <c r="I264" s="1163" t="s">
        <v>2307</v>
      </c>
      <c r="J264" s="1181"/>
      <c r="K264" s="1158">
        <f t="shared" si="10"/>
        <v>12727.272727272726</v>
      </c>
      <c r="L264" s="1158"/>
      <c r="M264" s="489" t="str">
        <f t="shared" si="8"/>
        <v>DDDDDDDĐ</v>
      </c>
    </row>
    <row r="265" spans="1:13" s="489" customFormat="1" ht="18.600000000000001" customHeight="1">
      <c r="A265" s="1161">
        <v>210</v>
      </c>
      <c r="B265" s="1180" t="s">
        <v>2444</v>
      </c>
      <c r="C265" s="1163" t="s">
        <v>2307</v>
      </c>
      <c r="D265" s="1181"/>
      <c r="E265" s="1158">
        <f t="shared" si="9"/>
        <v>12727.272727272726</v>
      </c>
      <c r="F265" s="1158"/>
      <c r="G265" s="1161">
        <v>210</v>
      </c>
      <c r="H265" s="1180" t="s">
        <v>2444</v>
      </c>
      <c r="I265" s="1163" t="s">
        <v>2307</v>
      </c>
      <c r="J265" s="1181"/>
      <c r="K265" s="1158">
        <f t="shared" si="10"/>
        <v>12727.272727272726</v>
      </c>
      <c r="L265" s="1158"/>
      <c r="M265" s="489" t="str">
        <f t="shared" si="8"/>
        <v>DDDDDDDĐ</v>
      </c>
    </row>
    <row r="266" spans="1:13" s="489" customFormat="1" ht="18.600000000000001" customHeight="1">
      <c r="A266" s="1161">
        <v>211</v>
      </c>
      <c r="B266" s="1180" t="s">
        <v>2445</v>
      </c>
      <c r="C266" s="1163" t="s">
        <v>2307</v>
      </c>
      <c r="D266" s="1181"/>
      <c r="E266" s="1158">
        <f t="shared" si="9"/>
        <v>12727.272727272726</v>
      </c>
      <c r="F266" s="1158"/>
      <c r="G266" s="1161">
        <v>211</v>
      </c>
      <c r="H266" s="1180" t="s">
        <v>2445</v>
      </c>
      <c r="I266" s="1163" t="s">
        <v>2307</v>
      </c>
      <c r="J266" s="1181"/>
      <c r="K266" s="1158">
        <f t="shared" si="10"/>
        <v>12727.272727272726</v>
      </c>
      <c r="L266" s="1158"/>
      <c r="M266" s="489" t="str">
        <f t="shared" si="8"/>
        <v>DDDDDDDĐ</v>
      </c>
    </row>
    <row r="267" spans="1:13" s="489" customFormat="1" ht="20.100000000000001" customHeight="1">
      <c r="A267" s="1161">
        <v>212</v>
      </c>
      <c r="B267" s="1180" t="s">
        <v>2446</v>
      </c>
      <c r="C267" s="1163" t="s">
        <v>2307</v>
      </c>
      <c r="D267" s="1181"/>
      <c r="E267" s="1158">
        <f t="shared" si="9"/>
        <v>12727.272727272726</v>
      </c>
      <c r="F267" s="1158"/>
      <c r="G267" s="1161">
        <v>212</v>
      </c>
      <c r="H267" s="1180" t="s">
        <v>2446</v>
      </c>
      <c r="I267" s="1163" t="s">
        <v>2307</v>
      </c>
      <c r="J267" s="1181"/>
      <c r="K267" s="1158">
        <f t="shared" si="10"/>
        <v>12727.272727272726</v>
      </c>
      <c r="L267" s="1158"/>
      <c r="M267" s="489" t="str">
        <f t="shared" si="8"/>
        <v>DDDDDDDĐ</v>
      </c>
    </row>
    <row r="268" spans="1:13" s="489" customFormat="1" ht="20.100000000000001" customHeight="1">
      <c r="A268" s="1161"/>
      <c r="B268" s="1156" t="s">
        <v>2447</v>
      </c>
      <c r="C268" s="1157"/>
      <c r="D268" s="1181"/>
      <c r="E268" s="1158"/>
      <c r="F268" s="1158"/>
      <c r="G268" s="1161"/>
      <c r="H268" s="1156" t="s">
        <v>2447</v>
      </c>
      <c r="I268" s="1157"/>
      <c r="J268" s="1181"/>
      <c r="K268" s="1158"/>
      <c r="L268" s="1158"/>
      <c r="M268" s="489" t="str">
        <f t="shared" si="8"/>
        <v>DDDDDDDĐ</v>
      </c>
    </row>
    <row r="269" spans="1:13" s="489" customFormat="1" ht="18" customHeight="1">
      <c r="A269" s="1161">
        <v>213</v>
      </c>
      <c r="B269" s="1162" t="s">
        <v>2448</v>
      </c>
      <c r="C269" s="1163" t="s">
        <v>2307</v>
      </c>
      <c r="D269" s="1158"/>
      <c r="E269" s="1158">
        <f>750000/(7.8*6)/1.1</f>
        <v>14568.764568764569</v>
      </c>
      <c r="F269" s="1158"/>
      <c r="G269" s="1161">
        <v>213</v>
      </c>
      <c r="H269" s="1162" t="s">
        <v>2448</v>
      </c>
      <c r="I269" s="1163" t="s">
        <v>2307</v>
      </c>
      <c r="J269" s="1158"/>
      <c r="K269" s="1158">
        <f>750000/(7.8*6)/1.1</f>
        <v>14568.764568764569</v>
      </c>
      <c r="L269" s="1158"/>
      <c r="M269" s="489" t="str">
        <f t="shared" si="8"/>
        <v>DDDDDDDĐ</v>
      </c>
    </row>
    <row r="270" spans="1:13" s="489" customFormat="1" ht="18" customHeight="1">
      <c r="A270" s="1161">
        <v>214</v>
      </c>
      <c r="B270" s="1162" t="s">
        <v>2449</v>
      </c>
      <c r="C270" s="1163" t="s">
        <v>2307</v>
      </c>
      <c r="D270" s="1158"/>
      <c r="E270" s="1158">
        <f>920000/(9*6)/1.1</f>
        <v>15488.215488215486</v>
      </c>
      <c r="F270" s="1158"/>
      <c r="G270" s="1161">
        <v>214</v>
      </c>
      <c r="H270" s="1162" t="s">
        <v>2449</v>
      </c>
      <c r="I270" s="1163" t="s">
        <v>2307</v>
      </c>
      <c r="J270" s="1158"/>
      <c r="K270" s="1158">
        <f>920000/(9*6)/1.1</f>
        <v>15488.215488215486</v>
      </c>
      <c r="L270" s="1158"/>
      <c r="M270" s="489" t="str">
        <f t="shared" si="8"/>
        <v>DDDDDDDĐ</v>
      </c>
    </row>
    <row r="271" spans="1:13" s="489" customFormat="1" ht="18" customHeight="1">
      <c r="A271" s="1161">
        <v>215</v>
      </c>
      <c r="B271" s="1162" t="s">
        <v>2450</v>
      </c>
      <c r="C271" s="1163" t="s">
        <v>2307</v>
      </c>
      <c r="D271" s="1158"/>
      <c r="E271" s="1158">
        <f>1340000/(14*6)/1.1</f>
        <v>14502.164502164502</v>
      </c>
      <c r="F271" s="1158"/>
      <c r="G271" s="1161">
        <v>215</v>
      </c>
      <c r="H271" s="1162" t="s">
        <v>2450</v>
      </c>
      <c r="I271" s="1163" t="s">
        <v>2307</v>
      </c>
      <c r="J271" s="1158"/>
      <c r="K271" s="1158">
        <f>1340000/(14*6)/1.1</f>
        <v>14502.164502164502</v>
      </c>
      <c r="L271" s="1158"/>
      <c r="M271" s="489" t="str">
        <f t="shared" si="8"/>
        <v>DDDDDDDĐ</v>
      </c>
    </row>
    <row r="272" spans="1:13" s="489" customFormat="1" ht="18" customHeight="1">
      <c r="A272" s="1161">
        <v>216</v>
      </c>
      <c r="B272" s="1162" t="s">
        <v>2451</v>
      </c>
      <c r="C272" s="1163" t="s">
        <v>2307</v>
      </c>
      <c r="D272" s="1158"/>
      <c r="E272" s="1158">
        <f>2050000/(21.3*6)/1.1</f>
        <v>14582.444159908946</v>
      </c>
      <c r="F272" s="1158"/>
      <c r="G272" s="1161">
        <v>216</v>
      </c>
      <c r="H272" s="1162" t="s">
        <v>2451</v>
      </c>
      <c r="I272" s="1163" t="s">
        <v>2307</v>
      </c>
      <c r="J272" s="1158"/>
      <c r="K272" s="1158">
        <f>2050000/(21.3*6)/1.1</f>
        <v>14582.444159908946</v>
      </c>
      <c r="L272" s="1158"/>
      <c r="M272" s="489" t="str">
        <f t="shared" si="8"/>
        <v>DDDDDDDĐ</v>
      </c>
    </row>
    <row r="273" spans="1:13" s="489" customFormat="1" ht="18" customHeight="1">
      <c r="A273" s="1161">
        <v>217</v>
      </c>
      <c r="B273" s="1162" t="s">
        <v>2452</v>
      </c>
      <c r="C273" s="1163" t="s">
        <v>2307</v>
      </c>
      <c r="D273" s="1158"/>
      <c r="E273" s="1432">
        <f>3235000/(29.6*6)/1.1</f>
        <v>16559.172809172807</v>
      </c>
      <c r="F273" s="1158"/>
      <c r="G273" s="1161">
        <v>217</v>
      </c>
      <c r="H273" s="1162" t="s">
        <v>2452</v>
      </c>
      <c r="I273" s="1163" t="s">
        <v>2307</v>
      </c>
      <c r="J273" s="1158"/>
      <c r="K273" s="1158">
        <f>3235000/(29.6*6)/1.1</f>
        <v>16559.172809172807</v>
      </c>
      <c r="L273" s="1158"/>
      <c r="M273" s="489" t="str">
        <f t="shared" si="8"/>
        <v>DDDDDDDĐ</v>
      </c>
    </row>
    <row r="274" spans="1:13" s="489" customFormat="1" ht="18" customHeight="1">
      <c r="A274" s="1161">
        <v>218</v>
      </c>
      <c r="B274" s="1162" t="s">
        <v>2453</v>
      </c>
      <c r="C274" s="1163" t="s">
        <v>2307</v>
      </c>
      <c r="D274" s="1158"/>
      <c r="E274" s="1158">
        <f>4010000/(36.7*6)/1.1</f>
        <v>16555.197754107834</v>
      </c>
      <c r="F274" s="1158"/>
      <c r="G274" s="1161">
        <v>218</v>
      </c>
      <c r="H274" s="1162" t="s">
        <v>2453</v>
      </c>
      <c r="I274" s="1163" t="s">
        <v>2307</v>
      </c>
      <c r="J274" s="1158"/>
      <c r="K274" s="1158">
        <f>4010000/(36.7*6)/1.1</f>
        <v>16555.197754107834</v>
      </c>
      <c r="L274" s="1158"/>
      <c r="M274" s="489" t="str">
        <f t="shared" si="8"/>
        <v>DDDDDDDĐ</v>
      </c>
    </row>
    <row r="275" spans="1:13" s="489" customFormat="1" ht="18" customHeight="1">
      <c r="A275" s="1161"/>
      <c r="B275" s="1156" t="s">
        <v>2454</v>
      </c>
      <c r="C275" s="1157"/>
      <c r="D275" s="1158"/>
      <c r="E275" s="1158"/>
      <c r="F275" s="1158"/>
      <c r="G275" s="1161"/>
      <c r="H275" s="1156" t="s">
        <v>2454</v>
      </c>
      <c r="I275" s="1157"/>
      <c r="J275" s="1158"/>
      <c r="K275" s="1158"/>
      <c r="L275" s="1158"/>
      <c r="M275" s="489" t="str">
        <f t="shared" si="8"/>
        <v>DDDDDDDĐ</v>
      </c>
    </row>
    <row r="276" spans="1:13" s="489" customFormat="1" ht="18" customHeight="1">
      <c r="A276" s="1161">
        <v>219</v>
      </c>
      <c r="B276" s="1162" t="s">
        <v>2455</v>
      </c>
      <c r="C276" s="1163" t="s">
        <v>2325</v>
      </c>
      <c r="D276" s="1158"/>
      <c r="E276" s="1158">
        <f>73000/1.1</f>
        <v>66363.636363636353</v>
      </c>
      <c r="F276" s="1158"/>
      <c r="G276" s="1161">
        <v>219</v>
      </c>
      <c r="H276" s="1162" t="s">
        <v>2455</v>
      </c>
      <c r="I276" s="1163" t="s">
        <v>2325</v>
      </c>
      <c r="J276" s="1158"/>
      <c r="K276" s="1158">
        <f>73000/1.1</f>
        <v>66363.636363636353</v>
      </c>
      <c r="L276" s="1158"/>
      <c r="M276" s="489" t="str">
        <f t="shared" si="8"/>
        <v>DDDDDDDĐ</v>
      </c>
    </row>
    <row r="277" spans="1:13" s="489" customFormat="1" ht="17.45" customHeight="1">
      <c r="A277" s="1161">
        <v>220</v>
      </c>
      <c r="B277" s="1162" t="s">
        <v>2456</v>
      </c>
      <c r="C277" s="1163" t="s">
        <v>2325</v>
      </c>
      <c r="D277" s="1158"/>
      <c r="E277" s="1158">
        <f>118000/1.1</f>
        <v>107272.72727272726</v>
      </c>
      <c r="F277" s="1158"/>
      <c r="G277" s="1161">
        <v>220</v>
      </c>
      <c r="H277" s="1162" t="s">
        <v>2456</v>
      </c>
      <c r="I277" s="1163" t="s">
        <v>2325</v>
      </c>
      <c r="J277" s="1158"/>
      <c r="K277" s="1158">
        <f>118000/1.1</f>
        <v>107272.72727272726</v>
      </c>
      <c r="L277" s="1158"/>
      <c r="M277" s="489" t="str">
        <f t="shared" si="8"/>
        <v>DDDDDDDĐ</v>
      </c>
    </row>
    <row r="278" spans="1:13" s="489" customFormat="1" ht="17.45" customHeight="1">
      <c r="A278" s="1161">
        <v>221</v>
      </c>
      <c r="B278" s="1162" t="s">
        <v>2457</v>
      </c>
      <c r="C278" s="1163" t="s">
        <v>2325</v>
      </c>
      <c r="D278" s="1158"/>
      <c r="E278" s="1158">
        <f>148000/1.1</f>
        <v>134545.45454545453</v>
      </c>
      <c r="F278" s="1158"/>
      <c r="G278" s="1161">
        <v>221</v>
      </c>
      <c r="H278" s="1162" t="s">
        <v>2457</v>
      </c>
      <c r="I278" s="1163" t="s">
        <v>2325</v>
      </c>
      <c r="J278" s="1158"/>
      <c r="K278" s="1158">
        <f>148000/1.1</f>
        <v>134545.45454545453</v>
      </c>
      <c r="L278" s="1158"/>
      <c r="M278" s="489" t="str">
        <f t="shared" si="8"/>
        <v>DDDDDDDĐ</v>
      </c>
    </row>
    <row r="279" spans="1:13" s="489" customFormat="1" ht="17.45" customHeight="1">
      <c r="A279" s="1161">
        <v>222</v>
      </c>
      <c r="B279" s="1162" t="s">
        <v>2458</v>
      </c>
      <c r="C279" s="1163" t="s">
        <v>2325</v>
      </c>
      <c r="D279" s="1158"/>
      <c r="E279" s="1158">
        <f>179000/1.1</f>
        <v>162727.27272727271</v>
      </c>
      <c r="F279" s="1158"/>
      <c r="G279" s="1161">
        <v>222</v>
      </c>
      <c r="H279" s="1162" t="s">
        <v>2458</v>
      </c>
      <c r="I279" s="1163" t="s">
        <v>2325</v>
      </c>
      <c r="J279" s="1158"/>
      <c r="K279" s="1158">
        <f>179000/1.1</f>
        <v>162727.27272727271</v>
      </c>
      <c r="L279" s="1158"/>
      <c r="M279" s="489" t="str">
        <f t="shared" si="8"/>
        <v>DDDDDDDĐ</v>
      </c>
    </row>
    <row r="280" spans="1:13" s="489" customFormat="1" ht="17.45" customHeight="1">
      <c r="A280" s="1161">
        <v>223</v>
      </c>
      <c r="B280" s="1162" t="s">
        <v>2459</v>
      </c>
      <c r="C280" s="1163" t="s">
        <v>2325</v>
      </c>
      <c r="D280" s="1158"/>
      <c r="E280" s="1158">
        <f>238000/1.1</f>
        <v>216363.63636363635</v>
      </c>
      <c r="F280" s="1158"/>
      <c r="G280" s="1161">
        <v>223</v>
      </c>
      <c r="H280" s="1162" t="s">
        <v>2459</v>
      </c>
      <c r="I280" s="1163" t="s">
        <v>2325</v>
      </c>
      <c r="J280" s="1158"/>
      <c r="K280" s="1158">
        <f>238000/1.1</f>
        <v>216363.63636363635</v>
      </c>
      <c r="L280" s="1158"/>
      <c r="M280" s="489" t="str">
        <f t="shared" si="8"/>
        <v>DDDDDDDĐ</v>
      </c>
    </row>
    <row r="281" spans="1:13" s="489" customFormat="1" ht="17.45" customHeight="1">
      <c r="A281" s="1161">
        <v>224</v>
      </c>
      <c r="B281" s="1162" t="s">
        <v>2460</v>
      </c>
      <c r="C281" s="1163" t="s">
        <v>2325</v>
      </c>
      <c r="D281" s="1158"/>
      <c r="E281" s="1158">
        <f>354000/1.1</f>
        <v>321818.18181818177</v>
      </c>
      <c r="F281" s="1158"/>
      <c r="G281" s="1161">
        <v>224</v>
      </c>
      <c r="H281" s="1162" t="s">
        <v>2460</v>
      </c>
      <c r="I281" s="1163" t="s">
        <v>2325</v>
      </c>
      <c r="J281" s="1158"/>
      <c r="K281" s="1158">
        <f>354000/1.1</f>
        <v>321818.18181818177</v>
      </c>
      <c r="L281" s="1158"/>
      <c r="M281" s="489" t="str">
        <f t="shared" si="8"/>
        <v>DDDDDDDĐ</v>
      </c>
    </row>
    <row r="282" spans="1:13" s="489" customFormat="1" ht="17.45" customHeight="1">
      <c r="A282" s="1161">
        <v>225</v>
      </c>
      <c r="B282" s="1162" t="s">
        <v>2461</v>
      </c>
      <c r="C282" s="1163" t="s">
        <v>2325</v>
      </c>
      <c r="D282" s="1158"/>
      <c r="E282" s="1158">
        <f>343000/1.1</f>
        <v>311818.18181818177</v>
      </c>
      <c r="F282" s="1158"/>
      <c r="G282" s="1161">
        <v>225</v>
      </c>
      <c r="H282" s="1162" t="s">
        <v>2461</v>
      </c>
      <c r="I282" s="1163" t="s">
        <v>2325</v>
      </c>
      <c r="J282" s="1158"/>
      <c r="K282" s="1158">
        <f>343000/1.1</f>
        <v>311818.18181818177</v>
      </c>
      <c r="L282" s="1158"/>
      <c r="M282" s="489" t="str">
        <f t="shared" si="8"/>
        <v>DDDDDDDĐ</v>
      </c>
    </row>
    <row r="283" spans="1:13" s="489" customFormat="1" ht="17.45" customHeight="1">
      <c r="A283" s="1161">
        <v>226</v>
      </c>
      <c r="B283" s="1162" t="s">
        <v>2462</v>
      </c>
      <c r="C283" s="1163" t="s">
        <v>2325</v>
      </c>
      <c r="D283" s="1158"/>
      <c r="E283" s="1158">
        <f>407000/1.1</f>
        <v>369999.99999999994</v>
      </c>
      <c r="F283" s="1158"/>
      <c r="G283" s="1161">
        <v>226</v>
      </c>
      <c r="H283" s="1162" t="s">
        <v>2462</v>
      </c>
      <c r="I283" s="1163" t="s">
        <v>2325</v>
      </c>
      <c r="J283" s="1158"/>
      <c r="K283" s="1158">
        <f>407000/1.1</f>
        <v>369999.99999999994</v>
      </c>
      <c r="L283" s="1158"/>
      <c r="M283" s="489" t="str">
        <f t="shared" si="8"/>
        <v>DDDDDDDĐ</v>
      </c>
    </row>
    <row r="284" spans="1:13" s="489" customFormat="1" ht="17.45" customHeight="1">
      <c r="A284" s="1161"/>
      <c r="B284" s="1156" t="s">
        <v>2463</v>
      </c>
      <c r="C284" s="1157"/>
      <c r="D284" s="1158"/>
      <c r="E284" s="1158"/>
      <c r="F284" s="1158"/>
      <c r="G284" s="1161"/>
      <c r="H284" s="1156" t="s">
        <v>2463</v>
      </c>
      <c r="I284" s="1157"/>
      <c r="J284" s="1158"/>
      <c r="K284" s="1158"/>
      <c r="L284" s="1158"/>
      <c r="M284" s="489" t="str">
        <f t="shared" si="8"/>
        <v>DDDDDDDĐ</v>
      </c>
    </row>
    <row r="285" spans="1:13" s="489" customFormat="1" ht="17.45" customHeight="1">
      <c r="A285" s="1161">
        <v>227</v>
      </c>
      <c r="B285" s="1162" t="s">
        <v>2464</v>
      </c>
      <c r="C285" s="1163" t="s">
        <v>2465</v>
      </c>
      <c r="D285" s="1157"/>
      <c r="E285" s="1158">
        <f>85000/1.1</f>
        <v>77272.727272727265</v>
      </c>
      <c r="F285" s="1158"/>
      <c r="G285" s="1161">
        <v>227</v>
      </c>
      <c r="H285" s="1162" t="s">
        <v>2464</v>
      </c>
      <c r="I285" s="1163" t="s">
        <v>2465</v>
      </c>
      <c r="J285" s="1157"/>
      <c r="K285" s="1158">
        <f>85000/1.1</f>
        <v>77272.727272727265</v>
      </c>
      <c r="L285" s="1158"/>
      <c r="M285" s="489" t="str">
        <f t="shared" si="8"/>
        <v>DDDDDDDĐ</v>
      </c>
    </row>
    <row r="286" spans="1:13" s="489" customFormat="1" ht="17.45" customHeight="1">
      <c r="A286" s="1161">
        <v>228</v>
      </c>
      <c r="B286" s="1162" t="s">
        <v>2466</v>
      </c>
      <c r="C286" s="1163" t="s">
        <v>2465</v>
      </c>
      <c r="D286" s="1157"/>
      <c r="E286" s="1158">
        <f>108000/1.1</f>
        <v>98181.818181818177</v>
      </c>
      <c r="F286" s="1158"/>
      <c r="G286" s="1161">
        <v>228</v>
      </c>
      <c r="H286" s="1162" t="s">
        <v>2466</v>
      </c>
      <c r="I286" s="1163" t="s">
        <v>2465</v>
      </c>
      <c r="J286" s="1157"/>
      <c r="K286" s="1158">
        <f>108000/1.1</f>
        <v>98181.818181818177</v>
      </c>
      <c r="L286" s="1158"/>
      <c r="M286" s="489" t="str">
        <f t="shared" si="8"/>
        <v>DDDDDDDĐ</v>
      </c>
    </row>
    <row r="287" spans="1:13" s="489" customFormat="1" ht="17.45" customHeight="1">
      <c r="A287" s="1161">
        <v>229</v>
      </c>
      <c r="B287" s="1162" t="s">
        <v>2467</v>
      </c>
      <c r="C287" s="1163" t="s">
        <v>2465</v>
      </c>
      <c r="D287" s="1157"/>
      <c r="E287" s="1158">
        <f>148000/1.1</f>
        <v>134545.45454545453</v>
      </c>
      <c r="F287" s="1158"/>
      <c r="G287" s="1161">
        <v>229</v>
      </c>
      <c r="H287" s="1162" t="s">
        <v>2467</v>
      </c>
      <c r="I287" s="1163" t="s">
        <v>2465</v>
      </c>
      <c r="J287" s="1157"/>
      <c r="K287" s="1158">
        <f>148000/1.1</f>
        <v>134545.45454545453</v>
      </c>
      <c r="L287" s="1158"/>
      <c r="M287" s="489" t="str">
        <f t="shared" si="8"/>
        <v>DDDDDDDĐ</v>
      </c>
    </row>
    <row r="288" spans="1:13" s="489" customFormat="1" ht="18.75" customHeight="1">
      <c r="A288" s="1161">
        <v>230</v>
      </c>
      <c r="B288" s="1162" t="s">
        <v>2468</v>
      </c>
      <c r="C288" s="1163" t="s">
        <v>2465</v>
      </c>
      <c r="D288" s="1157"/>
      <c r="E288" s="1158">
        <f>170000/1.1</f>
        <v>154545.45454545453</v>
      </c>
      <c r="F288" s="1158"/>
      <c r="G288" s="1161">
        <v>230</v>
      </c>
      <c r="H288" s="1162" t="s">
        <v>2468</v>
      </c>
      <c r="I288" s="1163" t="s">
        <v>2465</v>
      </c>
      <c r="J288" s="1157"/>
      <c r="K288" s="1158">
        <f>170000/1.1</f>
        <v>154545.45454545453</v>
      </c>
      <c r="L288" s="1158"/>
      <c r="M288" s="489" t="str">
        <f t="shared" si="8"/>
        <v>DDDDDDDĐ</v>
      </c>
    </row>
    <row r="289" spans="1:13" s="489" customFormat="1" ht="17.45" customHeight="1">
      <c r="A289" s="1161">
        <v>231</v>
      </c>
      <c r="B289" s="1162" t="s">
        <v>2469</v>
      </c>
      <c r="C289" s="1163" t="s">
        <v>2465</v>
      </c>
      <c r="D289" s="1157"/>
      <c r="E289" s="1158">
        <f>215000/1.1</f>
        <v>195454.54545454544</v>
      </c>
      <c r="F289" s="1158"/>
      <c r="G289" s="1161">
        <v>231</v>
      </c>
      <c r="H289" s="1162" t="s">
        <v>2469</v>
      </c>
      <c r="I289" s="1163" t="s">
        <v>2465</v>
      </c>
      <c r="J289" s="1157"/>
      <c r="K289" s="1158">
        <f>215000/1.1</f>
        <v>195454.54545454544</v>
      </c>
      <c r="L289" s="1158"/>
      <c r="M289" s="489" t="str">
        <f t="shared" si="8"/>
        <v>DDDDDDDĐ</v>
      </c>
    </row>
    <row r="290" spans="1:13" s="489" customFormat="1" ht="17.45" customHeight="1">
      <c r="A290" s="1161">
        <v>232</v>
      </c>
      <c r="B290" s="1162" t="s">
        <v>2470</v>
      </c>
      <c r="C290" s="1163" t="s">
        <v>2465</v>
      </c>
      <c r="D290" s="1157"/>
      <c r="E290" s="1158">
        <f>265000/1.1</f>
        <v>240909.09090909088</v>
      </c>
      <c r="F290" s="1158"/>
      <c r="G290" s="1161">
        <v>232</v>
      </c>
      <c r="H290" s="1162" t="s">
        <v>2470</v>
      </c>
      <c r="I290" s="1163" t="s">
        <v>2465</v>
      </c>
      <c r="J290" s="1157"/>
      <c r="K290" s="1158">
        <f>265000/1.1</f>
        <v>240909.09090909088</v>
      </c>
      <c r="L290" s="1158"/>
      <c r="M290" s="489" t="str">
        <f t="shared" si="8"/>
        <v>DDDDDDDĐ</v>
      </c>
    </row>
    <row r="291" spans="1:13" s="489" customFormat="1" ht="17.45" customHeight="1">
      <c r="A291" s="1161">
        <v>233</v>
      </c>
      <c r="B291" s="1162" t="s">
        <v>2471</v>
      </c>
      <c r="C291" s="1163" t="s">
        <v>2465</v>
      </c>
      <c r="D291" s="1157"/>
      <c r="E291" s="1158">
        <f>340000/1.1</f>
        <v>309090.90909090906</v>
      </c>
      <c r="F291" s="1158"/>
      <c r="G291" s="1161">
        <v>233</v>
      </c>
      <c r="H291" s="1162" t="s">
        <v>2471</v>
      </c>
      <c r="I291" s="1163" t="s">
        <v>2465</v>
      </c>
      <c r="J291" s="1157"/>
      <c r="K291" s="1158">
        <f>340000/1.1</f>
        <v>309090.90909090906</v>
      </c>
      <c r="L291" s="1158"/>
      <c r="M291" s="489" t="str">
        <f t="shared" si="8"/>
        <v>DDDDDDDĐ</v>
      </c>
    </row>
    <row r="292" spans="1:13" s="489" customFormat="1" ht="17.45" customHeight="1">
      <c r="A292" s="1161">
        <v>234</v>
      </c>
      <c r="B292" s="1162" t="s">
        <v>2472</v>
      </c>
      <c r="C292" s="1163" t="s">
        <v>2465</v>
      </c>
      <c r="D292" s="1157"/>
      <c r="E292" s="1158">
        <f>410000/1.1</f>
        <v>372727.27272727271</v>
      </c>
      <c r="F292" s="1158"/>
      <c r="G292" s="1161">
        <v>234</v>
      </c>
      <c r="H292" s="1162" t="s">
        <v>2472</v>
      </c>
      <c r="I292" s="1163" t="s">
        <v>2465</v>
      </c>
      <c r="J292" s="1157"/>
      <c r="K292" s="1158">
        <f>410000/1.1</f>
        <v>372727.27272727271</v>
      </c>
      <c r="L292" s="1158"/>
      <c r="M292" s="489" t="str">
        <f t="shared" si="8"/>
        <v>DDDDDDDĐ</v>
      </c>
    </row>
    <row r="293" spans="1:13" s="489" customFormat="1" ht="17.45" customHeight="1">
      <c r="A293" s="1161">
        <v>235</v>
      </c>
      <c r="B293" s="1162" t="s">
        <v>2473</v>
      </c>
      <c r="C293" s="1163" t="s">
        <v>2465</v>
      </c>
      <c r="D293" s="1157"/>
      <c r="E293" s="1158">
        <f>515000/1.1</f>
        <v>468181.81818181812</v>
      </c>
      <c r="F293" s="1158"/>
      <c r="G293" s="1161">
        <v>235</v>
      </c>
      <c r="H293" s="1162" t="s">
        <v>2473</v>
      </c>
      <c r="I293" s="1163" t="s">
        <v>2465</v>
      </c>
      <c r="J293" s="1157"/>
      <c r="K293" s="1158">
        <f>515000/1.1</f>
        <v>468181.81818181812</v>
      </c>
      <c r="L293" s="1158"/>
      <c r="M293" s="489" t="str">
        <f t="shared" ref="M293:M351" si="11">IF(B293=H293,"DDDDDDDĐ","SSSSSSSSSSSS")</f>
        <v>DDDDDDDĐ</v>
      </c>
    </row>
    <row r="294" spans="1:13" s="489" customFormat="1" ht="17.45" customHeight="1">
      <c r="A294" s="1161"/>
      <c r="B294" s="1156" t="s">
        <v>2474</v>
      </c>
      <c r="C294" s="1157"/>
      <c r="D294" s="1157"/>
      <c r="E294" s="1158"/>
      <c r="F294" s="1158"/>
      <c r="G294" s="1161"/>
      <c r="H294" s="1156" t="s">
        <v>2474</v>
      </c>
      <c r="I294" s="1157"/>
      <c r="J294" s="1157"/>
      <c r="K294" s="1158"/>
      <c r="L294" s="1158"/>
      <c r="M294" s="489" t="str">
        <f t="shared" si="11"/>
        <v>DDDDDDDĐ</v>
      </c>
    </row>
    <row r="295" spans="1:13" s="489" customFormat="1" ht="17.45" customHeight="1">
      <c r="A295" s="1161">
        <v>236</v>
      </c>
      <c r="B295" s="1162" t="s">
        <v>2475</v>
      </c>
      <c r="C295" s="1163" t="s">
        <v>2465</v>
      </c>
      <c r="D295" s="1157"/>
      <c r="E295" s="1158">
        <f>117000/1.1</f>
        <v>106363.63636363635</v>
      </c>
      <c r="F295" s="1158"/>
      <c r="G295" s="1161">
        <v>236</v>
      </c>
      <c r="H295" s="1162" t="s">
        <v>2475</v>
      </c>
      <c r="I295" s="1163" t="s">
        <v>2465</v>
      </c>
      <c r="J295" s="1157"/>
      <c r="K295" s="1158">
        <f>117000/1.1</f>
        <v>106363.63636363635</v>
      </c>
      <c r="L295" s="1158"/>
      <c r="M295" s="489" t="str">
        <f t="shared" si="11"/>
        <v>DDDDDDDĐ</v>
      </c>
    </row>
    <row r="296" spans="1:13" s="489" customFormat="1" ht="18" customHeight="1">
      <c r="A296" s="1161">
        <v>237</v>
      </c>
      <c r="B296" s="1162" t="s">
        <v>2476</v>
      </c>
      <c r="C296" s="1163" t="s">
        <v>2465</v>
      </c>
      <c r="D296" s="1157"/>
      <c r="E296" s="1158">
        <f>170000/1.1</f>
        <v>154545.45454545453</v>
      </c>
      <c r="F296" s="1158"/>
      <c r="G296" s="1161">
        <v>237</v>
      </c>
      <c r="H296" s="1162" t="s">
        <v>2476</v>
      </c>
      <c r="I296" s="1163" t="s">
        <v>2465</v>
      </c>
      <c r="J296" s="1157"/>
      <c r="K296" s="1158">
        <f>170000/1.1</f>
        <v>154545.45454545453</v>
      </c>
      <c r="L296" s="1158"/>
      <c r="M296" s="489" t="str">
        <f t="shared" si="11"/>
        <v>DDDDDDDĐ</v>
      </c>
    </row>
    <row r="297" spans="1:13" s="489" customFormat="1" ht="18" customHeight="1">
      <c r="A297" s="1161">
        <v>238</v>
      </c>
      <c r="B297" s="1162" t="s">
        <v>2477</v>
      </c>
      <c r="C297" s="1163" t="s">
        <v>2465</v>
      </c>
      <c r="D297" s="1157"/>
      <c r="E297" s="1158">
        <f>226000/1.1</f>
        <v>205454.54545454544</v>
      </c>
      <c r="F297" s="1158"/>
      <c r="G297" s="1161">
        <v>238</v>
      </c>
      <c r="H297" s="1162" t="s">
        <v>2477</v>
      </c>
      <c r="I297" s="1163" t="s">
        <v>2465</v>
      </c>
      <c r="J297" s="1157"/>
      <c r="K297" s="1158">
        <f>226000/1.1</f>
        <v>205454.54545454544</v>
      </c>
      <c r="L297" s="1158"/>
      <c r="M297" s="489" t="str">
        <f t="shared" si="11"/>
        <v>DDDDDDDĐ</v>
      </c>
    </row>
    <row r="298" spans="1:13" s="489" customFormat="1" ht="18" customHeight="1">
      <c r="A298" s="1161">
        <v>239</v>
      </c>
      <c r="B298" s="1162" t="s">
        <v>2478</v>
      </c>
      <c r="C298" s="1163" t="s">
        <v>2465</v>
      </c>
      <c r="D298" s="1157"/>
      <c r="E298" s="1158">
        <f>275000/1.1</f>
        <v>249999.99999999997</v>
      </c>
      <c r="F298" s="1158"/>
      <c r="G298" s="1161">
        <v>239</v>
      </c>
      <c r="H298" s="1162" t="s">
        <v>2478</v>
      </c>
      <c r="I298" s="1163" t="s">
        <v>2465</v>
      </c>
      <c r="J298" s="1157"/>
      <c r="K298" s="1158">
        <f>275000/1.1</f>
        <v>249999.99999999997</v>
      </c>
      <c r="L298" s="1158"/>
      <c r="M298" s="489" t="str">
        <f t="shared" si="11"/>
        <v>DDDDDDDĐ</v>
      </c>
    </row>
    <row r="299" spans="1:13" s="489" customFormat="1" ht="17.45" customHeight="1">
      <c r="A299" s="1161">
        <v>240</v>
      </c>
      <c r="B299" s="1162" t="s">
        <v>2479</v>
      </c>
      <c r="C299" s="1163" t="s">
        <v>2465</v>
      </c>
      <c r="D299" s="1157"/>
      <c r="E299" s="1158">
        <f>340000/1.1</f>
        <v>309090.90909090906</v>
      </c>
      <c r="F299" s="1158"/>
      <c r="G299" s="1161">
        <v>240</v>
      </c>
      <c r="H299" s="1162" t="s">
        <v>2479</v>
      </c>
      <c r="I299" s="1163" t="s">
        <v>2465</v>
      </c>
      <c r="J299" s="1157"/>
      <c r="K299" s="1158">
        <f>340000/1.1</f>
        <v>309090.90909090906</v>
      </c>
      <c r="L299" s="1158"/>
      <c r="M299" s="489" t="str">
        <f t="shared" si="11"/>
        <v>DDDDDDDĐ</v>
      </c>
    </row>
    <row r="300" spans="1:13" s="489" customFormat="1" ht="17.45" customHeight="1">
      <c r="A300" s="1161">
        <v>241</v>
      </c>
      <c r="B300" s="1162" t="s">
        <v>5262</v>
      </c>
      <c r="C300" s="1163" t="s">
        <v>2465</v>
      </c>
      <c r="D300" s="1157"/>
      <c r="E300" s="1158">
        <f>417000/1.1</f>
        <v>379090.90909090906</v>
      </c>
      <c r="F300" s="1158"/>
      <c r="G300" s="1161">
        <v>241</v>
      </c>
      <c r="H300" s="1162" t="s">
        <v>5262</v>
      </c>
      <c r="I300" s="1163" t="s">
        <v>2465</v>
      </c>
      <c r="J300" s="1157"/>
      <c r="K300" s="1158">
        <f>417000/1.1</f>
        <v>379090.90909090906</v>
      </c>
      <c r="L300" s="1158"/>
      <c r="M300" s="489" t="str">
        <f t="shared" si="11"/>
        <v>DDDDDDDĐ</v>
      </c>
    </row>
    <row r="301" spans="1:13" s="489" customFormat="1" ht="17.45" customHeight="1">
      <c r="A301" s="1161">
        <v>242</v>
      </c>
      <c r="B301" s="1162" t="s">
        <v>2480</v>
      </c>
      <c r="C301" s="1163" t="s">
        <v>2465</v>
      </c>
      <c r="D301" s="1157"/>
      <c r="E301" s="1158">
        <f>550000/1.1</f>
        <v>499999.99999999994</v>
      </c>
      <c r="F301" s="1158"/>
      <c r="G301" s="1161">
        <v>242</v>
      </c>
      <c r="H301" s="1162" t="s">
        <v>2480</v>
      </c>
      <c r="I301" s="1163" t="s">
        <v>2465</v>
      </c>
      <c r="J301" s="1157"/>
      <c r="K301" s="1158">
        <f>550000/1.1</f>
        <v>499999.99999999994</v>
      </c>
      <c r="L301" s="1158"/>
      <c r="M301" s="489" t="str">
        <f t="shared" si="11"/>
        <v>DDDDDDDĐ</v>
      </c>
    </row>
    <row r="302" spans="1:13" s="489" customFormat="1" ht="17.45" customHeight="1">
      <c r="A302" s="1161">
        <v>243</v>
      </c>
      <c r="B302" s="1162" t="s">
        <v>5263</v>
      </c>
      <c r="C302" s="1163" t="s">
        <v>2465</v>
      </c>
      <c r="D302" s="1157"/>
      <c r="E302" s="1158">
        <f>755000/1.1</f>
        <v>686363.63636363635</v>
      </c>
      <c r="F302" s="1158"/>
      <c r="G302" s="1161">
        <v>243</v>
      </c>
      <c r="H302" s="1162" t="s">
        <v>5263</v>
      </c>
      <c r="I302" s="1163" t="s">
        <v>2465</v>
      </c>
      <c r="J302" s="1157"/>
      <c r="K302" s="1158">
        <f>755000/1.1</f>
        <v>686363.63636363635</v>
      </c>
      <c r="L302" s="1158"/>
      <c r="M302" s="489" t="str">
        <f t="shared" si="11"/>
        <v>DDDDDDDĐ</v>
      </c>
    </row>
    <row r="303" spans="1:13" s="489" customFormat="1" ht="17.45" customHeight="1">
      <c r="A303" s="1161">
        <v>244</v>
      </c>
      <c r="B303" s="1162" t="s">
        <v>2481</v>
      </c>
      <c r="C303" s="1163" t="s">
        <v>2465</v>
      </c>
      <c r="D303" s="1157"/>
      <c r="E303" s="1158">
        <f>800000/1.1</f>
        <v>727272.72727272718</v>
      </c>
      <c r="F303" s="1158"/>
      <c r="G303" s="1161">
        <v>244</v>
      </c>
      <c r="H303" s="1162" t="s">
        <v>2481</v>
      </c>
      <c r="I303" s="1163" t="s">
        <v>2465</v>
      </c>
      <c r="J303" s="1157"/>
      <c r="K303" s="1158">
        <f>800000/1.1</f>
        <v>727272.72727272718</v>
      </c>
      <c r="L303" s="1158"/>
      <c r="M303" s="489" t="str">
        <f t="shared" si="11"/>
        <v>DDDDDDDĐ</v>
      </c>
    </row>
    <row r="304" spans="1:13" s="489" customFormat="1" ht="17.45" customHeight="1">
      <c r="A304" s="1161">
        <v>245</v>
      </c>
      <c r="B304" s="1162" t="s">
        <v>2482</v>
      </c>
      <c r="C304" s="1163" t="s">
        <v>2465</v>
      </c>
      <c r="D304" s="1157"/>
      <c r="E304" s="1158">
        <f>950000/1.1</f>
        <v>863636.36363636353</v>
      </c>
      <c r="F304" s="1158"/>
      <c r="G304" s="1161">
        <v>245</v>
      </c>
      <c r="H304" s="1162" t="s">
        <v>2482</v>
      </c>
      <c r="I304" s="1163" t="s">
        <v>2465</v>
      </c>
      <c r="J304" s="1157"/>
      <c r="K304" s="1158">
        <f>950000/1.1</f>
        <v>863636.36363636353</v>
      </c>
      <c r="L304" s="1158"/>
      <c r="M304" s="489" t="str">
        <f t="shared" si="11"/>
        <v>DDDDDDDĐ</v>
      </c>
    </row>
    <row r="305" spans="1:13" s="489" customFormat="1" ht="17.45" customHeight="1">
      <c r="A305" s="515"/>
      <c r="B305" s="528" t="s">
        <v>3847</v>
      </c>
      <c r="C305" s="529"/>
      <c r="D305" s="530"/>
      <c r="E305" s="530"/>
      <c r="F305" s="530"/>
      <c r="G305" s="515"/>
      <c r="H305" s="528" t="s">
        <v>3847</v>
      </c>
      <c r="I305" s="529"/>
      <c r="J305" s="530"/>
      <c r="K305" s="530"/>
      <c r="L305" s="530"/>
      <c r="M305" s="489" t="str">
        <f t="shared" si="11"/>
        <v>DDDDDDDĐ</v>
      </c>
    </row>
    <row r="306" spans="1:13" s="489" customFormat="1" ht="17.45" customHeight="1">
      <c r="A306" s="515"/>
      <c r="B306" s="514" t="s">
        <v>2483</v>
      </c>
      <c r="C306" s="515"/>
      <c r="D306" s="515"/>
      <c r="E306" s="530"/>
      <c r="F306" s="530"/>
      <c r="G306" s="515"/>
      <c r="H306" s="514" t="s">
        <v>2483</v>
      </c>
      <c r="I306" s="515"/>
      <c r="J306" s="515"/>
      <c r="K306" s="530"/>
      <c r="L306" s="530"/>
      <c r="M306" s="489" t="str">
        <f t="shared" si="11"/>
        <v>DDDDDDDĐ</v>
      </c>
    </row>
    <row r="307" spans="1:13" s="489" customFormat="1" ht="17.45" customHeight="1">
      <c r="A307" s="515">
        <v>246</v>
      </c>
      <c r="B307" s="523" t="s">
        <v>2484</v>
      </c>
      <c r="C307" s="524" t="s">
        <v>2307</v>
      </c>
      <c r="D307" s="530"/>
      <c r="E307" s="530">
        <f>28300/1.1</f>
        <v>25727.272727272724</v>
      </c>
      <c r="F307" s="530">
        <f>E307</f>
        <v>25727.272727272724</v>
      </c>
      <c r="G307" s="515">
        <v>246</v>
      </c>
      <c r="H307" s="523" t="s">
        <v>2484</v>
      </c>
      <c r="I307" s="524" t="s">
        <v>2307</v>
      </c>
      <c r="J307" s="530"/>
      <c r="K307" s="530">
        <f>28300/1.1</f>
        <v>25727.272727272724</v>
      </c>
      <c r="L307" s="530">
        <f>K307</f>
        <v>25727.272727272724</v>
      </c>
      <c r="M307" s="489" t="str">
        <f t="shared" si="11"/>
        <v>DDDDDDDĐ</v>
      </c>
    </row>
    <row r="308" spans="1:13" s="489" customFormat="1" ht="17.45" customHeight="1">
      <c r="A308" s="515">
        <v>247</v>
      </c>
      <c r="B308" s="523" t="s">
        <v>2485</v>
      </c>
      <c r="C308" s="524" t="s">
        <v>2307</v>
      </c>
      <c r="D308" s="530"/>
      <c r="E308" s="530">
        <f>27580/1.1</f>
        <v>25072.727272727272</v>
      </c>
      <c r="F308" s="530">
        <f>E308</f>
        <v>25072.727272727272</v>
      </c>
      <c r="G308" s="515">
        <v>247</v>
      </c>
      <c r="H308" s="523" t="s">
        <v>2485</v>
      </c>
      <c r="I308" s="524" t="s">
        <v>2307</v>
      </c>
      <c r="J308" s="530"/>
      <c r="K308" s="530">
        <f>27580/1.1</f>
        <v>25072.727272727272</v>
      </c>
      <c r="L308" s="530">
        <f>K308</f>
        <v>25072.727272727272</v>
      </c>
      <c r="M308" s="489" t="str">
        <f t="shared" si="11"/>
        <v>DDDDDDDĐ</v>
      </c>
    </row>
    <row r="309" spans="1:13" s="489" customFormat="1" ht="17.45" customHeight="1">
      <c r="A309" s="515">
        <v>248</v>
      </c>
      <c r="B309" s="523" t="s">
        <v>2486</v>
      </c>
      <c r="C309" s="524" t="s">
        <v>2307</v>
      </c>
      <c r="D309" s="530"/>
      <c r="E309" s="530">
        <f>27110/1.1</f>
        <v>24645.454545454544</v>
      </c>
      <c r="F309" s="530">
        <f>E309</f>
        <v>24645.454545454544</v>
      </c>
      <c r="G309" s="515">
        <v>248</v>
      </c>
      <c r="H309" s="523" t="s">
        <v>2486</v>
      </c>
      <c r="I309" s="524" t="s">
        <v>2307</v>
      </c>
      <c r="J309" s="530"/>
      <c r="K309" s="530">
        <f>27110/1.1</f>
        <v>24645.454545454544</v>
      </c>
      <c r="L309" s="530">
        <f>K309</f>
        <v>24645.454545454544</v>
      </c>
      <c r="M309" s="489" t="str">
        <f t="shared" si="11"/>
        <v>DDDDDDDĐ</v>
      </c>
    </row>
    <row r="310" spans="1:13" s="489" customFormat="1" ht="17.45" customHeight="1">
      <c r="A310" s="515">
        <v>249</v>
      </c>
      <c r="B310" s="523" t="s">
        <v>2487</v>
      </c>
      <c r="C310" s="524" t="s">
        <v>2307</v>
      </c>
      <c r="D310" s="530"/>
      <c r="E310" s="530">
        <f>27890/1.1</f>
        <v>25354.545454545452</v>
      </c>
      <c r="F310" s="530">
        <f>E310</f>
        <v>25354.545454545452</v>
      </c>
      <c r="G310" s="515">
        <v>249</v>
      </c>
      <c r="H310" s="523" t="s">
        <v>2487</v>
      </c>
      <c r="I310" s="524" t="s">
        <v>2307</v>
      </c>
      <c r="J310" s="530"/>
      <c r="K310" s="530">
        <f>27890/1.1</f>
        <v>25354.545454545452</v>
      </c>
      <c r="L310" s="530">
        <f>K310</f>
        <v>25354.545454545452</v>
      </c>
      <c r="M310" s="489" t="str">
        <f t="shared" si="11"/>
        <v>DDDDDDDĐ</v>
      </c>
    </row>
    <row r="311" spans="1:13" s="489" customFormat="1" ht="17.45" customHeight="1">
      <c r="A311" s="515"/>
      <c r="B311" s="2160" t="s">
        <v>2488</v>
      </c>
      <c r="C311" s="2160"/>
      <c r="D311" s="2160"/>
      <c r="E311" s="2160"/>
      <c r="F311" s="2160"/>
      <c r="G311" s="515"/>
      <c r="H311" s="2160" t="s">
        <v>2488</v>
      </c>
      <c r="I311" s="2160"/>
      <c r="J311" s="2160"/>
      <c r="K311" s="2160"/>
      <c r="L311" s="2160"/>
      <c r="M311" s="489" t="str">
        <f t="shared" si="11"/>
        <v>DDDDDDDĐ</v>
      </c>
    </row>
    <row r="312" spans="1:13" s="489" customFormat="1" ht="17.45" customHeight="1">
      <c r="A312" s="515">
        <v>250</v>
      </c>
      <c r="B312" s="523" t="s">
        <v>3503</v>
      </c>
      <c r="C312" s="524" t="s">
        <v>2307</v>
      </c>
      <c r="D312" s="530"/>
      <c r="E312" s="530">
        <f>19500/1.1</f>
        <v>17727.272727272724</v>
      </c>
      <c r="F312" s="530">
        <f>E312</f>
        <v>17727.272727272724</v>
      </c>
      <c r="G312" s="515">
        <v>250</v>
      </c>
      <c r="H312" s="523" t="s">
        <v>3503</v>
      </c>
      <c r="I312" s="524" t="s">
        <v>2307</v>
      </c>
      <c r="J312" s="530"/>
      <c r="K312" s="530">
        <f>19500/1.1</f>
        <v>17727.272727272724</v>
      </c>
      <c r="L312" s="530">
        <f>K312</f>
        <v>17727.272727272724</v>
      </c>
      <c r="M312" s="489" t="str">
        <f t="shared" si="11"/>
        <v>DDDDDDDĐ</v>
      </c>
    </row>
    <row r="313" spans="1:13" s="489" customFormat="1" ht="17.45" customHeight="1">
      <c r="A313" s="513" t="s">
        <v>2489</v>
      </c>
      <c r="B313" s="502" t="s">
        <v>3718</v>
      </c>
      <c r="C313" s="507"/>
      <c r="D313" s="508"/>
      <c r="E313" s="508"/>
      <c r="F313" s="508"/>
      <c r="G313" s="513" t="s">
        <v>2489</v>
      </c>
      <c r="H313" s="502" t="s">
        <v>3718</v>
      </c>
      <c r="I313" s="507"/>
      <c r="J313" s="508"/>
      <c r="K313" s="508"/>
      <c r="L313" s="508"/>
      <c r="M313" s="489" t="str">
        <f t="shared" si="11"/>
        <v>DDDDDDDĐ</v>
      </c>
    </row>
    <row r="314" spans="1:13" s="489" customFormat="1" ht="17.45" customHeight="1">
      <c r="A314" s="1155"/>
      <c r="B314" s="1156" t="s">
        <v>5264</v>
      </c>
      <c r="C314" s="1157"/>
      <c r="D314" s="1157"/>
      <c r="E314" s="1158"/>
      <c r="F314" s="1158"/>
      <c r="G314" s="1155"/>
      <c r="H314" s="1156" t="s">
        <v>5264</v>
      </c>
      <c r="I314" s="1157"/>
      <c r="J314" s="1157"/>
      <c r="K314" s="1158"/>
      <c r="L314" s="1158"/>
      <c r="M314" s="489" t="str">
        <f t="shared" si="11"/>
        <v>DDDDDDDĐ</v>
      </c>
    </row>
    <row r="315" spans="1:13" s="489" customFormat="1" ht="17.45" customHeight="1">
      <c r="A315" s="1161"/>
      <c r="B315" s="1156" t="s">
        <v>5265</v>
      </c>
      <c r="C315" s="1157"/>
      <c r="D315" s="1157"/>
      <c r="E315" s="1158"/>
      <c r="F315" s="1158"/>
      <c r="G315" s="1161"/>
      <c r="H315" s="1156" t="s">
        <v>5265</v>
      </c>
      <c r="I315" s="1157"/>
      <c r="J315" s="1157"/>
      <c r="K315" s="1158"/>
      <c r="L315" s="1158"/>
      <c r="M315" s="489" t="str">
        <f t="shared" si="11"/>
        <v>DDDDDDDĐ</v>
      </c>
    </row>
    <row r="316" spans="1:13" s="489" customFormat="1" ht="17.45" customHeight="1">
      <c r="A316" s="1161">
        <v>251</v>
      </c>
      <c r="B316" s="1162" t="s">
        <v>2490</v>
      </c>
      <c r="C316" s="1163" t="s">
        <v>2344</v>
      </c>
      <c r="D316" s="1158"/>
      <c r="E316" s="1158">
        <v>17325</v>
      </c>
      <c r="F316" s="1158"/>
      <c r="G316" s="1161">
        <v>251</v>
      </c>
      <c r="H316" s="1162" t="s">
        <v>2490</v>
      </c>
      <c r="I316" s="1163" t="s">
        <v>2344</v>
      </c>
      <c r="J316" s="1158"/>
      <c r="K316" s="1158">
        <v>17325</v>
      </c>
      <c r="L316" s="1158"/>
      <c r="M316" s="489" t="str">
        <f t="shared" si="11"/>
        <v>DDDDDDDĐ</v>
      </c>
    </row>
    <row r="317" spans="1:13" s="489" customFormat="1" ht="17.45" customHeight="1">
      <c r="A317" s="1161">
        <v>252</v>
      </c>
      <c r="B317" s="1162" t="s">
        <v>2491</v>
      </c>
      <c r="C317" s="1163" t="s">
        <v>2344</v>
      </c>
      <c r="D317" s="1158"/>
      <c r="E317" s="1158">
        <v>24150</v>
      </c>
      <c r="F317" s="1158"/>
      <c r="G317" s="1161">
        <v>252</v>
      </c>
      <c r="H317" s="1162" t="s">
        <v>2491</v>
      </c>
      <c r="I317" s="1163" t="s">
        <v>2344</v>
      </c>
      <c r="J317" s="1158"/>
      <c r="K317" s="1158">
        <v>24150</v>
      </c>
      <c r="L317" s="1158"/>
      <c r="M317" s="489" t="str">
        <f t="shared" si="11"/>
        <v>DDDDDDDĐ</v>
      </c>
    </row>
    <row r="318" spans="1:13" s="489" customFormat="1" ht="17.45" customHeight="1">
      <c r="A318" s="1161">
        <v>253</v>
      </c>
      <c r="B318" s="1162" t="s">
        <v>2492</v>
      </c>
      <c r="C318" s="1163" t="s">
        <v>2344</v>
      </c>
      <c r="D318" s="1158"/>
      <c r="E318" s="1158">
        <v>29400</v>
      </c>
      <c r="F318" s="1158"/>
      <c r="G318" s="1161">
        <v>253</v>
      </c>
      <c r="H318" s="1162" t="s">
        <v>2492</v>
      </c>
      <c r="I318" s="1163" t="s">
        <v>2344</v>
      </c>
      <c r="J318" s="1158"/>
      <c r="K318" s="1158">
        <v>29400</v>
      </c>
      <c r="L318" s="1158"/>
      <c r="M318" s="489" t="str">
        <f t="shared" si="11"/>
        <v>DDDDDDDĐ</v>
      </c>
    </row>
    <row r="319" spans="1:13" s="489" customFormat="1" ht="17.45" customHeight="1">
      <c r="A319" s="1161">
        <v>254</v>
      </c>
      <c r="B319" s="1162" t="s">
        <v>2493</v>
      </c>
      <c r="C319" s="1163" t="s">
        <v>2344</v>
      </c>
      <c r="D319" s="1158"/>
      <c r="E319" s="1158">
        <v>46505</v>
      </c>
      <c r="F319" s="1158"/>
      <c r="G319" s="1161">
        <v>254</v>
      </c>
      <c r="H319" s="1162" t="s">
        <v>2493</v>
      </c>
      <c r="I319" s="1163" t="s">
        <v>2344</v>
      </c>
      <c r="J319" s="1158"/>
      <c r="K319" s="1158">
        <v>46505</v>
      </c>
      <c r="L319" s="1158"/>
      <c r="M319" s="489" t="str">
        <f t="shared" si="11"/>
        <v>DDDDDDDĐ</v>
      </c>
    </row>
    <row r="320" spans="1:13" s="489" customFormat="1" ht="17.45" customHeight="1">
      <c r="A320" s="1161">
        <v>255</v>
      </c>
      <c r="B320" s="1162" t="s">
        <v>2494</v>
      </c>
      <c r="C320" s="1163" t="s">
        <v>2344</v>
      </c>
      <c r="D320" s="1158"/>
      <c r="E320" s="1158">
        <v>57536</v>
      </c>
      <c r="F320" s="1158"/>
      <c r="G320" s="1161">
        <v>255</v>
      </c>
      <c r="H320" s="1162" t="s">
        <v>2494</v>
      </c>
      <c r="I320" s="1163" t="s">
        <v>2344</v>
      </c>
      <c r="J320" s="1158"/>
      <c r="K320" s="1158">
        <v>57536</v>
      </c>
      <c r="L320" s="1158"/>
      <c r="M320" s="489" t="str">
        <f t="shared" si="11"/>
        <v>DDDDDDDĐ</v>
      </c>
    </row>
    <row r="321" spans="1:13" s="489" customFormat="1" ht="17.45" customHeight="1">
      <c r="A321" s="1161">
        <v>256</v>
      </c>
      <c r="B321" s="1162" t="s">
        <v>2495</v>
      </c>
      <c r="C321" s="1163" t="s">
        <v>2344</v>
      </c>
      <c r="D321" s="1158"/>
      <c r="E321" s="1158">
        <v>72450</v>
      </c>
      <c r="F321" s="1158"/>
      <c r="G321" s="1161">
        <v>256</v>
      </c>
      <c r="H321" s="1162" t="s">
        <v>2495</v>
      </c>
      <c r="I321" s="1163" t="s">
        <v>2344</v>
      </c>
      <c r="J321" s="1158"/>
      <c r="K321" s="1158">
        <v>72450</v>
      </c>
      <c r="L321" s="1158"/>
      <c r="M321" s="489" t="str">
        <f t="shared" si="11"/>
        <v>DDDDDDDĐ</v>
      </c>
    </row>
    <row r="322" spans="1:13" s="489" customFormat="1" ht="17.45" customHeight="1">
      <c r="A322" s="1161">
        <v>257</v>
      </c>
      <c r="B322" s="1162" t="s">
        <v>2496</v>
      </c>
      <c r="C322" s="1163" t="s">
        <v>2344</v>
      </c>
      <c r="D322" s="1158"/>
      <c r="E322" s="1158">
        <v>75921</v>
      </c>
      <c r="F322" s="1158"/>
      <c r="G322" s="1161">
        <v>257</v>
      </c>
      <c r="H322" s="1162" t="s">
        <v>2496</v>
      </c>
      <c r="I322" s="1163" t="s">
        <v>2344</v>
      </c>
      <c r="J322" s="1158"/>
      <c r="K322" s="1158">
        <v>75921</v>
      </c>
      <c r="L322" s="1158"/>
      <c r="M322" s="489" t="str">
        <f t="shared" si="11"/>
        <v>DDDDDDDĐ</v>
      </c>
    </row>
    <row r="323" spans="1:13" s="489" customFormat="1" ht="17.45" customHeight="1">
      <c r="A323" s="1161">
        <v>258</v>
      </c>
      <c r="B323" s="1162" t="s">
        <v>2497</v>
      </c>
      <c r="C323" s="1163" t="s">
        <v>2344</v>
      </c>
      <c r="D323" s="1158"/>
      <c r="E323" s="1158">
        <v>95807</v>
      </c>
      <c r="F323" s="1158"/>
      <c r="G323" s="1161">
        <v>258</v>
      </c>
      <c r="H323" s="1162" t="s">
        <v>2497</v>
      </c>
      <c r="I323" s="1163" t="s">
        <v>2344</v>
      </c>
      <c r="J323" s="1158"/>
      <c r="K323" s="1158">
        <v>95807</v>
      </c>
      <c r="L323" s="1158"/>
      <c r="M323" s="489" t="str">
        <f t="shared" si="11"/>
        <v>DDDDDDDĐ</v>
      </c>
    </row>
    <row r="324" spans="1:13" s="489" customFormat="1" ht="17.45" customHeight="1">
      <c r="A324" s="1161"/>
      <c r="B324" s="1156" t="s">
        <v>5266</v>
      </c>
      <c r="C324" s="1157"/>
      <c r="D324" s="1158"/>
      <c r="E324" s="1158"/>
      <c r="F324" s="1158"/>
      <c r="G324" s="1161"/>
      <c r="H324" s="1156" t="s">
        <v>5266</v>
      </c>
      <c r="I324" s="1157"/>
      <c r="J324" s="1158"/>
      <c r="K324" s="1158"/>
      <c r="L324" s="1158"/>
      <c r="M324" s="489" t="str">
        <f t="shared" si="11"/>
        <v>DDDDDDDĐ</v>
      </c>
    </row>
    <row r="325" spans="1:13" s="489" customFormat="1" ht="19.5" customHeight="1">
      <c r="A325" s="1161">
        <v>259</v>
      </c>
      <c r="B325" s="1162" t="s">
        <v>2498</v>
      </c>
      <c r="C325" s="1163" t="s">
        <v>2344</v>
      </c>
      <c r="D325" s="1158"/>
      <c r="E325" s="1158">
        <v>34608</v>
      </c>
      <c r="F325" s="1158"/>
      <c r="G325" s="1161">
        <v>259</v>
      </c>
      <c r="H325" s="1162" t="s">
        <v>2498</v>
      </c>
      <c r="I325" s="1163" t="s">
        <v>2344</v>
      </c>
      <c r="J325" s="1158"/>
      <c r="K325" s="1158">
        <v>34608</v>
      </c>
      <c r="L325" s="1158"/>
      <c r="M325" s="489" t="str">
        <f t="shared" si="11"/>
        <v>DDDDDDDĐ</v>
      </c>
    </row>
    <row r="326" spans="1:13" s="489" customFormat="1" ht="17.45" customHeight="1">
      <c r="A326" s="1161">
        <v>260</v>
      </c>
      <c r="B326" s="1162" t="s">
        <v>2499</v>
      </c>
      <c r="C326" s="1163" t="s">
        <v>2344</v>
      </c>
      <c r="D326" s="1158"/>
      <c r="E326" s="1158">
        <v>42179</v>
      </c>
      <c r="F326" s="1158"/>
      <c r="G326" s="1161">
        <v>260</v>
      </c>
      <c r="H326" s="1162" t="s">
        <v>2499</v>
      </c>
      <c r="I326" s="1163" t="s">
        <v>2344</v>
      </c>
      <c r="J326" s="1158"/>
      <c r="K326" s="1158">
        <v>42179</v>
      </c>
      <c r="L326" s="1158"/>
      <c r="M326" s="489" t="str">
        <f t="shared" si="11"/>
        <v>DDDDDDDĐ</v>
      </c>
    </row>
    <row r="327" spans="1:13" s="489" customFormat="1" ht="17.45" customHeight="1">
      <c r="A327" s="1161">
        <v>261</v>
      </c>
      <c r="B327" s="1162" t="s">
        <v>2500</v>
      </c>
      <c r="C327" s="1163" t="s">
        <v>2344</v>
      </c>
      <c r="D327" s="1158"/>
      <c r="E327" s="1158">
        <v>68135</v>
      </c>
      <c r="F327" s="1158"/>
      <c r="G327" s="1161">
        <v>261</v>
      </c>
      <c r="H327" s="1162" t="s">
        <v>2500</v>
      </c>
      <c r="I327" s="1163" t="s">
        <v>2344</v>
      </c>
      <c r="J327" s="1158"/>
      <c r="K327" s="1158">
        <v>68135</v>
      </c>
      <c r="L327" s="1158"/>
      <c r="M327" s="489" t="str">
        <f t="shared" si="11"/>
        <v>DDDDDDDĐ</v>
      </c>
    </row>
    <row r="328" spans="1:13" s="489" customFormat="1" ht="17.45" customHeight="1">
      <c r="A328" s="1161">
        <v>262</v>
      </c>
      <c r="B328" s="1162" t="s">
        <v>2501</v>
      </c>
      <c r="C328" s="1163" t="s">
        <v>2344</v>
      </c>
      <c r="D328" s="1158"/>
      <c r="E328" s="1158">
        <v>85995</v>
      </c>
      <c r="F328" s="1158"/>
      <c r="G328" s="1161">
        <v>262</v>
      </c>
      <c r="H328" s="1162" t="s">
        <v>2501</v>
      </c>
      <c r="I328" s="1163" t="s">
        <v>2344</v>
      </c>
      <c r="J328" s="1158"/>
      <c r="K328" s="1158">
        <v>85995</v>
      </c>
      <c r="L328" s="1158"/>
      <c r="M328" s="489" t="str">
        <f t="shared" si="11"/>
        <v>DDDDDDDĐ</v>
      </c>
    </row>
    <row r="329" spans="1:13" s="489" customFormat="1" ht="17.45" customHeight="1">
      <c r="A329" s="1161"/>
      <c r="B329" s="1156" t="s">
        <v>2502</v>
      </c>
      <c r="C329" s="1157"/>
      <c r="D329" s="1158"/>
      <c r="E329" s="1158"/>
      <c r="F329" s="1158"/>
      <c r="G329" s="1161"/>
      <c r="H329" s="1156" t="s">
        <v>2502</v>
      </c>
      <c r="I329" s="1157"/>
      <c r="J329" s="1158"/>
      <c r="K329" s="1158"/>
      <c r="L329" s="1158"/>
      <c r="M329" s="489" t="str">
        <f t="shared" si="11"/>
        <v>DDDDDDDĐ</v>
      </c>
    </row>
    <row r="330" spans="1:13" s="489" customFormat="1" ht="17.45" customHeight="1">
      <c r="A330" s="1161">
        <v>263</v>
      </c>
      <c r="B330" s="1162" t="s">
        <v>2503</v>
      </c>
      <c r="C330" s="1163" t="s">
        <v>2504</v>
      </c>
      <c r="D330" s="1158"/>
      <c r="E330" s="1158">
        <v>1449</v>
      </c>
      <c r="F330" s="1158"/>
      <c r="G330" s="1161">
        <v>263</v>
      </c>
      <c r="H330" s="1162" t="s">
        <v>2503</v>
      </c>
      <c r="I330" s="1163" t="s">
        <v>2504</v>
      </c>
      <c r="J330" s="1158"/>
      <c r="K330" s="1158">
        <v>1449</v>
      </c>
      <c r="L330" s="1158"/>
      <c r="M330" s="489" t="str">
        <f t="shared" si="11"/>
        <v>DDDDDDDĐ</v>
      </c>
    </row>
    <row r="331" spans="1:13" s="489" customFormat="1" ht="17.45" customHeight="1">
      <c r="A331" s="1161">
        <v>264</v>
      </c>
      <c r="B331" s="1162" t="s">
        <v>2505</v>
      </c>
      <c r="C331" s="1163" t="s">
        <v>2504</v>
      </c>
      <c r="D331" s="1158"/>
      <c r="E331" s="1158">
        <v>3375</v>
      </c>
      <c r="F331" s="1158"/>
      <c r="G331" s="1161">
        <v>264</v>
      </c>
      <c r="H331" s="1162" t="s">
        <v>2505</v>
      </c>
      <c r="I331" s="1163" t="s">
        <v>2504</v>
      </c>
      <c r="J331" s="1158"/>
      <c r="K331" s="1158">
        <v>3375</v>
      </c>
      <c r="L331" s="1158"/>
      <c r="M331" s="489" t="str">
        <f t="shared" si="11"/>
        <v>DDDDDDDĐ</v>
      </c>
    </row>
    <row r="332" spans="1:13" s="489" customFormat="1" ht="17.45" customHeight="1">
      <c r="A332" s="1161">
        <v>265</v>
      </c>
      <c r="B332" s="1162" t="s">
        <v>2506</v>
      </c>
      <c r="C332" s="1163" t="s">
        <v>2504</v>
      </c>
      <c r="D332" s="1158"/>
      <c r="E332" s="1158">
        <v>12002</v>
      </c>
      <c r="F332" s="1158"/>
      <c r="G332" s="1161">
        <v>265</v>
      </c>
      <c r="H332" s="1162" t="s">
        <v>2506</v>
      </c>
      <c r="I332" s="1163" t="s">
        <v>2504</v>
      </c>
      <c r="J332" s="1158"/>
      <c r="K332" s="1158">
        <v>12002</v>
      </c>
      <c r="L332" s="1158"/>
      <c r="M332" s="489" t="str">
        <f t="shared" si="11"/>
        <v>DDDDDDDĐ</v>
      </c>
    </row>
    <row r="333" spans="1:13" s="489" customFormat="1" ht="17.45" customHeight="1">
      <c r="A333" s="1161">
        <v>266</v>
      </c>
      <c r="B333" s="1162" t="s">
        <v>2507</v>
      </c>
      <c r="C333" s="1163" t="s">
        <v>2504</v>
      </c>
      <c r="D333" s="1158"/>
      <c r="E333" s="1158">
        <v>17535</v>
      </c>
      <c r="F333" s="1158"/>
      <c r="G333" s="1161">
        <v>266</v>
      </c>
      <c r="H333" s="1162" t="s">
        <v>2507</v>
      </c>
      <c r="I333" s="1163" t="s">
        <v>2504</v>
      </c>
      <c r="J333" s="1158"/>
      <c r="K333" s="1158">
        <v>17535</v>
      </c>
      <c r="L333" s="1158"/>
      <c r="M333" s="489" t="str">
        <f t="shared" si="11"/>
        <v>DDDDDDDĐ</v>
      </c>
    </row>
    <row r="334" spans="1:13" s="489" customFormat="1" ht="17.45" customHeight="1">
      <c r="A334" s="1161">
        <v>267</v>
      </c>
      <c r="B334" s="1162" t="s">
        <v>2508</v>
      </c>
      <c r="C334" s="1163" t="s">
        <v>2338</v>
      </c>
      <c r="D334" s="1158"/>
      <c r="E334" s="1158">
        <v>8760</v>
      </c>
      <c r="F334" s="1158"/>
      <c r="G334" s="1161">
        <v>267</v>
      </c>
      <c r="H334" s="1162" t="s">
        <v>2508</v>
      </c>
      <c r="I334" s="1163" t="s">
        <v>2338</v>
      </c>
      <c r="J334" s="1158"/>
      <c r="K334" s="1158">
        <v>8760</v>
      </c>
      <c r="L334" s="1158"/>
      <c r="M334" s="489" t="str">
        <f t="shared" si="11"/>
        <v>DDDDDDDĐ</v>
      </c>
    </row>
    <row r="335" spans="1:13" s="489" customFormat="1" ht="17.45" customHeight="1">
      <c r="A335" s="1161">
        <v>268</v>
      </c>
      <c r="B335" s="1162" t="s">
        <v>2509</v>
      </c>
      <c r="C335" s="1163" t="s">
        <v>2338</v>
      </c>
      <c r="D335" s="1158"/>
      <c r="E335" s="1158">
        <v>10491</v>
      </c>
      <c r="F335" s="1158"/>
      <c r="G335" s="1161">
        <v>268</v>
      </c>
      <c r="H335" s="1162" t="s">
        <v>2509</v>
      </c>
      <c r="I335" s="1163" t="s">
        <v>2338</v>
      </c>
      <c r="J335" s="1158"/>
      <c r="K335" s="1158">
        <v>10491</v>
      </c>
      <c r="L335" s="1158"/>
      <c r="M335" s="489" t="str">
        <f t="shared" si="11"/>
        <v>DDDDDDDĐ</v>
      </c>
    </row>
    <row r="336" spans="1:13" s="489" customFormat="1" ht="17.45" customHeight="1">
      <c r="A336" s="1161">
        <v>269</v>
      </c>
      <c r="B336" s="1162" t="s">
        <v>2510</v>
      </c>
      <c r="C336" s="1163" t="s">
        <v>2344</v>
      </c>
      <c r="D336" s="1158"/>
      <c r="E336" s="1158">
        <f>304334/6</f>
        <v>50722.333333333336</v>
      </c>
      <c r="F336" s="1182"/>
      <c r="G336" s="1161">
        <v>269</v>
      </c>
      <c r="H336" s="1162" t="s">
        <v>2510</v>
      </c>
      <c r="I336" s="1163" t="s">
        <v>2344</v>
      </c>
      <c r="J336" s="1158"/>
      <c r="K336" s="1158">
        <f>304334/6</f>
        <v>50722.333333333336</v>
      </c>
      <c r="L336" s="1182"/>
      <c r="M336" s="489" t="str">
        <f t="shared" si="11"/>
        <v>DDDDDDDĐ</v>
      </c>
    </row>
    <row r="337" spans="1:13" s="489" customFormat="1" ht="17.45" customHeight="1">
      <c r="A337" s="1161">
        <v>270</v>
      </c>
      <c r="B337" s="1162" t="s">
        <v>2511</v>
      </c>
      <c r="C337" s="1163" t="s">
        <v>2344</v>
      </c>
      <c r="D337" s="1158"/>
      <c r="E337" s="1158">
        <f>197266/6</f>
        <v>32877.666666666664</v>
      </c>
      <c r="F337" s="1158"/>
      <c r="G337" s="1161">
        <v>270</v>
      </c>
      <c r="H337" s="1162" t="s">
        <v>2511</v>
      </c>
      <c r="I337" s="1163" t="s">
        <v>2344</v>
      </c>
      <c r="J337" s="1158"/>
      <c r="K337" s="1158">
        <f>197266/6</f>
        <v>32877.666666666664</v>
      </c>
      <c r="L337" s="1158"/>
      <c r="M337" s="489" t="str">
        <f t="shared" si="11"/>
        <v>DDDDDDDĐ</v>
      </c>
    </row>
    <row r="338" spans="1:13" s="489" customFormat="1" ht="17.45" customHeight="1">
      <c r="A338" s="1161">
        <v>271</v>
      </c>
      <c r="B338" s="1162" t="s">
        <v>2512</v>
      </c>
      <c r="C338" s="1163" t="s">
        <v>2344</v>
      </c>
      <c r="D338" s="1158"/>
      <c r="E338" s="1158">
        <f>436710/6</f>
        <v>72785</v>
      </c>
      <c r="F338" s="1158"/>
      <c r="G338" s="1161">
        <v>271</v>
      </c>
      <c r="H338" s="1162" t="s">
        <v>2512</v>
      </c>
      <c r="I338" s="1163" t="s">
        <v>2344</v>
      </c>
      <c r="J338" s="1158"/>
      <c r="K338" s="1158">
        <f>436710/6</f>
        <v>72785</v>
      </c>
      <c r="L338" s="1158"/>
      <c r="M338" s="489" t="str">
        <f t="shared" si="11"/>
        <v>DDDDDDDĐ</v>
      </c>
    </row>
    <row r="339" spans="1:13" s="489" customFormat="1" ht="17.45" customHeight="1">
      <c r="A339" s="1161"/>
      <c r="B339" s="1162" t="s">
        <v>2513</v>
      </c>
      <c r="C339" s="1157"/>
      <c r="D339" s="1158"/>
      <c r="E339" s="1158"/>
      <c r="F339" s="1158"/>
      <c r="G339" s="1161"/>
      <c r="H339" s="1162" t="s">
        <v>2513</v>
      </c>
      <c r="I339" s="1157"/>
      <c r="J339" s="1158"/>
      <c r="K339" s="1158"/>
      <c r="L339" s="1158"/>
      <c r="M339" s="489" t="str">
        <f t="shared" si="11"/>
        <v>DDDDDDDĐ</v>
      </c>
    </row>
    <row r="340" spans="1:13" s="489" customFormat="1" ht="17.45" customHeight="1">
      <c r="A340" s="1161">
        <v>272</v>
      </c>
      <c r="B340" s="1162" t="s">
        <v>2514</v>
      </c>
      <c r="C340" s="1163" t="s">
        <v>2344</v>
      </c>
      <c r="D340" s="1158"/>
      <c r="E340" s="1158">
        <f>308876/6</f>
        <v>51479.333333333336</v>
      </c>
      <c r="F340" s="1158"/>
      <c r="G340" s="1161">
        <v>272</v>
      </c>
      <c r="H340" s="1162" t="s">
        <v>2514</v>
      </c>
      <c r="I340" s="1163" t="s">
        <v>2344</v>
      </c>
      <c r="J340" s="1158"/>
      <c r="K340" s="1158">
        <f>308876/6</f>
        <v>51479.333333333336</v>
      </c>
      <c r="L340" s="1158"/>
      <c r="M340" s="489" t="str">
        <f t="shared" si="11"/>
        <v>DDDDDDDĐ</v>
      </c>
    </row>
    <row r="341" spans="1:13" s="489" customFormat="1" ht="18" customHeight="1">
      <c r="A341" s="1161">
        <v>273</v>
      </c>
      <c r="B341" s="1162" t="s">
        <v>2515</v>
      </c>
      <c r="C341" s="1163" t="s">
        <v>2344</v>
      </c>
      <c r="D341" s="1158"/>
      <c r="E341" s="1158">
        <f>1054463/50</f>
        <v>21089.26</v>
      </c>
      <c r="F341" s="1158"/>
      <c r="G341" s="1161">
        <v>273</v>
      </c>
      <c r="H341" s="1162" t="s">
        <v>2515</v>
      </c>
      <c r="I341" s="1163" t="s">
        <v>2344</v>
      </c>
      <c r="J341" s="1158"/>
      <c r="K341" s="1158">
        <f>1054463/50</f>
        <v>21089.26</v>
      </c>
      <c r="L341" s="1158"/>
      <c r="M341" s="489" t="str">
        <f t="shared" si="11"/>
        <v>DDDDDDDĐ</v>
      </c>
    </row>
    <row r="342" spans="1:13" s="489" customFormat="1" ht="18" customHeight="1">
      <c r="A342" s="1161"/>
      <c r="B342" s="1156" t="s">
        <v>5267</v>
      </c>
      <c r="C342" s="1157"/>
      <c r="D342" s="1157"/>
      <c r="E342" s="1158"/>
      <c r="F342" s="1158"/>
      <c r="G342" s="1161"/>
      <c r="H342" s="1156" t="s">
        <v>5267</v>
      </c>
      <c r="I342" s="1157"/>
      <c r="J342" s="1157"/>
      <c r="K342" s="1158"/>
      <c r="L342" s="1158"/>
      <c r="M342" s="489" t="str">
        <f t="shared" si="11"/>
        <v>DDDDDDDĐ</v>
      </c>
    </row>
    <row r="343" spans="1:13" s="489" customFormat="1" ht="17.45" customHeight="1">
      <c r="A343" s="1161">
        <v>274</v>
      </c>
      <c r="B343" s="1162" t="s">
        <v>2516</v>
      </c>
      <c r="C343" s="1163" t="s">
        <v>2344</v>
      </c>
      <c r="D343" s="1158"/>
      <c r="E343" s="1158">
        <v>82929</v>
      </c>
      <c r="F343" s="1158"/>
      <c r="G343" s="1161">
        <v>274</v>
      </c>
      <c r="H343" s="1162" t="s">
        <v>2516</v>
      </c>
      <c r="I343" s="1163" t="s">
        <v>2344</v>
      </c>
      <c r="J343" s="1158"/>
      <c r="K343" s="1158">
        <v>82929</v>
      </c>
      <c r="L343" s="1158"/>
      <c r="M343" s="489" t="str">
        <f t="shared" si="11"/>
        <v>DDDDDDDĐ</v>
      </c>
    </row>
    <row r="344" spans="1:13" s="489" customFormat="1" ht="17.45" customHeight="1">
      <c r="A344" s="1161">
        <v>275</v>
      </c>
      <c r="B344" s="1162" t="s">
        <v>2517</v>
      </c>
      <c r="C344" s="1163" t="s">
        <v>2344</v>
      </c>
      <c r="D344" s="1158"/>
      <c r="E344" s="1158">
        <v>92925</v>
      </c>
      <c r="F344" s="1158"/>
      <c r="G344" s="1161">
        <v>275</v>
      </c>
      <c r="H344" s="1162" t="s">
        <v>2517</v>
      </c>
      <c r="I344" s="1163" t="s">
        <v>2344</v>
      </c>
      <c r="J344" s="1158"/>
      <c r="K344" s="1158">
        <v>92925</v>
      </c>
      <c r="L344" s="1158"/>
      <c r="M344" s="489" t="str">
        <f t="shared" si="11"/>
        <v>DDDDDDDĐ</v>
      </c>
    </row>
    <row r="345" spans="1:13" s="489" customFormat="1" ht="17.45" customHeight="1">
      <c r="A345" s="1161">
        <v>276</v>
      </c>
      <c r="B345" s="1162" t="s">
        <v>2518</v>
      </c>
      <c r="C345" s="1163" t="s">
        <v>2344</v>
      </c>
      <c r="D345" s="1158"/>
      <c r="E345" s="1158">
        <v>117705</v>
      </c>
      <c r="F345" s="1158"/>
      <c r="G345" s="1161">
        <v>276</v>
      </c>
      <c r="H345" s="1162" t="s">
        <v>2518</v>
      </c>
      <c r="I345" s="1163" t="s">
        <v>2344</v>
      </c>
      <c r="J345" s="1158"/>
      <c r="K345" s="1158">
        <v>117705</v>
      </c>
      <c r="L345" s="1158"/>
      <c r="M345" s="489" t="str">
        <f t="shared" si="11"/>
        <v>DDDDDDDĐ</v>
      </c>
    </row>
    <row r="346" spans="1:13" s="489" customFormat="1" ht="17.45" customHeight="1">
      <c r="A346" s="1161">
        <v>277</v>
      </c>
      <c r="B346" s="1162" t="s">
        <v>2519</v>
      </c>
      <c r="C346" s="1163" t="s">
        <v>2344</v>
      </c>
      <c r="D346" s="1158"/>
      <c r="E346" s="1158">
        <v>113768</v>
      </c>
      <c r="F346" s="1158"/>
      <c r="G346" s="1161">
        <v>277</v>
      </c>
      <c r="H346" s="1162" t="s">
        <v>2519</v>
      </c>
      <c r="I346" s="1163" t="s">
        <v>2344</v>
      </c>
      <c r="J346" s="1158"/>
      <c r="K346" s="1158">
        <v>113768</v>
      </c>
      <c r="L346" s="1158"/>
      <c r="M346" s="489" t="str">
        <f t="shared" si="11"/>
        <v>DDDDDDDĐ</v>
      </c>
    </row>
    <row r="347" spans="1:13" s="489" customFormat="1" ht="17.45" customHeight="1">
      <c r="A347" s="1161">
        <v>278</v>
      </c>
      <c r="B347" s="1162" t="s">
        <v>2520</v>
      </c>
      <c r="C347" s="1163" t="s">
        <v>2344</v>
      </c>
      <c r="D347" s="1158"/>
      <c r="E347" s="1158">
        <v>127575</v>
      </c>
      <c r="F347" s="1158"/>
      <c r="G347" s="1161">
        <v>278</v>
      </c>
      <c r="H347" s="1162" t="s">
        <v>2520</v>
      </c>
      <c r="I347" s="1163" t="s">
        <v>2344</v>
      </c>
      <c r="J347" s="1158"/>
      <c r="K347" s="1158">
        <v>127575</v>
      </c>
      <c r="L347" s="1158"/>
      <c r="M347" s="489" t="str">
        <f t="shared" si="11"/>
        <v>DDDDDDDĐ</v>
      </c>
    </row>
    <row r="348" spans="1:13" s="489" customFormat="1" ht="17.45" customHeight="1">
      <c r="A348" s="1161">
        <v>279</v>
      </c>
      <c r="B348" s="1162" t="s">
        <v>2521</v>
      </c>
      <c r="C348" s="1163" t="s">
        <v>2344</v>
      </c>
      <c r="D348" s="1158"/>
      <c r="E348" s="1158">
        <v>161595</v>
      </c>
      <c r="F348" s="1158"/>
      <c r="G348" s="1161">
        <v>279</v>
      </c>
      <c r="H348" s="1162" t="s">
        <v>2521</v>
      </c>
      <c r="I348" s="1163" t="s">
        <v>2344</v>
      </c>
      <c r="J348" s="1158"/>
      <c r="K348" s="1158">
        <v>161595</v>
      </c>
      <c r="L348" s="1158"/>
      <c r="M348" s="489" t="str">
        <f t="shared" si="11"/>
        <v>DDDDDDDĐ</v>
      </c>
    </row>
    <row r="349" spans="1:13" s="489" customFormat="1" ht="17.45" customHeight="1">
      <c r="A349" s="1161">
        <v>280</v>
      </c>
      <c r="B349" s="1162" t="s">
        <v>2522</v>
      </c>
      <c r="C349" s="1163" t="s">
        <v>2344</v>
      </c>
      <c r="D349" s="1158"/>
      <c r="E349" s="1158">
        <v>162225</v>
      </c>
      <c r="F349" s="1158"/>
      <c r="G349" s="1161">
        <v>280</v>
      </c>
      <c r="H349" s="1162" t="s">
        <v>2522</v>
      </c>
      <c r="I349" s="1163" t="s">
        <v>2344</v>
      </c>
      <c r="J349" s="1158"/>
      <c r="K349" s="1158">
        <v>162225</v>
      </c>
      <c r="L349" s="1158"/>
      <c r="M349" s="489" t="str">
        <f t="shared" si="11"/>
        <v>DDDDDDDĐ</v>
      </c>
    </row>
    <row r="350" spans="1:13" s="489" customFormat="1" ht="17.45" customHeight="1">
      <c r="A350" s="1161">
        <v>281</v>
      </c>
      <c r="B350" s="1162" t="s">
        <v>2523</v>
      </c>
      <c r="C350" s="1163" t="s">
        <v>2344</v>
      </c>
      <c r="D350" s="1158"/>
      <c r="E350" s="1158">
        <v>205380</v>
      </c>
      <c r="F350" s="1158"/>
      <c r="G350" s="1161">
        <v>281</v>
      </c>
      <c r="H350" s="1162" t="s">
        <v>2523</v>
      </c>
      <c r="I350" s="1163" t="s">
        <v>2344</v>
      </c>
      <c r="J350" s="1158"/>
      <c r="K350" s="1158">
        <v>205380</v>
      </c>
      <c r="L350" s="1158"/>
      <c r="M350" s="489" t="str">
        <f t="shared" si="11"/>
        <v>DDDDDDDĐ</v>
      </c>
    </row>
    <row r="351" spans="1:13" s="489" customFormat="1" ht="17.45" customHeight="1">
      <c r="A351" s="1161">
        <v>282</v>
      </c>
      <c r="B351" s="1162" t="s">
        <v>2524</v>
      </c>
      <c r="C351" s="1163" t="s">
        <v>2344</v>
      </c>
      <c r="D351" s="1158"/>
      <c r="E351" s="1158">
        <v>261839</v>
      </c>
      <c r="F351" s="1158"/>
      <c r="G351" s="1161">
        <v>282</v>
      </c>
      <c r="H351" s="1162" t="s">
        <v>2524</v>
      </c>
      <c r="I351" s="1163" t="s">
        <v>2344</v>
      </c>
      <c r="J351" s="1158"/>
      <c r="K351" s="1158">
        <v>261839</v>
      </c>
      <c r="L351" s="1158"/>
      <c r="M351" s="489" t="str">
        <f t="shared" si="11"/>
        <v>DDDDDDDĐ</v>
      </c>
    </row>
    <row r="352" spans="1:13" s="489" customFormat="1" ht="17.45" customHeight="1">
      <c r="A352" s="1161">
        <v>283</v>
      </c>
      <c r="B352" s="1162" t="s">
        <v>2525</v>
      </c>
      <c r="C352" s="1163" t="s">
        <v>2344</v>
      </c>
      <c r="D352" s="1158"/>
      <c r="E352" s="1158">
        <v>232785</v>
      </c>
      <c r="F352" s="1158"/>
      <c r="G352" s="1161">
        <v>283</v>
      </c>
      <c r="H352" s="1162" t="s">
        <v>2525</v>
      </c>
      <c r="I352" s="1163" t="s">
        <v>2344</v>
      </c>
      <c r="J352" s="1158"/>
      <c r="K352" s="1158">
        <v>232785</v>
      </c>
      <c r="L352" s="1158"/>
      <c r="M352" s="489" t="str">
        <f>IF(B352=H352,"DDDDDDDĐ","SSSSSSSSSSSS")</f>
        <v>DDDDDDDĐ</v>
      </c>
    </row>
    <row r="353" spans="1:13" s="489" customFormat="1" ht="17.45" customHeight="1">
      <c r="A353" s="1161">
        <v>284</v>
      </c>
      <c r="B353" s="1162" t="s">
        <v>2526</v>
      </c>
      <c r="C353" s="1163" t="s">
        <v>2344</v>
      </c>
      <c r="D353" s="1158"/>
      <c r="E353" s="1158">
        <v>294000</v>
      </c>
      <c r="F353" s="1158"/>
      <c r="G353" s="1161">
        <v>284</v>
      </c>
      <c r="H353" s="1162" t="s">
        <v>2526</v>
      </c>
      <c r="I353" s="1163" t="s">
        <v>2344</v>
      </c>
      <c r="J353" s="1158"/>
      <c r="K353" s="1158">
        <v>294000</v>
      </c>
      <c r="L353" s="1158"/>
      <c r="M353" s="489" t="str">
        <f>IF(B353=H353,"DDDDDDDĐ","SSSSSSSSSSSS")</f>
        <v>DDDDDDDĐ</v>
      </c>
    </row>
    <row r="354" spans="1:13" s="489" customFormat="1" ht="17.45" customHeight="1">
      <c r="A354" s="1161">
        <v>285</v>
      </c>
      <c r="B354" s="1162" t="s">
        <v>2527</v>
      </c>
      <c r="C354" s="1163" t="s">
        <v>2344</v>
      </c>
      <c r="D354" s="1158"/>
      <c r="E354" s="1158">
        <v>378032</v>
      </c>
      <c r="F354" s="1158"/>
      <c r="G354" s="1161">
        <v>285</v>
      </c>
      <c r="H354" s="1162" t="s">
        <v>2527</v>
      </c>
      <c r="I354" s="1163" t="s">
        <v>2344</v>
      </c>
      <c r="J354" s="1158"/>
      <c r="K354" s="1158">
        <v>378032</v>
      </c>
      <c r="L354" s="1158"/>
      <c r="M354" s="489" t="str">
        <f t="shared" ref="M354:M417" si="12">IF(B354=H354,"DDDDDDDĐ","SSSSSSSSSSSS")</f>
        <v>DDDDDDDĐ</v>
      </c>
    </row>
    <row r="355" spans="1:13" s="489" customFormat="1" ht="17.45" customHeight="1">
      <c r="A355" s="1161">
        <v>286</v>
      </c>
      <c r="B355" s="1162" t="s">
        <v>3719</v>
      </c>
      <c r="C355" s="1163" t="s">
        <v>2344</v>
      </c>
      <c r="D355" s="1158"/>
      <c r="E355" s="1158">
        <v>489489</v>
      </c>
      <c r="F355" s="1158"/>
      <c r="G355" s="1161">
        <v>286</v>
      </c>
      <c r="H355" s="1162" t="s">
        <v>3719</v>
      </c>
      <c r="I355" s="1163" t="s">
        <v>2344</v>
      </c>
      <c r="J355" s="1158"/>
      <c r="K355" s="1158">
        <v>489489</v>
      </c>
      <c r="L355" s="1158"/>
      <c r="M355" s="489" t="str">
        <f t="shared" si="12"/>
        <v>DDDDDDDĐ</v>
      </c>
    </row>
    <row r="356" spans="1:13" s="489" customFormat="1" ht="17.45" customHeight="1">
      <c r="A356" s="1161">
        <v>287</v>
      </c>
      <c r="B356" s="1162" t="s">
        <v>2528</v>
      </c>
      <c r="C356" s="1163" t="s">
        <v>2344</v>
      </c>
      <c r="D356" s="1158"/>
      <c r="E356" s="1158">
        <v>105788</v>
      </c>
      <c r="F356" s="1158"/>
      <c r="G356" s="1161">
        <v>287</v>
      </c>
      <c r="H356" s="1162" t="s">
        <v>2528</v>
      </c>
      <c r="I356" s="1163" t="s">
        <v>2344</v>
      </c>
      <c r="J356" s="1158"/>
      <c r="K356" s="1158">
        <v>105788</v>
      </c>
      <c r="L356" s="1158"/>
      <c r="M356" s="489" t="str">
        <f t="shared" si="12"/>
        <v>DDDDDDDĐ</v>
      </c>
    </row>
    <row r="357" spans="1:13" s="489" customFormat="1" ht="17.45" customHeight="1">
      <c r="A357" s="1161">
        <v>288</v>
      </c>
      <c r="B357" s="1162" t="s">
        <v>2529</v>
      </c>
      <c r="C357" s="1163" t="s">
        <v>2530</v>
      </c>
      <c r="D357" s="1158"/>
      <c r="E357" s="1158">
        <v>3948</v>
      </c>
      <c r="F357" s="1158"/>
      <c r="G357" s="1161">
        <v>288</v>
      </c>
      <c r="H357" s="1162" t="s">
        <v>2529</v>
      </c>
      <c r="I357" s="1163" t="s">
        <v>2530</v>
      </c>
      <c r="J357" s="1158"/>
      <c r="K357" s="1158">
        <v>3948</v>
      </c>
      <c r="L357" s="1158"/>
      <c r="M357" s="489" t="str">
        <f t="shared" si="12"/>
        <v>DDDDDDDĐ</v>
      </c>
    </row>
    <row r="358" spans="1:13" s="489" customFormat="1" ht="17.45" customHeight="1">
      <c r="A358" s="513"/>
      <c r="B358" s="502" t="s">
        <v>2531</v>
      </c>
      <c r="C358" s="510"/>
      <c r="D358" s="510"/>
      <c r="E358" s="508"/>
      <c r="F358" s="508"/>
      <c r="G358" s="513"/>
      <c r="H358" s="502" t="s">
        <v>2531</v>
      </c>
      <c r="I358" s="510"/>
      <c r="J358" s="510"/>
      <c r="K358" s="508"/>
      <c r="L358" s="508"/>
      <c r="M358" s="489" t="str">
        <f t="shared" si="12"/>
        <v>DDDDDDDĐ</v>
      </c>
    </row>
    <row r="359" spans="1:13" s="489" customFormat="1" ht="17.45" customHeight="1">
      <c r="A359" s="501"/>
      <c r="B359" s="502" t="s">
        <v>2532</v>
      </c>
      <c r="C359" s="510"/>
      <c r="D359" s="510"/>
      <c r="E359" s="508"/>
      <c r="F359" s="508"/>
      <c r="G359" s="501"/>
      <c r="H359" s="502" t="s">
        <v>2532</v>
      </c>
      <c r="I359" s="510"/>
      <c r="J359" s="510"/>
      <c r="K359" s="508"/>
      <c r="L359" s="508"/>
      <c r="M359" s="489" t="str">
        <f t="shared" si="12"/>
        <v>DDDDDDDĐ</v>
      </c>
    </row>
    <row r="360" spans="1:13" s="489" customFormat="1" ht="17.45" customHeight="1">
      <c r="A360" s="501">
        <v>289</v>
      </c>
      <c r="B360" s="506" t="s">
        <v>2533</v>
      </c>
      <c r="C360" s="507" t="s">
        <v>2392</v>
      </c>
      <c r="D360" s="510"/>
      <c r="E360" s="508">
        <f>39800/1.1</f>
        <v>36181.818181818177</v>
      </c>
      <c r="F360" s="508"/>
      <c r="G360" s="501">
        <v>289</v>
      </c>
      <c r="H360" s="506" t="s">
        <v>2533</v>
      </c>
      <c r="I360" s="507" t="s">
        <v>2392</v>
      </c>
      <c r="J360" s="510"/>
      <c r="K360" s="508">
        <f>39800/1.1</f>
        <v>36181.818181818177</v>
      </c>
      <c r="L360" s="508"/>
      <c r="M360" s="489" t="str">
        <f t="shared" si="12"/>
        <v>DDDDDDDĐ</v>
      </c>
    </row>
    <row r="361" spans="1:13" s="489" customFormat="1" ht="17.45" customHeight="1">
      <c r="A361" s="501">
        <v>290</v>
      </c>
      <c r="B361" s="506" t="s">
        <v>2534</v>
      </c>
      <c r="C361" s="507" t="s">
        <v>2392</v>
      </c>
      <c r="D361" s="510"/>
      <c r="E361" s="508">
        <f>49700/1.1</f>
        <v>45181.818181818177</v>
      </c>
      <c r="F361" s="508"/>
      <c r="G361" s="501">
        <v>290</v>
      </c>
      <c r="H361" s="506" t="s">
        <v>2534</v>
      </c>
      <c r="I361" s="507" t="s">
        <v>2392</v>
      </c>
      <c r="J361" s="510"/>
      <c r="K361" s="508">
        <f>49700/1.1</f>
        <v>45181.818181818177</v>
      </c>
      <c r="L361" s="508"/>
      <c r="M361" s="489" t="str">
        <f t="shared" si="12"/>
        <v>DDDDDDDĐ</v>
      </c>
    </row>
    <row r="362" spans="1:13" s="489" customFormat="1" ht="17.45" customHeight="1">
      <c r="A362" s="501">
        <v>291</v>
      </c>
      <c r="B362" s="506" t="s">
        <v>2535</v>
      </c>
      <c r="C362" s="507" t="s">
        <v>2392</v>
      </c>
      <c r="D362" s="510"/>
      <c r="E362" s="508">
        <f>62200/1.1</f>
        <v>56545.454545454544</v>
      </c>
      <c r="F362" s="508"/>
      <c r="G362" s="501">
        <v>291</v>
      </c>
      <c r="H362" s="506" t="s">
        <v>2535</v>
      </c>
      <c r="I362" s="507" t="s">
        <v>2392</v>
      </c>
      <c r="J362" s="510"/>
      <c r="K362" s="508">
        <f>62200/1.1</f>
        <v>56545.454545454544</v>
      </c>
      <c r="L362" s="508"/>
      <c r="M362" s="489" t="str">
        <f t="shared" si="12"/>
        <v>DDDDDDDĐ</v>
      </c>
    </row>
    <row r="363" spans="1:13" s="489" customFormat="1" ht="17.45" customHeight="1">
      <c r="A363" s="501">
        <v>292</v>
      </c>
      <c r="B363" s="506" t="s">
        <v>2536</v>
      </c>
      <c r="C363" s="507" t="s">
        <v>2392</v>
      </c>
      <c r="D363" s="510"/>
      <c r="E363" s="508">
        <f>65700/1.1</f>
        <v>59727.272727272721</v>
      </c>
      <c r="F363" s="508"/>
      <c r="G363" s="501">
        <v>292</v>
      </c>
      <c r="H363" s="506" t="s">
        <v>2536</v>
      </c>
      <c r="I363" s="507" t="s">
        <v>2392</v>
      </c>
      <c r="J363" s="510"/>
      <c r="K363" s="508">
        <f>65700/1.1</f>
        <v>59727.272727272721</v>
      </c>
      <c r="L363" s="508"/>
      <c r="M363" s="489" t="str">
        <f t="shared" si="12"/>
        <v>DDDDDDDĐ</v>
      </c>
    </row>
    <row r="364" spans="1:13" s="489" customFormat="1" ht="17.45" customHeight="1">
      <c r="A364" s="501">
        <v>293</v>
      </c>
      <c r="B364" s="506" t="s">
        <v>2537</v>
      </c>
      <c r="C364" s="507" t="s">
        <v>2392</v>
      </c>
      <c r="D364" s="510"/>
      <c r="E364" s="508">
        <f>82800/1.1</f>
        <v>75272.727272727265</v>
      </c>
      <c r="F364" s="508"/>
      <c r="G364" s="501">
        <v>293</v>
      </c>
      <c r="H364" s="506" t="s">
        <v>2537</v>
      </c>
      <c r="I364" s="507" t="s">
        <v>2392</v>
      </c>
      <c r="J364" s="510"/>
      <c r="K364" s="508">
        <f>82800/1.1</f>
        <v>75272.727272727265</v>
      </c>
      <c r="L364" s="508"/>
      <c r="M364" s="489" t="str">
        <f t="shared" si="12"/>
        <v>DDDDDDDĐ</v>
      </c>
    </row>
    <row r="365" spans="1:13" s="489" customFormat="1" ht="17.45" customHeight="1">
      <c r="A365" s="501"/>
      <c r="B365" s="502" t="s">
        <v>3848</v>
      </c>
      <c r="C365" s="510"/>
      <c r="D365" s="510"/>
      <c r="E365" s="508"/>
      <c r="F365" s="508"/>
      <c r="G365" s="501"/>
      <c r="H365" s="502" t="s">
        <v>3848</v>
      </c>
      <c r="I365" s="510"/>
      <c r="J365" s="510"/>
      <c r="K365" s="508"/>
      <c r="L365" s="508"/>
      <c r="M365" s="489" t="str">
        <f t="shared" si="12"/>
        <v>DDDDDDDĐ</v>
      </c>
    </row>
    <row r="366" spans="1:13" s="489" customFormat="1" ht="17.45" customHeight="1">
      <c r="A366" s="501">
        <v>294</v>
      </c>
      <c r="B366" s="506" t="s">
        <v>2538</v>
      </c>
      <c r="C366" s="507" t="s">
        <v>2344</v>
      </c>
      <c r="D366" s="510"/>
      <c r="E366" s="508">
        <f>26500/1.1</f>
        <v>24090.909090909088</v>
      </c>
      <c r="F366" s="508"/>
      <c r="G366" s="501">
        <v>294</v>
      </c>
      <c r="H366" s="506" t="s">
        <v>2538</v>
      </c>
      <c r="I366" s="507" t="s">
        <v>2344</v>
      </c>
      <c r="J366" s="510"/>
      <c r="K366" s="508">
        <f>26500/1.1</f>
        <v>24090.909090909088</v>
      </c>
      <c r="L366" s="508"/>
      <c r="M366" s="489" t="str">
        <f t="shared" si="12"/>
        <v>DDDDDDDĐ</v>
      </c>
    </row>
    <row r="367" spans="1:13" s="489" customFormat="1" ht="20.25" customHeight="1">
      <c r="A367" s="501">
        <v>295</v>
      </c>
      <c r="B367" s="506" t="s">
        <v>2539</v>
      </c>
      <c r="C367" s="507" t="s">
        <v>2344</v>
      </c>
      <c r="D367" s="510"/>
      <c r="E367" s="508">
        <f>28500/1.1</f>
        <v>25909.090909090908</v>
      </c>
      <c r="F367" s="508"/>
      <c r="G367" s="501">
        <v>295</v>
      </c>
      <c r="H367" s="506" t="s">
        <v>2539</v>
      </c>
      <c r="I367" s="507" t="s">
        <v>2344</v>
      </c>
      <c r="J367" s="510"/>
      <c r="K367" s="508">
        <f>28500/1.1</f>
        <v>25909.090909090908</v>
      </c>
      <c r="L367" s="508"/>
      <c r="M367" s="489" t="str">
        <f t="shared" si="12"/>
        <v>DDDDDDDĐ</v>
      </c>
    </row>
    <row r="368" spans="1:13" s="489" customFormat="1" ht="30.75" customHeight="1">
      <c r="A368" s="501">
        <v>296</v>
      </c>
      <c r="B368" s="506" t="s">
        <v>2540</v>
      </c>
      <c r="C368" s="507" t="s">
        <v>2344</v>
      </c>
      <c r="D368" s="510"/>
      <c r="E368" s="508">
        <f>53000/1.1</f>
        <v>48181.818181818177</v>
      </c>
      <c r="F368" s="508"/>
      <c r="G368" s="501">
        <v>296</v>
      </c>
      <c r="H368" s="506" t="s">
        <v>2540</v>
      </c>
      <c r="I368" s="507" t="s">
        <v>2344</v>
      </c>
      <c r="J368" s="510"/>
      <c r="K368" s="508">
        <f>53000/1.1</f>
        <v>48181.818181818177</v>
      </c>
      <c r="L368" s="508"/>
      <c r="M368" s="489" t="str">
        <f t="shared" si="12"/>
        <v>DDDDDDDĐ</v>
      </c>
    </row>
    <row r="369" spans="1:13" s="489" customFormat="1" ht="18" customHeight="1">
      <c r="A369" s="501">
        <v>297</v>
      </c>
      <c r="B369" s="506" t="s">
        <v>2541</v>
      </c>
      <c r="C369" s="507" t="s">
        <v>2344</v>
      </c>
      <c r="D369" s="510"/>
      <c r="E369" s="508">
        <f>60000/1.1</f>
        <v>54545.454545454544</v>
      </c>
      <c r="F369" s="508"/>
      <c r="G369" s="501">
        <v>297</v>
      </c>
      <c r="H369" s="506" t="s">
        <v>2541</v>
      </c>
      <c r="I369" s="507" t="s">
        <v>2344</v>
      </c>
      <c r="J369" s="510"/>
      <c r="K369" s="508">
        <f>60000/1.1</f>
        <v>54545.454545454544</v>
      </c>
      <c r="L369" s="508"/>
      <c r="M369" s="489" t="str">
        <f t="shared" si="12"/>
        <v>DDDDDDDĐ</v>
      </c>
    </row>
    <row r="370" spans="1:13" s="489" customFormat="1" ht="18" customHeight="1">
      <c r="A370" s="501"/>
      <c r="B370" s="502" t="s">
        <v>2542</v>
      </c>
      <c r="C370" s="510"/>
      <c r="D370" s="510"/>
      <c r="E370" s="508"/>
      <c r="F370" s="508"/>
      <c r="G370" s="501"/>
      <c r="H370" s="502" t="s">
        <v>2542</v>
      </c>
      <c r="I370" s="510"/>
      <c r="J370" s="510"/>
      <c r="K370" s="508"/>
      <c r="L370" s="508"/>
      <c r="M370" s="489" t="str">
        <f t="shared" si="12"/>
        <v>DDDDDDDĐ</v>
      </c>
    </row>
    <row r="371" spans="1:13" s="489" customFormat="1" ht="18" customHeight="1">
      <c r="A371" s="501">
        <v>298</v>
      </c>
      <c r="B371" s="506" t="s">
        <v>2543</v>
      </c>
      <c r="C371" s="507" t="s">
        <v>2504</v>
      </c>
      <c r="D371" s="510"/>
      <c r="E371" s="508">
        <f>780/1.1</f>
        <v>709.09090909090901</v>
      </c>
      <c r="F371" s="508"/>
      <c r="G371" s="501">
        <v>298</v>
      </c>
      <c r="H371" s="506" t="s">
        <v>2543</v>
      </c>
      <c r="I371" s="507" t="s">
        <v>2504</v>
      </c>
      <c r="J371" s="510"/>
      <c r="K371" s="508">
        <f>780/1.1</f>
        <v>709.09090909090901</v>
      </c>
      <c r="L371" s="508"/>
      <c r="M371" s="489" t="str">
        <f t="shared" si="12"/>
        <v>DDDDDDDĐ</v>
      </c>
    </row>
    <row r="372" spans="1:13" s="489" customFormat="1" ht="18" customHeight="1">
      <c r="A372" s="501">
        <v>299</v>
      </c>
      <c r="B372" s="506" t="s">
        <v>2544</v>
      </c>
      <c r="C372" s="507" t="s">
        <v>2504</v>
      </c>
      <c r="D372" s="510"/>
      <c r="E372" s="508">
        <f>850/1.1</f>
        <v>772.72727272727263</v>
      </c>
      <c r="F372" s="508"/>
      <c r="G372" s="501">
        <v>299</v>
      </c>
      <c r="H372" s="506" t="s">
        <v>2544</v>
      </c>
      <c r="I372" s="507" t="s">
        <v>2504</v>
      </c>
      <c r="J372" s="510"/>
      <c r="K372" s="508">
        <f>850/1.1</f>
        <v>772.72727272727263</v>
      </c>
      <c r="L372" s="508"/>
      <c r="M372" s="489" t="str">
        <f t="shared" si="12"/>
        <v>DDDDDDDĐ</v>
      </c>
    </row>
    <row r="373" spans="1:13" s="489" customFormat="1" ht="18" customHeight="1">
      <c r="A373" s="501">
        <v>300</v>
      </c>
      <c r="B373" s="506" t="s">
        <v>2545</v>
      </c>
      <c r="C373" s="507" t="s">
        <v>2504</v>
      </c>
      <c r="D373" s="510"/>
      <c r="E373" s="508">
        <f>1100/1.1</f>
        <v>999.99999999999989</v>
      </c>
      <c r="F373" s="508"/>
      <c r="G373" s="501">
        <v>300</v>
      </c>
      <c r="H373" s="506" t="s">
        <v>2545</v>
      </c>
      <c r="I373" s="507" t="s">
        <v>2504</v>
      </c>
      <c r="J373" s="510"/>
      <c r="K373" s="508">
        <f>1100/1.1</f>
        <v>999.99999999999989</v>
      </c>
      <c r="L373" s="508"/>
      <c r="M373" s="489" t="str">
        <f t="shared" si="12"/>
        <v>DDDDDDDĐ</v>
      </c>
    </row>
    <row r="374" spans="1:13" s="489" customFormat="1" ht="18" customHeight="1">
      <c r="A374" s="501">
        <v>301</v>
      </c>
      <c r="B374" s="506" t="s">
        <v>2546</v>
      </c>
      <c r="C374" s="507" t="s">
        <v>2504</v>
      </c>
      <c r="D374" s="510"/>
      <c r="E374" s="508">
        <f>4200/1.1</f>
        <v>3818.181818181818</v>
      </c>
      <c r="F374" s="508"/>
      <c r="G374" s="501">
        <v>301</v>
      </c>
      <c r="H374" s="506" t="s">
        <v>2546</v>
      </c>
      <c r="I374" s="507" t="s">
        <v>2504</v>
      </c>
      <c r="J374" s="510"/>
      <c r="K374" s="508">
        <f>4200/1.1</f>
        <v>3818.181818181818</v>
      </c>
      <c r="L374" s="508"/>
      <c r="M374" s="489" t="str">
        <f t="shared" si="12"/>
        <v>DDDDDDDĐ</v>
      </c>
    </row>
    <row r="375" spans="1:13" s="489" customFormat="1" ht="18" customHeight="1">
      <c r="A375" s="501">
        <v>302</v>
      </c>
      <c r="B375" s="506" t="s">
        <v>2547</v>
      </c>
      <c r="C375" s="507" t="s">
        <v>2504</v>
      </c>
      <c r="D375" s="510"/>
      <c r="E375" s="508">
        <f>9000/1.1</f>
        <v>8181.8181818181811</v>
      </c>
      <c r="F375" s="508"/>
      <c r="G375" s="501">
        <v>302</v>
      </c>
      <c r="H375" s="506" t="s">
        <v>2547</v>
      </c>
      <c r="I375" s="507" t="s">
        <v>2504</v>
      </c>
      <c r="J375" s="510"/>
      <c r="K375" s="508">
        <f>9000/1.1</f>
        <v>8181.8181818181811</v>
      </c>
      <c r="L375" s="508"/>
      <c r="M375" s="489" t="str">
        <f t="shared" si="12"/>
        <v>DDDDDDDĐ</v>
      </c>
    </row>
    <row r="376" spans="1:13" s="489" customFormat="1" ht="18" customHeight="1">
      <c r="A376" s="501">
        <v>303</v>
      </c>
      <c r="B376" s="506" t="s">
        <v>2548</v>
      </c>
      <c r="C376" s="507" t="s">
        <v>2504</v>
      </c>
      <c r="D376" s="510"/>
      <c r="E376" s="508">
        <f>2800/1.1</f>
        <v>2545.454545454545</v>
      </c>
      <c r="F376" s="508"/>
      <c r="G376" s="501">
        <v>303</v>
      </c>
      <c r="H376" s="506" t="s">
        <v>2548</v>
      </c>
      <c r="I376" s="507" t="s">
        <v>2504</v>
      </c>
      <c r="J376" s="510"/>
      <c r="K376" s="508">
        <f>2800/1.1</f>
        <v>2545.454545454545</v>
      </c>
      <c r="L376" s="508"/>
      <c r="M376" s="489" t="str">
        <f t="shared" si="12"/>
        <v>DDDDDDDĐ</v>
      </c>
    </row>
    <row r="377" spans="1:13" s="489" customFormat="1" ht="18.95" customHeight="1">
      <c r="A377" s="501">
        <v>304</v>
      </c>
      <c r="B377" s="506" t="s">
        <v>2549</v>
      </c>
      <c r="C377" s="507" t="s">
        <v>2338</v>
      </c>
      <c r="D377" s="510"/>
      <c r="E377" s="508">
        <f>12000/1.1</f>
        <v>10909.090909090908</v>
      </c>
      <c r="F377" s="508"/>
      <c r="G377" s="501">
        <v>304</v>
      </c>
      <c r="H377" s="506" t="s">
        <v>2549</v>
      </c>
      <c r="I377" s="507" t="s">
        <v>2338</v>
      </c>
      <c r="J377" s="510"/>
      <c r="K377" s="508">
        <f>12000/1.1</f>
        <v>10909.090909090908</v>
      </c>
      <c r="L377" s="508"/>
      <c r="M377" s="489" t="str">
        <f t="shared" si="12"/>
        <v>DDDDDDDĐ</v>
      </c>
    </row>
    <row r="378" spans="1:13" s="489" customFormat="1" ht="18.95" customHeight="1">
      <c r="A378" s="501">
        <v>305</v>
      </c>
      <c r="B378" s="506" t="s">
        <v>2550</v>
      </c>
      <c r="C378" s="507" t="s">
        <v>2338</v>
      </c>
      <c r="D378" s="510"/>
      <c r="E378" s="508">
        <f>13300/1.1</f>
        <v>12090.90909090909</v>
      </c>
      <c r="F378" s="508"/>
      <c r="G378" s="501">
        <v>305</v>
      </c>
      <c r="H378" s="506" t="s">
        <v>2550</v>
      </c>
      <c r="I378" s="507" t="s">
        <v>2338</v>
      </c>
      <c r="J378" s="510"/>
      <c r="K378" s="508">
        <f>13300/1.1</f>
        <v>12090.90909090909</v>
      </c>
      <c r="L378" s="508"/>
      <c r="M378" s="489" t="str">
        <f t="shared" si="12"/>
        <v>DDDDDDDĐ</v>
      </c>
    </row>
    <row r="379" spans="1:13" s="489" customFormat="1" ht="18" customHeight="1">
      <c r="A379" s="501">
        <v>306</v>
      </c>
      <c r="B379" s="506" t="s">
        <v>2551</v>
      </c>
      <c r="C379" s="507" t="s">
        <v>2392</v>
      </c>
      <c r="D379" s="510"/>
      <c r="E379" s="508">
        <f>81500/1.1</f>
        <v>74090.909090909088</v>
      </c>
      <c r="F379" s="508"/>
      <c r="G379" s="501">
        <v>306</v>
      </c>
      <c r="H379" s="506" t="s">
        <v>2551</v>
      </c>
      <c r="I379" s="507" t="s">
        <v>2392</v>
      </c>
      <c r="J379" s="510"/>
      <c r="K379" s="508">
        <f>81500/1.1</f>
        <v>74090.909090909088</v>
      </c>
      <c r="L379" s="508"/>
      <c r="M379" s="489" t="str">
        <f t="shared" si="12"/>
        <v>DDDDDDDĐ</v>
      </c>
    </row>
    <row r="380" spans="1:13" s="489" customFormat="1" ht="18" customHeight="1">
      <c r="A380" s="501">
        <v>307</v>
      </c>
      <c r="B380" s="506" t="s">
        <v>2552</v>
      </c>
      <c r="C380" s="507" t="s">
        <v>2392</v>
      </c>
      <c r="D380" s="510"/>
      <c r="E380" s="508">
        <f>81500/1.1</f>
        <v>74090.909090909088</v>
      </c>
      <c r="F380" s="508"/>
      <c r="G380" s="501">
        <v>307</v>
      </c>
      <c r="H380" s="506" t="s">
        <v>2552</v>
      </c>
      <c r="I380" s="507" t="s">
        <v>2392</v>
      </c>
      <c r="J380" s="510"/>
      <c r="K380" s="508">
        <f>81500/1.1</f>
        <v>74090.909090909088</v>
      </c>
      <c r="L380" s="508"/>
      <c r="M380" s="489" t="str">
        <f t="shared" si="12"/>
        <v>DDDDDDDĐ</v>
      </c>
    </row>
    <row r="381" spans="1:13" s="489" customFormat="1" ht="18" customHeight="1">
      <c r="A381" s="501">
        <v>308</v>
      </c>
      <c r="B381" s="506" t="s">
        <v>2553</v>
      </c>
      <c r="C381" s="507" t="s">
        <v>2392</v>
      </c>
      <c r="D381" s="510"/>
      <c r="E381" s="508">
        <f>54000/1.1</f>
        <v>49090.909090909088</v>
      </c>
      <c r="F381" s="531"/>
      <c r="G381" s="501">
        <v>308</v>
      </c>
      <c r="H381" s="506" t="s">
        <v>2553</v>
      </c>
      <c r="I381" s="507" t="s">
        <v>2392</v>
      </c>
      <c r="J381" s="510"/>
      <c r="K381" s="508">
        <f>54000/1.1</f>
        <v>49090.909090909088</v>
      </c>
      <c r="L381" s="531"/>
      <c r="M381" s="489" t="str">
        <f t="shared" si="12"/>
        <v>DDDDDDDĐ</v>
      </c>
    </row>
    <row r="382" spans="1:13" s="489" customFormat="1" ht="18" customHeight="1">
      <c r="A382" s="501">
        <v>309</v>
      </c>
      <c r="B382" s="506" t="s">
        <v>2554</v>
      </c>
      <c r="C382" s="507" t="s">
        <v>2392</v>
      </c>
      <c r="D382" s="510"/>
      <c r="E382" s="508">
        <f>21000/1.1</f>
        <v>19090.909090909088</v>
      </c>
      <c r="F382" s="531"/>
      <c r="G382" s="501">
        <v>309</v>
      </c>
      <c r="H382" s="506" t="s">
        <v>2554</v>
      </c>
      <c r="I382" s="507" t="s">
        <v>2392</v>
      </c>
      <c r="J382" s="510"/>
      <c r="K382" s="508">
        <f>21000/1.1</f>
        <v>19090.909090909088</v>
      </c>
      <c r="L382" s="531"/>
      <c r="M382" s="489" t="str">
        <f t="shared" si="12"/>
        <v>DDDDDDDĐ</v>
      </c>
    </row>
    <row r="383" spans="1:13" s="489" customFormat="1" ht="18" customHeight="1">
      <c r="A383" s="501">
        <v>310</v>
      </c>
      <c r="B383" s="506" t="s">
        <v>2555</v>
      </c>
      <c r="C383" s="507" t="s">
        <v>2392</v>
      </c>
      <c r="D383" s="510"/>
      <c r="E383" s="508">
        <f>15500/1.1</f>
        <v>14090.90909090909</v>
      </c>
      <c r="F383" s="508"/>
      <c r="G383" s="501">
        <v>310</v>
      </c>
      <c r="H383" s="506" t="s">
        <v>2555</v>
      </c>
      <c r="I383" s="507" t="s">
        <v>2392</v>
      </c>
      <c r="J383" s="510"/>
      <c r="K383" s="508">
        <f>15500/1.1</f>
        <v>14090.90909090909</v>
      </c>
      <c r="L383" s="508"/>
      <c r="M383" s="489" t="str">
        <f t="shared" si="12"/>
        <v>DDDDDDDĐ</v>
      </c>
    </row>
    <row r="384" spans="1:13" s="489" customFormat="1" ht="18" customHeight="1">
      <c r="A384" s="513" t="s">
        <v>2556</v>
      </c>
      <c r="B384" s="502" t="s">
        <v>2557</v>
      </c>
      <c r="C384" s="510"/>
      <c r="D384" s="510"/>
      <c r="E384" s="508"/>
      <c r="F384" s="508"/>
      <c r="G384" s="513" t="s">
        <v>2556</v>
      </c>
      <c r="H384" s="502" t="s">
        <v>2557</v>
      </c>
      <c r="I384" s="510"/>
      <c r="J384" s="510"/>
      <c r="K384" s="508"/>
      <c r="L384" s="508"/>
      <c r="M384" s="489" t="str">
        <f t="shared" si="12"/>
        <v>DDDDDDDĐ</v>
      </c>
    </row>
    <row r="385" spans="1:13" s="489" customFormat="1" ht="18" customHeight="1">
      <c r="A385" s="1161"/>
      <c r="B385" s="2160" t="s">
        <v>3849</v>
      </c>
      <c r="C385" s="2160"/>
      <c r="D385" s="2160"/>
      <c r="E385" s="2160"/>
      <c r="F385" s="2160"/>
      <c r="G385" s="1161"/>
      <c r="H385" s="2160" t="s">
        <v>3849</v>
      </c>
      <c r="I385" s="2160"/>
      <c r="J385" s="2160"/>
      <c r="K385" s="2160"/>
      <c r="L385" s="2160"/>
      <c r="M385" s="489" t="str">
        <f t="shared" si="12"/>
        <v>DDDDDDDĐ</v>
      </c>
    </row>
    <row r="386" spans="1:13" s="489" customFormat="1" ht="18" customHeight="1">
      <c r="A386" s="1161">
        <v>311</v>
      </c>
      <c r="B386" s="1162" t="s">
        <v>3850</v>
      </c>
      <c r="C386" s="1163" t="s">
        <v>5268</v>
      </c>
      <c r="D386" s="1158"/>
      <c r="E386" s="1158">
        <v>177765</v>
      </c>
      <c r="F386" s="1158"/>
      <c r="G386" s="1161">
        <v>311</v>
      </c>
      <c r="H386" s="1162" t="s">
        <v>3850</v>
      </c>
      <c r="I386" s="1163" t="s">
        <v>5268</v>
      </c>
      <c r="J386" s="1158"/>
      <c r="K386" s="1158">
        <v>177765</v>
      </c>
      <c r="L386" s="1158"/>
      <c r="M386" s="489" t="str">
        <f t="shared" si="12"/>
        <v>DDDDDDDĐ</v>
      </c>
    </row>
    <row r="387" spans="1:13" s="489" customFormat="1" ht="18" customHeight="1">
      <c r="A387" s="1161">
        <v>312</v>
      </c>
      <c r="B387" s="1162" t="s">
        <v>3851</v>
      </c>
      <c r="C387" s="1163" t="s">
        <v>5268</v>
      </c>
      <c r="D387" s="1158"/>
      <c r="E387" s="1158">
        <v>247275</v>
      </c>
      <c r="F387" s="1158"/>
      <c r="G387" s="1161">
        <v>312</v>
      </c>
      <c r="H387" s="1162" t="s">
        <v>3851</v>
      </c>
      <c r="I387" s="1163" t="s">
        <v>5268</v>
      </c>
      <c r="J387" s="1158"/>
      <c r="K387" s="1158">
        <v>247275</v>
      </c>
      <c r="L387" s="1158"/>
      <c r="M387" s="489" t="str">
        <f t="shared" si="12"/>
        <v>DDDDDDDĐ</v>
      </c>
    </row>
    <row r="388" spans="1:13" s="489" customFormat="1" ht="18" customHeight="1">
      <c r="A388" s="1161">
        <v>313</v>
      </c>
      <c r="B388" s="1162" t="s">
        <v>3852</v>
      </c>
      <c r="C388" s="1163" t="s">
        <v>5268</v>
      </c>
      <c r="D388" s="1158"/>
      <c r="E388" s="1158">
        <v>224301</v>
      </c>
      <c r="F388" s="1158"/>
      <c r="G388" s="1161">
        <v>313</v>
      </c>
      <c r="H388" s="1162" t="s">
        <v>3852</v>
      </c>
      <c r="I388" s="1163" t="s">
        <v>5268</v>
      </c>
      <c r="J388" s="1158"/>
      <c r="K388" s="1158">
        <v>224301</v>
      </c>
      <c r="L388" s="1158"/>
      <c r="M388" s="489" t="str">
        <f t="shared" si="12"/>
        <v>DDDDDDDĐ</v>
      </c>
    </row>
    <row r="389" spans="1:13" s="489" customFormat="1" ht="18" customHeight="1">
      <c r="A389" s="1161"/>
      <c r="B389" s="1156" t="s">
        <v>5269</v>
      </c>
      <c r="C389" s="1157"/>
      <c r="D389" s="1158"/>
      <c r="E389" s="1158"/>
      <c r="F389" s="1158"/>
      <c r="G389" s="1161"/>
      <c r="H389" s="1156" t="s">
        <v>5269</v>
      </c>
      <c r="I389" s="1157"/>
      <c r="J389" s="1158"/>
      <c r="K389" s="1158"/>
      <c r="L389" s="1158"/>
      <c r="M389" s="489" t="str">
        <f t="shared" si="12"/>
        <v>DDDDDDDĐ</v>
      </c>
    </row>
    <row r="390" spans="1:13" s="489" customFormat="1" ht="18" customHeight="1">
      <c r="A390" s="1161">
        <v>314</v>
      </c>
      <c r="B390" s="1162" t="s">
        <v>2558</v>
      </c>
      <c r="C390" s="1163" t="s">
        <v>2338</v>
      </c>
      <c r="D390" s="1158"/>
      <c r="E390" s="1158">
        <v>7277</v>
      </c>
      <c r="F390" s="1158"/>
      <c r="G390" s="1161">
        <v>314</v>
      </c>
      <c r="H390" s="1162" t="s">
        <v>2558</v>
      </c>
      <c r="I390" s="1163" t="s">
        <v>2338</v>
      </c>
      <c r="J390" s="1158"/>
      <c r="K390" s="1158">
        <v>7277</v>
      </c>
      <c r="L390" s="1158"/>
      <c r="M390" s="489" t="str">
        <f t="shared" si="12"/>
        <v>DDDDDDDĐ</v>
      </c>
    </row>
    <row r="391" spans="1:13" s="489" customFormat="1" ht="18" customHeight="1">
      <c r="A391" s="1161">
        <v>315</v>
      </c>
      <c r="B391" s="1162" t="s">
        <v>2559</v>
      </c>
      <c r="C391" s="1163" t="s">
        <v>2338</v>
      </c>
      <c r="D391" s="1158"/>
      <c r="E391" s="1158">
        <v>809</v>
      </c>
      <c r="F391" s="1158"/>
      <c r="G391" s="1161">
        <v>315</v>
      </c>
      <c r="H391" s="1162" t="s">
        <v>2559</v>
      </c>
      <c r="I391" s="1163" t="s">
        <v>2338</v>
      </c>
      <c r="J391" s="1158"/>
      <c r="K391" s="1158">
        <v>809</v>
      </c>
      <c r="L391" s="1158"/>
      <c r="M391" s="489" t="str">
        <f t="shared" si="12"/>
        <v>DDDDDDDĐ</v>
      </c>
    </row>
    <row r="392" spans="1:13" s="489" customFormat="1" ht="18" customHeight="1">
      <c r="A392" s="1161">
        <v>316</v>
      </c>
      <c r="B392" s="1162" t="s">
        <v>2560</v>
      </c>
      <c r="C392" s="1163" t="s">
        <v>2338</v>
      </c>
      <c r="D392" s="1158"/>
      <c r="E392" s="1158">
        <v>4809</v>
      </c>
      <c r="F392" s="1158"/>
      <c r="G392" s="1161">
        <v>316</v>
      </c>
      <c r="H392" s="1162" t="s">
        <v>2560</v>
      </c>
      <c r="I392" s="1163" t="s">
        <v>2338</v>
      </c>
      <c r="J392" s="1158"/>
      <c r="K392" s="1158">
        <v>4809</v>
      </c>
      <c r="L392" s="1158"/>
      <c r="M392" s="489" t="str">
        <f t="shared" si="12"/>
        <v>DDDDDDDĐ</v>
      </c>
    </row>
    <row r="393" spans="1:13" s="489" customFormat="1" ht="18" customHeight="1">
      <c r="A393" s="1161">
        <v>317</v>
      </c>
      <c r="B393" s="1162" t="s">
        <v>2561</v>
      </c>
      <c r="C393" s="1163" t="s">
        <v>2338</v>
      </c>
      <c r="D393" s="1158"/>
      <c r="E393" s="1158">
        <v>2828</v>
      </c>
      <c r="F393" s="1158"/>
      <c r="G393" s="1161">
        <v>317</v>
      </c>
      <c r="H393" s="1162" t="s">
        <v>2561</v>
      </c>
      <c r="I393" s="1163" t="s">
        <v>2338</v>
      </c>
      <c r="J393" s="1158"/>
      <c r="K393" s="1158">
        <v>2828</v>
      </c>
      <c r="L393" s="1158"/>
      <c r="M393" s="489" t="str">
        <f t="shared" si="12"/>
        <v>DDDDDDDĐ</v>
      </c>
    </row>
    <row r="394" spans="1:13" s="489" customFormat="1" ht="18" customHeight="1">
      <c r="A394" s="515"/>
      <c r="B394" s="514" t="s">
        <v>2562</v>
      </c>
      <c r="C394" s="515"/>
      <c r="D394" s="515"/>
      <c r="E394" s="530"/>
      <c r="F394" s="530"/>
      <c r="G394" s="515"/>
      <c r="H394" s="514" t="s">
        <v>2562</v>
      </c>
      <c r="I394" s="515"/>
      <c r="J394" s="515"/>
      <c r="K394" s="530"/>
      <c r="L394" s="530"/>
      <c r="M394" s="489" t="str">
        <f t="shared" si="12"/>
        <v>DDDDDDDĐ</v>
      </c>
    </row>
    <row r="395" spans="1:13" s="489" customFormat="1" ht="18" customHeight="1">
      <c r="A395" s="1168"/>
      <c r="B395" s="1164" t="s">
        <v>5270</v>
      </c>
      <c r="C395" s="1168"/>
      <c r="D395" s="1168"/>
      <c r="E395" s="1183"/>
      <c r="F395" s="530"/>
      <c r="G395" s="1168"/>
      <c r="H395" s="1164" t="s">
        <v>5270</v>
      </c>
      <c r="I395" s="1168"/>
      <c r="J395" s="1168"/>
      <c r="K395" s="1183"/>
      <c r="L395" s="530"/>
      <c r="M395" s="489" t="str">
        <f t="shared" si="12"/>
        <v>DDDDDDDĐ</v>
      </c>
    </row>
    <row r="396" spans="1:13" s="489" customFormat="1" ht="18" customHeight="1">
      <c r="A396" s="1168">
        <v>318</v>
      </c>
      <c r="B396" s="1170" t="s">
        <v>3853</v>
      </c>
      <c r="C396" s="1171" t="s">
        <v>2344</v>
      </c>
      <c r="D396" s="1168"/>
      <c r="E396" s="1183">
        <v>100496</v>
      </c>
      <c r="F396" s="530"/>
      <c r="G396" s="1168">
        <v>318</v>
      </c>
      <c r="H396" s="1170" t="s">
        <v>3853</v>
      </c>
      <c r="I396" s="1171" t="s">
        <v>2344</v>
      </c>
      <c r="J396" s="1168"/>
      <c r="K396" s="1183">
        <v>100496</v>
      </c>
      <c r="L396" s="530"/>
      <c r="M396" s="489" t="str">
        <f t="shared" si="12"/>
        <v>DDDDDDDĐ</v>
      </c>
    </row>
    <row r="397" spans="1:13" s="489" customFormat="1" ht="18" customHeight="1">
      <c r="A397" s="1168">
        <v>319</v>
      </c>
      <c r="B397" s="1170" t="s">
        <v>3854</v>
      </c>
      <c r="C397" s="1171" t="s">
        <v>2344</v>
      </c>
      <c r="D397" s="1168"/>
      <c r="E397" s="1183">
        <v>107414</v>
      </c>
      <c r="F397" s="530"/>
      <c r="G397" s="1168">
        <v>319</v>
      </c>
      <c r="H397" s="1170" t="s">
        <v>3854</v>
      </c>
      <c r="I397" s="1171" t="s">
        <v>2344</v>
      </c>
      <c r="J397" s="1168"/>
      <c r="K397" s="1183">
        <v>107414</v>
      </c>
      <c r="L397" s="530"/>
      <c r="M397" s="489" t="str">
        <f t="shared" si="12"/>
        <v>DDDDDDDĐ</v>
      </c>
    </row>
    <row r="398" spans="1:13" s="489" customFormat="1" ht="18" customHeight="1">
      <c r="A398" s="1168">
        <v>320</v>
      </c>
      <c r="B398" s="1170" t="s">
        <v>3855</v>
      </c>
      <c r="C398" s="1171" t="s">
        <v>2344</v>
      </c>
      <c r="D398" s="1168"/>
      <c r="E398" s="1183">
        <v>114727</v>
      </c>
      <c r="F398" s="530"/>
      <c r="G398" s="1168">
        <v>320</v>
      </c>
      <c r="H398" s="1170" t="s">
        <v>3855</v>
      </c>
      <c r="I398" s="1171" t="s">
        <v>2344</v>
      </c>
      <c r="J398" s="1168"/>
      <c r="K398" s="1183">
        <v>114727</v>
      </c>
      <c r="L398" s="530"/>
      <c r="M398" s="489" t="str">
        <f t="shared" si="12"/>
        <v>DDDDDDDĐ</v>
      </c>
    </row>
    <row r="399" spans="1:13" s="489" customFormat="1" ht="18" customHeight="1">
      <c r="A399" s="1168"/>
      <c r="B399" s="1164" t="s">
        <v>5271</v>
      </c>
      <c r="C399" s="1168"/>
      <c r="D399" s="1168"/>
      <c r="E399" s="1183"/>
      <c r="F399" s="530"/>
      <c r="G399" s="1168"/>
      <c r="H399" s="1164" t="s">
        <v>5271</v>
      </c>
      <c r="I399" s="1168"/>
      <c r="J399" s="1168"/>
      <c r="K399" s="1183"/>
      <c r="L399" s="530"/>
      <c r="M399" s="489" t="str">
        <f t="shared" si="12"/>
        <v>DDDDDDDĐ</v>
      </c>
    </row>
    <row r="400" spans="1:13" s="489" customFormat="1" ht="18" customHeight="1">
      <c r="A400" s="1168">
        <v>321</v>
      </c>
      <c r="B400" s="1170" t="s">
        <v>3856</v>
      </c>
      <c r="C400" s="1171" t="s">
        <v>2344</v>
      </c>
      <c r="D400" s="1168"/>
      <c r="E400" s="1183">
        <v>103794</v>
      </c>
      <c r="F400" s="530"/>
      <c r="G400" s="1168">
        <v>321</v>
      </c>
      <c r="H400" s="1170" t="s">
        <v>3856</v>
      </c>
      <c r="I400" s="1171" t="s">
        <v>2344</v>
      </c>
      <c r="J400" s="1168"/>
      <c r="K400" s="1183">
        <v>103794</v>
      </c>
      <c r="L400" s="530"/>
      <c r="M400" s="489" t="str">
        <f t="shared" si="12"/>
        <v>DDDDDDDĐ</v>
      </c>
    </row>
    <row r="401" spans="1:13" s="489" customFormat="1" ht="18" customHeight="1">
      <c r="A401" s="1168">
        <v>322</v>
      </c>
      <c r="B401" s="1170" t="s">
        <v>3853</v>
      </c>
      <c r="C401" s="1171" t="s">
        <v>2344</v>
      </c>
      <c r="D401" s="1168"/>
      <c r="E401" s="1183">
        <v>107446</v>
      </c>
      <c r="F401" s="530"/>
      <c r="G401" s="1168">
        <v>322</v>
      </c>
      <c r="H401" s="1170" t="s">
        <v>3853</v>
      </c>
      <c r="I401" s="1171" t="s">
        <v>2344</v>
      </c>
      <c r="J401" s="1168"/>
      <c r="K401" s="1183">
        <v>107446</v>
      </c>
      <c r="L401" s="530"/>
      <c r="M401" s="489" t="str">
        <f t="shared" si="12"/>
        <v>DDDDDDDĐ</v>
      </c>
    </row>
    <row r="402" spans="1:13" s="489" customFormat="1" ht="18" customHeight="1">
      <c r="A402" s="1168">
        <v>323</v>
      </c>
      <c r="B402" s="1170" t="s">
        <v>2564</v>
      </c>
      <c r="C402" s="1171" t="s">
        <v>2344</v>
      </c>
      <c r="D402" s="1168"/>
      <c r="E402" s="1183">
        <v>109815</v>
      </c>
      <c r="F402" s="530"/>
      <c r="G402" s="1168">
        <v>323</v>
      </c>
      <c r="H402" s="1170" t="s">
        <v>2564</v>
      </c>
      <c r="I402" s="1171" t="s">
        <v>2344</v>
      </c>
      <c r="J402" s="1168"/>
      <c r="K402" s="1183">
        <v>109815</v>
      </c>
      <c r="L402" s="530"/>
      <c r="M402" s="489" t="str">
        <f t="shared" si="12"/>
        <v>DDDDDDDĐ</v>
      </c>
    </row>
    <row r="403" spans="1:13" s="489" customFormat="1" ht="18" customHeight="1">
      <c r="A403" s="1168">
        <v>324</v>
      </c>
      <c r="B403" s="1170" t="s">
        <v>3857</v>
      </c>
      <c r="C403" s="1171" t="s">
        <v>2344</v>
      </c>
      <c r="D403" s="1168"/>
      <c r="E403" s="1183">
        <v>126286</v>
      </c>
      <c r="F403" s="530"/>
      <c r="G403" s="1168">
        <v>324</v>
      </c>
      <c r="H403" s="1170" t="s">
        <v>3857</v>
      </c>
      <c r="I403" s="1171" t="s">
        <v>2344</v>
      </c>
      <c r="J403" s="1168"/>
      <c r="K403" s="1183">
        <v>126286</v>
      </c>
      <c r="L403" s="530"/>
      <c r="M403" s="489" t="str">
        <f t="shared" si="12"/>
        <v>DDDDDDDĐ</v>
      </c>
    </row>
    <row r="404" spans="1:13" s="489" customFormat="1" ht="18" customHeight="1">
      <c r="A404" s="1168"/>
      <c r="B404" s="1164" t="s">
        <v>5272</v>
      </c>
      <c r="C404" s="1168"/>
      <c r="D404" s="1168"/>
      <c r="E404" s="1183"/>
      <c r="F404" s="530"/>
      <c r="G404" s="1168"/>
      <c r="H404" s="1164" t="s">
        <v>5272</v>
      </c>
      <c r="I404" s="1168"/>
      <c r="J404" s="1168"/>
      <c r="K404" s="1183"/>
      <c r="L404" s="530"/>
      <c r="M404" s="489" t="str">
        <f t="shared" si="12"/>
        <v>DDDDDDDĐ</v>
      </c>
    </row>
    <row r="405" spans="1:13" s="489" customFormat="1" ht="18" customHeight="1">
      <c r="A405" s="1168">
        <v>325</v>
      </c>
      <c r="B405" s="1170" t="s">
        <v>2563</v>
      </c>
      <c r="C405" s="1171" t="s">
        <v>2344</v>
      </c>
      <c r="D405" s="1168"/>
      <c r="E405" s="1183">
        <v>110134</v>
      </c>
      <c r="F405" s="530"/>
      <c r="G405" s="1168">
        <v>325</v>
      </c>
      <c r="H405" s="1170" t="s">
        <v>2563</v>
      </c>
      <c r="I405" s="1171" t="s">
        <v>2344</v>
      </c>
      <c r="J405" s="1168"/>
      <c r="K405" s="1183">
        <v>110134</v>
      </c>
      <c r="L405" s="530"/>
      <c r="M405" s="489" t="str">
        <f t="shared" si="12"/>
        <v>DDDDDDDĐ</v>
      </c>
    </row>
    <row r="406" spans="1:13" s="489" customFormat="1" ht="18" customHeight="1">
      <c r="A406" s="1168">
        <v>326</v>
      </c>
      <c r="B406" s="1170" t="s">
        <v>2564</v>
      </c>
      <c r="C406" s="1171" t="s">
        <v>2344</v>
      </c>
      <c r="D406" s="1168"/>
      <c r="E406" s="1183">
        <v>115331</v>
      </c>
      <c r="F406" s="530"/>
      <c r="G406" s="1168">
        <v>326</v>
      </c>
      <c r="H406" s="1170" t="s">
        <v>2564</v>
      </c>
      <c r="I406" s="1171" t="s">
        <v>2344</v>
      </c>
      <c r="J406" s="1168"/>
      <c r="K406" s="1183">
        <v>115331</v>
      </c>
      <c r="L406" s="530"/>
      <c r="M406" s="489" t="str">
        <f t="shared" si="12"/>
        <v>DDDDDDDĐ</v>
      </c>
    </row>
    <row r="407" spans="1:13" s="489" customFormat="1" ht="18" customHeight="1">
      <c r="A407" s="1168">
        <v>327</v>
      </c>
      <c r="B407" s="1170" t="s">
        <v>2565</v>
      </c>
      <c r="C407" s="1171" t="s">
        <v>2344</v>
      </c>
      <c r="D407" s="1168"/>
      <c r="E407" s="1183">
        <v>120737</v>
      </c>
      <c r="F407" s="530"/>
      <c r="G407" s="1168">
        <v>327</v>
      </c>
      <c r="H407" s="1170" t="s">
        <v>2565</v>
      </c>
      <c r="I407" s="1171" t="s">
        <v>2344</v>
      </c>
      <c r="J407" s="1168"/>
      <c r="K407" s="1183">
        <v>120737</v>
      </c>
      <c r="L407" s="530"/>
      <c r="M407" s="489" t="str">
        <f t="shared" si="12"/>
        <v>DDDDDDDĐ</v>
      </c>
    </row>
    <row r="408" spans="1:13" s="489" customFormat="1" ht="18" customHeight="1">
      <c r="A408" s="1168">
        <v>328</v>
      </c>
      <c r="B408" s="1170" t="s">
        <v>2566</v>
      </c>
      <c r="C408" s="1171" t="s">
        <v>2344</v>
      </c>
      <c r="D408" s="1168"/>
      <c r="E408" s="1183">
        <v>128871</v>
      </c>
      <c r="F408" s="530"/>
      <c r="G408" s="1168">
        <v>328</v>
      </c>
      <c r="H408" s="1170" t="s">
        <v>2566</v>
      </c>
      <c r="I408" s="1171" t="s">
        <v>2344</v>
      </c>
      <c r="J408" s="1168"/>
      <c r="K408" s="1183">
        <v>128871</v>
      </c>
      <c r="L408" s="530"/>
      <c r="M408" s="489" t="str">
        <f t="shared" si="12"/>
        <v>DDDDDDDĐ</v>
      </c>
    </row>
    <row r="409" spans="1:13" s="489" customFormat="1" ht="18" customHeight="1">
      <c r="A409" s="1168">
        <v>329</v>
      </c>
      <c r="B409" s="1170" t="s">
        <v>2567</v>
      </c>
      <c r="C409" s="1171" t="s">
        <v>2344</v>
      </c>
      <c r="D409" s="1168"/>
      <c r="E409" s="1183">
        <v>136918</v>
      </c>
      <c r="F409" s="530"/>
      <c r="G409" s="1168">
        <v>329</v>
      </c>
      <c r="H409" s="1170" t="s">
        <v>2567</v>
      </c>
      <c r="I409" s="1171" t="s">
        <v>2344</v>
      </c>
      <c r="J409" s="1168"/>
      <c r="K409" s="1183">
        <v>136918</v>
      </c>
      <c r="L409" s="530"/>
      <c r="M409" s="489" t="str">
        <f t="shared" si="12"/>
        <v>DDDDDDDĐ</v>
      </c>
    </row>
    <row r="410" spans="1:13" s="489" customFormat="1" ht="18" customHeight="1">
      <c r="A410" s="501"/>
      <c r="B410" s="502" t="s">
        <v>2568</v>
      </c>
      <c r="C410" s="510"/>
      <c r="D410" s="510"/>
      <c r="E410" s="508"/>
      <c r="F410" s="508"/>
      <c r="G410" s="501"/>
      <c r="H410" s="502" t="s">
        <v>2568</v>
      </c>
      <c r="I410" s="510"/>
      <c r="J410" s="510"/>
      <c r="K410" s="508"/>
      <c r="L410" s="508"/>
      <c r="M410" s="489" t="str">
        <f t="shared" si="12"/>
        <v>DDDDDDDĐ</v>
      </c>
    </row>
    <row r="411" spans="1:13" s="489" customFormat="1" ht="18" customHeight="1">
      <c r="A411" s="501"/>
      <c r="B411" s="532" t="s">
        <v>2569</v>
      </c>
      <c r="C411" s="510"/>
      <c r="D411" s="510"/>
      <c r="E411" s="508"/>
      <c r="F411" s="508"/>
      <c r="G411" s="501"/>
      <c r="H411" s="532" t="s">
        <v>2569</v>
      </c>
      <c r="I411" s="510"/>
      <c r="J411" s="510"/>
      <c r="K411" s="508"/>
      <c r="L411" s="508"/>
      <c r="M411" s="489" t="str">
        <f t="shared" si="12"/>
        <v>DDDDDDDĐ</v>
      </c>
    </row>
    <row r="412" spans="1:13" s="489" customFormat="1" ht="23.25" customHeight="1">
      <c r="A412" s="501">
        <v>330</v>
      </c>
      <c r="B412" s="506" t="s">
        <v>2570</v>
      </c>
      <c r="C412" s="507" t="s">
        <v>2344</v>
      </c>
      <c r="D412" s="508">
        <f>78400/1.1</f>
        <v>71272.727272727265</v>
      </c>
      <c r="E412" s="508"/>
      <c r="F412" s="508"/>
      <c r="G412" s="501">
        <v>330</v>
      </c>
      <c r="H412" s="506" t="s">
        <v>2570</v>
      </c>
      <c r="I412" s="507" t="s">
        <v>2344</v>
      </c>
      <c r="J412" s="508">
        <f>78400/1.1</f>
        <v>71272.727272727265</v>
      </c>
      <c r="K412" s="508"/>
      <c r="L412" s="508"/>
      <c r="M412" s="489" t="str">
        <f t="shared" si="12"/>
        <v>DDDDDDDĐ</v>
      </c>
    </row>
    <row r="413" spans="1:13" s="489" customFormat="1" ht="18.600000000000001" customHeight="1">
      <c r="A413" s="501">
        <v>331</v>
      </c>
      <c r="B413" s="506" t="s">
        <v>2571</v>
      </c>
      <c r="C413" s="507" t="s">
        <v>2344</v>
      </c>
      <c r="D413" s="508">
        <f>103000/1.1</f>
        <v>93636.363636363632</v>
      </c>
      <c r="E413" s="508"/>
      <c r="F413" s="508"/>
      <c r="G413" s="501">
        <v>331</v>
      </c>
      <c r="H413" s="506" t="s">
        <v>2571</v>
      </c>
      <c r="I413" s="507" t="s">
        <v>2344</v>
      </c>
      <c r="J413" s="508">
        <f>103000/1.1</f>
        <v>93636.363636363632</v>
      </c>
      <c r="K413" s="508"/>
      <c r="L413" s="508"/>
      <c r="M413" s="489" t="str">
        <f t="shared" si="12"/>
        <v>DDDDDDDĐ</v>
      </c>
    </row>
    <row r="414" spans="1:13" s="489" customFormat="1" ht="18.600000000000001" customHeight="1">
      <c r="A414" s="501">
        <v>332</v>
      </c>
      <c r="B414" s="506" t="s">
        <v>2572</v>
      </c>
      <c r="C414" s="507" t="s">
        <v>2344</v>
      </c>
      <c r="D414" s="508">
        <f>108500/1.1</f>
        <v>98636.363636363632</v>
      </c>
      <c r="E414" s="508"/>
      <c r="F414" s="508"/>
      <c r="G414" s="501">
        <v>332</v>
      </c>
      <c r="H414" s="506" t="s">
        <v>2572</v>
      </c>
      <c r="I414" s="507" t="s">
        <v>2344</v>
      </c>
      <c r="J414" s="508">
        <f>108500/1.1</f>
        <v>98636.363636363632</v>
      </c>
      <c r="K414" s="508"/>
      <c r="L414" s="508"/>
      <c r="M414" s="489" t="str">
        <f t="shared" si="12"/>
        <v>DDDDDDDĐ</v>
      </c>
    </row>
    <row r="415" spans="1:13" s="489" customFormat="1" ht="18.600000000000001" customHeight="1">
      <c r="A415" s="501">
        <v>333</v>
      </c>
      <c r="B415" s="506" t="s">
        <v>2573</v>
      </c>
      <c r="C415" s="507" t="s">
        <v>2344</v>
      </c>
      <c r="D415" s="508">
        <f>113000/1.1</f>
        <v>102727.27272727272</v>
      </c>
      <c r="E415" s="508"/>
      <c r="F415" s="521"/>
      <c r="G415" s="501">
        <v>333</v>
      </c>
      <c r="H415" s="506" t="s">
        <v>2573</v>
      </c>
      <c r="I415" s="507" t="s">
        <v>2344</v>
      </c>
      <c r="J415" s="508">
        <f>113000/1.1</f>
        <v>102727.27272727272</v>
      </c>
      <c r="K415" s="508"/>
      <c r="L415" s="521"/>
      <c r="M415" s="489" t="str">
        <f t="shared" si="12"/>
        <v>DDDDDDDĐ</v>
      </c>
    </row>
    <row r="416" spans="1:13" s="489" customFormat="1" ht="18.600000000000001" customHeight="1">
      <c r="A416" s="501"/>
      <c r="B416" s="532" t="s">
        <v>2574</v>
      </c>
      <c r="C416" s="507"/>
      <c r="D416" s="510"/>
      <c r="E416" s="508"/>
      <c r="F416" s="508"/>
      <c r="G416" s="501"/>
      <c r="H416" s="532" t="s">
        <v>2574</v>
      </c>
      <c r="I416" s="507"/>
      <c r="J416" s="510"/>
      <c r="K416" s="508"/>
      <c r="L416" s="508"/>
      <c r="M416" s="489" t="str">
        <f t="shared" si="12"/>
        <v>DDDDDDDĐ</v>
      </c>
    </row>
    <row r="417" spans="1:13" s="489" customFormat="1" ht="18.600000000000001" customHeight="1">
      <c r="A417" s="501">
        <v>334</v>
      </c>
      <c r="B417" s="506" t="s">
        <v>2575</v>
      </c>
      <c r="C417" s="507" t="s">
        <v>2344</v>
      </c>
      <c r="D417" s="508">
        <f>70000/1.1</f>
        <v>63636.363636363632</v>
      </c>
      <c r="E417" s="508"/>
      <c r="F417" s="508"/>
      <c r="G417" s="501">
        <v>334</v>
      </c>
      <c r="H417" s="506" t="s">
        <v>2575</v>
      </c>
      <c r="I417" s="507" t="s">
        <v>2344</v>
      </c>
      <c r="J417" s="508">
        <f>70000/1.1</f>
        <v>63636.363636363632</v>
      </c>
      <c r="K417" s="508"/>
      <c r="L417" s="508"/>
      <c r="M417" s="489" t="str">
        <f t="shared" si="12"/>
        <v>DDDDDDDĐ</v>
      </c>
    </row>
    <row r="418" spans="1:13" s="489" customFormat="1" ht="18.600000000000001" customHeight="1">
      <c r="A418" s="501">
        <v>335</v>
      </c>
      <c r="B418" s="506" t="s">
        <v>2576</v>
      </c>
      <c r="C418" s="507" t="s">
        <v>2344</v>
      </c>
      <c r="D418" s="508">
        <f>85700/1.1</f>
        <v>77909.090909090897</v>
      </c>
      <c r="E418" s="508"/>
      <c r="F418" s="508"/>
      <c r="G418" s="501">
        <v>335</v>
      </c>
      <c r="H418" s="506" t="s">
        <v>2576</v>
      </c>
      <c r="I418" s="507" t="s">
        <v>2344</v>
      </c>
      <c r="J418" s="508">
        <f>85700/1.1</f>
        <v>77909.090909090897</v>
      </c>
      <c r="K418" s="508"/>
      <c r="L418" s="508"/>
      <c r="M418" s="489" t="str">
        <f t="shared" ref="M418:M481" si="13">IF(B418=H418,"DDDDDDDĐ","SSSSSSSSSSSS")</f>
        <v>DDDDDDDĐ</v>
      </c>
    </row>
    <row r="419" spans="1:13" s="489" customFormat="1" ht="18.600000000000001" customHeight="1">
      <c r="A419" s="501">
        <v>336</v>
      </c>
      <c r="B419" s="506" t="s">
        <v>2577</v>
      </c>
      <c r="C419" s="507" t="s">
        <v>2344</v>
      </c>
      <c r="D419" s="508">
        <f>93000/1.1</f>
        <v>84545.454545454544</v>
      </c>
      <c r="E419" s="508"/>
      <c r="F419" s="508"/>
      <c r="G419" s="501">
        <v>336</v>
      </c>
      <c r="H419" s="506" t="s">
        <v>2577</v>
      </c>
      <c r="I419" s="507" t="s">
        <v>2344</v>
      </c>
      <c r="J419" s="508">
        <f>93000/1.1</f>
        <v>84545.454545454544</v>
      </c>
      <c r="K419" s="508"/>
      <c r="L419" s="508"/>
      <c r="M419" s="489" t="str">
        <f t="shared" si="13"/>
        <v>DDDDDDDĐ</v>
      </c>
    </row>
    <row r="420" spans="1:13" s="489" customFormat="1" ht="18.600000000000001" customHeight="1">
      <c r="A420" s="501">
        <v>337</v>
      </c>
      <c r="B420" s="506" t="s">
        <v>2571</v>
      </c>
      <c r="C420" s="507" t="s">
        <v>2344</v>
      </c>
      <c r="D420" s="508">
        <f>95500/1.1</f>
        <v>86818.181818181809</v>
      </c>
      <c r="E420" s="508"/>
      <c r="F420" s="508"/>
      <c r="G420" s="501">
        <v>337</v>
      </c>
      <c r="H420" s="506" t="s">
        <v>2571</v>
      </c>
      <c r="I420" s="507" t="s">
        <v>2344</v>
      </c>
      <c r="J420" s="508">
        <f>95500/1.1</f>
        <v>86818.181818181809</v>
      </c>
      <c r="K420" s="508"/>
      <c r="L420" s="508"/>
      <c r="M420" s="489" t="str">
        <f t="shared" si="13"/>
        <v>DDDDDDDĐ</v>
      </c>
    </row>
    <row r="421" spans="1:13" s="489" customFormat="1" ht="18.600000000000001" customHeight="1">
      <c r="A421" s="501">
        <v>338</v>
      </c>
      <c r="B421" s="506" t="s">
        <v>2572</v>
      </c>
      <c r="C421" s="507" t="s">
        <v>2344</v>
      </c>
      <c r="D421" s="508">
        <f>102700/1.1</f>
        <v>93363.636363636353</v>
      </c>
      <c r="E421" s="508"/>
      <c r="F421" s="521"/>
      <c r="G421" s="501">
        <v>338</v>
      </c>
      <c r="H421" s="506" t="s">
        <v>2572</v>
      </c>
      <c r="I421" s="507" t="s">
        <v>2344</v>
      </c>
      <c r="J421" s="508">
        <f>102700/1.1</f>
        <v>93363.636363636353</v>
      </c>
      <c r="K421" s="508"/>
      <c r="L421" s="521"/>
      <c r="M421" s="489" t="str">
        <f t="shared" si="13"/>
        <v>DDDDDDDĐ</v>
      </c>
    </row>
    <row r="422" spans="1:13" s="489" customFormat="1" ht="18.600000000000001" customHeight="1">
      <c r="A422" s="501"/>
      <c r="B422" s="532" t="s">
        <v>2578</v>
      </c>
      <c r="C422" s="507"/>
      <c r="D422" s="510"/>
      <c r="E422" s="508"/>
      <c r="F422" s="508"/>
      <c r="G422" s="501"/>
      <c r="H422" s="532" t="s">
        <v>2578</v>
      </c>
      <c r="I422" s="507"/>
      <c r="J422" s="510"/>
      <c r="K422" s="508"/>
      <c r="L422" s="508"/>
      <c r="M422" s="489" t="str">
        <f t="shared" si="13"/>
        <v>DDDDDDDĐ</v>
      </c>
    </row>
    <row r="423" spans="1:13" s="489" customFormat="1" ht="18.600000000000001" customHeight="1">
      <c r="A423" s="501">
        <v>339</v>
      </c>
      <c r="B423" s="506" t="s">
        <v>2575</v>
      </c>
      <c r="C423" s="507" t="s">
        <v>2344</v>
      </c>
      <c r="D423" s="508">
        <f>68300/1.1</f>
        <v>62090.909090909088</v>
      </c>
      <c r="E423" s="508"/>
      <c r="F423" s="508"/>
      <c r="G423" s="501">
        <v>339</v>
      </c>
      <c r="H423" s="506" t="s">
        <v>2575</v>
      </c>
      <c r="I423" s="507" t="s">
        <v>2344</v>
      </c>
      <c r="J423" s="508">
        <f>68300/1.1</f>
        <v>62090.909090909088</v>
      </c>
      <c r="K423" s="508"/>
      <c r="L423" s="508"/>
      <c r="M423" s="489" t="str">
        <f t="shared" si="13"/>
        <v>DDDDDDDĐ</v>
      </c>
    </row>
    <row r="424" spans="1:13" s="489" customFormat="1" ht="18.600000000000001" customHeight="1">
      <c r="A424" s="501">
        <v>340</v>
      </c>
      <c r="B424" s="506" t="s">
        <v>2570</v>
      </c>
      <c r="C424" s="507" t="s">
        <v>2344</v>
      </c>
      <c r="D424" s="508">
        <f>75000/1.1</f>
        <v>68181.818181818177</v>
      </c>
      <c r="E424" s="508"/>
      <c r="F424" s="508"/>
      <c r="G424" s="501">
        <v>340</v>
      </c>
      <c r="H424" s="506" t="s">
        <v>2570</v>
      </c>
      <c r="I424" s="507" t="s">
        <v>2344</v>
      </c>
      <c r="J424" s="508">
        <f>75000/1.1</f>
        <v>68181.818181818177</v>
      </c>
      <c r="K424" s="508"/>
      <c r="L424" s="508"/>
      <c r="M424" s="489" t="str">
        <f t="shared" si="13"/>
        <v>DDDDDDDĐ</v>
      </c>
    </row>
    <row r="425" spans="1:13" s="489" customFormat="1" ht="18.600000000000001" customHeight="1">
      <c r="A425" s="501">
        <v>341</v>
      </c>
      <c r="B425" s="506" t="s">
        <v>2579</v>
      </c>
      <c r="C425" s="507" t="s">
        <v>2344</v>
      </c>
      <c r="D425" s="508">
        <f>79500/1.1</f>
        <v>72272.727272727265</v>
      </c>
      <c r="E425" s="508"/>
      <c r="F425" s="508"/>
      <c r="G425" s="501">
        <v>341</v>
      </c>
      <c r="H425" s="506" t="s">
        <v>2579</v>
      </c>
      <c r="I425" s="507" t="s">
        <v>2344</v>
      </c>
      <c r="J425" s="508">
        <f>79500/1.1</f>
        <v>72272.727272727265</v>
      </c>
      <c r="K425" s="508"/>
      <c r="L425" s="508"/>
      <c r="M425" s="489" t="str">
        <f t="shared" si="13"/>
        <v>DDDDDDDĐ</v>
      </c>
    </row>
    <row r="426" spans="1:13" s="489" customFormat="1" ht="18.600000000000001" customHeight="1">
      <c r="A426" s="501">
        <v>342</v>
      </c>
      <c r="B426" s="506" t="s">
        <v>2580</v>
      </c>
      <c r="C426" s="507" t="s">
        <v>2344</v>
      </c>
      <c r="D426" s="508">
        <f>87000/1.1</f>
        <v>79090.909090909088</v>
      </c>
      <c r="E426" s="508"/>
      <c r="F426" s="508"/>
      <c r="G426" s="501">
        <v>342</v>
      </c>
      <c r="H426" s="506" t="s">
        <v>2580</v>
      </c>
      <c r="I426" s="507" t="s">
        <v>2344</v>
      </c>
      <c r="J426" s="508">
        <f>87000/1.1</f>
        <v>79090.909090909088</v>
      </c>
      <c r="K426" s="508"/>
      <c r="L426" s="508"/>
      <c r="M426" s="489" t="str">
        <f t="shared" si="13"/>
        <v>DDDDDDDĐ</v>
      </c>
    </row>
    <row r="427" spans="1:13" s="489" customFormat="1" ht="18.600000000000001" customHeight="1">
      <c r="A427" s="501">
        <v>343</v>
      </c>
      <c r="B427" s="506" t="s">
        <v>2571</v>
      </c>
      <c r="C427" s="507" t="s">
        <v>2344</v>
      </c>
      <c r="D427" s="508">
        <f>94000/1.1</f>
        <v>85454.545454545441</v>
      </c>
      <c r="E427" s="508"/>
      <c r="F427" s="521"/>
      <c r="G427" s="501">
        <v>343</v>
      </c>
      <c r="H427" s="506" t="s">
        <v>2571</v>
      </c>
      <c r="I427" s="507" t="s">
        <v>2344</v>
      </c>
      <c r="J427" s="508">
        <f>94000/1.1</f>
        <v>85454.545454545441</v>
      </c>
      <c r="K427" s="508"/>
      <c r="L427" s="521"/>
      <c r="M427" s="489" t="str">
        <f t="shared" si="13"/>
        <v>DDDDDDDĐ</v>
      </c>
    </row>
    <row r="428" spans="1:13" s="489" customFormat="1" ht="18.600000000000001" customHeight="1">
      <c r="A428" s="501">
        <v>344</v>
      </c>
      <c r="B428" s="506" t="s">
        <v>2572</v>
      </c>
      <c r="C428" s="507" t="s">
        <v>2344</v>
      </c>
      <c r="D428" s="508">
        <f>101000/1.1</f>
        <v>91818.181818181809</v>
      </c>
      <c r="E428" s="508"/>
      <c r="F428" s="521"/>
      <c r="G428" s="501">
        <v>344</v>
      </c>
      <c r="H428" s="506" t="s">
        <v>2572</v>
      </c>
      <c r="I428" s="507" t="s">
        <v>2344</v>
      </c>
      <c r="J428" s="508">
        <f>101000/1.1</f>
        <v>91818.181818181809</v>
      </c>
      <c r="K428" s="508"/>
      <c r="L428" s="521"/>
      <c r="M428" s="489" t="str">
        <f t="shared" si="13"/>
        <v>DDDDDDDĐ</v>
      </c>
    </row>
    <row r="429" spans="1:13" s="489" customFormat="1" ht="18.600000000000001" customHeight="1">
      <c r="A429" s="1135" t="s">
        <v>3720</v>
      </c>
      <c r="B429" s="2160" t="s">
        <v>5093</v>
      </c>
      <c r="C429" s="2160"/>
      <c r="D429" s="2160"/>
      <c r="E429" s="2160"/>
      <c r="F429" s="2160"/>
      <c r="G429" s="1135" t="s">
        <v>3720</v>
      </c>
      <c r="H429" s="2160" t="s">
        <v>5093</v>
      </c>
      <c r="I429" s="2160"/>
      <c r="J429" s="2160"/>
      <c r="K429" s="2160"/>
      <c r="L429" s="2160"/>
      <c r="M429" s="489" t="str">
        <f t="shared" si="13"/>
        <v>DDDDDDDĐ</v>
      </c>
    </row>
    <row r="430" spans="1:13" s="489" customFormat="1" ht="18.600000000000001" customHeight="1">
      <c r="A430" s="1168"/>
      <c r="B430" s="1164" t="s">
        <v>3858</v>
      </c>
      <c r="C430" s="1168"/>
      <c r="D430" s="1168"/>
      <c r="E430" s="1183"/>
      <c r="F430" s="1183"/>
      <c r="G430" s="1168"/>
      <c r="H430" s="1164" t="s">
        <v>3858</v>
      </c>
      <c r="I430" s="1168"/>
      <c r="J430" s="1168"/>
      <c r="K430" s="1183"/>
      <c r="L430" s="1183"/>
      <c r="M430" s="489" t="str">
        <f t="shared" si="13"/>
        <v>DDDDDDDĐ</v>
      </c>
    </row>
    <row r="431" spans="1:13" s="489" customFormat="1" ht="18.600000000000001" customHeight="1">
      <c r="A431" s="1168">
        <v>345</v>
      </c>
      <c r="B431" s="1170" t="s">
        <v>3859</v>
      </c>
      <c r="C431" s="1171" t="s">
        <v>5273</v>
      </c>
      <c r="D431" s="1168"/>
      <c r="E431" s="1183">
        <v>450068</v>
      </c>
      <c r="F431" s="1183"/>
      <c r="G431" s="1168">
        <v>345</v>
      </c>
      <c r="H431" s="1170" t="s">
        <v>3859</v>
      </c>
      <c r="I431" s="1171" t="s">
        <v>5273</v>
      </c>
      <c r="J431" s="1168"/>
      <c r="K431" s="1183">
        <v>450068</v>
      </c>
      <c r="L431" s="1183"/>
      <c r="M431" s="489" t="str">
        <f t="shared" si="13"/>
        <v>DDDDDDDĐ</v>
      </c>
    </row>
    <row r="432" spans="1:13" s="489" customFormat="1" ht="18.600000000000001" customHeight="1">
      <c r="A432" s="1168"/>
      <c r="B432" s="1170" t="s">
        <v>3860</v>
      </c>
      <c r="C432" s="1168"/>
      <c r="D432" s="1168"/>
      <c r="E432" s="1183"/>
      <c r="F432" s="1183"/>
      <c r="G432" s="1168"/>
      <c r="H432" s="1170" t="s">
        <v>3860</v>
      </c>
      <c r="I432" s="1168"/>
      <c r="J432" s="1168"/>
      <c r="K432" s="1183"/>
      <c r="L432" s="1183"/>
      <c r="M432" s="489" t="str">
        <f t="shared" si="13"/>
        <v>DDDDDDDĐ</v>
      </c>
    </row>
    <row r="433" spans="1:13" s="489" customFormat="1" ht="18.600000000000001" customHeight="1">
      <c r="A433" s="1168">
        <v>346</v>
      </c>
      <c r="B433" s="1170" t="s">
        <v>3861</v>
      </c>
      <c r="C433" s="1171" t="s">
        <v>5273</v>
      </c>
      <c r="D433" s="1168"/>
      <c r="E433" s="1183">
        <v>262500</v>
      </c>
      <c r="F433" s="1183"/>
      <c r="G433" s="1168">
        <v>346</v>
      </c>
      <c r="H433" s="1170" t="s">
        <v>3861</v>
      </c>
      <c r="I433" s="1171" t="s">
        <v>5273</v>
      </c>
      <c r="J433" s="1168"/>
      <c r="K433" s="1183">
        <v>262500</v>
      </c>
      <c r="L433" s="1183"/>
      <c r="M433" s="489" t="str">
        <f t="shared" si="13"/>
        <v>DDDDDDDĐ</v>
      </c>
    </row>
    <row r="434" spans="1:13" s="489" customFormat="1" ht="15.75" customHeight="1">
      <c r="A434" s="1168"/>
      <c r="B434" s="1170" t="s">
        <v>3862</v>
      </c>
      <c r="C434" s="1168"/>
      <c r="D434" s="1168"/>
      <c r="E434" s="1183"/>
      <c r="F434" s="1183"/>
      <c r="G434" s="1168"/>
      <c r="H434" s="1170" t="s">
        <v>3862</v>
      </c>
      <c r="I434" s="1168"/>
      <c r="J434" s="1168"/>
      <c r="K434" s="1183"/>
      <c r="L434" s="1183"/>
      <c r="M434" s="489" t="str">
        <f t="shared" si="13"/>
        <v>DDDDDDDĐ</v>
      </c>
    </row>
    <row r="435" spans="1:13" s="489" customFormat="1" ht="18.600000000000001" customHeight="1">
      <c r="A435" s="1168">
        <v>347</v>
      </c>
      <c r="B435" s="1170" t="s">
        <v>3863</v>
      </c>
      <c r="C435" s="1171" t="s">
        <v>5273</v>
      </c>
      <c r="D435" s="1168"/>
      <c r="E435" s="1183">
        <v>338864</v>
      </c>
      <c r="F435" s="1183"/>
      <c r="G435" s="1168">
        <v>347</v>
      </c>
      <c r="H435" s="1170" t="s">
        <v>3863</v>
      </c>
      <c r="I435" s="1171" t="s">
        <v>5273</v>
      </c>
      <c r="J435" s="1168"/>
      <c r="K435" s="1183">
        <v>338864</v>
      </c>
      <c r="L435" s="1183"/>
      <c r="M435" s="489" t="str">
        <f t="shared" si="13"/>
        <v>DDDDDDDĐ</v>
      </c>
    </row>
    <row r="436" spans="1:13" s="489" customFormat="1" ht="18.600000000000001" customHeight="1">
      <c r="A436" s="1168">
        <v>348</v>
      </c>
      <c r="B436" s="1184" t="s">
        <v>2581</v>
      </c>
      <c r="C436" s="1171" t="s">
        <v>5273</v>
      </c>
      <c r="D436" s="1183"/>
      <c r="E436" s="1183">
        <v>282765</v>
      </c>
      <c r="F436" s="1183"/>
      <c r="G436" s="1168">
        <v>348</v>
      </c>
      <c r="H436" s="1184" t="s">
        <v>2581</v>
      </c>
      <c r="I436" s="1171" t="s">
        <v>5273</v>
      </c>
      <c r="J436" s="1183"/>
      <c r="K436" s="1183">
        <v>282765</v>
      </c>
      <c r="L436" s="1183"/>
      <c r="M436" s="489" t="str">
        <f t="shared" si="13"/>
        <v>DDDDDDDĐ</v>
      </c>
    </row>
    <row r="437" spans="1:13" s="489" customFormat="1" ht="18.600000000000001" customHeight="1">
      <c r="A437" s="1168">
        <v>349</v>
      </c>
      <c r="B437" s="1184" t="s">
        <v>2582</v>
      </c>
      <c r="C437" s="1168" t="s">
        <v>2344</v>
      </c>
      <c r="D437" s="1183"/>
      <c r="E437" s="1183">
        <f>34220/3</f>
        <v>11406.666666666666</v>
      </c>
      <c r="F437" s="1183"/>
      <c r="G437" s="1168">
        <v>349</v>
      </c>
      <c r="H437" s="1184" t="s">
        <v>2582</v>
      </c>
      <c r="I437" s="1168" t="s">
        <v>2344</v>
      </c>
      <c r="J437" s="1183"/>
      <c r="K437" s="1183">
        <f>34220/3</f>
        <v>11406.666666666666</v>
      </c>
      <c r="L437" s="1183"/>
      <c r="M437" s="489" t="str">
        <f t="shared" si="13"/>
        <v>DDDDDDDĐ</v>
      </c>
    </row>
    <row r="438" spans="1:13" s="489" customFormat="1" ht="18.600000000000001" customHeight="1">
      <c r="A438" s="1168">
        <v>350</v>
      </c>
      <c r="B438" s="1184" t="s">
        <v>2583</v>
      </c>
      <c r="C438" s="1168" t="s">
        <v>2344</v>
      </c>
      <c r="D438" s="1183"/>
      <c r="E438" s="1183">
        <f>15057/3</f>
        <v>5019</v>
      </c>
      <c r="F438" s="1183"/>
      <c r="G438" s="1168">
        <v>350</v>
      </c>
      <c r="H438" s="1184" t="s">
        <v>2583</v>
      </c>
      <c r="I438" s="1168" t="s">
        <v>2344</v>
      </c>
      <c r="J438" s="1183"/>
      <c r="K438" s="1183">
        <f>15057/3</f>
        <v>5019</v>
      </c>
      <c r="L438" s="1183"/>
      <c r="M438" s="489" t="str">
        <f t="shared" si="13"/>
        <v>DDDDDDDĐ</v>
      </c>
    </row>
    <row r="439" spans="1:13" s="489" customFormat="1" ht="15.75" customHeight="1">
      <c r="A439" s="1168">
        <v>351</v>
      </c>
      <c r="B439" s="1184" t="s">
        <v>2584</v>
      </c>
      <c r="C439" s="1168" t="s">
        <v>567</v>
      </c>
      <c r="D439" s="1183"/>
      <c r="E439" s="1183">
        <v>1554</v>
      </c>
      <c r="F439" s="1183"/>
      <c r="G439" s="1168">
        <v>351</v>
      </c>
      <c r="H439" s="1184" t="s">
        <v>2584</v>
      </c>
      <c r="I439" s="1168" t="s">
        <v>567</v>
      </c>
      <c r="J439" s="1183"/>
      <c r="K439" s="1183">
        <v>1554</v>
      </c>
      <c r="L439" s="1183"/>
      <c r="M439" s="489" t="str">
        <f t="shared" si="13"/>
        <v>DDDDDDDĐ</v>
      </c>
    </row>
    <row r="440" spans="1:13" s="489" customFormat="1" ht="18.600000000000001" customHeight="1">
      <c r="A440" s="501"/>
      <c r="B440" s="502" t="s">
        <v>5094</v>
      </c>
      <c r="C440" s="510"/>
      <c r="D440" s="510"/>
      <c r="E440" s="508"/>
      <c r="F440" s="508"/>
      <c r="G440" s="501"/>
      <c r="H440" s="502" t="s">
        <v>5094</v>
      </c>
      <c r="I440" s="510"/>
      <c r="J440" s="510"/>
      <c r="K440" s="508"/>
      <c r="L440" s="508"/>
      <c r="M440" s="489" t="str">
        <f t="shared" si="13"/>
        <v>DDDDDDDĐ</v>
      </c>
    </row>
    <row r="441" spans="1:13" s="489" customFormat="1" ht="18.600000000000001" customHeight="1">
      <c r="A441" s="501">
        <v>352</v>
      </c>
      <c r="B441" s="506" t="s">
        <v>3721</v>
      </c>
      <c r="C441" s="507" t="s">
        <v>5268</v>
      </c>
      <c r="D441" s="510"/>
      <c r="E441" s="508">
        <v>117000</v>
      </c>
      <c r="F441" s="508">
        <v>119000</v>
      </c>
      <c r="G441" s="501">
        <v>352</v>
      </c>
      <c r="H441" s="506" t="s">
        <v>3721</v>
      </c>
      <c r="I441" s="507" t="s">
        <v>5268</v>
      </c>
      <c r="J441" s="510"/>
      <c r="K441" s="508">
        <v>117000</v>
      </c>
      <c r="L441" s="508">
        <v>119000</v>
      </c>
      <c r="M441" s="489" t="str">
        <f t="shared" si="13"/>
        <v>DDDDDDDĐ</v>
      </c>
    </row>
    <row r="442" spans="1:13" s="489" customFormat="1" ht="18.600000000000001" customHeight="1">
      <c r="A442" s="501"/>
      <c r="B442" s="1009" t="s">
        <v>2585</v>
      </c>
      <c r="C442" s="510"/>
      <c r="D442" s="510"/>
      <c r="E442" s="508"/>
      <c r="F442" s="508"/>
      <c r="G442" s="501"/>
      <c r="H442" s="1009" t="s">
        <v>2585</v>
      </c>
      <c r="I442" s="510"/>
      <c r="J442" s="510"/>
      <c r="K442" s="508"/>
      <c r="L442" s="508"/>
      <c r="M442" s="489" t="str">
        <f t="shared" si="13"/>
        <v>DDDDDDDĐ</v>
      </c>
    </row>
    <row r="443" spans="1:13" s="489" customFormat="1" ht="18.600000000000001" customHeight="1">
      <c r="A443" s="501"/>
      <c r="B443" s="1009" t="s">
        <v>2586</v>
      </c>
      <c r="C443" s="510"/>
      <c r="D443" s="510"/>
      <c r="E443" s="508"/>
      <c r="F443" s="508"/>
      <c r="G443" s="501"/>
      <c r="H443" s="1009" t="s">
        <v>2586</v>
      </c>
      <c r="I443" s="510"/>
      <c r="J443" s="510"/>
      <c r="K443" s="508"/>
      <c r="L443" s="508"/>
      <c r="M443" s="489" t="str">
        <f t="shared" si="13"/>
        <v>DDDDDDDĐ</v>
      </c>
    </row>
    <row r="444" spans="1:13" ht="18.600000000000001" customHeight="1">
      <c r="A444" s="501"/>
      <c r="B444" s="1009" t="s">
        <v>2587</v>
      </c>
      <c r="C444" s="510"/>
      <c r="D444" s="510"/>
      <c r="E444" s="508"/>
      <c r="F444" s="508"/>
      <c r="G444" s="501"/>
      <c r="H444" s="1009" t="s">
        <v>2587</v>
      </c>
      <c r="I444" s="510"/>
      <c r="J444" s="510"/>
      <c r="K444" s="508"/>
      <c r="L444" s="508"/>
      <c r="M444" s="489" t="str">
        <f t="shared" si="13"/>
        <v>DDDDDDDĐ</v>
      </c>
    </row>
    <row r="445" spans="1:13" ht="18.600000000000001" customHeight="1">
      <c r="A445" s="501">
        <v>353</v>
      </c>
      <c r="B445" s="506" t="s">
        <v>3722</v>
      </c>
      <c r="C445" s="507" t="s">
        <v>5268</v>
      </c>
      <c r="D445" s="510"/>
      <c r="E445" s="508">
        <v>129000</v>
      </c>
      <c r="F445" s="508">
        <v>131000</v>
      </c>
      <c r="G445" s="501">
        <v>353</v>
      </c>
      <c r="H445" s="506" t="s">
        <v>3722</v>
      </c>
      <c r="I445" s="507" t="s">
        <v>5268</v>
      </c>
      <c r="J445" s="510"/>
      <c r="K445" s="508">
        <v>129000</v>
      </c>
      <c r="L445" s="508">
        <v>131000</v>
      </c>
      <c r="M445" s="489" t="str">
        <f t="shared" si="13"/>
        <v>DDDDDDDĐ</v>
      </c>
    </row>
    <row r="446" spans="1:13" ht="18.600000000000001" customHeight="1">
      <c r="A446" s="501"/>
      <c r="B446" s="1009" t="s">
        <v>2585</v>
      </c>
      <c r="C446" s="510"/>
      <c r="D446" s="510"/>
      <c r="E446" s="508"/>
      <c r="F446" s="508"/>
      <c r="G446" s="501"/>
      <c r="H446" s="1009" t="s">
        <v>2585</v>
      </c>
      <c r="I446" s="510"/>
      <c r="J446" s="510"/>
      <c r="K446" s="508"/>
      <c r="L446" s="508"/>
      <c r="M446" s="489" t="str">
        <f t="shared" si="13"/>
        <v>DDDDDDDĐ</v>
      </c>
    </row>
    <row r="447" spans="1:13" ht="18.600000000000001" customHeight="1">
      <c r="A447" s="501"/>
      <c r="B447" s="1009" t="s">
        <v>2586</v>
      </c>
      <c r="C447" s="510"/>
      <c r="D447" s="510"/>
      <c r="E447" s="508"/>
      <c r="F447" s="508"/>
      <c r="G447" s="501"/>
      <c r="H447" s="1009" t="s">
        <v>2586</v>
      </c>
      <c r="I447" s="510"/>
      <c r="J447" s="510"/>
      <c r="K447" s="508"/>
      <c r="L447" s="508"/>
      <c r="M447" s="489" t="str">
        <f t="shared" si="13"/>
        <v>DDDDDDDĐ</v>
      </c>
    </row>
    <row r="448" spans="1:13" ht="18.600000000000001" customHeight="1">
      <c r="A448" s="501"/>
      <c r="B448" s="1009" t="s">
        <v>2588</v>
      </c>
      <c r="C448" s="510"/>
      <c r="D448" s="510"/>
      <c r="E448" s="508"/>
      <c r="F448" s="508"/>
      <c r="G448" s="501"/>
      <c r="H448" s="1009" t="s">
        <v>2588</v>
      </c>
      <c r="I448" s="510"/>
      <c r="J448" s="510"/>
      <c r="K448" s="508"/>
      <c r="L448" s="508"/>
      <c r="M448" s="489" t="str">
        <f t="shared" si="13"/>
        <v>DDDDDDDĐ</v>
      </c>
    </row>
    <row r="449" spans="1:13" ht="18.600000000000001" customHeight="1">
      <c r="A449" s="501"/>
      <c r="B449" s="1009" t="s">
        <v>2587</v>
      </c>
      <c r="C449" s="510"/>
      <c r="D449" s="510"/>
      <c r="E449" s="508"/>
      <c r="F449" s="508"/>
      <c r="G449" s="501"/>
      <c r="H449" s="1009" t="s">
        <v>2587</v>
      </c>
      <c r="I449" s="510"/>
      <c r="J449" s="510"/>
      <c r="K449" s="508"/>
      <c r="L449" s="508"/>
      <c r="M449" s="489" t="str">
        <f t="shared" si="13"/>
        <v>DDDDDDDĐ</v>
      </c>
    </row>
    <row r="450" spans="1:13" ht="18.600000000000001" customHeight="1">
      <c r="A450" s="501">
        <v>354</v>
      </c>
      <c r="B450" s="506" t="s">
        <v>2589</v>
      </c>
      <c r="C450" s="507" t="s">
        <v>5268</v>
      </c>
      <c r="D450" s="510"/>
      <c r="E450" s="508">
        <v>164000</v>
      </c>
      <c r="F450" s="508">
        <v>166000</v>
      </c>
      <c r="G450" s="501">
        <v>354</v>
      </c>
      <c r="H450" s="506" t="s">
        <v>2589</v>
      </c>
      <c r="I450" s="507" t="s">
        <v>5268</v>
      </c>
      <c r="J450" s="510"/>
      <c r="K450" s="508">
        <v>164000</v>
      </c>
      <c r="L450" s="508">
        <v>166000</v>
      </c>
      <c r="M450" s="489" t="str">
        <f t="shared" si="13"/>
        <v>DDDDDDDĐ</v>
      </c>
    </row>
    <row r="451" spans="1:13" ht="18.600000000000001" customHeight="1">
      <c r="A451" s="501"/>
      <c r="B451" s="1009" t="s">
        <v>2590</v>
      </c>
      <c r="C451" s="510"/>
      <c r="D451" s="510"/>
      <c r="E451" s="508"/>
      <c r="F451" s="508"/>
      <c r="G451" s="501"/>
      <c r="H451" s="1009" t="s">
        <v>2590</v>
      </c>
      <c r="I451" s="510"/>
      <c r="J451" s="510"/>
      <c r="K451" s="508"/>
      <c r="L451" s="508"/>
      <c r="M451" s="489" t="str">
        <f t="shared" si="13"/>
        <v>DDDDDDDĐ</v>
      </c>
    </row>
    <row r="452" spans="1:13" ht="18.600000000000001" customHeight="1">
      <c r="A452" s="501"/>
      <c r="B452" s="1009" t="s">
        <v>2591</v>
      </c>
      <c r="C452" s="510"/>
      <c r="D452" s="510"/>
      <c r="E452" s="508"/>
      <c r="F452" s="508"/>
      <c r="G452" s="501"/>
      <c r="H452" s="1009" t="s">
        <v>2591</v>
      </c>
      <c r="I452" s="510"/>
      <c r="J452" s="510"/>
      <c r="K452" s="508"/>
      <c r="L452" s="508"/>
      <c r="M452" s="489" t="str">
        <f t="shared" si="13"/>
        <v>DDDDDDDĐ</v>
      </c>
    </row>
    <row r="453" spans="1:13" ht="18.600000000000001" customHeight="1">
      <c r="A453" s="501"/>
      <c r="B453" s="506" t="s">
        <v>2592</v>
      </c>
      <c r="C453" s="510"/>
      <c r="D453" s="510"/>
      <c r="E453" s="508"/>
      <c r="F453" s="508"/>
      <c r="G453" s="501"/>
      <c r="H453" s="506" t="s">
        <v>2592</v>
      </c>
      <c r="I453" s="510"/>
      <c r="J453" s="510"/>
      <c r="K453" s="508"/>
      <c r="L453" s="508"/>
      <c r="M453" s="489" t="str">
        <f t="shared" si="13"/>
        <v>DDDDDDDĐ</v>
      </c>
    </row>
    <row r="454" spans="1:13" ht="18.600000000000001" customHeight="1">
      <c r="A454" s="501"/>
      <c r="B454" s="506" t="s">
        <v>2593</v>
      </c>
      <c r="C454" s="510"/>
      <c r="D454" s="510"/>
      <c r="E454" s="508"/>
      <c r="F454" s="508"/>
      <c r="G454" s="501"/>
      <c r="H454" s="506" t="s">
        <v>2593</v>
      </c>
      <c r="I454" s="510"/>
      <c r="J454" s="510"/>
      <c r="K454" s="508"/>
      <c r="L454" s="508"/>
      <c r="M454" s="489" t="str">
        <f t="shared" si="13"/>
        <v>DDDDDDDĐ</v>
      </c>
    </row>
    <row r="455" spans="1:13" ht="18.600000000000001" customHeight="1">
      <c r="A455" s="501">
        <v>355</v>
      </c>
      <c r="B455" s="506" t="s">
        <v>2594</v>
      </c>
      <c r="C455" s="507" t="s">
        <v>5268</v>
      </c>
      <c r="D455" s="510"/>
      <c r="E455" s="508">
        <v>119000</v>
      </c>
      <c r="F455" s="508">
        <v>121000</v>
      </c>
      <c r="G455" s="501">
        <v>355</v>
      </c>
      <c r="H455" s="506" t="s">
        <v>2594</v>
      </c>
      <c r="I455" s="507" t="s">
        <v>5268</v>
      </c>
      <c r="J455" s="510"/>
      <c r="K455" s="508">
        <v>119000</v>
      </c>
      <c r="L455" s="508">
        <v>121000</v>
      </c>
      <c r="M455" s="489" t="str">
        <f t="shared" si="13"/>
        <v>DDDDDDDĐ</v>
      </c>
    </row>
    <row r="456" spans="1:13" ht="18.600000000000001" customHeight="1">
      <c r="A456" s="501"/>
      <c r="B456" s="1009" t="s">
        <v>2595</v>
      </c>
      <c r="C456" s="510"/>
      <c r="D456" s="510"/>
      <c r="E456" s="508"/>
      <c r="F456" s="508"/>
      <c r="G456" s="501"/>
      <c r="H456" s="1009" t="s">
        <v>2595</v>
      </c>
      <c r="I456" s="510"/>
      <c r="J456" s="510"/>
      <c r="K456" s="508"/>
      <c r="L456" s="508"/>
      <c r="M456" s="489" t="str">
        <f t="shared" si="13"/>
        <v>DDDDDDDĐ</v>
      </c>
    </row>
    <row r="457" spans="1:13" ht="18.600000000000001" customHeight="1">
      <c r="A457" s="501"/>
      <c r="B457" s="1009" t="s">
        <v>2596</v>
      </c>
      <c r="C457" s="510"/>
      <c r="D457" s="510"/>
      <c r="E457" s="508"/>
      <c r="F457" s="508"/>
      <c r="G457" s="501"/>
      <c r="H457" s="1009" t="s">
        <v>2596</v>
      </c>
      <c r="I457" s="510"/>
      <c r="J457" s="510"/>
      <c r="K457" s="508"/>
      <c r="L457" s="508"/>
      <c r="M457" s="489" t="str">
        <f t="shared" si="13"/>
        <v>DDDDDDDĐ</v>
      </c>
    </row>
    <row r="458" spans="1:13" ht="18.600000000000001" customHeight="1">
      <c r="A458" s="501"/>
      <c r="B458" s="506" t="s">
        <v>2597</v>
      </c>
      <c r="C458" s="510"/>
      <c r="D458" s="510"/>
      <c r="E458" s="508"/>
      <c r="F458" s="508"/>
      <c r="G458" s="501"/>
      <c r="H458" s="506" t="s">
        <v>2597</v>
      </c>
      <c r="I458" s="510"/>
      <c r="J458" s="510"/>
      <c r="K458" s="508"/>
      <c r="L458" s="508"/>
      <c r="M458" s="489" t="str">
        <f t="shared" si="13"/>
        <v>DDDDDDDĐ</v>
      </c>
    </row>
    <row r="459" spans="1:13" ht="18.600000000000001" customHeight="1">
      <c r="A459" s="501">
        <v>356</v>
      </c>
      <c r="B459" s="506" t="s">
        <v>2598</v>
      </c>
      <c r="C459" s="507" t="s">
        <v>2392</v>
      </c>
      <c r="D459" s="510"/>
      <c r="E459" s="508">
        <f>15000/1.1</f>
        <v>13636.363636363636</v>
      </c>
      <c r="F459" s="508">
        <f>E459</f>
        <v>13636.363636363636</v>
      </c>
      <c r="G459" s="501">
        <v>356</v>
      </c>
      <c r="H459" s="506" t="s">
        <v>2598</v>
      </c>
      <c r="I459" s="507" t="s">
        <v>2392</v>
      </c>
      <c r="J459" s="510"/>
      <c r="K459" s="508">
        <f>15000/1.1</f>
        <v>13636.363636363636</v>
      </c>
      <c r="L459" s="508">
        <f>K459</f>
        <v>13636.363636363636</v>
      </c>
      <c r="M459" s="489" t="str">
        <f t="shared" si="13"/>
        <v>DDDDDDDĐ</v>
      </c>
    </row>
    <row r="460" spans="1:13" ht="18.600000000000001" customHeight="1">
      <c r="A460" s="501"/>
      <c r="B460" s="2160" t="s">
        <v>5095</v>
      </c>
      <c r="C460" s="2160"/>
      <c r="D460" s="2160"/>
      <c r="E460" s="2160"/>
      <c r="F460" s="2160"/>
      <c r="G460" s="501"/>
      <c r="H460" s="2160" t="s">
        <v>5095</v>
      </c>
      <c r="I460" s="2160"/>
      <c r="J460" s="2160"/>
      <c r="K460" s="2160"/>
      <c r="L460" s="2160"/>
      <c r="M460" s="489" t="str">
        <f t="shared" si="13"/>
        <v>DDDDDDDĐ</v>
      </c>
    </row>
    <row r="461" spans="1:13" ht="20.25" customHeight="1">
      <c r="A461" s="501">
        <v>357</v>
      </c>
      <c r="B461" s="1136" t="s">
        <v>5096</v>
      </c>
      <c r="C461" s="507" t="s">
        <v>5268</v>
      </c>
      <c r="D461" s="510"/>
      <c r="E461" s="508">
        <v>149683</v>
      </c>
      <c r="F461" s="508"/>
      <c r="G461" s="501">
        <v>357</v>
      </c>
      <c r="H461" s="1136" t="s">
        <v>5096</v>
      </c>
      <c r="I461" s="507" t="s">
        <v>5268</v>
      </c>
      <c r="J461" s="510"/>
      <c r="K461" s="508">
        <v>149683</v>
      </c>
      <c r="L461" s="508"/>
      <c r="M461" s="489" t="str">
        <f t="shared" si="13"/>
        <v>DDDDDDDĐ</v>
      </c>
    </row>
    <row r="462" spans="1:13" ht="18.600000000000001" customHeight="1">
      <c r="A462" s="501">
        <v>358</v>
      </c>
      <c r="B462" s="1136" t="s">
        <v>5097</v>
      </c>
      <c r="C462" s="507" t="s">
        <v>5268</v>
      </c>
      <c r="D462" s="510"/>
      <c r="E462" s="508">
        <v>214082</v>
      </c>
      <c r="F462" s="508"/>
      <c r="G462" s="501">
        <v>358</v>
      </c>
      <c r="H462" s="1136" t="s">
        <v>5097</v>
      </c>
      <c r="I462" s="507" t="s">
        <v>5268</v>
      </c>
      <c r="J462" s="510"/>
      <c r="K462" s="508">
        <v>214082</v>
      </c>
      <c r="L462" s="508"/>
      <c r="M462" s="489" t="str">
        <f t="shared" si="13"/>
        <v>DDDDDDDĐ</v>
      </c>
    </row>
    <row r="463" spans="1:13" ht="18.600000000000001" customHeight="1">
      <c r="A463" s="501">
        <v>359</v>
      </c>
      <c r="B463" s="1136" t="s">
        <v>5098</v>
      </c>
      <c r="C463" s="507" t="s">
        <v>5268</v>
      </c>
      <c r="D463" s="510"/>
      <c r="E463" s="508">
        <v>148260</v>
      </c>
      <c r="F463" s="508"/>
      <c r="G463" s="501">
        <v>359</v>
      </c>
      <c r="H463" s="1136" t="s">
        <v>5098</v>
      </c>
      <c r="I463" s="507" t="s">
        <v>5268</v>
      </c>
      <c r="J463" s="510"/>
      <c r="K463" s="508">
        <v>148260</v>
      </c>
      <c r="L463" s="508"/>
      <c r="M463" s="489" t="str">
        <f t="shared" si="13"/>
        <v>DDDDDDDĐ</v>
      </c>
    </row>
    <row r="464" spans="1:13" ht="18.600000000000001" customHeight="1">
      <c r="A464" s="501">
        <v>360</v>
      </c>
      <c r="B464" s="1136" t="s">
        <v>5099</v>
      </c>
      <c r="C464" s="507" t="s">
        <v>5268</v>
      </c>
      <c r="D464" s="510"/>
      <c r="E464" s="508">
        <v>156112</v>
      </c>
      <c r="F464" s="508"/>
      <c r="G464" s="501">
        <v>360</v>
      </c>
      <c r="H464" s="1136" t="s">
        <v>5099</v>
      </c>
      <c r="I464" s="507" t="s">
        <v>5268</v>
      </c>
      <c r="J464" s="510"/>
      <c r="K464" s="508">
        <v>156112</v>
      </c>
      <c r="L464" s="508"/>
      <c r="M464" s="489" t="str">
        <f t="shared" si="13"/>
        <v>DDDDDDDĐ</v>
      </c>
    </row>
    <row r="465" spans="1:13" ht="18.600000000000001" customHeight="1">
      <c r="A465" s="513" t="s">
        <v>3723</v>
      </c>
      <c r="B465" s="502" t="s">
        <v>2599</v>
      </c>
      <c r="C465" s="517"/>
      <c r="D465" s="517"/>
      <c r="E465" s="504"/>
      <c r="F465" s="504"/>
      <c r="G465" s="513" t="s">
        <v>3723</v>
      </c>
      <c r="H465" s="502" t="s">
        <v>2599</v>
      </c>
      <c r="I465" s="517"/>
      <c r="J465" s="517"/>
      <c r="K465" s="504"/>
      <c r="L465" s="504"/>
      <c r="M465" s="489" t="str">
        <f t="shared" si="13"/>
        <v>DDDDDDDĐ</v>
      </c>
    </row>
    <row r="466" spans="1:13" ht="20.25" customHeight="1">
      <c r="A466" s="1161"/>
      <c r="B466" s="2160" t="s">
        <v>2600</v>
      </c>
      <c r="C466" s="2160"/>
      <c r="D466" s="2160"/>
      <c r="E466" s="2160"/>
      <c r="F466" s="2160"/>
      <c r="G466" s="1161"/>
      <c r="H466" s="2160" t="s">
        <v>2600</v>
      </c>
      <c r="I466" s="2160"/>
      <c r="J466" s="2160"/>
      <c r="K466" s="2160"/>
      <c r="L466" s="2160"/>
      <c r="M466" s="489" t="str">
        <f t="shared" si="13"/>
        <v>DDDDDDDĐ</v>
      </c>
    </row>
    <row r="467" spans="1:13" ht="18.600000000000001" customHeight="1">
      <c r="A467" s="1161"/>
      <c r="B467" s="1185" t="s">
        <v>2601</v>
      </c>
      <c r="C467" s="1157"/>
      <c r="D467" s="1158"/>
      <c r="E467" s="1158"/>
      <c r="F467" s="1158"/>
      <c r="G467" s="1161"/>
      <c r="H467" s="1185" t="s">
        <v>2601</v>
      </c>
      <c r="I467" s="1157"/>
      <c r="J467" s="1158"/>
      <c r="K467" s="1158"/>
      <c r="L467" s="1158"/>
      <c r="M467" s="489" t="str">
        <f t="shared" si="13"/>
        <v>DDDDDDDĐ</v>
      </c>
    </row>
    <row r="468" spans="1:13" ht="18.600000000000001" customHeight="1">
      <c r="A468" s="1186">
        <v>361</v>
      </c>
      <c r="B468" s="1187" t="s">
        <v>2602</v>
      </c>
      <c r="C468" s="1188" t="s">
        <v>5268</v>
      </c>
      <c r="D468" s="1189">
        <v>86100</v>
      </c>
      <c r="E468" s="1158"/>
      <c r="F468" s="1158"/>
      <c r="G468" s="1186">
        <v>361</v>
      </c>
      <c r="H468" s="1187" t="s">
        <v>2602</v>
      </c>
      <c r="I468" s="1188" t="s">
        <v>5268</v>
      </c>
      <c r="J468" s="1189">
        <v>86100</v>
      </c>
      <c r="K468" s="1158"/>
      <c r="L468" s="1158"/>
      <c r="M468" s="489" t="str">
        <f t="shared" si="13"/>
        <v>DDDDDDDĐ</v>
      </c>
    </row>
    <row r="469" spans="1:13" ht="18.600000000000001" customHeight="1">
      <c r="A469" s="1161">
        <v>362</v>
      </c>
      <c r="B469" s="1159" t="s">
        <v>2603</v>
      </c>
      <c r="C469" s="1163" t="s">
        <v>5268</v>
      </c>
      <c r="D469" s="1158">
        <v>85050</v>
      </c>
      <c r="E469" s="1158"/>
      <c r="F469" s="1158"/>
      <c r="G469" s="1161">
        <v>362</v>
      </c>
      <c r="H469" s="1159" t="s">
        <v>2603</v>
      </c>
      <c r="I469" s="1163" t="s">
        <v>5268</v>
      </c>
      <c r="J469" s="1158">
        <v>85050</v>
      </c>
      <c r="K469" s="1158"/>
      <c r="L469" s="1158"/>
      <c r="M469" s="489" t="str">
        <f t="shared" si="13"/>
        <v>DDDDDDDĐ</v>
      </c>
    </row>
    <row r="470" spans="1:13" ht="18.600000000000001" customHeight="1">
      <c r="A470" s="501"/>
      <c r="B470" s="512" t="s">
        <v>2604</v>
      </c>
      <c r="C470" s="510"/>
      <c r="D470" s="508"/>
      <c r="E470" s="508"/>
      <c r="F470" s="508"/>
      <c r="G470" s="501"/>
      <c r="H470" s="512" t="s">
        <v>2604</v>
      </c>
      <c r="I470" s="510"/>
      <c r="J470" s="508"/>
      <c r="K470" s="508"/>
      <c r="L470" s="508"/>
      <c r="M470" s="489" t="str">
        <f t="shared" si="13"/>
        <v>DDDDDDDĐ</v>
      </c>
    </row>
    <row r="471" spans="1:13" ht="20.25" customHeight="1">
      <c r="A471" s="501">
        <v>363</v>
      </c>
      <c r="B471" s="511" t="s">
        <v>5274</v>
      </c>
      <c r="C471" s="533" t="s">
        <v>2605</v>
      </c>
      <c r="D471" s="508">
        <v>11000</v>
      </c>
      <c r="E471" s="508"/>
      <c r="F471" s="508"/>
      <c r="G471" s="501">
        <v>363</v>
      </c>
      <c r="H471" s="511" t="s">
        <v>5274</v>
      </c>
      <c r="I471" s="533" t="s">
        <v>2605</v>
      </c>
      <c r="J471" s="508">
        <v>11000</v>
      </c>
      <c r="K471" s="508"/>
      <c r="L471" s="508"/>
      <c r="M471" s="489" t="str">
        <f t="shared" si="13"/>
        <v>DDDDDDDĐ</v>
      </c>
    </row>
    <row r="472" spans="1:13" ht="18.95" customHeight="1">
      <c r="A472" s="501"/>
      <c r="B472" s="512" t="s">
        <v>2606</v>
      </c>
      <c r="C472" s="516"/>
      <c r="D472" s="517"/>
      <c r="E472" s="504"/>
      <c r="F472" s="504"/>
      <c r="G472" s="501"/>
      <c r="H472" s="512" t="s">
        <v>2606</v>
      </c>
      <c r="I472" s="516"/>
      <c r="J472" s="517"/>
      <c r="K472" s="504"/>
      <c r="L472" s="504"/>
      <c r="M472" s="489" t="str">
        <f t="shared" si="13"/>
        <v>DDDDDDDĐ</v>
      </c>
    </row>
    <row r="473" spans="1:13" ht="18.95" customHeight="1">
      <c r="A473" s="501">
        <v>364</v>
      </c>
      <c r="B473" s="511" t="s">
        <v>2607</v>
      </c>
      <c r="C473" s="533" t="s">
        <v>2605</v>
      </c>
      <c r="D473" s="508">
        <v>720</v>
      </c>
      <c r="E473" s="508"/>
      <c r="F473" s="508"/>
      <c r="G473" s="501">
        <v>364</v>
      </c>
      <c r="H473" s="511" t="s">
        <v>2607</v>
      </c>
      <c r="I473" s="533" t="s">
        <v>2605</v>
      </c>
      <c r="J473" s="508">
        <v>720</v>
      </c>
      <c r="K473" s="508"/>
      <c r="L473" s="508"/>
      <c r="M473" s="489" t="str">
        <f t="shared" si="13"/>
        <v>DDDDDDDĐ</v>
      </c>
    </row>
    <row r="474" spans="1:13" ht="18.95" customHeight="1">
      <c r="A474" s="501">
        <v>365</v>
      </c>
      <c r="B474" s="511" t="s">
        <v>2608</v>
      </c>
      <c r="C474" s="533" t="s">
        <v>2605</v>
      </c>
      <c r="D474" s="508">
        <v>700</v>
      </c>
      <c r="E474" s="508"/>
      <c r="F474" s="508"/>
      <c r="G474" s="501">
        <v>365</v>
      </c>
      <c r="H474" s="511" t="s">
        <v>2608</v>
      </c>
      <c r="I474" s="533" t="s">
        <v>2605</v>
      </c>
      <c r="J474" s="508">
        <v>700</v>
      </c>
      <c r="K474" s="508"/>
      <c r="L474" s="508"/>
      <c r="M474" s="489" t="str">
        <f t="shared" si="13"/>
        <v>DDDDDDDĐ</v>
      </c>
    </row>
    <row r="475" spans="1:13" ht="18.95" customHeight="1">
      <c r="A475" s="501">
        <v>366</v>
      </c>
      <c r="B475" s="511" t="s">
        <v>2609</v>
      </c>
      <c r="C475" s="533" t="s">
        <v>2605</v>
      </c>
      <c r="D475" s="508">
        <v>620</v>
      </c>
      <c r="E475" s="508"/>
      <c r="F475" s="508"/>
      <c r="G475" s="501">
        <v>366</v>
      </c>
      <c r="H475" s="511" t="s">
        <v>2609</v>
      </c>
      <c r="I475" s="533" t="s">
        <v>2605</v>
      </c>
      <c r="J475" s="508">
        <v>620</v>
      </c>
      <c r="K475" s="508"/>
      <c r="L475" s="508"/>
      <c r="M475" s="489" t="str">
        <f t="shared" si="13"/>
        <v>DDDDDDDĐ</v>
      </c>
    </row>
    <row r="476" spans="1:13" ht="18.95" customHeight="1">
      <c r="A476" s="501">
        <v>367</v>
      </c>
      <c r="B476" s="511" t="s">
        <v>2610</v>
      </c>
      <c r="C476" s="533" t="s">
        <v>2605</v>
      </c>
      <c r="D476" s="508">
        <v>600</v>
      </c>
      <c r="E476" s="508"/>
      <c r="F476" s="508"/>
      <c r="G476" s="501">
        <v>367</v>
      </c>
      <c r="H476" s="511" t="s">
        <v>2610</v>
      </c>
      <c r="I476" s="533" t="s">
        <v>2605</v>
      </c>
      <c r="J476" s="508">
        <v>600</v>
      </c>
      <c r="K476" s="508"/>
      <c r="L476" s="508"/>
      <c r="M476" s="489" t="str">
        <f t="shared" si="13"/>
        <v>DDDDDDDĐ</v>
      </c>
    </row>
    <row r="477" spans="1:13" ht="18.95" customHeight="1">
      <c r="A477" s="501"/>
      <c r="B477" s="512" t="s">
        <v>2611</v>
      </c>
      <c r="C477" s="517"/>
      <c r="D477" s="517"/>
      <c r="E477" s="508"/>
      <c r="F477" s="508"/>
      <c r="G477" s="501"/>
      <c r="H477" s="512" t="s">
        <v>2611</v>
      </c>
      <c r="I477" s="517"/>
      <c r="J477" s="517"/>
      <c r="K477" s="508"/>
      <c r="L477" s="508"/>
      <c r="M477" s="489" t="str">
        <f t="shared" si="13"/>
        <v>DDDDDDDĐ</v>
      </c>
    </row>
    <row r="478" spans="1:13" ht="18.95" customHeight="1">
      <c r="A478" s="501">
        <v>368</v>
      </c>
      <c r="B478" s="511" t="s">
        <v>2607</v>
      </c>
      <c r="C478" s="533" t="s">
        <v>2605</v>
      </c>
      <c r="D478" s="508">
        <f>700/1.1</f>
        <v>636.36363636363626</v>
      </c>
      <c r="E478" s="508"/>
      <c r="F478" s="508"/>
      <c r="G478" s="501">
        <v>368</v>
      </c>
      <c r="H478" s="511" t="s">
        <v>2607</v>
      </c>
      <c r="I478" s="533" t="s">
        <v>2605</v>
      </c>
      <c r="J478" s="508">
        <f>700/1.1</f>
        <v>636.36363636363626</v>
      </c>
      <c r="K478" s="508"/>
      <c r="L478" s="508"/>
      <c r="M478" s="489" t="str">
        <f t="shared" si="13"/>
        <v>DDDDDDDĐ</v>
      </c>
    </row>
    <row r="479" spans="1:13" ht="18.95" customHeight="1">
      <c r="A479" s="501">
        <v>369</v>
      </c>
      <c r="B479" s="511" t="s">
        <v>2608</v>
      </c>
      <c r="C479" s="533" t="s">
        <v>2605</v>
      </c>
      <c r="D479" s="508">
        <f>650/1.1</f>
        <v>590.90909090909088</v>
      </c>
      <c r="E479" s="508"/>
      <c r="F479" s="508"/>
      <c r="G479" s="501">
        <v>369</v>
      </c>
      <c r="H479" s="511" t="s">
        <v>2608</v>
      </c>
      <c r="I479" s="533" t="s">
        <v>2605</v>
      </c>
      <c r="J479" s="508">
        <f>650/1.1</f>
        <v>590.90909090909088</v>
      </c>
      <c r="K479" s="508"/>
      <c r="L479" s="508"/>
      <c r="M479" s="489" t="str">
        <f t="shared" si="13"/>
        <v>DDDDDDDĐ</v>
      </c>
    </row>
    <row r="480" spans="1:13" ht="18.95" customHeight="1">
      <c r="A480" s="501">
        <v>370</v>
      </c>
      <c r="B480" s="511" t="s">
        <v>2609</v>
      </c>
      <c r="C480" s="533" t="s">
        <v>2605</v>
      </c>
      <c r="D480" s="1432">
        <f>600/1.1</f>
        <v>545.45454545454538</v>
      </c>
      <c r="E480" s="508"/>
      <c r="F480" s="508"/>
      <c r="G480" s="501">
        <v>370</v>
      </c>
      <c r="H480" s="511" t="s">
        <v>2609</v>
      </c>
      <c r="I480" s="533" t="s">
        <v>2605</v>
      </c>
      <c r="J480" s="508">
        <f>600/1.1</f>
        <v>545.45454545454538</v>
      </c>
      <c r="K480" s="508"/>
      <c r="L480" s="508"/>
      <c r="M480" s="489" t="str">
        <f t="shared" si="13"/>
        <v>DDDDDDDĐ</v>
      </c>
    </row>
    <row r="481" spans="1:13" ht="18.95" customHeight="1">
      <c r="A481" s="501">
        <v>371</v>
      </c>
      <c r="B481" s="511" t="s">
        <v>2610</v>
      </c>
      <c r="C481" s="533" t="s">
        <v>2605</v>
      </c>
      <c r="D481" s="508">
        <f>550/1.1</f>
        <v>499.99999999999994</v>
      </c>
      <c r="E481" s="508"/>
      <c r="F481" s="508"/>
      <c r="G481" s="501">
        <v>371</v>
      </c>
      <c r="H481" s="511" t="s">
        <v>2610</v>
      </c>
      <c r="I481" s="533" t="s">
        <v>2605</v>
      </c>
      <c r="J481" s="508">
        <f>550/1.1</f>
        <v>499.99999999999994</v>
      </c>
      <c r="K481" s="508"/>
      <c r="L481" s="508"/>
      <c r="M481" s="489" t="str">
        <f t="shared" si="13"/>
        <v>DDDDDDDĐ</v>
      </c>
    </row>
    <row r="482" spans="1:13" ht="18.95" customHeight="1">
      <c r="A482" s="501"/>
      <c r="B482" s="512" t="s">
        <v>2612</v>
      </c>
      <c r="C482" s="517"/>
      <c r="D482" s="517"/>
      <c r="E482" s="508"/>
      <c r="F482" s="508"/>
      <c r="G482" s="501"/>
      <c r="H482" s="512" t="s">
        <v>2612</v>
      </c>
      <c r="I482" s="517"/>
      <c r="J482" s="517"/>
      <c r="K482" s="508"/>
      <c r="L482" s="508"/>
      <c r="M482" s="489" t="str">
        <f t="shared" ref="M482:M545" si="14">IF(B482=H482,"DDDDDDDĐ","SSSSSSSSSSSS")</f>
        <v>DDDDDDDĐ</v>
      </c>
    </row>
    <row r="483" spans="1:13" ht="18.95" customHeight="1">
      <c r="A483" s="501">
        <v>372</v>
      </c>
      <c r="B483" s="511" t="s">
        <v>2607</v>
      </c>
      <c r="C483" s="533" t="s">
        <v>2605</v>
      </c>
      <c r="D483" s="508">
        <v>500</v>
      </c>
      <c r="E483" s="508"/>
      <c r="F483" s="508"/>
      <c r="G483" s="501">
        <v>372</v>
      </c>
      <c r="H483" s="511" t="s">
        <v>2607</v>
      </c>
      <c r="I483" s="533" t="s">
        <v>2605</v>
      </c>
      <c r="J483" s="508">
        <v>500</v>
      </c>
      <c r="K483" s="508"/>
      <c r="L483" s="508"/>
      <c r="M483" s="489" t="str">
        <f t="shared" si="14"/>
        <v>DDDDDDDĐ</v>
      </c>
    </row>
    <row r="484" spans="1:13" ht="18.95" customHeight="1">
      <c r="A484" s="501">
        <v>373</v>
      </c>
      <c r="B484" s="511" t="s">
        <v>2608</v>
      </c>
      <c r="C484" s="533" t="s">
        <v>2605</v>
      </c>
      <c r="D484" s="508">
        <v>450</v>
      </c>
      <c r="E484" s="508"/>
      <c r="F484" s="508"/>
      <c r="G484" s="501">
        <v>373</v>
      </c>
      <c r="H484" s="511" t="s">
        <v>2608</v>
      </c>
      <c r="I484" s="533" t="s">
        <v>2605</v>
      </c>
      <c r="J484" s="508">
        <v>450</v>
      </c>
      <c r="K484" s="508"/>
      <c r="L484" s="508"/>
      <c r="M484" s="489" t="str">
        <f t="shared" si="14"/>
        <v>DDDDDDDĐ</v>
      </c>
    </row>
    <row r="485" spans="1:13" ht="18.95" customHeight="1">
      <c r="A485" s="501">
        <v>374</v>
      </c>
      <c r="B485" s="511" t="s">
        <v>2609</v>
      </c>
      <c r="C485" s="533" t="s">
        <v>2605</v>
      </c>
      <c r="D485" s="508">
        <v>400</v>
      </c>
      <c r="E485" s="508"/>
      <c r="F485" s="508"/>
      <c r="G485" s="501">
        <v>374</v>
      </c>
      <c r="H485" s="511" t="s">
        <v>2609</v>
      </c>
      <c r="I485" s="533" t="s">
        <v>2605</v>
      </c>
      <c r="J485" s="508">
        <v>400</v>
      </c>
      <c r="K485" s="508"/>
      <c r="L485" s="508"/>
      <c r="M485" s="489" t="str">
        <f t="shared" si="14"/>
        <v>DDDDDDDĐ</v>
      </c>
    </row>
    <row r="486" spans="1:13" ht="36" customHeight="1">
      <c r="A486" s="501">
        <v>375</v>
      </c>
      <c r="B486" s="511" t="s">
        <v>2610</v>
      </c>
      <c r="C486" s="533" t="s">
        <v>2605</v>
      </c>
      <c r="D486" s="508">
        <v>350</v>
      </c>
      <c r="E486" s="508"/>
      <c r="F486" s="508"/>
      <c r="G486" s="501">
        <v>375</v>
      </c>
      <c r="H486" s="511" t="s">
        <v>2610</v>
      </c>
      <c r="I486" s="533" t="s">
        <v>2605</v>
      </c>
      <c r="J486" s="508">
        <v>350</v>
      </c>
      <c r="K486" s="508"/>
      <c r="L486" s="508"/>
      <c r="M486" s="489" t="str">
        <f t="shared" si="14"/>
        <v>DDDDDDDĐ</v>
      </c>
    </row>
    <row r="487" spans="1:13" ht="18.95" customHeight="1">
      <c r="A487" s="501"/>
      <c r="B487" s="512" t="s">
        <v>2613</v>
      </c>
      <c r="C487" s="517"/>
      <c r="D487" s="517"/>
      <c r="E487" s="508"/>
      <c r="F487" s="508"/>
      <c r="G487" s="501"/>
      <c r="H487" s="512" t="s">
        <v>2613</v>
      </c>
      <c r="I487" s="517"/>
      <c r="J487" s="517"/>
      <c r="K487" s="508"/>
      <c r="L487" s="508"/>
      <c r="M487" s="489" t="str">
        <f t="shared" si="14"/>
        <v>DDDDDDDĐ</v>
      </c>
    </row>
    <row r="488" spans="1:13" ht="18.95" customHeight="1">
      <c r="A488" s="501">
        <v>376</v>
      </c>
      <c r="B488" s="511" t="s">
        <v>2607</v>
      </c>
      <c r="C488" s="533" t="s">
        <v>2605</v>
      </c>
      <c r="D488" s="508">
        <v>750</v>
      </c>
      <c r="E488" s="508"/>
      <c r="F488" s="508"/>
      <c r="G488" s="501">
        <v>376</v>
      </c>
      <c r="H488" s="511" t="s">
        <v>2607</v>
      </c>
      <c r="I488" s="533" t="s">
        <v>2605</v>
      </c>
      <c r="J488" s="508">
        <v>750</v>
      </c>
      <c r="K488" s="508"/>
      <c r="L488" s="508"/>
      <c r="M488" s="489" t="str">
        <f t="shared" si="14"/>
        <v>DDDDDDDĐ</v>
      </c>
    </row>
    <row r="489" spans="1:13" ht="18.95" customHeight="1">
      <c r="A489" s="501">
        <v>377</v>
      </c>
      <c r="B489" s="511" t="s">
        <v>2608</v>
      </c>
      <c r="C489" s="533" t="s">
        <v>2605</v>
      </c>
      <c r="D489" s="508">
        <v>700</v>
      </c>
      <c r="E489" s="508"/>
      <c r="F489" s="508"/>
      <c r="G489" s="501">
        <v>377</v>
      </c>
      <c r="H489" s="511" t="s">
        <v>2608</v>
      </c>
      <c r="I489" s="533" t="s">
        <v>2605</v>
      </c>
      <c r="J489" s="508">
        <v>700</v>
      </c>
      <c r="K489" s="508"/>
      <c r="L489" s="508"/>
      <c r="M489" s="489" t="str">
        <f t="shared" si="14"/>
        <v>DDDDDDDĐ</v>
      </c>
    </row>
    <row r="490" spans="1:13" ht="18.95" customHeight="1">
      <c r="A490" s="501">
        <v>378</v>
      </c>
      <c r="B490" s="511" t="s">
        <v>2609</v>
      </c>
      <c r="C490" s="533" t="s">
        <v>2605</v>
      </c>
      <c r="D490" s="508">
        <v>550</v>
      </c>
      <c r="E490" s="508"/>
      <c r="F490" s="508"/>
      <c r="G490" s="501">
        <v>378</v>
      </c>
      <c r="H490" s="511" t="s">
        <v>2609</v>
      </c>
      <c r="I490" s="533" t="s">
        <v>2605</v>
      </c>
      <c r="J490" s="508">
        <v>550</v>
      </c>
      <c r="K490" s="508"/>
      <c r="L490" s="508"/>
      <c r="M490" s="489" t="str">
        <f t="shared" si="14"/>
        <v>DDDDDDDĐ</v>
      </c>
    </row>
    <row r="491" spans="1:13" ht="18.95" customHeight="1">
      <c r="A491" s="501">
        <v>379</v>
      </c>
      <c r="B491" s="511" t="s">
        <v>2610</v>
      </c>
      <c r="C491" s="533" t="s">
        <v>2605</v>
      </c>
      <c r="D491" s="508">
        <v>520</v>
      </c>
      <c r="E491" s="508"/>
      <c r="F491" s="508"/>
      <c r="G491" s="501">
        <v>379</v>
      </c>
      <c r="H491" s="511" t="s">
        <v>2610</v>
      </c>
      <c r="I491" s="533" t="s">
        <v>2605</v>
      </c>
      <c r="J491" s="508">
        <v>520</v>
      </c>
      <c r="K491" s="508"/>
      <c r="L491" s="508"/>
      <c r="M491" s="489" t="str">
        <f t="shared" si="14"/>
        <v>DDDDDDDĐ</v>
      </c>
    </row>
    <row r="492" spans="1:13" ht="18.95" customHeight="1">
      <c r="A492" s="515"/>
      <c r="B492" s="1190" t="s">
        <v>2614</v>
      </c>
      <c r="C492" s="1191"/>
      <c r="D492" s="1192"/>
      <c r="E492" s="1192"/>
      <c r="F492" s="1193"/>
      <c r="G492" s="515"/>
      <c r="H492" s="1190" t="s">
        <v>2614</v>
      </c>
      <c r="I492" s="1191"/>
      <c r="J492" s="1192"/>
      <c r="K492" s="1192"/>
      <c r="L492" s="1193"/>
      <c r="M492" s="489" t="str">
        <f t="shared" si="14"/>
        <v>DDDDDDDĐ</v>
      </c>
    </row>
    <row r="493" spans="1:13" ht="18.95" customHeight="1">
      <c r="A493" s="515">
        <v>380</v>
      </c>
      <c r="B493" s="1192" t="s">
        <v>2615</v>
      </c>
      <c r="C493" s="1194" t="s">
        <v>2605</v>
      </c>
      <c r="D493" s="1192">
        <v>891</v>
      </c>
      <c r="E493" s="1192"/>
      <c r="F493" s="1193"/>
      <c r="G493" s="515">
        <v>380</v>
      </c>
      <c r="H493" s="1192" t="s">
        <v>2615</v>
      </c>
      <c r="I493" s="1194" t="s">
        <v>2605</v>
      </c>
      <c r="J493" s="1192">
        <v>891</v>
      </c>
      <c r="K493" s="1192"/>
      <c r="L493" s="1193"/>
      <c r="M493" s="489" t="str">
        <f t="shared" si="14"/>
        <v>DDDDDDDĐ</v>
      </c>
    </row>
    <row r="494" spans="1:13" ht="18.95" customHeight="1">
      <c r="A494" s="515">
        <v>381</v>
      </c>
      <c r="B494" s="1192" t="s">
        <v>2616</v>
      </c>
      <c r="C494" s="1194" t="s">
        <v>2605</v>
      </c>
      <c r="D494" s="1192">
        <v>891</v>
      </c>
      <c r="E494" s="1192"/>
      <c r="F494" s="1193"/>
      <c r="G494" s="515">
        <v>381</v>
      </c>
      <c r="H494" s="1192" t="s">
        <v>2616</v>
      </c>
      <c r="I494" s="1194" t="s">
        <v>2605</v>
      </c>
      <c r="J494" s="1192">
        <v>891</v>
      </c>
      <c r="K494" s="1192"/>
      <c r="L494" s="1193"/>
      <c r="M494" s="489" t="str">
        <f t="shared" si="14"/>
        <v>DDDDDDDĐ</v>
      </c>
    </row>
    <row r="495" spans="1:13" ht="18.95" customHeight="1">
      <c r="A495" s="515">
        <v>382</v>
      </c>
      <c r="B495" s="1192" t="s">
        <v>2617</v>
      </c>
      <c r="C495" s="1194" t="s">
        <v>2605</v>
      </c>
      <c r="D495" s="1192">
        <v>909</v>
      </c>
      <c r="E495" s="1192"/>
      <c r="F495" s="1193"/>
      <c r="G495" s="515">
        <v>382</v>
      </c>
      <c r="H495" s="1192" t="s">
        <v>2617</v>
      </c>
      <c r="I495" s="1194" t="s">
        <v>2605</v>
      </c>
      <c r="J495" s="1192">
        <v>909</v>
      </c>
      <c r="K495" s="1192"/>
      <c r="L495" s="1193"/>
      <c r="M495" s="489" t="str">
        <f t="shared" si="14"/>
        <v>DDDDDDDĐ</v>
      </c>
    </row>
    <row r="496" spans="1:13" ht="18.95" customHeight="1">
      <c r="A496" s="515">
        <v>383</v>
      </c>
      <c r="B496" s="1192" t="s">
        <v>2618</v>
      </c>
      <c r="C496" s="1194" t="s">
        <v>2605</v>
      </c>
      <c r="D496" s="1192">
        <v>2909</v>
      </c>
      <c r="E496" s="1192"/>
      <c r="F496" s="1193"/>
      <c r="G496" s="515">
        <v>383</v>
      </c>
      <c r="H496" s="1192" t="s">
        <v>2618</v>
      </c>
      <c r="I496" s="1194" t="s">
        <v>2605</v>
      </c>
      <c r="J496" s="1192">
        <v>2909</v>
      </c>
      <c r="K496" s="1192"/>
      <c r="L496" s="1193"/>
      <c r="M496" s="489" t="str">
        <f t="shared" si="14"/>
        <v>DDDDDDDĐ</v>
      </c>
    </row>
    <row r="497" spans="1:13" ht="18.95" customHeight="1">
      <c r="A497" s="515">
        <v>384</v>
      </c>
      <c r="B497" s="1192" t="s">
        <v>5275</v>
      </c>
      <c r="C497" s="1194" t="s">
        <v>2605</v>
      </c>
      <c r="D497" s="1192">
        <v>5455</v>
      </c>
      <c r="E497" s="1192"/>
      <c r="F497" s="1193"/>
      <c r="G497" s="515">
        <v>384</v>
      </c>
      <c r="H497" s="1192" t="s">
        <v>5275</v>
      </c>
      <c r="I497" s="1194" t="s">
        <v>2605</v>
      </c>
      <c r="J497" s="1192">
        <v>5455</v>
      </c>
      <c r="K497" s="1192"/>
      <c r="L497" s="1193"/>
      <c r="M497" s="489" t="str">
        <f t="shared" si="14"/>
        <v>DDDDDDDĐ</v>
      </c>
    </row>
    <row r="498" spans="1:13" ht="18.95" customHeight="1">
      <c r="A498" s="515">
        <v>385</v>
      </c>
      <c r="B498" s="1192" t="s">
        <v>5276</v>
      </c>
      <c r="C498" s="1194" t="s">
        <v>2605</v>
      </c>
      <c r="D498" s="1192">
        <v>3636</v>
      </c>
      <c r="E498" s="1192"/>
      <c r="F498" s="1193"/>
      <c r="G498" s="515">
        <v>385</v>
      </c>
      <c r="H498" s="1192" t="s">
        <v>5276</v>
      </c>
      <c r="I498" s="1194" t="s">
        <v>2605</v>
      </c>
      <c r="J498" s="1192">
        <v>3636</v>
      </c>
      <c r="K498" s="1192"/>
      <c r="L498" s="1193"/>
      <c r="M498" s="489" t="str">
        <f t="shared" si="14"/>
        <v>DDDDDDDĐ</v>
      </c>
    </row>
    <row r="499" spans="1:13" ht="18.95" customHeight="1">
      <c r="A499" s="515">
        <v>386</v>
      </c>
      <c r="B499" s="1192" t="s">
        <v>2619</v>
      </c>
      <c r="C499" s="1194" t="s">
        <v>2605</v>
      </c>
      <c r="D499" s="1192">
        <v>3182</v>
      </c>
      <c r="E499" s="1192"/>
      <c r="F499" s="1193"/>
      <c r="G499" s="515">
        <v>386</v>
      </c>
      <c r="H499" s="1192" t="s">
        <v>2619</v>
      </c>
      <c r="I499" s="1194" t="s">
        <v>2605</v>
      </c>
      <c r="J499" s="1192">
        <v>3182</v>
      </c>
      <c r="K499" s="1192"/>
      <c r="L499" s="1193"/>
      <c r="M499" s="489" t="str">
        <f t="shared" si="14"/>
        <v>DDDDDDDĐ</v>
      </c>
    </row>
    <row r="500" spans="1:13" ht="18.95" customHeight="1">
      <c r="A500" s="515">
        <v>387</v>
      </c>
      <c r="B500" s="1192" t="s">
        <v>2620</v>
      </c>
      <c r="C500" s="1194" t="s">
        <v>2605</v>
      </c>
      <c r="D500" s="1192">
        <v>2818</v>
      </c>
      <c r="E500" s="1192"/>
      <c r="F500" s="1193"/>
      <c r="G500" s="515">
        <v>387</v>
      </c>
      <c r="H500" s="1192" t="s">
        <v>2620</v>
      </c>
      <c r="I500" s="1194" t="s">
        <v>2605</v>
      </c>
      <c r="J500" s="1192">
        <v>2818</v>
      </c>
      <c r="K500" s="1192"/>
      <c r="L500" s="1193"/>
      <c r="M500" s="489" t="str">
        <f t="shared" si="14"/>
        <v>DDDDDDDĐ</v>
      </c>
    </row>
    <row r="501" spans="1:13" ht="18.95" customHeight="1">
      <c r="A501" s="515">
        <v>388</v>
      </c>
      <c r="B501" s="1192" t="s">
        <v>2621</v>
      </c>
      <c r="C501" s="1194" t="s">
        <v>2605</v>
      </c>
      <c r="D501" s="1192">
        <v>6091</v>
      </c>
      <c r="E501" s="1192"/>
      <c r="F501" s="1193"/>
      <c r="G501" s="515">
        <v>388</v>
      </c>
      <c r="H501" s="1192" t="s">
        <v>2621</v>
      </c>
      <c r="I501" s="1194" t="s">
        <v>2605</v>
      </c>
      <c r="J501" s="1192">
        <v>6091</v>
      </c>
      <c r="K501" s="1192"/>
      <c r="L501" s="1193"/>
      <c r="M501" s="489" t="str">
        <f t="shared" si="14"/>
        <v>DDDDDDDĐ</v>
      </c>
    </row>
    <row r="502" spans="1:13" ht="18.95" customHeight="1">
      <c r="A502" s="515">
        <v>389</v>
      </c>
      <c r="B502" s="1192" t="s">
        <v>2622</v>
      </c>
      <c r="C502" s="1194" t="s">
        <v>2605</v>
      </c>
      <c r="D502" s="1192">
        <v>4455</v>
      </c>
      <c r="E502" s="1192"/>
      <c r="F502" s="1193"/>
      <c r="G502" s="515">
        <v>389</v>
      </c>
      <c r="H502" s="1192" t="s">
        <v>2622</v>
      </c>
      <c r="I502" s="1194" t="s">
        <v>2605</v>
      </c>
      <c r="J502" s="1192">
        <v>4455</v>
      </c>
      <c r="K502" s="1192"/>
      <c r="L502" s="1193"/>
      <c r="M502" s="489" t="str">
        <f t="shared" si="14"/>
        <v>DDDDDDDĐ</v>
      </c>
    </row>
    <row r="503" spans="1:13" ht="18.95" customHeight="1">
      <c r="A503" s="515">
        <v>390</v>
      </c>
      <c r="B503" s="1192" t="s">
        <v>2623</v>
      </c>
      <c r="C503" s="1194" t="s">
        <v>2605</v>
      </c>
      <c r="D503" s="1192">
        <v>1682</v>
      </c>
      <c r="E503" s="1192"/>
      <c r="F503" s="1193"/>
      <c r="G503" s="515">
        <v>390</v>
      </c>
      <c r="H503" s="1192" t="s">
        <v>2623</v>
      </c>
      <c r="I503" s="1194" t="s">
        <v>2605</v>
      </c>
      <c r="J503" s="1192">
        <v>1682</v>
      </c>
      <c r="K503" s="1192"/>
      <c r="L503" s="1193"/>
      <c r="M503" s="489" t="str">
        <f t="shared" si="14"/>
        <v>DDDDDDDĐ</v>
      </c>
    </row>
    <row r="504" spans="1:13" ht="26.25" customHeight="1">
      <c r="A504" s="515">
        <v>391</v>
      </c>
      <c r="B504" s="1192" t="s">
        <v>2624</v>
      </c>
      <c r="C504" s="1194" t="s">
        <v>2605</v>
      </c>
      <c r="D504" s="1192">
        <v>1682</v>
      </c>
      <c r="E504" s="1192"/>
      <c r="F504" s="1193"/>
      <c r="G504" s="515">
        <v>391</v>
      </c>
      <c r="H504" s="1192" t="s">
        <v>2624</v>
      </c>
      <c r="I504" s="1194" t="s">
        <v>2605</v>
      </c>
      <c r="J504" s="1192">
        <v>1682</v>
      </c>
      <c r="K504" s="1192"/>
      <c r="L504" s="1193"/>
      <c r="M504" s="489" t="str">
        <f t="shared" si="14"/>
        <v>DDDDDDDĐ</v>
      </c>
    </row>
    <row r="505" spans="1:13" ht="18.95" customHeight="1">
      <c r="A505" s="515">
        <v>392</v>
      </c>
      <c r="B505" s="1192" t="s">
        <v>2625</v>
      </c>
      <c r="C505" s="1194" t="s">
        <v>2605</v>
      </c>
      <c r="D505" s="1192">
        <v>7909</v>
      </c>
      <c r="E505" s="1192"/>
      <c r="F505" s="1193"/>
      <c r="G505" s="515">
        <v>392</v>
      </c>
      <c r="H505" s="1192" t="s">
        <v>2625</v>
      </c>
      <c r="I505" s="1194" t="s">
        <v>2605</v>
      </c>
      <c r="J505" s="1192">
        <v>7909</v>
      </c>
      <c r="K505" s="1192"/>
      <c r="L505" s="1193"/>
      <c r="M505" s="489" t="str">
        <f t="shared" si="14"/>
        <v>DDDDDDDĐ</v>
      </c>
    </row>
    <row r="506" spans="1:13" ht="18.95" customHeight="1">
      <c r="A506" s="515">
        <v>393</v>
      </c>
      <c r="B506" s="1192" t="s">
        <v>2626</v>
      </c>
      <c r="C506" s="1194" t="s">
        <v>2605</v>
      </c>
      <c r="D506" s="1192">
        <f>3500/1.1</f>
        <v>3181.8181818181815</v>
      </c>
      <c r="E506" s="1192"/>
      <c r="F506" s="1193"/>
      <c r="G506" s="515">
        <v>393</v>
      </c>
      <c r="H506" s="1192" t="s">
        <v>2626</v>
      </c>
      <c r="I506" s="1194" t="s">
        <v>2605</v>
      </c>
      <c r="J506" s="1192">
        <f>3500/1.1</f>
        <v>3181.8181818181815</v>
      </c>
      <c r="K506" s="1192"/>
      <c r="L506" s="1193"/>
      <c r="M506" s="489" t="str">
        <f t="shared" si="14"/>
        <v>DDDDDDDĐ</v>
      </c>
    </row>
    <row r="507" spans="1:13" ht="18.95" customHeight="1">
      <c r="A507" s="501"/>
      <c r="B507" s="2160" t="s">
        <v>2627</v>
      </c>
      <c r="C507" s="2160"/>
      <c r="D507" s="2160"/>
      <c r="E507" s="2160"/>
      <c r="F507" s="2160"/>
      <c r="G507" s="501"/>
      <c r="H507" s="2160" t="s">
        <v>2627</v>
      </c>
      <c r="I507" s="2160"/>
      <c r="J507" s="2160"/>
      <c r="K507" s="2160"/>
      <c r="L507" s="2160"/>
      <c r="M507" s="489" t="str">
        <f t="shared" si="14"/>
        <v>DDDDDDDĐ</v>
      </c>
    </row>
    <row r="508" spans="1:13" ht="18.95" customHeight="1">
      <c r="A508" s="501">
        <v>394</v>
      </c>
      <c r="B508" s="509" t="s">
        <v>2628</v>
      </c>
      <c r="C508" s="533" t="s">
        <v>2605</v>
      </c>
      <c r="D508" s="509">
        <v>1136</v>
      </c>
      <c r="E508" s="509"/>
      <c r="F508" s="511"/>
      <c r="G508" s="501">
        <v>394</v>
      </c>
      <c r="H508" s="509" t="s">
        <v>2628</v>
      </c>
      <c r="I508" s="533" t="s">
        <v>2605</v>
      </c>
      <c r="J508" s="509">
        <v>1136</v>
      </c>
      <c r="K508" s="509"/>
      <c r="L508" s="511"/>
      <c r="M508" s="489" t="str">
        <f t="shared" si="14"/>
        <v>DDDDDDDĐ</v>
      </c>
    </row>
    <row r="509" spans="1:13" ht="18.95" customHeight="1">
      <c r="A509" s="501">
        <v>395</v>
      </c>
      <c r="B509" s="509" t="s">
        <v>2629</v>
      </c>
      <c r="C509" s="533" t="s">
        <v>2605</v>
      </c>
      <c r="D509" s="509">
        <v>727</v>
      </c>
      <c r="E509" s="509"/>
      <c r="F509" s="511"/>
      <c r="G509" s="501">
        <v>395</v>
      </c>
      <c r="H509" s="509" t="s">
        <v>2629</v>
      </c>
      <c r="I509" s="533" t="s">
        <v>2605</v>
      </c>
      <c r="J509" s="509">
        <v>727</v>
      </c>
      <c r="K509" s="509"/>
      <c r="L509" s="511"/>
      <c r="M509" s="489" t="str">
        <f t="shared" si="14"/>
        <v>DDDDDDDĐ</v>
      </c>
    </row>
    <row r="510" spans="1:13" ht="18.95" customHeight="1">
      <c r="A510" s="501">
        <v>396</v>
      </c>
      <c r="B510" s="509" t="s">
        <v>2630</v>
      </c>
      <c r="C510" s="533" t="s">
        <v>2605</v>
      </c>
      <c r="D510" s="509">
        <v>7727</v>
      </c>
      <c r="E510" s="509"/>
      <c r="F510" s="511"/>
      <c r="G510" s="501">
        <v>396</v>
      </c>
      <c r="H510" s="509" t="s">
        <v>2630</v>
      </c>
      <c r="I510" s="533" t="s">
        <v>2605</v>
      </c>
      <c r="J510" s="509">
        <v>7727</v>
      </c>
      <c r="K510" s="509"/>
      <c r="L510" s="511"/>
      <c r="M510" s="489" t="str">
        <f t="shared" si="14"/>
        <v>DDDDDDDĐ</v>
      </c>
    </row>
    <row r="511" spans="1:13" ht="18.95" customHeight="1">
      <c r="A511" s="501">
        <v>397</v>
      </c>
      <c r="B511" s="509" t="s">
        <v>2631</v>
      </c>
      <c r="C511" s="533" t="s">
        <v>2605</v>
      </c>
      <c r="D511" s="509">
        <v>4364</v>
      </c>
      <c r="E511" s="509"/>
      <c r="F511" s="511"/>
      <c r="G511" s="501">
        <v>397</v>
      </c>
      <c r="H511" s="509" t="s">
        <v>2631</v>
      </c>
      <c r="I511" s="533" t="s">
        <v>2605</v>
      </c>
      <c r="J511" s="509">
        <v>4364</v>
      </c>
      <c r="K511" s="509"/>
      <c r="L511" s="511"/>
      <c r="M511" s="489" t="str">
        <f t="shared" si="14"/>
        <v>DDDDDDDĐ</v>
      </c>
    </row>
    <row r="512" spans="1:13" ht="18.95" customHeight="1">
      <c r="A512" s="501">
        <v>398</v>
      </c>
      <c r="B512" s="509" t="s">
        <v>2632</v>
      </c>
      <c r="C512" s="533" t="s">
        <v>2605</v>
      </c>
      <c r="D512" s="509">
        <v>4364</v>
      </c>
      <c r="E512" s="509"/>
      <c r="F512" s="511"/>
      <c r="G512" s="501">
        <v>398</v>
      </c>
      <c r="H512" s="509" t="s">
        <v>2632</v>
      </c>
      <c r="I512" s="533" t="s">
        <v>2605</v>
      </c>
      <c r="J512" s="509">
        <v>4364</v>
      </c>
      <c r="K512" s="509"/>
      <c r="L512" s="511"/>
      <c r="M512" s="489" t="str">
        <f t="shared" si="14"/>
        <v>DDDDDDDĐ</v>
      </c>
    </row>
    <row r="513" spans="1:13" ht="18.95" customHeight="1">
      <c r="A513" s="501">
        <v>399</v>
      </c>
      <c r="B513" s="509" t="s">
        <v>2633</v>
      </c>
      <c r="C513" s="533" t="s">
        <v>2605</v>
      </c>
      <c r="D513" s="509">
        <v>7682</v>
      </c>
      <c r="E513" s="509"/>
      <c r="F513" s="511"/>
      <c r="G513" s="501">
        <v>399</v>
      </c>
      <c r="H513" s="509" t="s">
        <v>2633</v>
      </c>
      <c r="I513" s="533" t="s">
        <v>2605</v>
      </c>
      <c r="J513" s="509">
        <v>7682</v>
      </c>
      <c r="K513" s="509"/>
      <c r="L513" s="511"/>
      <c r="M513" s="489" t="str">
        <f t="shared" si="14"/>
        <v>DDDDDDDĐ</v>
      </c>
    </row>
    <row r="514" spans="1:13" ht="18.95" customHeight="1">
      <c r="A514" s="501">
        <v>400</v>
      </c>
      <c r="B514" s="509" t="s">
        <v>2634</v>
      </c>
      <c r="C514" s="533" t="s">
        <v>2605</v>
      </c>
      <c r="D514" s="509">
        <v>4273</v>
      </c>
      <c r="E514" s="509"/>
      <c r="F514" s="511"/>
      <c r="G514" s="501">
        <v>400</v>
      </c>
      <c r="H514" s="509" t="s">
        <v>2634</v>
      </c>
      <c r="I514" s="533" t="s">
        <v>2605</v>
      </c>
      <c r="J514" s="509">
        <v>4273</v>
      </c>
      <c r="K514" s="509"/>
      <c r="L514" s="511"/>
      <c r="M514" s="489" t="str">
        <f t="shared" si="14"/>
        <v>DDDDDDDĐ</v>
      </c>
    </row>
    <row r="515" spans="1:13" ht="18.95" customHeight="1">
      <c r="A515" s="501">
        <v>401</v>
      </c>
      <c r="B515" s="509" t="s">
        <v>2635</v>
      </c>
      <c r="C515" s="533" t="s">
        <v>2605</v>
      </c>
      <c r="D515" s="509">
        <v>4364</v>
      </c>
      <c r="E515" s="509"/>
      <c r="F515" s="511"/>
      <c r="G515" s="501">
        <v>401</v>
      </c>
      <c r="H515" s="509" t="s">
        <v>2635</v>
      </c>
      <c r="I515" s="533" t="s">
        <v>2605</v>
      </c>
      <c r="J515" s="509">
        <v>4364</v>
      </c>
      <c r="K515" s="509"/>
      <c r="L515" s="511"/>
      <c r="M515" s="489" t="str">
        <f t="shared" si="14"/>
        <v>DDDDDDDĐ</v>
      </c>
    </row>
    <row r="516" spans="1:13" ht="18.95" customHeight="1">
      <c r="A516" s="501">
        <v>402</v>
      </c>
      <c r="B516" s="509" t="s">
        <v>2636</v>
      </c>
      <c r="C516" s="533" t="s">
        <v>2605</v>
      </c>
      <c r="D516" s="509">
        <v>4091</v>
      </c>
      <c r="E516" s="509"/>
      <c r="F516" s="511"/>
      <c r="G516" s="501">
        <v>402</v>
      </c>
      <c r="H516" s="509" t="s">
        <v>2636</v>
      </c>
      <c r="I516" s="533" t="s">
        <v>2605</v>
      </c>
      <c r="J516" s="509">
        <v>4091</v>
      </c>
      <c r="K516" s="509"/>
      <c r="L516" s="511"/>
      <c r="M516" s="489" t="str">
        <f t="shared" si="14"/>
        <v>DDDDDDDĐ</v>
      </c>
    </row>
    <row r="517" spans="1:13" ht="18.95" customHeight="1">
      <c r="A517" s="501">
        <v>403</v>
      </c>
      <c r="B517" s="509" t="s">
        <v>2637</v>
      </c>
      <c r="C517" s="533" t="s">
        <v>2605</v>
      </c>
      <c r="D517" s="509">
        <v>4091</v>
      </c>
      <c r="E517" s="509"/>
      <c r="F517" s="511"/>
      <c r="G517" s="501">
        <v>403</v>
      </c>
      <c r="H517" s="509" t="s">
        <v>2637</v>
      </c>
      <c r="I517" s="533" t="s">
        <v>2605</v>
      </c>
      <c r="J517" s="509">
        <v>4091</v>
      </c>
      <c r="K517" s="509"/>
      <c r="L517" s="511"/>
      <c r="M517" s="489" t="str">
        <f t="shared" si="14"/>
        <v>DDDDDDDĐ</v>
      </c>
    </row>
    <row r="518" spans="1:13" ht="18.95" customHeight="1">
      <c r="A518" s="501">
        <v>404</v>
      </c>
      <c r="B518" s="509" t="s">
        <v>2638</v>
      </c>
      <c r="C518" s="533" t="s">
        <v>2605</v>
      </c>
      <c r="D518" s="509">
        <v>2364</v>
      </c>
      <c r="E518" s="509"/>
      <c r="F518" s="511"/>
      <c r="G518" s="501">
        <v>404</v>
      </c>
      <c r="H518" s="509" t="s">
        <v>2638</v>
      </c>
      <c r="I518" s="533" t="s">
        <v>2605</v>
      </c>
      <c r="J518" s="509">
        <v>2364</v>
      </c>
      <c r="K518" s="509"/>
      <c r="L518" s="511"/>
      <c r="M518" s="489" t="str">
        <f t="shared" si="14"/>
        <v>DDDDDDDĐ</v>
      </c>
    </row>
    <row r="519" spans="1:13" ht="21" customHeight="1">
      <c r="A519" s="501">
        <v>405</v>
      </c>
      <c r="B519" s="509" t="s">
        <v>2639</v>
      </c>
      <c r="C519" s="533" t="s">
        <v>2605</v>
      </c>
      <c r="D519" s="509">
        <v>17273</v>
      </c>
      <c r="E519" s="509"/>
      <c r="F519" s="511"/>
      <c r="G519" s="501">
        <v>405</v>
      </c>
      <c r="H519" s="509" t="s">
        <v>2639</v>
      </c>
      <c r="I519" s="533" t="s">
        <v>2605</v>
      </c>
      <c r="J519" s="509">
        <v>17273</v>
      </c>
      <c r="K519" s="509"/>
      <c r="L519" s="511"/>
      <c r="M519" s="489" t="str">
        <f t="shared" si="14"/>
        <v>DDDDDDDĐ</v>
      </c>
    </row>
    <row r="520" spans="1:13" ht="18.95" customHeight="1">
      <c r="A520" s="501">
        <v>406</v>
      </c>
      <c r="B520" s="509" t="s">
        <v>2640</v>
      </c>
      <c r="C520" s="533" t="s">
        <v>2605</v>
      </c>
      <c r="D520" s="509">
        <v>45455</v>
      </c>
      <c r="E520" s="509"/>
      <c r="F520" s="511"/>
      <c r="G520" s="501">
        <v>406</v>
      </c>
      <c r="H520" s="509" t="s">
        <v>2640</v>
      </c>
      <c r="I520" s="533" t="s">
        <v>2605</v>
      </c>
      <c r="J520" s="509">
        <v>45455</v>
      </c>
      <c r="K520" s="509"/>
      <c r="L520" s="511"/>
      <c r="M520" s="489" t="str">
        <f t="shared" si="14"/>
        <v>DDDDDDDĐ</v>
      </c>
    </row>
    <row r="521" spans="1:13" ht="18.95" customHeight="1">
      <c r="A521" s="501">
        <v>407</v>
      </c>
      <c r="B521" s="509" t="s">
        <v>2641</v>
      </c>
      <c r="C521" s="533" t="s">
        <v>2605</v>
      </c>
      <c r="D521" s="509">
        <v>63636</v>
      </c>
      <c r="E521" s="509"/>
      <c r="F521" s="511"/>
      <c r="G521" s="501">
        <v>407</v>
      </c>
      <c r="H521" s="509" t="s">
        <v>2641</v>
      </c>
      <c r="I521" s="533" t="s">
        <v>2605</v>
      </c>
      <c r="J521" s="509">
        <v>63636</v>
      </c>
      <c r="K521" s="509"/>
      <c r="L521" s="511"/>
      <c r="M521" s="489" t="str">
        <f t="shared" si="14"/>
        <v>DDDDDDDĐ</v>
      </c>
    </row>
    <row r="522" spans="1:13" ht="18.95" customHeight="1">
      <c r="A522" s="501">
        <v>408</v>
      </c>
      <c r="B522" s="509" t="s">
        <v>2642</v>
      </c>
      <c r="C522" s="533" t="s">
        <v>2605</v>
      </c>
      <c r="D522" s="509">
        <v>33636</v>
      </c>
      <c r="E522" s="509"/>
      <c r="F522" s="511"/>
      <c r="G522" s="501">
        <v>408</v>
      </c>
      <c r="H522" s="509" t="s">
        <v>2642</v>
      </c>
      <c r="I522" s="533" t="s">
        <v>2605</v>
      </c>
      <c r="J522" s="509">
        <v>33636</v>
      </c>
      <c r="K522" s="509"/>
      <c r="L522" s="511"/>
      <c r="M522" s="489" t="str">
        <f t="shared" si="14"/>
        <v>DDDDDDDĐ</v>
      </c>
    </row>
    <row r="523" spans="1:13" ht="18.95" customHeight="1">
      <c r="A523" s="501">
        <v>409</v>
      </c>
      <c r="B523" s="509" t="s">
        <v>2643</v>
      </c>
      <c r="C523" s="533" t="s">
        <v>2605</v>
      </c>
      <c r="D523" s="509">
        <v>23636</v>
      </c>
      <c r="E523" s="509"/>
      <c r="F523" s="511"/>
      <c r="G523" s="501">
        <v>409</v>
      </c>
      <c r="H523" s="509" t="s">
        <v>2643</v>
      </c>
      <c r="I523" s="533" t="s">
        <v>2605</v>
      </c>
      <c r="J523" s="509">
        <v>23636</v>
      </c>
      <c r="K523" s="509"/>
      <c r="L523" s="511"/>
      <c r="M523" s="489" t="str">
        <f t="shared" si="14"/>
        <v>DDDDDDDĐ</v>
      </c>
    </row>
    <row r="524" spans="1:13" ht="18.95" customHeight="1">
      <c r="A524" s="501">
        <v>410</v>
      </c>
      <c r="B524" s="509" t="s">
        <v>2644</v>
      </c>
      <c r="C524" s="533" t="s">
        <v>2605</v>
      </c>
      <c r="D524" s="509">
        <v>4091</v>
      </c>
      <c r="E524" s="509"/>
      <c r="F524" s="511"/>
      <c r="G524" s="501">
        <v>410</v>
      </c>
      <c r="H524" s="509" t="s">
        <v>2644</v>
      </c>
      <c r="I524" s="533" t="s">
        <v>2605</v>
      </c>
      <c r="J524" s="509">
        <v>4091</v>
      </c>
      <c r="K524" s="509"/>
      <c r="L524" s="511"/>
      <c r="M524" s="489" t="str">
        <f t="shared" si="14"/>
        <v>DDDDDDDĐ</v>
      </c>
    </row>
    <row r="525" spans="1:13" ht="18.95" customHeight="1">
      <c r="A525" s="501"/>
      <c r="B525" s="2160" t="s">
        <v>5100</v>
      </c>
      <c r="C525" s="2160"/>
      <c r="D525" s="2160"/>
      <c r="E525" s="2160"/>
      <c r="F525" s="2160"/>
      <c r="G525" s="501"/>
      <c r="H525" s="2160" t="s">
        <v>5100</v>
      </c>
      <c r="I525" s="2160"/>
      <c r="J525" s="2160"/>
      <c r="K525" s="2160"/>
      <c r="L525" s="2160"/>
      <c r="M525" s="489" t="str">
        <f t="shared" si="14"/>
        <v>DDDDDDDĐ</v>
      </c>
    </row>
    <row r="526" spans="1:13" ht="18.95" customHeight="1">
      <c r="A526" s="501">
        <v>411</v>
      </c>
      <c r="B526" s="509" t="s">
        <v>5101</v>
      </c>
      <c r="C526" s="533" t="s">
        <v>2605</v>
      </c>
      <c r="D526" s="509">
        <f>14400/1.1</f>
        <v>13090.90909090909</v>
      </c>
      <c r="E526" s="509">
        <f>D526</f>
        <v>13090.90909090909</v>
      </c>
      <c r="F526" s="511"/>
      <c r="G526" s="501">
        <v>411</v>
      </c>
      <c r="H526" s="509" t="s">
        <v>5101</v>
      </c>
      <c r="I526" s="533" t="s">
        <v>2605</v>
      </c>
      <c r="J526" s="509">
        <f>14400/1.1</f>
        <v>13090.90909090909</v>
      </c>
      <c r="K526" s="509">
        <f>J526</f>
        <v>13090.90909090909</v>
      </c>
      <c r="L526" s="511"/>
      <c r="M526" s="489" t="str">
        <f t="shared" si="14"/>
        <v>DDDDDDDĐ</v>
      </c>
    </row>
    <row r="527" spans="1:13" ht="18.95" customHeight="1">
      <c r="A527" s="501">
        <v>412</v>
      </c>
      <c r="B527" s="509" t="s">
        <v>2645</v>
      </c>
      <c r="C527" s="533" t="s">
        <v>2605</v>
      </c>
      <c r="D527" s="509">
        <f>28000/1.1</f>
        <v>25454.545454545452</v>
      </c>
      <c r="E527" s="509">
        <f t="shared" ref="E527:E533" si="15">D527</f>
        <v>25454.545454545452</v>
      </c>
      <c r="F527" s="511"/>
      <c r="G527" s="501">
        <v>412</v>
      </c>
      <c r="H527" s="509" t="s">
        <v>2645</v>
      </c>
      <c r="I527" s="533" t="s">
        <v>2605</v>
      </c>
      <c r="J527" s="509">
        <f>28000/1.1</f>
        <v>25454.545454545452</v>
      </c>
      <c r="K527" s="509">
        <f t="shared" ref="K527:K533" si="16">J527</f>
        <v>25454.545454545452</v>
      </c>
      <c r="L527" s="511"/>
      <c r="M527" s="489" t="str">
        <f t="shared" si="14"/>
        <v>DDDDDDDĐ</v>
      </c>
    </row>
    <row r="528" spans="1:13" ht="18.95" customHeight="1">
      <c r="A528" s="501">
        <v>413</v>
      </c>
      <c r="B528" s="509" t="s">
        <v>2646</v>
      </c>
      <c r="C528" s="533" t="s">
        <v>2605</v>
      </c>
      <c r="D528" s="509">
        <f>28000/1.1</f>
        <v>25454.545454545452</v>
      </c>
      <c r="E528" s="509">
        <f t="shared" si="15"/>
        <v>25454.545454545452</v>
      </c>
      <c r="F528" s="511"/>
      <c r="G528" s="501">
        <v>413</v>
      </c>
      <c r="H528" s="509" t="s">
        <v>2646</v>
      </c>
      <c r="I528" s="533" t="s">
        <v>2605</v>
      </c>
      <c r="J528" s="509">
        <f>28000/1.1</f>
        <v>25454.545454545452</v>
      </c>
      <c r="K528" s="509">
        <f t="shared" si="16"/>
        <v>25454.545454545452</v>
      </c>
      <c r="L528" s="511"/>
      <c r="M528" s="489" t="str">
        <f t="shared" si="14"/>
        <v>DDDDDDDĐ</v>
      </c>
    </row>
    <row r="529" spans="1:13" ht="18.95" customHeight="1">
      <c r="A529" s="501">
        <v>414</v>
      </c>
      <c r="B529" s="509" t="s">
        <v>2647</v>
      </c>
      <c r="C529" s="533" t="s">
        <v>2605</v>
      </c>
      <c r="D529" s="509">
        <f>35000/1.1</f>
        <v>31818.181818181816</v>
      </c>
      <c r="E529" s="509">
        <f t="shared" si="15"/>
        <v>31818.181818181816</v>
      </c>
      <c r="F529" s="511"/>
      <c r="G529" s="501">
        <v>414</v>
      </c>
      <c r="H529" s="509" t="s">
        <v>2647</v>
      </c>
      <c r="I529" s="533" t="s">
        <v>2605</v>
      </c>
      <c r="J529" s="509">
        <f>35000/1.1</f>
        <v>31818.181818181816</v>
      </c>
      <c r="K529" s="509">
        <f t="shared" si="16"/>
        <v>31818.181818181816</v>
      </c>
      <c r="L529" s="511"/>
      <c r="M529" s="489" t="str">
        <f t="shared" si="14"/>
        <v>DDDDDDDĐ</v>
      </c>
    </row>
    <row r="530" spans="1:13" ht="38.25" customHeight="1">
      <c r="A530" s="501">
        <v>415</v>
      </c>
      <c r="B530" s="509" t="s">
        <v>2648</v>
      </c>
      <c r="C530" s="533" t="s">
        <v>2605</v>
      </c>
      <c r="D530" s="509">
        <f>35000/1.1</f>
        <v>31818.181818181816</v>
      </c>
      <c r="E530" s="509">
        <f t="shared" si="15"/>
        <v>31818.181818181816</v>
      </c>
      <c r="F530" s="511"/>
      <c r="G530" s="501">
        <v>415</v>
      </c>
      <c r="H530" s="509" t="s">
        <v>2648</v>
      </c>
      <c r="I530" s="533" t="s">
        <v>2605</v>
      </c>
      <c r="J530" s="509">
        <f>35000/1.1</f>
        <v>31818.181818181816</v>
      </c>
      <c r="K530" s="509">
        <f t="shared" si="16"/>
        <v>31818.181818181816</v>
      </c>
      <c r="L530" s="511"/>
      <c r="M530" s="489" t="str">
        <f t="shared" si="14"/>
        <v>DDDDDDDĐ</v>
      </c>
    </row>
    <row r="531" spans="1:13" ht="18.95" customHeight="1">
      <c r="A531" s="501">
        <v>416</v>
      </c>
      <c r="B531" s="509" t="s">
        <v>2649</v>
      </c>
      <c r="C531" s="533" t="s">
        <v>2605</v>
      </c>
      <c r="D531" s="509">
        <f>32000/1.1</f>
        <v>29090.909090909088</v>
      </c>
      <c r="E531" s="509">
        <f t="shared" si="15"/>
        <v>29090.909090909088</v>
      </c>
      <c r="F531" s="511"/>
      <c r="G531" s="501">
        <v>416</v>
      </c>
      <c r="H531" s="509" t="s">
        <v>2649</v>
      </c>
      <c r="I531" s="533" t="s">
        <v>2605</v>
      </c>
      <c r="J531" s="509">
        <f>32000/1.1</f>
        <v>29090.909090909088</v>
      </c>
      <c r="K531" s="509">
        <f t="shared" si="16"/>
        <v>29090.909090909088</v>
      </c>
      <c r="L531" s="511"/>
      <c r="M531" s="489" t="str">
        <f t="shared" si="14"/>
        <v>DDDDDDDĐ</v>
      </c>
    </row>
    <row r="532" spans="1:13" ht="18.95" customHeight="1">
      <c r="A532" s="501">
        <v>417</v>
      </c>
      <c r="B532" s="509" t="s">
        <v>2650</v>
      </c>
      <c r="C532" s="533" t="s">
        <v>2605</v>
      </c>
      <c r="D532" s="509">
        <f>42000/1.1</f>
        <v>38181.818181818177</v>
      </c>
      <c r="E532" s="509">
        <f t="shared" si="15"/>
        <v>38181.818181818177</v>
      </c>
      <c r="F532" s="511"/>
      <c r="G532" s="501">
        <v>417</v>
      </c>
      <c r="H532" s="509" t="s">
        <v>2650</v>
      </c>
      <c r="I532" s="533" t="s">
        <v>2605</v>
      </c>
      <c r="J532" s="509">
        <f>42000/1.1</f>
        <v>38181.818181818177</v>
      </c>
      <c r="K532" s="509">
        <f t="shared" si="16"/>
        <v>38181.818181818177</v>
      </c>
      <c r="L532" s="511"/>
      <c r="M532" s="489" t="str">
        <f t="shared" si="14"/>
        <v>DDDDDDDĐ</v>
      </c>
    </row>
    <row r="533" spans="1:13" ht="18" customHeight="1">
      <c r="A533" s="501">
        <v>418</v>
      </c>
      <c r="B533" s="509" t="s">
        <v>2651</v>
      </c>
      <c r="C533" s="533" t="s">
        <v>2605</v>
      </c>
      <c r="D533" s="509">
        <f>42000/1.1</f>
        <v>38181.818181818177</v>
      </c>
      <c r="E533" s="509">
        <f t="shared" si="15"/>
        <v>38181.818181818177</v>
      </c>
      <c r="F533" s="511"/>
      <c r="G533" s="501">
        <v>418</v>
      </c>
      <c r="H533" s="509" t="s">
        <v>2651</v>
      </c>
      <c r="I533" s="533" t="s">
        <v>2605</v>
      </c>
      <c r="J533" s="509">
        <f>42000/1.1</f>
        <v>38181.818181818177</v>
      </c>
      <c r="K533" s="509">
        <f t="shared" si="16"/>
        <v>38181.818181818177</v>
      </c>
      <c r="L533" s="511"/>
      <c r="M533" s="489" t="str">
        <f t="shared" si="14"/>
        <v>DDDDDDDĐ</v>
      </c>
    </row>
    <row r="534" spans="1:13" ht="18" customHeight="1">
      <c r="A534" s="501"/>
      <c r="B534" s="534" t="s">
        <v>2652</v>
      </c>
      <c r="C534" s="533"/>
      <c r="D534" s="509"/>
      <c r="E534" s="509"/>
      <c r="F534" s="511"/>
      <c r="G534" s="501"/>
      <c r="H534" s="534" t="s">
        <v>2652</v>
      </c>
      <c r="I534" s="533"/>
      <c r="J534" s="509"/>
      <c r="K534" s="509"/>
      <c r="L534" s="511"/>
      <c r="M534" s="489" t="str">
        <f t="shared" si="14"/>
        <v>DDDDDDDĐ</v>
      </c>
    </row>
    <row r="535" spans="1:13" ht="18" customHeight="1">
      <c r="A535" s="501">
        <v>419</v>
      </c>
      <c r="B535" s="509" t="s">
        <v>2653</v>
      </c>
      <c r="C535" s="533" t="s">
        <v>2325</v>
      </c>
      <c r="D535" s="509">
        <f>270000/500/1.1</f>
        <v>490.90909090909088</v>
      </c>
      <c r="E535" s="509">
        <f>D535</f>
        <v>490.90909090909088</v>
      </c>
      <c r="F535" s="511"/>
      <c r="G535" s="501">
        <v>419</v>
      </c>
      <c r="H535" s="509" t="s">
        <v>2653</v>
      </c>
      <c r="I535" s="533" t="s">
        <v>2325</v>
      </c>
      <c r="J535" s="509">
        <f>270000/500/1.1</f>
        <v>490.90909090909088</v>
      </c>
      <c r="K535" s="509">
        <f>J535</f>
        <v>490.90909090909088</v>
      </c>
      <c r="L535" s="511"/>
      <c r="M535" s="489" t="str">
        <f t="shared" si="14"/>
        <v>DDDDDDDĐ</v>
      </c>
    </row>
    <row r="536" spans="1:13" ht="18" customHeight="1">
      <c r="A536" s="501">
        <v>420</v>
      </c>
      <c r="B536" s="509" t="s">
        <v>5102</v>
      </c>
      <c r="C536" s="533" t="s">
        <v>2325</v>
      </c>
      <c r="D536" s="509">
        <v>700</v>
      </c>
      <c r="E536" s="509">
        <f>D536</f>
        <v>700</v>
      </c>
      <c r="F536" s="511"/>
      <c r="G536" s="501">
        <v>420</v>
      </c>
      <c r="H536" s="509" t="s">
        <v>5102</v>
      </c>
      <c r="I536" s="533" t="s">
        <v>2325</v>
      </c>
      <c r="J536" s="509">
        <v>700</v>
      </c>
      <c r="K536" s="509">
        <f>J536</f>
        <v>700</v>
      </c>
      <c r="L536" s="511"/>
      <c r="M536" s="489" t="str">
        <f t="shared" si="14"/>
        <v>DDDDDDDĐ</v>
      </c>
    </row>
    <row r="537" spans="1:13" ht="18" customHeight="1">
      <c r="A537" s="501">
        <v>421</v>
      </c>
      <c r="B537" s="509" t="s">
        <v>5103</v>
      </c>
      <c r="C537" s="533" t="s">
        <v>2344</v>
      </c>
      <c r="D537" s="509">
        <f>295000/2/1.1</f>
        <v>134090.90909090909</v>
      </c>
      <c r="E537" s="509">
        <f>D537</f>
        <v>134090.90909090909</v>
      </c>
      <c r="F537" s="511"/>
      <c r="G537" s="501">
        <v>421</v>
      </c>
      <c r="H537" s="509" t="s">
        <v>5103</v>
      </c>
      <c r="I537" s="533" t="s">
        <v>2344</v>
      </c>
      <c r="J537" s="509">
        <f>295000/2/1.1</f>
        <v>134090.90909090909</v>
      </c>
      <c r="K537" s="509">
        <f>J537</f>
        <v>134090.90909090909</v>
      </c>
      <c r="L537" s="511"/>
      <c r="M537" s="489" t="str">
        <f t="shared" si="14"/>
        <v>DDDDDDDĐ</v>
      </c>
    </row>
    <row r="538" spans="1:13" ht="18" customHeight="1">
      <c r="A538" s="501">
        <v>422</v>
      </c>
      <c r="B538" s="509" t="s">
        <v>5104</v>
      </c>
      <c r="C538" s="533" t="s">
        <v>2344</v>
      </c>
      <c r="D538" s="509">
        <f>175000/4/1.1</f>
        <v>39772.727272727272</v>
      </c>
      <c r="E538" s="509">
        <f>D538</f>
        <v>39772.727272727272</v>
      </c>
      <c r="F538" s="511"/>
      <c r="G538" s="501">
        <v>422</v>
      </c>
      <c r="H538" s="509" t="s">
        <v>5104</v>
      </c>
      <c r="I538" s="533" t="s">
        <v>2344</v>
      </c>
      <c r="J538" s="509">
        <f>175000/4/1.1</f>
        <v>39772.727272727272</v>
      </c>
      <c r="K538" s="509">
        <f>J538</f>
        <v>39772.727272727272</v>
      </c>
      <c r="L538" s="511"/>
      <c r="M538" s="489" t="str">
        <f t="shared" si="14"/>
        <v>DDDDDDDĐ</v>
      </c>
    </row>
    <row r="539" spans="1:13" ht="18" customHeight="1">
      <c r="A539" s="501">
        <v>423</v>
      </c>
      <c r="B539" s="509" t="s">
        <v>2654</v>
      </c>
      <c r="C539" s="533" t="s">
        <v>2344</v>
      </c>
      <c r="D539" s="509">
        <f>930000/20/1.1</f>
        <v>42272.727272727272</v>
      </c>
      <c r="E539" s="509">
        <f>D539</f>
        <v>42272.727272727272</v>
      </c>
      <c r="F539" s="511"/>
      <c r="G539" s="501">
        <v>423</v>
      </c>
      <c r="H539" s="509" t="s">
        <v>2654</v>
      </c>
      <c r="I539" s="533" t="s">
        <v>2344</v>
      </c>
      <c r="J539" s="509">
        <f>930000/20/1.1</f>
        <v>42272.727272727272</v>
      </c>
      <c r="K539" s="509">
        <f>J539</f>
        <v>42272.727272727272</v>
      </c>
      <c r="L539" s="511"/>
      <c r="M539" s="489" t="str">
        <f t="shared" si="14"/>
        <v>DDDDDDDĐ</v>
      </c>
    </row>
    <row r="540" spans="1:13" ht="18" customHeight="1">
      <c r="A540" s="501"/>
      <c r="B540" s="2160" t="s">
        <v>3864</v>
      </c>
      <c r="C540" s="2160"/>
      <c r="D540" s="2160"/>
      <c r="E540" s="2160"/>
      <c r="F540" s="2160"/>
      <c r="G540" s="501"/>
      <c r="H540" s="2160" t="s">
        <v>3864</v>
      </c>
      <c r="I540" s="2160"/>
      <c r="J540" s="2160"/>
      <c r="K540" s="2160"/>
      <c r="L540" s="2160"/>
      <c r="M540" s="489" t="str">
        <f t="shared" si="14"/>
        <v>DDDDDDDĐ</v>
      </c>
    </row>
    <row r="541" spans="1:13" ht="18" customHeight="1">
      <c r="A541" s="501">
        <v>424</v>
      </c>
      <c r="B541" s="509" t="s">
        <v>2655</v>
      </c>
      <c r="C541" s="533" t="s">
        <v>2605</v>
      </c>
      <c r="D541" s="509"/>
      <c r="E541" s="509">
        <f>14300/1.1</f>
        <v>12999.999999999998</v>
      </c>
      <c r="F541" s="511"/>
      <c r="G541" s="501">
        <v>424</v>
      </c>
      <c r="H541" s="509" t="s">
        <v>2655</v>
      </c>
      <c r="I541" s="533" t="s">
        <v>2605</v>
      </c>
      <c r="J541" s="509"/>
      <c r="K541" s="509">
        <f>14300/1.1</f>
        <v>12999.999999999998</v>
      </c>
      <c r="L541" s="511"/>
      <c r="M541" s="489" t="str">
        <f t="shared" si="14"/>
        <v>DDDDDDDĐ</v>
      </c>
    </row>
    <row r="542" spans="1:13" ht="21.75" customHeight="1">
      <c r="A542" s="501">
        <v>425</v>
      </c>
      <c r="B542" s="509" t="s">
        <v>2656</v>
      </c>
      <c r="C542" s="533" t="s">
        <v>2605</v>
      </c>
      <c r="D542" s="509"/>
      <c r="E542" s="509">
        <f>24200/1.1</f>
        <v>22000</v>
      </c>
      <c r="F542" s="511"/>
      <c r="G542" s="501">
        <v>425</v>
      </c>
      <c r="H542" s="509" t="s">
        <v>2656</v>
      </c>
      <c r="I542" s="533" t="s">
        <v>2605</v>
      </c>
      <c r="J542" s="509"/>
      <c r="K542" s="509">
        <f>24200/1.1</f>
        <v>22000</v>
      </c>
      <c r="L542" s="511"/>
      <c r="M542" s="489" t="str">
        <f t="shared" si="14"/>
        <v>DDDDDDDĐ</v>
      </c>
    </row>
    <row r="543" spans="1:13" ht="18.600000000000001" customHeight="1">
      <c r="A543" s="501">
        <v>426</v>
      </c>
      <c r="B543" s="509" t="s">
        <v>2657</v>
      </c>
      <c r="C543" s="533" t="s">
        <v>2605</v>
      </c>
      <c r="D543" s="509"/>
      <c r="E543" s="509">
        <f>39600/1.1</f>
        <v>36000</v>
      </c>
      <c r="F543" s="511"/>
      <c r="G543" s="501">
        <v>426</v>
      </c>
      <c r="H543" s="509" t="s">
        <v>2657</v>
      </c>
      <c r="I543" s="533" t="s">
        <v>2605</v>
      </c>
      <c r="J543" s="509"/>
      <c r="K543" s="509">
        <f>39600/1.1</f>
        <v>36000</v>
      </c>
      <c r="L543" s="511"/>
      <c r="M543" s="489" t="str">
        <f t="shared" si="14"/>
        <v>DDDDDDDĐ</v>
      </c>
    </row>
    <row r="544" spans="1:13" ht="18.600000000000001" customHeight="1">
      <c r="A544" s="501">
        <v>427</v>
      </c>
      <c r="B544" s="509" t="s">
        <v>2658</v>
      </c>
      <c r="C544" s="533" t="s">
        <v>2605</v>
      </c>
      <c r="D544" s="509"/>
      <c r="E544" s="509">
        <f>39600/1.1</f>
        <v>36000</v>
      </c>
      <c r="F544" s="511"/>
      <c r="G544" s="501">
        <v>427</v>
      </c>
      <c r="H544" s="509" t="s">
        <v>2658</v>
      </c>
      <c r="I544" s="533" t="s">
        <v>2605</v>
      </c>
      <c r="J544" s="509"/>
      <c r="K544" s="509">
        <f>39600/1.1</f>
        <v>36000</v>
      </c>
      <c r="L544" s="511"/>
      <c r="M544" s="489" t="str">
        <f t="shared" si="14"/>
        <v>DDDDDDDĐ</v>
      </c>
    </row>
    <row r="545" spans="1:13" ht="18.600000000000001" customHeight="1">
      <c r="A545" s="501">
        <v>428</v>
      </c>
      <c r="B545" s="509" t="s">
        <v>2659</v>
      </c>
      <c r="C545" s="533" t="s">
        <v>2605</v>
      </c>
      <c r="D545" s="509"/>
      <c r="E545" s="509">
        <f>39600/1.1</f>
        <v>36000</v>
      </c>
      <c r="F545" s="511"/>
      <c r="G545" s="501">
        <v>428</v>
      </c>
      <c r="H545" s="509" t="s">
        <v>2659</v>
      </c>
      <c r="I545" s="533" t="s">
        <v>2605</v>
      </c>
      <c r="J545" s="509"/>
      <c r="K545" s="509">
        <f>39600/1.1</f>
        <v>36000</v>
      </c>
      <c r="L545" s="511"/>
      <c r="M545" s="489" t="str">
        <f t="shared" si="14"/>
        <v>DDDDDDDĐ</v>
      </c>
    </row>
    <row r="546" spans="1:13" ht="18.600000000000001" customHeight="1">
      <c r="A546" s="501"/>
      <c r="B546" s="1195" t="s">
        <v>2660</v>
      </c>
      <c r="C546" s="1196"/>
      <c r="D546" s="1192"/>
      <c r="E546" s="1192"/>
      <c r="F546" s="1197"/>
      <c r="G546" s="501"/>
      <c r="H546" s="1195" t="s">
        <v>2660</v>
      </c>
      <c r="I546" s="1196"/>
      <c r="J546" s="1192"/>
      <c r="K546" s="1192"/>
      <c r="L546" s="1197"/>
      <c r="M546" s="489" t="str">
        <f t="shared" ref="M546:M609" si="17">IF(B546=H546,"DDDDDDDĐ","SSSSSSSSSSSS")</f>
        <v>DDDDDDDĐ</v>
      </c>
    </row>
    <row r="547" spans="1:13" ht="18" customHeight="1">
      <c r="A547" s="501">
        <v>429</v>
      </c>
      <c r="B547" s="1192" t="s">
        <v>2661</v>
      </c>
      <c r="C547" s="1198" t="s">
        <v>2605</v>
      </c>
      <c r="D547" s="1192">
        <v>618</v>
      </c>
      <c r="E547" s="1192"/>
      <c r="F547" s="1197"/>
      <c r="G547" s="501">
        <v>429</v>
      </c>
      <c r="H547" s="1192" t="s">
        <v>2661</v>
      </c>
      <c r="I547" s="1198" t="s">
        <v>2605</v>
      </c>
      <c r="J547" s="1192">
        <v>618</v>
      </c>
      <c r="K547" s="1192"/>
      <c r="L547" s="1197"/>
      <c r="M547" s="489" t="str">
        <f t="shared" si="17"/>
        <v>DDDDDDDĐ</v>
      </c>
    </row>
    <row r="548" spans="1:13" ht="18" customHeight="1">
      <c r="A548" s="501">
        <v>430</v>
      </c>
      <c r="B548" s="1192" t="s">
        <v>2662</v>
      </c>
      <c r="C548" s="1198" t="s">
        <v>2605</v>
      </c>
      <c r="D548" s="1192">
        <v>645</v>
      </c>
      <c r="E548" s="1192"/>
      <c r="F548" s="1197"/>
      <c r="G548" s="501">
        <v>430</v>
      </c>
      <c r="H548" s="1192" t="s">
        <v>2662</v>
      </c>
      <c r="I548" s="1198" t="s">
        <v>2605</v>
      </c>
      <c r="J548" s="1192">
        <v>645</v>
      </c>
      <c r="K548" s="1192"/>
      <c r="L548" s="1197"/>
      <c r="M548" s="489" t="str">
        <f t="shared" si="17"/>
        <v>DDDDDDDĐ</v>
      </c>
    </row>
    <row r="549" spans="1:13" ht="18" customHeight="1">
      <c r="A549" s="501">
        <v>431</v>
      </c>
      <c r="B549" s="1192" t="s">
        <v>2663</v>
      </c>
      <c r="C549" s="1198" t="s">
        <v>2605</v>
      </c>
      <c r="D549" s="1192">
        <v>627</v>
      </c>
      <c r="E549" s="1192"/>
      <c r="F549" s="1197"/>
      <c r="G549" s="501">
        <v>431</v>
      </c>
      <c r="H549" s="1192" t="s">
        <v>2663</v>
      </c>
      <c r="I549" s="1198" t="s">
        <v>2605</v>
      </c>
      <c r="J549" s="1192">
        <v>627</v>
      </c>
      <c r="K549" s="1192"/>
      <c r="L549" s="1197"/>
      <c r="M549" s="489" t="str">
        <f t="shared" si="17"/>
        <v>DDDDDDDĐ</v>
      </c>
    </row>
    <row r="550" spans="1:13" ht="18" customHeight="1">
      <c r="A550" s="501">
        <v>432</v>
      </c>
      <c r="B550" s="1192" t="s">
        <v>2629</v>
      </c>
      <c r="C550" s="1198" t="s">
        <v>2605</v>
      </c>
      <c r="D550" s="1192">
        <v>636</v>
      </c>
      <c r="E550" s="1192"/>
      <c r="F550" s="1197"/>
      <c r="G550" s="501">
        <v>432</v>
      </c>
      <c r="H550" s="1192" t="s">
        <v>2629</v>
      </c>
      <c r="I550" s="1198" t="s">
        <v>2605</v>
      </c>
      <c r="J550" s="1192">
        <v>636</v>
      </c>
      <c r="K550" s="1192"/>
      <c r="L550" s="1197"/>
      <c r="M550" s="489" t="str">
        <f t="shared" si="17"/>
        <v>DDDDDDDĐ</v>
      </c>
    </row>
    <row r="551" spans="1:13" ht="18" customHeight="1">
      <c r="A551" s="501"/>
      <c r="B551" s="2160" t="s">
        <v>3815</v>
      </c>
      <c r="C551" s="2160"/>
      <c r="D551" s="2160"/>
      <c r="E551" s="2160"/>
      <c r="F551" s="2160"/>
      <c r="G551" s="501"/>
      <c r="H551" s="2160" t="s">
        <v>3815</v>
      </c>
      <c r="I551" s="2160"/>
      <c r="J551" s="2160"/>
      <c r="K551" s="2160"/>
      <c r="L551" s="2160"/>
      <c r="M551" s="489" t="str">
        <f t="shared" si="17"/>
        <v>DDDDDDDĐ</v>
      </c>
    </row>
    <row r="552" spans="1:13" ht="18" customHeight="1">
      <c r="A552" s="501">
        <v>433</v>
      </c>
      <c r="B552" s="509" t="s">
        <v>2664</v>
      </c>
      <c r="C552" s="533" t="s">
        <v>2605</v>
      </c>
      <c r="D552" s="509">
        <v>650</v>
      </c>
      <c r="E552" s="509"/>
      <c r="F552" s="511"/>
      <c r="G552" s="501">
        <v>433</v>
      </c>
      <c r="H552" s="509" t="s">
        <v>2664</v>
      </c>
      <c r="I552" s="533" t="s">
        <v>2605</v>
      </c>
      <c r="J552" s="509">
        <v>650</v>
      </c>
      <c r="K552" s="509"/>
      <c r="L552" s="511"/>
      <c r="M552" s="489" t="str">
        <f t="shared" si="17"/>
        <v>DDDDDDDĐ</v>
      </c>
    </row>
    <row r="553" spans="1:13" ht="18" customHeight="1">
      <c r="A553" s="501">
        <v>434</v>
      </c>
      <c r="B553" s="509" t="s">
        <v>2665</v>
      </c>
      <c r="C553" s="533" t="s">
        <v>2605</v>
      </c>
      <c r="D553" s="509">
        <v>650</v>
      </c>
      <c r="E553" s="509"/>
      <c r="F553" s="511"/>
      <c r="G553" s="501">
        <v>434</v>
      </c>
      <c r="H553" s="509" t="s">
        <v>2665</v>
      </c>
      <c r="I553" s="533" t="s">
        <v>2605</v>
      </c>
      <c r="J553" s="509">
        <v>650</v>
      </c>
      <c r="K553" s="509"/>
      <c r="L553" s="511"/>
      <c r="M553" s="489" t="str">
        <f t="shared" si="17"/>
        <v>DDDDDDDĐ</v>
      </c>
    </row>
    <row r="554" spans="1:13" ht="18" customHeight="1">
      <c r="A554" s="1161"/>
      <c r="B554" s="1199" t="s">
        <v>2666</v>
      </c>
      <c r="C554" s="1168"/>
      <c r="D554" s="1169"/>
      <c r="E554" s="1169"/>
      <c r="F554" s="1159"/>
      <c r="G554" s="1161"/>
      <c r="H554" s="1199" t="s">
        <v>2666</v>
      </c>
      <c r="I554" s="1168"/>
      <c r="J554" s="1169"/>
      <c r="K554" s="1169"/>
      <c r="L554" s="1159"/>
      <c r="M554" s="489" t="str">
        <f t="shared" si="17"/>
        <v>DDDDDDDĐ</v>
      </c>
    </row>
    <row r="555" spans="1:13" ht="18" customHeight="1">
      <c r="A555" s="1161">
        <v>435</v>
      </c>
      <c r="B555" s="1169" t="s">
        <v>5277</v>
      </c>
      <c r="C555" s="1168"/>
      <c r="D555" s="1169"/>
      <c r="E555" s="1169"/>
      <c r="F555" s="1159"/>
      <c r="G555" s="1161">
        <v>435</v>
      </c>
      <c r="H555" s="1169" t="s">
        <v>5277</v>
      </c>
      <c r="I555" s="1168"/>
      <c r="J555" s="1169"/>
      <c r="K555" s="1169"/>
      <c r="L555" s="1159"/>
      <c r="M555" s="489" t="str">
        <f t="shared" si="17"/>
        <v>DDDDDDDĐ</v>
      </c>
    </row>
    <row r="556" spans="1:13" ht="18" customHeight="1">
      <c r="A556" s="1161"/>
      <c r="B556" s="1169" t="s">
        <v>2667</v>
      </c>
      <c r="C556" s="1168"/>
      <c r="D556" s="1169"/>
      <c r="E556" s="1169"/>
      <c r="F556" s="1159"/>
      <c r="G556" s="1161"/>
      <c r="H556" s="1169" t="s">
        <v>2667</v>
      </c>
      <c r="I556" s="1168"/>
      <c r="J556" s="1169"/>
      <c r="K556" s="1169"/>
      <c r="L556" s="1159"/>
      <c r="M556" s="489" t="str">
        <f t="shared" si="17"/>
        <v>DDDDDDDĐ</v>
      </c>
    </row>
    <row r="557" spans="1:13" ht="18" customHeight="1">
      <c r="A557" s="1161"/>
      <c r="B557" s="1200" t="s">
        <v>2668</v>
      </c>
      <c r="C557" s="1168"/>
      <c r="D557" s="1169"/>
      <c r="E557" s="1169"/>
      <c r="F557" s="1159"/>
      <c r="G557" s="1161"/>
      <c r="H557" s="1200" t="s">
        <v>2668</v>
      </c>
      <c r="I557" s="1168"/>
      <c r="J557" s="1169"/>
      <c r="K557" s="1169"/>
      <c r="L557" s="1159"/>
      <c r="M557" s="489" t="str">
        <f t="shared" si="17"/>
        <v>DDDDDDDĐ</v>
      </c>
    </row>
    <row r="558" spans="1:13" ht="18" customHeight="1">
      <c r="A558" s="1161"/>
      <c r="B558" s="1170" t="s">
        <v>2669</v>
      </c>
      <c r="C558" s="1201" t="s">
        <v>2670</v>
      </c>
      <c r="D558" s="1169">
        <f>94000/1.1</f>
        <v>85454.545454545441</v>
      </c>
      <c r="E558" s="1169"/>
      <c r="F558" s="1159"/>
      <c r="G558" s="1161"/>
      <c r="H558" s="1170" t="s">
        <v>2669</v>
      </c>
      <c r="I558" s="1201" t="s">
        <v>2670</v>
      </c>
      <c r="J558" s="1169">
        <f>94000/1.1</f>
        <v>85454.545454545441</v>
      </c>
      <c r="K558" s="1169"/>
      <c r="L558" s="1159"/>
      <c r="M558" s="489" t="str">
        <f t="shared" si="17"/>
        <v>DDDDDDDĐ</v>
      </c>
    </row>
    <row r="559" spans="1:13" ht="18" customHeight="1">
      <c r="A559" s="1161"/>
      <c r="B559" s="1170" t="s">
        <v>2671</v>
      </c>
      <c r="C559" s="1201" t="s">
        <v>2670</v>
      </c>
      <c r="D559" s="1169">
        <f>92000/1.1</f>
        <v>83636.363636363632</v>
      </c>
      <c r="E559" s="1169"/>
      <c r="F559" s="1159"/>
      <c r="G559" s="1161"/>
      <c r="H559" s="1170" t="s">
        <v>2671</v>
      </c>
      <c r="I559" s="1201" t="s">
        <v>2670</v>
      </c>
      <c r="J559" s="1169">
        <f>92000/1.1</f>
        <v>83636.363636363632</v>
      </c>
      <c r="K559" s="1169"/>
      <c r="L559" s="1159"/>
      <c r="M559" s="489" t="str">
        <f t="shared" si="17"/>
        <v>DDDDDDDĐ</v>
      </c>
    </row>
    <row r="560" spans="1:13" ht="18" customHeight="1">
      <c r="A560" s="1161">
        <v>436</v>
      </c>
      <c r="B560" s="1170" t="s">
        <v>5278</v>
      </c>
      <c r="C560" s="1168"/>
      <c r="D560" s="1169"/>
      <c r="E560" s="1169"/>
      <c r="F560" s="1159"/>
      <c r="G560" s="1161">
        <v>436</v>
      </c>
      <c r="H560" s="1170" t="s">
        <v>5278</v>
      </c>
      <c r="I560" s="1168"/>
      <c r="J560" s="1169"/>
      <c r="K560" s="1169"/>
      <c r="L560" s="1159"/>
      <c r="M560" s="489" t="str">
        <f t="shared" si="17"/>
        <v>DDDDDDDĐ</v>
      </c>
    </row>
    <row r="561" spans="1:13" ht="18" customHeight="1">
      <c r="A561" s="1161"/>
      <c r="B561" s="1170" t="s">
        <v>2669</v>
      </c>
      <c r="C561" s="1201" t="s">
        <v>2670</v>
      </c>
      <c r="D561" s="1169">
        <f>92000/1.1</f>
        <v>83636.363636363632</v>
      </c>
      <c r="E561" s="1169"/>
      <c r="F561" s="1159"/>
      <c r="G561" s="1161"/>
      <c r="H561" s="1170" t="s">
        <v>2669</v>
      </c>
      <c r="I561" s="1201" t="s">
        <v>2670</v>
      </c>
      <c r="J561" s="1169">
        <f>92000/1.1</f>
        <v>83636.363636363632</v>
      </c>
      <c r="K561" s="1169"/>
      <c r="L561" s="1159"/>
      <c r="M561" s="489" t="str">
        <f t="shared" si="17"/>
        <v>DDDDDDDĐ</v>
      </c>
    </row>
    <row r="562" spans="1:13" ht="20.100000000000001" customHeight="1">
      <c r="A562" s="1161"/>
      <c r="B562" s="1170" t="s">
        <v>2671</v>
      </c>
      <c r="C562" s="1201" t="s">
        <v>2670</v>
      </c>
      <c r="D562" s="1169">
        <f>90000/1.1</f>
        <v>81818.181818181809</v>
      </c>
      <c r="E562" s="1169"/>
      <c r="F562" s="1159"/>
      <c r="G562" s="1161"/>
      <c r="H562" s="1170" t="s">
        <v>2671</v>
      </c>
      <c r="I562" s="1201" t="s">
        <v>2670</v>
      </c>
      <c r="J562" s="1169">
        <f>90000/1.1</f>
        <v>81818.181818181809</v>
      </c>
      <c r="K562" s="1169"/>
      <c r="L562" s="1159"/>
      <c r="M562" s="489" t="str">
        <f t="shared" si="17"/>
        <v>DDDDDDDĐ</v>
      </c>
    </row>
    <row r="563" spans="1:13" ht="18" customHeight="1">
      <c r="A563" s="1161"/>
      <c r="B563" s="2160" t="s">
        <v>5279</v>
      </c>
      <c r="C563" s="2160"/>
      <c r="D563" s="2160"/>
      <c r="E563" s="2160"/>
      <c r="F563" s="2160"/>
      <c r="G563" s="1161"/>
      <c r="H563" s="2160" t="s">
        <v>5279</v>
      </c>
      <c r="I563" s="2160"/>
      <c r="J563" s="2160"/>
      <c r="K563" s="2160"/>
      <c r="L563" s="2160"/>
      <c r="M563" s="489" t="str">
        <f t="shared" si="17"/>
        <v>DDDDDDDĐ</v>
      </c>
    </row>
    <row r="564" spans="1:13" ht="18" customHeight="1">
      <c r="A564" s="1161">
        <v>437</v>
      </c>
      <c r="B564" s="1170" t="s">
        <v>5280</v>
      </c>
      <c r="C564" s="1201" t="s">
        <v>5273</v>
      </c>
      <c r="D564" s="1169"/>
      <c r="E564" s="1169">
        <v>134591</v>
      </c>
      <c r="F564" s="1159"/>
      <c r="G564" s="1161">
        <v>437</v>
      </c>
      <c r="H564" s="1170" t="s">
        <v>5280</v>
      </c>
      <c r="I564" s="1201" t="s">
        <v>5273</v>
      </c>
      <c r="J564" s="1169"/>
      <c r="K564" s="1169">
        <v>134591</v>
      </c>
      <c r="L564" s="1159"/>
      <c r="M564" s="489" t="str">
        <f t="shared" si="17"/>
        <v>DDDDDDDĐ</v>
      </c>
    </row>
    <row r="565" spans="1:13" ht="18" customHeight="1">
      <c r="A565" s="1161">
        <v>438</v>
      </c>
      <c r="B565" s="1170" t="s">
        <v>5281</v>
      </c>
      <c r="C565" s="1201" t="s">
        <v>5273</v>
      </c>
      <c r="D565" s="1169"/>
      <c r="E565" s="1169">
        <v>134591</v>
      </c>
      <c r="F565" s="1159"/>
      <c r="G565" s="1161">
        <v>438</v>
      </c>
      <c r="H565" s="1170" t="s">
        <v>5281</v>
      </c>
      <c r="I565" s="1201" t="s">
        <v>5273</v>
      </c>
      <c r="J565" s="1169"/>
      <c r="K565" s="1169">
        <v>134591</v>
      </c>
      <c r="L565" s="1159"/>
      <c r="M565" s="489" t="str">
        <f t="shared" si="17"/>
        <v>DDDDDDDĐ</v>
      </c>
    </row>
    <row r="566" spans="1:13" ht="18" customHeight="1">
      <c r="A566" s="1161">
        <v>439</v>
      </c>
      <c r="B566" s="1170" t="s">
        <v>5282</v>
      </c>
      <c r="C566" s="1201" t="s">
        <v>5273</v>
      </c>
      <c r="D566" s="1169"/>
      <c r="E566" s="1169">
        <v>168045</v>
      </c>
      <c r="F566" s="1169"/>
      <c r="G566" s="1161">
        <v>439</v>
      </c>
      <c r="H566" s="1170" t="s">
        <v>5282</v>
      </c>
      <c r="I566" s="1201" t="s">
        <v>5273</v>
      </c>
      <c r="J566" s="1169"/>
      <c r="K566" s="1169">
        <v>168045</v>
      </c>
      <c r="L566" s="1169"/>
      <c r="M566" s="489" t="str">
        <f t="shared" si="17"/>
        <v>DDDDDDDĐ</v>
      </c>
    </row>
    <row r="567" spans="1:13" ht="18" customHeight="1">
      <c r="A567" s="1161">
        <v>440</v>
      </c>
      <c r="B567" s="1170" t="s">
        <v>2672</v>
      </c>
      <c r="C567" s="1168"/>
      <c r="D567" s="1169"/>
      <c r="E567" s="1169"/>
      <c r="F567" s="1169"/>
      <c r="G567" s="1161">
        <v>440</v>
      </c>
      <c r="H567" s="1170" t="s">
        <v>2672</v>
      </c>
      <c r="I567" s="1168"/>
      <c r="J567" s="1169"/>
      <c r="K567" s="1169"/>
      <c r="L567" s="1169"/>
      <c r="M567" s="489" t="str">
        <f t="shared" si="17"/>
        <v>DDDDDDDĐ</v>
      </c>
    </row>
    <row r="568" spans="1:13" ht="18" customHeight="1">
      <c r="A568" s="1161"/>
      <c r="B568" s="1170" t="s">
        <v>2673</v>
      </c>
      <c r="C568" s="1201" t="s">
        <v>5273</v>
      </c>
      <c r="D568" s="1169"/>
      <c r="E568" s="1169">
        <v>129364</v>
      </c>
      <c r="F568" s="1169"/>
      <c r="G568" s="1161"/>
      <c r="H568" s="1170" t="s">
        <v>2673</v>
      </c>
      <c r="I568" s="1201" t="s">
        <v>5273</v>
      </c>
      <c r="J568" s="1169"/>
      <c r="K568" s="1169">
        <v>129364</v>
      </c>
      <c r="L568" s="1169"/>
      <c r="M568" s="489" t="str">
        <f t="shared" si="17"/>
        <v>DDDDDDDĐ</v>
      </c>
    </row>
    <row r="569" spans="1:13" ht="18" customHeight="1">
      <c r="A569" s="1161"/>
      <c r="B569" s="1170" t="s">
        <v>2674</v>
      </c>
      <c r="C569" s="1201" t="s">
        <v>5273</v>
      </c>
      <c r="D569" s="1169"/>
      <c r="E569" s="1169">
        <v>160727</v>
      </c>
      <c r="F569" s="1169"/>
      <c r="G569" s="1161"/>
      <c r="H569" s="1170" t="s">
        <v>2674</v>
      </c>
      <c r="I569" s="1201" t="s">
        <v>5273</v>
      </c>
      <c r="J569" s="1169"/>
      <c r="K569" s="1169">
        <v>160727</v>
      </c>
      <c r="L569" s="1169"/>
      <c r="M569" s="489" t="str">
        <f t="shared" si="17"/>
        <v>DDDDDDDĐ</v>
      </c>
    </row>
    <row r="570" spans="1:13" ht="18" customHeight="1">
      <c r="A570" s="1161">
        <v>441</v>
      </c>
      <c r="B570" s="1170" t="s">
        <v>5283</v>
      </c>
      <c r="C570" s="1168"/>
      <c r="D570" s="1169"/>
      <c r="E570" s="1169"/>
      <c r="F570" s="1169"/>
      <c r="G570" s="1161">
        <v>441</v>
      </c>
      <c r="H570" s="1170" t="s">
        <v>5283</v>
      </c>
      <c r="I570" s="1168"/>
      <c r="J570" s="1169"/>
      <c r="K570" s="1169"/>
      <c r="L570" s="1169"/>
      <c r="M570" s="489" t="str">
        <f t="shared" si="17"/>
        <v>DDDDDDDĐ</v>
      </c>
    </row>
    <row r="571" spans="1:13" ht="18" customHeight="1">
      <c r="A571" s="1161"/>
      <c r="B571" s="1170" t="s">
        <v>2673</v>
      </c>
      <c r="C571" s="1201" t="s">
        <v>5273</v>
      </c>
      <c r="D571" s="1169"/>
      <c r="E571" s="1169">
        <v>140864</v>
      </c>
      <c r="F571" s="1169"/>
      <c r="G571" s="1161"/>
      <c r="H571" s="1170" t="s">
        <v>2673</v>
      </c>
      <c r="I571" s="1201" t="s">
        <v>5273</v>
      </c>
      <c r="J571" s="1169"/>
      <c r="K571" s="1169">
        <v>140864</v>
      </c>
      <c r="L571" s="1169"/>
      <c r="M571" s="489" t="str">
        <f t="shared" si="17"/>
        <v>DDDDDDDĐ</v>
      </c>
    </row>
    <row r="572" spans="1:13" ht="18" customHeight="1">
      <c r="A572" s="1161"/>
      <c r="B572" s="1170" t="s">
        <v>2674</v>
      </c>
      <c r="C572" s="1201" t="s">
        <v>5273</v>
      </c>
      <c r="D572" s="1169"/>
      <c r="E572" s="1169">
        <v>146091</v>
      </c>
      <c r="F572" s="1169"/>
      <c r="G572" s="1161"/>
      <c r="H572" s="1170" t="s">
        <v>2674</v>
      </c>
      <c r="I572" s="1201" t="s">
        <v>5273</v>
      </c>
      <c r="J572" s="1169"/>
      <c r="K572" s="1169">
        <v>146091</v>
      </c>
      <c r="L572" s="1169"/>
      <c r="M572" s="489" t="str">
        <f t="shared" si="17"/>
        <v>DDDDDDDĐ</v>
      </c>
    </row>
    <row r="573" spans="1:13" ht="18" customHeight="1">
      <c r="A573" s="1161">
        <v>442</v>
      </c>
      <c r="B573" s="1170" t="s">
        <v>5284</v>
      </c>
      <c r="C573" s="1168"/>
      <c r="D573" s="1169"/>
      <c r="E573" s="1169"/>
      <c r="F573" s="1169"/>
      <c r="G573" s="1161">
        <v>442</v>
      </c>
      <c r="H573" s="1170" t="s">
        <v>5284</v>
      </c>
      <c r="I573" s="1168"/>
      <c r="J573" s="1169"/>
      <c r="K573" s="1169"/>
      <c r="L573" s="1169"/>
      <c r="M573" s="489" t="str">
        <f t="shared" si="17"/>
        <v>DDDDDDDĐ</v>
      </c>
    </row>
    <row r="574" spans="1:13" ht="18" customHeight="1">
      <c r="A574" s="1161"/>
      <c r="B574" s="1170" t="s">
        <v>2673</v>
      </c>
      <c r="C574" s="1201" t="s">
        <v>5273</v>
      </c>
      <c r="D574" s="1169"/>
      <c r="E574" s="1169">
        <v>193136</v>
      </c>
      <c r="F574" s="1169"/>
      <c r="G574" s="1161"/>
      <c r="H574" s="1170" t="s">
        <v>2673</v>
      </c>
      <c r="I574" s="1201" t="s">
        <v>5273</v>
      </c>
      <c r="J574" s="1169"/>
      <c r="K574" s="1169">
        <v>193136</v>
      </c>
      <c r="L574" s="1169"/>
      <c r="M574" s="489" t="str">
        <f t="shared" si="17"/>
        <v>DDDDDDDĐ</v>
      </c>
    </row>
    <row r="575" spans="1:13" ht="20.25" customHeight="1">
      <c r="A575" s="1161"/>
      <c r="B575" s="1170" t="s">
        <v>2674</v>
      </c>
      <c r="C575" s="1201" t="s">
        <v>5273</v>
      </c>
      <c r="D575" s="1169"/>
      <c r="E575" s="1169">
        <v>234955</v>
      </c>
      <c r="F575" s="1169"/>
      <c r="G575" s="1161"/>
      <c r="H575" s="1170" t="s">
        <v>2674</v>
      </c>
      <c r="I575" s="1201" t="s">
        <v>5273</v>
      </c>
      <c r="J575" s="1169"/>
      <c r="K575" s="1169">
        <v>234955</v>
      </c>
      <c r="L575" s="1169"/>
      <c r="M575" s="489" t="str">
        <f t="shared" si="17"/>
        <v>DDDDDDDĐ</v>
      </c>
    </row>
    <row r="576" spans="1:13" ht="18" customHeight="1">
      <c r="A576" s="1161">
        <v>443</v>
      </c>
      <c r="B576" s="1170" t="s">
        <v>5285</v>
      </c>
      <c r="C576" s="1168"/>
      <c r="D576" s="1169"/>
      <c r="E576" s="1169"/>
      <c r="F576" s="1169"/>
      <c r="G576" s="1161">
        <v>443</v>
      </c>
      <c r="H576" s="1170" t="s">
        <v>5285</v>
      </c>
      <c r="I576" s="1168"/>
      <c r="J576" s="1169"/>
      <c r="K576" s="1169"/>
      <c r="L576" s="1169"/>
      <c r="M576" s="489" t="str">
        <f t="shared" si="17"/>
        <v>DDDDDDDĐ</v>
      </c>
    </row>
    <row r="577" spans="1:13" ht="18" customHeight="1">
      <c r="A577" s="1161"/>
      <c r="B577" s="1170" t="s">
        <v>2673</v>
      </c>
      <c r="C577" s="1201" t="s">
        <v>5273</v>
      </c>
      <c r="D577" s="1169"/>
      <c r="E577" s="1169">
        <v>187909</v>
      </c>
      <c r="F577" s="1169"/>
      <c r="G577" s="1161"/>
      <c r="H577" s="1170" t="s">
        <v>2673</v>
      </c>
      <c r="I577" s="1201" t="s">
        <v>5273</v>
      </c>
      <c r="J577" s="1169"/>
      <c r="K577" s="1169">
        <v>187909</v>
      </c>
      <c r="L577" s="1169"/>
      <c r="M577" s="489" t="str">
        <f t="shared" si="17"/>
        <v>DDDDDDDĐ</v>
      </c>
    </row>
    <row r="578" spans="1:13" ht="18" customHeight="1">
      <c r="A578" s="1161"/>
      <c r="B578" s="1170" t="s">
        <v>2674</v>
      </c>
      <c r="C578" s="1201" t="s">
        <v>5273</v>
      </c>
      <c r="D578" s="1169"/>
      <c r="E578" s="1169">
        <v>261091</v>
      </c>
      <c r="F578" s="1169"/>
      <c r="G578" s="1161"/>
      <c r="H578" s="1170" t="s">
        <v>2674</v>
      </c>
      <c r="I578" s="1201" t="s">
        <v>5273</v>
      </c>
      <c r="J578" s="1169"/>
      <c r="K578" s="1169">
        <v>261091</v>
      </c>
      <c r="L578" s="1169"/>
      <c r="M578" s="489" t="str">
        <f t="shared" si="17"/>
        <v>DDDDDDDĐ</v>
      </c>
    </row>
    <row r="579" spans="1:13" ht="18" customHeight="1">
      <c r="A579" s="1161">
        <v>444</v>
      </c>
      <c r="B579" s="1170" t="s">
        <v>5286</v>
      </c>
      <c r="C579" s="1168"/>
      <c r="D579" s="1169"/>
      <c r="E579" s="1169"/>
      <c r="F579" s="1169"/>
      <c r="G579" s="1161">
        <v>444</v>
      </c>
      <c r="H579" s="1170" t="s">
        <v>5286</v>
      </c>
      <c r="I579" s="1168"/>
      <c r="J579" s="1169"/>
      <c r="K579" s="1169"/>
      <c r="L579" s="1169"/>
      <c r="M579" s="489" t="str">
        <f t="shared" si="17"/>
        <v>DDDDDDDĐ</v>
      </c>
    </row>
    <row r="580" spans="1:13" ht="18" customHeight="1">
      <c r="A580" s="1161"/>
      <c r="B580" s="1170" t="s">
        <v>2673</v>
      </c>
      <c r="C580" s="1201" t="s">
        <v>5273</v>
      </c>
      <c r="D580" s="1169"/>
      <c r="E580" s="1169">
        <v>288273</v>
      </c>
      <c r="F580" s="1169"/>
      <c r="G580" s="1161"/>
      <c r="H580" s="1170" t="s">
        <v>2673</v>
      </c>
      <c r="I580" s="1201" t="s">
        <v>5273</v>
      </c>
      <c r="J580" s="1169"/>
      <c r="K580" s="1169">
        <v>288273</v>
      </c>
      <c r="L580" s="1169"/>
      <c r="M580" s="489" t="str">
        <f t="shared" si="17"/>
        <v>DDDDDDDĐ</v>
      </c>
    </row>
    <row r="581" spans="1:13" ht="18" customHeight="1">
      <c r="A581" s="1161"/>
      <c r="B581" s="1170" t="s">
        <v>2674</v>
      </c>
      <c r="C581" s="1201" t="s">
        <v>5273</v>
      </c>
      <c r="D581" s="1169"/>
      <c r="E581" s="1169">
        <v>340545</v>
      </c>
      <c r="F581" s="1169"/>
      <c r="G581" s="1161"/>
      <c r="H581" s="1170" t="s">
        <v>2674</v>
      </c>
      <c r="I581" s="1201" t="s">
        <v>5273</v>
      </c>
      <c r="J581" s="1169"/>
      <c r="K581" s="1169">
        <v>340545</v>
      </c>
      <c r="L581" s="1169"/>
      <c r="M581" s="489" t="str">
        <f t="shared" si="17"/>
        <v>DDDDDDDĐ</v>
      </c>
    </row>
    <row r="582" spans="1:13" ht="18" customHeight="1">
      <c r="A582" s="1161">
        <v>445</v>
      </c>
      <c r="B582" s="1170" t="s">
        <v>5287</v>
      </c>
      <c r="C582" s="1201" t="s">
        <v>5273</v>
      </c>
      <c r="D582" s="1169"/>
      <c r="E582" s="1169">
        <v>404318</v>
      </c>
      <c r="F582" s="1169"/>
      <c r="G582" s="1161">
        <v>445</v>
      </c>
      <c r="H582" s="1170" t="s">
        <v>5287</v>
      </c>
      <c r="I582" s="1201" t="s">
        <v>5273</v>
      </c>
      <c r="J582" s="1169"/>
      <c r="K582" s="1169">
        <v>404318</v>
      </c>
      <c r="L582" s="1169"/>
      <c r="M582" s="489" t="str">
        <f t="shared" si="17"/>
        <v>DDDDDDDĐ</v>
      </c>
    </row>
    <row r="583" spans="1:13" ht="18" customHeight="1">
      <c r="A583" s="501"/>
      <c r="B583" s="2160" t="s">
        <v>5105</v>
      </c>
      <c r="C583" s="2160"/>
      <c r="D583" s="2160"/>
      <c r="E583" s="2160"/>
      <c r="F583" s="2160"/>
      <c r="G583" s="501"/>
      <c r="H583" s="2160" t="s">
        <v>5105</v>
      </c>
      <c r="I583" s="2160"/>
      <c r="J583" s="2160"/>
      <c r="K583" s="2160"/>
      <c r="L583" s="2160"/>
      <c r="M583" s="489" t="str">
        <f t="shared" si="17"/>
        <v>DDDDDDDĐ</v>
      </c>
    </row>
    <row r="584" spans="1:13" ht="18" customHeight="1">
      <c r="A584" s="501"/>
      <c r="B584" s="1005" t="s">
        <v>5106</v>
      </c>
      <c r="C584" s="1006"/>
      <c r="D584" s="1006"/>
      <c r="E584" s="1006"/>
      <c r="F584" s="1007"/>
      <c r="G584" s="501"/>
      <c r="H584" s="1005" t="s">
        <v>5106</v>
      </c>
      <c r="I584" s="1006"/>
      <c r="J584" s="1006"/>
      <c r="K584" s="1006"/>
      <c r="L584" s="1007"/>
      <c r="M584" s="489" t="str">
        <f t="shared" si="17"/>
        <v>DDDDDDDĐ</v>
      </c>
    </row>
    <row r="585" spans="1:13" ht="18" customHeight="1">
      <c r="A585" s="501">
        <v>446</v>
      </c>
      <c r="B585" s="523" t="s">
        <v>5288</v>
      </c>
      <c r="C585" s="536" t="s">
        <v>5273</v>
      </c>
      <c r="D585" s="509"/>
      <c r="E585" s="509">
        <f>112000/1.1</f>
        <v>101818.18181818181</v>
      </c>
      <c r="F585" s="509"/>
      <c r="G585" s="501">
        <v>446</v>
      </c>
      <c r="H585" s="523" t="s">
        <v>5288</v>
      </c>
      <c r="I585" s="536" t="s">
        <v>5273</v>
      </c>
      <c r="J585" s="509"/>
      <c r="K585" s="509">
        <f>112000/1.1</f>
        <v>101818.18181818181</v>
      </c>
      <c r="L585" s="509"/>
      <c r="M585" s="489" t="str">
        <f t="shared" si="17"/>
        <v>DDDDDDDĐ</v>
      </c>
    </row>
    <row r="586" spans="1:13" ht="18" customHeight="1">
      <c r="A586" s="501"/>
      <c r="B586" s="535" t="s">
        <v>2675</v>
      </c>
      <c r="C586" s="515"/>
      <c r="D586" s="509"/>
      <c r="E586" s="509"/>
      <c r="F586" s="509"/>
      <c r="G586" s="501"/>
      <c r="H586" s="535" t="s">
        <v>2675</v>
      </c>
      <c r="I586" s="515"/>
      <c r="J586" s="509"/>
      <c r="K586" s="509"/>
      <c r="L586" s="509"/>
      <c r="M586" s="489" t="str">
        <f t="shared" si="17"/>
        <v>DDDDDDDĐ</v>
      </c>
    </row>
    <row r="587" spans="1:13" ht="18" customHeight="1">
      <c r="A587" s="501">
        <v>447</v>
      </c>
      <c r="B587" s="523" t="s">
        <v>5289</v>
      </c>
      <c r="C587" s="536" t="s">
        <v>5273</v>
      </c>
      <c r="D587" s="509"/>
      <c r="E587" s="509">
        <f>116000/1.1</f>
        <v>105454.54545454544</v>
      </c>
      <c r="F587" s="509"/>
      <c r="G587" s="501">
        <v>447</v>
      </c>
      <c r="H587" s="523" t="s">
        <v>5289</v>
      </c>
      <c r="I587" s="536" t="s">
        <v>5273</v>
      </c>
      <c r="J587" s="509"/>
      <c r="K587" s="509">
        <f>116000/1.1</f>
        <v>105454.54545454544</v>
      </c>
      <c r="L587" s="509"/>
      <c r="M587" s="489" t="str">
        <f t="shared" si="17"/>
        <v>DDDDDDDĐ</v>
      </c>
    </row>
    <row r="588" spans="1:13" ht="18" customHeight="1">
      <c r="A588" s="501"/>
      <c r="B588" s="535" t="s">
        <v>2676</v>
      </c>
      <c r="C588" s="515"/>
      <c r="D588" s="509"/>
      <c r="E588" s="509"/>
      <c r="F588" s="509"/>
      <c r="G588" s="501"/>
      <c r="H588" s="535" t="s">
        <v>2676</v>
      </c>
      <c r="I588" s="515"/>
      <c r="J588" s="509"/>
      <c r="K588" s="509"/>
      <c r="L588" s="509"/>
      <c r="M588" s="489" t="str">
        <f t="shared" si="17"/>
        <v>DDDDDDDĐ</v>
      </c>
    </row>
    <row r="589" spans="1:13" ht="18" customHeight="1">
      <c r="A589" s="501">
        <v>448</v>
      </c>
      <c r="B589" s="523" t="s">
        <v>5290</v>
      </c>
      <c r="C589" s="536" t="s">
        <v>5273</v>
      </c>
      <c r="D589" s="509"/>
      <c r="E589" s="509">
        <f>118000/1.1</f>
        <v>107272.72727272726</v>
      </c>
      <c r="F589" s="509"/>
      <c r="G589" s="501">
        <v>448</v>
      </c>
      <c r="H589" s="523" t="s">
        <v>5290</v>
      </c>
      <c r="I589" s="536" t="s">
        <v>5273</v>
      </c>
      <c r="J589" s="509"/>
      <c r="K589" s="509">
        <f>118000/1.1</f>
        <v>107272.72727272726</v>
      </c>
      <c r="L589" s="509"/>
      <c r="M589" s="489" t="str">
        <f t="shared" si="17"/>
        <v>DDDDDDDĐ</v>
      </c>
    </row>
    <row r="590" spans="1:13" ht="18" customHeight="1">
      <c r="A590" s="501"/>
      <c r="B590" s="535" t="s">
        <v>2677</v>
      </c>
      <c r="C590" s="515"/>
      <c r="D590" s="509"/>
      <c r="E590" s="509"/>
      <c r="F590" s="509"/>
      <c r="G590" s="501"/>
      <c r="H590" s="535" t="s">
        <v>2677</v>
      </c>
      <c r="I590" s="515"/>
      <c r="J590" s="509"/>
      <c r="K590" s="509"/>
      <c r="L590" s="509"/>
      <c r="M590" s="489" t="str">
        <f t="shared" si="17"/>
        <v>DDDDDDDĐ</v>
      </c>
    </row>
    <row r="591" spans="1:13" ht="18" customHeight="1">
      <c r="A591" s="501">
        <v>449</v>
      </c>
      <c r="B591" s="523" t="s">
        <v>5291</v>
      </c>
      <c r="C591" s="536" t="s">
        <v>5273</v>
      </c>
      <c r="D591" s="509"/>
      <c r="E591" s="509">
        <f>124000/1.1</f>
        <v>112727.27272727272</v>
      </c>
      <c r="F591" s="509"/>
      <c r="G591" s="501">
        <v>449</v>
      </c>
      <c r="H591" s="523" t="s">
        <v>5291</v>
      </c>
      <c r="I591" s="536" t="s">
        <v>5273</v>
      </c>
      <c r="J591" s="509"/>
      <c r="K591" s="509">
        <f>124000/1.1</f>
        <v>112727.27272727272</v>
      </c>
      <c r="L591" s="509"/>
      <c r="M591" s="489" t="str">
        <f t="shared" si="17"/>
        <v>DDDDDDDĐ</v>
      </c>
    </row>
    <row r="592" spans="1:13" ht="18" customHeight="1">
      <c r="A592" s="501" t="s">
        <v>381</v>
      </c>
      <c r="B592" s="535" t="s">
        <v>3865</v>
      </c>
      <c r="C592" s="515"/>
      <c r="D592" s="509"/>
      <c r="E592" s="509"/>
      <c r="F592" s="509"/>
      <c r="G592" s="501" t="s">
        <v>381</v>
      </c>
      <c r="H592" s="535" t="s">
        <v>3865</v>
      </c>
      <c r="I592" s="515"/>
      <c r="J592" s="509"/>
      <c r="K592" s="509"/>
      <c r="L592" s="509"/>
      <c r="M592" s="489" t="str">
        <f t="shared" si="17"/>
        <v>DDDDDDDĐ</v>
      </c>
    </row>
    <row r="593" spans="1:13" ht="18" customHeight="1">
      <c r="A593" s="501">
        <v>450</v>
      </c>
      <c r="B593" s="523" t="s">
        <v>5292</v>
      </c>
      <c r="C593" s="536" t="s">
        <v>5273</v>
      </c>
      <c r="D593" s="509"/>
      <c r="E593" s="509">
        <f>120000/1.1</f>
        <v>109090.90909090909</v>
      </c>
      <c r="F593" s="509"/>
      <c r="G593" s="501">
        <v>450</v>
      </c>
      <c r="H593" s="523" t="s">
        <v>5292</v>
      </c>
      <c r="I593" s="536" t="s">
        <v>5273</v>
      </c>
      <c r="J593" s="509"/>
      <c r="K593" s="509">
        <f>120000/1.1</f>
        <v>109090.90909090909</v>
      </c>
      <c r="L593" s="509"/>
      <c r="M593" s="489" t="str">
        <f t="shared" si="17"/>
        <v>DDDDDDDĐ</v>
      </c>
    </row>
    <row r="594" spans="1:13" ht="18" customHeight="1">
      <c r="A594" s="501"/>
      <c r="B594" s="523" t="s">
        <v>3866</v>
      </c>
      <c r="C594" s="515"/>
      <c r="D594" s="509"/>
      <c r="E594" s="509"/>
      <c r="F594" s="509"/>
      <c r="G594" s="501"/>
      <c r="H594" s="523" t="s">
        <v>3866</v>
      </c>
      <c r="I594" s="515"/>
      <c r="J594" s="509"/>
      <c r="K594" s="509"/>
      <c r="L594" s="509"/>
      <c r="M594" s="489" t="str">
        <f t="shared" si="17"/>
        <v>DDDDDDDĐ</v>
      </c>
    </row>
    <row r="595" spans="1:13" ht="18" customHeight="1">
      <c r="A595" s="501">
        <v>451</v>
      </c>
      <c r="B595" s="523" t="s">
        <v>5293</v>
      </c>
      <c r="C595" s="536" t="s">
        <v>5273</v>
      </c>
      <c r="D595" s="509"/>
      <c r="E595" s="509">
        <f>139000/1.1</f>
        <v>126363.63636363635</v>
      </c>
      <c r="F595" s="509"/>
      <c r="G595" s="501">
        <v>451</v>
      </c>
      <c r="H595" s="523" t="s">
        <v>5293</v>
      </c>
      <c r="I595" s="536" t="s">
        <v>5273</v>
      </c>
      <c r="J595" s="509"/>
      <c r="K595" s="509">
        <f>139000/1.1</f>
        <v>126363.63636363635</v>
      </c>
      <c r="L595" s="509"/>
      <c r="M595" s="489" t="str">
        <f t="shared" si="17"/>
        <v>DDDDDDDĐ</v>
      </c>
    </row>
    <row r="596" spans="1:13" ht="18" customHeight="1">
      <c r="A596" s="501"/>
      <c r="B596" s="535" t="s">
        <v>3867</v>
      </c>
      <c r="C596" s="515"/>
      <c r="D596" s="509"/>
      <c r="E596" s="509"/>
      <c r="F596" s="509"/>
      <c r="G596" s="501"/>
      <c r="H596" s="535" t="s">
        <v>3867</v>
      </c>
      <c r="I596" s="515"/>
      <c r="J596" s="509"/>
      <c r="K596" s="509"/>
      <c r="L596" s="509"/>
      <c r="M596" s="489" t="str">
        <f t="shared" si="17"/>
        <v>DDDDDDDĐ</v>
      </c>
    </row>
    <row r="597" spans="1:13" ht="18" customHeight="1">
      <c r="A597" s="501"/>
      <c r="B597" s="1137" t="s">
        <v>5107</v>
      </c>
      <c r="C597" s="515"/>
      <c r="D597" s="509"/>
      <c r="E597" s="509"/>
      <c r="F597" s="509"/>
      <c r="G597" s="501"/>
      <c r="H597" s="1137" t="s">
        <v>5107</v>
      </c>
      <c r="I597" s="515"/>
      <c r="J597" s="509"/>
      <c r="K597" s="509"/>
      <c r="L597" s="509"/>
      <c r="M597" s="489" t="str">
        <f t="shared" si="17"/>
        <v>DDDDDDDĐ</v>
      </c>
    </row>
    <row r="598" spans="1:13" ht="18" customHeight="1">
      <c r="A598" s="501">
        <v>452</v>
      </c>
      <c r="B598" s="523" t="s">
        <v>5108</v>
      </c>
      <c r="C598" s="536" t="s">
        <v>5273</v>
      </c>
      <c r="D598" s="509"/>
      <c r="E598" s="509">
        <f>280000/1.1</f>
        <v>254545.45454545453</v>
      </c>
      <c r="F598" s="509"/>
      <c r="G598" s="501">
        <v>452</v>
      </c>
      <c r="H598" s="523" t="s">
        <v>5108</v>
      </c>
      <c r="I598" s="536" t="s">
        <v>5273</v>
      </c>
      <c r="J598" s="509"/>
      <c r="K598" s="509">
        <f>280000/1.1</f>
        <v>254545.45454545453</v>
      </c>
      <c r="L598" s="509"/>
      <c r="M598" s="489" t="str">
        <f t="shared" si="17"/>
        <v>DDDDDDDĐ</v>
      </c>
    </row>
    <row r="599" spans="1:13" ht="18" customHeight="1">
      <c r="A599" s="501">
        <v>453</v>
      </c>
      <c r="B599" s="523" t="s">
        <v>5109</v>
      </c>
      <c r="C599" s="536" t="s">
        <v>5273</v>
      </c>
      <c r="D599" s="509"/>
      <c r="E599" s="509">
        <f>178000/1.1</f>
        <v>161818.18181818179</v>
      </c>
      <c r="F599" s="509"/>
      <c r="G599" s="501">
        <v>453</v>
      </c>
      <c r="H599" s="523" t="s">
        <v>5109</v>
      </c>
      <c r="I599" s="536" t="s">
        <v>5273</v>
      </c>
      <c r="J599" s="509"/>
      <c r="K599" s="509">
        <f>178000/1.1</f>
        <v>161818.18181818179</v>
      </c>
      <c r="L599" s="509"/>
      <c r="M599" s="489" t="str">
        <f t="shared" si="17"/>
        <v>DDDDDDDĐ</v>
      </c>
    </row>
    <row r="600" spans="1:13" ht="18" customHeight="1">
      <c r="A600" s="501">
        <v>454</v>
      </c>
      <c r="B600" s="523" t="s">
        <v>5110</v>
      </c>
      <c r="C600" s="536" t="s">
        <v>5273</v>
      </c>
      <c r="D600" s="509"/>
      <c r="E600" s="509">
        <f>152000/1.1</f>
        <v>138181.81818181818</v>
      </c>
      <c r="F600" s="509"/>
      <c r="G600" s="501">
        <v>454</v>
      </c>
      <c r="H600" s="523" t="s">
        <v>5110</v>
      </c>
      <c r="I600" s="536" t="s">
        <v>5273</v>
      </c>
      <c r="J600" s="509"/>
      <c r="K600" s="509">
        <f>152000/1.1</f>
        <v>138181.81818181818</v>
      </c>
      <c r="L600" s="509"/>
      <c r="M600" s="489" t="str">
        <f t="shared" si="17"/>
        <v>DDDDDDDĐ</v>
      </c>
    </row>
    <row r="601" spans="1:13" ht="18" customHeight="1">
      <c r="A601" s="1161"/>
      <c r="B601" s="1164" t="s">
        <v>5294</v>
      </c>
      <c r="C601" s="1168"/>
      <c r="D601" s="1169"/>
      <c r="E601" s="1169"/>
      <c r="F601" s="1169"/>
      <c r="G601" s="1161"/>
      <c r="H601" s="1164" t="s">
        <v>5294</v>
      </c>
      <c r="I601" s="1168"/>
      <c r="J601" s="1169"/>
      <c r="K601" s="1169"/>
      <c r="L601" s="1169"/>
      <c r="M601" s="489" t="str">
        <f t="shared" si="17"/>
        <v>DDDDDDDĐ</v>
      </c>
    </row>
    <row r="602" spans="1:13" ht="18" customHeight="1">
      <c r="A602" s="1161">
        <v>455</v>
      </c>
      <c r="B602" s="1202" t="s">
        <v>5295</v>
      </c>
      <c r="C602" s="1201" t="s">
        <v>5273</v>
      </c>
      <c r="D602" s="1169"/>
      <c r="E602" s="1169">
        <f>111000/1.1</f>
        <v>100909.0909090909</v>
      </c>
      <c r="F602" s="1203"/>
      <c r="G602" s="1161">
        <v>455</v>
      </c>
      <c r="H602" s="1202" t="s">
        <v>5295</v>
      </c>
      <c r="I602" s="1201" t="s">
        <v>5273</v>
      </c>
      <c r="J602" s="1169"/>
      <c r="K602" s="1169">
        <f>111000/1.1</f>
        <v>100909.0909090909</v>
      </c>
      <c r="L602" s="1203"/>
      <c r="M602" s="489" t="str">
        <f t="shared" si="17"/>
        <v>DDDDDDDĐ</v>
      </c>
    </row>
    <row r="603" spans="1:13" ht="18" customHeight="1">
      <c r="A603" s="1161">
        <v>456</v>
      </c>
      <c r="B603" s="1204" t="s">
        <v>5296</v>
      </c>
      <c r="C603" s="1201" t="s">
        <v>5273</v>
      </c>
      <c r="D603" s="1169"/>
      <c r="E603" s="1169">
        <f>186000/1.1</f>
        <v>169090.90909090909</v>
      </c>
      <c r="F603" s="1169"/>
      <c r="G603" s="1161">
        <v>456</v>
      </c>
      <c r="H603" s="1204" t="s">
        <v>5296</v>
      </c>
      <c r="I603" s="1201" t="s">
        <v>5273</v>
      </c>
      <c r="J603" s="1169"/>
      <c r="K603" s="1169">
        <f>186000/1.1</f>
        <v>169090.90909090909</v>
      </c>
      <c r="L603" s="1169"/>
      <c r="M603" s="489" t="str">
        <f t="shared" si="17"/>
        <v>DDDDDDDĐ</v>
      </c>
    </row>
    <row r="604" spans="1:13" ht="18" customHeight="1">
      <c r="A604" s="1161">
        <v>457</v>
      </c>
      <c r="B604" s="1170" t="s">
        <v>5297</v>
      </c>
      <c r="C604" s="1201"/>
      <c r="D604" s="1169"/>
      <c r="E604" s="1169"/>
      <c r="F604" s="1169"/>
      <c r="G604" s="1161">
        <v>457</v>
      </c>
      <c r="H604" s="1170" t="s">
        <v>5297</v>
      </c>
      <c r="I604" s="1201"/>
      <c r="J604" s="1169"/>
      <c r="K604" s="1169"/>
      <c r="L604" s="1169"/>
      <c r="M604" s="489" t="str">
        <f t="shared" si="17"/>
        <v>DDDDDDDĐ</v>
      </c>
    </row>
    <row r="605" spans="1:13" ht="18" customHeight="1">
      <c r="A605" s="1168"/>
      <c r="B605" s="1205" t="s">
        <v>2678</v>
      </c>
      <c r="C605" s="1201" t="s">
        <v>5273</v>
      </c>
      <c r="D605" s="1169"/>
      <c r="E605" s="1169">
        <f>98000/1.1</f>
        <v>89090.909090909088</v>
      </c>
      <c r="F605" s="1169"/>
      <c r="G605" s="1168"/>
      <c r="H605" s="1205" t="s">
        <v>2678</v>
      </c>
      <c r="I605" s="1201" t="s">
        <v>5273</v>
      </c>
      <c r="J605" s="1169"/>
      <c r="K605" s="1169">
        <f>98000/1.1</f>
        <v>89090.909090909088</v>
      </c>
      <c r="L605" s="1169"/>
      <c r="M605" s="489" t="str">
        <f t="shared" si="17"/>
        <v>DDDDDDDĐ</v>
      </c>
    </row>
    <row r="606" spans="1:13" ht="18" customHeight="1">
      <c r="A606" s="1168"/>
      <c r="B606" s="1184" t="s">
        <v>2679</v>
      </c>
      <c r="C606" s="1201" t="s">
        <v>5273</v>
      </c>
      <c r="D606" s="1169"/>
      <c r="E606" s="1169">
        <f>91000/1.1</f>
        <v>82727.272727272721</v>
      </c>
      <c r="F606" s="1169"/>
      <c r="G606" s="1168"/>
      <c r="H606" s="1184" t="s">
        <v>2679</v>
      </c>
      <c r="I606" s="1201" t="s">
        <v>5273</v>
      </c>
      <c r="J606" s="1169"/>
      <c r="K606" s="1169">
        <f>91000/1.1</f>
        <v>82727.272727272721</v>
      </c>
      <c r="L606" s="1169"/>
      <c r="M606" s="489" t="str">
        <f t="shared" si="17"/>
        <v>DDDDDDDĐ</v>
      </c>
    </row>
    <row r="607" spans="1:13" ht="18" customHeight="1">
      <c r="A607" s="1168">
        <v>458</v>
      </c>
      <c r="B607" s="1170" t="s">
        <v>5298</v>
      </c>
      <c r="C607" s="1201"/>
      <c r="D607" s="1169"/>
      <c r="E607" s="1169"/>
      <c r="F607" s="1169"/>
      <c r="G607" s="1168">
        <v>458</v>
      </c>
      <c r="H607" s="1170" t="s">
        <v>5298</v>
      </c>
      <c r="I607" s="1201"/>
      <c r="J607" s="1169"/>
      <c r="K607" s="1169"/>
      <c r="L607" s="1169"/>
      <c r="M607" s="489" t="str">
        <f t="shared" si="17"/>
        <v>DDDDDDDĐ</v>
      </c>
    </row>
    <row r="608" spans="1:13" ht="18" customHeight="1">
      <c r="A608" s="1168"/>
      <c r="B608" s="1205" t="s">
        <v>2678</v>
      </c>
      <c r="C608" s="1201" t="s">
        <v>5273</v>
      </c>
      <c r="D608" s="1169"/>
      <c r="E608" s="1169">
        <f>106000/1.1</f>
        <v>96363.636363636353</v>
      </c>
      <c r="F608" s="1169"/>
      <c r="G608" s="1168"/>
      <c r="H608" s="1205" t="s">
        <v>2678</v>
      </c>
      <c r="I608" s="1201" t="s">
        <v>5273</v>
      </c>
      <c r="J608" s="1169"/>
      <c r="K608" s="1169">
        <f>106000/1.1</f>
        <v>96363.636363636353</v>
      </c>
      <c r="L608" s="1169"/>
      <c r="M608" s="489" t="str">
        <f t="shared" si="17"/>
        <v>DDDDDDDĐ</v>
      </c>
    </row>
    <row r="609" spans="1:13" ht="36.75" customHeight="1">
      <c r="A609" s="1161">
        <v>459</v>
      </c>
      <c r="B609" s="1206" t="s">
        <v>5299</v>
      </c>
      <c r="C609" s="1201"/>
      <c r="D609" s="1169"/>
      <c r="E609" s="1169"/>
      <c r="F609" s="1169"/>
      <c r="G609" s="1161">
        <v>459</v>
      </c>
      <c r="H609" s="1206" t="s">
        <v>5299</v>
      </c>
      <c r="I609" s="1201"/>
      <c r="J609" s="1169"/>
      <c r="K609" s="1169"/>
      <c r="L609" s="1169"/>
      <c r="M609" s="489" t="str">
        <f t="shared" si="17"/>
        <v>DDDDDDDĐ</v>
      </c>
    </row>
    <row r="610" spans="1:13" ht="18" customHeight="1">
      <c r="A610" s="1161"/>
      <c r="B610" s="1205" t="s">
        <v>2678</v>
      </c>
      <c r="C610" s="1201" t="s">
        <v>5273</v>
      </c>
      <c r="D610" s="1169"/>
      <c r="E610" s="1169">
        <f>95000/1.1</f>
        <v>86363.636363636353</v>
      </c>
      <c r="F610" s="1169"/>
      <c r="G610" s="1161"/>
      <c r="H610" s="1205" t="s">
        <v>2678</v>
      </c>
      <c r="I610" s="1201" t="s">
        <v>5273</v>
      </c>
      <c r="J610" s="1169"/>
      <c r="K610" s="1169">
        <f>95000/1.1</f>
        <v>86363.636363636353</v>
      </c>
      <c r="L610" s="1169"/>
      <c r="M610" s="489" t="str">
        <f t="shared" ref="M610:M673" si="18">IF(B610=H610,"DDDDDDDĐ","SSSSSSSSSSSS")</f>
        <v>DDDDDDDĐ</v>
      </c>
    </row>
    <row r="611" spans="1:13" ht="18" customHeight="1">
      <c r="A611" s="1161"/>
      <c r="B611" s="1184" t="s">
        <v>2679</v>
      </c>
      <c r="C611" s="1201" t="s">
        <v>5273</v>
      </c>
      <c r="D611" s="1169"/>
      <c r="E611" s="1169">
        <f>88000/1.1</f>
        <v>80000</v>
      </c>
      <c r="F611" s="1169"/>
      <c r="G611" s="1161"/>
      <c r="H611" s="1184" t="s">
        <v>2679</v>
      </c>
      <c r="I611" s="1201" t="s">
        <v>5273</v>
      </c>
      <c r="J611" s="1169"/>
      <c r="K611" s="1169">
        <f>88000/1.1</f>
        <v>80000</v>
      </c>
      <c r="L611" s="1169"/>
      <c r="M611" s="489" t="str">
        <f t="shared" si="18"/>
        <v>DDDDDDDĐ</v>
      </c>
    </row>
    <row r="612" spans="1:13" ht="18" customHeight="1">
      <c r="A612" s="1161">
        <v>460</v>
      </c>
      <c r="B612" s="1170" t="s">
        <v>5300</v>
      </c>
      <c r="C612" s="1201"/>
      <c r="D612" s="1169"/>
      <c r="E612" s="1169"/>
      <c r="F612" s="1169"/>
      <c r="G612" s="1161">
        <v>460</v>
      </c>
      <c r="H612" s="1170" t="s">
        <v>5300</v>
      </c>
      <c r="I612" s="1201"/>
      <c r="J612" s="1169"/>
      <c r="K612" s="1169"/>
      <c r="L612" s="1169"/>
      <c r="M612" s="489" t="str">
        <f t="shared" si="18"/>
        <v>DDDDDDDĐ</v>
      </c>
    </row>
    <row r="613" spans="1:13" ht="18" customHeight="1">
      <c r="A613" s="1161"/>
      <c r="B613" s="1205" t="s">
        <v>2678</v>
      </c>
      <c r="C613" s="1201" t="s">
        <v>5273</v>
      </c>
      <c r="D613" s="1169"/>
      <c r="E613" s="1169">
        <f>94000/1.1</f>
        <v>85454.545454545441</v>
      </c>
      <c r="F613" s="1169"/>
      <c r="G613" s="1161"/>
      <c r="H613" s="1205" t="s">
        <v>2678</v>
      </c>
      <c r="I613" s="1201" t="s">
        <v>5273</v>
      </c>
      <c r="J613" s="1169"/>
      <c r="K613" s="1169">
        <f>94000/1.1</f>
        <v>85454.545454545441</v>
      </c>
      <c r="L613" s="1169"/>
      <c r="M613" s="489" t="str">
        <f t="shared" si="18"/>
        <v>DDDDDDDĐ</v>
      </c>
    </row>
    <row r="614" spans="1:13" ht="18" customHeight="1">
      <c r="A614" s="1161"/>
      <c r="B614" s="1184" t="s">
        <v>2679</v>
      </c>
      <c r="C614" s="1201" t="s">
        <v>5273</v>
      </c>
      <c r="D614" s="1169"/>
      <c r="E614" s="1169">
        <f>90000/1.1</f>
        <v>81818.181818181809</v>
      </c>
      <c r="F614" s="1169"/>
      <c r="G614" s="1161"/>
      <c r="H614" s="1184" t="s">
        <v>2679</v>
      </c>
      <c r="I614" s="1201" t="s">
        <v>5273</v>
      </c>
      <c r="J614" s="1169"/>
      <c r="K614" s="1169">
        <f>90000/1.1</f>
        <v>81818.181818181809</v>
      </c>
      <c r="L614" s="1169"/>
      <c r="M614" s="489" t="str">
        <f t="shared" si="18"/>
        <v>DDDDDDDĐ</v>
      </c>
    </row>
    <row r="615" spans="1:13" ht="18" customHeight="1">
      <c r="A615" s="1161">
        <v>461</v>
      </c>
      <c r="B615" s="1206" t="s">
        <v>5301</v>
      </c>
      <c r="C615" s="1201"/>
      <c r="D615" s="1169"/>
      <c r="E615" s="1169"/>
      <c r="F615" s="1169"/>
      <c r="G615" s="1161">
        <v>461</v>
      </c>
      <c r="H615" s="1206" t="s">
        <v>5301</v>
      </c>
      <c r="I615" s="1201"/>
      <c r="J615" s="1169"/>
      <c r="K615" s="1169"/>
      <c r="L615" s="1169"/>
      <c r="M615" s="489" t="str">
        <f t="shared" si="18"/>
        <v>DDDDDDDĐ</v>
      </c>
    </row>
    <row r="616" spans="1:13" ht="18" customHeight="1">
      <c r="A616" s="1161"/>
      <c r="B616" s="1205" t="s">
        <v>2678</v>
      </c>
      <c r="C616" s="1201" t="s">
        <v>5273</v>
      </c>
      <c r="D616" s="1169"/>
      <c r="E616" s="1169">
        <f>110000/1.1</f>
        <v>99999.999999999985</v>
      </c>
      <c r="F616" s="1169"/>
      <c r="G616" s="1161"/>
      <c r="H616" s="1205" t="s">
        <v>2678</v>
      </c>
      <c r="I616" s="1201" t="s">
        <v>5273</v>
      </c>
      <c r="J616" s="1169"/>
      <c r="K616" s="1169">
        <f>110000/1.1</f>
        <v>99999.999999999985</v>
      </c>
      <c r="L616" s="1169"/>
      <c r="M616" s="489" t="str">
        <f t="shared" si="18"/>
        <v>DDDDDDDĐ</v>
      </c>
    </row>
    <row r="617" spans="1:13" ht="18" customHeight="1">
      <c r="A617" s="1161"/>
      <c r="B617" s="1184" t="s">
        <v>2679</v>
      </c>
      <c r="C617" s="1201" t="s">
        <v>5273</v>
      </c>
      <c r="D617" s="1169"/>
      <c r="E617" s="1169">
        <f>105000/1.1</f>
        <v>95454.545454545441</v>
      </c>
      <c r="F617" s="1169"/>
      <c r="G617" s="1161"/>
      <c r="H617" s="1184" t="s">
        <v>2679</v>
      </c>
      <c r="I617" s="1201" t="s">
        <v>5273</v>
      </c>
      <c r="J617" s="1169"/>
      <c r="K617" s="1169">
        <f>105000/1.1</f>
        <v>95454.545454545441</v>
      </c>
      <c r="L617" s="1169"/>
      <c r="M617" s="489" t="str">
        <f t="shared" si="18"/>
        <v>DDDDDDDĐ</v>
      </c>
    </row>
    <row r="618" spans="1:13" ht="18" customHeight="1">
      <c r="A618" s="1161">
        <v>462</v>
      </c>
      <c r="B618" s="1170" t="s">
        <v>5302</v>
      </c>
      <c r="C618" s="1201"/>
      <c r="D618" s="1169"/>
      <c r="E618" s="1169"/>
      <c r="F618" s="1169"/>
      <c r="G618" s="1161">
        <v>462</v>
      </c>
      <c r="H618" s="1170" t="s">
        <v>5302</v>
      </c>
      <c r="I618" s="1201"/>
      <c r="J618" s="1169"/>
      <c r="K618" s="1169"/>
      <c r="L618" s="1169"/>
      <c r="M618" s="489" t="str">
        <f t="shared" si="18"/>
        <v>DDDDDDDĐ</v>
      </c>
    </row>
    <row r="619" spans="1:13" ht="18" customHeight="1">
      <c r="A619" s="1161"/>
      <c r="B619" s="1205" t="s">
        <v>2678</v>
      </c>
      <c r="C619" s="1201" t="s">
        <v>5273</v>
      </c>
      <c r="D619" s="1169"/>
      <c r="E619" s="1169">
        <f>200000/1.1</f>
        <v>181818.18181818179</v>
      </c>
      <c r="F619" s="1169"/>
      <c r="G619" s="1161"/>
      <c r="H619" s="1205" t="s">
        <v>2678</v>
      </c>
      <c r="I619" s="1201" t="s">
        <v>5273</v>
      </c>
      <c r="J619" s="1169"/>
      <c r="K619" s="1169">
        <f>200000/1.1</f>
        <v>181818.18181818179</v>
      </c>
      <c r="L619" s="1169"/>
      <c r="M619" s="489" t="str">
        <f t="shared" si="18"/>
        <v>DDDDDDDĐ</v>
      </c>
    </row>
    <row r="620" spans="1:13" ht="18" customHeight="1">
      <c r="A620" s="1161">
        <v>463</v>
      </c>
      <c r="B620" s="1206" t="s">
        <v>5303</v>
      </c>
      <c r="C620" s="1201"/>
      <c r="D620" s="1169"/>
      <c r="E620" s="1169"/>
      <c r="F620" s="1169"/>
      <c r="G620" s="1161">
        <v>463</v>
      </c>
      <c r="H620" s="1206" t="s">
        <v>5303</v>
      </c>
      <c r="I620" s="1201"/>
      <c r="J620" s="1169"/>
      <c r="K620" s="1169"/>
      <c r="L620" s="1169"/>
      <c r="M620" s="489" t="str">
        <f t="shared" si="18"/>
        <v>DDDDDDDĐ</v>
      </c>
    </row>
    <row r="621" spans="1:13" ht="18" customHeight="1">
      <c r="A621" s="1161"/>
      <c r="B621" s="1205" t="s">
        <v>2678</v>
      </c>
      <c r="C621" s="1201" t="s">
        <v>5273</v>
      </c>
      <c r="D621" s="1169"/>
      <c r="E621" s="1169">
        <f>251000/1.1</f>
        <v>228181.81818181818</v>
      </c>
      <c r="F621" s="1169"/>
      <c r="G621" s="1161"/>
      <c r="H621" s="1205" t="s">
        <v>2678</v>
      </c>
      <c r="I621" s="1201" t="s">
        <v>5273</v>
      </c>
      <c r="J621" s="1169"/>
      <c r="K621" s="1169">
        <f>251000/1.1</f>
        <v>228181.81818181818</v>
      </c>
      <c r="L621" s="1169"/>
      <c r="M621" s="489" t="str">
        <f t="shared" si="18"/>
        <v>DDDDDDDĐ</v>
      </c>
    </row>
    <row r="622" spans="1:13" ht="18" customHeight="1">
      <c r="A622" s="558"/>
      <c r="B622" s="993" t="s">
        <v>3724</v>
      </c>
      <c r="C622" s="558"/>
      <c r="D622" s="582"/>
      <c r="E622" s="582"/>
      <c r="F622" s="582"/>
      <c r="G622" s="558"/>
      <c r="H622" s="993" t="s">
        <v>3724</v>
      </c>
      <c r="I622" s="558"/>
      <c r="J622" s="582"/>
      <c r="K622" s="582"/>
      <c r="L622" s="582"/>
      <c r="M622" s="489" t="str">
        <f t="shared" si="18"/>
        <v>DDDDDDDĐ</v>
      </c>
    </row>
    <row r="623" spans="1:13" ht="18" customHeight="1">
      <c r="A623" s="558">
        <v>464</v>
      </c>
      <c r="B623" s="556" t="s">
        <v>2680</v>
      </c>
      <c r="C623" s="994" t="s">
        <v>5304</v>
      </c>
      <c r="D623" s="582"/>
      <c r="E623" s="582">
        <f>113000/1.1+8000</f>
        <v>110727.27272727272</v>
      </c>
      <c r="F623" s="582"/>
      <c r="G623" s="558">
        <v>464</v>
      </c>
      <c r="H623" s="556" t="s">
        <v>2680</v>
      </c>
      <c r="I623" s="994" t="s">
        <v>5304</v>
      </c>
      <c r="J623" s="582"/>
      <c r="K623" s="582">
        <f>113000/1.1+8000</f>
        <v>110727.27272727272</v>
      </c>
      <c r="L623" s="582"/>
      <c r="M623" s="489" t="str">
        <f t="shared" si="18"/>
        <v>DDDDDDDĐ</v>
      </c>
    </row>
    <row r="624" spans="1:13" ht="25.5" customHeight="1">
      <c r="A624" s="558">
        <v>465</v>
      </c>
      <c r="B624" s="556" t="s">
        <v>2681</v>
      </c>
      <c r="C624" s="994" t="s">
        <v>5304</v>
      </c>
      <c r="D624" s="582"/>
      <c r="E624" s="582">
        <f>123000/1.1+8000</f>
        <v>119818.18181818181</v>
      </c>
      <c r="F624" s="582"/>
      <c r="G624" s="558">
        <v>465</v>
      </c>
      <c r="H624" s="556" t="s">
        <v>2681</v>
      </c>
      <c r="I624" s="994" t="s">
        <v>5304</v>
      </c>
      <c r="J624" s="582"/>
      <c r="K624" s="582">
        <f>123000/1.1+8000</f>
        <v>119818.18181818181</v>
      </c>
      <c r="L624" s="582"/>
      <c r="M624" s="489" t="str">
        <f t="shared" si="18"/>
        <v>DDDDDDDĐ</v>
      </c>
    </row>
    <row r="625" spans="1:13" ht="18" customHeight="1">
      <c r="A625" s="501"/>
      <c r="B625" s="514" t="s">
        <v>3725</v>
      </c>
      <c r="C625" s="515"/>
      <c r="D625" s="509"/>
      <c r="E625" s="509"/>
      <c r="F625" s="509"/>
      <c r="G625" s="501"/>
      <c r="H625" s="514" t="s">
        <v>3725</v>
      </c>
      <c r="I625" s="515"/>
      <c r="J625" s="509"/>
      <c r="K625" s="509"/>
      <c r="L625" s="509"/>
      <c r="M625" s="489" t="str">
        <f t="shared" si="18"/>
        <v>DDDDDDDĐ</v>
      </c>
    </row>
    <row r="626" spans="1:13" ht="18" customHeight="1">
      <c r="A626" s="501">
        <v>466</v>
      </c>
      <c r="B626" s="523" t="s">
        <v>3726</v>
      </c>
      <c r="C626" s="536" t="s">
        <v>2605</v>
      </c>
      <c r="D626" s="509">
        <v>11000</v>
      </c>
      <c r="E626" s="509"/>
      <c r="F626" s="509"/>
      <c r="G626" s="501">
        <v>466</v>
      </c>
      <c r="H626" s="523" t="s">
        <v>3726</v>
      </c>
      <c r="I626" s="536" t="s">
        <v>2605</v>
      </c>
      <c r="J626" s="509">
        <v>11000</v>
      </c>
      <c r="K626" s="509"/>
      <c r="L626" s="509"/>
      <c r="M626" s="489" t="str">
        <f t="shared" si="18"/>
        <v>DDDDDDDĐ</v>
      </c>
    </row>
    <row r="627" spans="1:13" ht="18" customHeight="1">
      <c r="A627" s="501">
        <v>467</v>
      </c>
      <c r="B627" s="523" t="s">
        <v>3727</v>
      </c>
      <c r="C627" s="536" t="s">
        <v>2605</v>
      </c>
      <c r="D627" s="509">
        <v>5990</v>
      </c>
      <c r="E627" s="509"/>
      <c r="F627" s="509"/>
      <c r="G627" s="501">
        <v>467</v>
      </c>
      <c r="H627" s="523" t="s">
        <v>3727</v>
      </c>
      <c r="I627" s="536" t="s">
        <v>2605</v>
      </c>
      <c r="J627" s="509">
        <v>5990</v>
      </c>
      <c r="K627" s="509"/>
      <c r="L627" s="509"/>
      <c r="M627" s="489" t="str">
        <f t="shared" si="18"/>
        <v>DDDDDDDĐ</v>
      </c>
    </row>
    <row r="628" spans="1:13" ht="18" customHeight="1">
      <c r="A628" s="501">
        <v>468</v>
      </c>
      <c r="B628" s="523" t="s">
        <v>3728</v>
      </c>
      <c r="C628" s="536" t="s">
        <v>2605</v>
      </c>
      <c r="D628" s="509">
        <v>2000</v>
      </c>
      <c r="E628" s="509"/>
      <c r="F628" s="509"/>
      <c r="G628" s="501">
        <v>468</v>
      </c>
      <c r="H628" s="523" t="s">
        <v>3728</v>
      </c>
      <c r="I628" s="536" t="s">
        <v>2605</v>
      </c>
      <c r="J628" s="509">
        <v>2000</v>
      </c>
      <c r="K628" s="509"/>
      <c r="L628" s="509"/>
      <c r="M628" s="489" t="str">
        <f t="shared" si="18"/>
        <v>DDDDDDDĐ</v>
      </c>
    </row>
    <row r="629" spans="1:13" ht="18" customHeight="1">
      <c r="A629" s="513" t="s">
        <v>2682</v>
      </c>
      <c r="B629" s="502" t="s">
        <v>2683</v>
      </c>
      <c r="C629" s="516"/>
      <c r="D629" s="516" t="s">
        <v>2684</v>
      </c>
      <c r="E629" s="516"/>
      <c r="F629" s="504"/>
      <c r="G629" s="513" t="s">
        <v>2682</v>
      </c>
      <c r="H629" s="502" t="s">
        <v>2683</v>
      </c>
      <c r="I629" s="516"/>
      <c r="J629" s="516" t="s">
        <v>2684</v>
      </c>
      <c r="K629" s="516"/>
      <c r="L629" s="504"/>
      <c r="M629" s="489" t="str">
        <f t="shared" si="18"/>
        <v>DDDDDDDĐ</v>
      </c>
    </row>
    <row r="630" spans="1:13" ht="18" customHeight="1">
      <c r="A630" s="501"/>
      <c r="B630" s="502" t="s">
        <v>3729</v>
      </c>
      <c r="C630" s="510"/>
      <c r="D630" s="516"/>
      <c r="E630" s="508"/>
      <c r="F630" s="508"/>
      <c r="G630" s="501"/>
      <c r="H630" s="502" t="s">
        <v>3729</v>
      </c>
      <c r="I630" s="510"/>
      <c r="J630" s="516"/>
      <c r="K630" s="508"/>
      <c r="L630" s="508"/>
      <c r="M630" s="489" t="str">
        <f t="shared" si="18"/>
        <v>DDDDDDDĐ</v>
      </c>
    </row>
    <row r="631" spans="1:13" ht="18" customHeight="1">
      <c r="A631" s="501">
        <v>469</v>
      </c>
      <c r="B631" s="506" t="s">
        <v>2685</v>
      </c>
      <c r="C631" s="507" t="s">
        <v>2530</v>
      </c>
      <c r="D631" s="516"/>
      <c r="E631" s="508">
        <f>2480000/1.1</f>
        <v>2254545.4545454546</v>
      </c>
      <c r="F631" s="508">
        <f t="shared" ref="F631:F636" si="19">E631</f>
        <v>2254545.4545454546</v>
      </c>
      <c r="G631" s="501">
        <v>469</v>
      </c>
      <c r="H631" s="506" t="s">
        <v>2685</v>
      </c>
      <c r="I631" s="507" t="s">
        <v>2530</v>
      </c>
      <c r="J631" s="516"/>
      <c r="K631" s="508">
        <f>2480000/1.1</f>
        <v>2254545.4545454546</v>
      </c>
      <c r="L631" s="508">
        <f t="shared" ref="L631:L636" si="20">K631</f>
        <v>2254545.4545454546</v>
      </c>
      <c r="M631" s="489" t="str">
        <f t="shared" si="18"/>
        <v>DDDDDDDĐ</v>
      </c>
    </row>
    <row r="632" spans="1:13" ht="25.5" customHeight="1">
      <c r="A632" s="501">
        <v>470</v>
      </c>
      <c r="B632" s="506" t="s">
        <v>2686</v>
      </c>
      <c r="C632" s="507" t="s">
        <v>2530</v>
      </c>
      <c r="D632" s="516"/>
      <c r="E632" s="508">
        <f>3950000/1.1</f>
        <v>3590909.0909090908</v>
      </c>
      <c r="F632" s="508">
        <f t="shared" si="19"/>
        <v>3590909.0909090908</v>
      </c>
      <c r="G632" s="501">
        <v>470</v>
      </c>
      <c r="H632" s="506" t="s">
        <v>2686</v>
      </c>
      <c r="I632" s="507" t="s">
        <v>2530</v>
      </c>
      <c r="J632" s="516"/>
      <c r="K632" s="508">
        <f>3950000/1.1</f>
        <v>3590909.0909090908</v>
      </c>
      <c r="L632" s="508">
        <f t="shared" si="20"/>
        <v>3590909.0909090908</v>
      </c>
      <c r="M632" s="489" t="str">
        <f t="shared" si="18"/>
        <v>DDDDDDDĐ</v>
      </c>
    </row>
    <row r="633" spans="1:13" ht="18" customHeight="1">
      <c r="A633" s="501">
        <v>471</v>
      </c>
      <c r="B633" s="506" t="s">
        <v>3730</v>
      </c>
      <c r="C633" s="507" t="s">
        <v>2530</v>
      </c>
      <c r="D633" s="516"/>
      <c r="E633" s="508">
        <f>5650000/1.1</f>
        <v>5136363.6363636358</v>
      </c>
      <c r="F633" s="508">
        <f t="shared" si="19"/>
        <v>5136363.6363636358</v>
      </c>
      <c r="G633" s="501">
        <v>471</v>
      </c>
      <c r="H633" s="506" t="s">
        <v>3730</v>
      </c>
      <c r="I633" s="507" t="s">
        <v>2530</v>
      </c>
      <c r="J633" s="516"/>
      <c r="K633" s="508">
        <f>5650000/1.1</f>
        <v>5136363.6363636358</v>
      </c>
      <c r="L633" s="508">
        <f t="shared" si="20"/>
        <v>5136363.6363636358</v>
      </c>
      <c r="M633" s="489" t="str">
        <f t="shared" si="18"/>
        <v>DDDDDDDĐ</v>
      </c>
    </row>
    <row r="634" spans="1:13" ht="18" customHeight="1">
      <c r="A634" s="501">
        <v>472</v>
      </c>
      <c r="B634" s="506" t="s">
        <v>3731</v>
      </c>
      <c r="C634" s="507" t="s">
        <v>2338</v>
      </c>
      <c r="D634" s="516"/>
      <c r="E634" s="508">
        <f>820000/1.1</f>
        <v>745454.54545454541</v>
      </c>
      <c r="F634" s="508">
        <f t="shared" si="19"/>
        <v>745454.54545454541</v>
      </c>
      <c r="G634" s="501">
        <v>472</v>
      </c>
      <c r="H634" s="506" t="s">
        <v>3731</v>
      </c>
      <c r="I634" s="507" t="s">
        <v>2338</v>
      </c>
      <c r="J634" s="516"/>
      <c r="K634" s="508">
        <f>820000/1.1</f>
        <v>745454.54545454541</v>
      </c>
      <c r="L634" s="508">
        <f t="shared" si="20"/>
        <v>745454.54545454541</v>
      </c>
      <c r="M634" s="489" t="str">
        <f t="shared" si="18"/>
        <v>DDDDDDDĐ</v>
      </c>
    </row>
    <row r="635" spans="1:13" ht="18" customHeight="1">
      <c r="A635" s="501">
        <v>473</v>
      </c>
      <c r="B635" s="506" t="s">
        <v>3732</v>
      </c>
      <c r="C635" s="507" t="s">
        <v>2530</v>
      </c>
      <c r="D635" s="516"/>
      <c r="E635" s="508">
        <f>(2120000+550000)/1.1</f>
        <v>2427272.7272727271</v>
      </c>
      <c r="F635" s="508">
        <f t="shared" si="19"/>
        <v>2427272.7272727271</v>
      </c>
      <c r="G635" s="501">
        <v>473</v>
      </c>
      <c r="H635" s="506" t="s">
        <v>3732</v>
      </c>
      <c r="I635" s="507" t="s">
        <v>2530</v>
      </c>
      <c r="J635" s="516"/>
      <c r="K635" s="508">
        <f>(2120000+550000)/1.1</f>
        <v>2427272.7272727271</v>
      </c>
      <c r="L635" s="508">
        <f t="shared" si="20"/>
        <v>2427272.7272727271</v>
      </c>
      <c r="M635" s="489" t="str">
        <f t="shared" si="18"/>
        <v>DDDDDDDĐ</v>
      </c>
    </row>
    <row r="636" spans="1:13" ht="18" customHeight="1">
      <c r="A636" s="501">
        <v>474</v>
      </c>
      <c r="B636" s="506" t="s">
        <v>2687</v>
      </c>
      <c r="C636" s="507" t="s">
        <v>2530</v>
      </c>
      <c r="D636" s="516"/>
      <c r="E636" s="508">
        <f>3150000/1.1</f>
        <v>2863636.3636363633</v>
      </c>
      <c r="F636" s="508">
        <f t="shared" si="19"/>
        <v>2863636.3636363633</v>
      </c>
      <c r="G636" s="501">
        <v>474</v>
      </c>
      <c r="H636" s="506" t="s">
        <v>2687</v>
      </c>
      <c r="I636" s="507" t="s">
        <v>2530</v>
      </c>
      <c r="J636" s="516"/>
      <c r="K636" s="508">
        <f>3150000/1.1</f>
        <v>2863636.3636363633</v>
      </c>
      <c r="L636" s="508">
        <f t="shared" si="20"/>
        <v>2863636.3636363633</v>
      </c>
      <c r="M636" s="489" t="str">
        <f t="shared" si="18"/>
        <v>DDDDDDDĐ</v>
      </c>
    </row>
    <row r="637" spans="1:13" ht="18" customHeight="1">
      <c r="A637" s="501"/>
      <c r="B637" s="2160" t="s">
        <v>3868</v>
      </c>
      <c r="C637" s="2160"/>
      <c r="D637" s="2160"/>
      <c r="E637" s="2160"/>
      <c r="F637" s="2160"/>
      <c r="G637" s="501"/>
      <c r="H637" s="2160" t="s">
        <v>3868</v>
      </c>
      <c r="I637" s="2160"/>
      <c r="J637" s="2160"/>
      <c r="K637" s="2160"/>
      <c r="L637" s="2160"/>
      <c r="M637" s="489" t="str">
        <f t="shared" si="18"/>
        <v>DDDDDDDĐ</v>
      </c>
    </row>
    <row r="638" spans="1:13" ht="18" customHeight="1">
      <c r="A638" s="501">
        <v>475</v>
      </c>
      <c r="B638" s="506" t="s">
        <v>2688</v>
      </c>
      <c r="C638" s="507" t="s">
        <v>2530</v>
      </c>
      <c r="D638" s="516"/>
      <c r="E638" s="508">
        <f>2400000/1.1</f>
        <v>2181818.1818181816</v>
      </c>
      <c r="F638" s="508">
        <f>E638</f>
        <v>2181818.1818181816</v>
      </c>
      <c r="G638" s="501">
        <v>475</v>
      </c>
      <c r="H638" s="506" t="s">
        <v>2688</v>
      </c>
      <c r="I638" s="507" t="s">
        <v>2530</v>
      </c>
      <c r="J638" s="516"/>
      <c r="K638" s="508">
        <f>2400000/1.1</f>
        <v>2181818.1818181816</v>
      </c>
      <c r="L638" s="508">
        <f>K638</f>
        <v>2181818.1818181816</v>
      </c>
      <c r="M638" s="489" t="str">
        <f t="shared" si="18"/>
        <v>DDDDDDDĐ</v>
      </c>
    </row>
    <row r="639" spans="1:13" ht="18" customHeight="1">
      <c r="A639" s="501">
        <v>476</v>
      </c>
      <c r="B639" s="506" t="s">
        <v>2689</v>
      </c>
      <c r="C639" s="507" t="s">
        <v>2530</v>
      </c>
      <c r="D639" s="516"/>
      <c r="E639" s="508">
        <f>1900000/1.1</f>
        <v>1727272.7272727271</v>
      </c>
      <c r="F639" s="508">
        <f t="shared" ref="F639:F651" si="21">E639</f>
        <v>1727272.7272727271</v>
      </c>
      <c r="G639" s="501">
        <v>476</v>
      </c>
      <c r="H639" s="506" t="s">
        <v>2689</v>
      </c>
      <c r="I639" s="507" t="s">
        <v>2530</v>
      </c>
      <c r="J639" s="516"/>
      <c r="K639" s="508">
        <f>1900000/1.1</f>
        <v>1727272.7272727271</v>
      </c>
      <c r="L639" s="508">
        <f t="shared" ref="L639:L651" si="22">K639</f>
        <v>1727272.7272727271</v>
      </c>
      <c r="M639" s="489" t="str">
        <f t="shared" si="18"/>
        <v>DDDDDDDĐ</v>
      </c>
    </row>
    <row r="640" spans="1:13" ht="18" customHeight="1">
      <c r="A640" s="501">
        <v>477</v>
      </c>
      <c r="B640" s="506" t="s">
        <v>2690</v>
      </c>
      <c r="C640" s="507" t="s">
        <v>2530</v>
      </c>
      <c r="D640" s="516"/>
      <c r="E640" s="508">
        <f>2200000/1.1</f>
        <v>1999999.9999999998</v>
      </c>
      <c r="F640" s="508">
        <f t="shared" si="21"/>
        <v>1999999.9999999998</v>
      </c>
      <c r="G640" s="501">
        <v>477</v>
      </c>
      <c r="H640" s="506" t="s">
        <v>2690</v>
      </c>
      <c r="I640" s="507" t="s">
        <v>2530</v>
      </c>
      <c r="J640" s="516"/>
      <c r="K640" s="508">
        <f>2200000/1.1</f>
        <v>1999999.9999999998</v>
      </c>
      <c r="L640" s="508">
        <f t="shared" si="22"/>
        <v>1999999.9999999998</v>
      </c>
      <c r="M640" s="489" t="str">
        <f t="shared" si="18"/>
        <v>DDDDDDDĐ</v>
      </c>
    </row>
    <row r="641" spans="1:13" ht="37.5" customHeight="1">
      <c r="A641" s="501">
        <v>478</v>
      </c>
      <c r="B641" s="506" t="s">
        <v>2691</v>
      </c>
      <c r="C641" s="507" t="s">
        <v>2530</v>
      </c>
      <c r="D641" s="516"/>
      <c r="E641" s="508">
        <f>1700000/1.1</f>
        <v>1545454.5454545454</v>
      </c>
      <c r="F641" s="508">
        <f t="shared" si="21"/>
        <v>1545454.5454545454</v>
      </c>
      <c r="G641" s="501">
        <v>478</v>
      </c>
      <c r="H641" s="506" t="s">
        <v>2691</v>
      </c>
      <c r="I641" s="507" t="s">
        <v>2530</v>
      </c>
      <c r="J641" s="516"/>
      <c r="K641" s="508">
        <f>1700000/1.1</f>
        <v>1545454.5454545454</v>
      </c>
      <c r="L641" s="508">
        <f t="shared" si="22"/>
        <v>1545454.5454545454</v>
      </c>
      <c r="M641" s="489" t="str">
        <f t="shared" si="18"/>
        <v>DDDDDDDĐ</v>
      </c>
    </row>
    <row r="642" spans="1:13" ht="18" customHeight="1">
      <c r="A642" s="501">
        <v>479</v>
      </c>
      <c r="B642" s="506" t="s">
        <v>2692</v>
      </c>
      <c r="C642" s="507" t="s">
        <v>2530</v>
      </c>
      <c r="D642" s="516"/>
      <c r="E642" s="508">
        <f>320000/1.1</f>
        <v>290909.09090909088</v>
      </c>
      <c r="F642" s="508">
        <f t="shared" si="21"/>
        <v>290909.09090909088</v>
      </c>
      <c r="G642" s="501">
        <v>479</v>
      </c>
      <c r="H642" s="506" t="s">
        <v>2692</v>
      </c>
      <c r="I642" s="507" t="s">
        <v>2530</v>
      </c>
      <c r="J642" s="516"/>
      <c r="K642" s="508">
        <f>320000/1.1</f>
        <v>290909.09090909088</v>
      </c>
      <c r="L642" s="508">
        <f t="shared" si="22"/>
        <v>290909.09090909088</v>
      </c>
      <c r="M642" s="489" t="str">
        <f t="shared" si="18"/>
        <v>DDDDDDDĐ</v>
      </c>
    </row>
    <row r="643" spans="1:13" ht="18" customHeight="1">
      <c r="A643" s="501">
        <v>480</v>
      </c>
      <c r="B643" s="506" t="s">
        <v>2693</v>
      </c>
      <c r="C643" s="507" t="s">
        <v>2530</v>
      </c>
      <c r="D643" s="516"/>
      <c r="E643" s="508">
        <f>740000/1.1</f>
        <v>672727.27272727271</v>
      </c>
      <c r="F643" s="508">
        <f t="shared" si="21"/>
        <v>672727.27272727271</v>
      </c>
      <c r="G643" s="501">
        <v>480</v>
      </c>
      <c r="H643" s="506" t="s">
        <v>2693</v>
      </c>
      <c r="I643" s="507" t="s">
        <v>2530</v>
      </c>
      <c r="J643" s="516"/>
      <c r="K643" s="508">
        <f>740000/1.1</f>
        <v>672727.27272727271</v>
      </c>
      <c r="L643" s="508">
        <f t="shared" si="22"/>
        <v>672727.27272727271</v>
      </c>
      <c r="M643" s="489" t="str">
        <f t="shared" si="18"/>
        <v>DDDDDDDĐ</v>
      </c>
    </row>
    <row r="644" spans="1:13" ht="18" customHeight="1">
      <c r="A644" s="501">
        <v>481</v>
      </c>
      <c r="B644" s="506" t="s">
        <v>2694</v>
      </c>
      <c r="C644" s="507" t="s">
        <v>2338</v>
      </c>
      <c r="D644" s="516"/>
      <c r="E644" s="508">
        <f>670000/1.1</f>
        <v>609090.90909090906</v>
      </c>
      <c r="F644" s="508">
        <f t="shared" si="21"/>
        <v>609090.90909090906</v>
      </c>
      <c r="G644" s="501">
        <v>481</v>
      </c>
      <c r="H644" s="506" t="s">
        <v>2694</v>
      </c>
      <c r="I644" s="507" t="s">
        <v>2338</v>
      </c>
      <c r="J644" s="516"/>
      <c r="K644" s="508">
        <f>670000/1.1</f>
        <v>609090.90909090906</v>
      </c>
      <c r="L644" s="508">
        <f t="shared" si="22"/>
        <v>609090.90909090906</v>
      </c>
      <c r="M644" s="489" t="str">
        <f t="shared" si="18"/>
        <v>DDDDDDDĐ</v>
      </c>
    </row>
    <row r="645" spans="1:13" ht="18" customHeight="1">
      <c r="A645" s="501">
        <v>482</v>
      </c>
      <c r="B645" s="506" t="s">
        <v>2695</v>
      </c>
      <c r="C645" s="507" t="s">
        <v>2338</v>
      </c>
      <c r="D645" s="516"/>
      <c r="E645" s="508">
        <f>670000/1.1</f>
        <v>609090.90909090906</v>
      </c>
      <c r="F645" s="508">
        <f t="shared" si="21"/>
        <v>609090.90909090906</v>
      </c>
      <c r="G645" s="501">
        <v>482</v>
      </c>
      <c r="H645" s="506" t="s">
        <v>2695</v>
      </c>
      <c r="I645" s="507" t="s">
        <v>2338</v>
      </c>
      <c r="J645" s="516"/>
      <c r="K645" s="508">
        <f>670000/1.1</f>
        <v>609090.90909090906</v>
      </c>
      <c r="L645" s="508">
        <f t="shared" si="22"/>
        <v>609090.90909090906</v>
      </c>
      <c r="M645" s="489" t="str">
        <f t="shared" si="18"/>
        <v>DDDDDDDĐ</v>
      </c>
    </row>
    <row r="646" spans="1:13" ht="18" customHeight="1">
      <c r="A646" s="501">
        <v>483</v>
      </c>
      <c r="B646" s="506" t="s">
        <v>2696</v>
      </c>
      <c r="C646" s="507" t="s">
        <v>2338</v>
      </c>
      <c r="D646" s="516"/>
      <c r="E646" s="508">
        <f>480000/1.1</f>
        <v>436363.63636363635</v>
      </c>
      <c r="F646" s="508">
        <f t="shared" si="21"/>
        <v>436363.63636363635</v>
      </c>
      <c r="G646" s="501">
        <v>483</v>
      </c>
      <c r="H646" s="506" t="s">
        <v>2696</v>
      </c>
      <c r="I646" s="507" t="s">
        <v>2338</v>
      </c>
      <c r="J646" s="516"/>
      <c r="K646" s="508">
        <f>480000/1.1</f>
        <v>436363.63636363635</v>
      </c>
      <c r="L646" s="508">
        <f t="shared" si="22"/>
        <v>436363.63636363635</v>
      </c>
      <c r="M646" s="489" t="str">
        <f t="shared" si="18"/>
        <v>DDDDDDDĐ</v>
      </c>
    </row>
    <row r="647" spans="1:13" ht="18" customHeight="1">
      <c r="A647" s="501">
        <v>484</v>
      </c>
      <c r="B647" s="506" t="s">
        <v>2697</v>
      </c>
      <c r="C647" s="507" t="s">
        <v>2338</v>
      </c>
      <c r="D647" s="516"/>
      <c r="E647" s="508">
        <f>430000/1.1</f>
        <v>390909.09090909088</v>
      </c>
      <c r="F647" s="508">
        <f t="shared" si="21"/>
        <v>390909.09090909088</v>
      </c>
      <c r="G647" s="501">
        <v>484</v>
      </c>
      <c r="H647" s="506" t="s">
        <v>2697</v>
      </c>
      <c r="I647" s="507" t="s">
        <v>2338</v>
      </c>
      <c r="J647" s="516"/>
      <c r="K647" s="508">
        <f>430000/1.1</f>
        <v>390909.09090909088</v>
      </c>
      <c r="L647" s="508">
        <f t="shared" si="22"/>
        <v>390909.09090909088</v>
      </c>
      <c r="M647" s="489" t="str">
        <f t="shared" si="18"/>
        <v>DDDDDDDĐ</v>
      </c>
    </row>
    <row r="648" spans="1:13" ht="18" customHeight="1">
      <c r="A648" s="501">
        <v>485</v>
      </c>
      <c r="B648" s="506" t="s">
        <v>2698</v>
      </c>
      <c r="C648" s="507" t="s">
        <v>2338</v>
      </c>
      <c r="D648" s="516"/>
      <c r="E648" s="508">
        <f>420000/1.1</f>
        <v>381818.18181818177</v>
      </c>
      <c r="F648" s="508">
        <f t="shared" si="21"/>
        <v>381818.18181818177</v>
      </c>
      <c r="G648" s="501">
        <v>485</v>
      </c>
      <c r="H648" s="506" t="s">
        <v>2698</v>
      </c>
      <c r="I648" s="507" t="s">
        <v>2338</v>
      </c>
      <c r="J648" s="516"/>
      <c r="K648" s="508">
        <f>420000/1.1</f>
        <v>381818.18181818177</v>
      </c>
      <c r="L648" s="508">
        <f t="shared" si="22"/>
        <v>381818.18181818177</v>
      </c>
      <c r="M648" s="489" t="str">
        <f t="shared" si="18"/>
        <v>DDDDDDDĐ</v>
      </c>
    </row>
    <row r="649" spans="1:13" ht="18" customHeight="1">
      <c r="A649" s="501">
        <v>486</v>
      </c>
      <c r="B649" s="506" t="s">
        <v>2699</v>
      </c>
      <c r="C649" s="507" t="s">
        <v>2338</v>
      </c>
      <c r="D649" s="516"/>
      <c r="E649" s="508">
        <f>1300000/1.1</f>
        <v>1181818.1818181816</v>
      </c>
      <c r="F649" s="508">
        <f t="shared" si="21"/>
        <v>1181818.1818181816</v>
      </c>
      <c r="G649" s="501">
        <v>486</v>
      </c>
      <c r="H649" s="506" t="s">
        <v>2699</v>
      </c>
      <c r="I649" s="507" t="s">
        <v>2338</v>
      </c>
      <c r="J649" s="516"/>
      <c r="K649" s="508">
        <f>1300000/1.1</f>
        <v>1181818.1818181816</v>
      </c>
      <c r="L649" s="508">
        <f t="shared" si="22"/>
        <v>1181818.1818181816</v>
      </c>
      <c r="M649" s="489" t="str">
        <f t="shared" si="18"/>
        <v>DDDDDDDĐ</v>
      </c>
    </row>
    <row r="650" spans="1:13" ht="18" customHeight="1">
      <c r="A650" s="501">
        <v>487</v>
      </c>
      <c r="B650" s="506" t="s">
        <v>2700</v>
      </c>
      <c r="C650" s="507" t="s">
        <v>2338</v>
      </c>
      <c r="D650" s="516"/>
      <c r="E650" s="508">
        <f>600000/1.1</f>
        <v>545454.54545454541</v>
      </c>
      <c r="F650" s="508">
        <f t="shared" si="21"/>
        <v>545454.54545454541</v>
      </c>
      <c r="G650" s="501">
        <v>487</v>
      </c>
      <c r="H650" s="506" t="s">
        <v>2700</v>
      </c>
      <c r="I650" s="507" t="s">
        <v>2338</v>
      </c>
      <c r="J650" s="516"/>
      <c r="K650" s="508">
        <f>600000/1.1</f>
        <v>545454.54545454541</v>
      </c>
      <c r="L650" s="508">
        <f t="shared" si="22"/>
        <v>545454.54545454541</v>
      </c>
      <c r="M650" s="489" t="str">
        <f t="shared" si="18"/>
        <v>DDDDDDDĐ</v>
      </c>
    </row>
    <row r="651" spans="1:13" ht="18" customHeight="1">
      <c r="A651" s="501">
        <v>488</v>
      </c>
      <c r="B651" s="506" t="s">
        <v>2701</v>
      </c>
      <c r="C651" s="507" t="s">
        <v>2338</v>
      </c>
      <c r="D651" s="516"/>
      <c r="E651" s="508">
        <f>550000/1.1</f>
        <v>499999.99999999994</v>
      </c>
      <c r="F651" s="508">
        <f t="shared" si="21"/>
        <v>499999.99999999994</v>
      </c>
      <c r="G651" s="501">
        <v>488</v>
      </c>
      <c r="H651" s="506" t="s">
        <v>2701</v>
      </c>
      <c r="I651" s="507" t="s">
        <v>2338</v>
      </c>
      <c r="J651" s="516"/>
      <c r="K651" s="508">
        <f>550000/1.1</f>
        <v>499999.99999999994</v>
      </c>
      <c r="L651" s="508">
        <f t="shared" si="22"/>
        <v>499999.99999999994</v>
      </c>
      <c r="M651" s="489" t="str">
        <f t="shared" si="18"/>
        <v>DDDDDDDĐ</v>
      </c>
    </row>
    <row r="652" spans="1:13" ht="18" customHeight="1">
      <c r="A652" s="501"/>
      <c r="B652" s="2160" t="s">
        <v>3733</v>
      </c>
      <c r="C652" s="2160"/>
      <c r="D652" s="2160"/>
      <c r="E652" s="2160"/>
      <c r="F652" s="2160"/>
      <c r="G652" s="501"/>
      <c r="H652" s="2160" t="s">
        <v>3733</v>
      </c>
      <c r="I652" s="2160"/>
      <c r="J652" s="2160"/>
      <c r="K652" s="2160"/>
      <c r="L652" s="2160"/>
      <c r="M652" s="489" t="str">
        <f t="shared" si="18"/>
        <v>DDDDDDDĐ</v>
      </c>
    </row>
    <row r="653" spans="1:13" ht="18" customHeight="1">
      <c r="A653" s="501">
        <v>489</v>
      </c>
      <c r="B653" s="506" t="s">
        <v>3734</v>
      </c>
      <c r="C653" s="507" t="s">
        <v>2530</v>
      </c>
      <c r="D653" s="516"/>
      <c r="E653" s="508">
        <f>100000/1.1</f>
        <v>90909.090909090897</v>
      </c>
      <c r="F653" s="508">
        <f t="shared" ref="F653:F659" si="23">E653</f>
        <v>90909.090909090897</v>
      </c>
      <c r="G653" s="501">
        <v>489</v>
      </c>
      <c r="H653" s="506" t="s">
        <v>3734</v>
      </c>
      <c r="I653" s="507" t="s">
        <v>2530</v>
      </c>
      <c r="J653" s="516"/>
      <c r="K653" s="508">
        <f>100000/1.1</f>
        <v>90909.090909090897</v>
      </c>
      <c r="L653" s="508">
        <f t="shared" ref="L653:L668" si="24">K653</f>
        <v>90909.090909090897</v>
      </c>
      <c r="M653" s="489" t="str">
        <f t="shared" si="18"/>
        <v>DDDDDDDĐ</v>
      </c>
    </row>
    <row r="654" spans="1:13" ht="18" customHeight="1">
      <c r="A654" s="501">
        <v>490</v>
      </c>
      <c r="B654" s="506" t="s">
        <v>3735</v>
      </c>
      <c r="C654" s="507" t="s">
        <v>2530</v>
      </c>
      <c r="D654" s="516"/>
      <c r="E654" s="508">
        <f>205000/1.1</f>
        <v>186363.63636363635</v>
      </c>
      <c r="F654" s="508">
        <f t="shared" si="23"/>
        <v>186363.63636363635</v>
      </c>
      <c r="G654" s="501">
        <v>490</v>
      </c>
      <c r="H654" s="506" t="s">
        <v>3735</v>
      </c>
      <c r="I654" s="507" t="s">
        <v>2530</v>
      </c>
      <c r="J654" s="516"/>
      <c r="K654" s="508">
        <f>205000/1.1</f>
        <v>186363.63636363635</v>
      </c>
      <c r="L654" s="508">
        <f t="shared" si="24"/>
        <v>186363.63636363635</v>
      </c>
      <c r="M654" s="489" t="str">
        <f t="shared" si="18"/>
        <v>DDDDDDDĐ</v>
      </c>
    </row>
    <row r="655" spans="1:13" ht="18" customHeight="1">
      <c r="A655" s="501">
        <v>491</v>
      </c>
      <c r="B655" s="506" t="s">
        <v>3736</v>
      </c>
      <c r="C655" s="507" t="s">
        <v>2530</v>
      </c>
      <c r="D655" s="516"/>
      <c r="E655" s="508">
        <f>450000/1.1</f>
        <v>409090.90909090906</v>
      </c>
      <c r="F655" s="508">
        <f t="shared" si="23"/>
        <v>409090.90909090906</v>
      </c>
      <c r="G655" s="501">
        <v>491</v>
      </c>
      <c r="H655" s="506" t="s">
        <v>3736</v>
      </c>
      <c r="I655" s="507" t="s">
        <v>2530</v>
      </c>
      <c r="J655" s="516"/>
      <c r="K655" s="508">
        <f>450000/1.1</f>
        <v>409090.90909090906</v>
      </c>
      <c r="L655" s="508">
        <f t="shared" si="24"/>
        <v>409090.90909090906</v>
      </c>
      <c r="M655" s="489" t="str">
        <f t="shared" si="18"/>
        <v>DDDDDDDĐ</v>
      </c>
    </row>
    <row r="656" spans="1:13" ht="18" customHeight="1">
      <c r="A656" s="501">
        <v>492</v>
      </c>
      <c r="B656" s="506" t="s">
        <v>3737</v>
      </c>
      <c r="C656" s="507" t="s">
        <v>2530</v>
      </c>
      <c r="D656" s="516"/>
      <c r="E656" s="508">
        <f>1090000/1.1</f>
        <v>990909.09090909082</v>
      </c>
      <c r="F656" s="508">
        <f t="shared" si="23"/>
        <v>990909.09090909082</v>
      </c>
      <c r="G656" s="501">
        <v>492</v>
      </c>
      <c r="H656" s="506" t="s">
        <v>3737</v>
      </c>
      <c r="I656" s="507" t="s">
        <v>2530</v>
      </c>
      <c r="J656" s="516"/>
      <c r="K656" s="508">
        <f>1090000/1.1</f>
        <v>990909.09090909082</v>
      </c>
      <c r="L656" s="508">
        <f t="shared" si="24"/>
        <v>990909.09090909082</v>
      </c>
      <c r="M656" s="489" t="str">
        <f t="shared" si="18"/>
        <v>DDDDDDDĐ</v>
      </c>
    </row>
    <row r="657" spans="1:13" ht="18" customHeight="1">
      <c r="A657" s="501">
        <v>493</v>
      </c>
      <c r="B657" s="506" t="s">
        <v>2702</v>
      </c>
      <c r="C657" s="507" t="s">
        <v>2530</v>
      </c>
      <c r="D657" s="516"/>
      <c r="E657" s="508">
        <f>275000/1.1</f>
        <v>249999.99999999997</v>
      </c>
      <c r="F657" s="508">
        <f t="shared" si="23"/>
        <v>249999.99999999997</v>
      </c>
      <c r="G657" s="501">
        <v>493</v>
      </c>
      <c r="H657" s="506" t="s">
        <v>2702</v>
      </c>
      <c r="I657" s="507" t="s">
        <v>2530</v>
      </c>
      <c r="J657" s="516"/>
      <c r="K657" s="508">
        <f>275000/1.1</f>
        <v>249999.99999999997</v>
      </c>
      <c r="L657" s="508">
        <f t="shared" si="24"/>
        <v>249999.99999999997</v>
      </c>
      <c r="M657" s="489" t="str">
        <f t="shared" si="18"/>
        <v>DDDDDDDĐ</v>
      </c>
    </row>
    <row r="658" spans="1:13" ht="18" customHeight="1">
      <c r="A658" s="501">
        <v>494</v>
      </c>
      <c r="B658" s="506" t="s">
        <v>3738</v>
      </c>
      <c r="C658" s="507" t="s">
        <v>2530</v>
      </c>
      <c r="D658" s="516"/>
      <c r="E658" s="508">
        <f>335000/1.1</f>
        <v>304545.45454545453</v>
      </c>
      <c r="F658" s="508">
        <f t="shared" si="23"/>
        <v>304545.45454545453</v>
      </c>
      <c r="G658" s="501">
        <v>494</v>
      </c>
      <c r="H658" s="506" t="s">
        <v>3738</v>
      </c>
      <c r="I658" s="507" t="s">
        <v>2530</v>
      </c>
      <c r="J658" s="516"/>
      <c r="K658" s="508">
        <f>335000/1.1</f>
        <v>304545.45454545453</v>
      </c>
      <c r="L658" s="508">
        <f t="shared" si="24"/>
        <v>304545.45454545453</v>
      </c>
      <c r="M658" s="489" t="str">
        <f t="shared" si="18"/>
        <v>DDDDDDDĐ</v>
      </c>
    </row>
    <row r="659" spans="1:13" ht="18" customHeight="1">
      <c r="A659" s="501">
        <v>495</v>
      </c>
      <c r="B659" s="506" t="s">
        <v>3739</v>
      </c>
      <c r="C659" s="507" t="s">
        <v>2530</v>
      </c>
      <c r="D659" s="516"/>
      <c r="E659" s="508">
        <f>525000/1.1</f>
        <v>477272.72727272724</v>
      </c>
      <c r="F659" s="508">
        <f t="shared" si="23"/>
        <v>477272.72727272724</v>
      </c>
      <c r="G659" s="501">
        <v>495</v>
      </c>
      <c r="H659" s="506" t="s">
        <v>3739</v>
      </c>
      <c r="I659" s="507" t="s">
        <v>2530</v>
      </c>
      <c r="J659" s="516"/>
      <c r="K659" s="508">
        <f>525000/1.1</f>
        <v>477272.72727272724</v>
      </c>
      <c r="L659" s="508">
        <f t="shared" si="24"/>
        <v>477272.72727272724</v>
      </c>
      <c r="M659" s="489" t="str">
        <f t="shared" si="18"/>
        <v>DDDDDDDĐ</v>
      </c>
    </row>
    <row r="660" spans="1:13" ht="18" customHeight="1">
      <c r="A660" s="501"/>
      <c r="B660" s="2160" t="s">
        <v>3869</v>
      </c>
      <c r="C660" s="2160"/>
      <c r="D660" s="2160"/>
      <c r="E660" s="2160"/>
      <c r="F660" s="2160"/>
      <c r="G660" s="501"/>
      <c r="H660" s="2160" t="s">
        <v>3869</v>
      </c>
      <c r="I660" s="2160"/>
      <c r="J660" s="2160"/>
      <c r="K660" s="2160"/>
      <c r="L660" s="2160"/>
      <c r="M660" s="489" t="str">
        <f t="shared" si="18"/>
        <v>DDDDDDDĐ</v>
      </c>
    </row>
    <row r="661" spans="1:13" ht="21" customHeight="1">
      <c r="A661" s="501">
        <v>496</v>
      </c>
      <c r="B661" s="506" t="s">
        <v>2703</v>
      </c>
      <c r="C661" s="507" t="s">
        <v>2530</v>
      </c>
      <c r="D661" s="516"/>
      <c r="E661" s="508">
        <f>1050500/1.1</f>
        <v>954999.99999999988</v>
      </c>
      <c r="F661" s="508">
        <f t="shared" ref="F661:F668" si="25">E661</f>
        <v>954999.99999999988</v>
      </c>
      <c r="G661" s="501">
        <v>496</v>
      </c>
      <c r="H661" s="506" t="s">
        <v>2703</v>
      </c>
      <c r="I661" s="507" t="s">
        <v>2530</v>
      </c>
      <c r="J661" s="516"/>
      <c r="K661" s="508">
        <f>1050500/1.1</f>
        <v>954999.99999999988</v>
      </c>
      <c r="L661" s="508">
        <f t="shared" si="24"/>
        <v>954999.99999999988</v>
      </c>
      <c r="M661" s="489" t="str">
        <f t="shared" si="18"/>
        <v>DDDDDDDĐ</v>
      </c>
    </row>
    <row r="662" spans="1:13" ht="18" customHeight="1">
      <c r="A662" s="501">
        <v>497</v>
      </c>
      <c r="B662" s="506" t="s">
        <v>2704</v>
      </c>
      <c r="C662" s="507" t="s">
        <v>2530</v>
      </c>
      <c r="D662" s="516"/>
      <c r="E662" s="508">
        <f>1300200/1.1</f>
        <v>1182000</v>
      </c>
      <c r="F662" s="508">
        <f t="shared" si="25"/>
        <v>1182000</v>
      </c>
      <c r="G662" s="501">
        <v>497</v>
      </c>
      <c r="H662" s="506" t="s">
        <v>2704</v>
      </c>
      <c r="I662" s="507" t="s">
        <v>2530</v>
      </c>
      <c r="J662" s="516"/>
      <c r="K662" s="508">
        <f>1300200/1.1</f>
        <v>1182000</v>
      </c>
      <c r="L662" s="508">
        <f t="shared" si="24"/>
        <v>1182000</v>
      </c>
      <c r="M662" s="489" t="str">
        <f t="shared" si="18"/>
        <v>DDDDDDDĐ</v>
      </c>
    </row>
    <row r="663" spans="1:13" ht="18" customHeight="1">
      <c r="A663" s="501">
        <v>498</v>
      </c>
      <c r="B663" s="506" t="s">
        <v>3870</v>
      </c>
      <c r="C663" s="507" t="s">
        <v>2530</v>
      </c>
      <c r="D663" s="516"/>
      <c r="E663" s="508">
        <f>2500300/1.1</f>
        <v>2273000</v>
      </c>
      <c r="F663" s="508">
        <f t="shared" si="25"/>
        <v>2273000</v>
      </c>
      <c r="G663" s="501">
        <v>498</v>
      </c>
      <c r="H663" s="506" t="s">
        <v>3870</v>
      </c>
      <c r="I663" s="507" t="s">
        <v>2530</v>
      </c>
      <c r="J663" s="516"/>
      <c r="K663" s="508">
        <f>2500300/1.1</f>
        <v>2273000</v>
      </c>
      <c r="L663" s="508">
        <f t="shared" si="24"/>
        <v>2273000</v>
      </c>
      <c r="M663" s="489" t="str">
        <f t="shared" si="18"/>
        <v>DDDDDDDĐ</v>
      </c>
    </row>
    <row r="664" spans="1:13" ht="18" customHeight="1">
      <c r="A664" s="501">
        <v>499</v>
      </c>
      <c r="B664" s="506" t="s">
        <v>3871</v>
      </c>
      <c r="C664" s="507" t="s">
        <v>2530</v>
      </c>
      <c r="D664" s="516"/>
      <c r="E664" s="508">
        <f>198000/1.1</f>
        <v>180000</v>
      </c>
      <c r="F664" s="508">
        <f t="shared" si="25"/>
        <v>180000</v>
      </c>
      <c r="G664" s="501">
        <v>499</v>
      </c>
      <c r="H664" s="506" t="s">
        <v>3871</v>
      </c>
      <c r="I664" s="507" t="s">
        <v>2530</v>
      </c>
      <c r="J664" s="516"/>
      <c r="K664" s="508">
        <f>198000/1.1</f>
        <v>180000</v>
      </c>
      <c r="L664" s="508">
        <f t="shared" si="24"/>
        <v>180000</v>
      </c>
      <c r="M664" s="489" t="str">
        <f t="shared" si="18"/>
        <v>DDDDDDDĐ</v>
      </c>
    </row>
    <row r="665" spans="1:13" ht="18" customHeight="1">
      <c r="A665" s="501">
        <v>500</v>
      </c>
      <c r="B665" s="506" t="s">
        <v>3872</v>
      </c>
      <c r="C665" s="507" t="s">
        <v>2530</v>
      </c>
      <c r="D665" s="516"/>
      <c r="E665" s="508">
        <f>231000/1.1</f>
        <v>209999.99999999997</v>
      </c>
      <c r="F665" s="508">
        <f t="shared" si="25"/>
        <v>209999.99999999997</v>
      </c>
      <c r="G665" s="501">
        <v>500</v>
      </c>
      <c r="H665" s="506" t="s">
        <v>3872</v>
      </c>
      <c r="I665" s="507" t="s">
        <v>2530</v>
      </c>
      <c r="J665" s="516"/>
      <c r="K665" s="508">
        <f>231000/1.1</f>
        <v>209999.99999999997</v>
      </c>
      <c r="L665" s="508">
        <f t="shared" si="24"/>
        <v>209999.99999999997</v>
      </c>
      <c r="M665" s="489" t="str">
        <f t="shared" si="18"/>
        <v>DDDDDDDĐ</v>
      </c>
    </row>
    <row r="666" spans="1:13" ht="18" customHeight="1">
      <c r="A666" s="501">
        <v>501</v>
      </c>
      <c r="B666" s="506" t="s">
        <v>3873</v>
      </c>
      <c r="C666" s="507" t="s">
        <v>2530</v>
      </c>
      <c r="D666" s="516"/>
      <c r="E666" s="508">
        <f>242000/1.1</f>
        <v>219999.99999999997</v>
      </c>
      <c r="F666" s="508">
        <f t="shared" si="25"/>
        <v>219999.99999999997</v>
      </c>
      <c r="G666" s="501">
        <v>501</v>
      </c>
      <c r="H666" s="506" t="s">
        <v>3873</v>
      </c>
      <c r="I666" s="507" t="s">
        <v>2530</v>
      </c>
      <c r="J666" s="516"/>
      <c r="K666" s="508">
        <f>242000/1.1</f>
        <v>219999.99999999997</v>
      </c>
      <c r="L666" s="508">
        <f t="shared" si="24"/>
        <v>219999.99999999997</v>
      </c>
      <c r="M666" s="489" t="str">
        <f t="shared" si="18"/>
        <v>DDDDDDDĐ</v>
      </c>
    </row>
    <row r="667" spans="1:13" ht="18" customHeight="1">
      <c r="A667" s="501">
        <v>502</v>
      </c>
      <c r="B667" s="506" t="s">
        <v>2705</v>
      </c>
      <c r="C667" s="507" t="s">
        <v>2530</v>
      </c>
      <c r="D667" s="516"/>
      <c r="E667" s="508">
        <f>460900/1.1</f>
        <v>418999.99999999994</v>
      </c>
      <c r="F667" s="508">
        <f t="shared" si="25"/>
        <v>418999.99999999994</v>
      </c>
      <c r="G667" s="501">
        <v>502</v>
      </c>
      <c r="H667" s="506" t="s">
        <v>2705</v>
      </c>
      <c r="I667" s="507" t="s">
        <v>2530</v>
      </c>
      <c r="J667" s="516"/>
      <c r="K667" s="508">
        <f>460900/1.1</f>
        <v>418999.99999999994</v>
      </c>
      <c r="L667" s="508">
        <f t="shared" si="24"/>
        <v>418999.99999999994</v>
      </c>
      <c r="M667" s="489" t="str">
        <f t="shared" si="18"/>
        <v>DDDDDDDĐ</v>
      </c>
    </row>
    <row r="668" spans="1:13" ht="18" customHeight="1">
      <c r="A668" s="501">
        <v>503</v>
      </c>
      <c r="B668" s="537" t="s">
        <v>2706</v>
      </c>
      <c r="C668" s="507" t="s">
        <v>2530</v>
      </c>
      <c r="D668" s="538"/>
      <c r="E668" s="508">
        <f>176000/1.1</f>
        <v>160000</v>
      </c>
      <c r="F668" s="508">
        <f t="shared" si="25"/>
        <v>160000</v>
      </c>
      <c r="G668" s="501">
        <v>503</v>
      </c>
      <c r="H668" s="537" t="s">
        <v>2706</v>
      </c>
      <c r="I668" s="507" t="s">
        <v>2530</v>
      </c>
      <c r="J668" s="538"/>
      <c r="K668" s="508">
        <f>176000/1.1</f>
        <v>160000</v>
      </c>
      <c r="L668" s="508">
        <f t="shared" si="24"/>
        <v>160000</v>
      </c>
      <c r="M668" s="489" t="str">
        <f t="shared" si="18"/>
        <v>DDDDDDDĐ</v>
      </c>
    </row>
    <row r="669" spans="1:13" ht="18" customHeight="1">
      <c r="A669" s="1155" t="s">
        <v>2707</v>
      </c>
      <c r="B669" s="2160" t="s">
        <v>5305</v>
      </c>
      <c r="C669" s="2160"/>
      <c r="D669" s="2160"/>
      <c r="E669" s="2160"/>
      <c r="F669" s="2160"/>
      <c r="G669" s="1155" t="s">
        <v>2707</v>
      </c>
      <c r="H669" s="2160" t="s">
        <v>5305</v>
      </c>
      <c r="I669" s="2160"/>
      <c r="J669" s="2160"/>
      <c r="K669" s="2160"/>
      <c r="L669" s="2160"/>
      <c r="M669" s="489" t="str">
        <f t="shared" si="18"/>
        <v>DDDDDDDĐ</v>
      </c>
    </row>
    <row r="670" spans="1:13" ht="18" customHeight="1">
      <c r="A670" s="1155"/>
      <c r="B670" s="1156" t="s">
        <v>2708</v>
      </c>
      <c r="C670" s="1168"/>
      <c r="D670" s="1169"/>
      <c r="E670" s="1169"/>
      <c r="F670" s="1169"/>
      <c r="G670" s="1155"/>
      <c r="H670" s="1156" t="s">
        <v>2708</v>
      </c>
      <c r="I670" s="1168"/>
      <c r="J670" s="1169"/>
      <c r="K670" s="1169"/>
      <c r="L670" s="1169"/>
      <c r="M670" s="489" t="str">
        <f t="shared" si="18"/>
        <v>DDDDDDDĐ</v>
      </c>
    </row>
    <row r="671" spans="1:13" ht="18" customHeight="1">
      <c r="A671" s="1161">
        <v>504</v>
      </c>
      <c r="B671" s="1207" t="s">
        <v>2709</v>
      </c>
      <c r="C671" s="1171" t="s">
        <v>5273</v>
      </c>
      <c r="D671" s="1169">
        <v>11500</v>
      </c>
      <c r="E671" s="1169"/>
      <c r="F671" s="1169"/>
      <c r="G671" s="1161">
        <v>504</v>
      </c>
      <c r="H671" s="1207" t="s">
        <v>2709</v>
      </c>
      <c r="I671" s="1171" t="s">
        <v>5273</v>
      </c>
      <c r="J671" s="1169">
        <v>11500</v>
      </c>
      <c r="K671" s="1169"/>
      <c r="L671" s="1169"/>
      <c r="M671" s="489" t="str">
        <f t="shared" si="18"/>
        <v>DDDDDDDĐ</v>
      </c>
    </row>
    <row r="672" spans="1:13" ht="18" customHeight="1">
      <c r="A672" s="1161">
        <v>505</v>
      </c>
      <c r="B672" s="1207" t="s">
        <v>2710</v>
      </c>
      <c r="C672" s="1171" t="s">
        <v>5273</v>
      </c>
      <c r="D672" s="1169">
        <v>13200</v>
      </c>
      <c r="E672" s="1169"/>
      <c r="F672" s="1169"/>
      <c r="G672" s="1161">
        <v>505</v>
      </c>
      <c r="H672" s="1207" t="s">
        <v>2710</v>
      </c>
      <c r="I672" s="1171" t="s">
        <v>5273</v>
      </c>
      <c r="J672" s="1169">
        <v>13200</v>
      </c>
      <c r="K672" s="1169"/>
      <c r="L672" s="1169"/>
      <c r="M672" s="489" t="str">
        <f t="shared" si="18"/>
        <v>DDDDDDDĐ</v>
      </c>
    </row>
    <row r="673" spans="1:13" ht="18" customHeight="1">
      <c r="A673" s="1161">
        <v>506</v>
      </c>
      <c r="B673" s="1207" t="s">
        <v>2711</v>
      </c>
      <c r="C673" s="1171" t="s">
        <v>5273</v>
      </c>
      <c r="D673" s="1169">
        <v>15100</v>
      </c>
      <c r="E673" s="1169"/>
      <c r="F673" s="1169"/>
      <c r="G673" s="1161">
        <v>506</v>
      </c>
      <c r="H673" s="1207" t="s">
        <v>2711</v>
      </c>
      <c r="I673" s="1171" t="s">
        <v>5273</v>
      </c>
      <c r="J673" s="1169">
        <v>15100</v>
      </c>
      <c r="K673" s="1169"/>
      <c r="L673" s="1169"/>
      <c r="M673" s="489" t="str">
        <f t="shared" si="18"/>
        <v>DDDDDDDĐ</v>
      </c>
    </row>
    <row r="674" spans="1:13" ht="18" customHeight="1">
      <c r="A674" s="1161">
        <v>507</v>
      </c>
      <c r="B674" s="1207" t="s">
        <v>2712</v>
      </c>
      <c r="C674" s="1171" t="s">
        <v>5273</v>
      </c>
      <c r="D674" s="1169">
        <v>17400</v>
      </c>
      <c r="E674" s="1169"/>
      <c r="F674" s="1169"/>
      <c r="G674" s="1161">
        <v>507</v>
      </c>
      <c r="H674" s="1207" t="s">
        <v>2712</v>
      </c>
      <c r="I674" s="1171" t="s">
        <v>5273</v>
      </c>
      <c r="J674" s="1169">
        <v>17400</v>
      </c>
      <c r="K674" s="1169"/>
      <c r="L674" s="1169"/>
      <c r="M674" s="489" t="str">
        <f t="shared" ref="M674:M737" si="26">IF(B674=H674,"DDDDDDDĐ","SSSSSSSSSSSS")</f>
        <v>DDDDDDDĐ</v>
      </c>
    </row>
    <row r="675" spans="1:13" ht="18" customHeight="1">
      <c r="A675" s="1161">
        <v>508</v>
      </c>
      <c r="B675" s="1207" t="s">
        <v>2713</v>
      </c>
      <c r="C675" s="1171" t="s">
        <v>5273</v>
      </c>
      <c r="D675" s="1169">
        <v>18900</v>
      </c>
      <c r="E675" s="1169"/>
      <c r="F675" s="1169"/>
      <c r="G675" s="1161">
        <v>508</v>
      </c>
      <c r="H675" s="1207" t="s">
        <v>2713</v>
      </c>
      <c r="I675" s="1171" t="s">
        <v>5273</v>
      </c>
      <c r="J675" s="1169">
        <v>18900</v>
      </c>
      <c r="K675" s="1169"/>
      <c r="L675" s="1169"/>
      <c r="M675" s="489" t="str">
        <f t="shared" si="26"/>
        <v>DDDDDDDĐ</v>
      </c>
    </row>
    <row r="676" spans="1:13" ht="18" customHeight="1">
      <c r="A676" s="1161">
        <v>509</v>
      </c>
      <c r="B676" s="1207" t="s">
        <v>2714</v>
      </c>
      <c r="C676" s="1171" t="s">
        <v>5273</v>
      </c>
      <c r="D676" s="1169">
        <v>24300</v>
      </c>
      <c r="E676" s="1169"/>
      <c r="F676" s="1169"/>
      <c r="G676" s="1161">
        <v>509</v>
      </c>
      <c r="H676" s="1207" t="s">
        <v>2714</v>
      </c>
      <c r="I676" s="1171" t="s">
        <v>5273</v>
      </c>
      <c r="J676" s="1169">
        <v>24300</v>
      </c>
      <c r="K676" s="1169"/>
      <c r="L676" s="1169"/>
      <c r="M676" s="489" t="str">
        <f t="shared" si="26"/>
        <v>DDDDDDDĐ</v>
      </c>
    </row>
    <row r="677" spans="1:13" ht="18" customHeight="1">
      <c r="A677" s="1161">
        <v>510</v>
      </c>
      <c r="B677" s="1207" t="s">
        <v>2715</v>
      </c>
      <c r="C677" s="1171" t="s">
        <v>5273</v>
      </c>
      <c r="D677" s="1169">
        <v>27400</v>
      </c>
      <c r="E677" s="1169"/>
      <c r="F677" s="1169"/>
      <c r="G677" s="1161">
        <v>510</v>
      </c>
      <c r="H677" s="1207" t="s">
        <v>2715</v>
      </c>
      <c r="I677" s="1171" t="s">
        <v>5273</v>
      </c>
      <c r="J677" s="1169">
        <v>27400</v>
      </c>
      <c r="K677" s="1169"/>
      <c r="L677" s="1169"/>
      <c r="M677" s="489" t="str">
        <f t="shared" si="26"/>
        <v>DDDDDDDĐ</v>
      </c>
    </row>
    <row r="678" spans="1:13" ht="18" customHeight="1">
      <c r="A678" s="1161">
        <v>511</v>
      </c>
      <c r="B678" s="1207" t="s">
        <v>2716</v>
      </c>
      <c r="C678" s="1171" t="s">
        <v>5273</v>
      </c>
      <c r="D678" s="1169">
        <v>31300</v>
      </c>
      <c r="E678" s="1169"/>
      <c r="F678" s="1169"/>
      <c r="G678" s="1161">
        <v>511</v>
      </c>
      <c r="H678" s="1207" t="s">
        <v>2716</v>
      </c>
      <c r="I678" s="1171" t="s">
        <v>5273</v>
      </c>
      <c r="J678" s="1169">
        <v>31300</v>
      </c>
      <c r="K678" s="1169"/>
      <c r="L678" s="1169"/>
      <c r="M678" s="489" t="str">
        <f t="shared" si="26"/>
        <v>DDDDDDDĐ</v>
      </c>
    </row>
    <row r="679" spans="1:13" ht="18" customHeight="1">
      <c r="A679" s="1161">
        <v>512</v>
      </c>
      <c r="B679" s="1207" t="s">
        <v>2717</v>
      </c>
      <c r="C679" s="1171" t="s">
        <v>5273</v>
      </c>
      <c r="D679" s="1169">
        <v>38800</v>
      </c>
      <c r="E679" s="1169"/>
      <c r="F679" s="1169"/>
      <c r="G679" s="1161">
        <v>512</v>
      </c>
      <c r="H679" s="1207" t="s">
        <v>2717</v>
      </c>
      <c r="I679" s="1171" t="s">
        <v>5273</v>
      </c>
      <c r="J679" s="1169">
        <v>38800</v>
      </c>
      <c r="K679" s="1169"/>
      <c r="L679" s="1169"/>
      <c r="M679" s="489" t="str">
        <f t="shared" si="26"/>
        <v>DDDDDDDĐ</v>
      </c>
    </row>
    <row r="680" spans="1:13" ht="18" customHeight="1">
      <c r="A680" s="1161"/>
      <c r="B680" s="1156" t="s">
        <v>2718</v>
      </c>
      <c r="C680" s="1168"/>
      <c r="D680" s="1169"/>
      <c r="E680" s="1169"/>
      <c r="F680" s="1169"/>
      <c r="G680" s="1161"/>
      <c r="H680" s="1156" t="s">
        <v>2718</v>
      </c>
      <c r="I680" s="1168"/>
      <c r="J680" s="1169"/>
      <c r="K680" s="1169"/>
      <c r="L680" s="1169"/>
      <c r="M680" s="489" t="str">
        <f t="shared" si="26"/>
        <v>DDDDDDDĐ</v>
      </c>
    </row>
    <row r="681" spans="1:13" ht="18" customHeight="1">
      <c r="A681" s="1161"/>
      <c r="B681" s="1156" t="s">
        <v>2719</v>
      </c>
      <c r="C681" s="1168"/>
      <c r="D681" s="1169"/>
      <c r="E681" s="1169"/>
      <c r="F681" s="1169"/>
      <c r="G681" s="1161"/>
      <c r="H681" s="1156" t="s">
        <v>2719</v>
      </c>
      <c r="I681" s="1168"/>
      <c r="J681" s="1169"/>
      <c r="K681" s="1169"/>
      <c r="L681" s="1169"/>
      <c r="M681" s="489" t="str">
        <f t="shared" si="26"/>
        <v>DDDDDDDĐ</v>
      </c>
    </row>
    <row r="682" spans="1:13" ht="18" customHeight="1">
      <c r="A682" s="1161">
        <v>513</v>
      </c>
      <c r="B682" s="1162" t="s">
        <v>2720</v>
      </c>
      <c r="C682" s="1171" t="s">
        <v>5306</v>
      </c>
      <c r="D682" s="1169">
        <f>46000/1.1</f>
        <v>41818.181818181816</v>
      </c>
      <c r="E682" s="1169"/>
      <c r="F682" s="1169"/>
      <c r="G682" s="1161">
        <v>513</v>
      </c>
      <c r="H682" s="1162" t="s">
        <v>2720</v>
      </c>
      <c r="I682" s="1171" t="s">
        <v>5306</v>
      </c>
      <c r="J682" s="1169">
        <f>46000/1.1</f>
        <v>41818.181818181816</v>
      </c>
      <c r="K682" s="1169"/>
      <c r="L682" s="1169"/>
      <c r="M682" s="489" t="str">
        <f t="shared" si="26"/>
        <v>DDDDDDDĐ</v>
      </c>
    </row>
    <row r="683" spans="1:13" ht="18" customHeight="1">
      <c r="A683" s="1161">
        <v>514</v>
      </c>
      <c r="B683" s="1162" t="s">
        <v>2721</v>
      </c>
      <c r="C683" s="1171" t="s">
        <v>5306</v>
      </c>
      <c r="D683" s="1169">
        <f>51000/1.1</f>
        <v>46363.63636363636</v>
      </c>
      <c r="E683" s="1169"/>
      <c r="F683" s="1169"/>
      <c r="G683" s="1161">
        <v>514</v>
      </c>
      <c r="H683" s="1162" t="s">
        <v>2721</v>
      </c>
      <c r="I683" s="1171" t="s">
        <v>5306</v>
      </c>
      <c r="J683" s="1169">
        <f>51000/1.1</f>
        <v>46363.63636363636</v>
      </c>
      <c r="K683" s="1169"/>
      <c r="L683" s="1169"/>
      <c r="M683" s="489" t="str">
        <f t="shared" si="26"/>
        <v>DDDDDDDĐ</v>
      </c>
    </row>
    <row r="684" spans="1:13" ht="18" customHeight="1">
      <c r="A684" s="1161">
        <v>515</v>
      </c>
      <c r="B684" s="1162" t="s">
        <v>2722</v>
      </c>
      <c r="C684" s="1171" t="s">
        <v>5306</v>
      </c>
      <c r="D684" s="1169">
        <f>59500/1.1</f>
        <v>54090.909090909088</v>
      </c>
      <c r="E684" s="1169"/>
      <c r="F684" s="1169"/>
      <c r="G684" s="1161">
        <v>515</v>
      </c>
      <c r="H684" s="1162" t="s">
        <v>2722</v>
      </c>
      <c r="I684" s="1171" t="s">
        <v>5306</v>
      </c>
      <c r="J684" s="1169">
        <f>59500/1.1</f>
        <v>54090.909090909088</v>
      </c>
      <c r="K684" s="1169"/>
      <c r="L684" s="1169"/>
      <c r="M684" s="489" t="str">
        <f t="shared" si="26"/>
        <v>DDDDDDDĐ</v>
      </c>
    </row>
    <row r="685" spans="1:13" ht="18" customHeight="1">
      <c r="A685" s="1161"/>
      <c r="B685" s="1156" t="s">
        <v>2723</v>
      </c>
      <c r="C685" s="1168"/>
      <c r="D685" s="1169"/>
      <c r="E685" s="1169"/>
      <c r="F685" s="1169"/>
      <c r="G685" s="1161"/>
      <c r="H685" s="1156" t="s">
        <v>2723</v>
      </c>
      <c r="I685" s="1168"/>
      <c r="J685" s="1169"/>
      <c r="K685" s="1169"/>
      <c r="L685" s="1169"/>
      <c r="M685" s="489" t="str">
        <f t="shared" si="26"/>
        <v>DDDDDDDĐ</v>
      </c>
    </row>
    <row r="686" spans="1:13" ht="18" customHeight="1">
      <c r="A686" s="1161">
        <v>516</v>
      </c>
      <c r="B686" s="1162" t="s">
        <v>2720</v>
      </c>
      <c r="C686" s="1171" t="s">
        <v>5306</v>
      </c>
      <c r="D686" s="1169">
        <f>43000/1.1</f>
        <v>39090.909090909088</v>
      </c>
      <c r="E686" s="1169"/>
      <c r="F686" s="1169"/>
      <c r="G686" s="1161">
        <v>516</v>
      </c>
      <c r="H686" s="1162" t="s">
        <v>2720</v>
      </c>
      <c r="I686" s="1171" t="s">
        <v>5306</v>
      </c>
      <c r="J686" s="1169">
        <f>43000/1.1</f>
        <v>39090.909090909088</v>
      </c>
      <c r="K686" s="1169"/>
      <c r="L686" s="1169"/>
      <c r="M686" s="489" t="str">
        <f t="shared" si="26"/>
        <v>DDDDDDDĐ</v>
      </c>
    </row>
    <row r="687" spans="1:13" ht="18" customHeight="1">
      <c r="A687" s="1161">
        <v>517</v>
      </c>
      <c r="B687" s="1162" t="s">
        <v>2724</v>
      </c>
      <c r="C687" s="1171" t="s">
        <v>5306</v>
      </c>
      <c r="D687" s="1169">
        <f>45000/1.1</f>
        <v>40909.090909090904</v>
      </c>
      <c r="E687" s="1169"/>
      <c r="F687" s="1169"/>
      <c r="G687" s="1161">
        <v>517</v>
      </c>
      <c r="H687" s="1162" t="s">
        <v>2724</v>
      </c>
      <c r="I687" s="1171" t="s">
        <v>5306</v>
      </c>
      <c r="J687" s="1169">
        <f>45000/1.1</f>
        <v>40909.090909090904</v>
      </c>
      <c r="K687" s="1169"/>
      <c r="L687" s="1169"/>
      <c r="M687" s="489" t="str">
        <f t="shared" si="26"/>
        <v>DDDDDDDĐ</v>
      </c>
    </row>
    <row r="688" spans="1:13" ht="18" customHeight="1">
      <c r="A688" s="1161">
        <v>518</v>
      </c>
      <c r="B688" s="1162" t="s">
        <v>2722</v>
      </c>
      <c r="C688" s="1171" t="s">
        <v>5306</v>
      </c>
      <c r="D688" s="1169">
        <f>52000/1.1</f>
        <v>47272.727272727272</v>
      </c>
      <c r="E688" s="1169"/>
      <c r="F688" s="1169"/>
      <c r="G688" s="1161">
        <v>518</v>
      </c>
      <c r="H688" s="1162" t="s">
        <v>2722</v>
      </c>
      <c r="I688" s="1171" t="s">
        <v>5306</v>
      </c>
      <c r="J688" s="1169">
        <f>52000/1.1</f>
        <v>47272.727272727272</v>
      </c>
      <c r="K688" s="1169"/>
      <c r="L688" s="1169"/>
      <c r="M688" s="489" t="str">
        <f t="shared" si="26"/>
        <v>DDDDDDDĐ</v>
      </c>
    </row>
    <row r="689" spans="1:13" ht="18" customHeight="1">
      <c r="A689" s="513" t="s">
        <v>2725</v>
      </c>
      <c r="B689" s="502" t="s">
        <v>2726</v>
      </c>
      <c r="C689" s="510"/>
      <c r="D689" s="510"/>
      <c r="E689" s="508"/>
      <c r="F689" s="508"/>
      <c r="G689" s="513" t="s">
        <v>2725</v>
      </c>
      <c r="H689" s="502" t="s">
        <v>2726</v>
      </c>
      <c r="I689" s="510"/>
      <c r="J689" s="510"/>
      <c r="K689" s="508"/>
      <c r="L689" s="508"/>
      <c r="M689" s="489" t="str">
        <f t="shared" si="26"/>
        <v>DDDDDDDĐ</v>
      </c>
    </row>
    <row r="690" spans="1:13" ht="18" customHeight="1">
      <c r="A690" s="513"/>
      <c r="B690" s="502" t="s">
        <v>3740</v>
      </c>
      <c r="C690" s="510"/>
      <c r="D690" s="510"/>
      <c r="E690" s="508"/>
      <c r="F690" s="508"/>
      <c r="G690" s="513"/>
      <c r="H690" s="502" t="s">
        <v>3740</v>
      </c>
      <c r="I690" s="510"/>
      <c r="J690" s="510"/>
      <c r="K690" s="508"/>
      <c r="L690" s="508"/>
      <c r="M690" s="489" t="str">
        <f t="shared" si="26"/>
        <v>DDDDDDDĐ</v>
      </c>
    </row>
    <row r="691" spans="1:13" ht="18" customHeight="1">
      <c r="A691" s="501"/>
      <c r="B691" s="502" t="s">
        <v>3874</v>
      </c>
      <c r="C691" s="510"/>
      <c r="D691" s="510"/>
      <c r="E691" s="508"/>
      <c r="F691" s="508"/>
      <c r="G691" s="501"/>
      <c r="H691" s="502" t="s">
        <v>3874</v>
      </c>
      <c r="I691" s="510"/>
      <c r="J691" s="510"/>
      <c r="K691" s="508"/>
      <c r="L691" s="508"/>
      <c r="M691" s="489" t="str">
        <f t="shared" si="26"/>
        <v>DDDDDDDĐ</v>
      </c>
    </row>
    <row r="692" spans="1:13" ht="18" customHeight="1">
      <c r="A692" s="501">
        <v>519</v>
      </c>
      <c r="B692" s="506" t="s">
        <v>2727</v>
      </c>
      <c r="C692" s="507" t="s">
        <v>2530</v>
      </c>
      <c r="D692" s="510"/>
      <c r="E692" s="508">
        <f>9500000/1.1</f>
        <v>8636363.6363636348</v>
      </c>
      <c r="F692" s="508"/>
      <c r="G692" s="501">
        <v>519</v>
      </c>
      <c r="H692" s="506" t="s">
        <v>2727</v>
      </c>
      <c r="I692" s="507" t="s">
        <v>2530</v>
      </c>
      <c r="J692" s="510"/>
      <c r="K692" s="508">
        <f>9500000/1.1</f>
        <v>8636363.6363636348</v>
      </c>
      <c r="L692" s="508"/>
      <c r="M692" s="489" t="str">
        <f t="shared" si="26"/>
        <v>DDDDDDDĐ</v>
      </c>
    </row>
    <row r="693" spans="1:13">
      <c r="A693" s="501">
        <v>520</v>
      </c>
      <c r="B693" s="506" t="s">
        <v>2728</v>
      </c>
      <c r="C693" s="507" t="s">
        <v>2530</v>
      </c>
      <c r="D693" s="510"/>
      <c r="E693" s="508">
        <f>12200000/1.1</f>
        <v>11090909.09090909</v>
      </c>
      <c r="F693" s="508"/>
      <c r="G693" s="501">
        <v>520</v>
      </c>
      <c r="H693" s="506" t="s">
        <v>2728</v>
      </c>
      <c r="I693" s="507" t="s">
        <v>2530</v>
      </c>
      <c r="J693" s="510"/>
      <c r="K693" s="508">
        <f>12200000/1.1</f>
        <v>11090909.09090909</v>
      </c>
      <c r="L693" s="508"/>
      <c r="M693" s="489" t="str">
        <f t="shared" si="26"/>
        <v>DDDDDDDĐ</v>
      </c>
    </row>
    <row r="694" spans="1:13">
      <c r="A694" s="501"/>
      <c r="B694" s="502" t="s">
        <v>2730</v>
      </c>
      <c r="C694" s="510"/>
      <c r="D694" s="510"/>
      <c r="E694" s="508"/>
      <c r="F694" s="508"/>
      <c r="G694" s="501"/>
      <c r="H694" s="502" t="s">
        <v>2730</v>
      </c>
      <c r="I694" s="510"/>
      <c r="J694" s="510"/>
      <c r="K694" s="508"/>
      <c r="L694" s="508"/>
      <c r="M694" s="489" t="str">
        <f t="shared" si="26"/>
        <v>DDDDDDDĐ</v>
      </c>
    </row>
    <row r="695" spans="1:13" ht="18" customHeight="1">
      <c r="A695" s="501">
        <v>521</v>
      </c>
      <c r="B695" s="506" t="s">
        <v>2727</v>
      </c>
      <c r="C695" s="507" t="s">
        <v>2530</v>
      </c>
      <c r="D695" s="510"/>
      <c r="E695" s="508">
        <f>7600000/1.1</f>
        <v>6909090.9090909082</v>
      </c>
      <c r="F695" s="508"/>
      <c r="G695" s="501">
        <v>521</v>
      </c>
      <c r="H695" s="506" t="s">
        <v>2727</v>
      </c>
      <c r="I695" s="507" t="s">
        <v>2530</v>
      </c>
      <c r="J695" s="510"/>
      <c r="K695" s="508">
        <f>7600000/1.1</f>
        <v>6909090.9090909082</v>
      </c>
      <c r="L695" s="508"/>
      <c r="M695" s="489" t="str">
        <f t="shared" si="26"/>
        <v>DDDDDDDĐ</v>
      </c>
    </row>
    <row r="696" spans="1:13" ht="31.5" customHeight="1">
      <c r="A696" s="501">
        <v>522</v>
      </c>
      <c r="B696" s="506" t="s">
        <v>2728</v>
      </c>
      <c r="C696" s="507" t="s">
        <v>2530</v>
      </c>
      <c r="D696" s="510"/>
      <c r="E696" s="508">
        <f>9500000/1.1</f>
        <v>8636363.6363636348</v>
      </c>
      <c r="F696" s="508"/>
      <c r="G696" s="501">
        <v>522</v>
      </c>
      <c r="H696" s="506" t="s">
        <v>2728</v>
      </c>
      <c r="I696" s="507" t="s">
        <v>2530</v>
      </c>
      <c r="J696" s="510"/>
      <c r="K696" s="508">
        <f>9500000/1.1</f>
        <v>8636363.6363636348</v>
      </c>
      <c r="L696" s="508"/>
      <c r="M696" s="489" t="str">
        <f t="shared" si="26"/>
        <v>DDDDDDDĐ</v>
      </c>
    </row>
    <row r="697" spans="1:13" ht="18" customHeight="1">
      <c r="A697" s="501">
        <v>523</v>
      </c>
      <c r="B697" s="506" t="s">
        <v>2729</v>
      </c>
      <c r="C697" s="507" t="s">
        <v>2530</v>
      </c>
      <c r="D697" s="510"/>
      <c r="E697" s="508">
        <f>13200000/1.1</f>
        <v>11999999.999999998</v>
      </c>
      <c r="F697" s="508"/>
      <c r="G697" s="501">
        <v>523</v>
      </c>
      <c r="H697" s="506" t="s">
        <v>2729</v>
      </c>
      <c r="I697" s="507" t="s">
        <v>2530</v>
      </c>
      <c r="J697" s="510"/>
      <c r="K697" s="508">
        <f>13200000/1.1</f>
        <v>11999999.999999998</v>
      </c>
      <c r="L697" s="508"/>
      <c r="M697" s="489" t="str">
        <f t="shared" si="26"/>
        <v>DDDDDDDĐ</v>
      </c>
    </row>
    <row r="698" spans="1:13" ht="18" customHeight="1">
      <c r="A698" s="501">
        <v>524</v>
      </c>
      <c r="B698" s="506" t="s">
        <v>2731</v>
      </c>
      <c r="C698" s="507" t="s">
        <v>2530</v>
      </c>
      <c r="D698" s="510"/>
      <c r="E698" s="508">
        <f>17500000/1.1</f>
        <v>15909090.909090908</v>
      </c>
      <c r="F698" s="508"/>
      <c r="G698" s="501">
        <v>524</v>
      </c>
      <c r="H698" s="506" t="s">
        <v>2731</v>
      </c>
      <c r="I698" s="507" t="s">
        <v>2530</v>
      </c>
      <c r="J698" s="510"/>
      <c r="K698" s="508">
        <f>17500000/1.1</f>
        <v>15909090.909090908</v>
      </c>
      <c r="L698" s="508"/>
      <c r="M698" s="489" t="str">
        <f t="shared" si="26"/>
        <v>DDDDDDDĐ</v>
      </c>
    </row>
    <row r="699" spans="1:13" ht="18" customHeight="1">
      <c r="A699" s="501"/>
      <c r="B699" s="502" t="s">
        <v>2732</v>
      </c>
      <c r="C699" s="510"/>
      <c r="D699" s="510"/>
      <c r="E699" s="508"/>
      <c r="F699" s="508"/>
      <c r="G699" s="501"/>
      <c r="H699" s="502" t="s">
        <v>2732</v>
      </c>
      <c r="I699" s="510"/>
      <c r="J699" s="510"/>
      <c r="K699" s="508"/>
      <c r="L699" s="508"/>
      <c r="M699" s="489" t="str">
        <f t="shared" si="26"/>
        <v>DDDDDDDĐ</v>
      </c>
    </row>
    <row r="700" spans="1:13" ht="18" customHeight="1">
      <c r="A700" s="501">
        <v>525</v>
      </c>
      <c r="B700" s="506" t="s">
        <v>2727</v>
      </c>
      <c r="C700" s="507" t="s">
        <v>2530</v>
      </c>
      <c r="D700" s="510"/>
      <c r="E700" s="508">
        <v>8400000</v>
      </c>
      <c r="F700" s="508"/>
      <c r="G700" s="501">
        <v>525</v>
      </c>
      <c r="H700" s="506" t="s">
        <v>2727</v>
      </c>
      <c r="I700" s="507" t="s">
        <v>2530</v>
      </c>
      <c r="J700" s="510"/>
      <c r="K700" s="508">
        <v>8400000</v>
      </c>
      <c r="L700" s="508"/>
      <c r="M700" s="489" t="str">
        <f t="shared" si="26"/>
        <v>DDDDDDDĐ</v>
      </c>
    </row>
    <row r="701" spans="1:13" ht="18" customHeight="1">
      <c r="A701" s="501">
        <v>526</v>
      </c>
      <c r="B701" s="506" t="s">
        <v>2728</v>
      </c>
      <c r="C701" s="507" t="s">
        <v>2530</v>
      </c>
      <c r="D701" s="510"/>
      <c r="E701" s="508">
        <v>10800000</v>
      </c>
      <c r="F701" s="508"/>
      <c r="G701" s="501">
        <v>526</v>
      </c>
      <c r="H701" s="506" t="s">
        <v>2728</v>
      </c>
      <c r="I701" s="507" t="s">
        <v>2530</v>
      </c>
      <c r="J701" s="510"/>
      <c r="K701" s="508">
        <v>10800000</v>
      </c>
      <c r="L701" s="508"/>
      <c r="M701" s="489" t="str">
        <f t="shared" si="26"/>
        <v>DDDDDDDĐ</v>
      </c>
    </row>
    <row r="702" spans="1:13" ht="18" customHeight="1">
      <c r="A702" s="501">
        <v>527</v>
      </c>
      <c r="B702" s="506" t="s">
        <v>2729</v>
      </c>
      <c r="C702" s="507" t="s">
        <v>2530</v>
      </c>
      <c r="D702" s="510"/>
      <c r="E702" s="508">
        <v>15500000</v>
      </c>
      <c r="F702" s="508"/>
      <c r="G702" s="501">
        <v>527</v>
      </c>
      <c r="H702" s="506" t="s">
        <v>2729</v>
      </c>
      <c r="I702" s="507" t="s">
        <v>2530</v>
      </c>
      <c r="J702" s="510"/>
      <c r="K702" s="508">
        <v>15500000</v>
      </c>
      <c r="L702" s="508"/>
      <c r="M702" s="489" t="str">
        <f t="shared" si="26"/>
        <v>DDDDDDDĐ</v>
      </c>
    </row>
    <row r="703" spans="1:13" ht="18" customHeight="1">
      <c r="A703" s="501"/>
      <c r="B703" s="502" t="s">
        <v>2733</v>
      </c>
      <c r="C703" s="510"/>
      <c r="D703" s="510"/>
      <c r="E703" s="508"/>
      <c r="F703" s="508"/>
      <c r="G703" s="501"/>
      <c r="H703" s="502" t="s">
        <v>2733</v>
      </c>
      <c r="I703" s="510"/>
      <c r="J703" s="510"/>
      <c r="K703" s="508"/>
      <c r="L703" s="508"/>
      <c r="M703" s="489" t="str">
        <f t="shared" si="26"/>
        <v>DDDDDDDĐ</v>
      </c>
    </row>
    <row r="704" spans="1:13" ht="18" customHeight="1">
      <c r="A704" s="501">
        <v>528</v>
      </c>
      <c r="B704" s="506" t="s">
        <v>2727</v>
      </c>
      <c r="C704" s="507" t="s">
        <v>2530</v>
      </c>
      <c r="D704" s="510"/>
      <c r="E704" s="508">
        <f>7000000/1.1</f>
        <v>6363636.3636363633</v>
      </c>
      <c r="F704" s="508"/>
      <c r="G704" s="501">
        <v>528</v>
      </c>
      <c r="H704" s="506" t="s">
        <v>2727</v>
      </c>
      <c r="I704" s="507" t="s">
        <v>2530</v>
      </c>
      <c r="J704" s="510"/>
      <c r="K704" s="508">
        <f>7000000/1.1</f>
        <v>6363636.3636363633</v>
      </c>
      <c r="L704" s="508"/>
      <c r="M704" s="489" t="str">
        <f t="shared" si="26"/>
        <v>DDDDDDDĐ</v>
      </c>
    </row>
    <row r="705" spans="1:13" ht="18" customHeight="1">
      <c r="A705" s="501">
        <v>529</v>
      </c>
      <c r="B705" s="506" t="s">
        <v>2728</v>
      </c>
      <c r="C705" s="507" t="s">
        <v>2530</v>
      </c>
      <c r="D705" s="510"/>
      <c r="E705" s="508">
        <f>9050000/1.1</f>
        <v>8227272.7272727266</v>
      </c>
      <c r="F705" s="508"/>
      <c r="G705" s="501">
        <v>529</v>
      </c>
      <c r="H705" s="506" t="s">
        <v>2728</v>
      </c>
      <c r="I705" s="507" t="s">
        <v>2530</v>
      </c>
      <c r="J705" s="510"/>
      <c r="K705" s="508">
        <f>9050000/1.1</f>
        <v>8227272.7272727266</v>
      </c>
      <c r="L705" s="508"/>
      <c r="M705" s="489" t="str">
        <f t="shared" si="26"/>
        <v>DDDDDDDĐ</v>
      </c>
    </row>
    <row r="706" spans="1:13" ht="18.95" customHeight="1">
      <c r="A706" s="501">
        <v>530</v>
      </c>
      <c r="B706" s="506" t="s">
        <v>2729</v>
      </c>
      <c r="C706" s="507" t="s">
        <v>2530</v>
      </c>
      <c r="D706" s="510"/>
      <c r="E706" s="508">
        <f>13500000/1.1</f>
        <v>12272727.272727272</v>
      </c>
      <c r="F706" s="508"/>
      <c r="G706" s="501">
        <v>530</v>
      </c>
      <c r="H706" s="506" t="s">
        <v>2729</v>
      </c>
      <c r="I706" s="507" t="s">
        <v>2530</v>
      </c>
      <c r="J706" s="510"/>
      <c r="K706" s="508">
        <f>13500000/1.1</f>
        <v>12272727.272727272</v>
      </c>
      <c r="L706" s="508"/>
      <c r="M706" s="489" t="str">
        <f t="shared" si="26"/>
        <v>DDDDDDDĐ</v>
      </c>
    </row>
    <row r="707" spans="1:13" ht="18" customHeight="1">
      <c r="A707" s="501">
        <v>531</v>
      </c>
      <c r="B707" s="506" t="s">
        <v>2731</v>
      </c>
      <c r="C707" s="507" t="s">
        <v>2530</v>
      </c>
      <c r="D707" s="510"/>
      <c r="E707" s="508">
        <f>17700000/1.1</f>
        <v>16090909.09090909</v>
      </c>
      <c r="F707" s="508"/>
      <c r="G707" s="501">
        <v>531</v>
      </c>
      <c r="H707" s="506" t="s">
        <v>2731</v>
      </c>
      <c r="I707" s="507" t="s">
        <v>2530</v>
      </c>
      <c r="J707" s="510"/>
      <c r="K707" s="508">
        <f>17700000/1.1</f>
        <v>16090909.09090909</v>
      </c>
      <c r="L707" s="508"/>
      <c r="M707" s="489" t="str">
        <f t="shared" si="26"/>
        <v>DDDDDDDĐ</v>
      </c>
    </row>
    <row r="708" spans="1:13" ht="18" customHeight="1">
      <c r="A708" s="513"/>
      <c r="B708" s="502" t="s">
        <v>2734</v>
      </c>
      <c r="C708" s="510"/>
      <c r="D708" s="510"/>
      <c r="E708" s="508"/>
      <c r="F708" s="508"/>
      <c r="G708" s="513"/>
      <c r="H708" s="502" t="s">
        <v>2734</v>
      </c>
      <c r="I708" s="510"/>
      <c r="J708" s="510"/>
      <c r="K708" s="508"/>
      <c r="L708" s="508"/>
      <c r="M708" s="489" t="str">
        <f t="shared" si="26"/>
        <v>DDDDDDDĐ</v>
      </c>
    </row>
    <row r="709" spans="1:13" ht="18" customHeight="1">
      <c r="A709" s="501">
        <v>532</v>
      </c>
      <c r="B709" s="506" t="s">
        <v>2727</v>
      </c>
      <c r="C709" s="507" t="s">
        <v>2530</v>
      </c>
      <c r="D709" s="510"/>
      <c r="E709" s="508">
        <f>7600000/1.1</f>
        <v>6909090.9090909082</v>
      </c>
      <c r="F709" s="508"/>
      <c r="G709" s="501">
        <v>532</v>
      </c>
      <c r="H709" s="506" t="s">
        <v>2727</v>
      </c>
      <c r="I709" s="507" t="s">
        <v>2530</v>
      </c>
      <c r="J709" s="510"/>
      <c r="K709" s="508">
        <f>7600000/1.1</f>
        <v>6909090.9090909082</v>
      </c>
      <c r="L709" s="508"/>
      <c r="M709" s="489" t="str">
        <f t="shared" si="26"/>
        <v>DDDDDDDĐ</v>
      </c>
    </row>
    <row r="710" spans="1:13" ht="18" customHeight="1">
      <c r="A710" s="501">
        <v>533</v>
      </c>
      <c r="B710" s="506" t="s">
        <v>2728</v>
      </c>
      <c r="C710" s="507" t="s">
        <v>2530</v>
      </c>
      <c r="D710" s="510"/>
      <c r="E710" s="508">
        <f>9600000/1.1</f>
        <v>8727272.7272727266</v>
      </c>
      <c r="F710" s="508"/>
      <c r="G710" s="501">
        <v>533</v>
      </c>
      <c r="H710" s="506" t="s">
        <v>2728</v>
      </c>
      <c r="I710" s="507" t="s">
        <v>2530</v>
      </c>
      <c r="J710" s="510"/>
      <c r="K710" s="508">
        <f>9600000/1.1</f>
        <v>8727272.7272727266</v>
      </c>
      <c r="L710" s="508"/>
      <c r="M710" s="489" t="str">
        <f t="shared" si="26"/>
        <v>DDDDDDDĐ</v>
      </c>
    </row>
    <row r="711" spans="1:13" ht="18" customHeight="1">
      <c r="A711" s="501">
        <v>534</v>
      </c>
      <c r="B711" s="506" t="s">
        <v>2729</v>
      </c>
      <c r="C711" s="507" t="s">
        <v>2530</v>
      </c>
      <c r="D711" s="510"/>
      <c r="E711" s="508">
        <f>14300000/1.1</f>
        <v>12999999.999999998</v>
      </c>
      <c r="F711" s="508"/>
      <c r="G711" s="501">
        <v>534</v>
      </c>
      <c r="H711" s="506" t="s">
        <v>2729</v>
      </c>
      <c r="I711" s="507" t="s">
        <v>2530</v>
      </c>
      <c r="J711" s="510"/>
      <c r="K711" s="508">
        <f>14300000/1.1</f>
        <v>12999999.999999998</v>
      </c>
      <c r="L711" s="508"/>
      <c r="M711" s="489" t="str">
        <f t="shared" si="26"/>
        <v>DDDDDDDĐ</v>
      </c>
    </row>
    <row r="712" spans="1:13" ht="18" customHeight="1">
      <c r="A712" s="501">
        <v>535</v>
      </c>
      <c r="B712" s="506" t="s">
        <v>2731</v>
      </c>
      <c r="C712" s="507" t="s">
        <v>2530</v>
      </c>
      <c r="D712" s="510"/>
      <c r="E712" s="508">
        <f>22500000/1.1</f>
        <v>20454545.454545453</v>
      </c>
      <c r="F712" s="508"/>
      <c r="G712" s="501">
        <v>535</v>
      </c>
      <c r="H712" s="506" t="s">
        <v>2731</v>
      </c>
      <c r="I712" s="507" t="s">
        <v>2530</v>
      </c>
      <c r="J712" s="510"/>
      <c r="K712" s="508">
        <f>22500000/1.1</f>
        <v>20454545.454545453</v>
      </c>
      <c r="L712" s="508"/>
      <c r="M712" s="489" t="str">
        <f t="shared" si="26"/>
        <v>DDDDDDDĐ</v>
      </c>
    </row>
    <row r="713" spans="1:13" ht="18" customHeight="1">
      <c r="A713" s="513"/>
      <c r="B713" s="502" t="s">
        <v>2735</v>
      </c>
      <c r="C713" s="510"/>
      <c r="D713" s="510"/>
      <c r="E713" s="508"/>
      <c r="F713" s="508"/>
      <c r="G713" s="513"/>
      <c r="H713" s="502" t="s">
        <v>2735</v>
      </c>
      <c r="I713" s="510"/>
      <c r="J713" s="510"/>
      <c r="K713" s="508"/>
      <c r="L713" s="508"/>
      <c r="M713" s="489" t="str">
        <f t="shared" si="26"/>
        <v>DDDDDDDĐ</v>
      </c>
    </row>
    <row r="714" spans="1:13" ht="18" customHeight="1">
      <c r="A714" s="501">
        <v>536</v>
      </c>
      <c r="B714" s="506" t="s">
        <v>2727</v>
      </c>
      <c r="C714" s="507" t="s">
        <v>2530</v>
      </c>
      <c r="D714" s="510"/>
      <c r="E714" s="508">
        <f>7800000/1.1</f>
        <v>7090909.0909090899</v>
      </c>
      <c r="F714" s="508"/>
      <c r="G714" s="501">
        <v>536</v>
      </c>
      <c r="H714" s="506" t="s">
        <v>2727</v>
      </c>
      <c r="I714" s="507" t="s">
        <v>2530</v>
      </c>
      <c r="J714" s="510"/>
      <c r="K714" s="508">
        <f>7800000/1.1</f>
        <v>7090909.0909090899</v>
      </c>
      <c r="L714" s="508"/>
      <c r="M714" s="489" t="str">
        <f t="shared" si="26"/>
        <v>DDDDDDDĐ</v>
      </c>
    </row>
    <row r="715" spans="1:13" ht="18" customHeight="1">
      <c r="A715" s="501">
        <v>537</v>
      </c>
      <c r="B715" s="506" t="s">
        <v>2728</v>
      </c>
      <c r="C715" s="507" t="s">
        <v>2530</v>
      </c>
      <c r="D715" s="510"/>
      <c r="E715" s="508">
        <f>9700000/1.1</f>
        <v>8818181.8181818184</v>
      </c>
      <c r="F715" s="508"/>
      <c r="G715" s="501">
        <v>537</v>
      </c>
      <c r="H715" s="506" t="s">
        <v>2728</v>
      </c>
      <c r="I715" s="507" t="s">
        <v>2530</v>
      </c>
      <c r="J715" s="510"/>
      <c r="K715" s="508">
        <f>9700000/1.1</f>
        <v>8818181.8181818184</v>
      </c>
      <c r="L715" s="508"/>
      <c r="M715" s="489" t="str">
        <f t="shared" si="26"/>
        <v>DDDDDDDĐ</v>
      </c>
    </row>
    <row r="716" spans="1:13" ht="18" customHeight="1">
      <c r="A716" s="501">
        <v>538</v>
      </c>
      <c r="B716" s="506" t="s">
        <v>2729</v>
      </c>
      <c r="C716" s="507" t="s">
        <v>2530</v>
      </c>
      <c r="D716" s="510"/>
      <c r="E716" s="508">
        <f>14600000/1.1</f>
        <v>13272727.272727272</v>
      </c>
      <c r="F716" s="508"/>
      <c r="G716" s="501">
        <v>538</v>
      </c>
      <c r="H716" s="506" t="s">
        <v>2729</v>
      </c>
      <c r="I716" s="507" t="s">
        <v>2530</v>
      </c>
      <c r="J716" s="510"/>
      <c r="K716" s="508">
        <f>14600000/1.1</f>
        <v>13272727.272727272</v>
      </c>
      <c r="L716" s="508"/>
      <c r="M716" s="489" t="str">
        <f t="shared" si="26"/>
        <v>DDDDDDDĐ</v>
      </c>
    </row>
    <row r="717" spans="1:13" ht="18" customHeight="1">
      <c r="A717" s="501"/>
      <c r="B717" s="502" t="s">
        <v>2736</v>
      </c>
      <c r="C717" s="510"/>
      <c r="D717" s="510"/>
      <c r="E717" s="508"/>
      <c r="F717" s="508"/>
      <c r="G717" s="501"/>
      <c r="H717" s="502" t="s">
        <v>2736</v>
      </c>
      <c r="I717" s="510"/>
      <c r="J717" s="510"/>
      <c r="K717" s="508"/>
      <c r="L717" s="508"/>
      <c r="M717" s="489" t="str">
        <f t="shared" si="26"/>
        <v>DDDDDDDĐ</v>
      </c>
    </row>
    <row r="718" spans="1:13" ht="18" customHeight="1">
      <c r="A718" s="501">
        <v>539</v>
      </c>
      <c r="B718" s="506" t="s">
        <v>2727</v>
      </c>
      <c r="C718" s="507" t="s">
        <v>2530</v>
      </c>
      <c r="D718" s="510"/>
      <c r="E718" s="508">
        <f>5850000/1.1</f>
        <v>5318181.8181818174</v>
      </c>
      <c r="F718" s="508"/>
      <c r="G718" s="501">
        <v>539</v>
      </c>
      <c r="H718" s="506" t="s">
        <v>2727</v>
      </c>
      <c r="I718" s="507" t="s">
        <v>2530</v>
      </c>
      <c r="J718" s="510"/>
      <c r="K718" s="508">
        <f>5850000/1.1</f>
        <v>5318181.8181818174</v>
      </c>
      <c r="L718" s="508"/>
      <c r="M718" s="489" t="str">
        <f t="shared" si="26"/>
        <v>DDDDDDDĐ</v>
      </c>
    </row>
    <row r="719" spans="1:13" ht="18" customHeight="1">
      <c r="A719" s="501">
        <v>540</v>
      </c>
      <c r="B719" s="506" t="s">
        <v>2728</v>
      </c>
      <c r="C719" s="507" t="s">
        <v>2530</v>
      </c>
      <c r="D719" s="510"/>
      <c r="E719" s="508">
        <f>7700000/1.1</f>
        <v>6999999.9999999991</v>
      </c>
      <c r="F719" s="508"/>
      <c r="G719" s="501">
        <v>540</v>
      </c>
      <c r="H719" s="506" t="s">
        <v>2728</v>
      </c>
      <c r="I719" s="507" t="s">
        <v>2530</v>
      </c>
      <c r="J719" s="510"/>
      <c r="K719" s="508">
        <f>7700000/1.1</f>
        <v>6999999.9999999991</v>
      </c>
      <c r="L719" s="508"/>
      <c r="M719" s="489" t="str">
        <f t="shared" si="26"/>
        <v>DDDDDDDĐ</v>
      </c>
    </row>
    <row r="720" spans="1:13" ht="18" customHeight="1">
      <c r="A720" s="501">
        <v>541</v>
      </c>
      <c r="B720" s="506" t="s">
        <v>2729</v>
      </c>
      <c r="C720" s="507" t="s">
        <v>2530</v>
      </c>
      <c r="D720" s="510"/>
      <c r="E720" s="508">
        <f>11500000/1.1</f>
        <v>10454545.454545453</v>
      </c>
      <c r="F720" s="508"/>
      <c r="G720" s="501">
        <v>541</v>
      </c>
      <c r="H720" s="506" t="s">
        <v>2729</v>
      </c>
      <c r="I720" s="507" t="s">
        <v>2530</v>
      </c>
      <c r="J720" s="510"/>
      <c r="K720" s="508">
        <f>11500000/1.1</f>
        <v>10454545.454545453</v>
      </c>
      <c r="L720" s="508"/>
      <c r="M720" s="489" t="str">
        <f t="shared" si="26"/>
        <v>DDDDDDDĐ</v>
      </c>
    </row>
    <row r="721" spans="1:13" ht="18" customHeight="1">
      <c r="A721" s="513"/>
      <c r="B721" s="502" t="s">
        <v>5111</v>
      </c>
      <c r="C721" s="510"/>
      <c r="D721" s="510"/>
      <c r="E721" s="508"/>
      <c r="F721" s="508"/>
      <c r="G721" s="513"/>
      <c r="H721" s="502" t="s">
        <v>5111</v>
      </c>
      <c r="I721" s="510"/>
      <c r="J721" s="510"/>
      <c r="K721" s="508"/>
      <c r="L721" s="508"/>
      <c r="M721" s="489" t="str">
        <f t="shared" si="26"/>
        <v>DDDDDDDĐ</v>
      </c>
    </row>
    <row r="722" spans="1:13" ht="18" customHeight="1">
      <c r="A722" s="501"/>
      <c r="B722" s="502" t="s">
        <v>5112</v>
      </c>
      <c r="C722" s="510"/>
      <c r="D722" s="510"/>
      <c r="E722" s="508"/>
      <c r="F722" s="508"/>
      <c r="G722" s="501"/>
      <c r="H722" s="502" t="s">
        <v>5112</v>
      </c>
      <c r="I722" s="510"/>
      <c r="J722" s="510"/>
      <c r="K722" s="508"/>
      <c r="L722" s="508"/>
      <c r="M722" s="489" t="str">
        <f t="shared" si="26"/>
        <v>DDDDDDDĐ</v>
      </c>
    </row>
    <row r="723" spans="1:13" ht="18" customHeight="1">
      <c r="A723" s="501">
        <v>542</v>
      </c>
      <c r="B723" s="506" t="s">
        <v>5113</v>
      </c>
      <c r="C723" s="507" t="s">
        <v>2530</v>
      </c>
      <c r="D723" s="510"/>
      <c r="E723" s="508">
        <v>5200000</v>
      </c>
      <c r="F723" s="508"/>
      <c r="G723" s="501">
        <v>542</v>
      </c>
      <c r="H723" s="506" t="s">
        <v>5113</v>
      </c>
      <c r="I723" s="507" t="s">
        <v>2530</v>
      </c>
      <c r="J723" s="510"/>
      <c r="K723" s="508">
        <v>5200000</v>
      </c>
      <c r="L723" s="508"/>
      <c r="M723" s="489" t="str">
        <f t="shared" si="26"/>
        <v>DDDDDDDĐ</v>
      </c>
    </row>
    <row r="724" spans="1:13" ht="18" customHeight="1">
      <c r="A724" s="501">
        <v>543</v>
      </c>
      <c r="B724" s="506" t="s">
        <v>5114</v>
      </c>
      <c r="C724" s="507" t="s">
        <v>2530</v>
      </c>
      <c r="D724" s="510"/>
      <c r="E724" s="508">
        <v>6600000</v>
      </c>
      <c r="F724" s="508"/>
      <c r="G724" s="501">
        <v>543</v>
      </c>
      <c r="H724" s="506" t="s">
        <v>5114</v>
      </c>
      <c r="I724" s="507" t="s">
        <v>2530</v>
      </c>
      <c r="J724" s="510"/>
      <c r="K724" s="508">
        <v>6600000</v>
      </c>
      <c r="L724" s="508"/>
      <c r="M724" s="489" t="str">
        <f t="shared" si="26"/>
        <v>DDDDDDDĐ</v>
      </c>
    </row>
    <row r="725" spans="1:13" ht="18" customHeight="1">
      <c r="A725" s="501">
        <v>544</v>
      </c>
      <c r="B725" s="506" t="s">
        <v>5115</v>
      </c>
      <c r="C725" s="507" t="s">
        <v>2530</v>
      </c>
      <c r="D725" s="510"/>
      <c r="E725" s="508">
        <v>9600000</v>
      </c>
      <c r="F725" s="508"/>
      <c r="G725" s="501">
        <v>544</v>
      </c>
      <c r="H725" s="506" t="s">
        <v>5115</v>
      </c>
      <c r="I725" s="507" t="s">
        <v>2530</v>
      </c>
      <c r="J725" s="510"/>
      <c r="K725" s="508">
        <v>9600000</v>
      </c>
      <c r="L725" s="508"/>
      <c r="M725" s="489" t="str">
        <f t="shared" si="26"/>
        <v>DDDDDDDĐ</v>
      </c>
    </row>
    <row r="726" spans="1:13" ht="21.75" customHeight="1">
      <c r="A726" s="501">
        <v>545</v>
      </c>
      <c r="B726" s="506" t="s">
        <v>5116</v>
      </c>
      <c r="C726" s="507" t="s">
        <v>2530</v>
      </c>
      <c r="D726" s="510"/>
      <c r="E726" s="508">
        <v>14250000</v>
      </c>
      <c r="F726" s="508"/>
      <c r="G726" s="501">
        <v>545</v>
      </c>
      <c r="H726" s="506" t="s">
        <v>5116</v>
      </c>
      <c r="I726" s="507" t="s">
        <v>2530</v>
      </c>
      <c r="J726" s="510"/>
      <c r="K726" s="508">
        <v>14250000</v>
      </c>
      <c r="L726" s="508"/>
      <c r="M726" s="489" t="str">
        <f t="shared" si="26"/>
        <v>DDDDDDDĐ</v>
      </c>
    </row>
    <row r="727" spans="1:13" ht="18.600000000000001" customHeight="1">
      <c r="A727" s="501"/>
      <c r="B727" s="502" t="s">
        <v>5117</v>
      </c>
      <c r="C727" s="510"/>
      <c r="D727" s="510"/>
      <c r="E727" s="508"/>
      <c r="F727" s="508"/>
      <c r="G727" s="501"/>
      <c r="H727" s="502" t="s">
        <v>5117</v>
      </c>
      <c r="I727" s="510"/>
      <c r="J727" s="510"/>
      <c r="K727" s="508"/>
      <c r="L727" s="508"/>
      <c r="M727" s="489" t="str">
        <f t="shared" si="26"/>
        <v>DDDDDDDĐ</v>
      </c>
    </row>
    <row r="728" spans="1:13" ht="18.600000000000001" customHeight="1">
      <c r="A728" s="501">
        <v>546</v>
      </c>
      <c r="B728" s="506" t="s">
        <v>5116</v>
      </c>
      <c r="C728" s="507" t="s">
        <v>2530</v>
      </c>
      <c r="D728" s="510"/>
      <c r="E728" s="508">
        <v>19500000</v>
      </c>
      <c r="F728" s="508"/>
      <c r="G728" s="501">
        <v>546</v>
      </c>
      <c r="H728" s="506" t="s">
        <v>5116</v>
      </c>
      <c r="I728" s="507" t="s">
        <v>2530</v>
      </c>
      <c r="J728" s="510"/>
      <c r="K728" s="508">
        <v>19500000</v>
      </c>
      <c r="L728" s="508"/>
      <c r="M728" s="489" t="str">
        <f t="shared" si="26"/>
        <v>DDDDDDDĐ</v>
      </c>
    </row>
    <row r="729" spans="1:13" ht="18.600000000000001" customHeight="1">
      <c r="A729" s="501">
        <v>547</v>
      </c>
      <c r="B729" s="506" t="s">
        <v>5118</v>
      </c>
      <c r="C729" s="507" t="s">
        <v>2530</v>
      </c>
      <c r="D729" s="510"/>
      <c r="E729" s="508">
        <v>29900000</v>
      </c>
      <c r="F729" s="508"/>
      <c r="G729" s="501">
        <v>547</v>
      </c>
      <c r="H729" s="506" t="s">
        <v>5118</v>
      </c>
      <c r="I729" s="507" t="s">
        <v>2530</v>
      </c>
      <c r="J729" s="510"/>
      <c r="K729" s="508">
        <v>29900000</v>
      </c>
      <c r="L729" s="508"/>
      <c r="M729" s="489" t="str">
        <f t="shared" si="26"/>
        <v>DDDDDDDĐ</v>
      </c>
    </row>
    <row r="730" spans="1:13" ht="18.600000000000001" customHeight="1">
      <c r="A730" s="501"/>
      <c r="B730" s="502" t="s">
        <v>5119</v>
      </c>
      <c r="C730" s="510"/>
      <c r="D730" s="510"/>
      <c r="E730" s="508"/>
      <c r="F730" s="508"/>
      <c r="G730" s="501"/>
      <c r="H730" s="502" t="s">
        <v>5119</v>
      </c>
      <c r="I730" s="510"/>
      <c r="J730" s="510"/>
      <c r="K730" s="508"/>
      <c r="L730" s="508"/>
      <c r="M730" s="489" t="str">
        <f t="shared" si="26"/>
        <v>DDDDDDDĐ</v>
      </c>
    </row>
    <row r="731" spans="1:13" ht="18.600000000000001" customHeight="1">
      <c r="A731" s="501">
        <v>548</v>
      </c>
      <c r="B731" s="506" t="s">
        <v>5120</v>
      </c>
      <c r="C731" s="507" t="s">
        <v>2530</v>
      </c>
      <c r="D731" s="510"/>
      <c r="E731" s="508">
        <v>17400000</v>
      </c>
      <c r="F731" s="508"/>
      <c r="G731" s="501">
        <v>548</v>
      </c>
      <c r="H731" s="506" t="s">
        <v>5120</v>
      </c>
      <c r="I731" s="507" t="s">
        <v>2530</v>
      </c>
      <c r="J731" s="510"/>
      <c r="K731" s="508">
        <v>17400000</v>
      </c>
      <c r="L731" s="508"/>
      <c r="M731" s="489" t="str">
        <f t="shared" si="26"/>
        <v>DDDDDDDĐ</v>
      </c>
    </row>
    <row r="732" spans="1:13" ht="18.600000000000001" customHeight="1">
      <c r="A732" s="501">
        <v>549</v>
      </c>
      <c r="B732" s="506" t="s">
        <v>5116</v>
      </c>
      <c r="C732" s="507" t="s">
        <v>2530</v>
      </c>
      <c r="D732" s="510"/>
      <c r="E732" s="508">
        <v>23000000</v>
      </c>
      <c r="F732" s="508"/>
      <c r="G732" s="501">
        <v>549</v>
      </c>
      <c r="H732" s="506" t="s">
        <v>5116</v>
      </c>
      <c r="I732" s="507" t="s">
        <v>2530</v>
      </c>
      <c r="J732" s="510"/>
      <c r="K732" s="508">
        <v>23000000</v>
      </c>
      <c r="L732" s="508"/>
      <c r="M732" s="489" t="str">
        <f t="shared" si="26"/>
        <v>DDDDDDDĐ</v>
      </c>
    </row>
    <row r="733" spans="1:13" ht="18.600000000000001" customHeight="1">
      <c r="A733" s="501">
        <v>550</v>
      </c>
      <c r="B733" s="506" t="s">
        <v>5118</v>
      </c>
      <c r="C733" s="507"/>
      <c r="D733" s="510"/>
      <c r="E733" s="508">
        <v>32200000</v>
      </c>
      <c r="F733" s="508"/>
      <c r="G733" s="501">
        <v>550</v>
      </c>
      <c r="H733" s="506" t="s">
        <v>5118</v>
      </c>
      <c r="I733" s="507"/>
      <c r="J733" s="510"/>
      <c r="K733" s="508">
        <v>32200000</v>
      </c>
      <c r="L733" s="508"/>
      <c r="M733" s="489" t="str">
        <f t="shared" si="26"/>
        <v>DDDDDDDĐ</v>
      </c>
    </row>
    <row r="734" spans="1:13" ht="18.600000000000001" customHeight="1">
      <c r="A734" s="501"/>
      <c r="B734" s="502" t="s">
        <v>5121</v>
      </c>
      <c r="C734" s="510"/>
      <c r="D734" s="510"/>
      <c r="E734" s="508"/>
      <c r="F734" s="508"/>
      <c r="G734" s="501"/>
      <c r="H734" s="502" t="s">
        <v>5121</v>
      </c>
      <c r="I734" s="510"/>
      <c r="J734" s="510"/>
      <c r="K734" s="508"/>
      <c r="L734" s="508"/>
      <c r="M734" s="489" t="str">
        <f t="shared" si="26"/>
        <v>DDDDDDDĐ</v>
      </c>
    </row>
    <row r="735" spans="1:13" ht="18.600000000000001" customHeight="1">
      <c r="A735" s="501">
        <v>551</v>
      </c>
      <c r="B735" s="506" t="s">
        <v>5122</v>
      </c>
      <c r="C735" s="507" t="s">
        <v>2530</v>
      </c>
      <c r="D735" s="510"/>
      <c r="E735" s="508">
        <v>6828000</v>
      </c>
      <c r="F735" s="508"/>
      <c r="G735" s="501">
        <v>551</v>
      </c>
      <c r="H735" s="506" t="s">
        <v>5122</v>
      </c>
      <c r="I735" s="507" t="s">
        <v>2530</v>
      </c>
      <c r="J735" s="510"/>
      <c r="K735" s="508">
        <v>6828000</v>
      </c>
      <c r="L735" s="508"/>
      <c r="M735" s="489" t="str">
        <f t="shared" si="26"/>
        <v>DDDDDDDĐ</v>
      </c>
    </row>
    <row r="736" spans="1:13" ht="18.600000000000001" customHeight="1">
      <c r="A736" s="501">
        <v>552</v>
      </c>
      <c r="B736" s="506" t="s">
        <v>5123</v>
      </c>
      <c r="C736" s="507" t="s">
        <v>2530</v>
      </c>
      <c r="D736" s="510"/>
      <c r="E736" s="508">
        <v>8841000</v>
      </c>
      <c r="F736" s="508"/>
      <c r="G736" s="501">
        <v>552</v>
      </c>
      <c r="H736" s="506" t="s">
        <v>5123</v>
      </c>
      <c r="I736" s="507" t="s">
        <v>2530</v>
      </c>
      <c r="J736" s="510"/>
      <c r="K736" s="508">
        <v>8841000</v>
      </c>
      <c r="L736" s="508"/>
      <c r="M736" s="489" t="str">
        <f t="shared" si="26"/>
        <v>DDDDDDDĐ</v>
      </c>
    </row>
    <row r="737" spans="1:13" ht="18.600000000000001" customHeight="1">
      <c r="A737" s="501">
        <v>553</v>
      </c>
      <c r="B737" s="506" t="s">
        <v>5124</v>
      </c>
      <c r="C737" s="507" t="s">
        <v>2530</v>
      </c>
      <c r="D737" s="510"/>
      <c r="E737" s="508">
        <v>13621000</v>
      </c>
      <c r="F737" s="508"/>
      <c r="G737" s="501">
        <v>553</v>
      </c>
      <c r="H737" s="506" t="s">
        <v>5124</v>
      </c>
      <c r="I737" s="507" t="s">
        <v>2530</v>
      </c>
      <c r="J737" s="510"/>
      <c r="K737" s="508">
        <v>13621000</v>
      </c>
      <c r="L737" s="508"/>
      <c r="M737" s="489" t="str">
        <f t="shared" si="26"/>
        <v>DDDDDDDĐ</v>
      </c>
    </row>
    <row r="738" spans="1:13" ht="18.600000000000001" customHeight="1">
      <c r="A738" s="513" t="s">
        <v>2737</v>
      </c>
      <c r="B738" s="502" t="s">
        <v>2738</v>
      </c>
      <c r="C738" s="510"/>
      <c r="D738" s="533"/>
      <c r="E738" s="511"/>
      <c r="F738" s="511"/>
      <c r="G738" s="513" t="s">
        <v>2737</v>
      </c>
      <c r="H738" s="502" t="s">
        <v>2738</v>
      </c>
      <c r="I738" s="510"/>
      <c r="J738" s="533"/>
      <c r="K738" s="511"/>
      <c r="L738" s="511"/>
      <c r="M738" s="489" t="str">
        <f t="shared" ref="M738:M801" si="27">IF(B738=H738,"DDDDDDDĐ","SSSSSSSSSSSS")</f>
        <v>DDDDDDDĐ</v>
      </c>
    </row>
    <row r="739" spans="1:13" ht="18.600000000000001" customHeight="1">
      <c r="A739" s="501"/>
      <c r="B739" s="2160" t="s">
        <v>3741</v>
      </c>
      <c r="C739" s="2160"/>
      <c r="D739" s="2160"/>
      <c r="E739" s="2160"/>
      <c r="F739" s="2160"/>
      <c r="G739" s="501"/>
      <c r="H739" s="2160" t="s">
        <v>3741</v>
      </c>
      <c r="I739" s="2160"/>
      <c r="J739" s="2160"/>
      <c r="K739" s="2160"/>
      <c r="L739" s="2160"/>
      <c r="M739" s="489" t="str">
        <f t="shared" si="27"/>
        <v>DDDDDDDĐ</v>
      </c>
    </row>
    <row r="740" spans="1:13" ht="18.600000000000001" customHeight="1">
      <c r="A740" s="501">
        <v>554</v>
      </c>
      <c r="B740" s="540" t="s">
        <v>2739</v>
      </c>
      <c r="C740" s="507" t="s">
        <v>2338</v>
      </c>
      <c r="D740" s="511"/>
      <c r="E740" s="511">
        <f>263000/1.1</f>
        <v>239090.90909090906</v>
      </c>
      <c r="F740" s="511">
        <f t="shared" ref="F740:F748" si="28">E740</f>
        <v>239090.90909090906</v>
      </c>
      <c r="G740" s="501">
        <v>554</v>
      </c>
      <c r="H740" s="540" t="s">
        <v>2739</v>
      </c>
      <c r="I740" s="507" t="s">
        <v>2338</v>
      </c>
      <c r="J740" s="511"/>
      <c r="K740" s="511">
        <f>263000/1.1</f>
        <v>239090.90909090906</v>
      </c>
      <c r="L740" s="511">
        <f t="shared" ref="L740:L748" si="29">K740</f>
        <v>239090.90909090906</v>
      </c>
      <c r="M740" s="489" t="str">
        <f t="shared" si="27"/>
        <v>DDDDDDDĐ</v>
      </c>
    </row>
    <row r="741" spans="1:13" ht="18.600000000000001" customHeight="1">
      <c r="A741" s="501">
        <v>555</v>
      </c>
      <c r="B741" s="540" t="s">
        <v>2740</v>
      </c>
      <c r="C741" s="507" t="s">
        <v>2338</v>
      </c>
      <c r="D741" s="511"/>
      <c r="E741" s="511">
        <f>225000/1.1</f>
        <v>204545.45454545453</v>
      </c>
      <c r="F741" s="511">
        <f t="shared" si="28"/>
        <v>204545.45454545453</v>
      </c>
      <c r="G741" s="501">
        <v>555</v>
      </c>
      <c r="H741" s="540" t="s">
        <v>2740</v>
      </c>
      <c r="I741" s="507" t="s">
        <v>2338</v>
      </c>
      <c r="J741" s="511"/>
      <c r="K741" s="511">
        <f>225000/1.1</f>
        <v>204545.45454545453</v>
      </c>
      <c r="L741" s="511">
        <f t="shared" si="29"/>
        <v>204545.45454545453</v>
      </c>
      <c r="M741" s="489" t="str">
        <f t="shared" si="27"/>
        <v>DDDDDDDĐ</v>
      </c>
    </row>
    <row r="742" spans="1:13" ht="18.600000000000001" customHeight="1">
      <c r="A742" s="501">
        <v>556</v>
      </c>
      <c r="B742" s="540" t="s">
        <v>2741</v>
      </c>
      <c r="C742" s="507" t="s">
        <v>2338</v>
      </c>
      <c r="D742" s="511"/>
      <c r="E742" s="511">
        <f>273000/1.1</f>
        <v>248181.81818181815</v>
      </c>
      <c r="F742" s="511">
        <f t="shared" si="28"/>
        <v>248181.81818181815</v>
      </c>
      <c r="G742" s="501">
        <v>556</v>
      </c>
      <c r="H742" s="540" t="s">
        <v>2741</v>
      </c>
      <c r="I742" s="507" t="s">
        <v>2338</v>
      </c>
      <c r="J742" s="511"/>
      <c r="K742" s="511">
        <f>273000/1.1</f>
        <v>248181.81818181815</v>
      </c>
      <c r="L742" s="511">
        <f t="shared" si="29"/>
        <v>248181.81818181815</v>
      </c>
      <c r="M742" s="489" t="str">
        <f t="shared" si="27"/>
        <v>DDDDDDDĐ</v>
      </c>
    </row>
    <row r="743" spans="1:13" ht="19.5" customHeight="1">
      <c r="A743" s="501">
        <v>557</v>
      </c>
      <c r="B743" s="540" t="s">
        <v>2742</v>
      </c>
      <c r="C743" s="507" t="s">
        <v>2338</v>
      </c>
      <c r="D743" s="511"/>
      <c r="E743" s="511">
        <f>207000/1.1</f>
        <v>188181.81818181818</v>
      </c>
      <c r="F743" s="511">
        <f t="shared" si="28"/>
        <v>188181.81818181818</v>
      </c>
      <c r="G743" s="501">
        <v>557</v>
      </c>
      <c r="H743" s="540" t="s">
        <v>2742</v>
      </c>
      <c r="I743" s="507" t="s">
        <v>2338</v>
      </c>
      <c r="J743" s="511"/>
      <c r="K743" s="511">
        <f>207000/1.1</f>
        <v>188181.81818181818</v>
      </c>
      <c r="L743" s="511">
        <f t="shared" si="29"/>
        <v>188181.81818181818</v>
      </c>
      <c r="M743" s="489" t="str">
        <f t="shared" si="27"/>
        <v>DDDDDDDĐ</v>
      </c>
    </row>
    <row r="744" spans="1:13" ht="18" customHeight="1">
      <c r="A744" s="501">
        <v>558</v>
      </c>
      <c r="B744" s="540" t="s">
        <v>2743</v>
      </c>
      <c r="C744" s="507" t="s">
        <v>2338</v>
      </c>
      <c r="D744" s="511"/>
      <c r="E744" s="511">
        <f>206700/1.1</f>
        <v>187909.09090909088</v>
      </c>
      <c r="F744" s="511">
        <f t="shared" si="28"/>
        <v>187909.09090909088</v>
      </c>
      <c r="G744" s="501">
        <v>558</v>
      </c>
      <c r="H744" s="540" t="s">
        <v>2743</v>
      </c>
      <c r="I744" s="507" t="s">
        <v>2338</v>
      </c>
      <c r="J744" s="511"/>
      <c r="K744" s="511">
        <f>206700/1.1</f>
        <v>187909.09090909088</v>
      </c>
      <c r="L744" s="511">
        <f t="shared" si="29"/>
        <v>187909.09090909088</v>
      </c>
      <c r="M744" s="489" t="str">
        <f t="shared" si="27"/>
        <v>DDDDDDDĐ</v>
      </c>
    </row>
    <row r="745" spans="1:13" ht="18" customHeight="1">
      <c r="A745" s="501">
        <v>559</v>
      </c>
      <c r="B745" s="541" t="s">
        <v>2744</v>
      </c>
      <c r="C745" s="507" t="s">
        <v>2338</v>
      </c>
      <c r="D745" s="511"/>
      <c r="E745" s="511">
        <f>249000/1.1</f>
        <v>226363.63636363635</v>
      </c>
      <c r="F745" s="511">
        <f t="shared" si="28"/>
        <v>226363.63636363635</v>
      </c>
      <c r="G745" s="501">
        <v>559</v>
      </c>
      <c r="H745" s="541" t="s">
        <v>2744</v>
      </c>
      <c r="I745" s="507" t="s">
        <v>2338</v>
      </c>
      <c r="J745" s="511"/>
      <c r="K745" s="511">
        <f>249000/1.1</f>
        <v>226363.63636363635</v>
      </c>
      <c r="L745" s="511">
        <f t="shared" si="29"/>
        <v>226363.63636363635</v>
      </c>
      <c r="M745" s="489" t="str">
        <f t="shared" si="27"/>
        <v>DDDDDDDĐ</v>
      </c>
    </row>
    <row r="746" spans="1:13" ht="18" customHeight="1">
      <c r="A746" s="501">
        <v>560</v>
      </c>
      <c r="B746" s="540" t="s">
        <v>2745</v>
      </c>
      <c r="C746" s="507" t="s">
        <v>2338</v>
      </c>
      <c r="D746" s="511"/>
      <c r="E746" s="511">
        <f>399000/1.1</f>
        <v>362727.27272727271</v>
      </c>
      <c r="F746" s="511">
        <f t="shared" si="28"/>
        <v>362727.27272727271</v>
      </c>
      <c r="G746" s="501">
        <v>560</v>
      </c>
      <c r="H746" s="540" t="s">
        <v>2745</v>
      </c>
      <c r="I746" s="507" t="s">
        <v>2338</v>
      </c>
      <c r="J746" s="511"/>
      <c r="K746" s="511">
        <f>399000/1.1</f>
        <v>362727.27272727271</v>
      </c>
      <c r="L746" s="511">
        <f t="shared" si="29"/>
        <v>362727.27272727271</v>
      </c>
      <c r="M746" s="489" t="str">
        <f t="shared" si="27"/>
        <v>DDDDDDDĐ</v>
      </c>
    </row>
    <row r="747" spans="1:13" ht="18" customHeight="1">
      <c r="A747" s="501">
        <v>561</v>
      </c>
      <c r="B747" s="540" t="s">
        <v>2746</v>
      </c>
      <c r="C747" s="507" t="s">
        <v>2338</v>
      </c>
      <c r="D747" s="511"/>
      <c r="E747" s="511">
        <f>595000/1.1</f>
        <v>540909.09090909082</v>
      </c>
      <c r="F747" s="511">
        <f t="shared" si="28"/>
        <v>540909.09090909082</v>
      </c>
      <c r="G747" s="501">
        <v>561</v>
      </c>
      <c r="H747" s="540" t="s">
        <v>2746</v>
      </c>
      <c r="I747" s="507" t="s">
        <v>2338</v>
      </c>
      <c r="J747" s="511"/>
      <c r="K747" s="511">
        <f>595000/1.1</f>
        <v>540909.09090909082</v>
      </c>
      <c r="L747" s="511">
        <f t="shared" si="29"/>
        <v>540909.09090909082</v>
      </c>
      <c r="M747" s="489" t="str">
        <f t="shared" si="27"/>
        <v>DDDDDDDĐ</v>
      </c>
    </row>
    <row r="748" spans="1:13" ht="18" customHeight="1">
      <c r="A748" s="501">
        <v>562</v>
      </c>
      <c r="B748" s="540" t="s">
        <v>2747</v>
      </c>
      <c r="C748" s="507" t="s">
        <v>2338</v>
      </c>
      <c r="D748" s="511"/>
      <c r="E748" s="511">
        <f>655000/1.1</f>
        <v>595454.54545454541</v>
      </c>
      <c r="F748" s="511">
        <f t="shared" si="28"/>
        <v>595454.54545454541</v>
      </c>
      <c r="G748" s="501">
        <v>562</v>
      </c>
      <c r="H748" s="540" t="s">
        <v>2747</v>
      </c>
      <c r="I748" s="507" t="s">
        <v>2338</v>
      </c>
      <c r="J748" s="511"/>
      <c r="K748" s="511">
        <f>655000/1.1</f>
        <v>595454.54545454541</v>
      </c>
      <c r="L748" s="511">
        <f t="shared" si="29"/>
        <v>595454.54545454541</v>
      </c>
      <c r="M748" s="489" t="str">
        <f t="shared" si="27"/>
        <v>DDDDDDDĐ</v>
      </c>
    </row>
    <row r="749" spans="1:13" ht="18" customHeight="1">
      <c r="A749" s="513" t="s">
        <v>2748</v>
      </c>
      <c r="B749" s="502" t="s">
        <v>2749</v>
      </c>
      <c r="C749" s="510"/>
      <c r="D749" s="510"/>
      <c r="E749" s="508"/>
      <c r="F749" s="508"/>
      <c r="G749" s="513" t="s">
        <v>2748</v>
      </c>
      <c r="H749" s="502" t="s">
        <v>2749</v>
      </c>
      <c r="I749" s="510"/>
      <c r="J749" s="510"/>
      <c r="K749" s="508"/>
      <c r="L749" s="508"/>
      <c r="M749" s="489" t="str">
        <f t="shared" si="27"/>
        <v>DDDDDDDĐ</v>
      </c>
    </row>
    <row r="750" spans="1:13" ht="18" customHeight="1">
      <c r="A750" s="501">
        <v>563</v>
      </c>
      <c r="B750" s="506" t="s">
        <v>2750</v>
      </c>
      <c r="C750" s="507" t="s">
        <v>2307</v>
      </c>
      <c r="D750" s="510"/>
      <c r="E750" s="1432">
        <f>260000/3</f>
        <v>86666.666666666672</v>
      </c>
      <c r="F750" s="508">
        <f>E750</f>
        <v>86666.666666666672</v>
      </c>
      <c r="G750" s="501">
        <v>563</v>
      </c>
      <c r="H750" s="506" t="s">
        <v>2750</v>
      </c>
      <c r="I750" s="507" t="s">
        <v>2307</v>
      </c>
      <c r="J750" s="510"/>
      <c r="K750" s="508">
        <f>260000/3</f>
        <v>86666.666666666672</v>
      </c>
      <c r="L750" s="508">
        <f>K750</f>
        <v>86666.666666666672</v>
      </c>
      <c r="M750" s="489" t="str">
        <f t="shared" si="27"/>
        <v>DDDDDDDĐ</v>
      </c>
    </row>
    <row r="751" spans="1:13" ht="18" customHeight="1">
      <c r="A751" s="501">
        <v>564</v>
      </c>
      <c r="B751" s="506" t="s">
        <v>2751</v>
      </c>
      <c r="C751" s="507" t="s">
        <v>2307</v>
      </c>
      <c r="D751" s="510"/>
      <c r="E751" s="508">
        <f>255000/3</f>
        <v>85000</v>
      </c>
      <c r="F751" s="508">
        <f>E751</f>
        <v>85000</v>
      </c>
      <c r="G751" s="501">
        <v>564</v>
      </c>
      <c r="H751" s="506" t="s">
        <v>2751</v>
      </c>
      <c r="I751" s="507" t="s">
        <v>2307</v>
      </c>
      <c r="J751" s="510"/>
      <c r="K751" s="508">
        <f>255000/3</f>
        <v>85000</v>
      </c>
      <c r="L751" s="508">
        <f>K751</f>
        <v>85000</v>
      </c>
      <c r="M751" s="489" t="str">
        <f t="shared" si="27"/>
        <v>DDDDDDDĐ</v>
      </c>
    </row>
    <row r="752" spans="1:13" ht="18" customHeight="1">
      <c r="A752" s="501"/>
      <c r="B752" s="502" t="s">
        <v>2752</v>
      </c>
      <c r="C752" s="510"/>
      <c r="D752" s="533"/>
      <c r="E752" s="508"/>
      <c r="F752" s="508"/>
      <c r="G752" s="501"/>
      <c r="H752" s="502" t="s">
        <v>2752</v>
      </c>
      <c r="I752" s="510"/>
      <c r="J752" s="533"/>
      <c r="K752" s="508"/>
      <c r="L752" s="508"/>
      <c r="M752" s="489" t="str">
        <f t="shared" si="27"/>
        <v>DDDDDDDĐ</v>
      </c>
    </row>
    <row r="753" spans="1:13" ht="18" customHeight="1">
      <c r="A753" s="501">
        <v>565</v>
      </c>
      <c r="B753" s="506" t="s">
        <v>2753</v>
      </c>
      <c r="C753" s="507" t="s">
        <v>2307</v>
      </c>
      <c r="D753" s="533"/>
      <c r="E753" s="508">
        <f>32453/1.1</f>
        <v>29502.727272727272</v>
      </c>
      <c r="F753" s="508">
        <f>32453/1.1</f>
        <v>29502.727272727272</v>
      </c>
      <c r="G753" s="501">
        <v>565</v>
      </c>
      <c r="H753" s="506" t="s">
        <v>2753</v>
      </c>
      <c r="I753" s="507" t="s">
        <v>2307</v>
      </c>
      <c r="J753" s="533"/>
      <c r="K753" s="508">
        <f>32453/1.1</f>
        <v>29502.727272727272</v>
      </c>
      <c r="L753" s="508">
        <f>32453/1.1</f>
        <v>29502.727272727272</v>
      </c>
      <c r="M753" s="489" t="str">
        <f t="shared" si="27"/>
        <v>DDDDDDDĐ</v>
      </c>
    </row>
    <row r="754" spans="1:13" ht="18" customHeight="1">
      <c r="A754" s="501">
        <v>566</v>
      </c>
      <c r="B754" s="506" t="s">
        <v>2754</v>
      </c>
      <c r="C754" s="507" t="s">
        <v>2307</v>
      </c>
      <c r="D754" s="533"/>
      <c r="E754" s="508">
        <f>41774/1.1</f>
        <v>37976.363636363632</v>
      </c>
      <c r="F754" s="508">
        <f>41774/1.1</f>
        <v>37976.363636363632</v>
      </c>
      <c r="G754" s="501">
        <v>566</v>
      </c>
      <c r="H754" s="506" t="s">
        <v>2754</v>
      </c>
      <c r="I754" s="507" t="s">
        <v>2307</v>
      </c>
      <c r="J754" s="533"/>
      <c r="K754" s="508">
        <f>41774/1.1</f>
        <v>37976.363636363632</v>
      </c>
      <c r="L754" s="508">
        <f>41774/1.1</f>
        <v>37976.363636363632</v>
      </c>
      <c r="M754" s="489" t="str">
        <f t="shared" si="27"/>
        <v>DDDDDDDĐ</v>
      </c>
    </row>
    <row r="755" spans="1:13" ht="18" customHeight="1">
      <c r="A755" s="501">
        <v>567</v>
      </c>
      <c r="B755" s="506" t="s">
        <v>2755</v>
      </c>
      <c r="C755" s="507" t="s">
        <v>2307</v>
      </c>
      <c r="D755" s="533"/>
      <c r="E755" s="508">
        <f>32364/1.1</f>
        <v>29421.81818181818</v>
      </c>
      <c r="F755" s="508">
        <f>32364/1.1</f>
        <v>29421.81818181818</v>
      </c>
      <c r="G755" s="501">
        <v>567</v>
      </c>
      <c r="H755" s="506" t="s">
        <v>2755</v>
      </c>
      <c r="I755" s="507" t="s">
        <v>2307</v>
      </c>
      <c r="J755" s="533"/>
      <c r="K755" s="508">
        <f>32364/1.1</f>
        <v>29421.81818181818</v>
      </c>
      <c r="L755" s="508">
        <f>32364/1.1</f>
        <v>29421.81818181818</v>
      </c>
      <c r="M755" s="489" t="str">
        <f t="shared" si="27"/>
        <v>DDDDDDDĐ</v>
      </c>
    </row>
    <row r="756" spans="1:13" ht="18" customHeight="1">
      <c r="A756" s="501">
        <v>568</v>
      </c>
      <c r="B756" s="506" t="s">
        <v>2756</v>
      </c>
      <c r="C756" s="507" t="s">
        <v>2307</v>
      </c>
      <c r="D756" s="533"/>
      <c r="E756" s="508">
        <f>20786/1.1</f>
        <v>18896.363636363636</v>
      </c>
      <c r="F756" s="508">
        <f>20786/1.1</f>
        <v>18896.363636363636</v>
      </c>
      <c r="G756" s="501">
        <v>568</v>
      </c>
      <c r="H756" s="506" t="s">
        <v>2756</v>
      </c>
      <c r="I756" s="507" t="s">
        <v>2307</v>
      </c>
      <c r="J756" s="533"/>
      <c r="K756" s="508">
        <f>20786/1.1</f>
        <v>18896.363636363636</v>
      </c>
      <c r="L756" s="508">
        <f>20786/1.1</f>
        <v>18896.363636363636</v>
      </c>
      <c r="M756" s="489" t="str">
        <f t="shared" si="27"/>
        <v>DDDDDDDĐ</v>
      </c>
    </row>
    <row r="757" spans="1:13" ht="18" customHeight="1">
      <c r="A757" s="501">
        <v>569</v>
      </c>
      <c r="B757" s="506" t="s">
        <v>2757</v>
      </c>
      <c r="C757" s="507" t="s">
        <v>2307</v>
      </c>
      <c r="D757" s="533"/>
      <c r="E757" s="508">
        <f>18643/1.1</f>
        <v>16948.181818181816</v>
      </c>
      <c r="F757" s="508">
        <f>18643/1.1</f>
        <v>16948.181818181816</v>
      </c>
      <c r="G757" s="501">
        <v>569</v>
      </c>
      <c r="H757" s="506" t="s">
        <v>2757</v>
      </c>
      <c r="I757" s="507" t="s">
        <v>2307</v>
      </c>
      <c r="J757" s="533"/>
      <c r="K757" s="508">
        <f>18643/1.1</f>
        <v>16948.181818181816</v>
      </c>
      <c r="L757" s="508">
        <f>18643/1.1</f>
        <v>16948.181818181816</v>
      </c>
      <c r="M757" s="489" t="str">
        <f t="shared" si="27"/>
        <v>DDDDDDDĐ</v>
      </c>
    </row>
    <row r="758" spans="1:13" ht="18" customHeight="1">
      <c r="A758" s="501">
        <v>570</v>
      </c>
      <c r="B758" s="506" t="s">
        <v>2758</v>
      </c>
      <c r="C758" s="507" t="s">
        <v>2307</v>
      </c>
      <c r="D758" s="533"/>
      <c r="E758" s="508">
        <f>13143/1.1</f>
        <v>11948.181818181818</v>
      </c>
      <c r="F758" s="508">
        <f>13143/1.1</f>
        <v>11948.181818181818</v>
      </c>
      <c r="G758" s="501">
        <v>570</v>
      </c>
      <c r="H758" s="506" t="s">
        <v>2758</v>
      </c>
      <c r="I758" s="507" t="s">
        <v>2307</v>
      </c>
      <c r="J758" s="533"/>
      <c r="K758" s="508">
        <f>13143/1.1</f>
        <v>11948.181818181818</v>
      </c>
      <c r="L758" s="508">
        <f>13143/1.1</f>
        <v>11948.181818181818</v>
      </c>
      <c r="M758" s="489" t="str">
        <f t="shared" si="27"/>
        <v>DDDDDDDĐ</v>
      </c>
    </row>
    <row r="759" spans="1:13" ht="18" customHeight="1">
      <c r="A759" s="501">
        <v>571</v>
      </c>
      <c r="B759" s="506" t="s">
        <v>2759</v>
      </c>
      <c r="C759" s="507" t="s">
        <v>2307</v>
      </c>
      <c r="D759" s="533"/>
      <c r="E759" s="508">
        <f>85429/1.1</f>
        <v>77662.727272727265</v>
      </c>
      <c r="F759" s="508">
        <f>85429/1.1</f>
        <v>77662.727272727265</v>
      </c>
      <c r="G759" s="501">
        <v>571</v>
      </c>
      <c r="H759" s="506" t="s">
        <v>2759</v>
      </c>
      <c r="I759" s="507" t="s">
        <v>2307</v>
      </c>
      <c r="J759" s="533"/>
      <c r="K759" s="508">
        <f>85429/1.1</f>
        <v>77662.727272727265</v>
      </c>
      <c r="L759" s="508">
        <f>85429/1.1</f>
        <v>77662.727272727265</v>
      </c>
      <c r="M759" s="489" t="str">
        <f t="shared" si="27"/>
        <v>DDDDDDDĐ</v>
      </c>
    </row>
    <row r="760" spans="1:13" ht="18" customHeight="1">
      <c r="A760" s="501">
        <v>572</v>
      </c>
      <c r="B760" s="506" t="s">
        <v>2760</v>
      </c>
      <c r="C760" s="507" t="s">
        <v>2307</v>
      </c>
      <c r="D760" s="533"/>
      <c r="E760" s="508">
        <f>18643/1.1</f>
        <v>16948.181818181816</v>
      </c>
      <c r="F760" s="508">
        <f>18643/1.1</f>
        <v>16948.181818181816</v>
      </c>
      <c r="G760" s="501">
        <v>572</v>
      </c>
      <c r="H760" s="506" t="s">
        <v>2760</v>
      </c>
      <c r="I760" s="507" t="s">
        <v>2307</v>
      </c>
      <c r="J760" s="533"/>
      <c r="K760" s="508">
        <f>18643/1.1</f>
        <v>16948.181818181816</v>
      </c>
      <c r="L760" s="508">
        <f>18643/1.1</f>
        <v>16948.181818181816</v>
      </c>
      <c r="M760" s="489" t="str">
        <f t="shared" si="27"/>
        <v>DDDDDDDĐ</v>
      </c>
    </row>
    <row r="761" spans="1:13" ht="18" customHeight="1">
      <c r="A761" s="501">
        <v>573</v>
      </c>
      <c r="B761" s="506" t="s">
        <v>2761</v>
      </c>
      <c r="C761" s="507" t="s">
        <v>2307</v>
      </c>
      <c r="D761" s="533"/>
      <c r="E761" s="508">
        <f>63957/1.1</f>
        <v>58142.727272727265</v>
      </c>
      <c r="F761" s="508">
        <f>63957/1.1</f>
        <v>58142.727272727265</v>
      </c>
      <c r="G761" s="501">
        <v>573</v>
      </c>
      <c r="H761" s="506" t="s">
        <v>2761</v>
      </c>
      <c r="I761" s="507" t="s">
        <v>2307</v>
      </c>
      <c r="J761" s="533"/>
      <c r="K761" s="508">
        <f>63957/1.1</f>
        <v>58142.727272727265</v>
      </c>
      <c r="L761" s="508">
        <f>63957/1.1</f>
        <v>58142.727272727265</v>
      </c>
      <c r="M761" s="489" t="str">
        <f t="shared" si="27"/>
        <v>DDDDDDDĐ</v>
      </c>
    </row>
    <row r="762" spans="1:13" ht="18" customHeight="1">
      <c r="A762" s="501">
        <v>574</v>
      </c>
      <c r="B762" s="506" t="s">
        <v>2762</v>
      </c>
      <c r="C762" s="507" t="s">
        <v>2307</v>
      </c>
      <c r="D762" s="533"/>
      <c r="E762" s="508">
        <f>31536/1.1</f>
        <v>28669.090909090908</v>
      </c>
      <c r="F762" s="508">
        <f>31536/1.1</f>
        <v>28669.090909090908</v>
      </c>
      <c r="G762" s="501">
        <v>574</v>
      </c>
      <c r="H762" s="506" t="s">
        <v>2762</v>
      </c>
      <c r="I762" s="507" t="s">
        <v>2307</v>
      </c>
      <c r="J762" s="533"/>
      <c r="K762" s="508">
        <f>31536/1.1</f>
        <v>28669.090909090908</v>
      </c>
      <c r="L762" s="508">
        <f>31536/1.1</f>
        <v>28669.090909090908</v>
      </c>
      <c r="M762" s="489" t="str">
        <f t="shared" si="27"/>
        <v>DDDDDDDĐ</v>
      </c>
    </row>
    <row r="763" spans="1:13" ht="18" customHeight="1">
      <c r="A763" s="501">
        <v>575</v>
      </c>
      <c r="B763" s="506" t="s">
        <v>2763</v>
      </c>
      <c r="C763" s="507" t="s">
        <v>2307</v>
      </c>
      <c r="D763" s="533"/>
      <c r="E763" s="508">
        <f>85429/1.1</f>
        <v>77662.727272727265</v>
      </c>
      <c r="F763" s="508">
        <f>85429/1.1</f>
        <v>77662.727272727265</v>
      </c>
      <c r="G763" s="501">
        <v>575</v>
      </c>
      <c r="H763" s="506" t="s">
        <v>2763</v>
      </c>
      <c r="I763" s="507" t="s">
        <v>2307</v>
      </c>
      <c r="J763" s="533"/>
      <c r="K763" s="508">
        <f>85429/1.1</f>
        <v>77662.727272727265</v>
      </c>
      <c r="L763" s="508">
        <f>85429/1.1</f>
        <v>77662.727272727265</v>
      </c>
      <c r="M763" s="489" t="str">
        <f t="shared" si="27"/>
        <v>DDDDDDDĐ</v>
      </c>
    </row>
    <row r="764" spans="1:13" ht="18" customHeight="1">
      <c r="A764" s="501">
        <v>576</v>
      </c>
      <c r="B764" s="506" t="s">
        <v>2764</v>
      </c>
      <c r="C764" s="507" t="s">
        <v>2307</v>
      </c>
      <c r="D764" s="533"/>
      <c r="E764" s="508">
        <f>60000/1.1</f>
        <v>54545.454545454544</v>
      </c>
      <c r="F764" s="508">
        <f>60000/1.1</f>
        <v>54545.454545454544</v>
      </c>
      <c r="G764" s="501">
        <v>576</v>
      </c>
      <c r="H764" s="506" t="s">
        <v>2764</v>
      </c>
      <c r="I764" s="507" t="s">
        <v>2307</v>
      </c>
      <c r="J764" s="533"/>
      <c r="K764" s="508">
        <f>60000/1.1</f>
        <v>54545.454545454544</v>
      </c>
      <c r="L764" s="508">
        <f>60000/1.1</f>
        <v>54545.454545454544</v>
      </c>
      <c r="M764" s="489" t="str">
        <f t="shared" si="27"/>
        <v>DDDDDDDĐ</v>
      </c>
    </row>
    <row r="765" spans="1:13" ht="19.5" customHeight="1">
      <c r="A765" s="501">
        <v>577</v>
      </c>
      <c r="B765" s="506" t="s">
        <v>2765</v>
      </c>
      <c r="C765" s="507" t="s">
        <v>2307</v>
      </c>
      <c r="D765" s="533"/>
      <c r="E765" s="1432">
        <f>45286/1.1</f>
        <v>41169.090909090904</v>
      </c>
      <c r="F765" s="508">
        <f>45286/1.1</f>
        <v>41169.090909090904</v>
      </c>
      <c r="G765" s="501">
        <v>577</v>
      </c>
      <c r="H765" s="506" t="s">
        <v>2765</v>
      </c>
      <c r="I765" s="507" t="s">
        <v>2307</v>
      </c>
      <c r="J765" s="533"/>
      <c r="K765" s="508">
        <f>45286/1.1</f>
        <v>41169.090909090904</v>
      </c>
      <c r="L765" s="508">
        <f>45286/1.1</f>
        <v>41169.090909090904</v>
      </c>
      <c r="M765" s="489" t="str">
        <f t="shared" si="27"/>
        <v>DDDDDDDĐ</v>
      </c>
    </row>
    <row r="766" spans="1:13" ht="18" customHeight="1">
      <c r="A766" s="501">
        <v>578</v>
      </c>
      <c r="B766" s="506" t="s">
        <v>2766</v>
      </c>
      <c r="C766" s="507" t="s">
        <v>2307</v>
      </c>
      <c r="D766" s="533"/>
      <c r="E766" s="508">
        <f>5325/1.1</f>
        <v>4840.9090909090901</v>
      </c>
      <c r="F766" s="508">
        <f>5325/1.1</f>
        <v>4840.9090909090901</v>
      </c>
      <c r="G766" s="501">
        <v>578</v>
      </c>
      <c r="H766" s="506" t="s">
        <v>2766</v>
      </c>
      <c r="I766" s="507" t="s">
        <v>2307</v>
      </c>
      <c r="J766" s="533"/>
      <c r="K766" s="508">
        <f>5325/1.1</f>
        <v>4840.9090909090901</v>
      </c>
      <c r="L766" s="508">
        <f>5325/1.1</f>
        <v>4840.9090909090901</v>
      </c>
      <c r="M766" s="489" t="str">
        <f t="shared" si="27"/>
        <v>DDDDDDDĐ</v>
      </c>
    </row>
    <row r="767" spans="1:13" ht="18" customHeight="1">
      <c r="A767" s="501">
        <v>579</v>
      </c>
      <c r="B767" s="506" t="s">
        <v>2767</v>
      </c>
      <c r="C767" s="507" t="s">
        <v>2307</v>
      </c>
      <c r="D767" s="533"/>
      <c r="E767" s="508">
        <f>5825/1.1</f>
        <v>5295.454545454545</v>
      </c>
      <c r="F767" s="508">
        <f>5825/1.1</f>
        <v>5295.454545454545</v>
      </c>
      <c r="G767" s="501">
        <v>579</v>
      </c>
      <c r="H767" s="506" t="s">
        <v>2767</v>
      </c>
      <c r="I767" s="507" t="s">
        <v>2307</v>
      </c>
      <c r="J767" s="533"/>
      <c r="K767" s="508">
        <f>5825/1.1</f>
        <v>5295.454545454545</v>
      </c>
      <c r="L767" s="508">
        <f>5825/1.1</f>
        <v>5295.454545454545</v>
      </c>
      <c r="M767" s="489" t="str">
        <f t="shared" si="27"/>
        <v>DDDDDDDĐ</v>
      </c>
    </row>
    <row r="768" spans="1:13" ht="18" customHeight="1">
      <c r="A768" s="501">
        <v>580</v>
      </c>
      <c r="B768" s="506" t="s">
        <v>2768</v>
      </c>
      <c r="C768" s="507" t="s">
        <v>2307</v>
      </c>
      <c r="D768" s="533"/>
      <c r="E768" s="508">
        <f>6125/1.1</f>
        <v>5568.181818181818</v>
      </c>
      <c r="F768" s="508">
        <f>6125/1.1</f>
        <v>5568.181818181818</v>
      </c>
      <c r="G768" s="501">
        <v>580</v>
      </c>
      <c r="H768" s="506" t="s">
        <v>2768</v>
      </c>
      <c r="I768" s="507" t="s">
        <v>2307</v>
      </c>
      <c r="J768" s="533"/>
      <c r="K768" s="508">
        <f>6125/1.1</f>
        <v>5568.181818181818</v>
      </c>
      <c r="L768" s="508">
        <f>6125/1.1</f>
        <v>5568.181818181818</v>
      </c>
      <c r="M768" s="489" t="str">
        <f t="shared" si="27"/>
        <v>DDDDDDDĐ</v>
      </c>
    </row>
    <row r="769" spans="1:13" ht="18" customHeight="1">
      <c r="A769" s="501"/>
      <c r="B769" s="2160" t="s">
        <v>5307</v>
      </c>
      <c r="C769" s="2160"/>
      <c r="D769" s="2160"/>
      <c r="E769" s="2160"/>
      <c r="F769" s="2160"/>
      <c r="G769" s="501"/>
      <c r="H769" s="2160" t="s">
        <v>5307</v>
      </c>
      <c r="I769" s="2160"/>
      <c r="J769" s="2160"/>
      <c r="K769" s="2160"/>
      <c r="L769" s="2160"/>
      <c r="M769" s="489" t="str">
        <f t="shared" si="27"/>
        <v>DDDDDDDĐ</v>
      </c>
    </row>
    <row r="770" spans="1:13" ht="18" customHeight="1">
      <c r="A770" s="501">
        <v>581</v>
      </c>
      <c r="B770" s="506" t="s">
        <v>2769</v>
      </c>
      <c r="C770" s="507" t="s">
        <v>2307</v>
      </c>
      <c r="D770" s="533"/>
      <c r="E770" s="508">
        <f>210000/40/1.1</f>
        <v>4772.7272727272721</v>
      </c>
      <c r="F770" s="508">
        <f>E770</f>
        <v>4772.7272727272721</v>
      </c>
      <c r="G770" s="501">
        <v>581</v>
      </c>
      <c r="H770" s="506" t="s">
        <v>2769</v>
      </c>
      <c r="I770" s="507" t="s">
        <v>2307</v>
      </c>
      <c r="J770" s="533"/>
      <c r="K770" s="508">
        <f>210000/40/1.1</f>
        <v>4772.7272727272721</v>
      </c>
      <c r="L770" s="508">
        <f>K770</f>
        <v>4772.7272727272721</v>
      </c>
      <c r="M770" s="489" t="str">
        <f t="shared" si="27"/>
        <v>DDDDDDDĐ</v>
      </c>
    </row>
    <row r="771" spans="1:13" ht="18" customHeight="1">
      <c r="A771" s="501">
        <v>582</v>
      </c>
      <c r="B771" s="506" t="s">
        <v>2770</v>
      </c>
      <c r="C771" s="507" t="s">
        <v>2307</v>
      </c>
      <c r="D771" s="533"/>
      <c r="E771" s="508">
        <f>250000/40/1.1</f>
        <v>5681.8181818181811</v>
      </c>
      <c r="F771" s="508">
        <f t="shared" ref="F771:F785" si="30">E771</f>
        <v>5681.8181818181811</v>
      </c>
      <c r="G771" s="501">
        <v>582</v>
      </c>
      <c r="H771" s="506" t="s">
        <v>2770</v>
      </c>
      <c r="I771" s="507" t="s">
        <v>2307</v>
      </c>
      <c r="J771" s="533"/>
      <c r="K771" s="508">
        <f>250000/40/1.1</f>
        <v>5681.8181818181811</v>
      </c>
      <c r="L771" s="508">
        <f t="shared" ref="L771:L785" si="31">K771</f>
        <v>5681.8181818181811</v>
      </c>
      <c r="M771" s="489" t="str">
        <f t="shared" si="27"/>
        <v>DDDDDDDĐ</v>
      </c>
    </row>
    <row r="772" spans="1:13" ht="18" customHeight="1">
      <c r="A772" s="501">
        <v>583</v>
      </c>
      <c r="B772" s="506" t="s">
        <v>2771</v>
      </c>
      <c r="C772" s="507" t="s">
        <v>2307</v>
      </c>
      <c r="D772" s="533"/>
      <c r="E772" s="508">
        <f>265000/40/1.1</f>
        <v>6022.7272727272721</v>
      </c>
      <c r="F772" s="508">
        <f t="shared" si="30"/>
        <v>6022.7272727272721</v>
      </c>
      <c r="G772" s="501">
        <v>583</v>
      </c>
      <c r="H772" s="506" t="s">
        <v>2771</v>
      </c>
      <c r="I772" s="507" t="s">
        <v>2307</v>
      </c>
      <c r="J772" s="533"/>
      <c r="K772" s="508">
        <f>265000/40/1.1</f>
        <v>6022.7272727272721</v>
      </c>
      <c r="L772" s="508">
        <f t="shared" si="31"/>
        <v>6022.7272727272721</v>
      </c>
      <c r="M772" s="489" t="str">
        <f t="shared" si="27"/>
        <v>DDDDDDDĐ</v>
      </c>
    </row>
    <row r="773" spans="1:13" ht="18" customHeight="1">
      <c r="A773" s="501">
        <v>584</v>
      </c>
      <c r="B773" s="506" t="s">
        <v>2772</v>
      </c>
      <c r="C773" s="507" t="s">
        <v>2307</v>
      </c>
      <c r="D773" s="533"/>
      <c r="E773" s="508">
        <f>310000/40/1.1</f>
        <v>7045.454545454545</v>
      </c>
      <c r="F773" s="508">
        <f t="shared" si="30"/>
        <v>7045.454545454545</v>
      </c>
      <c r="G773" s="501">
        <v>584</v>
      </c>
      <c r="H773" s="506" t="s">
        <v>2772</v>
      </c>
      <c r="I773" s="507" t="s">
        <v>2307</v>
      </c>
      <c r="J773" s="533"/>
      <c r="K773" s="508">
        <f>310000/40/1.1</f>
        <v>7045.454545454545</v>
      </c>
      <c r="L773" s="508">
        <f t="shared" si="31"/>
        <v>7045.454545454545</v>
      </c>
      <c r="M773" s="489" t="str">
        <f t="shared" si="27"/>
        <v>DDDDDDDĐ</v>
      </c>
    </row>
    <row r="774" spans="1:13" ht="18" customHeight="1">
      <c r="A774" s="501">
        <v>585</v>
      </c>
      <c r="B774" s="506" t="s">
        <v>5308</v>
      </c>
      <c r="C774" s="507" t="s">
        <v>2307</v>
      </c>
      <c r="D774" s="533"/>
      <c r="E774" s="508">
        <f>1151000/23.3/1.1</f>
        <v>44908.310573546623</v>
      </c>
      <c r="F774" s="508">
        <f t="shared" si="30"/>
        <v>44908.310573546623</v>
      </c>
      <c r="G774" s="501">
        <v>585</v>
      </c>
      <c r="H774" s="506" t="s">
        <v>5308</v>
      </c>
      <c r="I774" s="507" t="s">
        <v>2307</v>
      </c>
      <c r="J774" s="533"/>
      <c r="K774" s="508">
        <f>1151000/23.3/1.1</f>
        <v>44908.310573546623</v>
      </c>
      <c r="L774" s="508">
        <f t="shared" si="31"/>
        <v>44908.310573546623</v>
      </c>
      <c r="M774" s="489" t="str">
        <f t="shared" si="27"/>
        <v>DDDDDDDĐ</v>
      </c>
    </row>
    <row r="775" spans="1:13" ht="18" customHeight="1">
      <c r="A775" s="501">
        <v>586</v>
      </c>
      <c r="B775" s="506" t="s">
        <v>3875</v>
      </c>
      <c r="C775" s="507" t="s">
        <v>2307</v>
      </c>
      <c r="D775" s="533"/>
      <c r="E775" s="508">
        <f>1416000/24.1/1.1</f>
        <v>53413.80611090154</v>
      </c>
      <c r="F775" s="508">
        <f t="shared" si="30"/>
        <v>53413.80611090154</v>
      </c>
      <c r="G775" s="501">
        <v>586</v>
      </c>
      <c r="H775" s="506" t="s">
        <v>3875</v>
      </c>
      <c r="I775" s="507" t="s">
        <v>2307</v>
      </c>
      <c r="J775" s="533"/>
      <c r="K775" s="508">
        <f>1416000/24.1/1.1</f>
        <v>53413.80611090154</v>
      </c>
      <c r="L775" s="508">
        <f t="shared" si="31"/>
        <v>53413.80611090154</v>
      </c>
      <c r="M775" s="489" t="str">
        <f t="shared" si="27"/>
        <v>DDDDDDDĐ</v>
      </c>
    </row>
    <row r="776" spans="1:13" ht="33.75" customHeight="1">
      <c r="A776" s="501">
        <v>587</v>
      </c>
      <c r="B776" s="506" t="s">
        <v>5309</v>
      </c>
      <c r="C776" s="507" t="s">
        <v>2307</v>
      </c>
      <c r="D776" s="533"/>
      <c r="E776" s="508">
        <f>2010000/24.1/1.1</f>
        <v>75820.445115050912</v>
      </c>
      <c r="F776" s="508">
        <f t="shared" si="30"/>
        <v>75820.445115050912</v>
      </c>
      <c r="G776" s="501">
        <v>587</v>
      </c>
      <c r="H776" s="506" t="s">
        <v>5309</v>
      </c>
      <c r="I776" s="507" t="s">
        <v>2307</v>
      </c>
      <c r="J776" s="533"/>
      <c r="K776" s="508">
        <f>2010000/24.1/1.1</f>
        <v>75820.445115050912</v>
      </c>
      <c r="L776" s="508">
        <f t="shared" si="31"/>
        <v>75820.445115050912</v>
      </c>
      <c r="M776" s="489" t="str">
        <f t="shared" si="27"/>
        <v>DDDDDDDĐ</v>
      </c>
    </row>
    <row r="777" spans="1:13" ht="18" customHeight="1">
      <c r="A777" s="501">
        <v>588</v>
      </c>
      <c r="B777" s="506" t="s">
        <v>2773</v>
      </c>
      <c r="C777" s="507" t="s">
        <v>2307</v>
      </c>
      <c r="D777" s="533"/>
      <c r="E777" s="508">
        <f>492000/4.5/1.1</f>
        <v>99393.939393939378</v>
      </c>
      <c r="F777" s="508">
        <f t="shared" si="30"/>
        <v>99393.939393939378</v>
      </c>
      <c r="G777" s="501">
        <v>588</v>
      </c>
      <c r="H777" s="506" t="s">
        <v>2773</v>
      </c>
      <c r="I777" s="507" t="s">
        <v>2307</v>
      </c>
      <c r="J777" s="533"/>
      <c r="K777" s="508">
        <f>492000/4.5/1.1</f>
        <v>99393.939393939378</v>
      </c>
      <c r="L777" s="508">
        <f t="shared" si="31"/>
        <v>99393.939393939378</v>
      </c>
      <c r="M777" s="489" t="str">
        <f t="shared" si="27"/>
        <v>DDDDDDDĐ</v>
      </c>
    </row>
    <row r="778" spans="1:13" ht="18" customHeight="1">
      <c r="A778" s="501">
        <v>589</v>
      </c>
      <c r="B778" s="506" t="s">
        <v>2774</v>
      </c>
      <c r="C778" s="507" t="s">
        <v>2307</v>
      </c>
      <c r="D778" s="533"/>
      <c r="E778" s="508">
        <f>2235000/20.5/1.1</f>
        <v>99113.0820399113</v>
      </c>
      <c r="F778" s="508">
        <f t="shared" si="30"/>
        <v>99113.0820399113</v>
      </c>
      <c r="G778" s="501">
        <v>589</v>
      </c>
      <c r="H778" s="506" t="s">
        <v>2774</v>
      </c>
      <c r="I778" s="507" t="s">
        <v>2307</v>
      </c>
      <c r="J778" s="533"/>
      <c r="K778" s="508">
        <f>2235000/20.5/1.1</f>
        <v>99113.0820399113</v>
      </c>
      <c r="L778" s="508">
        <f t="shared" si="31"/>
        <v>99113.0820399113</v>
      </c>
      <c r="M778" s="489" t="str">
        <f t="shared" si="27"/>
        <v>DDDDDDDĐ</v>
      </c>
    </row>
    <row r="779" spans="1:13" ht="18" customHeight="1">
      <c r="A779" s="501">
        <v>590</v>
      </c>
      <c r="B779" s="506" t="s">
        <v>2775</v>
      </c>
      <c r="C779" s="507" t="s">
        <v>2307</v>
      </c>
      <c r="D779" s="533"/>
      <c r="E779" s="508">
        <f>615000/26.3/1.1</f>
        <v>21258.209471137227</v>
      </c>
      <c r="F779" s="508">
        <f t="shared" si="30"/>
        <v>21258.209471137227</v>
      </c>
      <c r="G779" s="501">
        <v>590</v>
      </c>
      <c r="H779" s="506" t="s">
        <v>2775</v>
      </c>
      <c r="I779" s="507" t="s">
        <v>2307</v>
      </c>
      <c r="J779" s="533"/>
      <c r="K779" s="508">
        <f>615000/26.3/1.1</f>
        <v>21258.209471137227</v>
      </c>
      <c r="L779" s="508">
        <f t="shared" si="31"/>
        <v>21258.209471137227</v>
      </c>
      <c r="M779" s="489" t="str">
        <f t="shared" si="27"/>
        <v>DDDDDDDĐ</v>
      </c>
    </row>
    <row r="780" spans="1:13" ht="18" customHeight="1">
      <c r="A780" s="501">
        <v>591</v>
      </c>
      <c r="B780" s="506" t="s">
        <v>2776</v>
      </c>
      <c r="C780" s="507" t="s">
        <v>2307</v>
      </c>
      <c r="D780" s="533"/>
      <c r="E780" s="508">
        <f>1196000/26.3/1.1</f>
        <v>41341.168337366049</v>
      </c>
      <c r="F780" s="508">
        <f t="shared" si="30"/>
        <v>41341.168337366049</v>
      </c>
      <c r="G780" s="501">
        <v>591</v>
      </c>
      <c r="H780" s="506" t="s">
        <v>2776</v>
      </c>
      <c r="I780" s="507" t="s">
        <v>2307</v>
      </c>
      <c r="J780" s="533"/>
      <c r="K780" s="508">
        <f>1196000/26.3/1.1</f>
        <v>41341.168337366049</v>
      </c>
      <c r="L780" s="508">
        <f t="shared" si="31"/>
        <v>41341.168337366049</v>
      </c>
      <c r="M780" s="489" t="str">
        <f t="shared" si="27"/>
        <v>DDDDDDDĐ</v>
      </c>
    </row>
    <row r="781" spans="1:13" ht="18" customHeight="1">
      <c r="A781" s="501">
        <v>592</v>
      </c>
      <c r="B781" s="506" t="s">
        <v>2777</v>
      </c>
      <c r="C781" s="507" t="s">
        <v>2307</v>
      </c>
      <c r="D781" s="533"/>
      <c r="E781" s="508">
        <f>1555000/26.6/1.1</f>
        <v>53144.224196855772</v>
      </c>
      <c r="F781" s="508">
        <f t="shared" si="30"/>
        <v>53144.224196855772</v>
      </c>
      <c r="G781" s="501">
        <v>592</v>
      </c>
      <c r="H781" s="506" t="s">
        <v>2777</v>
      </c>
      <c r="I781" s="507" t="s">
        <v>2307</v>
      </c>
      <c r="J781" s="533"/>
      <c r="K781" s="508">
        <f>1555000/26.6/1.1</f>
        <v>53144.224196855772</v>
      </c>
      <c r="L781" s="508">
        <f t="shared" si="31"/>
        <v>53144.224196855772</v>
      </c>
      <c r="M781" s="489" t="str">
        <f t="shared" si="27"/>
        <v>DDDDDDDĐ</v>
      </c>
    </row>
    <row r="782" spans="1:13" ht="18" customHeight="1">
      <c r="A782" s="501">
        <v>593</v>
      </c>
      <c r="B782" s="506" t="s">
        <v>2778</v>
      </c>
      <c r="C782" s="507" t="s">
        <v>2307</v>
      </c>
      <c r="D782" s="533"/>
      <c r="E782" s="508">
        <f>1420000/24.6/1.1</f>
        <v>52475.979305247594</v>
      </c>
      <c r="F782" s="508">
        <f t="shared" si="30"/>
        <v>52475.979305247594</v>
      </c>
      <c r="G782" s="501">
        <v>593</v>
      </c>
      <c r="H782" s="506" t="s">
        <v>2778</v>
      </c>
      <c r="I782" s="507" t="s">
        <v>2307</v>
      </c>
      <c r="J782" s="533"/>
      <c r="K782" s="508">
        <f>1420000/24.6/1.1</f>
        <v>52475.979305247594</v>
      </c>
      <c r="L782" s="508">
        <f t="shared" si="31"/>
        <v>52475.979305247594</v>
      </c>
      <c r="M782" s="489" t="str">
        <f t="shared" si="27"/>
        <v>DDDDDDDĐ</v>
      </c>
    </row>
    <row r="783" spans="1:13" ht="18" customHeight="1">
      <c r="A783" s="501">
        <v>594</v>
      </c>
      <c r="B783" s="506" t="s">
        <v>2779</v>
      </c>
      <c r="C783" s="507" t="s">
        <v>2307</v>
      </c>
      <c r="D783" s="533"/>
      <c r="E783" s="508">
        <f>2312000/22/1.1</f>
        <v>95537.190082644622</v>
      </c>
      <c r="F783" s="508">
        <f t="shared" si="30"/>
        <v>95537.190082644622</v>
      </c>
      <c r="G783" s="501">
        <v>594</v>
      </c>
      <c r="H783" s="506" t="s">
        <v>2779</v>
      </c>
      <c r="I783" s="507" t="s">
        <v>2307</v>
      </c>
      <c r="J783" s="533"/>
      <c r="K783" s="508">
        <f>2312000/22/1.1</f>
        <v>95537.190082644622</v>
      </c>
      <c r="L783" s="508">
        <f t="shared" si="31"/>
        <v>95537.190082644622</v>
      </c>
      <c r="M783" s="489" t="str">
        <f t="shared" si="27"/>
        <v>DDDDDDDĐ</v>
      </c>
    </row>
    <row r="784" spans="1:13" ht="18" customHeight="1">
      <c r="A784" s="501">
        <v>595</v>
      </c>
      <c r="B784" s="506" t="s">
        <v>3876</v>
      </c>
      <c r="C784" s="507" t="s">
        <v>2307</v>
      </c>
      <c r="D784" s="533"/>
      <c r="E784" s="508">
        <f>1610000/24.6/1.1</f>
        <v>59497.413155949733</v>
      </c>
      <c r="F784" s="508">
        <f t="shared" si="30"/>
        <v>59497.413155949733</v>
      </c>
      <c r="G784" s="501">
        <v>595</v>
      </c>
      <c r="H784" s="506" t="s">
        <v>3876</v>
      </c>
      <c r="I784" s="507" t="s">
        <v>2307</v>
      </c>
      <c r="J784" s="533"/>
      <c r="K784" s="508">
        <f>1610000/24.6/1.1</f>
        <v>59497.413155949733</v>
      </c>
      <c r="L784" s="508">
        <f t="shared" si="31"/>
        <v>59497.413155949733</v>
      </c>
      <c r="M784" s="489" t="str">
        <f t="shared" si="27"/>
        <v>DDDDDDDĐ</v>
      </c>
    </row>
    <row r="785" spans="1:13" ht="32.25" customHeight="1">
      <c r="A785" s="501">
        <v>596</v>
      </c>
      <c r="B785" s="506" t="s">
        <v>2780</v>
      </c>
      <c r="C785" s="507" t="s">
        <v>2307</v>
      </c>
      <c r="D785" s="533"/>
      <c r="E785" s="508">
        <f>1064000/6.13/1.1</f>
        <v>157793.26709179889</v>
      </c>
      <c r="F785" s="508">
        <f t="shared" si="30"/>
        <v>157793.26709179889</v>
      </c>
      <c r="G785" s="501">
        <v>596</v>
      </c>
      <c r="H785" s="506" t="s">
        <v>2780</v>
      </c>
      <c r="I785" s="507" t="s">
        <v>2307</v>
      </c>
      <c r="J785" s="533"/>
      <c r="K785" s="508">
        <f>1064000/6.13/1.1</f>
        <v>157793.26709179889</v>
      </c>
      <c r="L785" s="508">
        <f t="shared" si="31"/>
        <v>157793.26709179889</v>
      </c>
      <c r="M785" s="489" t="str">
        <f t="shared" si="27"/>
        <v>DDDDDDDĐ</v>
      </c>
    </row>
    <row r="786" spans="1:13" ht="18" customHeight="1">
      <c r="A786" s="501"/>
      <c r="B786" s="502" t="s">
        <v>2781</v>
      </c>
      <c r="C786" s="510"/>
      <c r="D786" s="533"/>
      <c r="E786" s="508"/>
      <c r="F786" s="508"/>
      <c r="G786" s="501"/>
      <c r="H786" s="502" t="s">
        <v>2781</v>
      </c>
      <c r="I786" s="510"/>
      <c r="J786" s="533"/>
      <c r="K786" s="508"/>
      <c r="L786" s="508"/>
      <c r="M786" s="489" t="str">
        <f t="shared" si="27"/>
        <v>DDDDDDDĐ</v>
      </c>
    </row>
    <row r="787" spans="1:13" ht="18" customHeight="1">
      <c r="A787" s="501">
        <v>597</v>
      </c>
      <c r="B787" s="506" t="s">
        <v>2782</v>
      </c>
      <c r="C787" s="507" t="s">
        <v>2307</v>
      </c>
      <c r="D787" s="533"/>
      <c r="E787" s="508">
        <f>555000/1.1/26</f>
        <v>19405.594405594406</v>
      </c>
      <c r="F787" s="508">
        <f>E787</f>
        <v>19405.594405594406</v>
      </c>
      <c r="G787" s="501">
        <v>597</v>
      </c>
      <c r="H787" s="506" t="s">
        <v>2782</v>
      </c>
      <c r="I787" s="507" t="s">
        <v>2307</v>
      </c>
      <c r="J787" s="533"/>
      <c r="K787" s="508">
        <f>555000/1.1/26</f>
        <v>19405.594405594406</v>
      </c>
      <c r="L787" s="508">
        <f>K787</f>
        <v>19405.594405594406</v>
      </c>
      <c r="M787" s="489" t="str">
        <f t="shared" si="27"/>
        <v>DDDDDDDĐ</v>
      </c>
    </row>
    <row r="788" spans="1:13" ht="18" customHeight="1">
      <c r="A788" s="501">
        <v>598</v>
      </c>
      <c r="B788" s="506" t="s">
        <v>2783</v>
      </c>
      <c r="C788" s="507" t="s">
        <v>2307</v>
      </c>
      <c r="D788" s="533"/>
      <c r="E788" s="508">
        <f>940000/1.1/25.5</f>
        <v>33511.586452762924</v>
      </c>
      <c r="F788" s="508">
        <f>E788</f>
        <v>33511.586452762924</v>
      </c>
      <c r="G788" s="501">
        <v>598</v>
      </c>
      <c r="H788" s="506" t="s">
        <v>2783</v>
      </c>
      <c r="I788" s="507" t="s">
        <v>2307</v>
      </c>
      <c r="J788" s="533"/>
      <c r="K788" s="508">
        <f>940000/1.1/25.5</f>
        <v>33511.586452762924</v>
      </c>
      <c r="L788" s="508">
        <f t="shared" ref="L788:L807" si="32">K788</f>
        <v>33511.586452762924</v>
      </c>
      <c r="M788" s="489" t="str">
        <f t="shared" si="27"/>
        <v>DDDDDDDĐ</v>
      </c>
    </row>
    <row r="789" spans="1:13" ht="18" customHeight="1">
      <c r="A789" s="501">
        <v>599</v>
      </c>
      <c r="B789" s="506" t="s">
        <v>2784</v>
      </c>
      <c r="C789" s="507" t="s">
        <v>2307</v>
      </c>
      <c r="D789" s="533"/>
      <c r="E789" s="508">
        <f>1014000/1.1/26</f>
        <v>35454.545454545456</v>
      </c>
      <c r="F789" s="508">
        <f>E789</f>
        <v>35454.545454545456</v>
      </c>
      <c r="G789" s="501">
        <v>599</v>
      </c>
      <c r="H789" s="506" t="s">
        <v>2784</v>
      </c>
      <c r="I789" s="507" t="s">
        <v>2307</v>
      </c>
      <c r="J789" s="533"/>
      <c r="K789" s="508">
        <f>1014000/1.1/26</f>
        <v>35454.545454545456</v>
      </c>
      <c r="L789" s="508">
        <f t="shared" si="32"/>
        <v>35454.545454545456</v>
      </c>
      <c r="M789" s="489" t="str">
        <f t="shared" si="27"/>
        <v>DDDDDDDĐ</v>
      </c>
    </row>
    <row r="790" spans="1:13" ht="18" customHeight="1">
      <c r="A790" s="501">
        <v>600</v>
      </c>
      <c r="B790" s="506" t="s">
        <v>2785</v>
      </c>
      <c r="C790" s="507" t="s">
        <v>2307</v>
      </c>
      <c r="D790" s="533"/>
      <c r="E790" s="508">
        <f>2257000/1.1/23</f>
        <v>89209.486166007904</v>
      </c>
      <c r="F790" s="508">
        <f>E790</f>
        <v>89209.486166007904</v>
      </c>
      <c r="G790" s="501">
        <v>600</v>
      </c>
      <c r="H790" s="506" t="s">
        <v>2785</v>
      </c>
      <c r="I790" s="507" t="s">
        <v>2307</v>
      </c>
      <c r="J790" s="533"/>
      <c r="K790" s="508">
        <f>2257000/1.1/23</f>
        <v>89209.486166007904</v>
      </c>
      <c r="L790" s="508">
        <f t="shared" si="32"/>
        <v>89209.486166007904</v>
      </c>
      <c r="M790" s="489" t="str">
        <f t="shared" si="27"/>
        <v>DDDDDDDĐ</v>
      </c>
    </row>
    <row r="791" spans="1:13" ht="16.5" customHeight="1">
      <c r="A791" s="501">
        <v>601</v>
      </c>
      <c r="B791" s="506" t="s">
        <v>2786</v>
      </c>
      <c r="C791" s="510"/>
      <c r="D791" s="533"/>
      <c r="E791" s="508"/>
      <c r="F791" s="508"/>
      <c r="G791" s="501">
        <v>601</v>
      </c>
      <c r="H791" s="506" t="s">
        <v>2786</v>
      </c>
      <c r="I791" s="510"/>
      <c r="J791" s="533"/>
      <c r="K791" s="508"/>
      <c r="L791" s="508"/>
      <c r="M791" s="489" t="str">
        <f t="shared" si="27"/>
        <v>DDDDDDDĐ</v>
      </c>
    </row>
    <row r="792" spans="1:13" ht="18" customHeight="1">
      <c r="A792" s="501">
        <v>602</v>
      </c>
      <c r="B792" s="506" t="s">
        <v>2787</v>
      </c>
      <c r="C792" s="507" t="s">
        <v>2307</v>
      </c>
      <c r="D792" s="533"/>
      <c r="E792" s="508">
        <f>3610000/1.1/22</f>
        <v>149173.55371900825</v>
      </c>
      <c r="F792" s="508">
        <f>E792</f>
        <v>149173.55371900825</v>
      </c>
      <c r="G792" s="501">
        <v>602</v>
      </c>
      <c r="H792" s="506" t="s">
        <v>2787</v>
      </c>
      <c r="I792" s="507" t="s">
        <v>2307</v>
      </c>
      <c r="J792" s="533"/>
      <c r="K792" s="508">
        <f>3610000/1.1/22</f>
        <v>149173.55371900825</v>
      </c>
      <c r="L792" s="508">
        <f t="shared" si="32"/>
        <v>149173.55371900825</v>
      </c>
      <c r="M792" s="489" t="str">
        <f t="shared" si="27"/>
        <v>DDDDDDDĐ</v>
      </c>
    </row>
    <row r="793" spans="1:13" ht="18" customHeight="1">
      <c r="A793" s="501">
        <v>603</v>
      </c>
      <c r="B793" s="506" t="s">
        <v>2788</v>
      </c>
      <c r="C793" s="507" t="s">
        <v>2307</v>
      </c>
      <c r="D793" s="533"/>
      <c r="E793" s="508">
        <f>897000/1.1/6</f>
        <v>135909.09090909091</v>
      </c>
      <c r="F793" s="508">
        <f>E793</f>
        <v>135909.09090909091</v>
      </c>
      <c r="G793" s="501">
        <v>603</v>
      </c>
      <c r="H793" s="506" t="s">
        <v>2788</v>
      </c>
      <c r="I793" s="507" t="s">
        <v>2307</v>
      </c>
      <c r="J793" s="533"/>
      <c r="K793" s="508">
        <f>897000/1.1/6</f>
        <v>135909.09090909091</v>
      </c>
      <c r="L793" s="508">
        <f t="shared" si="32"/>
        <v>135909.09090909091</v>
      </c>
      <c r="M793" s="489" t="str">
        <f t="shared" si="27"/>
        <v>DDDDDDDĐ</v>
      </c>
    </row>
    <row r="794" spans="1:13" ht="18" customHeight="1">
      <c r="A794" s="501">
        <v>604</v>
      </c>
      <c r="B794" s="506" t="s">
        <v>2789</v>
      </c>
      <c r="C794" s="510"/>
      <c r="D794" s="533"/>
      <c r="E794" s="508"/>
      <c r="F794" s="508"/>
      <c r="G794" s="501">
        <v>604</v>
      </c>
      <c r="H794" s="506" t="s">
        <v>2789</v>
      </c>
      <c r="I794" s="510"/>
      <c r="J794" s="533"/>
      <c r="K794" s="508"/>
      <c r="L794" s="508"/>
      <c r="M794" s="489" t="str">
        <f t="shared" si="27"/>
        <v>DDDDDDDĐ</v>
      </c>
    </row>
    <row r="795" spans="1:13" ht="18" customHeight="1">
      <c r="A795" s="501">
        <v>605</v>
      </c>
      <c r="B795" s="506" t="s">
        <v>2788</v>
      </c>
      <c r="C795" s="507" t="s">
        <v>2307</v>
      </c>
      <c r="D795" s="533"/>
      <c r="E795" s="508">
        <f>1082000/1.1/6</f>
        <v>163939.39393939392</v>
      </c>
      <c r="F795" s="508">
        <f t="shared" ref="F795:F807" si="33">E795</f>
        <v>163939.39393939392</v>
      </c>
      <c r="G795" s="501">
        <v>605</v>
      </c>
      <c r="H795" s="506" t="s">
        <v>2788</v>
      </c>
      <c r="I795" s="507" t="s">
        <v>2307</v>
      </c>
      <c r="J795" s="533"/>
      <c r="K795" s="508">
        <f>1082000/1.1/6</f>
        <v>163939.39393939392</v>
      </c>
      <c r="L795" s="508">
        <f t="shared" si="32"/>
        <v>163939.39393939392</v>
      </c>
      <c r="M795" s="489" t="str">
        <f t="shared" si="27"/>
        <v>DDDDDDDĐ</v>
      </c>
    </row>
    <row r="796" spans="1:13" ht="18" customHeight="1">
      <c r="A796" s="501">
        <v>606</v>
      </c>
      <c r="B796" s="506" t="s">
        <v>3877</v>
      </c>
      <c r="C796" s="507" t="s">
        <v>2307</v>
      </c>
      <c r="D796" s="533"/>
      <c r="E796" s="508">
        <f>1766000/1.1/17</f>
        <v>94438.502673796786</v>
      </c>
      <c r="F796" s="508">
        <f t="shared" si="33"/>
        <v>94438.502673796786</v>
      </c>
      <c r="G796" s="501">
        <v>606</v>
      </c>
      <c r="H796" s="506" t="s">
        <v>3877</v>
      </c>
      <c r="I796" s="507" t="s">
        <v>2307</v>
      </c>
      <c r="J796" s="533"/>
      <c r="K796" s="508">
        <f>1766000/1.1/17</f>
        <v>94438.502673796786</v>
      </c>
      <c r="L796" s="508">
        <f t="shared" si="32"/>
        <v>94438.502673796786</v>
      </c>
      <c r="M796" s="489" t="str">
        <f t="shared" si="27"/>
        <v>DDDDDDDĐ</v>
      </c>
    </row>
    <row r="797" spans="1:13" ht="20.100000000000001" customHeight="1">
      <c r="A797" s="501">
        <v>607</v>
      </c>
      <c r="B797" s="506" t="s">
        <v>2790</v>
      </c>
      <c r="C797" s="507" t="s">
        <v>2307</v>
      </c>
      <c r="D797" s="533"/>
      <c r="E797" s="508">
        <f>1998000/1.1/17</f>
        <v>106844.91978609624</v>
      </c>
      <c r="F797" s="508">
        <f t="shared" si="33"/>
        <v>106844.91978609624</v>
      </c>
      <c r="G797" s="501">
        <v>607</v>
      </c>
      <c r="H797" s="506" t="s">
        <v>2790</v>
      </c>
      <c r="I797" s="507" t="s">
        <v>2307</v>
      </c>
      <c r="J797" s="533"/>
      <c r="K797" s="508">
        <f>1998000/1.1/17</f>
        <v>106844.91978609624</v>
      </c>
      <c r="L797" s="508">
        <f t="shared" si="32"/>
        <v>106844.91978609624</v>
      </c>
      <c r="M797" s="489" t="str">
        <f t="shared" si="27"/>
        <v>DDDDDDDĐ</v>
      </c>
    </row>
    <row r="798" spans="1:13" ht="16.5" customHeight="1">
      <c r="A798" s="501">
        <v>608</v>
      </c>
      <c r="B798" s="506" t="s">
        <v>2791</v>
      </c>
      <c r="C798" s="507" t="s">
        <v>2307</v>
      </c>
      <c r="D798" s="533"/>
      <c r="E798" s="508">
        <f>909000/1.1/10</f>
        <v>82636.363636363632</v>
      </c>
      <c r="F798" s="508">
        <f t="shared" si="33"/>
        <v>82636.363636363632</v>
      </c>
      <c r="G798" s="501">
        <v>608</v>
      </c>
      <c r="H798" s="506" t="s">
        <v>2791</v>
      </c>
      <c r="I798" s="507" t="s">
        <v>2307</v>
      </c>
      <c r="J798" s="533"/>
      <c r="K798" s="508">
        <f>909000/1.1/10</f>
        <v>82636.363636363632</v>
      </c>
      <c r="L798" s="508">
        <f t="shared" si="32"/>
        <v>82636.363636363632</v>
      </c>
      <c r="M798" s="489" t="str">
        <f t="shared" si="27"/>
        <v>DDDDDDDĐ</v>
      </c>
    </row>
    <row r="799" spans="1:13" ht="17.25" customHeight="1">
      <c r="A799" s="501">
        <v>609</v>
      </c>
      <c r="B799" s="506" t="s">
        <v>2792</v>
      </c>
      <c r="C799" s="507" t="s">
        <v>2307</v>
      </c>
      <c r="D799" s="533"/>
      <c r="E799" s="508">
        <f>1903000/1.1/19.5</f>
        <v>88717.948717948704</v>
      </c>
      <c r="F799" s="508">
        <f t="shared" si="33"/>
        <v>88717.948717948704</v>
      </c>
      <c r="G799" s="501">
        <v>609</v>
      </c>
      <c r="H799" s="506" t="s">
        <v>2792</v>
      </c>
      <c r="I799" s="507" t="s">
        <v>2307</v>
      </c>
      <c r="J799" s="533"/>
      <c r="K799" s="508">
        <f>1903000/1.1/19.5</f>
        <v>88717.948717948704</v>
      </c>
      <c r="L799" s="508">
        <f t="shared" si="32"/>
        <v>88717.948717948704</v>
      </c>
      <c r="M799" s="489" t="str">
        <f t="shared" si="27"/>
        <v>DDDDDDDĐ</v>
      </c>
    </row>
    <row r="800" spans="1:13" ht="20.100000000000001" customHeight="1">
      <c r="A800" s="501">
        <v>610</v>
      </c>
      <c r="B800" s="506" t="s">
        <v>2793</v>
      </c>
      <c r="C800" s="507" t="s">
        <v>2307</v>
      </c>
      <c r="D800" s="533"/>
      <c r="E800" s="508">
        <f>212000/1.1/40</f>
        <v>4818.181818181818</v>
      </c>
      <c r="F800" s="508">
        <f t="shared" si="33"/>
        <v>4818.181818181818</v>
      </c>
      <c r="G800" s="501">
        <v>610</v>
      </c>
      <c r="H800" s="506" t="s">
        <v>2793</v>
      </c>
      <c r="I800" s="507" t="s">
        <v>2307</v>
      </c>
      <c r="J800" s="533"/>
      <c r="K800" s="508">
        <f>212000/1.1/40</f>
        <v>4818.181818181818</v>
      </c>
      <c r="L800" s="508">
        <f t="shared" si="32"/>
        <v>4818.181818181818</v>
      </c>
      <c r="M800" s="489" t="str">
        <f t="shared" si="27"/>
        <v>DDDDDDDĐ</v>
      </c>
    </row>
    <row r="801" spans="1:13" ht="20.100000000000001" customHeight="1">
      <c r="A801" s="501">
        <v>611</v>
      </c>
      <c r="B801" s="506" t="s">
        <v>2794</v>
      </c>
      <c r="C801" s="507" t="s">
        <v>2307</v>
      </c>
      <c r="D801" s="533"/>
      <c r="E801" s="508">
        <f>236000/1.1/40</f>
        <v>5363.6363636363631</v>
      </c>
      <c r="F801" s="508">
        <f t="shared" si="33"/>
        <v>5363.6363636363631</v>
      </c>
      <c r="G801" s="501">
        <v>611</v>
      </c>
      <c r="H801" s="506" t="s">
        <v>2794</v>
      </c>
      <c r="I801" s="507" t="s">
        <v>2307</v>
      </c>
      <c r="J801" s="533"/>
      <c r="K801" s="508">
        <f>236000/1.1/40</f>
        <v>5363.6363636363631</v>
      </c>
      <c r="L801" s="508">
        <f t="shared" si="32"/>
        <v>5363.6363636363631</v>
      </c>
      <c r="M801" s="489" t="str">
        <f t="shared" si="27"/>
        <v>DDDDDDDĐ</v>
      </c>
    </row>
    <row r="802" spans="1:13" ht="20.100000000000001" customHeight="1">
      <c r="A802" s="501">
        <v>612</v>
      </c>
      <c r="B802" s="506" t="s">
        <v>2795</v>
      </c>
      <c r="C802" s="507" t="s">
        <v>2307</v>
      </c>
      <c r="D802" s="533"/>
      <c r="E802" s="508">
        <f>225000/1.1/40</f>
        <v>5113.6363636363631</v>
      </c>
      <c r="F802" s="508">
        <f t="shared" si="33"/>
        <v>5113.6363636363631</v>
      </c>
      <c r="G802" s="501">
        <v>612</v>
      </c>
      <c r="H802" s="506" t="s">
        <v>2795</v>
      </c>
      <c r="I802" s="507" t="s">
        <v>2307</v>
      </c>
      <c r="J802" s="533"/>
      <c r="K802" s="508">
        <f>225000/1.1/40</f>
        <v>5113.6363636363631</v>
      </c>
      <c r="L802" s="508">
        <f t="shared" si="32"/>
        <v>5113.6363636363631</v>
      </c>
      <c r="M802" s="489" t="str">
        <f t="shared" ref="M802:M865" si="34">IF(B802=H802,"DDDDDDDĐ","SSSSSSSSSSSS")</f>
        <v>DDDDDDDĐ</v>
      </c>
    </row>
    <row r="803" spans="1:13" ht="20.100000000000001" customHeight="1">
      <c r="A803" s="501">
        <v>613</v>
      </c>
      <c r="B803" s="506" t="s">
        <v>2796</v>
      </c>
      <c r="C803" s="507" t="s">
        <v>2307</v>
      </c>
      <c r="D803" s="533"/>
      <c r="E803" s="508">
        <f>264000/1.1/40</f>
        <v>5999.9999999999991</v>
      </c>
      <c r="F803" s="508">
        <f t="shared" si="33"/>
        <v>5999.9999999999991</v>
      </c>
      <c r="G803" s="501">
        <v>613</v>
      </c>
      <c r="H803" s="506" t="s">
        <v>2796</v>
      </c>
      <c r="I803" s="507" t="s">
        <v>2307</v>
      </c>
      <c r="J803" s="533"/>
      <c r="K803" s="508">
        <f>264000/1.1/40</f>
        <v>5999.9999999999991</v>
      </c>
      <c r="L803" s="508">
        <f t="shared" si="32"/>
        <v>5999.9999999999991</v>
      </c>
      <c r="M803" s="489" t="str">
        <f t="shared" si="34"/>
        <v>DDDDDDDĐ</v>
      </c>
    </row>
    <row r="804" spans="1:13" ht="20.100000000000001" customHeight="1">
      <c r="A804" s="501">
        <v>614</v>
      </c>
      <c r="B804" s="506" t="s">
        <v>2797</v>
      </c>
      <c r="C804" s="507" t="s">
        <v>2307</v>
      </c>
      <c r="D804" s="533"/>
      <c r="E804" s="508">
        <f>238000/1.1/40</f>
        <v>5409.090909090909</v>
      </c>
      <c r="F804" s="508">
        <f t="shared" si="33"/>
        <v>5409.090909090909</v>
      </c>
      <c r="G804" s="501">
        <v>614</v>
      </c>
      <c r="H804" s="506" t="s">
        <v>2797</v>
      </c>
      <c r="I804" s="507" t="s">
        <v>2307</v>
      </c>
      <c r="J804" s="533"/>
      <c r="K804" s="508">
        <f>238000/1.1/40</f>
        <v>5409.090909090909</v>
      </c>
      <c r="L804" s="508">
        <f t="shared" si="32"/>
        <v>5409.090909090909</v>
      </c>
      <c r="M804" s="489" t="str">
        <f t="shared" si="34"/>
        <v>DDDDDDDĐ</v>
      </c>
    </row>
    <row r="805" spans="1:13" ht="20.100000000000001" customHeight="1">
      <c r="A805" s="501">
        <v>615</v>
      </c>
      <c r="B805" s="506" t="s">
        <v>2798</v>
      </c>
      <c r="C805" s="507" t="s">
        <v>2307</v>
      </c>
      <c r="D805" s="533"/>
      <c r="E805" s="508">
        <f>286000/1.1/40</f>
        <v>6499.9999999999991</v>
      </c>
      <c r="F805" s="508">
        <f t="shared" si="33"/>
        <v>6499.9999999999991</v>
      </c>
      <c r="G805" s="501">
        <v>615</v>
      </c>
      <c r="H805" s="506" t="s">
        <v>2798</v>
      </c>
      <c r="I805" s="507" t="s">
        <v>2307</v>
      </c>
      <c r="J805" s="533"/>
      <c r="K805" s="508">
        <f>286000/1.1/40</f>
        <v>6499.9999999999991</v>
      </c>
      <c r="L805" s="508">
        <f t="shared" si="32"/>
        <v>6499.9999999999991</v>
      </c>
      <c r="M805" s="489" t="str">
        <f t="shared" si="34"/>
        <v>DDDDDDDĐ</v>
      </c>
    </row>
    <row r="806" spans="1:13" ht="20.100000000000001" customHeight="1">
      <c r="A806" s="501">
        <v>616</v>
      </c>
      <c r="B806" s="506" t="s">
        <v>2799</v>
      </c>
      <c r="C806" s="507" t="s">
        <v>2307</v>
      </c>
      <c r="D806" s="533"/>
      <c r="E806" s="508">
        <f>349000/1.1/40</f>
        <v>7931.8181818181811</v>
      </c>
      <c r="F806" s="508">
        <f t="shared" si="33"/>
        <v>7931.8181818181811</v>
      </c>
      <c r="G806" s="501">
        <v>616</v>
      </c>
      <c r="H806" s="506" t="s">
        <v>2799</v>
      </c>
      <c r="I806" s="507" t="s">
        <v>2307</v>
      </c>
      <c r="J806" s="533"/>
      <c r="K806" s="508">
        <f>349000/1.1/40</f>
        <v>7931.8181818181811</v>
      </c>
      <c r="L806" s="508">
        <f t="shared" si="32"/>
        <v>7931.8181818181811</v>
      </c>
      <c r="M806" s="489" t="str">
        <f t="shared" si="34"/>
        <v>DDDDDDDĐ</v>
      </c>
    </row>
    <row r="807" spans="1:13" ht="20.100000000000001" customHeight="1">
      <c r="A807" s="501">
        <v>617</v>
      </c>
      <c r="B807" s="506" t="s">
        <v>2800</v>
      </c>
      <c r="C807" s="507" t="s">
        <v>2307</v>
      </c>
      <c r="D807" s="533"/>
      <c r="E807" s="508">
        <f>506000/1.1/20</f>
        <v>22999.999999999996</v>
      </c>
      <c r="F807" s="508">
        <f t="shared" si="33"/>
        <v>22999.999999999996</v>
      </c>
      <c r="G807" s="501">
        <v>617</v>
      </c>
      <c r="H807" s="506" t="s">
        <v>2800</v>
      </c>
      <c r="I807" s="507" t="s">
        <v>2307</v>
      </c>
      <c r="J807" s="533"/>
      <c r="K807" s="508">
        <f>506000/1.1/20</f>
        <v>22999.999999999996</v>
      </c>
      <c r="L807" s="508">
        <f t="shared" si="32"/>
        <v>22999.999999999996</v>
      </c>
      <c r="M807" s="489" t="str">
        <f t="shared" si="34"/>
        <v>DDDDDDDĐ</v>
      </c>
    </row>
    <row r="808" spans="1:13" ht="20.100000000000001" customHeight="1">
      <c r="A808" s="501"/>
      <c r="B808" s="2160" t="s">
        <v>3816</v>
      </c>
      <c r="C808" s="2160"/>
      <c r="D808" s="2160"/>
      <c r="E808" s="2160"/>
      <c r="F808" s="2160"/>
      <c r="G808" s="501"/>
      <c r="H808" s="2160" t="s">
        <v>3816</v>
      </c>
      <c r="I808" s="2160"/>
      <c r="J808" s="2160"/>
      <c r="K808" s="2160"/>
      <c r="L808" s="2160"/>
      <c r="M808" s="489" t="str">
        <f t="shared" si="34"/>
        <v>DDDDDDDĐ</v>
      </c>
    </row>
    <row r="809" spans="1:13" ht="20.100000000000001" customHeight="1">
      <c r="A809" s="501">
        <v>618</v>
      </c>
      <c r="B809" s="506" t="s">
        <v>2801</v>
      </c>
      <c r="C809" s="507" t="s">
        <v>2307</v>
      </c>
      <c r="D809" s="533"/>
      <c r="E809" s="508">
        <f>781250/25</f>
        <v>31250</v>
      </c>
      <c r="F809" s="508"/>
      <c r="G809" s="501">
        <v>618</v>
      </c>
      <c r="H809" s="506" t="s">
        <v>2801</v>
      </c>
      <c r="I809" s="507" t="s">
        <v>2307</v>
      </c>
      <c r="J809" s="533"/>
      <c r="K809" s="508">
        <f>781250/25</f>
        <v>31250</v>
      </c>
      <c r="L809" s="508"/>
      <c r="M809" s="489" t="str">
        <f t="shared" si="34"/>
        <v>DDDDDDDĐ</v>
      </c>
    </row>
    <row r="810" spans="1:13" ht="20.100000000000001" customHeight="1">
      <c r="A810" s="501">
        <v>619</v>
      </c>
      <c r="B810" s="506" t="s">
        <v>2802</v>
      </c>
      <c r="C810" s="507" t="s">
        <v>2307</v>
      </c>
      <c r="D810" s="533"/>
      <c r="E810" s="508">
        <f>1512500/20</f>
        <v>75625</v>
      </c>
      <c r="F810" s="508"/>
      <c r="G810" s="501">
        <v>619</v>
      </c>
      <c r="H810" s="506" t="s">
        <v>2802</v>
      </c>
      <c r="I810" s="507" t="s">
        <v>2307</v>
      </c>
      <c r="J810" s="533"/>
      <c r="K810" s="508">
        <f>1512500/20</f>
        <v>75625</v>
      </c>
      <c r="L810" s="508"/>
      <c r="M810" s="489" t="str">
        <f t="shared" si="34"/>
        <v>DDDDDDDĐ</v>
      </c>
    </row>
    <row r="811" spans="1:13" ht="20.100000000000001" customHeight="1">
      <c r="A811" s="501">
        <v>620</v>
      </c>
      <c r="B811" s="506" t="s">
        <v>2803</v>
      </c>
      <c r="C811" s="507" t="s">
        <v>2307</v>
      </c>
      <c r="D811" s="533"/>
      <c r="E811" s="508">
        <f>3193750/25</f>
        <v>127750</v>
      </c>
      <c r="F811" s="508"/>
      <c r="G811" s="501">
        <v>620</v>
      </c>
      <c r="H811" s="506" t="s">
        <v>2803</v>
      </c>
      <c r="I811" s="507" t="s">
        <v>2307</v>
      </c>
      <c r="J811" s="533"/>
      <c r="K811" s="508">
        <f>3193750/25</f>
        <v>127750</v>
      </c>
      <c r="L811" s="508"/>
      <c r="M811" s="489" t="str">
        <f t="shared" si="34"/>
        <v>DDDDDDDĐ</v>
      </c>
    </row>
    <row r="812" spans="1:13" ht="20.100000000000001" customHeight="1">
      <c r="A812" s="501">
        <v>621</v>
      </c>
      <c r="B812" s="506" t="s">
        <v>2804</v>
      </c>
      <c r="C812" s="507" t="s">
        <v>2307</v>
      </c>
      <c r="D812" s="533"/>
      <c r="E812" s="508">
        <f>1012500/7</f>
        <v>144642.85714285713</v>
      </c>
      <c r="F812" s="508"/>
      <c r="G812" s="501">
        <v>621</v>
      </c>
      <c r="H812" s="506" t="s">
        <v>2804</v>
      </c>
      <c r="I812" s="507" t="s">
        <v>2307</v>
      </c>
      <c r="J812" s="533"/>
      <c r="K812" s="508">
        <f>1012500/7</f>
        <v>144642.85714285713</v>
      </c>
      <c r="L812" s="508"/>
      <c r="M812" s="489" t="str">
        <f t="shared" si="34"/>
        <v>DDDDDDDĐ</v>
      </c>
    </row>
    <row r="813" spans="1:13" ht="18" customHeight="1">
      <c r="A813" s="501">
        <v>622</v>
      </c>
      <c r="B813" s="506" t="s">
        <v>2805</v>
      </c>
      <c r="C813" s="507" t="s">
        <v>2307</v>
      </c>
      <c r="D813" s="533"/>
      <c r="E813" s="508">
        <f>1883750/25</f>
        <v>75350</v>
      </c>
      <c r="F813" s="508"/>
      <c r="G813" s="501">
        <v>622</v>
      </c>
      <c r="H813" s="506" t="s">
        <v>2805</v>
      </c>
      <c r="I813" s="507" t="s">
        <v>2307</v>
      </c>
      <c r="J813" s="533"/>
      <c r="K813" s="508">
        <f>1883750/25</f>
        <v>75350</v>
      </c>
      <c r="L813" s="508"/>
      <c r="M813" s="489" t="str">
        <f t="shared" si="34"/>
        <v>DDDDDDDĐ</v>
      </c>
    </row>
    <row r="814" spans="1:13" ht="18" customHeight="1">
      <c r="A814" s="501">
        <v>623</v>
      </c>
      <c r="B814" s="506" t="s">
        <v>2806</v>
      </c>
      <c r="C814" s="507" t="s">
        <v>2307</v>
      </c>
      <c r="D814" s="533"/>
      <c r="E814" s="508">
        <f>1475000/25</f>
        <v>59000</v>
      </c>
      <c r="F814" s="508"/>
      <c r="G814" s="501">
        <v>623</v>
      </c>
      <c r="H814" s="506" t="s">
        <v>2806</v>
      </c>
      <c r="I814" s="507" t="s">
        <v>2307</v>
      </c>
      <c r="J814" s="533"/>
      <c r="K814" s="508">
        <f>1475000/25</f>
        <v>59000</v>
      </c>
      <c r="L814" s="508"/>
      <c r="M814" s="489" t="str">
        <f t="shared" si="34"/>
        <v>DDDDDDDĐ</v>
      </c>
    </row>
    <row r="815" spans="1:13" ht="18" customHeight="1">
      <c r="A815" s="501">
        <v>624</v>
      </c>
      <c r="B815" s="506" t="s">
        <v>2807</v>
      </c>
      <c r="C815" s="507" t="s">
        <v>2307</v>
      </c>
      <c r="D815" s="533"/>
      <c r="E815" s="508">
        <f>1181250/7</f>
        <v>168750</v>
      </c>
      <c r="F815" s="508"/>
      <c r="G815" s="501">
        <v>624</v>
      </c>
      <c r="H815" s="506" t="s">
        <v>2807</v>
      </c>
      <c r="I815" s="507" t="s">
        <v>2307</v>
      </c>
      <c r="J815" s="533"/>
      <c r="K815" s="508">
        <f>1181250/7</f>
        <v>168750</v>
      </c>
      <c r="L815" s="508"/>
      <c r="M815" s="489" t="str">
        <f t="shared" si="34"/>
        <v>DDDDDDDĐ</v>
      </c>
    </row>
    <row r="816" spans="1:13" ht="18" customHeight="1">
      <c r="A816" s="501">
        <v>625</v>
      </c>
      <c r="B816" s="506" t="s">
        <v>2808</v>
      </c>
      <c r="C816" s="507" t="s">
        <v>2307</v>
      </c>
      <c r="D816" s="533"/>
      <c r="E816" s="508">
        <f>2110000/20</f>
        <v>105500</v>
      </c>
      <c r="F816" s="508"/>
      <c r="G816" s="501">
        <v>625</v>
      </c>
      <c r="H816" s="506" t="s">
        <v>2808</v>
      </c>
      <c r="I816" s="507" t="s">
        <v>2307</v>
      </c>
      <c r="J816" s="533"/>
      <c r="K816" s="508">
        <f>2110000/20</f>
        <v>105500</v>
      </c>
      <c r="L816" s="508"/>
      <c r="M816" s="489" t="str">
        <f t="shared" si="34"/>
        <v>DDDDDDDĐ</v>
      </c>
    </row>
    <row r="817" spans="1:13" ht="18" customHeight="1">
      <c r="A817" s="501"/>
      <c r="B817" s="2160" t="s">
        <v>3817</v>
      </c>
      <c r="C817" s="2160"/>
      <c r="D817" s="2160"/>
      <c r="E817" s="2160"/>
      <c r="F817" s="2160"/>
      <c r="G817" s="501"/>
      <c r="H817" s="2160" t="s">
        <v>3817</v>
      </c>
      <c r="I817" s="2160"/>
      <c r="J817" s="2160"/>
      <c r="K817" s="2160"/>
      <c r="L817" s="2160"/>
      <c r="M817" s="489" t="str">
        <f t="shared" si="34"/>
        <v>DDDDDDDĐ</v>
      </c>
    </row>
    <row r="818" spans="1:13" ht="18" customHeight="1">
      <c r="A818" s="501">
        <v>626</v>
      </c>
      <c r="B818" s="506" t="s">
        <v>2809</v>
      </c>
      <c r="C818" s="507" t="s">
        <v>2307</v>
      </c>
      <c r="D818" s="533"/>
      <c r="E818" s="508">
        <f>530000/18/1.2/1.1</f>
        <v>22306.397306397306</v>
      </c>
      <c r="F818" s="508">
        <f>E818</f>
        <v>22306.397306397306</v>
      </c>
      <c r="G818" s="501">
        <v>626</v>
      </c>
      <c r="H818" s="506" t="s">
        <v>2809</v>
      </c>
      <c r="I818" s="507" t="s">
        <v>2307</v>
      </c>
      <c r="J818" s="533"/>
      <c r="K818" s="508">
        <f>530000/18/1.2/1.1</f>
        <v>22306.397306397306</v>
      </c>
      <c r="L818" s="508">
        <f>K818</f>
        <v>22306.397306397306</v>
      </c>
      <c r="M818" s="489" t="str">
        <f t="shared" si="34"/>
        <v>DDDDDDDĐ</v>
      </c>
    </row>
    <row r="819" spans="1:13" ht="18" customHeight="1">
      <c r="A819" s="501">
        <v>627</v>
      </c>
      <c r="B819" s="506" t="s">
        <v>3742</v>
      </c>
      <c r="C819" s="507" t="s">
        <v>2307</v>
      </c>
      <c r="D819" s="533"/>
      <c r="E819" s="508">
        <f>950000/18/1.2/1.1</f>
        <v>39983.164983164985</v>
      </c>
      <c r="F819" s="508">
        <f>E819</f>
        <v>39983.164983164985</v>
      </c>
      <c r="G819" s="501">
        <v>627</v>
      </c>
      <c r="H819" s="506" t="s">
        <v>3742</v>
      </c>
      <c r="I819" s="507" t="s">
        <v>2307</v>
      </c>
      <c r="J819" s="533"/>
      <c r="K819" s="508">
        <f>950000/18/1.2/1.1</f>
        <v>39983.164983164985</v>
      </c>
      <c r="L819" s="508">
        <f>K819</f>
        <v>39983.164983164985</v>
      </c>
      <c r="M819" s="489" t="str">
        <f t="shared" si="34"/>
        <v>DDDDDDDĐ</v>
      </c>
    </row>
    <row r="820" spans="1:13" ht="18" customHeight="1">
      <c r="A820" s="501">
        <v>628</v>
      </c>
      <c r="B820" s="506" t="s">
        <v>3818</v>
      </c>
      <c r="C820" s="507" t="s">
        <v>2307</v>
      </c>
      <c r="D820" s="533"/>
      <c r="E820" s="508">
        <f>700000/5/1.2/1.1</f>
        <v>106060.60606060606</v>
      </c>
      <c r="F820" s="508">
        <f>E820</f>
        <v>106060.60606060606</v>
      </c>
      <c r="G820" s="501">
        <v>628</v>
      </c>
      <c r="H820" s="506" t="s">
        <v>3818</v>
      </c>
      <c r="I820" s="507" t="s">
        <v>2307</v>
      </c>
      <c r="J820" s="533"/>
      <c r="K820" s="508">
        <f>700000/5/1.2/1.1</f>
        <v>106060.60606060606</v>
      </c>
      <c r="L820" s="508">
        <f>K820</f>
        <v>106060.60606060606</v>
      </c>
      <c r="M820" s="489" t="str">
        <f t="shared" si="34"/>
        <v>DDDDDDDĐ</v>
      </c>
    </row>
    <row r="821" spans="1:13" ht="18" customHeight="1">
      <c r="A821" s="501">
        <v>629</v>
      </c>
      <c r="B821" s="506" t="s">
        <v>3819</v>
      </c>
      <c r="C821" s="507" t="s">
        <v>2307</v>
      </c>
      <c r="D821" s="533"/>
      <c r="E821" s="508">
        <f>320000/3/1.1</f>
        <v>96969.696969696961</v>
      </c>
      <c r="F821" s="508">
        <f>E821</f>
        <v>96969.696969696961</v>
      </c>
      <c r="G821" s="501">
        <v>629</v>
      </c>
      <c r="H821" s="506" t="s">
        <v>3819</v>
      </c>
      <c r="I821" s="507" t="s">
        <v>2307</v>
      </c>
      <c r="J821" s="533"/>
      <c r="K821" s="508">
        <f>320000/3/1.1</f>
        <v>96969.696969696961</v>
      </c>
      <c r="L821" s="508">
        <f>K821</f>
        <v>96969.696969696961</v>
      </c>
      <c r="M821" s="489" t="str">
        <f t="shared" si="34"/>
        <v>DDDDDDDĐ</v>
      </c>
    </row>
    <row r="822" spans="1:13" ht="18" customHeight="1">
      <c r="A822" s="501">
        <v>630</v>
      </c>
      <c r="B822" s="506" t="s">
        <v>2810</v>
      </c>
      <c r="C822" s="507" t="s">
        <v>2307</v>
      </c>
      <c r="D822" s="533"/>
      <c r="E822" s="508">
        <f>220000/40/1.1</f>
        <v>5000</v>
      </c>
      <c r="F822" s="508">
        <f>E822</f>
        <v>5000</v>
      </c>
      <c r="G822" s="501">
        <v>630</v>
      </c>
      <c r="H822" s="506" t="s">
        <v>2810</v>
      </c>
      <c r="I822" s="507" t="s">
        <v>2307</v>
      </c>
      <c r="J822" s="533"/>
      <c r="K822" s="508">
        <f>220000/40/1.1</f>
        <v>5000</v>
      </c>
      <c r="L822" s="508">
        <f>K822</f>
        <v>5000</v>
      </c>
      <c r="M822" s="489" t="str">
        <f t="shared" si="34"/>
        <v>DDDDDDDĐ</v>
      </c>
    </row>
    <row r="823" spans="1:13" ht="18" customHeight="1">
      <c r="A823" s="501"/>
      <c r="B823" s="2160" t="s">
        <v>2811</v>
      </c>
      <c r="C823" s="2160"/>
      <c r="D823" s="2160"/>
      <c r="E823" s="2160"/>
      <c r="F823" s="2160"/>
      <c r="G823" s="501"/>
      <c r="H823" s="2160" t="s">
        <v>2811</v>
      </c>
      <c r="I823" s="2160"/>
      <c r="J823" s="2160"/>
      <c r="K823" s="2160"/>
      <c r="L823" s="2160"/>
      <c r="M823" s="489" t="str">
        <f t="shared" si="34"/>
        <v>DDDDDDDĐ</v>
      </c>
    </row>
    <row r="824" spans="1:13" ht="18" customHeight="1">
      <c r="A824" s="501">
        <v>631</v>
      </c>
      <c r="B824" s="506" t="s">
        <v>2812</v>
      </c>
      <c r="C824" s="507" t="s">
        <v>2307</v>
      </c>
      <c r="D824" s="533"/>
      <c r="E824" s="508">
        <f>55576/1.1</f>
        <v>50523.63636363636</v>
      </c>
      <c r="F824" s="508">
        <f>E824</f>
        <v>50523.63636363636</v>
      </c>
      <c r="G824" s="501">
        <v>631</v>
      </c>
      <c r="H824" s="506" t="s">
        <v>2812</v>
      </c>
      <c r="I824" s="507" t="s">
        <v>2307</v>
      </c>
      <c r="J824" s="533"/>
      <c r="K824" s="508">
        <f>55576/1.1</f>
        <v>50523.63636363636</v>
      </c>
      <c r="L824" s="508">
        <f>K824</f>
        <v>50523.63636363636</v>
      </c>
      <c r="M824" s="489" t="str">
        <f t="shared" si="34"/>
        <v>DDDDDDDĐ</v>
      </c>
    </row>
    <row r="825" spans="1:13" ht="18" customHeight="1">
      <c r="A825" s="501">
        <v>632</v>
      </c>
      <c r="B825" s="506" t="s">
        <v>2813</v>
      </c>
      <c r="C825" s="507" t="s">
        <v>2307</v>
      </c>
      <c r="D825" s="533"/>
      <c r="E825" s="508">
        <f>37565/1.1</f>
        <v>34150</v>
      </c>
      <c r="F825" s="508">
        <f>E825</f>
        <v>34150</v>
      </c>
      <c r="G825" s="501">
        <v>632</v>
      </c>
      <c r="H825" s="506" t="s">
        <v>2813</v>
      </c>
      <c r="I825" s="507" t="s">
        <v>2307</v>
      </c>
      <c r="J825" s="533"/>
      <c r="K825" s="508">
        <f>37565/1.1</f>
        <v>34150</v>
      </c>
      <c r="L825" s="508">
        <f>K825</f>
        <v>34150</v>
      </c>
      <c r="M825" s="489" t="str">
        <f t="shared" si="34"/>
        <v>DDDDDDDĐ</v>
      </c>
    </row>
    <row r="826" spans="1:13" ht="18" customHeight="1">
      <c r="A826" s="501">
        <v>633</v>
      </c>
      <c r="B826" s="506" t="s">
        <v>2814</v>
      </c>
      <c r="C826" s="507" t="s">
        <v>2307</v>
      </c>
      <c r="D826" s="533"/>
      <c r="E826" s="508">
        <f>38130/1.1</f>
        <v>34663.63636363636</v>
      </c>
      <c r="F826" s="508">
        <f>E826</f>
        <v>34663.63636363636</v>
      </c>
      <c r="G826" s="501">
        <v>633</v>
      </c>
      <c r="H826" s="506" t="s">
        <v>2814</v>
      </c>
      <c r="I826" s="507" t="s">
        <v>2307</v>
      </c>
      <c r="J826" s="533"/>
      <c r="K826" s="508">
        <f>38130/1.1</f>
        <v>34663.63636363636</v>
      </c>
      <c r="L826" s="508">
        <f>K826</f>
        <v>34663.63636363636</v>
      </c>
      <c r="M826" s="489" t="str">
        <f t="shared" si="34"/>
        <v>DDDDDDDĐ</v>
      </c>
    </row>
    <row r="827" spans="1:13" ht="18" customHeight="1">
      <c r="A827" s="501">
        <v>634</v>
      </c>
      <c r="B827" s="506" t="s">
        <v>2815</v>
      </c>
      <c r="C827" s="507" t="s">
        <v>2307</v>
      </c>
      <c r="D827" s="533"/>
      <c r="E827" s="508">
        <f>39130/1.1</f>
        <v>35572.727272727272</v>
      </c>
      <c r="F827" s="508">
        <f>E827</f>
        <v>35572.727272727272</v>
      </c>
      <c r="G827" s="501">
        <v>634</v>
      </c>
      <c r="H827" s="506" t="s">
        <v>2815</v>
      </c>
      <c r="I827" s="507" t="s">
        <v>2307</v>
      </c>
      <c r="J827" s="533"/>
      <c r="K827" s="508">
        <f>39130/1.1</f>
        <v>35572.727272727272</v>
      </c>
      <c r="L827" s="508">
        <f>K827</f>
        <v>35572.727272727272</v>
      </c>
      <c r="M827" s="489" t="str">
        <f t="shared" si="34"/>
        <v>DDDDDDDĐ</v>
      </c>
    </row>
    <row r="828" spans="1:13" ht="18" customHeight="1">
      <c r="A828" s="501">
        <v>635</v>
      </c>
      <c r="B828" s="542" t="s">
        <v>2816</v>
      </c>
      <c r="C828" s="507" t="s">
        <v>2307</v>
      </c>
      <c r="D828" s="533"/>
      <c r="E828" s="508">
        <v>4250</v>
      </c>
      <c r="F828" s="508">
        <f>E828</f>
        <v>4250</v>
      </c>
      <c r="G828" s="501">
        <v>635</v>
      </c>
      <c r="H828" s="542" t="s">
        <v>2816</v>
      </c>
      <c r="I828" s="507" t="s">
        <v>2307</v>
      </c>
      <c r="J828" s="533"/>
      <c r="K828" s="508">
        <v>4250</v>
      </c>
      <c r="L828" s="508">
        <f>K828</f>
        <v>4250</v>
      </c>
      <c r="M828" s="489" t="str">
        <f t="shared" si="34"/>
        <v>DDDDDDDĐ</v>
      </c>
    </row>
    <row r="829" spans="1:13" ht="18" customHeight="1">
      <c r="A829" s="501"/>
      <c r="B829" s="2160" t="s">
        <v>3886</v>
      </c>
      <c r="C829" s="2160"/>
      <c r="D829" s="2160"/>
      <c r="E829" s="2160"/>
      <c r="F829" s="2160"/>
      <c r="G829" s="501"/>
      <c r="H829" s="2160" t="s">
        <v>3886</v>
      </c>
      <c r="I829" s="2160"/>
      <c r="J829" s="2160"/>
      <c r="K829" s="2160"/>
      <c r="L829" s="2160"/>
      <c r="M829" s="489" t="str">
        <f t="shared" si="34"/>
        <v>DDDDDDDĐ</v>
      </c>
    </row>
    <row r="830" spans="1:13" ht="18" customHeight="1">
      <c r="A830" s="501">
        <v>636</v>
      </c>
      <c r="B830" s="506" t="s">
        <v>3887</v>
      </c>
      <c r="C830" s="507" t="s">
        <v>2307</v>
      </c>
      <c r="D830" s="533"/>
      <c r="E830" s="508">
        <f>1012000/1.1/1.1/18</f>
        <v>46464.646464646459</v>
      </c>
      <c r="F830" s="508">
        <f>E830</f>
        <v>46464.646464646459</v>
      </c>
      <c r="G830" s="501">
        <v>636</v>
      </c>
      <c r="H830" s="506" t="s">
        <v>3887</v>
      </c>
      <c r="I830" s="507" t="s">
        <v>2307</v>
      </c>
      <c r="J830" s="533"/>
      <c r="K830" s="508">
        <f>1012000/1.1/1.1/18</f>
        <v>46464.646464646459</v>
      </c>
      <c r="L830" s="508">
        <f>K830</f>
        <v>46464.646464646459</v>
      </c>
      <c r="M830" s="489" t="str">
        <f t="shared" si="34"/>
        <v>DDDDDDDĐ</v>
      </c>
    </row>
    <row r="831" spans="1:13" ht="18" customHeight="1">
      <c r="A831" s="501">
        <v>637</v>
      </c>
      <c r="B831" s="506" t="s">
        <v>3888</v>
      </c>
      <c r="C831" s="507" t="s">
        <v>2307</v>
      </c>
      <c r="D831" s="533"/>
      <c r="E831" s="508">
        <f>952000/1.1/1.1/18</f>
        <v>43709.825528007343</v>
      </c>
      <c r="F831" s="508">
        <f t="shared" ref="F831:F836" si="35">E831</f>
        <v>43709.825528007343</v>
      </c>
      <c r="G831" s="501">
        <v>637</v>
      </c>
      <c r="H831" s="506" t="s">
        <v>3888</v>
      </c>
      <c r="I831" s="507" t="s">
        <v>2307</v>
      </c>
      <c r="J831" s="533"/>
      <c r="K831" s="508">
        <f>952000/1.1/1.1/18</f>
        <v>43709.825528007343</v>
      </c>
      <c r="L831" s="508">
        <f t="shared" ref="L831:L836" si="36">K831</f>
        <v>43709.825528007343</v>
      </c>
      <c r="M831" s="489" t="str">
        <f t="shared" si="34"/>
        <v>DDDDDDDĐ</v>
      </c>
    </row>
    <row r="832" spans="1:13" ht="18" customHeight="1">
      <c r="A832" s="501">
        <v>638</v>
      </c>
      <c r="B832" s="506" t="s">
        <v>3889</v>
      </c>
      <c r="C832" s="507" t="s">
        <v>2307</v>
      </c>
      <c r="D832" s="533"/>
      <c r="E832" s="508">
        <f>1601000/1.1/18</f>
        <v>80858.585858585851</v>
      </c>
      <c r="F832" s="508">
        <f t="shared" si="35"/>
        <v>80858.585858585851</v>
      </c>
      <c r="G832" s="501">
        <v>638</v>
      </c>
      <c r="H832" s="506" t="s">
        <v>3889</v>
      </c>
      <c r="I832" s="507" t="s">
        <v>2307</v>
      </c>
      <c r="J832" s="533"/>
      <c r="K832" s="508">
        <f>1601000/1.1/18</f>
        <v>80858.585858585851</v>
      </c>
      <c r="L832" s="508">
        <f t="shared" si="36"/>
        <v>80858.585858585851</v>
      </c>
      <c r="M832" s="489" t="str">
        <f t="shared" si="34"/>
        <v>DDDDDDDĐ</v>
      </c>
    </row>
    <row r="833" spans="1:13" ht="18" customHeight="1">
      <c r="A833" s="501">
        <v>639</v>
      </c>
      <c r="B833" s="506" t="s">
        <v>3890</v>
      </c>
      <c r="C833" s="507" t="s">
        <v>2307</v>
      </c>
      <c r="D833" s="533"/>
      <c r="E833" s="508">
        <f>275000/1.1/40</f>
        <v>6249.9999999999991</v>
      </c>
      <c r="F833" s="508">
        <f t="shared" si="35"/>
        <v>6249.9999999999991</v>
      </c>
      <c r="G833" s="501">
        <v>639</v>
      </c>
      <c r="H833" s="506" t="s">
        <v>3890</v>
      </c>
      <c r="I833" s="507" t="s">
        <v>2307</v>
      </c>
      <c r="J833" s="533"/>
      <c r="K833" s="508">
        <f>275000/1.1/40</f>
        <v>6249.9999999999991</v>
      </c>
      <c r="L833" s="508">
        <f t="shared" si="36"/>
        <v>6249.9999999999991</v>
      </c>
      <c r="M833" s="489" t="str">
        <f t="shared" si="34"/>
        <v>DDDDDDDĐ</v>
      </c>
    </row>
    <row r="834" spans="1:13" ht="18" customHeight="1">
      <c r="A834" s="501">
        <v>640</v>
      </c>
      <c r="B834" s="506" t="s">
        <v>3891</v>
      </c>
      <c r="C834" s="507" t="s">
        <v>2307</v>
      </c>
      <c r="D834" s="533"/>
      <c r="E834" s="508">
        <f>599000/1.1/1.1/18</f>
        <v>27502.295684113858</v>
      </c>
      <c r="F834" s="508">
        <f t="shared" si="35"/>
        <v>27502.295684113858</v>
      </c>
      <c r="G834" s="501">
        <v>640</v>
      </c>
      <c r="H834" s="506" t="s">
        <v>3891</v>
      </c>
      <c r="I834" s="507" t="s">
        <v>2307</v>
      </c>
      <c r="J834" s="533"/>
      <c r="K834" s="508">
        <f>599000/1.1/1.1/18</f>
        <v>27502.295684113858</v>
      </c>
      <c r="L834" s="508">
        <f t="shared" si="36"/>
        <v>27502.295684113858</v>
      </c>
      <c r="M834" s="489" t="str">
        <f t="shared" si="34"/>
        <v>DDDDDDDĐ</v>
      </c>
    </row>
    <row r="835" spans="1:13" ht="18" customHeight="1">
      <c r="A835" s="501">
        <v>641</v>
      </c>
      <c r="B835" s="506" t="s">
        <v>3892</v>
      </c>
      <c r="C835" s="507" t="s">
        <v>2307</v>
      </c>
      <c r="D835" s="533"/>
      <c r="E835" s="508">
        <f>1972000/1.1/1.1/18</f>
        <v>90541.781450872339</v>
      </c>
      <c r="F835" s="508">
        <f t="shared" si="35"/>
        <v>90541.781450872339</v>
      </c>
      <c r="G835" s="501">
        <v>641</v>
      </c>
      <c r="H835" s="506" t="s">
        <v>3892</v>
      </c>
      <c r="I835" s="507" t="s">
        <v>2307</v>
      </c>
      <c r="J835" s="533"/>
      <c r="K835" s="508">
        <f>1972000/1.1/1.1/18</f>
        <v>90541.781450872339</v>
      </c>
      <c r="L835" s="508">
        <f t="shared" si="36"/>
        <v>90541.781450872339</v>
      </c>
      <c r="M835" s="489" t="str">
        <f t="shared" si="34"/>
        <v>DDDDDDDĐ</v>
      </c>
    </row>
    <row r="836" spans="1:13" ht="18" customHeight="1">
      <c r="A836" s="501">
        <v>642</v>
      </c>
      <c r="B836" s="506" t="s">
        <v>3893</v>
      </c>
      <c r="C836" s="507" t="s">
        <v>2307</v>
      </c>
      <c r="D836" s="533"/>
      <c r="E836" s="508">
        <f>261000/1.1/3</f>
        <v>79090.909090909088</v>
      </c>
      <c r="F836" s="508">
        <f t="shared" si="35"/>
        <v>79090.909090909088</v>
      </c>
      <c r="G836" s="501">
        <v>642</v>
      </c>
      <c r="H836" s="506" t="s">
        <v>3893</v>
      </c>
      <c r="I836" s="507" t="s">
        <v>2307</v>
      </c>
      <c r="J836" s="533"/>
      <c r="K836" s="508">
        <f>261000/1.1/3</f>
        <v>79090.909090909088</v>
      </c>
      <c r="L836" s="508">
        <f t="shared" si="36"/>
        <v>79090.909090909088</v>
      </c>
      <c r="M836" s="489" t="str">
        <f t="shared" si="34"/>
        <v>DDDDDDDĐ</v>
      </c>
    </row>
    <row r="837" spans="1:13" ht="18" customHeight="1">
      <c r="A837" s="513" t="s">
        <v>2817</v>
      </c>
      <c r="B837" s="502" t="s">
        <v>2818</v>
      </c>
      <c r="C837" s="510"/>
      <c r="D837" s="543"/>
      <c r="E837" s="543"/>
      <c r="F837" s="543"/>
      <c r="G837" s="513" t="s">
        <v>2817</v>
      </c>
      <c r="H837" s="502" t="s">
        <v>2818</v>
      </c>
      <c r="I837" s="510"/>
      <c r="J837" s="543"/>
      <c r="K837" s="543"/>
      <c r="L837" s="543"/>
      <c r="M837" s="489" t="str">
        <f t="shared" si="34"/>
        <v>DDDDDDDĐ</v>
      </c>
    </row>
    <row r="838" spans="1:13" ht="18" customHeight="1">
      <c r="A838" s="513"/>
      <c r="B838" s="502" t="s">
        <v>3820</v>
      </c>
      <c r="C838" s="510"/>
      <c r="D838" s="543"/>
      <c r="E838" s="543"/>
      <c r="F838" s="543"/>
      <c r="G838" s="513"/>
      <c r="H838" s="502" t="s">
        <v>3820</v>
      </c>
      <c r="I838" s="510"/>
      <c r="J838" s="543"/>
      <c r="K838" s="543"/>
      <c r="L838" s="543"/>
      <c r="M838" s="489" t="str">
        <f t="shared" si="34"/>
        <v>DDDDDDDĐ</v>
      </c>
    </row>
    <row r="839" spans="1:13" ht="18" customHeight="1">
      <c r="A839" s="501"/>
      <c r="B839" s="502" t="s">
        <v>2819</v>
      </c>
      <c r="C839" s="544"/>
      <c r="D839" s="544"/>
      <c r="E839" s="544"/>
      <c r="F839" s="543"/>
      <c r="G839" s="501"/>
      <c r="H839" s="502" t="s">
        <v>2819</v>
      </c>
      <c r="I839" s="544"/>
      <c r="J839" s="544"/>
      <c r="K839" s="544"/>
      <c r="L839" s="543"/>
      <c r="M839" s="489" t="str">
        <f t="shared" si="34"/>
        <v>DDDDDDDĐ</v>
      </c>
    </row>
    <row r="840" spans="1:13" ht="18" customHeight="1">
      <c r="A840" s="501">
        <v>643</v>
      </c>
      <c r="B840" s="506" t="s">
        <v>2820</v>
      </c>
      <c r="C840" s="507" t="s">
        <v>2344</v>
      </c>
      <c r="D840" s="544"/>
      <c r="E840" s="508">
        <v>4700</v>
      </c>
      <c r="F840" s="508">
        <v>4700</v>
      </c>
      <c r="G840" s="501">
        <v>643</v>
      </c>
      <c r="H840" s="506" t="s">
        <v>2820</v>
      </c>
      <c r="I840" s="507" t="s">
        <v>2344</v>
      </c>
      <c r="J840" s="544"/>
      <c r="K840" s="508">
        <v>4700</v>
      </c>
      <c r="L840" s="508">
        <v>4700</v>
      </c>
      <c r="M840" s="489" t="str">
        <f t="shared" si="34"/>
        <v>DDDDDDDĐ</v>
      </c>
    </row>
    <row r="841" spans="1:13" ht="18" customHeight="1">
      <c r="A841" s="501">
        <v>644</v>
      </c>
      <c r="B841" s="506" t="s">
        <v>2821</v>
      </c>
      <c r="C841" s="507" t="s">
        <v>2344</v>
      </c>
      <c r="D841" s="544"/>
      <c r="E841" s="508">
        <v>6200</v>
      </c>
      <c r="F841" s="508">
        <v>6200</v>
      </c>
      <c r="G841" s="501">
        <v>644</v>
      </c>
      <c r="H841" s="506" t="s">
        <v>2821</v>
      </c>
      <c r="I841" s="507" t="s">
        <v>2344</v>
      </c>
      <c r="J841" s="544"/>
      <c r="K841" s="508">
        <v>6200</v>
      </c>
      <c r="L841" s="508">
        <v>6200</v>
      </c>
      <c r="M841" s="489" t="str">
        <f t="shared" si="34"/>
        <v>DDDDDDDĐ</v>
      </c>
    </row>
    <row r="842" spans="1:13" ht="18" customHeight="1">
      <c r="A842" s="501">
        <v>645</v>
      </c>
      <c r="B842" s="506" t="s">
        <v>2822</v>
      </c>
      <c r="C842" s="507" t="s">
        <v>2344</v>
      </c>
      <c r="D842" s="544"/>
      <c r="E842" s="508">
        <v>7600</v>
      </c>
      <c r="F842" s="508">
        <v>7600</v>
      </c>
      <c r="G842" s="501">
        <v>645</v>
      </c>
      <c r="H842" s="506" t="s">
        <v>2822</v>
      </c>
      <c r="I842" s="507" t="s">
        <v>2344</v>
      </c>
      <c r="J842" s="544"/>
      <c r="K842" s="508">
        <v>7600</v>
      </c>
      <c r="L842" s="508">
        <v>7600</v>
      </c>
      <c r="M842" s="489" t="str">
        <f t="shared" si="34"/>
        <v>DDDDDDDĐ</v>
      </c>
    </row>
    <row r="843" spans="1:13" ht="18" customHeight="1">
      <c r="A843" s="501">
        <v>646</v>
      </c>
      <c r="B843" s="506" t="s">
        <v>2823</v>
      </c>
      <c r="C843" s="507" t="s">
        <v>2344</v>
      </c>
      <c r="D843" s="544"/>
      <c r="E843" s="508">
        <v>10200</v>
      </c>
      <c r="F843" s="508">
        <v>10200</v>
      </c>
      <c r="G843" s="501">
        <v>646</v>
      </c>
      <c r="H843" s="506" t="s">
        <v>2823</v>
      </c>
      <c r="I843" s="507" t="s">
        <v>2344</v>
      </c>
      <c r="J843" s="544"/>
      <c r="K843" s="508">
        <v>10200</v>
      </c>
      <c r="L843" s="508">
        <v>10200</v>
      </c>
      <c r="M843" s="489" t="str">
        <f t="shared" si="34"/>
        <v>DDDDDDDĐ</v>
      </c>
    </row>
    <row r="844" spans="1:13" ht="18" customHeight="1">
      <c r="A844" s="501">
        <v>647</v>
      </c>
      <c r="B844" s="506" t="s">
        <v>2824</v>
      </c>
      <c r="C844" s="507" t="s">
        <v>2344</v>
      </c>
      <c r="D844" s="544"/>
      <c r="E844" s="508">
        <v>14900</v>
      </c>
      <c r="F844" s="508">
        <v>14900</v>
      </c>
      <c r="G844" s="501">
        <v>647</v>
      </c>
      <c r="H844" s="506" t="s">
        <v>2824</v>
      </c>
      <c r="I844" s="507" t="s">
        <v>2344</v>
      </c>
      <c r="J844" s="544"/>
      <c r="K844" s="508">
        <v>14900</v>
      </c>
      <c r="L844" s="508">
        <v>14900</v>
      </c>
      <c r="M844" s="489" t="str">
        <f t="shared" si="34"/>
        <v>DDDDDDDĐ</v>
      </c>
    </row>
    <row r="845" spans="1:13" ht="18" customHeight="1">
      <c r="A845" s="501">
        <v>648</v>
      </c>
      <c r="B845" s="506" t="s">
        <v>2825</v>
      </c>
      <c r="C845" s="507" t="s">
        <v>2344</v>
      </c>
      <c r="D845" s="544"/>
      <c r="E845" s="508">
        <v>23000</v>
      </c>
      <c r="F845" s="508">
        <v>23000</v>
      </c>
      <c r="G845" s="501">
        <v>648</v>
      </c>
      <c r="H845" s="506" t="s">
        <v>2825</v>
      </c>
      <c r="I845" s="507" t="s">
        <v>2344</v>
      </c>
      <c r="J845" s="544"/>
      <c r="K845" s="508">
        <v>23000</v>
      </c>
      <c r="L845" s="508">
        <v>23000</v>
      </c>
      <c r="M845" s="489" t="str">
        <f t="shared" si="34"/>
        <v>DDDDDDDĐ</v>
      </c>
    </row>
    <row r="846" spans="1:13" ht="18" customHeight="1">
      <c r="A846" s="501">
        <v>649</v>
      </c>
      <c r="B846" s="506" t="s">
        <v>2826</v>
      </c>
      <c r="C846" s="507" t="s">
        <v>2344</v>
      </c>
      <c r="D846" s="544"/>
      <c r="E846" s="508">
        <v>26000</v>
      </c>
      <c r="F846" s="508">
        <v>26000</v>
      </c>
      <c r="G846" s="501">
        <v>649</v>
      </c>
      <c r="H846" s="506" t="s">
        <v>2826</v>
      </c>
      <c r="I846" s="507" t="s">
        <v>2344</v>
      </c>
      <c r="J846" s="544"/>
      <c r="K846" s="508">
        <v>26000</v>
      </c>
      <c r="L846" s="508">
        <v>26000</v>
      </c>
      <c r="M846" s="489" t="str">
        <f t="shared" si="34"/>
        <v>DDDDDDDĐ</v>
      </c>
    </row>
    <row r="847" spans="1:13" ht="18" customHeight="1">
      <c r="A847" s="501">
        <v>650</v>
      </c>
      <c r="B847" s="506" t="s">
        <v>2827</v>
      </c>
      <c r="C847" s="507" t="s">
        <v>2344</v>
      </c>
      <c r="D847" s="544"/>
      <c r="E847" s="508">
        <v>36000</v>
      </c>
      <c r="F847" s="508">
        <v>36000</v>
      </c>
      <c r="G847" s="501">
        <v>650</v>
      </c>
      <c r="H847" s="506" t="s">
        <v>2827</v>
      </c>
      <c r="I847" s="507" t="s">
        <v>2344</v>
      </c>
      <c r="J847" s="544"/>
      <c r="K847" s="508">
        <v>36000</v>
      </c>
      <c r="L847" s="508">
        <v>36000</v>
      </c>
      <c r="M847" s="489" t="str">
        <f t="shared" si="34"/>
        <v>DDDDDDDĐ</v>
      </c>
    </row>
    <row r="848" spans="1:13" ht="18" customHeight="1">
      <c r="A848" s="501">
        <v>651</v>
      </c>
      <c r="B848" s="506" t="s">
        <v>2828</v>
      </c>
      <c r="C848" s="507" t="s">
        <v>2344</v>
      </c>
      <c r="D848" s="544"/>
      <c r="E848" s="508">
        <v>40400</v>
      </c>
      <c r="F848" s="508">
        <v>40400</v>
      </c>
      <c r="G848" s="501">
        <v>651</v>
      </c>
      <c r="H848" s="506" t="s">
        <v>2828</v>
      </c>
      <c r="I848" s="507" t="s">
        <v>2344</v>
      </c>
      <c r="J848" s="544"/>
      <c r="K848" s="508">
        <v>40400</v>
      </c>
      <c r="L848" s="508">
        <v>40400</v>
      </c>
      <c r="M848" s="489" t="str">
        <f t="shared" si="34"/>
        <v>DDDDDDDĐ</v>
      </c>
    </row>
    <row r="849" spans="1:13" ht="18" customHeight="1">
      <c r="A849" s="501">
        <v>652</v>
      </c>
      <c r="B849" s="506" t="s">
        <v>2829</v>
      </c>
      <c r="C849" s="507" t="s">
        <v>2344</v>
      </c>
      <c r="D849" s="544"/>
      <c r="E849" s="508">
        <v>63300</v>
      </c>
      <c r="F849" s="508">
        <v>63300</v>
      </c>
      <c r="G849" s="501">
        <v>652</v>
      </c>
      <c r="H849" s="506" t="s">
        <v>2829</v>
      </c>
      <c r="I849" s="507" t="s">
        <v>2344</v>
      </c>
      <c r="J849" s="544"/>
      <c r="K849" s="508">
        <v>63300</v>
      </c>
      <c r="L849" s="508">
        <v>63300</v>
      </c>
      <c r="M849" s="489" t="str">
        <f t="shared" si="34"/>
        <v>DDDDDDDĐ</v>
      </c>
    </row>
    <row r="850" spans="1:13" ht="18" customHeight="1">
      <c r="A850" s="501">
        <v>653</v>
      </c>
      <c r="B850" s="506" t="s">
        <v>2830</v>
      </c>
      <c r="C850" s="507" t="s">
        <v>2344</v>
      </c>
      <c r="D850" s="544"/>
      <c r="E850" s="508">
        <v>121400</v>
      </c>
      <c r="F850" s="508">
        <v>121400</v>
      </c>
      <c r="G850" s="501">
        <v>653</v>
      </c>
      <c r="H850" s="506" t="s">
        <v>2830</v>
      </c>
      <c r="I850" s="507" t="s">
        <v>2344</v>
      </c>
      <c r="J850" s="544"/>
      <c r="K850" s="508">
        <v>121400</v>
      </c>
      <c r="L850" s="508">
        <v>121400</v>
      </c>
      <c r="M850" s="489" t="str">
        <f t="shared" si="34"/>
        <v>DDDDDDDĐ</v>
      </c>
    </row>
    <row r="851" spans="1:13" ht="18" customHeight="1">
      <c r="A851" s="501">
        <v>654</v>
      </c>
      <c r="B851" s="506" t="s">
        <v>2831</v>
      </c>
      <c r="C851" s="507" t="s">
        <v>2344</v>
      </c>
      <c r="D851" s="544"/>
      <c r="E851" s="508">
        <v>134600</v>
      </c>
      <c r="F851" s="508">
        <v>134600</v>
      </c>
      <c r="G851" s="501">
        <v>654</v>
      </c>
      <c r="H851" s="506" t="s">
        <v>2831</v>
      </c>
      <c r="I851" s="507" t="s">
        <v>2344</v>
      </c>
      <c r="J851" s="544"/>
      <c r="K851" s="508">
        <v>134600</v>
      </c>
      <c r="L851" s="508">
        <v>134600</v>
      </c>
      <c r="M851" s="489" t="str">
        <f t="shared" si="34"/>
        <v>DDDDDDDĐ</v>
      </c>
    </row>
    <row r="852" spans="1:13" ht="18" customHeight="1">
      <c r="A852" s="501">
        <v>655</v>
      </c>
      <c r="B852" s="506" t="s">
        <v>2832</v>
      </c>
      <c r="C852" s="507" t="s">
        <v>2344</v>
      </c>
      <c r="D852" s="510"/>
      <c r="E852" s="508">
        <v>206600</v>
      </c>
      <c r="F852" s="508">
        <v>206600</v>
      </c>
      <c r="G852" s="501">
        <v>655</v>
      </c>
      <c r="H852" s="506" t="s">
        <v>2832</v>
      </c>
      <c r="I852" s="507" t="s">
        <v>2344</v>
      </c>
      <c r="J852" s="510"/>
      <c r="K852" s="508">
        <v>206600</v>
      </c>
      <c r="L852" s="508">
        <v>206600</v>
      </c>
      <c r="M852" s="489" t="str">
        <f t="shared" si="34"/>
        <v>DDDDDDDĐ</v>
      </c>
    </row>
    <row r="853" spans="1:13" ht="18" customHeight="1">
      <c r="A853" s="501"/>
      <c r="B853" s="502" t="s">
        <v>2833</v>
      </c>
      <c r="C853" s="510"/>
      <c r="D853" s="544"/>
      <c r="E853" s="508"/>
      <c r="F853" s="508"/>
      <c r="G853" s="501"/>
      <c r="H853" s="502" t="s">
        <v>2833</v>
      </c>
      <c r="I853" s="510"/>
      <c r="J853" s="544"/>
      <c r="K853" s="508"/>
      <c r="L853" s="508"/>
      <c r="M853" s="489" t="str">
        <f t="shared" si="34"/>
        <v>DDDDDDDĐ</v>
      </c>
    </row>
    <row r="854" spans="1:13" ht="18" customHeight="1">
      <c r="A854" s="501">
        <v>656</v>
      </c>
      <c r="B854" s="506" t="s">
        <v>2834</v>
      </c>
      <c r="C854" s="507" t="s">
        <v>2344</v>
      </c>
      <c r="D854" s="510"/>
      <c r="E854" s="508">
        <v>6500</v>
      </c>
      <c r="F854" s="508">
        <v>6500</v>
      </c>
      <c r="G854" s="501">
        <v>656</v>
      </c>
      <c r="H854" s="506" t="s">
        <v>2834</v>
      </c>
      <c r="I854" s="507" t="s">
        <v>2344</v>
      </c>
      <c r="J854" s="510"/>
      <c r="K854" s="508">
        <v>6500</v>
      </c>
      <c r="L854" s="508">
        <v>6500</v>
      </c>
      <c r="M854" s="489" t="str">
        <f t="shared" si="34"/>
        <v>DDDDDDDĐ</v>
      </c>
    </row>
    <row r="855" spans="1:13" ht="21" customHeight="1">
      <c r="A855" s="501">
        <v>657</v>
      </c>
      <c r="B855" s="506" t="s">
        <v>2835</v>
      </c>
      <c r="C855" s="507" t="s">
        <v>2344</v>
      </c>
      <c r="D855" s="510"/>
      <c r="E855" s="508">
        <v>9200</v>
      </c>
      <c r="F855" s="508">
        <v>9200</v>
      </c>
      <c r="G855" s="501">
        <v>657</v>
      </c>
      <c r="H855" s="506" t="s">
        <v>2835</v>
      </c>
      <c r="I855" s="507" t="s">
        <v>2344</v>
      </c>
      <c r="J855" s="510"/>
      <c r="K855" s="508">
        <v>9200</v>
      </c>
      <c r="L855" s="508">
        <v>9200</v>
      </c>
      <c r="M855" s="489" t="str">
        <f t="shared" si="34"/>
        <v>DDDDDDDĐ</v>
      </c>
    </row>
    <row r="856" spans="1:13" ht="21" customHeight="1">
      <c r="A856" s="501">
        <v>658</v>
      </c>
      <c r="B856" s="506" t="s">
        <v>2836</v>
      </c>
      <c r="C856" s="507" t="s">
        <v>2344</v>
      </c>
      <c r="D856" s="510"/>
      <c r="E856" s="508">
        <v>12900</v>
      </c>
      <c r="F856" s="508">
        <v>12900</v>
      </c>
      <c r="G856" s="501">
        <v>658</v>
      </c>
      <c r="H856" s="506" t="s">
        <v>2836</v>
      </c>
      <c r="I856" s="507" t="s">
        <v>2344</v>
      </c>
      <c r="J856" s="510"/>
      <c r="K856" s="508">
        <v>12900</v>
      </c>
      <c r="L856" s="508">
        <v>12900</v>
      </c>
      <c r="M856" s="489" t="str">
        <f t="shared" si="34"/>
        <v>DDDDDDDĐ</v>
      </c>
    </row>
    <row r="857" spans="1:13" ht="21" customHeight="1">
      <c r="A857" s="501">
        <v>659</v>
      </c>
      <c r="B857" s="506" t="s">
        <v>2837</v>
      </c>
      <c r="C857" s="507" t="s">
        <v>2344</v>
      </c>
      <c r="D857" s="510"/>
      <c r="E857" s="508">
        <v>17200</v>
      </c>
      <c r="F857" s="508">
        <v>17200</v>
      </c>
      <c r="G857" s="501">
        <v>659</v>
      </c>
      <c r="H857" s="506" t="s">
        <v>2837</v>
      </c>
      <c r="I857" s="507" t="s">
        <v>2344</v>
      </c>
      <c r="J857" s="510"/>
      <c r="K857" s="508">
        <v>17200</v>
      </c>
      <c r="L857" s="508">
        <v>17200</v>
      </c>
      <c r="M857" s="489" t="str">
        <f t="shared" si="34"/>
        <v>DDDDDDDĐ</v>
      </c>
    </row>
    <row r="858" spans="1:13" ht="21" customHeight="1">
      <c r="A858" s="501">
        <v>660</v>
      </c>
      <c r="B858" s="506" t="s">
        <v>2838</v>
      </c>
      <c r="C858" s="507" t="s">
        <v>2344</v>
      </c>
      <c r="D858" s="510"/>
      <c r="E858" s="508">
        <v>22400</v>
      </c>
      <c r="F858" s="508">
        <v>22400</v>
      </c>
      <c r="G858" s="501">
        <v>660</v>
      </c>
      <c r="H858" s="506" t="s">
        <v>2838</v>
      </c>
      <c r="I858" s="507" t="s">
        <v>2344</v>
      </c>
      <c r="J858" s="510"/>
      <c r="K858" s="508">
        <v>22400</v>
      </c>
      <c r="L858" s="508">
        <v>22400</v>
      </c>
      <c r="M858" s="489" t="str">
        <f t="shared" si="34"/>
        <v>DDDDDDDĐ</v>
      </c>
    </row>
    <row r="859" spans="1:13" ht="21" customHeight="1">
      <c r="A859" s="501">
        <v>661</v>
      </c>
      <c r="B859" s="506" t="s">
        <v>2839</v>
      </c>
      <c r="C859" s="507" t="s">
        <v>2344</v>
      </c>
      <c r="D859" s="510"/>
      <c r="E859" s="508">
        <v>28200</v>
      </c>
      <c r="F859" s="508">
        <v>28200</v>
      </c>
      <c r="G859" s="501">
        <v>661</v>
      </c>
      <c r="H859" s="506" t="s">
        <v>2839</v>
      </c>
      <c r="I859" s="507" t="s">
        <v>2344</v>
      </c>
      <c r="J859" s="510"/>
      <c r="K859" s="508">
        <v>28200</v>
      </c>
      <c r="L859" s="508">
        <v>28200</v>
      </c>
      <c r="M859" s="489" t="str">
        <f t="shared" si="34"/>
        <v>DDDDDDDĐ</v>
      </c>
    </row>
    <row r="860" spans="1:13" ht="21" customHeight="1">
      <c r="A860" s="501">
        <v>662</v>
      </c>
      <c r="B860" s="506" t="s">
        <v>2840</v>
      </c>
      <c r="C860" s="507" t="s">
        <v>2344</v>
      </c>
      <c r="D860" s="510"/>
      <c r="E860" s="508">
        <v>32700</v>
      </c>
      <c r="F860" s="508">
        <v>32700</v>
      </c>
      <c r="G860" s="501">
        <v>662</v>
      </c>
      <c r="H860" s="506" t="s">
        <v>2840</v>
      </c>
      <c r="I860" s="507" t="s">
        <v>2344</v>
      </c>
      <c r="J860" s="510"/>
      <c r="K860" s="508">
        <v>32700</v>
      </c>
      <c r="L860" s="508">
        <v>32700</v>
      </c>
      <c r="M860" s="489" t="str">
        <f t="shared" si="34"/>
        <v>DDDDDDDĐ</v>
      </c>
    </row>
    <row r="861" spans="1:13" ht="21" customHeight="1">
      <c r="A861" s="501">
        <v>663</v>
      </c>
      <c r="B861" s="506" t="s">
        <v>2841</v>
      </c>
      <c r="C861" s="507" t="s">
        <v>2344</v>
      </c>
      <c r="D861" s="510"/>
      <c r="E861" s="508">
        <v>42800</v>
      </c>
      <c r="F861" s="508">
        <v>42800</v>
      </c>
      <c r="G861" s="501">
        <v>663</v>
      </c>
      <c r="H861" s="506" t="s">
        <v>2841</v>
      </c>
      <c r="I861" s="507" t="s">
        <v>2344</v>
      </c>
      <c r="J861" s="510"/>
      <c r="K861" s="508">
        <v>42800</v>
      </c>
      <c r="L861" s="508">
        <v>42800</v>
      </c>
      <c r="M861" s="489" t="str">
        <f t="shared" si="34"/>
        <v>DDDDDDDĐ</v>
      </c>
    </row>
    <row r="862" spans="1:13" ht="21" customHeight="1">
      <c r="A862" s="501">
        <v>664</v>
      </c>
      <c r="B862" s="506" t="s">
        <v>2842</v>
      </c>
      <c r="C862" s="507" t="s">
        <v>2344</v>
      </c>
      <c r="D862" s="510"/>
      <c r="E862" s="508">
        <v>43200</v>
      </c>
      <c r="F862" s="508">
        <v>43200</v>
      </c>
      <c r="G862" s="501">
        <v>664</v>
      </c>
      <c r="H862" s="506" t="s">
        <v>2842</v>
      </c>
      <c r="I862" s="507" t="s">
        <v>2344</v>
      </c>
      <c r="J862" s="510"/>
      <c r="K862" s="508">
        <v>43200</v>
      </c>
      <c r="L862" s="508">
        <v>43200</v>
      </c>
      <c r="M862" s="489" t="str">
        <f t="shared" si="34"/>
        <v>DDDDDDDĐ</v>
      </c>
    </row>
    <row r="863" spans="1:13" ht="21" customHeight="1">
      <c r="A863" s="501">
        <v>665</v>
      </c>
      <c r="B863" s="506" t="s">
        <v>2843</v>
      </c>
      <c r="C863" s="507" t="s">
        <v>2344</v>
      </c>
      <c r="D863" s="510"/>
      <c r="E863" s="508">
        <v>51000</v>
      </c>
      <c r="F863" s="508">
        <v>51000</v>
      </c>
      <c r="G863" s="501">
        <v>665</v>
      </c>
      <c r="H863" s="506" t="s">
        <v>2843</v>
      </c>
      <c r="I863" s="507" t="s">
        <v>2344</v>
      </c>
      <c r="J863" s="510"/>
      <c r="K863" s="508">
        <v>51000</v>
      </c>
      <c r="L863" s="508">
        <v>51000</v>
      </c>
      <c r="M863" s="489" t="str">
        <f t="shared" si="34"/>
        <v>DDDDDDDĐ</v>
      </c>
    </row>
    <row r="864" spans="1:13" ht="21" customHeight="1">
      <c r="A864" s="501">
        <v>666</v>
      </c>
      <c r="B864" s="506" t="s">
        <v>2844</v>
      </c>
      <c r="C864" s="507" t="s">
        <v>2344</v>
      </c>
      <c r="D864" s="510"/>
      <c r="E864" s="508">
        <v>71800</v>
      </c>
      <c r="F864" s="508">
        <v>71800</v>
      </c>
      <c r="G864" s="501">
        <v>666</v>
      </c>
      <c r="H864" s="506" t="s">
        <v>2844</v>
      </c>
      <c r="I864" s="507" t="s">
        <v>2344</v>
      </c>
      <c r="J864" s="510"/>
      <c r="K864" s="508">
        <v>71800</v>
      </c>
      <c r="L864" s="508">
        <v>71800</v>
      </c>
      <c r="M864" s="489" t="str">
        <f t="shared" si="34"/>
        <v>DDDDDDDĐ</v>
      </c>
    </row>
    <row r="865" spans="1:13" ht="21" customHeight="1">
      <c r="A865" s="501">
        <v>667</v>
      </c>
      <c r="B865" s="506" t="s">
        <v>2845</v>
      </c>
      <c r="C865" s="507" t="s">
        <v>2344</v>
      </c>
      <c r="D865" s="510"/>
      <c r="E865" s="508">
        <v>108300</v>
      </c>
      <c r="F865" s="508">
        <v>108300</v>
      </c>
      <c r="G865" s="501">
        <v>667</v>
      </c>
      <c r="H865" s="506" t="s">
        <v>2845</v>
      </c>
      <c r="I865" s="507" t="s">
        <v>2344</v>
      </c>
      <c r="J865" s="510"/>
      <c r="K865" s="508">
        <v>108300</v>
      </c>
      <c r="L865" s="508">
        <v>108300</v>
      </c>
      <c r="M865" s="489" t="str">
        <f t="shared" si="34"/>
        <v>DDDDDDDĐ</v>
      </c>
    </row>
    <row r="866" spans="1:13" ht="21" customHeight="1">
      <c r="A866" s="501">
        <v>668</v>
      </c>
      <c r="B866" s="506" t="s">
        <v>2846</v>
      </c>
      <c r="C866" s="507" t="s">
        <v>2344</v>
      </c>
      <c r="D866" s="510"/>
      <c r="E866" s="508">
        <v>96800</v>
      </c>
      <c r="F866" s="508">
        <v>96800</v>
      </c>
      <c r="G866" s="501">
        <v>668</v>
      </c>
      <c r="H866" s="506" t="s">
        <v>2846</v>
      </c>
      <c r="I866" s="507" t="s">
        <v>2344</v>
      </c>
      <c r="J866" s="510"/>
      <c r="K866" s="508">
        <v>96800</v>
      </c>
      <c r="L866" s="508">
        <v>96800</v>
      </c>
      <c r="M866" s="489" t="str">
        <f t="shared" ref="M866:M929" si="37">IF(B866=H866,"DDDDDDDĐ","SSSSSSSSSSSS")</f>
        <v>DDDDDDDĐ</v>
      </c>
    </row>
    <row r="867" spans="1:13" ht="21" customHeight="1">
      <c r="A867" s="501">
        <v>669</v>
      </c>
      <c r="B867" s="506" t="s">
        <v>2847</v>
      </c>
      <c r="C867" s="507" t="s">
        <v>2344</v>
      </c>
      <c r="D867" s="510"/>
      <c r="E867" s="508">
        <v>148500</v>
      </c>
      <c r="F867" s="508">
        <v>148500</v>
      </c>
      <c r="G867" s="501">
        <v>669</v>
      </c>
      <c r="H867" s="506" t="s">
        <v>2847</v>
      </c>
      <c r="I867" s="507" t="s">
        <v>2344</v>
      </c>
      <c r="J867" s="510"/>
      <c r="K867" s="508">
        <v>148500</v>
      </c>
      <c r="L867" s="508">
        <v>148500</v>
      </c>
      <c r="M867" s="489" t="str">
        <f t="shared" si="37"/>
        <v>DDDDDDDĐ</v>
      </c>
    </row>
    <row r="868" spans="1:13" ht="21" customHeight="1">
      <c r="A868" s="501">
        <v>670</v>
      </c>
      <c r="B868" s="506" t="s">
        <v>2848</v>
      </c>
      <c r="C868" s="507" t="s">
        <v>2344</v>
      </c>
      <c r="D868" s="510"/>
      <c r="E868" s="508">
        <v>141600</v>
      </c>
      <c r="F868" s="508">
        <v>141600</v>
      </c>
      <c r="G868" s="501">
        <v>670</v>
      </c>
      <c r="H868" s="506" t="s">
        <v>2848</v>
      </c>
      <c r="I868" s="507" t="s">
        <v>2344</v>
      </c>
      <c r="J868" s="510"/>
      <c r="K868" s="508">
        <v>141600</v>
      </c>
      <c r="L868" s="508">
        <v>141600</v>
      </c>
      <c r="M868" s="489" t="str">
        <f t="shared" si="37"/>
        <v>DDDDDDDĐ</v>
      </c>
    </row>
    <row r="869" spans="1:13" ht="21" customHeight="1">
      <c r="A869" s="501"/>
      <c r="B869" s="502" t="s">
        <v>2849</v>
      </c>
      <c r="C869" s="510"/>
      <c r="D869" s="510"/>
      <c r="E869" s="508"/>
      <c r="F869" s="508"/>
      <c r="G869" s="501"/>
      <c r="H869" s="502" t="s">
        <v>2849</v>
      </c>
      <c r="I869" s="510"/>
      <c r="J869" s="510"/>
      <c r="K869" s="508"/>
      <c r="L869" s="508"/>
      <c r="M869" s="489" t="str">
        <f t="shared" si="37"/>
        <v>DDDDDDDĐ</v>
      </c>
    </row>
    <row r="870" spans="1:13" ht="21" customHeight="1">
      <c r="A870" s="501">
        <v>671</v>
      </c>
      <c r="B870" s="506" t="s">
        <v>2850</v>
      </c>
      <c r="C870" s="507" t="s">
        <v>2338</v>
      </c>
      <c r="D870" s="510"/>
      <c r="E870" s="508">
        <f>5830/1.1</f>
        <v>5300</v>
      </c>
      <c r="F870" s="508">
        <f>5830/1.1</f>
        <v>5300</v>
      </c>
      <c r="G870" s="501">
        <v>671</v>
      </c>
      <c r="H870" s="506" t="s">
        <v>2850</v>
      </c>
      <c r="I870" s="507" t="s">
        <v>2338</v>
      </c>
      <c r="J870" s="510"/>
      <c r="K870" s="508">
        <f>5830/1.1</f>
        <v>5300</v>
      </c>
      <c r="L870" s="508">
        <f>5830/1.1</f>
        <v>5300</v>
      </c>
      <c r="M870" s="489" t="str">
        <f t="shared" si="37"/>
        <v>DDDDDDDĐ</v>
      </c>
    </row>
    <row r="871" spans="1:13" ht="21" customHeight="1">
      <c r="A871" s="501">
        <v>672</v>
      </c>
      <c r="B871" s="506" t="s">
        <v>2851</v>
      </c>
      <c r="C871" s="507" t="s">
        <v>2338</v>
      </c>
      <c r="D871" s="510"/>
      <c r="E871" s="508">
        <f>9130/1.1</f>
        <v>8300</v>
      </c>
      <c r="F871" s="508">
        <f>9130/1.1</f>
        <v>8300</v>
      </c>
      <c r="G871" s="501">
        <v>672</v>
      </c>
      <c r="H871" s="506" t="s">
        <v>2851</v>
      </c>
      <c r="I871" s="507" t="s">
        <v>2338</v>
      </c>
      <c r="J871" s="510"/>
      <c r="K871" s="508">
        <f>9130/1.1</f>
        <v>8300</v>
      </c>
      <c r="L871" s="508">
        <f>9130/1.1</f>
        <v>8300</v>
      </c>
      <c r="M871" s="489" t="str">
        <f t="shared" si="37"/>
        <v>DDDDDDDĐ</v>
      </c>
    </row>
    <row r="872" spans="1:13" ht="21" customHeight="1">
      <c r="A872" s="501">
        <v>673</v>
      </c>
      <c r="B872" s="506" t="s">
        <v>2852</v>
      </c>
      <c r="C872" s="507" t="s">
        <v>2338</v>
      </c>
      <c r="D872" s="510"/>
      <c r="E872" s="508">
        <f>14190/1.1</f>
        <v>12899.999999999998</v>
      </c>
      <c r="F872" s="508">
        <f>14190/1.1</f>
        <v>12899.999999999998</v>
      </c>
      <c r="G872" s="501">
        <v>673</v>
      </c>
      <c r="H872" s="506" t="s">
        <v>2852</v>
      </c>
      <c r="I872" s="507" t="s">
        <v>2338</v>
      </c>
      <c r="J872" s="510"/>
      <c r="K872" s="508">
        <f>14190/1.1</f>
        <v>12899.999999999998</v>
      </c>
      <c r="L872" s="508">
        <f>14190/1.1</f>
        <v>12899.999999999998</v>
      </c>
      <c r="M872" s="489" t="str">
        <f t="shared" si="37"/>
        <v>DDDDDDDĐ</v>
      </c>
    </row>
    <row r="873" spans="1:13" ht="21" customHeight="1">
      <c r="A873" s="501">
        <v>674</v>
      </c>
      <c r="B873" s="506" t="s">
        <v>2853</v>
      </c>
      <c r="C873" s="507" t="s">
        <v>2338</v>
      </c>
      <c r="D873" s="510"/>
      <c r="E873" s="508">
        <f>28050/1.1</f>
        <v>25499.999999999996</v>
      </c>
      <c r="F873" s="508">
        <f>28050/1.1</f>
        <v>25499.999999999996</v>
      </c>
      <c r="G873" s="501">
        <v>674</v>
      </c>
      <c r="H873" s="506" t="s">
        <v>2853</v>
      </c>
      <c r="I873" s="507" t="s">
        <v>2338</v>
      </c>
      <c r="J873" s="510"/>
      <c r="K873" s="508">
        <f>28050/1.1</f>
        <v>25499.999999999996</v>
      </c>
      <c r="L873" s="508">
        <f>28050/1.1</f>
        <v>25499.999999999996</v>
      </c>
      <c r="M873" s="489" t="str">
        <f t="shared" si="37"/>
        <v>DDDDDDDĐ</v>
      </c>
    </row>
    <row r="874" spans="1:13" ht="21" customHeight="1">
      <c r="A874" s="501">
        <v>675</v>
      </c>
      <c r="B874" s="506" t="s">
        <v>2854</v>
      </c>
      <c r="C874" s="507" t="s">
        <v>2338</v>
      </c>
      <c r="D874" s="510"/>
      <c r="E874" s="508">
        <f>28710/1.1</f>
        <v>26099.999999999996</v>
      </c>
      <c r="F874" s="508">
        <f>28710/1.1</f>
        <v>26099.999999999996</v>
      </c>
      <c r="G874" s="501">
        <v>675</v>
      </c>
      <c r="H874" s="506" t="s">
        <v>2854</v>
      </c>
      <c r="I874" s="507" t="s">
        <v>2338</v>
      </c>
      <c r="J874" s="510"/>
      <c r="K874" s="508">
        <f>28710/1.1</f>
        <v>26099.999999999996</v>
      </c>
      <c r="L874" s="508">
        <f>28710/1.1</f>
        <v>26099.999999999996</v>
      </c>
      <c r="M874" s="489" t="str">
        <f t="shared" si="37"/>
        <v>DDDDDDDĐ</v>
      </c>
    </row>
    <row r="875" spans="1:13" ht="21" customHeight="1">
      <c r="A875" s="501">
        <v>676</v>
      </c>
      <c r="B875" s="506" t="s">
        <v>2855</v>
      </c>
      <c r="C875" s="507" t="s">
        <v>2338</v>
      </c>
      <c r="D875" s="510"/>
      <c r="E875" s="508">
        <f>60610/1.1</f>
        <v>55099.999999999993</v>
      </c>
      <c r="F875" s="508">
        <f>60610/1.1</f>
        <v>55099.999999999993</v>
      </c>
      <c r="G875" s="501">
        <v>676</v>
      </c>
      <c r="H875" s="506" t="s">
        <v>2855</v>
      </c>
      <c r="I875" s="507" t="s">
        <v>2338</v>
      </c>
      <c r="J875" s="510"/>
      <c r="K875" s="508">
        <f>60610/1.1</f>
        <v>55099.999999999993</v>
      </c>
      <c r="L875" s="508">
        <f>60610/1.1</f>
        <v>55099.999999999993</v>
      </c>
      <c r="M875" s="489" t="str">
        <f t="shared" si="37"/>
        <v>DDDDDDDĐ</v>
      </c>
    </row>
    <row r="876" spans="1:13" ht="21" customHeight="1">
      <c r="A876" s="501">
        <v>677</v>
      </c>
      <c r="B876" s="506" t="s">
        <v>2856</v>
      </c>
      <c r="C876" s="507" t="s">
        <v>2338</v>
      </c>
      <c r="D876" s="510"/>
      <c r="E876" s="508">
        <f>235620/1.1</f>
        <v>214199.99999999997</v>
      </c>
      <c r="F876" s="508">
        <f>235620/1.1</f>
        <v>214199.99999999997</v>
      </c>
      <c r="G876" s="501">
        <v>677</v>
      </c>
      <c r="H876" s="506" t="s">
        <v>2856</v>
      </c>
      <c r="I876" s="507" t="s">
        <v>2338</v>
      </c>
      <c r="J876" s="510"/>
      <c r="K876" s="508">
        <f>235620/1.1</f>
        <v>214199.99999999997</v>
      </c>
      <c r="L876" s="508">
        <f>235620/1.1</f>
        <v>214199.99999999997</v>
      </c>
      <c r="M876" s="489" t="str">
        <f t="shared" si="37"/>
        <v>DDDDDDDĐ</v>
      </c>
    </row>
    <row r="877" spans="1:13" ht="21" customHeight="1">
      <c r="A877" s="501">
        <v>678</v>
      </c>
      <c r="B877" s="506" t="s">
        <v>2857</v>
      </c>
      <c r="C877" s="507" t="s">
        <v>2338</v>
      </c>
      <c r="D877" s="510"/>
      <c r="E877" s="508">
        <f>3190/1.1</f>
        <v>2899.9999999999995</v>
      </c>
      <c r="F877" s="508">
        <f>3190/1.1</f>
        <v>2899.9999999999995</v>
      </c>
      <c r="G877" s="501">
        <v>678</v>
      </c>
      <c r="H877" s="506" t="s">
        <v>2857</v>
      </c>
      <c r="I877" s="507" t="s">
        <v>2338</v>
      </c>
      <c r="J877" s="510"/>
      <c r="K877" s="508">
        <f>3190/1.1</f>
        <v>2899.9999999999995</v>
      </c>
      <c r="L877" s="508">
        <f>3190/1.1</f>
        <v>2899.9999999999995</v>
      </c>
      <c r="M877" s="489" t="str">
        <f t="shared" si="37"/>
        <v>DDDDDDDĐ</v>
      </c>
    </row>
    <row r="878" spans="1:13" ht="21" customHeight="1">
      <c r="A878" s="501">
        <v>679</v>
      </c>
      <c r="B878" s="506" t="s">
        <v>2858</v>
      </c>
      <c r="C878" s="507" t="s">
        <v>2338</v>
      </c>
      <c r="D878" s="510"/>
      <c r="E878" s="508">
        <f>5280/1.1</f>
        <v>4800</v>
      </c>
      <c r="F878" s="508">
        <f>5280/1.1</f>
        <v>4800</v>
      </c>
      <c r="G878" s="501">
        <v>679</v>
      </c>
      <c r="H878" s="506" t="s">
        <v>2858</v>
      </c>
      <c r="I878" s="507" t="s">
        <v>2338</v>
      </c>
      <c r="J878" s="510"/>
      <c r="K878" s="508">
        <f>5280/1.1</f>
        <v>4800</v>
      </c>
      <c r="L878" s="508">
        <f>5280/1.1</f>
        <v>4800</v>
      </c>
      <c r="M878" s="489" t="str">
        <f t="shared" si="37"/>
        <v>DDDDDDDĐ</v>
      </c>
    </row>
    <row r="879" spans="1:13" ht="21" customHeight="1">
      <c r="A879" s="501">
        <v>680</v>
      </c>
      <c r="B879" s="506" t="s">
        <v>2859</v>
      </c>
      <c r="C879" s="507" t="s">
        <v>2338</v>
      </c>
      <c r="D879" s="510"/>
      <c r="E879" s="508">
        <f>8470/1.1</f>
        <v>7699.9999999999991</v>
      </c>
      <c r="F879" s="508">
        <f>8470/1.1</f>
        <v>7699.9999999999991</v>
      </c>
      <c r="G879" s="501">
        <v>680</v>
      </c>
      <c r="H879" s="506" t="s">
        <v>2859</v>
      </c>
      <c r="I879" s="507" t="s">
        <v>2338</v>
      </c>
      <c r="J879" s="510"/>
      <c r="K879" s="508">
        <f>8470/1.1</f>
        <v>7699.9999999999991</v>
      </c>
      <c r="L879" s="508">
        <f>8470/1.1</f>
        <v>7699.9999999999991</v>
      </c>
      <c r="M879" s="489" t="str">
        <f t="shared" si="37"/>
        <v>DDDDDDDĐ</v>
      </c>
    </row>
    <row r="880" spans="1:13" ht="21" customHeight="1">
      <c r="A880" s="501">
        <v>681</v>
      </c>
      <c r="B880" s="506" t="s">
        <v>2860</v>
      </c>
      <c r="C880" s="507" t="s">
        <v>2338</v>
      </c>
      <c r="D880" s="510"/>
      <c r="E880" s="508">
        <f>11220/1.1</f>
        <v>10200</v>
      </c>
      <c r="F880" s="508">
        <f>11220/1.1</f>
        <v>10200</v>
      </c>
      <c r="G880" s="501">
        <v>681</v>
      </c>
      <c r="H880" s="506" t="s">
        <v>2860</v>
      </c>
      <c r="I880" s="507" t="s">
        <v>2338</v>
      </c>
      <c r="J880" s="510"/>
      <c r="K880" s="508">
        <f>11220/1.1</f>
        <v>10200</v>
      </c>
      <c r="L880" s="508">
        <f>11220/1.1</f>
        <v>10200</v>
      </c>
      <c r="M880" s="489" t="str">
        <f t="shared" si="37"/>
        <v>DDDDDDDĐ</v>
      </c>
    </row>
    <row r="881" spans="1:13" ht="21" customHeight="1">
      <c r="A881" s="501">
        <v>682</v>
      </c>
      <c r="B881" s="506" t="s">
        <v>2861</v>
      </c>
      <c r="C881" s="507" t="s">
        <v>2338</v>
      </c>
      <c r="D881" s="510"/>
      <c r="E881" s="508">
        <f>16720/1.1</f>
        <v>15199.999999999998</v>
      </c>
      <c r="F881" s="508">
        <f>16720/1.1</f>
        <v>15199.999999999998</v>
      </c>
      <c r="G881" s="501">
        <v>682</v>
      </c>
      <c r="H881" s="506" t="s">
        <v>2861</v>
      </c>
      <c r="I881" s="507" t="s">
        <v>2338</v>
      </c>
      <c r="J881" s="510"/>
      <c r="K881" s="508">
        <f>16720/1.1</f>
        <v>15199.999999999998</v>
      </c>
      <c r="L881" s="508">
        <f>16720/1.1</f>
        <v>15199.999999999998</v>
      </c>
      <c r="M881" s="489" t="str">
        <f t="shared" si="37"/>
        <v>DDDDDDDĐ</v>
      </c>
    </row>
    <row r="882" spans="1:13" ht="21" customHeight="1">
      <c r="A882" s="501">
        <v>683</v>
      </c>
      <c r="B882" s="506" t="s">
        <v>2862</v>
      </c>
      <c r="C882" s="507" t="s">
        <v>2338</v>
      </c>
      <c r="D882" s="510"/>
      <c r="E882" s="508">
        <f>28600/1.1</f>
        <v>25999.999999999996</v>
      </c>
      <c r="F882" s="508">
        <f>28600/1.1</f>
        <v>25999.999999999996</v>
      </c>
      <c r="G882" s="501">
        <v>683</v>
      </c>
      <c r="H882" s="506" t="s">
        <v>2862</v>
      </c>
      <c r="I882" s="507" t="s">
        <v>2338</v>
      </c>
      <c r="J882" s="510"/>
      <c r="K882" s="508">
        <f>28600/1.1</f>
        <v>25999.999999999996</v>
      </c>
      <c r="L882" s="508">
        <f>28600/1.1</f>
        <v>25999.999999999996</v>
      </c>
      <c r="M882" s="489" t="str">
        <f t="shared" si="37"/>
        <v>DDDDDDDĐ</v>
      </c>
    </row>
    <row r="883" spans="1:13" ht="21" customHeight="1">
      <c r="A883" s="501">
        <v>684</v>
      </c>
      <c r="B883" s="506" t="s">
        <v>2863</v>
      </c>
      <c r="C883" s="507" t="s">
        <v>2338</v>
      </c>
      <c r="D883" s="510"/>
      <c r="E883" s="508">
        <f>54340/1.1</f>
        <v>49399.999999999993</v>
      </c>
      <c r="F883" s="508">
        <f>54340/1.1</f>
        <v>49399.999999999993</v>
      </c>
      <c r="G883" s="501">
        <v>684</v>
      </c>
      <c r="H883" s="506" t="s">
        <v>2863</v>
      </c>
      <c r="I883" s="507" t="s">
        <v>2338</v>
      </c>
      <c r="J883" s="510"/>
      <c r="K883" s="508">
        <f>54340/1.1</f>
        <v>49399.999999999993</v>
      </c>
      <c r="L883" s="508">
        <f>54340/1.1</f>
        <v>49399.999999999993</v>
      </c>
      <c r="M883" s="489" t="str">
        <f t="shared" si="37"/>
        <v>DDDDDDDĐ</v>
      </c>
    </row>
    <row r="884" spans="1:13" ht="21" customHeight="1">
      <c r="A884" s="501">
        <v>685</v>
      </c>
      <c r="B884" s="506" t="s">
        <v>2864</v>
      </c>
      <c r="C884" s="507" t="s">
        <v>2338</v>
      </c>
      <c r="D884" s="510"/>
      <c r="E884" s="508">
        <f>71940/1.1</f>
        <v>65399.999999999993</v>
      </c>
      <c r="F884" s="508">
        <f>71940/1.1</f>
        <v>65399.999999999993</v>
      </c>
      <c r="G884" s="501">
        <v>685</v>
      </c>
      <c r="H884" s="506" t="s">
        <v>2864</v>
      </c>
      <c r="I884" s="507" t="s">
        <v>2338</v>
      </c>
      <c r="J884" s="510"/>
      <c r="K884" s="508">
        <f>71940/1.1</f>
        <v>65399.999999999993</v>
      </c>
      <c r="L884" s="508">
        <f>71940/1.1</f>
        <v>65399.999999999993</v>
      </c>
      <c r="M884" s="489" t="str">
        <f t="shared" si="37"/>
        <v>DDDDDDDĐ</v>
      </c>
    </row>
    <row r="885" spans="1:13" ht="21" customHeight="1">
      <c r="A885" s="501">
        <v>686</v>
      </c>
      <c r="B885" s="506" t="s">
        <v>2865</v>
      </c>
      <c r="C885" s="507" t="s">
        <v>2338</v>
      </c>
      <c r="D885" s="510"/>
      <c r="E885" s="508">
        <f>146850/1.1</f>
        <v>133500</v>
      </c>
      <c r="F885" s="508">
        <f>146850/1.1</f>
        <v>133500</v>
      </c>
      <c r="G885" s="501">
        <v>686</v>
      </c>
      <c r="H885" s="506" t="s">
        <v>2865</v>
      </c>
      <c r="I885" s="507" t="s">
        <v>2338</v>
      </c>
      <c r="J885" s="510"/>
      <c r="K885" s="508">
        <f>146850/1.1</f>
        <v>133500</v>
      </c>
      <c r="L885" s="508">
        <f>146850/1.1</f>
        <v>133500</v>
      </c>
      <c r="M885" s="489" t="str">
        <f t="shared" si="37"/>
        <v>DDDDDDDĐ</v>
      </c>
    </row>
    <row r="886" spans="1:13" ht="21" customHeight="1">
      <c r="A886" s="501">
        <v>687</v>
      </c>
      <c r="B886" s="506" t="s">
        <v>2866</v>
      </c>
      <c r="C886" s="507" t="s">
        <v>2338</v>
      </c>
      <c r="D886" s="510"/>
      <c r="E886" s="508">
        <f>531520/1.1</f>
        <v>483199.99999999994</v>
      </c>
      <c r="F886" s="508">
        <f>531520/1.1</f>
        <v>483199.99999999994</v>
      </c>
      <c r="G886" s="501">
        <v>687</v>
      </c>
      <c r="H886" s="506" t="s">
        <v>2866</v>
      </c>
      <c r="I886" s="507" t="s">
        <v>2338</v>
      </c>
      <c r="J886" s="510"/>
      <c r="K886" s="508">
        <f>531520/1.1</f>
        <v>483199.99999999994</v>
      </c>
      <c r="L886" s="508">
        <f>531520/1.1</f>
        <v>483199.99999999994</v>
      </c>
      <c r="M886" s="489" t="str">
        <f t="shared" si="37"/>
        <v>DDDDDDDĐ</v>
      </c>
    </row>
    <row r="887" spans="1:13" ht="21" customHeight="1">
      <c r="A887" s="501">
        <v>688</v>
      </c>
      <c r="B887" s="539" t="s">
        <v>5310</v>
      </c>
      <c r="C887" s="507" t="s">
        <v>2338</v>
      </c>
      <c r="D887" s="510"/>
      <c r="E887" s="508">
        <f>7480/1.1</f>
        <v>6799.9999999999991</v>
      </c>
      <c r="F887" s="508">
        <f>7480/1.1</f>
        <v>6799.9999999999991</v>
      </c>
      <c r="G887" s="501">
        <v>688</v>
      </c>
      <c r="H887" s="539" t="s">
        <v>5310</v>
      </c>
      <c r="I887" s="507" t="s">
        <v>2338</v>
      </c>
      <c r="J887" s="510"/>
      <c r="K887" s="508">
        <f>7480/1.1</f>
        <v>6799.9999999999991</v>
      </c>
      <c r="L887" s="508">
        <f>7480/1.1</f>
        <v>6799.9999999999991</v>
      </c>
      <c r="M887" s="489" t="str">
        <f t="shared" si="37"/>
        <v>DDDDDDDĐ</v>
      </c>
    </row>
    <row r="888" spans="1:13" ht="21" customHeight="1">
      <c r="A888" s="501">
        <v>689</v>
      </c>
      <c r="B888" s="539" t="s">
        <v>5311</v>
      </c>
      <c r="C888" s="507" t="s">
        <v>2338</v>
      </c>
      <c r="D888" s="510"/>
      <c r="E888" s="508">
        <f>11550/1.1</f>
        <v>10500</v>
      </c>
      <c r="F888" s="508">
        <f>11550/1.1</f>
        <v>10500</v>
      </c>
      <c r="G888" s="501">
        <v>689</v>
      </c>
      <c r="H888" s="539" t="s">
        <v>5311</v>
      </c>
      <c r="I888" s="507" t="s">
        <v>2338</v>
      </c>
      <c r="J888" s="510"/>
      <c r="K888" s="508">
        <f>11550/1.1</f>
        <v>10500</v>
      </c>
      <c r="L888" s="508">
        <f>11550/1.1</f>
        <v>10500</v>
      </c>
      <c r="M888" s="489" t="str">
        <f t="shared" si="37"/>
        <v>DDDDDDDĐ</v>
      </c>
    </row>
    <row r="889" spans="1:13" ht="21" customHeight="1">
      <c r="A889" s="501">
        <v>690</v>
      </c>
      <c r="B889" s="545" t="s">
        <v>5312</v>
      </c>
      <c r="C889" s="507" t="s">
        <v>2338</v>
      </c>
      <c r="D889" s="510"/>
      <c r="E889" s="508">
        <f>17820/1.1</f>
        <v>16199.999999999998</v>
      </c>
      <c r="F889" s="508">
        <f>17820/1.1</f>
        <v>16199.999999999998</v>
      </c>
      <c r="G889" s="501">
        <v>690</v>
      </c>
      <c r="H889" s="545" t="s">
        <v>5312</v>
      </c>
      <c r="I889" s="507" t="s">
        <v>2338</v>
      </c>
      <c r="J889" s="510"/>
      <c r="K889" s="508">
        <f>17820/1.1</f>
        <v>16199.999999999998</v>
      </c>
      <c r="L889" s="508">
        <f>17820/1.1</f>
        <v>16199.999999999998</v>
      </c>
      <c r="M889" s="489" t="str">
        <f t="shared" si="37"/>
        <v>DDDDDDDĐ</v>
      </c>
    </row>
    <row r="890" spans="1:13" ht="21" customHeight="1">
      <c r="A890" s="501">
        <v>691</v>
      </c>
      <c r="B890" s="539" t="s">
        <v>5313</v>
      </c>
      <c r="C890" s="507" t="s">
        <v>2338</v>
      </c>
      <c r="D890" s="510"/>
      <c r="E890" s="508">
        <f>34540/1.1</f>
        <v>31399.999999999996</v>
      </c>
      <c r="F890" s="508">
        <f>34540/1.1</f>
        <v>31399.999999999996</v>
      </c>
      <c r="G890" s="501">
        <v>691</v>
      </c>
      <c r="H890" s="539" t="s">
        <v>5313</v>
      </c>
      <c r="I890" s="507" t="s">
        <v>2338</v>
      </c>
      <c r="J890" s="510"/>
      <c r="K890" s="508">
        <f>34540/1.1</f>
        <v>31399.999999999996</v>
      </c>
      <c r="L890" s="508">
        <f>34540/1.1</f>
        <v>31399.999999999996</v>
      </c>
      <c r="M890" s="489" t="str">
        <f t="shared" si="37"/>
        <v>DDDDDDDĐ</v>
      </c>
    </row>
    <row r="891" spans="1:13" ht="21" customHeight="1">
      <c r="A891" s="501">
        <v>692</v>
      </c>
      <c r="B891" s="545" t="s">
        <v>5314</v>
      </c>
      <c r="C891" s="507" t="s">
        <v>2338</v>
      </c>
      <c r="D891" s="510"/>
      <c r="E891" s="508">
        <f>40480/1.1</f>
        <v>36800</v>
      </c>
      <c r="F891" s="508">
        <f>40480/1.1</f>
        <v>36800</v>
      </c>
      <c r="G891" s="501">
        <v>692</v>
      </c>
      <c r="H891" s="545" t="s">
        <v>5314</v>
      </c>
      <c r="I891" s="507" t="s">
        <v>2338</v>
      </c>
      <c r="J891" s="510"/>
      <c r="K891" s="508">
        <f>40480/1.1</f>
        <v>36800</v>
      </c>
      <c r="L891" s="508">
        <f>40480/1.1</f>
        <v>36800</v>
      </c>
      <c r="M891" s="489" t="str">
        <f t="shared" si="37"/>
        <v>DDDDDDDĐ</v>
      </c>
    </row>
    <row r="892" spans="1:13" ht="21" customHeight="1">
      <c r="A892" s="501">
        <v>693</v>
      </c>
      <c r="B892" s="545" t="s">
        <v>5315</v>
      </c>
      <c r="C892" s="507" t="s">
        <v>2338</v>
      </c>
      <c r="D892" s="510"/>
      <c r="E892" s="508">
        <f>84590/1.1</f>
        <v>76900</v>
      </c>
      <c r="F892" s="508">
        <f>84590/1.1</f>
        <v>76900</v>
      </c>
      <c r="G892" s="501">
        <v>693</v>
      </c>
      <c r="H892" s="545" t="s">
        <v>5315</v>
      </c>
      <c r="I892" s="507" t="s">
        <v>2338</v>
      </c>
      <c r="J892" s="510"/>
      <c r="K892" s="508">
        <f>84590/1.1</f>
        <v>76900</v>
      </c>
      <c r="L892" s="508">
        <f>84590/1.1</f>
        <v>76900</v>
      </c>
      <c r="M892" s="489" t="str">
        <f t="shared" si="37"/>
        <v>DDDDDDDĐ</v>
      </c>
    </row>
    <row r="893" spans="1:13" ht="21" customHeight="1">
      <c r="A893" s="501">
        <v>694</v>
      </c>
      <c r="B893" s="545" t="s">
        <v>5316</v>
      </c>
      <c r="C893" s="507" t="s">
        <v>2338</v>
      </c>
      <c r="D893" s="510"/>
      <c r="E893" s="508">
        <f>325050/1.1</f>
        <v>295500</v>
      </c>
      <c r="F893" s="508">
        <f>325050/1.1</f>
        <v>295500</v>
      </c>
      <c r="G893" s="501">
        <v>694</v>
      </c>
      <c r="H893" s="545" t="s">
        <v>5316</v>
      </c>
      <c r="I893" s="507" t="s">
        <v>2338</v>
      </c>
      <c r="J893" s="510"/>
      <c r="K893" s="508">
        <f>325050/1.1</f>
        <v>295500</v>
      </c>
      <c r="L893" s="508">
        <f>325050/1.1</f>
        <v>295500</v>
      </c>
      <c r="M893" s="489" t="str">
        <f t="shared" si="37"/>
        <v>DDDDDDDĐ</v>
      </c>
    </row>
    <row r="894" spans="1:13" ht="21" customHeight="1">
      <c r="A894" s="501"/>
      <c r="B894" s="502" t="s">
        <v>2867</v>
      </c>
      <c r="C894" s="510"/>
      <c r="D894" s="510"/>
      <c r="E894" s="508"/>
      <c r="F894" s="508"/>
      <c r="G894" s="501"/>
      <c r="H894" s="502" t="s">
        <v>2867</v>
      </c>
      <c r="I894" s="510"/>
      <c r="J894" s="510"/>
      <c r="K894" s="508"/>
      <c r="L894" s="508"/>
      <c r="M894" s="489" t="str">
        <f t="shared" si="37"/>
        <v>DDDDDDDĐ</v>
      </c>
    </row>
    <row r="895" spans="1:13" ht="21" customHeight="1">
      <c r="A895" s="501">
        <v>695</v>
      </c>
      <c r="B895" s="506" t="s">
        <v>2868</v>
      </c>
      <c r="C895" s="533" t="s">
        <v>2338</v>
      </c>
      <c r="D895" s="510"/>
      <c r="E895" s="508">
        <f>26620/1.1</f>
        <v>24199.999999999996</v>
      </c>
      <c r="F895" s="508">
        <f>26620/1.1</f>
        <v>24199.999999999996</v>
      </c>
      <c r="G895" s="501">
        <v>695</v>
      </c>
      <c r="H895" s="506" t="s">
        <v>2868</v>
      </c>
      <c r="I895" s="533" t="s">
        <v>2338</v>
      </c>
      <c r="J895" s="510"/>
      <c r="K895" s="508">
        <f>26620/1.1</f>
        <v>24199.999999999996</v>
      </c>
      <c r="L895" s="508">
        <f>26620/1.1</f>
        <v>24199.999999999996</v>
      </c>
      <c r="M895" s="489" t="str">
        <f t="shared" si="37"/>
        <v>DDDDDDDĐ</v>
      </c>
    </row>
    <row r="896" spans="1:13" ht="21" customHeight="1">
      <c r="A896" s="501">
        <v>696</v>
      </c>
      <c r="B896" s="506" t="s">
        <v>2869</v>
      </c>
      <c r="C896" s="533" t="s">
        <v>2338</v>
      </c>
      <c r="D896" s="510"/>
      <c r="E896" s="508">
        <f>29920/1.1</f>
        <v>27199.999999999996</v>
      </c>
      <c r="F896" s="508">
        <f>29920/1.1</f>
        <v>27199.999999999996</v>
      </c>
      <c r="G896" s="501">
        <v>696</v>
      </c>
      <c r="H896" s="506" t="s">
        <v>2869</v>
      </c>
      <c r="I896" s="533" t="s">
        <v>2338</v>
      </c>
      <c r="J896" s="510"/>
      <c r="K896" s="508">
        <f>29920/1.1</f>
        <v>27199.999999999996</v>
      </c>
      <c r="L896" s="508">
        <f>29920/1.1</f>
        <v>27199.999999999996</v>
      </c>
      <c r="M896" s="489" t="str">
        <f t="shared" si="37"/>
        <v>DDDDDDDĐ</v>
      </c>
    </row>
    <row r="897" spans="1:13" ht="21" customHeight="1">
      <c r="A897" s="501">
        <v>697</v>
      </c>
      <c r="B897" s="506" t="s">
        <v>2870</v>
      </c>
      <c r="C897" s="533" t="s">
        <v>2338</v>
      </c>
      <c r="D897" s="510"/>
      <c r="E897" s="508">
        <f>58960/1.1</f>
        <v>53599.999999999993</v>
      </c>
      <c r="F897" s="508">
        <f>58960/1.1</f>
        <v>53599.999999999993</v>
      </c>
      <c r="G897" s="501">
        <v>697</v>
      </c>
      <c r="H897" s="506" t="s">
        <v>2870</v>
      </c>
      <c r="I897" s="533" t="s">
        <v>2338</v>
      </c>
      <c r="J897" s="510"/>
      <c r="K897" s="508">
        <f>58960/1.1</f>
        <v>53599.999999999993</v>
      </c>
      <c r="L897" s="508">
        <f>58960/1.1</f>
        <v>53599.999999999993</v>
      </c>
      <c r="M897" s="489" t="str">
        <f t="shared" si="37"/>
        <v>DDDDDDDĐ</v>
      </c>
    </row>
    <row r="898" spans="1:13" ht="21" customHeight="1">
      <c r="A898" s="501">
        <v>698</v>
      </c>
      <c r="B898" s="506" t="s">
        <v>2871</v>
      </c>
      <c r="C898" s="533" t="s">
        <v>2338</v>
      </c>
      <c r="D898" s="510"/>
      <c r="E898" s="508">
        <f>98670/1.1</f>
        <v>89700</v>
      </c>
      <c r="F898" s="508">
        <f>98670/1.1</f>
        <v>89700</v>
      </c>
      <c r="G898" s="501">
        <v>698</v>
      </c>
      <c r="H898" s="506" t="s">
        <v>2871</v>
      </c>
      <c r="I898" s="533" t="s">
        <v>2338</v>
      </c>
      <c r="J898" s="510"/>
      <c r="K898" s="508">
        <f>98670/1.1</f>
        <v>89700</v>
      </c>
      <c r="L898" s="508">
        <f>98670/1.1</f>
        <v>89700</v>
      </c>
      <c r="M898" s="489" t="str">
        <f t="shared" si="37"/>
        <v>DDDDDDDĐ</v>
      </c>
    </row>
    <row r="899" spans="1:13" ht="21" customHeight="1">
      <c r="A899" s="501">
        <v>699</v>
      </c>
      <c r="B899" s="506" t="s">
        <v>2872</v>
      </c>
      <c r="C899" s="533" t="s">
        <v>2338</v>
      </c>
      <c r="D899" s="510"/>
      <c r="E899" s="508">
        <f>149820/1.1</f>
        <v>136200</v>
      </c>
      <c r="F899" s="508">
        <f>149820/1.1</f>
        <v>136200</v>
      </c>
      <c r="G899" s="501">
        <v>699</v>
      </c>
      <c r="H899" s="506" t="s">
        <v>2872</v>
      </c>
      <c r="I899" s="533" t="s">
        <v>2338</v>
      </c>
      <c r="J899" s="510"/>
      <c r="K899" s="508">
        <f>149820/1.1</f>
        <v>136200</v>
      </c>
      <c r="L899" s="508">
        <f>149820/1.1</f>
        <v>136200</v>
      </c>
      <c r="M899" s="489" t="str">
        <f t="shared" si="37"/>
        <v>DDDDDDDĐ</v>
      </c>
    </row>
    <row r="900" spans="1:13" ht="21" customHeight="1">
      <c r="A900" s="501">
        <v>700</v>
      </c>
      <c r="B900" s="506" t="s">
        <v>2873</v>
      </c>
      <c r="C900" s="533" t="s">
        <v>2338</v>
      </c>
      <c r="D900" s="510"/>
      <c r="E900" s="508">
        <f>323290/1.1</f>
        <v>293900</v>
      </c>
      <c r="F900" s="508">
        <f>323290/1.1</f>
        <v>293900</v>
      </c>
      <c r="G900" s="501">
        <v>700</v>
      </c>
      <c r="H900" s="506" t="s">
        <v>2873</v>
      </c>
      <c r="I900" s="533" t="s">
        <v>2338</v>
      </c>
      <c r="J900" s="510"/>
      <c r="K900" s="508">
        <f>323290/1.1</f>
        <v>293900</v>
      </c>
      <c r="L900" s="508">
        <f>323290/1.1</f>
        <v>293900</v>
      </c>
      <c r="M900" s="489" t="str">
        <f t="shared" si="37"/>
        <v>DDDDDDDĐ</v>
      </c>
    </row>
    <row r="901" spans="1:13" ht="21" customHeight="1">
      <c r="A901" s="501">
        <v>701</v>
      </c>
      <c r="B901" s="506" t="s">
        <v>2874</v>
      </c>
      <c r="C901" s="533" t="s">
        <v>2338</v>
      </c>
      <c r="D901" s="510"/>
      <c r="E901" s="508">
        <f>21450/1.1</f>
        <v>19500</v>
      </c>
      <c r="F901" s="508">
        <f>21450/1.1</f>
        <v>19500</v>
      </c>
      <c r="G901" s="501">
        <v>701</v>
      </c>
      <c r="H901" s="506" t="s">
        <v>2874</v>
      </c>
      <c r="I901" s="533" t="s">
        <v>2338</v>
      </c>
      <c r="J901" s="510"/>
      <c r="K901" s="508">
        <f>21450/1.1</f>
        <v>19500</v>
      </c>
      <c r="L901" s="508">
        <f>21450/1.1</f>
        <v>19500</v>
      </c>
      <c r="M901" s="489" t="str">
        <f t="shared" si="37"/>
        <v>DDDDDDDĐ</v>
      </c>
    </row>
    <row r="902" spans="1:13" ht="21" customHeight="1">
      <c r="A902" s="501">
        <v>702</v>
      </c>
      <c r="B902" s="506" t="s">
        <v>2875</v>
      </c>
      <c r="C902" s="533" t="s">
        <v>2338</v>
      </c>
      <c r="D902" s="510"/>
      <c r="E902" s="508">
        <f>38830/1.1</f>
        <v>35300</v>
      </c>
      <c r="F902" s="508">
        <f>38830/1.1</f>
        <v>35300</v>
      </c>
      <c r="G902" s="501">
        <v>702</v>
      </c>
      <c r="H902" s="506" t="s">
        <v>2875</v>
      </c>
      <c r="I902" s="533" t="s">
        <v>2338</v>
      </c>
      <c r="J902" s="510"/>
      <c r="K902" s="508">
        <f>38830/1.1</f>
        <v>35300</v>
      </c>
      <c r="L902" s="508">
        <f>38830/1.1</f>
        <v>35300</v>
      </c>
      <c r="M902" s="489" t="str">
        <f t="shared" si="37"/>
        <v>DDDDDDDĐ</v>
      </c>
    </row>
    <row r="903" spans="1:13" ht="21" customHeight="1">
      <c r="A903" s="501">
        <v>703</v>
      </c>
      <c r="B903" s="506" t="s">
        <v>2876</v>
      </c>
      <c r="C903" s="533" t="s">
        <v>2338</v>
      </c>
      <c r="D903" s="510"/>
      <c r="E903" s="508">
        <f>42570/1.1</f>
        <v>38700</v>
      </c>
      <c r="F903" s="508">
        <f>42570/1.1</f>
        <v>38700</v>
      </c>
      <c r="G903" s="501">
        <v>703</v>
      </c>
      <c r="H903" s="506" t="s">
        <v>2876</v>
      </c>
      <c r="I903" s="533" t="s">
        <v>2338</v>
      </c>
      <c r="J903" s="510"/>
      <c r="K903" s="508">
        <f>42570/1.1</f>
        <v>38700</v>
      </c>
      <c r="L903" s="508">
        <f>42570/1.1</f>
        <v>38700</v>
      </c>
      <c r="M903" s="489" t="str">
        <f t="shared" si="37"/>
        <v>DDDDDDDĐ</v>
      </c>
    </row>
    <row r="904" spans="1:13" ht="21" customHeight="1">
      <c r="A904" s="501">
        <v>704</v>
      </c>
      <c r="B904" s="506" t="s">
        <v>2877</v>
      </c>
      <c r="C904" s="533" t="s">
        <v>2338</v>
      </c>
      <c r="D904" s="510"/>
      <c r="E904" s="508">
        <f>71940/1.1</f>
        <v>65399.999999999993</v>
      </c>
      <c r="F904" s="508">
        <f>71940/1.1</f>
        <v>65399.999999999993</v>
      </c>
      <c r="G904" s="501">
        <v>704</v>
      </c>
      <c r="H904" s="506" t="s">
        <v>2877</v>
      </c>
      <c r="I904" s="533" t="s">
        <v>2338</v>
      </c>
      <c r="J904" s="510"/>
      <c r="K904" s="508">
        <f>71940/1.1</f>
        <v>65399.999999999993</v>
      </c>
      <c r="L904" s="508">
        <f>71940/1.1</f>
        <v>65399.999999999993</v>
      </c>
      <c r="M904" s="489" t="str">
        <f t="shared" si="37"/>
        <v>DDDDDDDĐ</v>
      </c>
    </row>
    <row r="905" spans="1:13" ht="21" customHeight="1">
      <c r="A905" s="501">
        <v>705</v>
      </c>
      <c r="B905" s="506" t="s">
        <v>2878</v>
      </c>
      <c r="C905" s="533" t="s">
        <v>2338</v>
      </c>
      <c r="D905" s="510"/>
      <c r="E905" s="508">
        <f>119020/1.1</f>
        <v>108199.99999999999</v>
      </c>
      <c r="F905" s="508">
        <f>119020/1.1</f>
        <v>108199.99999999999</v>
      </c>
      <c r="G905" s="501">
        <v>705</v>
      </c>
      <c r="H905" s="506" t="s">
        <v>2878</v>
      </c>
      <c r="I905" s="533" t="s">
        <v>2338</v>
      </c>
      <c r="J905" s="510"/>
      <c r="K905" s="508">
        <f>119020/1.1</f>
        <v>108199.99999999999</v>
      </c>
      <c r="L905" s="508">
        <f>119020/1.1</f>
        <v>108199.99999999999</v>
      </c>
      <c r="M905" s="489" t="str">
        <f t="shared" si="37"/>
        <v>DDDDDDDĐ</v>
      </c>
    </row>
    <row r="906" spans="1:13" ht="21" customHeight="1">
      <c r="A906" s="501">
        <v>706</v>
      </c>
      <c r="B906" s="506" t="s">
        <v>2879</v>
      </c>
      <c r="C906" s="533" t="s">
        <v>2338</v>
      </c>
      <c r="D906" s="510"/>
      <c r="E906" s="508">
        <f>259820/1.1</f>
        <v>236199.99999999997</v>
      </c>
      <c r="F906" s="508">
        <f>259820/1.1</f>
        <v>236199.99999999997</v>
      </c>
      <c r="G906" s="501">
        <v>706</v>
      </c>
      <c r="H906" s="506" t="s">
        <v>2879</v>
      </c>
      <c r="I906" s="533" t="s">
        <v>2338</v>
      </c>
      <c r="J906" s="510"/>
      <c r="K906" s="508">
        <f>259820/1.1</f>
        <v>236199.99999999997</v>
      </c>
      <c r="L906" s="508">
        <f>259820/1.1</f>
        <v>236199.99999999997</v>
      </c>
      <c r="M906" s="489" t="str">
        <f t="shared" si="37"/>
        <v>DDDDDDDĐ</v>
      </c>
    </row>
    <row r="907" spans="1:13" ht="21" customHeight="1">
      <c r="A907" s="501">
        <v>707</v>
      </c>
      <c r="B907" s="506" t="s">
        <v>2880</v>
      </c>
      <c r="C907" s="533" t="s">
        <v>2338</v>
      </c>
      <c r="D907" s="510"/>
      <c r="E907" s="508">
        <f>500500/1.1</f>
        <v>454999.99999999994</v>
      </c>
      <c r="F907" s="508">
        <f>500500/1.1</f>
        <v>454999.99999999994</v>
      </c>
      <c r="G907" s="501">
        <v>707</v>
      </c>
      <c r="H907" s="506" t="s">
        <v>2880</v>
      </c>
      <c r="I907" s="533" t="s">
        <v>2338</v>
      </c>
      <c r="J907" s="510"/>
      <c r="K907" s="508">
        <f>500500/1.1</f>
        <v>454999.99999999994</v>
      </c>
      <c r="L907" s="508">
        <f>500500/1.1</f>
        <v>454999.99999999994</v>
      </c>
      <c r="M907" s="489" t="str">
        <f t="shared" si="37"/>
        <v>DDDDDDDĐ</v>
      </c>
    </row>
    <row r="908" spans="1:13" ht="21" customHeight="1">
      <c r="A908" s="501">
        <v>708</v>
      </c>
      <c r="B908" s="506" t="s">
        <v>2881</v>
      </c>
      <c r="C908" s="533" t="s">
        <v>2338</v>
      </c>
      <c r="D908" s="510"/>
      <c r="E908" s="508">
        <f>1148400/1.1</f>
        <v>1043999.9999999999</v>
      </c>
      <c r="F908" s="508">
        <f>1148400/1.1</f>
        <v>1043999.9999999999</v>
      </c>
      <c r="G908" s="501">
        <v>708</v>
      </c>
      <c r="H908" s="506" t="s">
        <v>2881</v>
      </c>
      <c r="I908" s="533" t="s">
        <v>2338</v>
      </c>
      <c r="J908" s="510"/>
      <c r="K908" s="508">
        <f>1148400/1.1</f>
        <v>1043999.9999999999</v>
      </c>
      <c r="L908" s="508">
        <f>1148400/1.1</f>
        <v>1043999.9999999999</v>
      </c>
      <c r="M908" s="489" t="str">
        <f t="shared" si="37"/>
        <v>DDDDDDDĐ</v>
      </c>
    </row>
    <row r="909" spans="1:13" ht="21" customHeight="1">
      <c r="A909" s="501">
        <v>709</v>
      </c>
      <c r="B909" s="539" t="s">
        <v>5317</v>
      </c>
      <c r="C909" s="533" t="s">
        <v>2338</v>
      </c>
      <c r="D909" s="510"/>
      <c r="E909" s="508">
        <f>12980/1.1</f>
        <v>11799.999999999998</v>
      </c>
      <c r="F909" s="508">
        <f>12980/1.1</f>
        <v>11799.999999999998</v>
      </c>
      <c r="G909" s="501">
        <v>709</v>
      </c>
      <c r="H909" s="539" t="s">
        <v>5317</v>
      </c>
      <c r="I909" s="533" t="s">
        <v>2338</v>
      </c>
      <c r="J909" s="510"/>
      <c r="K909" s="508">
        <f>12980/1.1</f>
        <v>11799.999999999998</v>
      </c>
      <c r="L909" s="508">
        <f>12980/1.1</f>
        <v>11799.999999999998</v>
      </c>
      <c r="M909" s="489" t="str">
        <f t="shared" si="37"/>
        <v>DDDDDDDĐ</v>
      </c>
    </row>
    <row r="910" spans="1:13" ht="21" customHeight="1">
      <c r="A910" s="501">
        <v>710</v>
      </c>
      <c r="B910" s="539" t="s">
        <v>5318</v>
      </c>
      <c r="C910" s="533" t="s">
        <v>2338</v>
      </c>
      <c r="D910" s="510"/>
      <c r="E910" s="508">
        <f>27940/1.1</f>
        <v>25399.999999999996</v>
      </c>
      <c r="F910" s="508">
        <f>27940/1.1</f>
        <v>25399.999999999996</v>
      </c>
      <c r="G910" s="501">
        <v>710</v>
      </c>
      <c r="H910" s="539" t="s">
        <v>5318</v>
      </c>
      <c r="I910" s="533" t="s">
        <v>2338</v>
      </c>
      <c r="J910" s="510"/>
      <c r="K910" s="508">
        <f>27940/1.1</f>
        <v>25399.999999999996</v>
      </c>
      <c r="L910" s="508">
        <f>27940/1.1</f>
        <v>25399.999999999996</v>
      </c>
      <c r="M910" s="489" t="str">
        <f t="shared" si="37"/>
        <v>DDDDDDDĐ</v>
      </c>
    </row>
    <row r="911" spans="1:13" ht="21" customHeight="1">
      <c r="A911" s="501">
        <v>711</v>
      </c>
      <c r="B911" s="539" t="s">
        <v>5319</v>
      </c>
      <c r="C911" s="533" t="s">
        <v>2338</v>
      </c>
      <c r="D911" s="510"/>
      <c r="E911" s="508">
        <f>34540/1.1</f>
        <v>31399.999999999996</v>
      </c>
      <c r="F911" s="508">
        <f>34540/1.1</f>
        <v>31399.999999999996</v>
      </c>
      <c r="G911" s="501">
        <v>711</v>
      </c>
      <c r="H911" s="539" t="s">
        <v>5319</v>
      </c>
      <c r="I911" s="533" t="s">
        <v>2338</v>
      </c>
      <c r="J911" s="510"/>
      <c r="K911" s="508">
        <f>34540/1.1</f>
        <v>31399.999999999996</v>
      </c>
      <c r="L911" s="508">
        <f>34540/1.1</f>
        <v>31399.999999999996</v>
      </c>
      <c r="M911" s="489" t="str">
        <f t="shared" si="37"/>
        <v>DDDDDDDĐ</v>
      </c>
    </row>
    <row r="912" spans="1:13" ht="21" customHeight="1">
      <c r="A912" s="501">
        <v>712</v>
      </c>
      <c r="B912" s="545" t="s">
        <v>5320</v>
      </c>
      <c r="C912" s="533" t="s">
        <v>2338</v>
      </c>
      <c r="D912" s="510"/>
      <c r="E912" s="508">
        <f>38830/1.1</f>
        <v>35300</v>
      </c>
      <c r="F912" s="508">
        <f>38830/1.1</f>
        <v>35300</v>
      </c>
      <c r="G912" s="501">
        <v>712</v>
      </c>
      <c r="H912" s="545" t="s">
        <v>5320</v>
      </c>
      <c r="I912" s="533" t="s">
        <v>2338</v>
      </c>
      <c r="J912" s="510"/>
      <c r="K912" s="508">
        <f>38830/1.1</f>
        <v>35300</v>
      </c>
      <c r="L912" s="508">
        <f>38830/1.1</f>
        <v>35300</v>
      </c>
      <c r="M912" s="489" t="str">
        <f t="shared" si="37"/>
        <v>DDDDDDDĐ</v>
      </c>
    </row>
    <row r="913" spans="1:13" ht="21" customHeight="1">
      <c r="A913" s="501">
        <v>713</v>
      </c>
      <c r="B913" s="545" t="s">
        <v>5321</v>
      </c>
      <c r="C913" s="533" t="s">
        <v>2338</v>
      </c>
      <c r="D913" s="510"/>
      <c r="E913" s="508">
        <f>66000/1.1</f>
        <v>59999.999999999993</v>
      </c>
      <c r="F913" s="508">
        <f>66000/1.1</f>
        <v>59999.999999999993</v>
      </c>
      <c r="G913" s="501">
        <v>713</v>
      </c>
      <c r="H913" s="545" t="s">
        <v>5321</v>
      </c>
      <c r="I913" s="533" t="s">
        <v>2338</v>
      </c>
      <c r="J913" s="510"/>
      <c r="K913" s="508">
        <f>66000/1.1</f>
        <v>59999.999999999993</v>
      </c>
      <c r="L913" s="508">
        <f>66000/1.1</f>
        <v>59999.999999999993</v>
      </c>
      <c r="M913" s="489" t="str">
        <f t="shared" si="37"/>
        <v>DDDDDDDĐ</v>
      </c>
    </row>
    <row r="914" spans="1:13" ht="21" customHeight="1">
      <c r="A914" s="501">
        <v>714</v>
      </c>
      <c r="B914" s="545" t="s">
        <v>5322</v>
      </c>
      <c r="C914" s="533" t="s">
        <v>2338</v>
      </c>
      <c r="D914" s="510"/>
      <c r="E914" s="508">
        <f>134420/1.1</f>
        <v>122199.99999999999</v>
      </c>
      <c r="F914" s="508">
        <f>134420/1.1</f>
        <v>122199.99999999999</v>
      </c>
      <c r="G914" s="501">
        <v>714</v>
      </c>
      <c r="H914" s="545" t="s">
        <v>5322</v>
      </c>
      <c r="I914" s="533" t="s">
        <v>2338</v>
      </c>
      <c r="J914" s="510"/>
      <c r="K914" s="508">
        <f>134420/1.1</f>
        <v>122199.99999999999</v>
      </c>
      <c r="L914" s="508">
        <f>134420/1.1</f>
        <v>122199.99999999999</v>
      </c>
      <c r="M914" s="489" t="str">
        <f t="shared" si="37"/>
        <v>DDDDDDDĐ</v>
      </c>
    </row>
    <row r="915" spans="1:13" ht="21" customHeight="1">
      <c r="A915" s="501">
        <v>715</v>
      </c>
      <c r="B915" s="545" t="s">
        <v>5323</v>
      </c>
      <c r="C915" s="533" t="s">
        <v>2338</v>
      </c>
      <c r="D915" s="510"/>
      <c r="E915" s="508">
        <f>170940/1.1</f>
        <v>155400</v>
      </c>
      <c r="F915" s="508">
        <f>170940/1.1</f>
        <v>155400</v>
      </c>
      <c r="G915" s="501">
        <v>715</v>
      </c>
      <c r="H915" s="545" t="s">
        <v>5323</v>
      </c>
      <c r="I915" s="533" t="s">
        <v>2338</v>
      </c>
      <c r="J915" s="510"/>
      <c r="K915" s="508">
        <f>170940/1.1</f>
        <v>155400</v>
      </c>
      <c r="L915" s="508">
        <f>170940/1.1</f>
        <v>155400</v>
      </c>
      <c r="M915" s="489" t="str">
        <f t="shared" si="37"/>
        <v>DDDDDDDĐ</v>
      </c>
    </row>
    <row r="916" spans="1:13" ht="21" customHeight="1">
      <c r="A916" s="501">
        <v>716</v>
      </c>
      <c r="B916" s="545" t="s">
        <v>5324</v>
      </c>
      <c r="C916" s="533" t="s">
        <v>2338</v>
      </c>
      <c r="D916" s="510"/>
      <c r="E916" s="508">
        <f>451550/1.1</f>
        <v>410499.99999999994</v>
      </c>
      <c r="F916" s="508">
        <f>451550/1.1</f>
        <v>410499.99999999994</v>
      </c>
      <c r="G916" s="501">
        <v>716</v>
      </c>
      <c r="H916" s="545" t="s">
        <v>5324</v>
      </c>
      <c r="I916" s="533" t="s">
        <v>2338</v>
      </c>
      <c r="J916" s="510"/>
      <c r="K916" s="508">
        <f>451550/1.1</f>
        <v>410499.99999999994</v>
      </c>
      <c r="L916" s="508">
        <f>451550/1.1</f>
        <v>410499.99999999994</v>
      </c>
      <c r="M916" s="489" t="str">
        <f t="shared" si="37"/>
        <v>DDDDDDDĐ</v>
      </c>
    </row>
    <row r="917" spans="1:13" ht="21" customHeight="1">
      <c r="A917" s="501">
        <v>717</v>
      </c>
      <c r="B917" s="506" t="s">
        <v>2882</v>
      </c>
      <c r="C917" s="533" t="s">
        <v>2883</v>
      </c>
      <c r="D917" s="508"/>
      <c r="E917" s="508">
        <f>115830/1.1</f>
        <v>105299.99999999999</v>
      </c>
      <c r="F917" s="508">
        <f>115830/1.1</f>
        <v>105299.99999999999</v>
      </c>
      <c r="G917" s="501">
        <v>717</v>
      </c>
      <c r="H917" s="506" t="s">
        <v>2882</v>
      </c>
      <c r="I917" s="533" t="s">
        <v>2883</v>
      </c>
      <c r="J917" s="508"/>
      <c r="K917" s="508">
        <f>115830/1.1</f>
        <v>105299.99999999999</v>
      </c>
      <c r="L917" s="508">
        <f>115830/1.1</f>
        <v>105299.99999999999</v>
      </c>
      <c r="M917" s="489" t="str">
        <f t="shared" si="37"/>
        <v>DDDDDDDĐ</v>
      </c>
    </row>
    <row r="918" spans="1:13" ht="21" customHeight="1">
      <c r="A918" s="501"/>
      <c r="B918" s="502" t="s">
        <v>3743</v>
      </c>
      <c r="C918" s="510"/>
      <c r="D918" s="508"/>
      <c r="E918" s="508"/>
      <c r="F918" s="508"/>
      <c r="G918" s="501"/>
      <c r="H918" s="502" t="s">
        <v>3743</v>
      </c>
      <c r="I918" s="510"/>
      <c r="J918" s="508"/>
      <c r="K918" s="508"/>
      <c r="L918" s="508"/>
      <c r="M918" s="489" t="str">
        <f t="shared" si="37"/>
        <v>DDDDDDDĐ</v>
      </c>
    </row>
    <row r="919" spans="1:13" ht="21" customHeight="1">
      <c r="A919" s="501"/>
      <c r="B919" s="502" t="s">
        <v>2884</v>
      </c>
      <c r="C919" s="544"/>
      <c r="D919" s="544"/>
      <c r="E919" s="544"/>
      <c r="F919" s="544"/>
      <c r="G919" s="501"/>
      <c r="H919" s="502" t="s">
        <v>2884</v>
      </c>
      <c r="I919" s="544"/>
      <c r="J919" s="544"/>
      <c r="K919" s="544"/>
      <c r="L919" s="544"/>
      <c r="M919" s="489" t="str">
        <f t="shared" si="37"/>
        <v>DDDDDDDĐ</v>
      </c>
    </row>
    <row r="920" spans="1:13" ht="21" customHeight="1">
      <c r="A920" s="501">
        <v>718</v>
      </c>
      <c r="B920" s="506" t="s">
        <v>2885</v>
      </c>
      <c r="C920" s="533" t="s">
        <v>2344</v>
      </c>
      <c r="D920" s="510"/>
      <c r="E920" s="1432">
        <v>6200</v>
      </c>
      <c r="F920" s="508">
        <v>6200</v>
      </c>
      <c r="G920" s="501">
        <v>718</v>
      </c>
      <c r="H920" s="506" t="s">
        <v>2885</v>
      </c>
      <c r="I920" s="533" t="s">
        <v>2344</v>
      </c>
      <c r="J920" s="510"/>
      <c r="K920" s="508">
        <v>6200</v>
      </c>
      <c r="L920" s="508">
        <v>6200</v>
      </c>
      <c r="M920" s="489" t="str">
        <f t="shared" si="37"/>
        <v>DDDDDDDĐ</v>
      </c>
    </row>
    <row r="921" spans="1:13" ht="21" customHeight="1">
      <c r="A921" s="501">
        <v>719</v>
      </c>
      <c r="B921" s="506" t="s">
        <v>2886</v>
      </c>
      <c r="C921" s="533" t="s">
        <v>2344</v>
      </c>
      <c r="D921" s="510"/>
      <c r="E921" s="508">
        <v>8800</v>
      </c>
      <c r="F921" s="508">
        <v>8800</v>
      </c>
      <c r="G921" s="501">
        <v>719</v>
      </c>
      <c r="H921" s="506" t="s">
        <v>2886</v>
      </c>
      <c r="I921" s="533" t="s">
        <v>2344</v>
      </c>
      <c r="J921" s="510"/>
      <c r="K921" s="508">
        <v>8800</v>
      </c>
      <c r="L921" s="508">
        <v>8800</v>
      </c>
      <c r="M921" s="489" t="str">
        <f t="shared" si="37"/>
        <v>DDDDDDDĐ</v>
      </c>
    </row>
    <row r="922" spans="1:13" ht="21" customHeight="1">
      <c r="A922" s="501">
        <v>720</v>
      </c>
      <c r="B922" s="506" t="s">
        <v>2887</v>
      </c>
      <c r="C922" s="533" t="s">
        <v>2344</v>
      </c>
      <c r="D922" s="510"/>
      <c r="E922" s="1432">
        <v>12300</v>
      </c>
      <c r="F922" s="508">
        <v>12300</v>
      </c>
      <c r="G922" s="501">
        <v>720</v>
      </c>
      <c r="H922" s="506" t="s">
        <v>2887</v>
      </c>
      <c r="I922" s="533" t="s">
        <v>2344</v>
      </c>
      <c r="J922" s="510"/>
      <c r="K922" s="508">
        <v>12300</v>
      </c>
      <c r="L922" s="508">
        <v>12300</v>
      </c>
      <c r="M922" s="489" t="str">
        <f t="shared" si="37"/>
        <v>DDDDDDDĐ</v>
      </c>
    </row>
    <row r="923" spans="1:13" ht="21" customHeight="1">
      <c r="A923" s="501">
        <v>721</v>
      </c>
      <c r="B923" s="506" t="s">
        <v>2888</v>
      </c>
      <c r="C923" s="533" t="s">
        <v>2344</v>
      </c>
      <c r="D923" s="510"/>
      <c r="E923" s="508">
        <v>16400</v>
      </c>
      <c r="F923" s="508">
        <v>16400</v>
      </c>
      <c r="G923" s="501">
        <v>721</v>
      </c>
      <c r="H923" s="506" t="s">
        <v>2888</v>
      </c>
      <c r="I923" s="533" t="s">
        <v>2344</v>
      </c>
      <c r="J923" s="510"/>
      <c r="K923" s="508">
        <v>16400</v>
      </c>
      <c r="L923" s="508">
        <v>16400</v>
      </c>
      <c r="M923" s="489" t="str">
        <f t="shared" si="37"/>
        <v>DDDDDDDĐ</v>
      </c>
    </row>
    <row r="924" spans="1:13" ht="21" customHeight="1">
      <c r="A924" s="501">
        <v>722</v>
      </c>
      <c r="B924" s="506" t="s">
        <v>2889</v>
      </c>
      <c r="C924" s="533" t="s">
        <v>2344</v>
      </c>
      <c r="D924" s="510"/>
      <c r="E924" s="508">
        <v>21400</v>
      </c>
      <c r="F924" s="508">
        <v>21400</v>
      </c>
      <c r="G924" s="501">
        <v>722</v>
      </c>
      <c r="H924" s="506" t="s">
        <v>2889</v>
      </c>
      <c r="I924" s="533" t="s">
        <v>2344</v>
      </c>
      <c r="J924" s="510"/>
      <c r="K924" s="508">
        <v>21400</v>
      </c>
      <c r="L924" s="508">
        <v>21400</v>
      </c>
      <c r="M924" s="489" t="str">
        <f t="shared" si="37"/>
        <v>DDDDDDDĐ</v>
      </c>
    </row>
    <row r="925" spans="1:13" ht="21" customHeight="1">
      <c r="A925" s="501">
        <v>723</v>
      </c>
      <c r="B925" s="506" t="s">
        <v>2890</v>
      </c>
      <c r="C925" s="533" t="s">
        <v>2344</v>
      </c>
      <c r="D925" s="510"/>
      <c r="E925" s="1432">
        <v>22600</v>
      </c>
      <c r="F925" s="508">
        <v>22600</v>
      </c>
      <c r="G925" s="501">
        <v>723</v>
      </c>
      <c r="H925" s="506" t="s">
        <v>2890</v>
      </c>
      <c r="I925" s="533" t="s">
        <v>2344</v>
      </c>
      <c r="J925" s="510"/>
      <c r="K925" s="508">
        <v>22600</v>
      </c>
      <c r="L925" s="508">
        <v>22600</v>
      </c>
      <c r="M925" s="489" t="str">
        <f t="shared" si="37"/>
        <v>DDDDDDDĐ</v>
      </c>
    </row>
    <row r="926" spans="1:13" ht="21" customHeight="1">
      <c r="A926" s="501">
        <v>724</v>
      </c>
      <c r="B926" s="506" t="s">
        <v>2891</v>
      </c>
      <c r="C926" s="533" t="s">
        <v>2344</v>
      </c>
      <c r="D926" s="510"/>
      <c r="E926" s="508">
        <v>48800</v>
      </c>
      <c r="F926" s="508">
        <v>48800</v>
      </c>
      <c r="G926" s="501">
        <v>724</v>
      </c>
      <c r="H926" s="506" t="s">
        <v>2891</v>
      </c>
      <c r="I926" s="533" t="s">
        <v>2344</v>
      </c>
      <c r="J926" s="510"/>
      <c r="K926" s="508">
        <v>48800</v>
      </c>
      <c r="L926" s="508">
        <v>48800</v>
      </c>
      <c r="M926" s="489" t="str">
        <f t="shared" si="37"/>
        <v>DDDDDDDĐ</v>
      </c>
    </row>
    <row r="927" spans="1:13" ht="21" customHeight="1">
      <c r="A927" s="501">
        <v>725</v>
      </c>
      <c r="B927" s="506" t="s">
        <v>2892</v>
      </c>
      <c r="C927" s="533" t="s">
        <v>2344</v>
      </c>
      <c r="D927" s="510"/>
      <c r="E927" s="1432">
        <v>81000</v>
      </c>
      <c r="F927" s="508">
        <v>81000</v>
      </c>
      <c r="G927" s="501">
        <v>725</v>
      </c>
      <c r="H927" s="506" t="s">
        <v>2892</v>
      </c>
      <c r="I927" s="533" t="s">
        <v>2344</v>
      </c>
      <c r="J927" s="510"/>
      <c r="K927" s="508">
        <v>81000</v>
      </c>
      <c r="L927" s="508">
        <v>81000</v>
      </c>
      <c r="M927" s="489" t="str">
        <f t="shared" si="37"/>
        <v>DDDDDDDĐ</v>
      </c>
    </row>
    <row r="928" spans="1:13" ht="21" customHeight="1">
      <c r="A928" s="501">
        <v>726</v>
      </c>
      <c r="B928" s="506" t="s">
        <v>2893</v>
      </c>
      <c r="C928" s="533" t="s">
        <v>2344</v>
      </c>
      <c r="D928" s="510"/>
      <c r="E928" s="508">
        <v>103700</v>
      </c>
      <c r="F928" s="508">
        <v>103700</v>
      </c>
      <c r="G928" s="501">
        <v>726</v>
      </c>
      <c r="H928" s="506" t="s">
        <v>2893</v>
      </c>
      <c r="I928" s="533" t="s">
        <v>2344</v>
      </c>
      <c r="J928" s="510"/>
      <c r="K928" s="508">
        <v>103700</v>
      </c>
      <c r="L928" s="508">
        <v>103700</v>
      </c>
      <c r="M928" s="489" t="str">
        <f t="shared" si="37"/>
        <v>DDDDDDDĐ</v>
      </c>
    </row>
    <row r="929" spans="1:13" ht="21" customHeight="1">
      <c r="A929" s="501">
        <v>727</v>
      </c>
      <c r="B929" s="506" t="s">
        <v>2894</v>
      </c>
      <c r="C929" s="533" t="s">
        <v>2344</v>
      </c>
      <c r="D929" s="510"/>
      <c r="E929" s="508">
        <v>135800</v>
      </c>
      <c r="F929" s="508">
        <v>135800</v>
      </c>
      <c r="G929" s="501">
        <v>727</v>
      </c>
      <c r="H929" s="506" t="s">
        <v>2894</v>
      </c>
      <c r="I929" s="533" t="s">
        <v>2344</v>
      </c>
      <c r="J929" s="510"/>
      <c r="K929" s="508">
        <v>135800</v>
      </c>
      <c r="L929" s="508">
        <v>135800</v>
      </c>
      <c r="M929" s="489" t="str">
        <f t="shared" si="37"/>
        <v>DDDDDDDĐ</v>
      </c>
    </row>
    <row r="930" spans="1:13" ht="21" customHeight="1">
      <c r="A930" s="501">
        <v>728</v>
      </c>
      <c r="B930" s="506" t="s">
        <v>2895</v>
      </c>
      <c r="C930" s="533" t="s">
        <v>2344</v>
      </c>
      <c r="D930" s="510"/>
      <c r="E930" s="508">
        <v>210200</v>
      </c>
      <c r="F930" s="508">
        <v>210200</v>
      </c>
      <c r="G930" s="501">
        <v>728</v>
      </c>
      <c r="H930" s="506" t="s">
        <v>2895</v>
      </c>
      <c r="I930" s="533" t="s">
        <v>2344</v>
      </c>
      <c r="J930" s="510"/>
      <c r="K930" s="508">
        <v>210200</v>
      </c>
      <c r="L930" s="508">
        <v>210200</v>
      </c>
      <c r="M930" s="489" t="str">
        <f t="shared" ref="M930:M993" si="38">IF(B930=H930,"DDDDDDDĐ","SSSSSSSSSSSS")</f>
        <v>DDDDDDDĐ</v>
      </c>
    </row>
    <row r="931" spans="1:13" ht="21" customHeight="1">
      <c r="A931" s="501"/>
      <c r="B931" s="502" t="s">
        <v>2896</v>
      </c>
      <c r="C931" s="510"/>
      <c r="D931" s="510"/>
      <c r="E931" s="508"/>
      <c r="F931" s="508"/>
      <c r="G931" s="501"/>
      <c r="H931" s="502" t="s">
        <v>2896</v>
      </c>
      <c r="I931" s="510"/>
      <c r="J931" s="510"/>
      <c r="K931" s="508"/>
      <c r="L931" s="508"/>
      <c r="M931" s="489" t="str">
        <f t="shared" si="38"/>
        <v>DDDDDDDĐ</v>
      </c>
    </row>
    <row r="932" spans="1:13" ht="21" customHeight="1">
      <c r="A932" s="501">
        <v>729</v>
      </c>
      <c r="B932" s="539" t="s">
        <v>2897</v>
      </c>
      <c r="C932" s="533" t="s">
        <v>2344</v>
      </c>
      <c r="D932" s="510"/>
      <c r="E932" s="508">
        <v>21400</v>
      </c>
      <c r="F932" s="508">
        <v>21400</v>
      </c>
      <c r="G932" s="501">
        <v>729</v>
      </c>
      <c r="H932" s="539" t="s">
        <v>2897</v>
      </c>
      <c r="I932" s="533" t="s">
        <v>2344</v>
      </c>
      <c r="J932" s="510"/>
      <c r="K932" s="508">
        <v>21400</v>
      </c>
      <c r="L932" s="508">
        <v>21400</v>
      </c>
      <c r="M932" s="489" t="str">
        <f t="shared" si="38"/>
        <v>DDDDDDDĐ</v>
      </c>
    </row>
    <row r="933" spans="1:13" ht="21" customHeight="1">
      <c r="A933" s="501">
        <v>730</v>
      </c>
      <c r="B933" s="539" t="s">
        <v>2898</v>
      </c>
      <c r="C933" s="533" t="s">
        <v>2344</v>
      </c>
      <c r="D933" s="510"/>
      <c r="E933" s="508">
        <v>24800</v>
      </c>
      <c r="F933" s="508">
        <v>24800</v>
      </c>
      <c r="G933" s="501">
        <v>730</v>
      </c>
      <c r="H933" s="539" t="s">
        <v>2898</v>
      </c>
      <c r="I933" s="533" t="s">
        <v>2344</v>
      </c>
      <c r="J933" s="510"/>
      <c r="K933" s="508">
        <v>24800</v>
      </c>
      <c r="L933" s="508">
        <v>24800</v>
      </c>
      <c r="M933" s="489" t="str">
        <f t="shared" si="38"/>
        <v>DDDDDDDĐ</v>
      </c>
    </row>
    <row r="934" spans="1:13" ht="21" customHeight="1">
      <c r="A934" s="501">
        <v>731</v>
      </c>
      <c r="B934" s="539" t="s">
        <v>2899</v>
      </c>
      <c r="C934" s="533" t="s">
        <v>2344</v>
      </c>
      <c r="D934" s="510"/>
      <c r="E934" s="1432">
        <v>34500</v>
      </c>
      <c r="F934" s="508">
        <v>34500</v>
      </c>
      <c r="G934" s="501">
        <v>731</v>
      </c>
      <c r="H934" s="539" t="s">
        <v>2899</v>
      </c>
      <c r="I934" s="533" t="s">
        <v>2344</v>
      </c>
      <c r="J934" s="510"/>
      <c r="K934" s="508">
        <v>34500</v>
      </c>
      <c r="L934" s="508">
        <v>34500</v>
      </c>
      <c r="M934" s="489" t="str">
        <f t="shared" si="38"/>
        <v>DDDDDDDĐ</v>
      </c>
    </row>
    <row r="935" spans="1:13" ht="21" customHeight="1">
      <c r="A935" s="501">
        <v>732</v>
      </c>
      <c r="B935" s="539" t="s">
        <v>2900</v>
      </c>
      <c r="C935" s="533" t="s">
        <v>2344</v>
      </c>
      <c r="D935" s="510"/>
      <c r="E935" s="508">
        <v>50200</v>
      </c>
      <c r="F935" s="508">
        <v>50200</v>
      </c>
      <c r="G935" s="501">
        <v>732</v>
      </c>
      <c r="H935" s="539" t="s">
        <v>2900</v>
      </c>
      <c r="I935" s="533" t="s">
        <v>2344</v>
      </c>
      <c r="J935" s="510"/>
      <c r="K935" s="508">
        <v>50200</v>
      </c>
      <c r="L935" s="508">
        <v>50200</v>
      </c>
      <c r="M935" s="489" t="str">
        <f t="shared" si="38"/>
        <v>DDDDDDDĐ</v>
      </c>
    </row>
    <row r="936" spans="1:13" ht="21" customHeight="1">
      <c r="A936" s="501">
        <v>733</v>
      </c>
      <c r="B936" s="539" t="s">
        <v>2901</v>
      </c>
      <c r="C936" s="533" t="s">
        <v>2344</v>
      </c>
      <c r="D936" s="510"/>
      <c r="E936" s="1432">
        <v>72100</v>
      </c>
      <c r="F936" s="508">
        <v>72100</v>
      </c>
      <c r="G936" s="501">
        <v>733</v>
      </c>
      <c r="H936" s="539" t="s">
        <v>2901</v>
      </c>
      <c r="I936" s="533" t="s">
        <v>2344</v>
      </c>
      <c r="J936" s="510"/>
      <c r="K936" s="508">
        <v>72100</v>
      </c>
      <c r="L936" s="508">
        <v>72100</v>
      </c>
      <c r="M936" s="489" t="str">
        <f t="shared" si="38"/>
        <v>DDDDDDDĐ</v>
      </c>
    </row>
    <row r="937" spans="1:13" ht="21" customHeight="1">
      <c r="A937" s="501">
        <v>734</v>
      </c>
      <c r="B937" s="539" t="s">
        <v>2902</v>
      </c>
      <c r="C937" s="533" t="s">
        <v>2344</v>
      </c>
      <c r="D937" s="510"/>
      <c r="E937" s="508">
        <v>116300</v>
      </c>
      <c r="F937" s="508">
        <v>116300</v>
      </c>
      <c r="G937" s="501">
        <v>734</v>
      </c>
      <c r="H937" s="539" t="s">
        <v>2902</v>
      </c>
      <c r="I937" s="533" t="s">
        <v>2344</v>
      </c>
      <c r="J937" s="510"/>
      <c r="K937" s="508">
        <v>116300</v>
      </c>
      <c r="L937" s="508">
        <v>116300</v>
      </c>
      <c r="M937" s="489" t="str">
        <f t="shared" si="38"/>
        <v>DDDDDDDĐ</v>
      </c>
    </row>
    <row r="938" spans="1:13" ht="21" customHeight="1">
      <c r="A938" s="501">
        <v>735</v>
      </c>
      <c r="B938" s="539" t="s">
        <v>2903</v>
      </c>
      <c r="C938" s="533" t="s">
        <v>2344</v>
      </c>
      <c r="D938" s="510"/>
      <c r="E938" s="508">
        <v>129000</v>
      </c>
      <c r="F938" s="508">
        <v>129000</v>
      </c>
      <c r="G938" s="501">
        <v>735</v>
      </c>
      <c r="H938" s="539" t="s">
        <v>2903</v>
      </c>
      <c r="I938" s="533" t="s">
        <v>2344</v>
      </c>
      <c r="J938" s="510"/>
      <c r="K938" s="508">
        <v>129000</v>
      </c>
      <c r="L938" s="508">
        <v>129000</v>
      </c>
      <c r="M938" s="489" t="str">
        <f t="shared" si="38"/>
        <v>DDDDDDDĐ</v>
      </c>
    </row>
    <row r="939" spans="1:13" ht="21" customHeight="1">
      <c r="A939" s="501">
        <v>736</v>
      </c>
      <c r="B939" s="539" t="s">
        <v>2904</v>
      </c>
      <c r="C939" s="533" t="s">
        <v>2344</v>
      </c>
      <c r="D939" s="510"/>
      <c r="E939" s="508">
        <v>240000</v>
      </c>
      <c r="F939" s="508">
        <v>240000</v>
      </c>
      <c r="G939" s="501">
        <v>736</v>
      </c>
      <c r="H939" s="539" t="s">
        <v>2904</v>
      </c>
      <c r="I939" s="533" t="s">
        <v>2344</v>
      </c>
      <c r="J939" s="510"/>
      <c r="K939" s="508">
        <v>240000</v>
      </c>
      <c r="L939" s="508">
        <v>240000</v>
      </c>
      <c r="M939" s="489" t="str">
        <f t="shared" si="38"/>
        <v>DDDDDDDĐ</v>
      </c>
    </row>
    <row r="940" spans="1:13" ht="21" customHeight="1">
      <c r="A940" s="501">
        <v>737</v>
      </c>
      <c r="B940" s="539" t="s">
        <v>2905</v>
      </c>
      <c r="C940" s="533" t="s">
        <v>2344</v>
      </c>
      <c r="D940" s="510"/>
      <c r="E940" s="508">
        <v>235300</v>
      </c>
      <c r="F940" s="508">
        <v>235300</v>
      </c>
      <c r="G940" s="501">
        <v>737</v>
      </c>
      <c r="H940" s="539" t="s">
        <v>2905</v>
      </c>
      <c r="I940" s="533" t="s">
        <v>2344</v>
      </c>
      <c r="J940" s="510"/>
      <c r="K940" s="508">
        <v>235300</v>
      </c>
      <c r="L940" s="508">
        <v>235300</v>
      </c>
      <c r="M940" s="489" t="str">
        <f t="shared" si="38"/>
        <v>DDDDDDDĐ</v>
      </c>
    </row>
    <row r="941" spans="1:13" ht="21" customHeight="1">
      <c r="A941" s="501"/>
      <c r="B941" s="502" t="s">
        <v>2906</v>
      </c>
      <c r="C941" s="510"/>
      <c r="D941" s="510"/>
      <c r="E941" s="508"/>
      <c r="F941" s="508"/>
      <c r="G941" s="501"/>
      <c r="H941" s="502" t="s">
        <v>2906</v>
      </c>
      <c r="I941" s="510"/>
      <c r="J941" s="510"/>
      <c r="K941" s="508"/>
      <c r="L941" s="508"/>
      <c r="M941" s="489" t="str">
        <f t="shared" si="38"/>
        <v>DDDDDDDĐ</v>
      </c>
    </row>
    <row r="942" spans="1:13" ht="21" customHeight="1">
      <c r="A942" s="501">
        <v>738</v>
      </c>
      <c r="B942" s="539" t="s">
        <v>2907</v>
      </c>
      <c r="C942" s="533" t="s">
        <v>2344</v>
      </c>
      <c r="D942" s="510"/>
      <c r="E942" s="508">
        <v>151200</v>
      </c>
      <c r="F942" s="508">
        <v>151200</v>
      </c>
      <c r="G942" s="501">
        <v>738</v>
      </c>
      <c r="H942" s="539" t="s">
        <v>2907</v>
      </c>
      <c r="I942" s="533" t="s">
        <v>2344</v>
      </c>
      <c r="J942" s="510"/>
      <c r="K942" s="508">
        <v>151200</v>
      </c>
      <c r="L942" s="508">
        <v>151200</v>
      </c>
      <c r="M942" s="489" t="str">
        <f t="shared" si="38"/>
        <v>DDDDDDDĐ</v>
      </c>
    </row>
    <row r="943" spans="1:13" ht="21" customHeight="1">
      <c r="A943" s="501">
        <v>739</v>
      </c>
      <c r="B943" s="539" t="s">
        <v>2908</v>
      </c>
      <c r="C943" s="533" t="s">
        <v>2344</v>
      </c>
      <c r="D943" s="510"/>
      <c r="E943" s="508">
        <v>319300</v>
      </c>
      <c r="F943" s="508">
        <v>319300</v>
      </c>
      <c r="G943" s="501">
        <v>739</v>
      </c>
      <c r="H943" s="539" t="s">
        <v>2908</v>
      </c>
      <c r="I943" s="533" t="s">
        <v>2344</v>
      </c>
      <c r="J943" s="510"/>
      <c r="K943" s="508">
        <v>319300</v>
      </c>
      <c r="L943" s="508">
        <v>319300</v>
      </c>
      <c r="M943" s="489" t="str">
        <f t="shared" si="38"/>
        <v>DDDDDDDĐ</v>
      </c>
    </row>
    <row r="944" spans="1:13" ht="21" customHeight="1">
      <c r="A944" s="501"/>
      <c r="B944" s="502" t="s">
        <v>2909</v>
      </c>
      <c r="C944" s="510"/>
      <c r="D944" s="510"/>
      <c r="E944" s="508"/>
      <c r="F944" s="508"/>
      <c r="G944" s="501"/>
      <c r="H944" s="502" t="s">
        <v>2909</v>
      </c>
      <c r="I944" s="510"/>
      <c r="J944" s="510"/>
      <c r="K944" s="508"/>
      <c r="L944" s="508"/>
      <c r="M944" s="489" t="str">
        <f t="shared" si="38"/>
        <v>DDDDDDDĐ</v>
      </c>
    </row>
    <row r="945" spans="1:13" ht="21" customHeight="1">
      <c r="A945" s="501">
        <v>740</v>
      </c>
      <c r="B945" s="539" t="s">
        <v>2910</v>
      </c>
      <c r="C945" s="533" t="s">
        <v>2344</v>
      </c>
      <c r="D945" s="510"/>
      <c r="E945" s="508">
        <v>408000</v>
      </c>
      <c r="F945" s="508">
        <v>408000</v>
      </c>
      <c r="G945" s="501">
        <v>740</v>
      </c>
      <c r="H945" s="539" t="s">
        <v>2910</v>
      </c>
      <c r="I945" s="533" t="s">
        <v>2344</v>
      </c>
      <c r="J945" s="510"/>
      <c r="K945" s="508">
        <v>408000</v>
      </c>
      <c r="L945" s="508">
        <v>408000</v>
      </c>
      <c r="M945" s="489" t="str">
        <f t="shared" si="38"/>
        <v>DDDDDDDĐ</v>
      </c>
    </row>
    <row r="946" spans="1:13" ht="18" customHeight="1">
      <c r="A946" s="501">
        <v>741</v>
      </c>
      <c r="B946" s="539" t="s">
        <v>2911</v>
      </c>
      <c r="C946" s="533" t="s">
        <v>2344</v>
      </c>
      <c r="D946" s="510"/>
      <c r="E946" s="508">
        <v>475700</v>
      </c>
      <c r="F946" s="508">
        <v>475700</v>
      </c>
      <c r="G946" s="501">
        <v>741</v>
      </c>
      <c r="H946" s="539" t="s">
        <v>2911</v>
      </c>
      <c r="I946" s="533" t="s">
        <v>2344</v>
      </c>
      <c r="J946" s="510"/>
      <c r="K946" s="508">
        <v>475700</v>
      </c>
      <c r="L946" s="508">
        <v>475700</v>
      </c>
      <c r="M946" s="489" t="str">
        <f t="shared" si="38"/>
        <v>DDDDDDDĐ</v>
      </c>
    </row>
    <row r="947" spans="1:13" ht="20.100000000000001" customHeight="1">
      <c r="A947" s="501"/>
      <c r="B947" s="502" t="s">
        <v>2912</v>
      </c>
      <c r="C947" s="510"/>
      <c r="D947" s="510"/>
      <c r="E947" s="508"/>
      <c r="F947" s="508"/>
      <c r="G947" s="501"/>
      <c r="H947" s="502" t="s">
        <v>2912</v>
      </c>
      <c r="I947" s="510"/>
      <c r="J947" s="510"/>
      <c r="K947" s="508"/>
      <c r="L947" s="508"/>
      <c r="M947" s="489" t="str">
        <f t="shared" si="38"/>
        <v>DDDDDDDĐ</v>
      </c>
    </row>
    <row r="948" spans="1:13" ht="20.100000000000001" customHeight="1">
      <c r="A948" s="501">
        <v>742</v>
      </c>
      <c r="B948" s="506" t="s">
        <v>2913</v>
      </c>
      <c r="C948" s="533" t="s">
        <v>2338</v>
      </c>
      <c r="D948" s="510"/>
      <c r="E948" s="508">
        <v>1600</v>
      </c>
      <c r="F948" s="508">
        <v>1600</v>
      </c>
      <c r="G948" s="501">
        <v>742</v>
      </c>
      <c r="H948" s="506" t="s">
        <v>2913</v>
      </c>
      <c r="I948" s="533" t="s">
        <v>2338</v>
      </c>
      <c r="J948" s="510"/>
      <c r="K948" s="508">
        <v>1600</v>
      </c>
      <c r="L948" s="508">
        <v>1600</v>
      </c>
      <c r="M948" s="489" t="str">
        <f t="shared" si="38"/>
        <v>DDDDDDDĐ</v>
      </c>
    </row>
    <row r="949" spans="1:13" ht="20.100000000000001" customHeight="1">
      <c r="A949" s="501">
        <v>743</v>
      </c>
      <c r="B949" s="506" t="s">
        <v>2914</v>
      </c>
      <c r="C949" s="533" t="s">
        <v>2338</v>
      </c>
      <c r="D949" s="510"/>
      <c r="E949" s="508">
        <v>2200</v>
      </c>
      <c r="F949" s="508">
        <v>2200</v>
      </c>
      <c r="G949" s="501">
        <v>743</v>
      </c>
      <c r="H949" s="506" t="s">
        <v>2914</v>
      </c>
      <c r="I949" s="533" t="s">
        <v>2338</v>
      </c>
      <c r="J949" s="510"/>
      <c r="K949" s="508">
        <v>2200</v>
      </c>
      <c r="L949" s="508">
        <v>2200</v>
      </c>
      <c r="M949" s="489" t="str">
        <f t="shared" si="38"/>
        <v>DDDDDDDĐ</v>
      </c>
    </row>
    <row r="950" spans="1:13" ht="20.100000000000001" customHeight="1">
      <c r="A950" s="501">
        <v>744</v>
      </c>
      <c r="B950" s="506" t="s">
        <v>2915</v>
      </c>
      <c r="C950" s="533" t="s">
        <v>2338</v>
      </c>
      <c r="D950" s="510"/>
      <c r="E950" s="508">
        <v>3700</v>
      </c>
      <c r="F950" s="508">
        <v>3700</v>
      </c>
      <c r="G950" s="501">
        <v>744</v>
      </c>
      <c r="H950" s="506" t="s">
        <v>2915</v>
      </c>
      <c r="I950" s="533" t="s">
        <v>2338</v>
      </c>
      <c r="J950" s="510"/>
      <c r="K950" s="508">
        <v>3700</v>
      </c>
      <c r="L950" s="508">
        <v>3700</v>
      </c>
      <c r="M950" s="489" t="str">
        <f t="shared" si="38"/>
        <v>DDDDDDDĐ</v>
      </c>
    </row>
    <row r="951" spans="1:13" ht="20.100000000000001" customHeight="1">
      <c r="A951" s="501">
        <v>745</v>
      </c>
      <c r="B951" s="506" t="s">
        <v>2916</v>
      </c>
      <c r="C951" s="533" t="s">
        <v>2338</v>
      </c>
      <c r="D951" s="510"/>
      <c r="E951" s="508">
        <v>5100</v>
      </c>
      <c r="F951" s="508">
        <v>5100</v>
      </c>
      <c r="G951" s="501">
        <v>745</v>
      </c>
      <c r="H951" s="506" t="s">
        <v>2916</v>
      </c>
      <c r="I951" s="533" t="s">
        <v>2338</v>
      </c>
      <c r="J951" s="510"/>
      <c r="K951" s="508">
        <v>5100</v>
      </c>
      <c r="L951" s="508">
        <v>5100</v>
      </c>
      <c r="M951" s="489" t="str">
        <f t="shared" si="38"/>
        <v>DDDDDDDĐ</v>
      </c>
    </row>
    <row r="952" spans="1:13" ht="20.100000000000001" customHeight="1">
      <c r="A952" s="501">
        <v>746</v>
      </c>
      <c r="B952" s="506" t="s">
        <v>2917</v>
      </c>
      <c r="C952" s="533" t="s">
        <v>2338</v>
      </c>
      <c r="D952" s="510"/>
      <c r="E952" s="508">
        <v>7900</v>
      </c>
      <c r="F952" s="508">
        <v>7900</v>
      </c>
      <c r="G952" s="501">
        <v>746</v>
      </c>
      <c r="H952" s="506" t="s">
        <v>2917</v>
      </c>
      <c r="I952" s="533" t="s">
        <v>2338</v>
      </c>
      <c r="J952" s="510"/>
      <c r="K952" s="508">
        <v>7900</v>
      </c>
      <c r="L952" s="508">
        <v>7900</v>
      </c>
      <c r="M952" s="489" t="str">
        <f t="shared" si="38"/>
        <v>DDDDDDDĐ</v>
      </c>
    </row>
    <row r="953" spans="1:13" ht="20.100000000000001" customHeight="1">
      <c r="A953" s="501">
        <v>747</v>
      </c>
      <c r="B953" s="506" t="s">
        <v>2918</v>
      </c>
      <c r="C953" s="533" t="s">
        <v>2338</v>
      </c>
      <c r="D953" s="510"/>
      <c r="E953" s="508">
        <v>12200</v>
      </c>
      <c r="F953" s="508">
        <v>12200</v>
      </c>
      <c r="G953" s="501">
        <v>747</v>
      </c>
      <c r="H953" s="506" t="s">
        <v>2918</v>
      </c>
      <c r="I953" s="533" t="s">
        <v>2338</v>
      </c>
      <c r="J953" s="510"/>
      <c r="K953" s="508">
        <v>12200</v>
      </c>
      <c r="L953" s="508">
        <v>12200</v>
      </c>
      <c r="M953" s="489" t="str">
        <f t="shared" si="38"/>
        <v>DDDDDDDĐ</v>
      </c>
    </row>
    <row r="954" spans="1:13" ht="20.100000000000001" customHeight="1">
      <c r="A954" s="501">
        <v>748</v>
      </c>
      <c r="B954" s="506" t="s">
        <v>2919</v>
      </c>
      <c r="C954" s="533" t="s">
        <v>2338</v>
      </c>
      <c r="D954" s="510"/>
      <c r="E954" s="508">
        <v>15800</v>
      </c>
      <c r="F954" s="508">
        <v>15800</v>
      </c>
      <c r="G954" s="501">
        <v>748</v>
      </c>
      <c r="H954" s="506" t="s">
        <v>2919</v>
      </c>
      <c r="I954" s="533" t="s">
        <v>2338</v>
      </c>
      <c r="J954" s="510"/>
      <c r="K954" s="508">
        <v>15800</v>
      </c>
      <c r="L954" s="508">
        <v>15800</v>
      </c>
      <c r="M954" s="489" t="str">
        <f t="shared" si="38"/>
        <v>DDDDDDDĐ</v>
      </c>
    </row>
    <row r="955" spans="1:13" ht="20.100000000000001" customHeight="1">
      <c r="A955" s="501">
        <v>749</v>
      </c>
      <c r="B955" s="506" t="s">
        <v>2920</v>
      </c>
      <c r="C955" s="533" t="s">
        <v>2338</v>
      </c>
      <c r="D955" s="510"/>
      <c r="E955" s="508">
        <v>25000</v>
      </c>
      <c r="F955" s="508">
        <v>25000</v>
      </c>
      <c r="G955" s="501">
        <v>749</v>
      </c>
      <c r="H955" s="506" t="s">
        <v>2920</v>
      </c>
      <c r="I955" s="533" t="s">
        <v>2338</v>
      </c>
      <c r="J955" s="510"/>
      <c r="K955" s="508">
        <v>25000</v>
      </c>
      <c r="L955" s="508">
        <v>25000</v>
      </c>
      <c r="M955" s="489" t="str">
        <f t="shared" si="38"/>
        <v>DDDDDDDĐ</v>
      </c>
    </row>
    <row r="956" spans="1:13" ht="20.100000000000001" customHeight="1">
      <c r="A956" s="501">
        <v>750</v>
      </c>
      <c r="B956" s="506" t="s">
        <v>2921</v>
      </c>
      <c r="C956" s="533" t="s">
        <v>2338</v>
      </c>
      <c r="D956" s="510"/>
      <c r="E956" s="508">
        <v>50600</v>
      </c>
      <c r="F956" s="508">
        <v>50600</v>
      </c>
      <c r="G956" s="501">
        <v>750</v>
      </c>
      <c r="H956" s="506" t="s">
        <v>2921</v>
      </c>
      <c r="I956" s="533" t="s">
        <v>2338</v>
      </c>
      <c r="J956" s="510"/>
      <c r="K956" s="508">
        <v>50600</v>
      </c>
      <c r="L956" s="508">
        <v>50600</v>
      </c>
      <c r="M956" s="489" t="str">
        <f t="shared" si="38"/>
        <v>DDDDDDDĐ</v>
      </c>
    </row>
    <row r="957" spans="1:13" ht="20.100000000000001" customHeight="1">
      <c r="A957" s="501">
        <v>751</v>
      </c>
      <c r="B957" s="506" t="s">
        <v>2922</v>
      </c>
      <c r="C957" s="533" t="s">
        <v>2338</v>
      </c>
      <c r="D957" s="510"/>
      <c r="E957" s="508">
        <v>52800</v>
      </c>
      <c r="F957" s="508">
        <v>52800</v>
      </c>
      <c r="G957" s="501">
        <v>751</v>
      </c>
      <c r="H957" s="506" t="s">
        <v>2922</v>
      </c>
      <c r="I957" s="533" t="s">
        <v>2338</v>
      </c>
      <c r="J957" s="510"/>
      <c r="K957" s="508">
        <v>52800</v>
      </c>
      <c r="L957" s="508">
        <v>52800</v>
      </c>
      <c r="M957" s="489" t="str">
        <f t="shared" si="38"/>
        <v>DDDDDDDĐ</v>
      </c>
    </row>
    <row r="958" spans="1:13" ht="20.100000000000001" customHeight="1">
      <c r="A958" s="501">
        <v>752</v>
      </c>
      <c r="B958" s="506" t="s">
        <v>2923</v>
      </c>
      <c r="C958" s="533" t="s">
        <v>2338</v>
      </c>
      <c r="D958" s="510"/>
      <c r="E958" s="508">
        <v>83200</v>
      </c>
      <c r="F958" s="508">
        <v>83200</v>
      </c>
      <c r="G958" s="501">
        <v>752</v>
      </c>
      <c r="H958" s="506" t="s">
        <v>2923</v>
      </c>
      <c r="I958" s="533" t="s">
        <v>2338</v>
      </c>
      <c r="J958" s="510"/>
      <c r="K958" s="508">
        <v>83200</v>
      </c>
      <c r="L958" s="508">
        <v>83200</v>
      </c>
      <c r="M958" s="489" t="str">
        <f t="shared" si="38"/>
        <v>DDDDDDDĐ</v>
      </c>
    </row>
    <row r="959" spans="1:13" ht="20.100000000000001" customHeight="1">
      <c r="A959" s="501">
        <v>753</v>
      </c>
      <c r="B959" s="506" t="s">
        <v>2924</v>
      </c>
      <c r="C959" s="533" t="s">
        <v>2338</v>
      </c>
      <c r="D959" s="510"/>
      <c r="E959" s="508">
        <v>115800</v>
      </c>
      <c r="F959" s="508">
        <v>115800</v>
      </c>
      <c r="G959" s="501">
        <v>753</v>
      </c>
      <c r="H959" s="506" t="s">
        <v>2924</v>
      </c>
      <c r="I959" s="533" t="s">
        <v>2338</v>
      </c>
      <c r="J959" s="510"/>
      <c r="K959" s="508">
        <v>115800</v>
      </c>
      <c r="L959" s="508">
        <v>115800</v>
      </c>
      <c r="M959" s="489" t="str">
        <f t="shared" si="38"/>
        <v>DDDDDDDĐ</v>
      </c>
    </row>
    <row r="960" spans="1:13" ht="20.100000000000001" customHeight="1">
      <c r="A960" s="501">
        <v>754</v>
      </c>
      <c r="B960" s="506" t="s">
        <v>2925</v>
      </c>
      <c r="C960" s="533" t="s">
        <v>2338</v>
      </c>
      <c r="D960" s="510"/>
      <c r="E960" s="508">
        <v>132600</v>
      </c>
      <c r="F960" s="508">
        <v>132600</v>
      </c>
      <c r="G960" s="501">
        <v>754</v>
      </c>
      <c r="H960" s="506" t="s">
        <v>2925</v>
      </c>
      <c r="I960" s="533" t="s">
        <v>2338</v>
      </c>
      <c r="J960" s="510"/>
      <c r="K960" s="508">
        <v>132600</v>
      </c>
      <c r="L960" s="508">
        <v>132600</v>
      </c>
      <c r="M960" s="489" t="str">
        <f t="shared" si="38"/>
        <v>DDDDDDDĐ</v>
      </c>
    </row>
    <row r="961" spans="1:13" ht="20.100000000000001" customHeight="1">
      <c r="A961" s="501">
        <v>755</v>
      </c>
      <c r="B961" s="506" t="s">
        <v>5325</v>
      </c>
      <c r="C961" s="533" t="s">
        <v>2338</v>
      </c>
      <c r="D961" s="510"/>
      <c r="E961" s="508">
        <v>1900</v>
      </c>
      <c r="F961" s="508">
        <v>1900</v>
      </c>
      <c r="G961" s="501">
        <v>755</v>
      </c>
      <c r="H961" s="506" t="s">
        <v>5325</v>
      </c>
      <c r="I961" s="533" t="s">
        <v>2338</v>
      </c>
      <c r="J961" s="510"/>
      <c r="K961" s="508">
        <v>1900</v>
      </c>
      <c r="L961" s="508">
        <v>1900</v>
      </c>
      <c r="M961" s="489" t="str">
        <f t="shared" si="38"/>
        <v>DDDDDDDĐ</v>
      </c>
    </row>
    <row r="962" spans="1:13" ht="20.100000000000001" customHeight="1">
      <c r="A962" s="501">
        <v>756</v>
      </c>
      <c r="B962" s="506" t="s">
        <v>5326</v>
      </c>
      <c r="C962" s="533" t="s">
        <v>2338</v>
      </c>
      <c r="D962" s="510"/>
      <c r="E962" s="508">
        <v>2800</v>
      </c>
      <c r="F962" s="508">
        <v>2800</v>
      </c>
      <c r="G962" s="501">
        <v>756</v>
      </c>
      <c r="H962" s="506" t="s">
        <v>5326</v>
      </c>
      <c r="I962" s="533" t="s">
        <v>2338</v>
      </c>
      <c r="J962" s="510"/>
      <c r="K962" s="508">
        <v>2800</v>
      </c>
      <c r="L962" s="508">
        <v>2800</v>
      </c>
      <c r="M962" s="489" t="str">
        <f t="shared" si="38"/>
        <v>DDDDDDDĐ</v>
      </c>
    </row>
    <row r="963" spans="1:13" ht="20.100000000000001" customHeight="1">
      <c r="A963" s="501">
        <v>757</v>
      </c>
      <c r="B963" s="506" t="s">
        <v>5327</v>
      </c>
      <c r="C963" s="533" t="s">
        <v>2338</v>
      </c>
      <c r="D963" s="510"/>
      <c r="E963" s="508">
        <v>4500</v>
      </c>
      <c r="F963" s="508">
        <v>4500</v>
      </c>
      <c r="G963" s="501">
        <v>757</v>
      </c>
      <c r="H963" s="506" t="s">
        <v>5327</v>
      </c>
      <c r="I963" s="533" t="s">
        <v>2338</v>
      </c>
      <c r="J963" s="510"/>
      <c r="K963" s="508">
        <v>4500</v>
      </c>
      <c r="L963" s="508">
        <v>4500</v>
      </c>
      <c r="M963" s="489" t="str">
        <f t="shared" si="38"/>
        <v>DDDDDDDĐ</v>
      </c>
    </row>
    <row r="964" spans="1:13" ht="20.100000000000001" customHeight="1">
      <c r="A964" s="501">
        <v>758</v>
      </c>
      <c r="B964" s="506" t="s">
        <v>5328</v>
      </c>
      <c r="C964" s="533" t="s">
        <v>2338</v>
      </c>
      <c r="D964" s="510"/>
      <c r="E964" s="508">
        <v>6300</v>
      </c>
      <c r="F964" s="508">
        <v>6300</v>
      </c>
      <c r="G964" s="501">
        <v>758</v>
      </c>
      <c r="H964" s="506" t="s">
        <v>5328</v>
      </c>
      <c r="I964" s="533" t="s">
        <v>2338</v>
      </c>
      <c r="J964" s="510"/>
      <c r="K964" s="508">
        <v>6300</v>
      </c>
      <c r="L964" s="508">
        <v>6300</v>
      </c>
      <c r="M964" s="489" t="str">
        <f t="shared" si="38"/>
        <v>DDDDDDDĐ</v>
      </c>
    </row>
    <row r="965" spans="1:13" ht="20.100000000000001" customHeight="1">
      <c r="A965" s="501">
        <v>759</v>
      </c>
      <c r="B965" s="506" t="s">
        <v>5329</v>
      </c>
      <c r="C965" s="533" t="s">
        <v>2338</v>
      </c>
      <c r="D965" s="510"/>
      <c r="E965" s="508">
        <v>9600</v>
      </c>
      <c r="F965" s="508">
        <v>9600</v>
      </c>
      <c r="G965" s="501">
        <v>759</v>
      </c>
      <c r="H965" s="506" t="s">
        <v>5329</v>
      </c>
      <c r="I965" s="533" t="s">
        <v>2338</v>
      </c>
      <c r="J965" s="510"/>
      <c r="K965" s="508">
        <v>9600</v>
      </c>
      <c r="L965" s="508">
        <v>9600</v>
      </c>
      <c r="M965" s="489" t="str">
        <f t="shared" si="38"/>
        <v>DDDDDDDĐ</v>
      </c>
    </row>
    <row r="966" spans="1:13" ht="20.100000000000001" customHeight="1">
      <c r="A966" s="501">
        <v>760</v>
      </c>
      <c r="B966" s="506" t="s">
        <v>5330</v>
      </c>
      <c r="C966" s="533" t="s">
        <v>2338</v>
      </c>
      <c r="D966" s="510"/>
      <c r="E966" s="508">
        <v>14800</v>
      </c>
      <c r="F966" s="508">
        <v>14800</v>
      </c>
      <c r="G966" s="501">
        <v>760</v>
      </c>
      <c r="H966" s="506" t="s">
        <v>5330</v>
      </c>
      <c r="I966" s="533" t="s">
        <v>2338</v>
      </c>
      <c r="J966" s="510"/>
      <c r="K966" s="508">
        <v>14800</v>
      </c>
      <c r="L966" s="508">
        <v>14800</v>
      </c>
      <c r="M966" s="489" t="str">
        <f t="shared" si="38"/>
        <v>DDDDDDDĐ</v>
      </c>
    </row>
    <row r="967" spans="1:13" ht="20.100000000000001" customHeight="1">
      <c r="A967" s="501">
        <v>761</v>
      </c>
      <c r="B967" s="539" t="s">
        <v>5331</v>
      </c>
      <c r="C967" s="533" t="s">
        <v>2338</v>
      </c>
      <c r="D967" s="510"/>
      <c r="E967" s="508">
        <v>15800</v>
      </c>
      <c r="F967" s="508">
        <v>15800</v>
      </c>
      <c r="G967" s="501">
        <v>761</v>
      </c>
      <c r="H967" s="539" t="s">
        <v>5331</v>
      </c>
      <c r="I967" s="533" t="s">
        <v>2338</v>
      </c>
      <c r="J967" s="510"/>
      <c r="K967" s="508">
        <v>15800</v>
      </c>
      <c r="L967" s="508">
        <v>15800</v>
      </c>
      <c r="M967" s="489" t="str">
        <f t="shared" si="38"/>
        <v>DDDDDDDĐ</v>
      </c>
    </row>
    <row r="968" spans="1:13" ht="20.100000000000001" customHeight="1">
      <c r="A968" s="501">
        <v>762</v>
      </c>
      <c r="B968" s="506" t="s">
        <v>5332</v>
      </c>
      <c r="C968" s="533" t="s">
        <v>2338</v>
      </c>
      <c r="D968" s="510"/>
      <c r="E968" s="508">
        <v>33900</v>
      </c>
      <c r="F968" s="508">
        <v>33900</v>
      </c>
      <c r="G968" s="501">
        <v>762</v>
      </c>
      <c r="H968" s="506" t="s">
        <v>5332</v>
      </c>
      <c r="I968" s="533" t="s">
        <v>2338</v>
      </c>
      <c r="J968" s="510"/>
      <c r="K968" s="508">
        <v>33900</v>
      </c>
      <c r="L968" s="508">
        <v>33900</v>
      </c>
      <c r="M968" s="489" t="str">
        <f t="shared" si="38"/>
        <v>DDDDDDDĐ</v>
      </c>
    </row>
    <row r="969" spans="1:13" ht="21" customHeight="1">
      <c r="A969" s="501">
        <v>763</v>
      </c>
      <c r="B969" s="506" t="s">
        <v>5333</v>
      </c>
      <c r="C969" s="533" t="s">
        <v>2338</v>
      </c>
      <c r="D969" s="510"/>
      <c r="E969" s="508">
        <v>57500</v>
      </c>
      <c r="F969" s="508">
        <v>57500</v>
      </c>
      <c r="G969" s="501">
        <v>763</v>
      </c>
      <c r="H969" s="506" t="s">
        <v>5333</v>
      </c>
      <c r="I969" s="533" t="s">
        <v>2338</v>
      </c>
      <c r="J969" s="510"/>
      <c r="K969" s="508">
        <v>57500</v>
      </c>
      <c r="L969" s="508">
        <v>57500</v>
      </c>
      <c r="M969" s="489" t="str">
        <f t="shared" si="38"/>
        <v>DDDDDDDĐ</v>
      </c>
    </row>
    <row r="970" spans="1:13" ht="21" customHeight="1">
      <c r="A970" s="501">
        <v>764</v>
      </c>
      <c r="B970" s="506" t="s">
        <v>5334</v>
      </c>
      <c r="C970" s="533" t="s">
        <v>2338</v>
      </c>
      <c r="D970" s="510"/>
      <c r="E970" s="508">
        <v>70800</v>
      </c>
      <c r="F970" s="508">
        <v>70800</v>
      </c>
      <c r="G970" s="501">
        <v>764</v>
      </c>
      <c r="H970" s="506" t="s">
        <v>5334</v>
      </c>
      <c r="I970" s="533" t="s">
        <v>2338</v>
      </c>
      <c r="J970" s="510"/>
      <c r="K970" s="508">
        <v>70800</v>
      </c>
      <c r="L970" s="508">
        <v>70800</v>
      </c>
      <c r="M970" s="489" t="str">
        <f t="shared" si="38"/>
        <v>DDDDDDDĐ</v>
      </c>
    </row>
    <row r="971" spans="1:13" ht="21" customHeight="1">
      <c r="A971" s="501">
        <v>765</v>
      </c>
      <c r="B971" s="506" t="s">
        <v>5335</v>
      </c>
      <c r="C971" s="533" t="s">
        <v>2338</v>
      </c>
      <c r="D971" s="510"/>
      <c r="E971" s="508">
        <v>117100</v>
      </c>
      <c r="F971" s="508">
        <v>117100</v>
      </c>
      <c r="G971" s="501">
        <v>765</v>
      </c>
      <c r="H971" s="506" t="s">
        <v>5335</v>
      </c>
      <c r="I971" s="533" t="s">
        <v>2338</v>
      </c>
      <c r="J971" s="510"/>
      <c r="K971" s="508">
        <v>117100</v>
      </c>
      <c r="L971" s="508">
        <v>117100</v>
      </c>
      <c r="M971" s="489" t="str">
        <f t="shared" si="38"/>
        <v>DDDDDDDĐ</v>
      </c>
    </row>
    <row r="972" spans="1:13" ht="21" customHeight="1">
      <c r="A972" s="501">
        <v>766</v>
      </c>
      <c r="B972" s="539" t="s">
        <v>5336</v>
      </c>
      <c r="C972" s="533" t="s">
        <v>2338</v>
      </c>
      <c r="D972" s="510"/>
      <c r="E972" s="508">
        <v>134300</v>
      </c>
      <c r="F972" s="508">
        <v>134300</v>
      </c>
      <c r="G972" s="501">
        <v>766</v>
      </c>
      <c r="H972" s="539" t="s">
        <v>5336</v>
      </c>
      <c r="I972" s="533" t="s">
        <v>2338</v>
      </c>
      <c r="J972" s="510"/>
      <c r="K972" s="508">
        <v>134300</v>
      </c>
      <c r="L972" s="508">
        <v>134300</v>
      </c>
      <c r="M972" s="489" t="str">
        <f t="shared" si="38"/>
        <v>DDDDDDDĐ</v>
      </c>
    </row>
    <row r="973" spans="1:13" ht="21" customHeight="1">
      <c r="A973" s="501">
        <v>767</v>
      </c>
      <c r="B973" s="506" t="s">
        <v>2926</v>
      </c>
      <c r="C973" s="533" t="s">
        <v>2338</v>
      </c>
      <c r="D973" s="510"/>
      <c r="E973" s="508">
        <v>2800</v>
      </c>
      <c r="F973" s="508">
        <v>2800</v>
      </c>
      <c r="G973" s="501">
        <v>767</v>
      </c>
      <c r="H973" s="506" t="s">
        <v>2926</v>
      </c>
      <c r="I973" s="533" t="s">
        <v>2338</v>
      </c>
      <c r="J973" s="510"/>
      <c r="K973" s="508">
        <v>2800</v>
      </c>
      <c r="L973" s="508">
        <v>2800</v>
      </c>
      <c r="M973" s="489" t="str">
        <f t="shared" si="38"/>
        <v>DDDDDDDĐ</v>
      </c>
    </row>
    <row r="974" spans="1:13" ht="21" customHeight="1">
      <c r="A974" s="501">
        <v>768</v>
      </c>
      <c r="B974" s="506" t="s">
        <v>2927</v>
      </c>
      <c r="C974" s="533" t="s">
        <v>2338</v>
      </c>
      <c r="D974" s="510"/>
      <c r="E974" s="508">
        <v>4600</v>
      </c>
      <c r="F974" s="508">
        <v>4600</v>
      </c>
      <c r="G974" s="501">
        <v>768</v>
      </c>
      <c r="H974" s="506" t="s">
        <v>2927</v>
      </c>
      <c r="I974" s="533" t="s">
        <v>2338</v>
      </c>
      <c r="J974" s="510"/>
      <c r="K974" s="508">
        <v>4600</v>
      </c>
      <c r="L974" s="508">
        <v>4600</v>
      </c>
      <c r="M974" s="489" t="str">
        <f t="shared" si="38"/>
        <v>DDDDDDDĐ</v>
      </c>
    </row>
    <row r="975" spans="1:13" ht="21" customHeight="1">
      <c r="A975" s="501">
        <v>769</v>
      </c>
      <c r="B975" s="506" t="s">
        <v>2928</v>
      </c>
      <c r="C975" s="533" t="s">
        <v>2338</v>
      </c>
      <c r="D975" s="510"/>
      <c r="E975" s="508">
        <v>7400</v>
      </c>
      <c r="F975" s="508">
        <v>7400</v>
      </c>
      <c r="G975" s="501">
        <v>769</v>
      </c>
      <c r="H975" s="506" t="s">
        <v>2928</v>
      </c>
      <c r="I975" s="533" t="s">
        <v>2338</v>
      </c>
      <c r="J975" s="510"/>
      <c r="K975" s="508">
        <v>7400</v>
      </c>
      <c r="L975" s="508">
        <v>7400</v>
      </c>
      <c r="M975" s="489" t="str">
        <f t="shared" si="38"/>
        <v>DDDDDDDĐ</v>
      </c>
    </row>
    <row r="976" spans="1:13" ht="21" customHeight="1">
      <c r="A976" s="501">
        <v>770</v>
      </c>
      <c r="B976" s="506" t="s">
        <v>2929</v>
      </c>
      <c r="C976" s="533" t="s">
        <v>2338</v>
      </c>
      <c r="D976" s="510"/>
      <c r="E976" s="508">
        <v>9800</v>
      </c>
      <c r="F976" s="508">
        <v>9800</v>
      </c>
      <c r="G976" s="501">
        <v>770</v>
      </c>
      <c r="H976" s="506" t="s">
        <v>2929</v>
      </c>
      <c r="I976" s="533" t="s">
        <v>2338</v>
      </c>
      <c r="J976" s="510"/>
      <c r="K976" s="508">
        <v>9800</v>
      </c>
      <c r="L976" s="508">
        <v>9800</v>
      </c>
      <c r="M976" s="489" t="str">
        <f t="shared" si="38"/>
        <v>DDDDDDDĐ</v>
      </c>
    </row>
    <row r="977" spans="1:13" ht="21" customHeight="1">
      <c r="A977" s="501">
        <v>771</v>
      </c>
      <c r="B977" s="506" t="s">
        <v>2930</v>
      </c>
      <c r="C977" s="533" t="s">
        <v>2338</v>
      </c>
      <c r="D977" s="510"/>
      <c r="E977" s="508">
        <v>14500</v>
      </c>
      <c r="F977" s="508">
        <v>14500</v>
      </c>
      <c r="G977" s="501">
        <v>771</v>
      </c>
      <c r="H977" s="506" t="s">
        <v>2930</v>
      </c>
      <c r="I977" s="533" t="s">
        <v>2338</v>
      </c>
      <c r="J977" s="510"/>
      <c r="K977" s="508">
        <v>14500</v>
      </c>
      <c r="L977" s="508">
        <v>14500</v>
      </c>
      <c r="M977" s="489" t="str">
        <f t="shared" si="38"/>
        <v>DDDDDDDĐ</v>
      </c>
    </row>
    <row r="978" spans="1:13" ht="21" customHeight="1">
      <c r="A978" s="501">
        <v>772</v>
      </c>
      <c r="B978" s="506" t="s">
        <v>2931</v>
      </c>
      <c r="C978" s="533" t="s">
        <v>2338</v>
      </c>
      <c r="D978" s="510"/>
      <c r="E978" s="508">
        <v>24900</v>
      </c>
      <c r="F978" s="508">
        <v>24900</v>
      </c>
      <c r="G978" s="501">
        <v>772</v>
      </c>
      <c r="H978" s="506" t="s">
        <v>2931</v>
      </c>
      <c r="I978" s="533" t="s">
        <v>2338</v>
      </c>
      <c r="J978" s="510"/>
      <c r="K978" s="508">
        <v>24900</v>
      </c>
      <c r="L978" s="508">
        <v>24900</v>
      </c>
      <c r="M978" s="489" t="str">
        <f t="shared" si="38"/>
        <v>DDDDDDDĐ</v>
      </c>
    </row>
    <row r="979" spans="1:13" ht="21" customHeight="1">
      <c r="A979" s="501">
        <v>773</v>
      </c>
      <c r="B979" s="506" t="s">
        <v>2932</v>
      </c>
      <c r="C979" s="533" t="s">
        <v>2338</v>
      </c>
      <c r="D979" s="510"/>
      <c r="E979" s="508">
        <v>37000</v>
      </c>
      <c r="F979" s="508">
        <v>37000</v>
      </c>
      <c r="G979" s="501">
        <v>773</v>
      </c>
      <c r="H979" s="506" t="s">
        <v>2932</v>
      </c>
      <c r="I979" s="533" t="s">
        <v>2338</v>
      </c>
      <c r="J979" s="510"/>
      <c r="K979" s="508">
        <v>37000</v>
      </c>
      <c r="L979" s="508">
        <v>37000</v>
      </c>
      <c r="M979" s="489" t="str">
        <f t="shared" si="38"/>
        <v>DDDDDDDĐ</v>
      </c>
    </row>
    <row r="980" spans="1:13" ht="21" customHeight="1">
      <c r="A980" s="501">
        <v>774</v>
      </c>
      <c r="B980" s="506" t="s">
        <v>2933</v>
      </c>
      <c r="C980" s="533" t="s">
        <v>2338</v>
      </c>
      <c r="D980" s="510"/>
      <c r="E980" s="508">
        <v>62700</v>
      </c>
      <c r="F980" s="508">
        <v>62700</v>
      </c>
      <c r="G980" s="501">
        <v>774</v>
      </c>
      <c r="H980" s="506" t="s">
        <v>2933</v>
      </c>
      <c r="I980" s="533" t="s">
        <v>2338</v>
      </c>
      <c r="J980" s="510"/>
      <c r="K980" s="508">
        <v>62700</v>
      </c>
      <c r="L980" s="508">
        <v>62700</v>
      </c>
      <c r="M980" s="489" t="str">
        <f t="shared" si="38"/>
        <v>DDDDDDDĐ</v>
      </c>
    </row>
    <row r="981" spans="1:13" ht="21" customHeight="1">
      <c r="A981" s="501">
        <v>775</v>
      </c>
      <c r="B981" s="506" t="s">
        <v>2934</v>
      </c>
      <c r="C981" s="533" t="s">
        <v>2338</v>
      </c>
      <c r="D981" s="510"/>
      <c r="E981" s="508">
        <v>103600</v>
      </c>
      <c r="F981" s="508">
        <v>103600</v>
      </c>
      <c r="G981" s="501">
        <v>775</v>
      </c>
      <c r="H981" s="506" t="s">
        <v>2934</v>
      </c>
      <c r="I981" s="533" t="s">
        <v>2338</v>
      </c>
      <c r="J981" s="510"/>
      <c r="K981" s="508">
        <v>103600</v>
      </c>
      <c r="L981" s="508">
        <v>103600</v>
      </c>
      <c r="M981" s="489" t="str">
        <f t="shared" si="38"/>
        <v>DDDDDDDĐ</v>
      </c>
    </row>
    <row r="982" spans="1:13" ht="21" customHeight="1">
      <c r="A982" s="501">
        <v>776</v>
      </c>
      <c r="B982" s="506" t="s">
        <v>2935</v>
      </c>
      <c r="C982" s="533" t="s">
        <v>2338</v>
      </c>
      <c r="D982" s="510"/>
      <c r="E982" s="508">
        <v>127900</v>
      </c>
      <c r="F982" s="508">
        <v>127900</v>
      </c>
      <c r="G982" s="501">
        <v>776</v>
      </c>
      <c r="H982" s="506" t="s">
        <v>2935</v>
      </c>
      <c r="I982" s="533" t="s">
        <v>2338</v>
      </c>
      <c r="J982" s="510"/>
      <c r="K982" s="508">
        <v>127900</v>
      </c>
      <c r="L982" s="508">
        <v>127900</v>
      </c>
      <c r="M982" s="489" t="str">
        <f t="shared" si="38"/>
        <v>DDDDDDDĐ</v>
      </c>
    </row>
    <row r="983" spans="1:13" ht="21" customHeight="1">
      <c r="A983" s="501">
        <v>777</v>
      </c>
      <c r="B983" s="506" t="s">
        <v>2936</v>
      </c>
      <c r="C983" s="533" t="s">
        <v>2338</v>
      </c>
      <c r="D983" s="510"/>
      <c r="E983" s="508">
        <v>217200</v>
      </c>
      <c r="F983" s="508">
        <v>217200</v>
      </c>
      <c r="G983" s="501">
        <v>777</v>
      </c>
      <c r="H983" s="506" t="s">
        <v>2936</v>
      </c>
      <c r="I983" s="533" t="s">
        <v>2338</v>
      </c>
      <c r="J983" s="510"/>
      <c r="K983" s="508">
        <v>217200</v>
      </c>
      <c r="L983" s="508">
        <v>217200</v>
      </c>
      <c r="M983" s="489" t="str">
        <f t="shared" si="38"/>
        <v>DDDDDDDĐ</v>
      </c>
    </row>
    <row r="984" spans="1:13" ht="21" customHeight="1">
      <c r="A984" s="501">
        <v>778</v>
      </c>
      <c r="B984" s="506" t="s">
        <v>2937</v>
      </c>
      <c r="C984" s="533" t="s">
        <v>2883</v>
      </c>
      <c r="D984" s="510"/>
      <c r="E984" s="508">
        <v>100900</v>
      </c>
      <c r="F984" s="1432">
        <v>100900</v>
      </c>
      <c r="G984" s="501">
        <v>778</v>
      </c>
      <c r="H984" s="506" t="s">
        <v>2937</v>
      </c>
      <c r="I984" s="533" t="s">
        <v>2883</v>
      </c>
      <c r="J984" s="510"/>
      <c r="K984" s="508">
        <v>100900</v>
      </c>
      <c r="L984" s="508">
        <v>100900</v>
      </c>
      <c r="M984" s="489" t="str">
        <f t="shared" si="38"/>
        <v>DDDDDDDĐ</v>
      </c>
    </row>
    <row r="985" spans="1:13" ht="21" customHeight="1">
      <c r="A985" s="501">
        <v>779</v>
      </c>
      <c r="B985" s="506" t="s">
        <v>2938</v>
      </c>
      <c r="C985" s="533" t="s">
        <v>2307</v>
      </c>
      <c r="D985" s="510"/>
      <c r="E985" s="508">
        <v>67300</v>
      </c>
      <c r="F985" s="508">
        <v>67300</v>
      </c>
      <c r="G985" s="501">
        <v>779</v>
      </c>
      <c r="H985" s="506" t="s">
        <v>2938</v>
      </c>
      <c r="I985" s="533" t="s">
        <v>2307</v>
      </c>
      <c r="J985" s="510"/>
      <c r="K985" s="508">
        <v>67300</v>
      </c>
      <c r="L985" s="508">
        <v>67300</v>
      </c>
      <c r="M985" s="489" t="str">
        <f t="shared" si="38"/>
        <v>DDDDDDDĐ</v>
      </c>
    </row>
    <row r="986" spans="1:13" ht="21" customHeight="1">
      <c r="A986" s="501"/>
      <c r="B986" s="502" t="s">
        <v>2939</v>
      </c>
      <c r="C986" s="510"/>
      <c r="D986" s="510"/>
      <c r="E986" s="508"/>
      <c r="F986" s="508"/>
      <c r="G986" s="501"/>
      <c r="H986" s="502" t="s">
        <v>2939</v>
      </c>
      <c r="I986" s="510"/>
      <c r="J986" s="510"/>
      <c r="K986" s="508"/>
      <c r="L986" s="508"/>
      <c r="M986" s="489" t="str">
        <f t="shared" si="38"/>
        <v>DDDDDDDĐ</v>
      </c>
    </row>
    <row r="987" spans="1:13" ht="21" customHeight="1">
      <c r="A987" s="501">
        <v>780</v>
      </c>
      <c r="B987" s="539" t="s">
        <v>2940</v>
      </c>
      <c r="C987" s="533" t="s">
        <v>2344</v>
      </c>
      <c r="D987" s="510"/>
      <c r="E987" s="508">
        <v>387100</v>
      </c>
      <c r="F987" s="508">
        <v>387100</v>
      </c>
      <c r="G987" s="501">
        <v>780</v>
      </c>
      <c r="H987" s="539" t="s">
        <v>2940</v>
      </c>
      <c r="I987" s="533" t="s">
        <v>2344</v>
      </c>
      <c r="J987" s="510"/>
      <c r="K987" s="508">
        <v>387100</v>
      </c>
      <c r="L987" s="508">
        <v>387100</v>
      </c>
      <c r="M987" s="489" t="str">
        <f t="shared" si="38"/>
        <v>DDDDDDDĐ</v>
      </c>
    </row>
    <row r="988" spans="1:13" ht="21" customHeight="1">
      <c r="A988" s="501">
        <v>781</v>
      </c>
      <c r="B988" s="539" t="s">
        <v>2941</v>
      </c>
      <c r="C988" s="533" t="s">
        <v>2344</v>
      </c>
      <c r="D988" s="510"/>
      <c r="E988" s="508">
        <v>473400</v>
      </c>
      <c r="F988" s="508">
        <v>473400</v>
      </c>
      <c r="G988" s="501">
        <v>781</v>
      </c>
      <c r="H988" s="539" t="s">
        <v>2941</v>
      </c>
      <c r="I988" s="533" t="s">
        <v>2344</v>
      </c>
      <c r="J988" s="510"/>
      <c r="K988" s="508">
        <v>473400</v>
      </c>
      <c r="L988" s="508">
        <v>473400</v>
      </c>
      <c r="M988" s="489" t="str">
        <f t="shared" si="38"/>
        <v>DDDDDDDĐ</v>
      </c>
    </row>
    <row r="989" spans="1:13" ht="21" customHeight="1">
      <c r="A989" s="501">
        <v>782</v>
      </c>
      <c r="B989" s="539" t="s">
        <v>2942</v>
      </c>
      <c r="C989" s="533" t="s">
        <v>2344</v>
      </c>
      <c r="D989" s="510"/>
      <c r="E989" s="508">
        <v>571500</v>
      </c>
      <c r="F989" s="508">
        <v>571500</v>
      </c>
      <c r="G989" s="501">
        <v>782</v>
      </c>
      <c r="H989" s="539" t="s">
        <v>2942</v>
      </c>
      <c r="I989" s="533" t="s">
        <v>2344</v>
      </c>
      <c r="J989" s="510"/>
      <c r="K989" s="508">
        <v>571500</v>
      </c>
      <c r="L989" s="508">
        <v>571500</v>
      </c>
      <c r="M989" s="489" t="str">
        <f t="shared" si="38"/>
        <v>DDDDDDDĐ</v>
      </c>
    </row>
    <row r="990" spans="1:13" ht="21" customHeight="1">
      <c r="A990" s="501">
        <v>783</v>
      </c>
      <c r="B990" s="539" t="s">
        <v>2943</v>
      </c>
      <c r="C990" s="533" t="s">
        <v>2344</v>
      </c>
      <c r="D990" s="510"/>
      <c r="E990" s="508">
        <v>477600</v>
      </c>
      <c r="F990" s="508">
        <v>477600</v>
      </c>
      <c r="G990" s="501">
        <v>783</v>
      </c>
      <c r="H990" s="539" t="s">
        <v>2943</v>
      </c>
      <c r="I990" s="533" t="s">
        <v>2344</v>
      </c>
      <c r="J990" s="510"/>
      <c r="K990" s="508">
        <v>477600</v>
      </c>
      <c r="L990" s="508">
        <v>477600</v>
      </c>
      <c r="M990" s="489" t="str">
        <f t="shared" si="38"/>
        <v>DDDDDDDĐ</v>
      </c>
    </row>
    <row r="991" spans="1:13" ht="21" customHeight="1">
      <c r="A991" s="501">
        <v>784</v>
      </c>
      <c r="B991" s="539" t="s">
        <v>2944</v>
      </c>
      <c r="C991" s="533" t="s">
        <v>2344</v>
      </c>
      <c r="D991" s="510"/>
      <c r="E991" s="508">
        <v>580600</v>
      </c>
      <c r="F991" s="508">
        <v>580600</v>
      </c>
      <c r="G991" s="501">
        <v>784</v>
      </c>
      <c r="H991" s="539" t="s">
        <v>2944</v>
      </c>
      <c r="I991" s="533" t="s">
        <v>2344</v>
      </c>
      <c r="J991" s="510"/>
      <c r="K991" s="508">
        <v>580600</v>
      </c>
      <c r="L991" s="508">
        <v>580600</v>
      </c>
      <c r="M991" s="489" t="str">
        <f t="shared" si="38"/>
        <v>DDDDDDDĐ</v>
      </c>
    </row>
    <row r="992" spans="1:13" ht="21" customHeight="1">
      <c r="A992" s="501">
        <v>785</v>
      </c>
      <c r="B992" s="539" t="s">
        <v>2945</v>
      </c>
      <c r="C992" s="533" t="s">
        <v>2344</v>
      </c>
      <c r="D992" s="510"/>
      <c r="E992" s="508">
        <v>704800</v>
      </c>
      <c r="F992" s="508">
        <v>704800</v>
      </c>
      <c r="G992" s="501">
        <v>785</v>
      </c>
      <c r="H992" s="539" t="s">
        <v>2945</v>
      </c>
      <c r="I992" s="533" t="s">
        <v>2344</v>
      </c>
      <c r="J992" s="510"/>
      <c r="K992" s="508">
        <v>704800</v>
      </c>
      <c r="L992" s="508">
        <v>704800</v>
      </c>
      <c r="M992" s="489" t="str">
        <f t="shared" si="38"/>
        <v>DDDDDDDĐ</v>
      </c>
    </row>
    <row r="993" spans="1:13" ht="21" customHeight="1">
      <c r="A993" s="501">
        <v>786</v>
      </c>
      <c r="B993" s="539" t="s">
        <v>2946</v>
      </c>
      <c r="C993" s="533" t="s">
        <v>2344</v>
      </c>
      <c r="D993" s="510"/>
      <c r="E993" s="508">
        <v>605800</v>
      </c>
      <c r="F993" s="508">
        <v>605800</v>
      </c>
      <c r="G993" s="501">
        <v>786</v>
      </c>
      <c r="H993" s="539" t="s">
        <v>2946</v>
      </c>
      <c r="I993" s="533" t="s">
        <v>2344</v>
      </c>
      <c r="J993" s="510"/>
      <c r="K993" s="508">
        <v>605800</v>
      </c>
      <c r="L993" s="508">
        <v>605800</v>
      </c>
      <c r="M993" s="489" t="str">
        <f t="shared" si="38"/>
        <v>DDDDDDDĐ</v>
      </c>
    </row>
    <row r="994" spans="1:13" ht="21" customHeight="1">
      <c r="A994" s="501">
        <v>787</v>
      </c>
      <c r="B994" s="539" t="s">
        <v>2947</v>
      </c>
      <c r="C994" s="533" t="s">
        <v>2344</v>
      </c>
      <c r="D994" s="510"/>
      <c r="E994" s="508">
        <v>737300</v>
      </c>
      <c r="F994" s="508">
        <v>737300</v>
      </c>
      <c r="G994" s="501">
        <v>787</v>
      </c>
      <c r="H994" s="539" t="s">
        <v>2947</v>
      </c>
      <c r="I994" s="533" t="s">
        <v>2344</v>
      </c>
      <c r="J994" s="510"/>
      <c r="K994" s="508">
        <v>737300</v>
      </c>
      <c r="L994" s="508">
        <v>737300</v>
      </c>
      <c r="M994" s="489" t="str">
        <f t="shared" ref="M994:M1057" si="39">IF(B994=H994,"DDDDDDDĐ","SSSSSSSSSSSS")</f>
        <v>DDDDDDDĐ</v>
      </c>
    </row>
    <row r="995" spans="1:13" ht="21" customHeight="1">
      <c r="A995" s="501">
        <v>788</v>
      </c>
      <c r="B995" s="539" t="s">
        <v>2948</v>
      </c>
      <c r="C995" s="533" t="s">
        <v>2344</v>
      </c>
      <c r="D995" s="510"/>
      <c r="E995" s="508">
        <v>892000</v>
      </c>
      <c r="F995" s="508">
        <v>892000</v>
      </c>
      <c r="G995" s="501">
        <v>788</v>
      </c>
      <c r="H995" s="539" t="s">
        <v>2948</v>
      </c>
      <c r="I995" s="533" t="s">
        <v>2344</v>
      </c>
      <c r="J995" s="510"/>
      <c r="K995" s="508">
        <v>892000</v>
      </c>
      <c r="L995" s="508">
        <v>892000</v>
      </c>
      <c r="M995" s="489" t="str">
        <f t="shared" si="39"/>
        <v>DDDDDDDĐ</v>
      </c>
    </row>
    <row r="996" spans="1:13" ht="21" customHeight="1">
      <c r="A996" s="501">
        <v>789</v>
      </c>
      <c r="B996" s="539" t="s">
        <v>2949</v>
      </c>
      <c r="C996" s="533" t="s">
        <v>2344</v>
      </c>
      <c r="D996" s="510"/>
      <c r="E996" s="508">
        <v>742400</v>
      </c>
      <c r="F996" s="508">
        <v>742400</v>
      </c>
      <c r="G996" s="501">
        <v>789</v>
      </c>
      <c r="H996" s="539" t="s">
        <v>2949</v>
      </c>
      <c r="I996" s="533" t="s">
        <v>2344</v>
      </c>
      <c r="J996" s="510"/>
      <c r="K996" s="508">
        <v>742400</v>
      </c>
      <c r="L996" s="508">
        <v>742400</v>
      </c>
      <c r="M996" s="489" t="str">
        <f t="shared" si="39"/>
        <v>DDDDDDDĐ</v>
      </c>
    </row>
    <row r="997" spans="1:13" ht="21" customHeight="1">
      <c r="A997" s="501">
        <v>790</v>
      </c>
      <c r="B997" s="539" t="s">
        <v>2950</v>
      </c>
      <c r="C997" s="533" t="s">
        <v>2344</v>
      </c>
      <c r="D997" s="510"/>
      <c r="E997" s="508">
        <v>908300</v>
      </c>
      <c r="F997" s="508">
        <v>908300</v>
      </c>
      <c r="G997" s="501">
        <v>790</v>
      </c>
      <c r="H997" s="539" t="s">
        <v>2950</v>
      </c>
      <c r="I997" s="533" t="s">
        <v>2344</v>
      </c>
      <c r="J997" s="510"/>
      <c r="K997" s="508">
        <v>908300</v>
      </c>
      <c r="L997" s="508">
        <v>908300</v>
      </c>
      <c r="M997" s="489" t="str">
        <f t="shared" si="39"/>
        <v>DDDDDDDĐ</v>
      </c>
    </row>
    <row r="998" spans="1:13" ht="21" customHeight="1">
      <c r="A998" s="501">
        <v>791</v>
      </c>
      <c r="B998" s="539" t="s">
        <v>2951</v>
      </c>
      <c r="C998" s="533" t="s">
        <v>2344</v>
      </c>
      <c r="D998" s="510"/>
      <c r="E998" s="508">
        <v>1097100</v>
      </c>
      <c r="F998" s="508">
        <v>1097100</v>
      </c>
      <c r="G998" s="501">
        <v>791</v>
      </c>
      <c r="H998" s="539" t="s">
        <v>2951</v>
      </c>
      <c r="I998" s="533" t="s">
        <v>2344</v>
      </c>
      <c r="J998" s="510"/>
      <c r="K998" s="508">
        <v>1097100</v>
      </c>
      <c r="L998" s="508">
        <v>1097100</v>
      </c>
      <c r="M998" s="489" t="str">
        <f t="shared" si="39"/>
        <v>DDDDDDDĐ</v>
      </c>
    </row>
    <row r="999" spans="1:13" ht="21" customHeight="1">
      <c r="A999" s="501">
        <v>792</v>
      </c>
      <c r="B999" s="539" t="s">
        <v>2952</v>
      </c>
      <c r="C999" s="533" t="s">
        <v>2344</v>
      </c>
      <c r="D999" s="510"/>
      <c r="E999" s="508">
        <v>932700</v>
      </c>
      <c r="F999" s="508">
        <v>932700</v>
      </c>
      <c r="G999" s="501">
        <v>792</v>
      </c>
      <c r="H999" s="539" t="s">
        <v>2952</v>
      </c>
      <c r="I999" s="533" t="s">
        <v>2344</v>
      </c>
      <c r="J999" s="510"/>
      <c r="K999" s="508">
        <v>932700</v>
      </c>
      <c r="L999" s="508">
        <v>932700</v>
      </c>
      <c r="M999" s="489" t="str">
        <f t="shared" si="39"/>
        <v>DDDDDDDĐ</v>
      </c>
    </row>
    <row r="1000" spans="1:13" ht="21" customHeight="1">
      <c r="A1000" s="501">
        <v>793</v>
      </c>
      <c r="B1000" s="539" t="s">
        <v>2953</v>
      </c>
      <c r="C1000" s="533" t="s">
        <v>2344</v>
      </c>
      <c r="D1000" s="510"/>
      <c r="E1000" s="508">
        <v>1138000</v>
      </c>
      <c r="F1000" s="508">
        <v>1138000</v>
      </c>
      <c r="G1000" s="501">
        <v>793</v>
      </c>
      <c r="H1000" s="539" t="s">
        <v>2953</v>
      </c>
      <c r="I1000" s="533" t="s">
        <v>2344</v>
      </c>
      <c r="J1000" s="510"/>
      <c r="K1000" s="508">
        <v>1138000</v>
      </c>
      <c r="L1000" s="508">
        <v>1138000</v>
      </c>
      <c r="M1000" s="489" t="str">
        <f t="shared" si="39"/>
        <v>DDDDDDDĐ</v>
      </c>
    </row>
    <row r="1001" spans="1:13" ht="21" customHeight="1">
      <c r="A1001" s="501">
        <v>794</v>
      </c>
      <c r="B1001" s="539" t="s">
        <v>2954</v>
      </c>
      <c r="C1001" s="533" t="s">
        <v>2344</v>
      </c>
      <c r="D1001" s="510"/>
      <c r="E1001" s="508">
        <v>1375400</v>
      </c>
      <c r="F1001" s="508">
        <v>1375400</v>
      </c>
      <c r="G1001" s="501">
        <v>794</v>
      </c>
      <c r="H1001" s="539" t="s">
        <v>2954</v>
      </c>
      <c r="I1001" s="533" t="s">
        <v>2344</v>
      </c>
      <c r="J1001" s="510"/>
      <c r="K1001" s="508">
        <v>1375400</v>
      </c>
      <c r="L1001" s="508">
        <v>1375400</v>
      </c>
      <c r="M1001" s="489" t="str">
        <f t="shared" si="39"/>
        <v>DDDDDDDĐ</v>
      </c>
    </row>
    <row r="1002" spans="1:13" ht="21" customHeight="1">
      <c r="A1002" s="501">
        <v>795</v>
      </c>
      <c r="B1002" s="539" t="s">
        <v>2955</v>
      </c>
      <c r="C1002" s="533" t="s">
        <v>2344</v>
      </c>
      <c r="D1002" s="510"/>
      <c r="E1002" s="508">
        <v>1181200</v>
      </c>
      <c r="F1002" s="508">
        <v>1181200</v>
      </c>
      <c r="G1002" s="501">
        <v>795</v>
      </c>
      <c r="H1002" s="539" t="s">
        <v>2955</v>
      </c>
      <c r="I1002" s="533" t="s">
        <v>2344</v>
      </c>
      <c r="J1002" s="510"/>
      <c r="K1002" s="508">
        <v>1181200</v>
      </c>
      <c r="L1002" s="508">
        <v>1181200</v>
      </c>
      <c r="M1002" s="489" t="str">
        <f t="shared" si="39"/>
        <v>DDDDDDDĐ</v>
      </c>
    </row>
    <row r="1003" spans="1:13" ht="21" customHeight="1">
      <c r="A1003" s="501">
        <v>796</v>
      </c>
      <c r="B1003" s="539" t="s">
        <v>2956</v>
      </c>
      <c r="C1003" s="533" t="s">
        <v>2344</v>
      </c>
      <c r="D1003" s="510"/>
      <c r="E1003" s="508">
        <v>1442300</v>
      </c>
      <c r="F1003" s="508">
        <v>1442300</v>
      </c>
      <c r="G1003" s="501">
        <v>796</v>
      </c>
      <c r="H1003" s="539" t="s">
        <v>2956</v>
      </c>
      <c r="I1003" s="533" t="s">
        <v>2344</v>
      </c>
      <c r="J1003" s="510"/>
      <c r="K1003" s="508">
        <v>1442300</v>
      </c>
      <c r="L1003" s="508">
        <v>1442300</v>
      </c>
      <c r="M1003" s="489" t="str">
        <f t="shared" si="39"/>
        <v>DDDDDDDĐ</v>
      </c>
    </row>
    <row r="1004" spans="1:13" ht="21" customHeight="1">
      <c r="A1004" s="501">
        <v>797</v>
      </c>
      <c r="B1004" s="539" t="s">
        <v>2957</v>
      </c>
      <c r="C1004" s="533" t="s">
        <v>2344</v>
      </c>
      <c r="D1004" s="510"/>
      <c r="E1004" s="508">
        <v>1741000</v>
      </c>
      <c r="F1004" s="508">
        <v>1741000</v>
      </c>
      <c r="G1004" s="501">
        <v>797</v>
      </c>
      <c r="H1004" s="539" t="s">
        <v>2957</v>
      </c>
      <c r="I1004" s="533" t="s">
        <v>2344</v>
      </c>
      <c r="J1004" s="510"/>
      <c r="K1004" s="508">
        <v>1741000</v>
      </c>
      <c r="L1004" s="508">
        <v>1741000</v>
      </c>
      <c r="M1004" s="489" t="str">
        <f t="shared" si="39"/>
        <v>DDDDDDDĐ</v>
      </c>
    </row>
    <row r="1005" spans="1:13" ht="21" customHeight="1">
      <c r="A1005" s="501"/>
      <c r="B1005" s="502" t="s">
        <v>3821</v>
      </c>
      <c r="C1005" s="510"/>
      <c r="D1005" s="510"/>
      <c r="E1005" s="508"/>
      <c r="F1005" s="508"/>
      <c r="G1005" s="501"/>
      <c r="H1005" s="502" t="s">
        <v>3821</v>
      </c>
      <c r="I1005" s="510"/>
      <c r="J1005" s="510"/>
      <c r="K1005" s="508"/>
      <c r="L1005" s="508"/>
      <c r="M1005" s="489" t="str">
        <f t="shared" si="39"/>
        <v>DDDDDDDĐ</v>
      </c>
    </row>
    <row r="1006" spans="1:13" ht="21" customHeight="1">
      <c r="A1006" s="513"/>
      <c r="B1006" s="514" t="s">
        <v>2958</v>
      </c>
      <c r="C1006" s="535"/>
      <c r="D1006" s="546"/>
      <c r="E1006" s="535"/>
      <c r="F1006" s="535"/>
      <c r="G1006" s="513"/>
      <c r="H1006" s="514" t="s">
        <v>2958</v>
      </c>
      <c r="I1006" s="535"/>
      <c r="J1006" s="546"/>
      <c r="K1006" s="535"/>
      <c r="L1006" s="535"/>
      <c r="M1006" s="489" t="str">
        <f t="shared" si="39"/>
        <v>DDDDDDDĐ</v>
      </c>
    </row>
    <row r="1007" spans="1:13" ht="21" customHeight="1">
      <c r="A1007" s="501">
        <v>798</v>
      </c>
      <c r="B1007" s="547" t="s">
        <v>2959</v>
      </c>
      <c r="C1007" s="548" t="s">
        <v>2960</v>
      </c>
      <c r="D1007" s="549"/>
      <c r="E1007" s="550">
        <v>6150</v>
      </c>
      <c r="F1007" s="550">
        <f>E1007</f>
        <v>6150</v>
      </c>
      <c r="G1007" s="501">
        <v>798</v>
      </c>
      <c r="H1007" s="547" t="s">
        <v>2959</v>
      </c>
      <c r="I1007" s="548" t="s">
        <v>2960</v>
      </c>
      <c r="J1007" s="549"/>
      <c r="K1007" s="550">
        <v>6150</v>
      </c>
      <c r="L1007" s="550">
        <f>K1007</f>
        <v>6150</v>
      </c>
      <c r="M1007" s="489" t="str">
        <f t="shared" si="39"/>
        <v>DDDDDDDĐ</v>
      </c>
    </row>
    <row r="1008" spans="1:13" ht="21" customHeight="1">
      <c r="A1008" s="501">
        <v>799</v>
      </c>
      <c r="B1008" s="547" t="s">
        <v>2961</v>
      </c>
      <c r="C1008" s="548" t="s">
        <v>2960</v>
      </c>
      <c r="D1008" s="549"/>
      <c r="E1008" s="550">
        <v>7500</v>
      </c>
      <c r="F1008" s="550">
        <f t="shared" ref="F1008:F1020" si="40">E1008</f>
        <v>7500</v>
      </c>
      <c r="G1008" s="501">
        <v>799</v>
      </c>
      <c r="H1008" s="547" t="s">
        <v>2961</v>
      </c>
      <c r="I1008" s="548" t="s">
        <v>2960</v>
      </c>
      <c r="J1008" s="549"/>
      <c r="K1008" s="550">
        <v>7500</v>
      </c>
      <c r="L1008" s="550">
        <f t="shared" ref="L1008:L1020" si="41">K1008</f>
        <v>7500</v>
      </c>
      <c r="M1008" s="489" t="str">
        <f t="shared" si="39"/>
        <v>DDDDDDDĐ</v>
      </c>
    </row>
    <row r="1009" spans="1:13" ht="21" customHeight="1">
      <c r="A1009" s="501">
        <v>800</v>
      </c>
      <c r="B1009" s="547" t="s">
        <v>2962</v>
      </c>
      <c r="C1009" s="548" t="s">
        <v>2960</v>
      </c>
      <c r="D1009" s="549"/>
      <c r="E1009" s="550">
        <v>8750</v>
      </c>
      <c r="F1009" s="550">
        <f t="shared" si="40"/>
        <v>8750</v>
      </c>
      <c r="G1009" s="501">
        <v>800</v>
      </c>
      <c r="H1009" s="547" t="s">
        <v>2962</v>
      </c>
      <c r="I1009" s="548" t="s">
        <v>2960</v>
      </c>
      <c r="J1009" s="549"/>
      <c r="K1009" s="550">
        <v>8750</v>
      </c>
      <c r="L1009" s="550">
        <f t="shared" si="41"/>
        <v>8750</v>
      </c>
      <c r="M1009" s="489" t="str">
        <f t="shared" si="39"/>
        <v>DDDDDDDĐ</v>
      </c>
    </row>
    <row r="1010" spans="1:13" ht="21" customHeight="1">
      <c r="A1010" s="501">
        <v>801</v>
      </c>
      <c r="B1010" s="547" t="s">
        <v>2963</v>
      </c>
      <c r="C1010" s="548" t="s">
        <v>2960</v>
      </c>
      <c r="D1010" s="549"/>
      <c r="E1010" s="550">
        <v>10500</v>
      </c>
      <c r="F1010" s="550">
        <f t="shared" si="40"/>
        <v>10500</v>
      </c>
      <c r="G1010" s="501">
        <v>801</v>
      </c>
      <c r="H1010" s="547" t="s">
        <v>2963</v>
      </c>
      <c r="I1010" s="548" t="s">
        <v>2960</v>
      </c>
      <c r="J1010" s="549"/>
      <c r="K1010" s="550">
        <v>10500</v>
      </c>
      <c r="L1010" s="550">
        <f t="shared" si="41"/>
        <v>10500</v>
      </c>
      <c r="M1010" s="489" t="str">
        <f t="shared" si="39"/>
        <v>DDDDDDDĐ</v>
      </c>
    </row>
    <row r="1011" spans="1:13" ht="24.75" customHeight="1">
      <c r="A1011" s="501">
        <v>802</v>
      </c>
      <c r="B1011" s="547" t="s">
        <v>2964</v>
      </c>
      <c r="C1011" s="548" t="s">
        <v>2960</v>
      </c>
      <c r="D1011" s="549"/>
      <c r="E1011" s="550">
        <v>16350</v>
      </c>
      <c r="F1011" s="550">
        <f t="shared" si="40"/>
        <v>16350</v>
      </c>
      <c r="G1011" s="501">
        <v>802</v>
      </c>
      <c r="H1011" s="547" t="s">
        <v>2964</v>
      </c>
      <c r="I1011" s="548" t="s">
        <v>2960</v>
      </c>
      <c r="J1011" s="549"/>
      <c r="K1011" s="550">
        <v>16350</v>
      </c>
      <c r="L1011" s="550">
        <f t="shared" si="41"/>
        <v>16350</v>
      </c>
      <c r="M1011" s="489" t="str">
        <f t="shared" si="39"/>
        <v>DDDDDDDĐ</v>
      </c>
    </row>
    <row r="1012" spans="1:13" ht="21.75" customHeight="1">
      <c r="A1012" s="501">
        <v>803</v>
      </c>
      <c r="B1012" s="547" t="s">
        <v>2965</v>
      </c>
      <c r="C1012" s="548" t="s">
        <v>2960</v>
      </c>
      <c r="D1012" s="549"/>
      <c r="E1012" s="550">
        <v>26600</v>
      </c>
      <c r="F1012" s="550">
        <f t="shared" si="40"/>
        <v>26600</v>
      </c>
      <c r="G1012" s="501">
        <v>803</v>
      </c>
      <c r="H1012" s="547" t="s">
        <v>2965</v>
      </c>
      <c r="I1012" s="548" t="s">
        <v>2960</v>
      </c>
      <c r="J1012" s="549"/>
      <c r="K1012" s="550">
        <v>26600</v>
      </c>
      <c r="L1012" s="550">
        <f t="shared" si="41"/>
        <v>26600</v>
      </c>
      <c r="M1012" s="489" t="str">
        <f t="shared" si="39"/>
        <v>DDDDDDDĐ</v>
      </c>
    </row>
    <row r="1013" spans="1:13" ht="21" customHeight="1">
      <c r="A1013" s="501">
        <v>804</v>
      </c>
      <c r="B1013" s="547" t="s">
        <v>2966</v>
      </c>
      <c r="C1013" s="548" t="s">
        <v>2960</v>
      </c>
      <c r="D1013" s="549"/>
      <c r="E1013" s="550">
        <v>21350</v>
      </c>
      <c r="F1013" s="550">
        <f t="shared" si="40"/>
        <v>21350</v>
      </c>
      <c r="G1013" s="501">
        <v>804</v>
      </c>
      <c r="H1013" s="547" t="s">
        <v>2966</v>
      </c>
      <c r="I1013" s="548" t="s">
        <v>2960</v>
      </c>
      <c r="J1013" s="549"/>
      <c r="K1013" s="550">
        <v>21350</v>
      </c>
      <c r="L1013" s="550">
        <f t="shared" si="41"/>
        <v>21350</v>
      </c>
      <c r="M1013" s="489" t="str">
        <f t="shared" si="39"/>
        <v>DDDDDDDĐ</v>
      </c>
    </row>
    <row r="1014" spans="1:13" ht="21" customHeight="1">
      <c r="A1014" s="501">
        <v>805</v>
      </c>
      <c r="B1014" s="547" t="s">
        <v>2967</v>
      </c>
      <c r="C1014" s="548" t="s">
        <v>2960</v>
      </c>
      <c r="D1014" s="549"/>
      <c r="E1014" s="550">
        <v>31400</v>
      </c>
      <c r="F1014" s="550">
        <f t="shared" si="40"/>
        <v>31400</v>
      </c>
      <c r="G1014" s="501">
        <v>805</v>
      </c>
      <c r="H1014" s="547" t="s">
        <v>2967</v>
      </c>
      <c r="I1014" s="548" t="s">
        <v>2960</v>
      </c>
      <c r="J1014" s="549"/>
      <c r="K1014" s="550">
        <v>31400</v>
      </c>
      <c r="L1014" s="550">
        <f t="shared" si="41"/>
        <v>31400</v>
      </c>
      <c r="M1014" s="489" t="str">
        <f t="shared" si="39"/>
        <v>DDDDDDDĐ</v>
      </c>
    </row>
    <row r="1015" spans="1:13" ht="21" customHeight="1">
      <c r="A1015" s="501">
        <v>806</v>
      </c>
      <c r="B1015" s="547" t="s">
        <v>2968</v>
      </c>
      <c r="C1015" s="548" t="s">
        <v>2960</v>
      </c>
      <c r="D1015" s="549"/>
      <c r="E1015" s="1010">
        <v>28100</v>
      </c>
      <c r="F1015" s="550">
        <f t="shared" si="40"/>
        <v>28100</v>
      </c>
      <c r="G1015" s="501">
        <v>806</v>
      </c>
      <c r="H1015" s="547" t="s">
        <v>2968</v>
      </c>
      <c r="I1015" s="548" t="s">
        <v>2960</v>
      </c>
      <c r="J1015" s="549"/>
      <c r="K1015" s="1010">
        <v>28100</v>
      </c>
      <c r="L1015" s="550">
        <f t="shared" si="41"/>
        <v>28100</v>
      </c>
      <c r="M1015" s="489" t="str">
        <f t="shared" si="39"/>
        <v>DDDDDDDĐ</v>
      </c>
    </row>
    <row r="1016" spans="1:13" ht="21" customHeight="1">
      <c r="A1016" s="501">
        <v>807</v>
      </c>
      <c r="B1016" s="547" t="s">
        <v>2969</v>
      </c>
      <c r="C1016" s="548" t="s">
        <v>2960</v>
      </c>
      <c r="D1016" s="549"/>
      <c r="E1016" s="551">
        <v>48200</v>
      </c>
      <c r="F1016" s="550">
        <f t="shared" si="40"/>
        <v>48200</v>
      </c>
      <c r="G1016" s="501">
        <v>807</v>
      </c>
      <c r="H1016" s="547" t="s">
        <v>2969</v>
      </c>
      <c r="I1016" s="548" t="s">
        <v>2960</v>
      </c>
      <c r="J1016" s="549"/>
      <c r="K1016" s="551">
        <v>48200</v>
      </c>
      <c r="L1016" s="550">
        <f t="shared" si="41"/>
        <v>48200</v>
      </c>
      <c r="M1016" s="489" t="str">
        <f t="shared" si="39"/>
        <v>DDDDDDDĐ</v>
      </c>
    </row>
    <row r="1017" spans="1:13" ht="21" customHeight="1">
      <c r="A1017" s="501">
        <v>808</v>
      </c>
      <c r="B1017" s="547" t="s">
        <v>2970</v>
      </c>
      <c r="C1017" s="548" t="s">
        <v>2960</v>
      </c>
      <c r="D1017" s="549"/>
      <c r="E1017" s="551">
        <v>48750</v>
      </c>
      <c r="F1017" s="550">
        <f t="shared" si="40"/>
        <v>48750</v>
      </c>
      <c r="G1017" s="501">
        <v>808</v>
      </c>
      <c r="H1017" s="547" t="s">
        <v>2970</v>
      </c>
      <c r="I1017" s="548" t="s">
        <v>2960</v>
      </c>
      <c r="J1017" s="549"/>
      <c r="K1017" s="551">
        <v>48750</v>
      </c>
      <c r="L1017" s="550">
        <f t="shared" si="41"/>
        <v>48750</v>
      </c>
      <c r="M1017" s="489" t="str">
        <f t="shared" si="39"/>
        <v>DDDDDDDĐ</v>
      </c>
    </row>
    <row r="1018" spans="1:13" ht="21" customHeight="1">
      <c r="A1018" s="501">
        <v>809</v>
      </c>
      <c r="B1018" s="547" t="s">
        <v>2971</v>
      </c>
      <c r="C1018" s="548" t="s">
        <v>2960</v>
      </c>
      <c r="D1018" s="549"/>
      <c r="E1018" s="551">
        <v>68700</v>
      </c>
      <c r="F1018" s="550">
        <f t="shared" si="40"/>
        <v>68700</v>
      </c>
      <c r="G1018" s="501">
        <v>809</v>
      </c>
      <c r="H1018" s="547" t="s">
        <v>2971</v>
      </c>
      <c r="I1018" s="548" t="s">
        <v>2960</v>
      </c>
      <c r="J1018" s="549"/>
      <c r="K1018" s="551">
        <v>68700</v>
      </c>
      <c r="L1018" s="550">
        <f t="shared" si="41"/>
        <v>68700</v>
      </c>
      <c r="M1018" s="489" t="str">
        <f t="shared" si="39"/>
        <v>DDDDDDDĐ</v>
      </c>
    </row>
    <row r="1019" spans="1:13" ht="21" customHeight="1">
      <c r="A1019" s="501">
        <v>810</v>
      </c>
      <c r="B1019" s="547" t="s">
        <v>2972</v>
      </c>
      <c r="C1019" s="548" t="s">
        <v>2960</v>
      </c>
      <c r="D1019" s="549"/>
      <c r="E1019" s="551">
        <v>80900</v>
      </c>
      <c r="F1019" s="550">
        <f t="shared" si="40"/>
        <v>80900</v>
      </c>
      <c r="G1019" s="501">
        <v>810</v>
      </c>
      <c r="H1019" s="547" t="s">
        <v>2972</v>
      </c>
      <c r="I1019" s="548" t="s">
        <v>2960</v>
      </c>
      <c r="J1019" s="549"/>
      <c r="K1019" s="551">
        <v>80900</v>
      </c>
      <c r="L1019" s="550">
        <f t="shared" si="41"/>
        <v>80900</v>
      </c>
      <c r="M1019" s="489" t="str">
        <f t="shared" si="39"/>
        <v>DDDDDDDĐ</v>
      </c>
    </row>
    <row r="1020" spans="1:13" ht="21" customHeight="1">
      <c r="A1020" s="501">
        <v>811</v>
      </c>
      <c r="B1020" s="547" t="s">
        <v>2973</v>
      </c>
      <c r="C1020" s="548" t="s">
        <v>2960</v>
      </c>
      <c r="D1020" s="549"/>
      <c r="E1020" s="551">
        <v>135700</v>
      </c>
      <c r="F1020" s="550">
        <f t="shared" si="40"/>
        <v>135700</v>
      </c>
      <c r="G1020" s="501">
        <v>811</v>
      </c>
      <c r="H1020" s="547" t="s">
        <v>2973</v>
      </c>
      <c r="I1020" s="548" t="s">
        <v>2960</v>
      </c>
      <c r="J1020" s="549"/>
      <c r="K1020" s="551">
        <v>135700</v>
      </c>
      <c r="L1020" s="550">
        <f t="shared" si="41"/>
        <v>135700</v>
      </c>
      <c r="M1020" s="489" t="str">
        <f t="shared" si="39"/>
        <v>DDDDDDDĐ</v>
      </c>
    </row>
    <row r="1021" spans="1:13" ht="21" customHeight="1">
      <c r="A1021" s="552"/>
      <c r="B1021" s="2160" t="s">
        <v>2974</v>
      </c>
      <c r="C1021" s="2160"/>
      <c r="D1021" s="2160"/>
      <c r="E1021" s="2160"/>
      <c r="F1021" s="2160"/>
      <c r="G1021" s="552"/>
      <c r="H1021" s="2160" t="s">
        <v>2974</v>
      </c>
      <c r="I1021" s="2160"/>
      <c r="J1021" s="2160"/>
      <c r="K1021" s="2160"/>
      <c r="L1021" s="2160"/>
      <c r="M1021" s="489" t="str">
        <f t="shared" si="39"/>
        <v>DDDDDDDĐ</v>
      </c>
    </row>
    <row r="1022" spans="1:13" ht="21" customHeight="1">
      <c r="A1022" s="553">
        <v>812</v>
      </c>
      <c r="B1022" s="547" t="s">
        <v>2975</v>
      </c>
      <c r="C1022" s="548" t="s">
        <v>2960</v>
      </c>
      <c r="D1022" s="549"/>
      <c r="E1022" s="1010">
        <v>43500</v>
      </c>
      <c r="F1022" s="1010">
        <v>43500</v>
      </c>
      <c r="G1022" s="553">
        <v>812</v>
      </c>
      <c r="H1022" s="547" t="s">
        <v>2975</v>
      </c>
      <c r="I1022" s="548" t="s">
        <v>2960</v>
      </c>
      <c r="J1022" s="549"/>
      <c r="K1022" s="1010">
        <v>43500</v>
      </c>
      <c r="L1022" s="1010">
        <v>43500</v>
      </c>
      <c r="M1022" s="489" t="str">
        <f t="shared" si="39"/>
        <v>DDDDDDDĐ</v>
      </c>
    </row>
    <row r="1023" spans="1:13" ht="21" customHeight="1">
      <c r="A1023" s="553">
        <v>813</v>
      </c>
      <c r="B1023" s="547" t="s">
        <v>2976</v>
      </c>
      <c r="C1023" s="548" t="s">
        <v>2960</v>
      </c>
      <c r="D1023" s="549"/>
      <c r="E1023" s="1010">
        <v>72000</v>
      </c>
      <c r="F1023" s="1010">
        <v>72000</v>
      </c>
      <c r="G1023" s="553">
        <v>813</v>
      </c>
      <c r="H1023" s="547" t="s">
        <v>2976</v>
      </c>
      <c r="I1023" s="548" t="s">
        <v>2960</v>
      </c>
      <c r="J1023" s="549"/>
      <c r="K1023" s="1010">
        <v>72000</v>
      </c>
      <c r="L1023" s="1010">
        <v>72000</v>
      </c>
      <c r="M1023" s="489" t="str">
        <f t="shared" si="39"/>
        <v>DDDDDDDĐ</v>
      </c>
    </row>
    <row r="1024" spans="1:13" ht="21" customHeight="1">
      <c r="A1024" s="553">
        <v>814</v>
      </c>
      <c r="B1024" s="547" t="s">
        <v>2977</v>
      </c>
      <c r="C1024" s="548" t="s">
        <v>2960</v>
      </c>
      <c r="D1024" s="549"/>
      <c r="E1024" s="551">
        <v>116200</v>
      </c>
      <c r="F1024" s="551">
        <v>116200</v>
      </c>
      <c r="G1024" s="553">
        <v>814</v>
      </c>
      <c r="H1024" s="547" t="s">
        <v>2977</v>
      </c>
      <c r="I1024" s="548" t="s">
        <v>2960</v>
      </c>
      <c r="J1024" s="549"/>
      <c r="K1024" s="551">
        <v>116200</v>
      </c>
      <c r="L1024" s="551">
        <v>116200</v>
      </c>
      <c r="M1024" s="489" t="str">
        <f t="shared" si="39"/>
        <v>DDDDDDDĐ</v>
      </c>
    </row>
    <row r="1025" spans="1:13" ht="21" customHeight="1">
      <c r="A1025" s="553">
        <v>815</v>
      </c>
      <c r="B1025" s="547" t="s">
        <v>2978</v>
      </c>
      <c r="C1025" s="548" t="s">
        <v>2960</v>
      </c>
      <c r="D1025" s="549"/>
      <c r="E1025" s="551">
        <v>151000</v>
      </c>
      <c r="F1025" s="551">
        <v>151000</v>
      </c>
      <c r="G1025" s="553">
        <v>815</v>
      </c>
      <c r="H1025" s="547" t="s">
        <v>2978</v>
      </c>
      <c r="I1025" s="548" t="s">
        <v>2960</v>
      </c>
      <c r="J1025" s="549"/>
      <c r="K1025" s="551">
        <v>151000</v>
      </c>
      <c r="L1025" s="551">
        <v>151000</v>
      </c>
      <c r="M1025" s="489" t="str">
        <f t="shared" si="39"/>
        <v>DDDDDDDĐ</v>
      </c>
    </row>
    <row r="1026" spans="1:13" ht="21" customHeight="1">
      <c r="A1026" s="553">
        <v>816</v>
      </c>
      <c r="B1026" s="547" t="s">
        <v>2979</v>
      </c>
      <c r="C1026" s="548" t="s">
        <v>2960</v>
      </c>
      <c r="D1026" s="549"/>
      <c r="E1026" s="551">
        <v>235200</v>
      </c>
      <c r="F1026" s="551">
        <v>235200</v>
      </c>
      <c r="G1026" s="553">
        <v>816</v>
      </c>
      <c r="H1026" s="547" t="s">
        <v>2979</v>
      </c>
      <c r="I1026" s="548" t="s">
        <v>2960</v>
      </c>
      <c r="J1026" s="549"/>
      <c r="K1026" s="551">
        <v>235200</v>
      </c>
      <c r="L1026" s="551">
        <v>235200</v>
      </c>
      <c r="M1026" s="489" t="str">
        <f t="shared" si="39"/>
        <v>DDDDDDDĐ</v>
      </c>
    </row>
    <row r="1027" spans="1:13" ht="21" customHeight="1">
      <c r="A1027" s="552"/>
      <c r="B1027" s="2160" t="s">
        <v>2980</v>
      </c>
      <c r="C1027" s="2160"/>
      <c r="D1027" s="2160"/>
      <c r="E1027" s="2160"/>
      <c r="F1027" s="2160"/>
      <c r="G1027" s="552"/>
      <c r="H1027" s="2160" t="s">
        <v>2980</v>
      </c>
      <c r="I1027" s="2160"/>
      <c r="J1027" s="2160"/>
      <c r="K1027" s="2160"/>
      <c r="L1027" s="2160"/>
      <c r="M1027" s="489" t="str">
        <f t="shared" si="39"/>
        <v>DDDDDDDĐ</v>
      </c>
    </row>
    <row r="1028" spans="1:13" ht="21" customHeight="1">
      <c r="A1028" s="553">
        <v>817</v>
      </c>
      <c r="B1028" s="554" t="s">
        <v>2981</v>
      </c>
      <c r="C1028" s="548" t="s">
        <v>2960</v>
      </c>
      <c r="D1028" s="549"/>
      <c r="E1028" s="551">
        <v>151100</v>
      </c>
      <c r="F1028" s="551">
        <v>151100</v>
      </c>
      <c r="G1028" s="553">
        <v>817</v>
      </c>
      <c r="H1028" s="554" t="s">
        <v>2981</v>
      </c>
      <c r="I1028" s="548" t="s">
        <v>2960</v>
      </c>
      <c r="J1028" s="549"/>
      <c r="K1028" s="551">
        <v>151100</v>
      </c>
      <c r="L1028" s="551">
        <v>151100</v>
      </c>
      <c r="M1028" s="489" t="str">
        <f t="shared" si="39"/>
        <v>DDDDDDDĐ</v>
      </c>
    </row>
    <row r="1029" spans="1:13" ht="24.75" customHeight="1">
      <c r="A1029" s="553">
        <v>818</v>
      </c>
      <c r="B1029" s="554" t="s">
        <v>2982</v>
      </c>
      <c r="C1029" s="548" t="s">
        <v>2960</v>
      </c>
      <c r="D1029" s="549"/>
      <c r="E1029" s="551">
        <v>319200</v>
      </c>
      <c r="F1029" s="551">
        <v>319200</v>
      </c>
      <c r="G1029" s="553">
        <v>818</v>
      </c>
      <c r="H1029" s="554" t="s">
        <v>2982</v>
      </c>
      <c r="I1029" s="548" t="s">
        <v>2960</v>
      </c>
      <c r="J1029" s="549"/>
      <c r="K1029" s="551">
        <v>319200</v>
      </c>
      <c r="L1029" s="551">
        <v>319200</v>
      </c>
      <c r="M1029" s="489" t="str">
        <f t="shared" si="39"/>
        <v>DDDDDDDĐ</v>
      </c>
    </row>
    <row r="1030" spans="1:13" ht="21" customHeight="1">
      <c r="A1030" s="553">
        <v>819</v>
      </c>
      <c r="B1030" s="554" t="s">
        <v>2983</v>
      </c>
      <c r="C1030" s="548" t="s">
        <v>2960</v>
      </c>
      <c r="D1030" s="549"/>
      <c r="E1030" s="551">
        <v>406300</v>
      </c>
      <c r="F1030" s="551">
        <v>406300</v>
      </c>
      <c r="G1030" s="553">
        <v>819</v>
      </c>
      <c r="H1030" s="554" t="s">
        <v>2983</v>
      </c>
      <c r="I1030" s="548" t="s">
        <v>2960</v>
      </c>
      <c r="J1030" s="549"/>
      <c r="K1030" s="551">
        <v>406300</v>
      </c>
      <c r="L1030" s="551">
        <v>406300</v>
      </c>
      <c r="M1030" s="489" t="str">
        <f t="shared" si="39"/>
        <v>DDDDDDDĐ</v>
      </c>
    </row>
    <row r="1031" spans="1:13" ht="21" customHeight="1">
      <c r="A1031" s="552"/>
      <c r="B1031" s="514" t="s">
        <v>2984</v>
      </c>
      <c r="C1031" s="555"/>
      <c r="D1031" s="555"/>
      <c r="E1031" s="509"/>
      <c r="F1031" s="509"/>
      <c r="G1031" s="552"/>
      <c r="H1031" s="514" t="s">
        <v>2984</v>
      </c>
      <c r="I1031" s="555"/>
      <c r="J1031" s="555"/>
      <c r="K1031" s="509"/>
      <c r="L1031" s="509"/>
      <c r="M1031" s="489" t="str">
        <f t="shared" si="39"/>
        <v>DDDDDDDĐ</v>
      </c>
    </row>
    <row r="1032" spans="1:13" ht="21" customHeight="1">
      <c r="A1032" s="553">
        <v>820</v>
      </c>
      <c r="B1032" s="554" t="s">
        <v>2985</v>
      </c>
      <c r="C1032" s="548" t="s">
        <v>2960</v>
      </c>
      <c r="D1032" s="549"/>
      <c r="E1032" s="551">
        <v>407900</v>
      </c>
      <c r="F1032" s="551">
        <v>407900</v>
      </c>
      <c r="G1032" s="553">
        <v>820</v>
      </c>
      <c r="H1032" s="554" t="s">
        <v>2985</v>
      </c>
      <c r="I1032" s="548" t="s">
        <v>2960</v>
      </c>
      <c r="J1032" s="549"/>
      <c r="K1032" s="551">
        <v>407900</v>
      </c>
      <c r="L1032" s="551">
        <v>407900</v>
      </c>
      <c r="M1032" s="489" t="str">
        <f t="shared" si="39"/>
        <v>DDDDDDDĐ</v>
      </c>
    </row>
    <row r="1033" spans="1:13" ht="21" customHeight="1">
      <c r="A1033" s="553">
        <v>821</v>
      </c>
      <c r="B1033" s="554" t="s">
        <v>2986</v>
      </c>
      <c r="C1033" s="548" t="s">
        <v>2960</v>
      </c>
      <c r="D1033" s="549"/>
      <c r="E1033" s="551">
        <v>475600</v>
      </c>
      <c r="F1033" s="551">
        <v>475600</v>
      </c>
      <c r="G1033" s="553">
        <v>821</v>
      </c>
      <c r="H1033" s="554" t="s">
        <v>2986</v>
      </c>
      <c r="I1033" s="548" t="s">
        <v>2960</v>
      </c>
      <c r="J1033" s="549"/>
      <c r="K1033" s="551">
        <v>475600</v>
      </c>
      <c r="L1033" s="551">
        <v>475600</v>
      </c>
      <c r="M1033" s="489" t="str">
        <f t="shared" si="39"/>
        <v>DDDDDDDĐ</v>
      </c>
    </row>
    <row r="1034" spans="1:13" ht="21" customHeight="1">
      <c r="A1034" s="553">
        <v>822</v>
      </c>
      <c r="B1034" s="554" t="s">
        <v>2987</v>
      </c>
      <c r="C1034" s="548" t="s">
        <v>2960</v>
      </c>
      <c r="D1034" s="549"/>
      <c r="E1034" s="551">
        <v>629900</v>
      </c>
      <c r="F1034" s="551">
        <v>629900</v>
      </c>
      <c r="G1034" s="553">
        <v>822</v>
      </c>
      <c r="H1034" s="554" t="s">
        <v>2987</v>
      </c>
      <c r="I1034" s="548" t="s">
        <v>2960</v>
      </c>
      <c r="J1034" s="549"/>
      <c r="K1034" s="551">
        <v>629900</v>
      </c>
      <c r="L1034" s="551">
        <v>629900</v>
      </c>
      <c r="M1034" s="489" t="str">
        <f t="shared" si="39"/>
        <v>DDDDDDDĐ</v>
      </c>
    </row>
    <row r="1035" spans="1:13" ht="21" customHeight="1">
      <c r="A1035" s="553"/>
      <c r="B1035" s="2160" t="s">
        <v>2988</v>
      </c>
      <c r="C1035" s="2160"/>
      <c r="D1035" s="2160"/>
      <c r="E1035" s="2160"/>
      <c r="F1035" s="2160"/>
      <c r="G1035" s="553"/>
      <c r="H1035" s="2160" t="s">
        <v>2988</v>
      </c>
      <c r="I1035" s="2160"/>
      <c r="J1035" s="2160"/>
      <c r="K1035" s="2160"/>
      <c r="L1035" s="2160"/>
      <c r="M1035" s="489" t="str">
        <f t="shared" si="39"/>
        <v>DDDDDDDĐ</v>
      </c>
    </row>
    <row r="1036" spans="1:13" ht="21" customHeight="1">
      <c r="A1036" s="552"/>
      <c r="B1036" s="514" t="s">
        <v>2989</v>
      </c>
      <c r="C1036" s="555"/>
      <c r="D1036" s="555"/>
      <c r="E1036" s="509"/>
      <c r="F1036" s="509"/>
      <c r="G1036" s="552"/>
      <c r="H1036" s="514" t="s">
        <v>2989</v>
      </c>
      <c r="I1036" s="555"/>
      <c r="J1036" s="555"/>
      <c r="K1036" s="509"/>
      <c r="L1036" s="509"/>
      <c r="M1036" s="489" t="str">
        <f t="shared" si="39"/>
        <v>DDDDDDDĐ</v>
      </c>
    </row>
    <row r="1037" spans="1:13" ht="21" customHeight="1">
      <c r="A1037" s="553">
        <v>823</v>
      </c>
      <c r="B1037" s="554" t="s">
        <v>2990</v>
      </c>
      <c r="C1037" s="548" t="s">
        <v>2960</v>
      </c>
      <c r="D1037" s="549"/>
      <c r="E1037" s="551">
        <v>7700</v>
      </c>
      <c r="F1037" s="551">
        <v>7700</v>
      </c>
      <c r="G1037" s="553">
        <v>823</v>
      </c>
      <c r="H1037" s="554" t="s">
        <v>2990</v>
      </c>
      <c r="I1037" s="548" t="s">
        <v>2960</v>
      </c>
      <c r="J1037" s="549"/>
      <c r="K1037" s="551">
        <v>7700</v>
      </c>
      <c r="L1037" s="551">
        <v>7700</v>
      </c>
      <c r="M1037" s="489" t="str">
        <f t="shared" si="39"/>
        <v>DDDDDDDĐ</v>
      </c>
    </row>
    <row r="1038" spans="1:13" ht="21" customHeight="1">
      <c r="A1038" s="553">
        <v>824</v>
      </c>
      <c r="B1038" s="554" t="s">
        <v>2991</v>
      </c>
      <c r="C1038" s="548" t="s">
        <v>2960</v>
      </c>
      <c r="D1038" s="549"/>
      <c r="E1038" s="551">
        <v>11500</v>
      </c>
      <c r="F1038" s="551">
        <v>11500</v>
      </c>
      <c r="G1038" s="553">
        <v>824</v>
      </c>
      <c r="H1038" s="554" t="s">
        <v>2991</v>
      </c>
      <c r="I1038" s="548" t="s">
        <v>2960</v>
      </c>
      <c r="J1038" s="549"/>
      <c r="K1038" s="551">
        <v>11500</v>
      </c>
      <c r="L1038" s="551">
        <v>11500</v>
      </c>
      <c r="M1038" s="489" t="str">
        <f t="shared" si="39"/>
        <v>DDDDDDDĐ</v>
      </c>
    </row>
    <row r="1039" spans="1:13" ht="21" customHeight="1">
      <c r="A1039" s="553">
        <v>825</v>
      </c>
      <c r="B1039" s="554" t="s">
        <v>2992</v>
      </c>
      <c r="C1039" s="548" t="s">
        <v>2960</v>
      </c>
      <c r="D1039" s="549"/>
      <c r="E1039" s="551">
        <v>18700</v>
      </c>
      <c r="F1039" s="551">
        <v>18700</v>
      </c>
      <c r="G1039" s="553">
        <v>825</v>
      </c>
      <c r="H1039" s="554" t="s">
        <v>2992</v>
      </c>
      <c r="I1039" s="548" t="s">
        <v>2960</v>
      </c>
      <c r="J1039" s="549"/>
      <c r="K1039" s="551">
        <v>18700</v>
      </c>
      <c r="L1039" s="551">
        <v>18700</v>
      </c>
      <c r="M1039" s="489" t="str">
        <f t="shared" si="39"/>
        <v>DDDDDDDĐ</v>
      </c>
    </row>
    <row r="1040" spans="1:13" ht="21" customHeight="1">
      <c r="A1040" s="553">
        <v>826</v>
      </c>
      <c r="B1040" s="554" t="s">
        <v>2993</v>
      </c>
      <c r="C1040" s="548" t="s">
        <v>2960</v>
      </c>
      <c r="D1040" s="549"/>
      <c r="E1040" s="551">
        <v>28900</v>
      </c>
      <c r="F1040" s="551">
        <v>28900</v>
      </c>
      <c r="G1040" s="553">
        <v>826</v>
      </c>
      <c r="H1040" s="554" t="s">
        <v>2993</v>
      </c>
      <c r="I1040" s="548" t="s">
        <v>2960</v>
      </c>
      <c r="J1040" s="549"/>
      <c r="K1040" s="551">
        <v>28900</v>
      </c>
      <c r="L1040" s="551">
        <v>28900</v>
      </c>
      <c r="M1040" s="489" t="str">
        <f t="shared" si="39"/>
        <v>DDDDDDDĐ</v>
      </c>
    </row>
    <row r="1041" spans="1:13" ht="21" customHeight="1">
      <c r="A1041" s="553">
        <v>827</v>
      </c>
      <c r="B1041" s="554" t="s">
        <v>2994</v>
      </c>
      <c r="C1041" s="548" t="s">
        <v>2960</v>
      </c>
      <c r="D1041" s="549"/>
      <c r="E1041" s="551">
        <v>37000</v>
      </c>
      <c r="F1041" s="551">
        <v>37000</v>
      </c>
      <c r="G1041" s="553">
        <v>827</v>
      </c>
      <c r="H1041" s="554" t="s">
        <v>2994</v>
      </c>
      <c r="I1041" s="548" t="s">
        <v>2960</v>
      </c>
      <c r="J1041" s="549"/>
      <c r="K1041" s="551">
        <v>37000</v>
      </c>
      <c r="L1041" s="551">
        <v>37000</v>
      </c>
      <c r="M1041" s="489" t="str">
        <f t="shared" si="39"/>
        <v>DDDDDDDĐ</v>
      </c>
    </row>
    <row r="1042" spans="1:13" ht="21" customHeight="1">
      <c r="A1042" s="553">
        <v>828</v>
      </c>
      <c r="B1042" s="554" t="s">
        <v>2995</v>
      </c>
      <c r="C1042" s="548" t="s">
        <v>2960</v>
      </c>
      <c r="D1042" s="549"/>
      <c r="E1042" s="551">
        <v>58900</v>
      </c>
      <c r="F1042" s="551">
        <v>58900</v>
      </c>
      <c r="G1042" s="553">
        <v>828</v>
      </c>
      <c r="H1042" s="554" t="s">
        <v>2995</v>
      </c>
      <c r="I1042" s="548" t="s">
        <v>2960</v>
      </c>
      <c r="J1042" s="549"/>
      <c r="K1042" s="551">
        <v>58900</v>
      </c>
      <c r="L1042" s="551">
        <v>58900</v>
      </c>
      <c r="M1042" s="489" t="str">
        <f t="shared" si="39"/>
        <v>DDDDDDDĐ</v>
      </c>
    </row>
    <row r="1043" spans="1:13" ht="21" customHeight="1">
      <c r="A1043" s="553">
        <v>829</v>
      </c>
      <c r="B1043" s="554" t="s">
        <v>2996</v>
      </c>
      <c r="C1043" s="548" t="s">
        <v>2960</v>
      </c>
      <c r="D1043" s="549"/>
      <c r="E1043" s="551">
        <v>83400</v>
      </c>
      <c r="F1043" s="551">
        <v>83400</v>
      </c>
      <c r="G1043" s="553">
        <v>829</v>
      </c>
      <c r="H1043" s="554" t="s">
        <v>2996</v>
      </c>
      <c r="I1043" s="548" t="s">
        <v>2960</v>
      </c>
      <c r="J1043" s="549"/>
      <c r="K1043" s="551">
        <v>83400</v>
      </c>
      <c r="L1043" s="551">
        <v>83400</v>
      </c>
      <c r="M1043" s="489" t="str">
        <f t="shared" si="39"/>
        <v>DDDDDDDĐ</v>
      </c>
    </row>
    <row r="1044" spans="1:13" ht="21.6" customHeight="1">
      <c r="A1044" s="553">
        <v>830</v>
      </c>
      <c r="B1044" s="554" t="s">
        <v>2997</v>
      </c>
      <c r="C1044" s="548" t="s">
        <v>2960</v>
      </c>
      <c r="D1044" s="549"/>
      <c r="E1044" s="551">
        <v>98400</v>
      </c>
      <c r="F1044" s="551">
        <v>98400</v>
      </c>
      <c r="G1044" s="553">
        <v>830</v>
      </c>
      <c r="H1044" s="554" t="s">
        <v>2997</v>
      </c>
      <c r="I1044" s="548" t="s">
        <v>2960</v>
      </c>
      <c r="J1044" s="549"/>
      <c r="K1044" s="551">
        <v>98400</v>
      </c>
      <c r="L1044" s="551">
        <v>98400</v>
      </c>
      <c r="M1044" s="489" t="str">
        <f t="shared" si="39"/>
        <v>DDDDDDDĐ</v>
      </c>
    </row>
    <row r="1045" spans="1:13" ht="21.6" customHeight="1">
      <c r="A1045" s="553">
        <v>831</v>
      </c>
      <c r="B1045" s="554" t="s">
        <v>2998</v>
      </c>
      <c r="C1045" s="548" t="s">
        <v>2960</v>
      </c>
      <c r="D1045" s="549"/>
      <c r="E1045" s="551">
        <v>146400</v>
      </c>
      <c r="F1045" s="551">
        <v>146400</v>
      </c>
      <c r="G1045" s="553">
        <v>831</v>
      </c>
      <c r="H1045" s="554" t="s">
        <v>2998</v>
      </c>
      <c r="I1045" s="548" t="s">
        <v>2960</v>
      </c>
      <c r="J1045" s="549"/>
      <c r="K1045" s="551">
        <v>146400</v>
      </c>
      <c r="L1045" s="551">
        <v>146400</v>
      </c>
      <c r="M1045" s="489" t="str">
        <f t="shared" si="39"/>
        <v>DDDDDDDĐ</v>
      </c>
    </row>
    <row r="1046" spans="1:13" ht="21.6" customHeight="1">
      <c r="A1046" s="553">
        <v>832</v>
      </c>
      <c r="B1046" s="554" t="s">
        <v>2999</v>
      </c>
      <c r="C1046" s="548" t="s">
        <v>2960</v>
      </c>
      <c r="D1046" s="549"/>
      <c r="E1046" s="551">
        <v>186800</v>
      </c>
      <c r="F1046" s="551">
        <v>186800</v>
      </c>
      <c r="G1046" s="553">
        <v>832</v>
      </c>
      <c r="H1046" s="554" t="s">
        <v>2999</v>
      </c>
      <c r="I1046" s="548" t="s">
        <v>2960</v>
      </c>
      <c r="J1046" s="549"/>
      <c r="K1046" s="551">
        <v>186800</v>
      </c>
      <c r="L1046" s="551">
        <v>186800</v>
      </c>
      <c r="M1046" s="489" t="str">
        <f t="shared" si="39"/>
        <v>DDDDDDDĐ</v>
      </c>
    </row>
    <row r="1047" spans="1:13" ht="21.6" customHeight="1">
      <c r="A1047" s="553">
        <v>833</v>
      </c>
      <c r="B1047" s="554" t="s">
        <v>3000</v>
      </c>
      <c r="C1047" s="548" t="s">
        <v>2960</v>
      </c>
      <c r="D1047" s="549"/>
      <c r="E1047" s="551">
        <v>234500</v>
      </c>
      <c r="F1047" s="551">
        <v>234500</v>
      </c>
      <c r="G1047" s="553">
        <v>833</v>
      </c>
      <c r="H1047" s="554" t="s">
        <v>3000</v>
      </c>
      <c r="I1047" s="548" t="s">
        <v>2960</v>
      </c>
      <c r="J1047" s="549"/>
      <c r="K1047" s="551">
        <v>234500</v>
      </c>
      <c r="L1047" s="551">
        <v>234500</v>
      </c>
      <c r="M1047" s="489" t="str">
        <f t="shared" si="39"/>
        <v>DDDDDDDĐ</v>
      </c>
    </row>
    <row r="1048" spans="1:13" ht="21.6" customHeight="1">
      <c r="A1048" s="553">
        <v>834</v>
      </c>
      <c r="B1048" s="554" t="s">
        <v>3001</v>
      </c>
      <c r="C1048" s="548" t="s">
        <v>2960</v>
      </c>
      <c r="D1048" s="549"/>
      <c r="E1048" s="551">
        <v>306000</v>
      </c>
      <c r="F1048" s="551">
        <v>306000</v>
      </c>
      <c r="G1048" s="553">
        <v>834</v>
      </c>
      <c r="H1048" s="554" t="s">
        <v>3001</v>
      </c>
      <c r="I1048" s="548" t="s">
        <v>2960</v>
      </c>
      <c r="J1048" s="549"/>
      <c r="K1048" s="551">
        <v>306000</v>
      </c>
      <c r="L1048" s="551">
        <v>306000</v>
      </c>
      <c r="M1048" s="489" t="str">
        <f t="shared" si="39"/>
        <v>DDDDDDDĐ</v>
      </c>
    </row>
    <row r="1049" spans="1:13" ht="21.6" customHeight="1">
      <c r="A1049" s="553">
        <v>835</v>
      </c>
      <c r="B1049" s="554" t="s">
        <v>3002</v>
      </c>
      <c r="C1049" s="548" t="s">
        <v>2960</v>
      </c>
      <c r="D1049" s="549"/>
      <c r="E1049" s="551">
        <v>387100</v>
      </c>
      <c r="F1049" s="551">
        <v>387100</v>
      </c>
      <c r="G1049" s="553">
        <v>835</v>
      </c>
      <c r="H1049" s="554" t="s">
        <v>3002</v>
      </c>
      <c r="I1049" s="548" t="s">
        <v>2960</v>
      </c>
      <c r="J1049" s="549"/>
      <c r="K1049" s="551">
        <v>387100</v>
      </c>
      <c r="L1049" s="551">
        <v>387100</v>
      </c>
      <c r="M1049" s="489" t="str">
        <f t="shared" si="39"/>
        <v>DDDDDDDĐ</v>
      </c>
    </row>
    <row r="1050" spans="1:13" ht="21.6" customHeight="1">
      <c r="A1050" s="553">
        <v>836</v>
      </c>
      <c r="B1050" s="554" t="s">
        <v>3003</v>
      </c>
      <c r="C1050" s="548" t="s">
        <v>2960</v>
      </c>
      <c r="D1050" s="549"/>
      <c r="E1050" s="551">
        <v>477600</v>
      </c>
      <c r="F1050" s="551">
        <v>477600</v>
      </c>
      <c r="G1050" s="553">
        <v>836</v>
      </c>
      <c r="H1050" s="554" t="s">
        <v>3003</v>
      </c>
      <c r="I1050" s="548" t="s">
        <v>2960</v>
      </c>
      <c r="J1050" s="549"/>
      <c r="K1050" s="551">
        <v>477600</v>
      </c>
      <c r="L1050" s="551">
        <v>477600</v>
      </c>
      <c r="M1050" s="489" t="str">
        <f t="shared" si="39"/>
        <v>DDDDDDDĐ</v>
      </c>
    </row>
    <row r="1051" spans="1:13" ht="21.6" customHeight="1">
      <c r="A1051" s="1161"/>
      <c r="B1051" s="1156" t="s">
        <v>3004</v>
      </c>
      <c r="C1051" s="1157"/>
      <c r="D1051" s="1157"/>
      <c r="E1051" s="1158"/>
      <c r="F1051" s="1158"/>
      <c r="G1051" s="1161"/>
      <c r="H1051" s="1156" t="s">
        <v>3004</v>
      </c>
      <c r="I1051" s="1157"/>
      <c r="J1051" s="1157"/>
      <c r="K1051" s="1158"/>
      <c r="L1051" s="1158"/>
      <c r="M1051" s="489" t="str">
        <f t="shared" si="39"/>
        <v>DDDDDDDĐ</v>
      </c>
    </row>
    <row r="1052" spans="1:13" ht="21" customHeight="1">
      <c r="A1052" s="1155"/>
      <c r="B1052" s="1164" t="s">
        <v>3005</v>
      </c>
      <c r="C1052" s="1200"/>
      <c r="D1052" s="1208"/>
      <c r="E1052" s="1200"/>
      <c r="F1052" s="1200"/>
      <c r="G1052" s="1155"/>
      <c r="H1052" s="1164" t="s">
        <v>3005</v>
      </c>
      <c r="I1052" s="1200"/>
      <c r="J1052" s="1208"/>
      <c r="K1052" s="1200"/>
      <c r="L1052" s="1200"/>
      <c r="M1052" s="489" t="str">
        <f t="shared" si="39"/>
        <v>DDDDDDDĐ</v>
      </c>
    </row>
    <row r="1053" spans="1:13" ht="21" customHeight="1">
      <c r="A1053" s="1161">
        <v>837</v>
      </c>
      <c r="B1053" s="1209" t="s">
        <v>2959</v>
      </c>
      <c r="C1053" s="1210" t="s">
        <v>2960</v>
      </c>
      <c r="D1053" s="1211">
        <v>6150</v>
      </c>
      <c r="E1053" s="1200"/>
      <c r="F1053" s="1200"/>
      <c r="G1053" s="1161">
        <v>837</v>
      </c>
      <c r="H1053" s="1209" t="s">
        <v>2959</v>
      </c>
      <c r="I1053" s="1210" t="s">
        <v>2960</v>
      </c>
      <c r="J1053" s="1211">
        <v>6150</v>
      </c>
      <c r="K1053" s="1200"/>
      <c r="L1053" s="1200"/>
      <c r="M1053" s="489" t="str">
        <f t="shared" si="39"/>
        <v>DDDDDDDĐ</v>
      </c>
    </row>
    <row r="1054" spans="1:13" ht="20.100000000000001" customHeight="1">
      <c r="A1054" s="1161">
        <v>838</v>
      </c>
      <c r="B1054" s="1209" t="s">
        <v>2962</v>
      </c>
      <c r="C1054" s="1210" t="s">
        <v>2960</v>
      </c>
      <c r="D1054" s="1211">
        <v>8750</v>
      </c>
      <c r="E1054" s="1211"/>
      <c r="F1054" s="1211"/>
      <c r="G1054" s="1161">
        <v>838</v>
      </c>
      <c r="H1054" s="1209" t="s">
        <v>2962</v>
      </c>
      <c r="I1054" s="1210" t="s">
        <v>2960</v>
      </c>
      <c r="J1054" s="1211">
        <v>8750</v>
      </c>
      <c r="K1054" s="1211"/>
      <c r="L1054" s="1211"/>
      <c r="M1054" s="489" t="str">
        <f t="shared" si="39"/>
        <v>DDDDDDDĐ</v>
      </c>
    </row>
    <row r="1055" spans="1:13" ht="20.100000000000001" customHeight="1">
      <c r="A1055" s="1161">
        <v>839</v>
      </c>
      <c r="B1055" s="1209" t="s">
        <v>5337</v>
      </c>
      <c r="C1055" s="1210" t="s">
        <v>2960</v>
      </c>
      <c r="D1055" s="1211">
        <v>12200</v>
      </c>
      <c r="E1055" s="1211"/>
      <c r="F1055" s="1212"/>
      <c r="G1055" s="1161">
        <v>839</v>
      </c>
      <c r="H1055" s="1209" t="s">
        <v>5337</v>
      </c>
      <c r="I1055" s="1210" t="s">
        <v>2960</v>
      </c>
      <c r="J1055" s="1211">
        <v>12200</v>
      </c>
      <c r="K1055" s="1211"/>
      <c r="L1055" s="1212"/>
      <c r="M1055" s="489" t="str">
        <f t="shared" si="39"/>
        <v>DDDDDDDĐ</v>
      </c>
    </row>
    <row r="1056" spans="1:13" ht="20.100000000000001" customHeight="1">
      <c r="A1056" s="1161">
        <v>840</v>
      </c>
      <c r="B1056" s="1209" t="s">
        <v>5338</v>
      </c>
      <c r="C1056" s="1210" t="s">
        <v>2960</v>
      </c>
      <c r="D1056" s="1211">
        <v>16170</v>
      </c>
      <c r="E1056" s="1211"/>
      <c r="F1056" s="1212"/>
      <c r="G1056" s="1161">
        <v>840</v>
      </c>
      <c r="H1056" s="1209" t="s">
        <v>5338</v>
      </c>
      <c r="I1056" s="1210" t="s">
        <v>2960</v>
      </c>
      <c r="J1056" s="1211">
        <v>16170</v>
      </c>
      <c r="K1056" s="1211"/>
      <c r="L1056" s="1212"/>
      <c r="M1056" s="489" t="str">
        <f t="shared" si="39"/>
        <v>DDDDDDDĐ</v>
      </c>
    </row>
    <row r="1057" spans="1:13" ht="20.100000000000001" customHeight="1">
      <c r="A1057" s="1161">
        <v>841</v>
      </c>
      <c r="B1057" s="1209" t="s">
        <v>2964</v>
      </c>
      <c r="C1057" s="1210" t="s">
        <v>2960</v>
      </c>
      <c r="D1057" s="1211">
        <v>17930</v>
      </c>
      <c r="E1057" s="1211"/>
      <c r="F1057" s="1212"/>
      <c r="G1057" s="1161">
        <v>841</v>
      </c>
      <c r="H1057" s="1209" t="s">
        <v>2964</v>
      </c>
      <c r="I1057" s="1210" t="s">
        <v>2960</v>
      </c>
      <c r="J1057" s="1211">
        <v>17930</v>
      </c>
      <c r="K1057" s="1211"/>
      <c r="L1057" s="1212"/>
      <c r="M1057" s="489" t="str">
        <f t="shared" si="39"/>
        <v>DDDDDDDĐ</v>
      </c>
    </row>
    <row r="1058" spans="1:13" ht="20.100000000000001" customHeight="1">
      <c r="A1058" s="1161">
        <v>842</v>
      </c>
      <c r="B1058" s="1209" t="s">
        <v>2966</v>
      </c>
      <c r="C1058" s="1210" t="s">
        <v>2960</v>
      </c>
      <c r="D1058" s="1211">
        <v>23430</v>
      </c>
      <c r="E1058" s="1211"/>
      <c r="F1058" s="1212"/>
      <c r="G1058" s="1161">
        <v>842</v>
      </c>
      <c r="H1058" s="1209" t="s">
        <v>2966</v>
      </c>
      <c r="I1058" s="1210" t="s">
        <v>2960</v>
      </c>
      <c r="J1058" s="1211">
        <v>23430</v>
      </c>
      <c r="K1058" s="1211"/>
      <c r="L1058" s="1212"/>
      <c r="M1058" s="489" t="str">
        <f t="shared" ref="M1058:M1121" si="42">IF(B1058=H1058,"DDDDDDDĐ","SSSSSSSSSSSS")</f>
        <v>DDDDDDDĐ</v>
      </c>
    </row>
    <row r="1059" spans="1:13" ht="20.100000000000001" customHeight="1">
      <c r="A1059" s="1161">
        <v>843</v>
      </c>
      <c r="B1059" s="1209" t="s">
        <v>3006</v>
      </c>
      <c r="C1059" s="1210" t="s">
        <v>2960</v>
      </c>
      <c r="D1059" s="1211">
        <v>22500</v>
      </c>
      <c r="E1059" s="1211"/>
      <c r="F1059" s="1212"/>
      <c r="G1059" s="1161">
        <v>843</v>
      </c>
      <c r="H1059" s="1209" t="s">
        <v>3006</v>
      </c>
      <c r="I1059" s="1210" t="s">
        <v>2960</v>
      </c>
      <c r="J1059" s="1211">
        <v>22500</v>
      </c>
      <c r="K1059" s="1211"/>
      <c r="L1059" s="1212"/>
      <c r="M1059" s="489" t="str">
        <f t="shared" si="42"/>
        <v>DDDDDDDĐ</v>
      </c>
    </row>
    <row r="1060" spans="1:13" ht="20.100000000000001" customHeight="1">
      <c r="A1060" s="1161">
        <v>844</v>
      </c>
      <c r="B1060" s="1209" t="s">
        <v>5339</v>
      </c>
      <c r="C1060" s="1210" t="s">
        <v>2960</v>
      </c>
      <c r="D1060" s="1211">
        <v>31100</v>
      </c>
      <c r="E1060" s="1213"/>
      <c r="F1060" s="1212"/>
      <c r="G1060" s="1161">
        <v>844</v>
      </c>
      <c r="H1060" s="1209" t="s">
        <v>5339</v>
      </c>
      <c r="I1060" s="1210" t="s">
        <v>2960</v>
      </c>
      <c r="J1060" s="1211">
        <v>31100</v>
      </c>
      <c r="K1060" s="1213"/>
      <c r="L1060" s="1212"/>
      <c r="M1060" s="489" t="str">
        <f t="shared" si="42"/>
        <v>DDDDDDDĐ</v>
      </c>
    </row>
    <row r="1061" spans="1:13" ht="20.100000000000001" customHeight="1">
      <c r="A1061" s="1161">
        <v>845</v>
      </c>
      <c r="B1061" s="1209" t="s">
        <v>2970</v>
      </c>
      <c r="C1061" s="1210" t="s">
        <v>2960</v>
      </c>
      <c r="D1061" s="1211">
        <v>48600</v>
      </c>
      <c r="E1061" s="1214"/>
      <c r="F1061" s="1212"/>
      <c r="G1061" s="1161">
        <v>845</v>
      </c>
      <c r="H1061" s="1209" t="s">
        <v>2970</v>
      </c>
      <c r="I1061" s="1210" t="s">
        <v>2960</v>
      </c>
      <c r="J1061" s="1211">
        <v>48600</v>
      </c>
      <c r="K1061" s="1214"/>
      <c r="L1061" s="1212"/>
      <c r="M1061" s="489" t="str">
        <f t="shared" si="42"/>
        <v>DDDDDDDĐ</v>
      </c>
    </row>
    <row r="1062" spans="1:13" ht="20.100000000000001" customHeight="1">
      <c r="A1062" s="1161">
        <v>846</v>
      </c>
      <c r="B1062" s="1209" t="s">
        <v>5340</v>
      </c>
      <c r="C1062" s="1210" t="s">
        <v>2960</v>
      </c>
      <c r="D1062" s="1211">
        <v>62700</v>
      </c>
      <c r="E1062" s="1214"/>
      <c r="F1062" s="1212"/>
      <c r="G1062" s="1161">
        <v>846</v>
      </c>
      <c r="H1062" s="1209" t="s">
        <v>5340</v>
      </c>
      <c r="I1062" s="1210" t="s">
        <v>2960</v>
      </c>
      <c r="J1062" s="1211">
        <v>62700</v>
      </c>
      <c r="K1062" s="1214"/>
      <c r="L1062" s="1212"/>
      <c r="M1062" s="489" t="str">
        <f t="shared" si="42"/>
        <v>DDDDDDDĐ</v>
      </c>
    </row>
    <row r="1063" spans="1:13" ht="20.100000000000001" customHeight="1">
      <c r="A1063" s="1161">
        <v>847</v>
      </c>
      <c r="B1063" s="1209" t="s">
        <v>2971</v>
      </c>
      <c r="C1063" s="1210" t="s">
        <v>2960</v>
      </c>
      <c r="D1063" s="1211">
        <v>75240</v>
      </c>
      <c r="E1063" s="1214"/>
      <c r="F1063" s="1212"/>
      <c r="G1063" s="1161">
        <v>847</v>
      </c>
      <c r="H1063" s="1209" t="s">
        <v>2971</v>
      </c>
      <c r="I1063" s="1210" t="s">
        <v>2960</v>
      </c>
      <c r="J1063" s="1211">
        <v>75240</v>
      </c>
      <c r="K1063" s="1214"/>
      <c r="L1063" s="1212"/>
      <c r="M1063" s="489" t="str">
        <f t="shared" si="42"/>
        <v>DDDDDDDĐ</v>
      </c>
    </row>
    <row r="1064" spans="1:13" ht="20.100000000000001" customHeight="1">
      <c r="A1064" s="1161">
        <v>848</v>
      </c>
      <c r="B1064" s="1209" t="s">
        <v>2972</v>
      </c>
      <c r="C1064" s="1210" t="s">
        <v>2960</v>
      </c>
      <c r="D1064" s="1211">
        <v>80600</v>
      </c>
      <c r="E1064" s="1214"/>
      <c r="F1064" s="1212"/>
      <c r="G1064" s="1161">
        <v>848</v>
      </c>
      <c r="H1064" s="1209" t="s">
        <v>2972</v>
      </c>
      <c r="I1064" s="1210" t="s">
        <v>2960</v>
      </c>
      <c r="J1064" s="1211">
        <v>80600</v>
      </c>
      <c r="K1064" s="1214"/>
      <c r="L1064" s="1212"/>
      <c r="M1064" s="489" t="str">
        <f t="shared" si="42"/>
        <v>DDDDDDDĐ</v>
      </c>
    </row>
    <row r="1065" spans="1:13" ht="20.100000000000001" customHeight="1">
      <c r="A1065" s="1161">
        <v>849</v>
      </c>
      <c r="B1065" s="1209" t="s">
        <v>5341</v>
      </c>
      <c r="C1065" s="1210" t="s">
        <v>2960</v>
      </c>
      <c r="D1065" s="1211">
        <v>134900</v>
      </c>
      <c r="E1065" s="1212"/>
      <c r="F1065" s="1212"/>
      <c r="G1065" s="1161">
        <v>849</v>
      </c>
      <c r="H1065" s="1209" t="s">
        <v>5341</v>
      </c>
      <c r="I1065" s="1210" t="s">
        <v>2960</v>
      </c>
      <c r="J1065" s="1211">
        <v>134900</v>
      </c>
      <c r="K1065" s="1212"/>
      <c r="L1065" s="1212"/>
      <c r="M1065" s="489" t="str">
        <f t="shared" si="42"/>
        <v>DDDDDDDĐ</v>
      </c>
    </row>
    <row r="1066" spans="1:13" ht="20.100000000000001" customHeight="1">
      <c r="A1066" s="1161">
        <v>850</v>
      </c>
      <c r="B1066" s="1209" t="s">
        <v>5342</v>
      </c>
      <c r="C1066" s="1210" t="s">
        <v>2960</v>
      </c>
      <c r="D1066" s="1211">
        <v>225600</v>
      </c>
      <c r="E1066" s="1212"/>
      <c r="F1066" s="1212"/>
      <c r="G1066" s="1161">
        <v>850</v>
      </c>
      <c r="H1066" s="1209" t="s">
        <v>5342</v>
      </c>
      <c r="I1066" s="1210" t="s">
        <v>2960</v>
      </c>
      <c r="J1066" s="1211">
        <v>225600</v>
      </c>
      <c r="K1066" s="1212"/>
      <c r="L1066" s="1212"/>
      <c r="M1066" s="489" t="str">
        <f t="shared" si="42"/>
        <v>DDDDDDDĐ</v>
      </c>
    </row>
    <row r="1067" spans="1:13" ht="20.100000000000001" customHeight="1">
      <c r="A1067" s="1161">
        <v>851</v>
      </c>
      <c r="B1067" s="1209" t="s">
        <v>3007</v>
      </c>
      <c r="C1067" s="1210" t="s">
        <v>2960</v>
      </c>
      <c r="D1067" s="1211">
        <v>208900</v>
      </c>
      <c r="E1067" s="1212"/>
      <c r="F1067" s="1212"/>
      <c r="G1067" s="1161">
        <v>851</v>
      </c>
      <c r="H1067" s="1209" t="s">
        <v>3007</v>
      </c>
      <c r="I1067" s="1210" t="s">
        <v>2960</v>
      </c>
      <c r="J1067" s="1211">
        <v>208900</v>
      </c>
      <c r="K1067" s="1212"/>
      <c r="L1067" s="1212"/>
      <c r="M1067" s="489" t="str">
        <f t="shared" si="42"/>
        <v>DDDDDDDĐ</v>
      </c>
    </row>
    <row r="1068" spans="1:13" ht="20.100000000000001" customHeight="1">
      <c r="A1068" s="1161">
        <v>852</v>
      </c>
      <c r="B1068" s="1209" t="s">
        <v>5343</v>
      </c>
      <c r="C1068" s="1210" t="s">
        <v>2960</v>
      </c>
      <c r="D1068" s="1211">
        <v>268700</v>
      </c>
      <c r="E1068" s="1212"/>
      <c r="F1068" s="1212"/>
      <c r="G1068" s="1161">
        <v>852</v>
      </c>
      <c r="H1068" s="1209" t="s">
        <v>5343</v>
      </c>
      <c r="I1068" s="1210" t="s">
        <v>2960</v>
      </c>
      <c r="J1068" s="1211">
        <v>268700</v>
      </c>
      <c r="K1068" s="1212"/>
      <c r="L1068" s="1212"/>
      <c r="M1068" s="489" t="str">
        <f t="shared" si="42"/>
        <v>DDDDDDDĐ</v>
      </c>
    </row>
    <row r="1069" spans="1:13" ht="20.100000000000001" customHeight="1">
      <c r="A1069" s="1161"/>
      <c r="B1069" s="1156" t="s">
        <v>3008</v>
      </c>
      <c r="C1069" s="1157"/>
      <c r="D1069" s="1157"/>
      <c r="E1069" s="1158"/>
      <c r="F1069" s="1158"/>
      <c r="G1069" s="1161"/>
      <c r="H1069" s="1156" t="s">
        <v>3008</v>
      </c>
      <c r="I1069" s="1157"/>
      <c r="J1069" s="1157"/>
      <c r="K1069" s="1158"/>
      <c r="L1069" s="1158"/>
      <c r="M1069" s="489" t="str">
        <f t="shared" si="42"/>
        <v>DDDDDDDĐ</v>
      </c>
    </row>
    <row r="1070" spans="1:13" ht="21" customHeight="1">
      <c r="A1070" s="1161">
        <v>853</v>
      </c>
      <c r="B1070" s="1162" t="s">
        <v>5344</v>
      </c>
      <c r="C1070" s="1215" t="s">
        <v>2338</v>
      </c>
      <c r="D1070" s="1211">
        <v>1500</v>
      </c>
      <c r="E1070" s="1158"/>
      <c r="F1070" s="1158"/>
      <c r="G1070" s="1161">
        <v>853</v>
      </c>
      <c r="H1070" s="1162" t="s">
        <v>5344</v>
      </c>
      <c r="I1070" s="1215" t="s">
        <v>2338</v>
      </c>
      <c r="J1070" s="1211">
        <v>1500</v>
      </c>
      <c r="K1070" s="1158"/>
      <c r="L1070" s="1158"/>
      <c r="M1070" s="489" t="str">
        <f t="shared" si="42"/>
        <v>DDDDDDDĐ</v>
      </c>
    </row>
    <row r="1071" spans="1:13" ht="21" customHeight="1">
      <c r="A1071" s="1161">
        <v>854</v>
      </c>
      <c r="B1071" s="1162" t="s">
        <v>5345</v>
      </c>
      <c r="C1071" s="1215" t="s">
        <v>2338</v>
      </c>
      <c r="D1071" s="1211">
        <v>2000</v>
      </c>
      <c r="E1071" s="1158"/>
      <c r="F1071" s="1158"/>
      <c r="G1071" s="1161">
        <v>854</v>
      </c>
      <c r="H1071" s="1162" t="s">
        <v>5345</v>
      </c>
      <c r="I1071" s="1215" t="s">
        <v>2338</v>
      </c>
      <c r="J1071" s="1211">
        <v>2000</v>
      </c>
      <c r="K1071" s="1158"/>
      <c r="L1071" s="1158"/>
      <c r="M1071" s="489" t="str">
        <f t="shared" si="42"/>
        <v>DDDDDDDĐ</v>
      </c>
    </row>
    <row r="1072" spans="1:13" ht="21" customHeight="1">
      <c r="A1072" s="1161">
        <v>855</v>
      </c>
      <c r="B1072" s="1162" t="s">
        <v>5346</v>
      </c>
      <c r="C1072" s="1215" t="s">
        <v>2338</v>
      </c>
      <c r="D1072" s="1211">
        <v>3100</v>
      </c>
      <c r="E1072" s="1179"/>
      <c r="F1072" s="1179"/>
      <c r="G1072" s="1161">
        <v>855</v>
      </c>
      <c r="H1072" s="1162" t="s">
        <v>5346</v>
      </c>
      <c r="I1072" s="1215" t="s">
        <v>2338</v>
      </c>
      <c r="J1072" s="1211">
        <v>3100</v>
      </c>
      <c r="K1072" s="1179"/>
      <c r="L1072" s="1179"/>
      <c r="M1072" s="489" t="str">
        <f t="shared" si="42"/>
        <v>DDDDDDDĐ</v>
      </c>
    </row>
    <row r="1073" spans="1:13" ht="21" customHeight="1">
      <c r="A1073" s="1161">
        <v>856</v>
      </c>
      <c r="B1073" s="1162" t="s">
        <v>5347</v>
      </c>
      <c r="C1073" s="1215" t="s">
        <v>2338</v>
      </c>
      <c r="D1073" s="1211">
        <v>4500</v>
      </c>
      <c r="E1073" s="1179"/>
      <c r="F1073" s="1179"/>
      <c r="G1073" s="1161">
        <v>856</v>
      </c>
      <c r="H1073" s="1162" t="s">
        <v>5347</v>
      </c>
      <c r="I1073" s="1215" t="s">
        <v>2338</v>
      </c>
      <c r="J1073" s="1211">
        <v>4500</v>
      </c>
      <c r="K1073" s="1179"/>
      <c r="L1073" s="1179"/>
      <c r="M1073" s="489" t="str">
        <f t="shared" si="42"/>
        <v>DDDDDDDĐ</v>
      </c>
    </row>
    <row r="1074" spans="1:13" ht="21" customHeight="1">
      <c r="A1074" s="1161">
        <v>857</v>
      </c>
      <c r="B1074" s="1162" t="s">
        <v>5348</v>
      </c>
      <c r="C1074" s="1215" t="s">
        <v>2338</v>
      </c>
      <c r="D1074" s="1211">
        <v>10800</v>
      </c>
      <c r="E1074" s="1179"/>
      <c r="F1074" s="1179"/>
      <c r="G1074" s="1161">
        <v>857</v>
      </c>
      <c r="H1074" s="1162" t="s">
        <v>5348</v>
      </c>
      <c r="I1074" s="1215" t="s">
        <v>2338</v>
      </c>
      <c r="J1074" s="1211">
        <v>10800</v>
      </c>
      <c r="K1074" s="1179"/>
      <c r="L1074" s="1179"/>
      <c r="M1074" s="489" t="str">
        <f t="shared" si="42"/>
        <v>DDDDDDDĐ</v>
      </c>
    </row>
    <row r="1075" spans="1:13" ht="21" customHeight="1">
      <c r="A1075" s="1161">
        <v>858</v>
      </c>
      <c r="B1075" s="1162" t="s">
        <v>5349</v>
      </c>
      <c r="C1075" s="1215" t="s">
        <v>2338</v>
      </c>
      <c r="D1075" s="1211">
        <v>23000</v>
      </c>
      <c r="E1075" s="1179"/>
      <c r="F1075" s="1179"/>
      <c r="G1075" s="1161">
        <v>858</v>
      </c>
      <c r="H1075" s="1162" t="s">
        <v>5349</v>
      </c>
      <c r="I1075" s="1215" t="s">
        <v>2338</v>
      </c>
      <c r="J1075" s="1211">
        <v>23000</v>
      </c>
      <c r="K1075" s="1179"/>
      <c r="L1075" s="1179"/>
      <c r="M1075" s="489" t="str">
        <f t="shared" si="42"/>
        <v>DDDDDDDĐ</v>
      </c>
    </row>
    <row r="1076" spans="1:13" ht="21" customHeight="1">
      <c r="A1076" s="1161">
        <v>859</v>
      </c>
      <c r="B1076" s="1162" t="s">
        <v>5350</v>
      </c>
      <c r="C1076" s="1215" t="s">
        <v>2338</v>
      </c>
      <c r="D1076" s="1211">
        <v>15364</v>
      </c>
      <c r="E1076" s="1179"/>
      <c r="F1076" s="1179"/>
      <c r="G1076" s="1161">
        <v>859</v>
      </c>
      <c r="H1076" s="1162" t="s">
        <v>5350</v>
      </c>
      <c r="I1076" s="1215" t="s">
        <v>2338</v>
      </c>
      <c r="J1076" s="1211">
        <v>15364</v>
      </c>
      <c r="K1076" s="1179"/>
      <c r="L1076" s="1179"/>
      <c r="M1076" s="489" t="str">
        <f t="shared" si="42"/>
        <v>DDDDDDDĐ</v>
      </c>
    </row>
    <row r="1077" spans="1:13" ht="21" customHeight="1">
      <c r="A1077" s="1161">
        <v>860</v>
      </c>
      <c r="B1077" s="1162" t="s">
        <v>5351</v>
      </c>
      <c r="C1077" s="1215" t="s">
        <v>2338</v>
      </c>
      <c r="D1077" s="1211">
        <v>1900</v>
      </c>
      <c r="E1077" s="1158"/>
      <c r="F1077" s="1158"/>
      <c r="G1077" s="1161">
        <v>860</v>
      </c>
      <c r="H1077" s="1162" t="s">
        <v>5351</v>
      </c>
      <c r="I1077" s="1215" t="s">
        <v>2338</v>
      </c>
      <c r="J1077" s="1211">
        <v>1900</v>
      </c>
      <c r="K1077" s="1158"/>
      <c r="L1077" s="1158"/>
      <c r="M1077" s="489" t="str">
        <f t="shared" si="42"/>
        <v>DDDDDDDĐ</v>
      </c>
    </row>
    <row r="1078" spans="1:13" ht="21" customHeight="1">
      <c r="A1078" s="1161">
        <v>861</v>
      </c>
      <c r="B1078" s="1162" t="s">
        <v>5352</v>
      </c>
      <c r="C1078" s="1215" t="s">
        <v>2338</v>
      </c>
      <c r="D1078" s="1211">
        <v>2500</v>
      </c>
      <c r="E1078" s="1179"/>
      <c r="F1078" s="1179"/>
      <c r="G1078" s="1161">
        <v>861</v>
      </c>
      <c r="H1078" s="1162" t="s">
        <v>5352</v>
      </c>
      <c r="I1078" s="1215" t="s">
        <v>2338</v>
      </c>
      <c r="J1078" s="1211">
        <v>2500</v>
      </c>
      <c r="K1078" s="1179"/>
      <c r="L1078" s="1179"/>
      <c r="M1078" s="489" t="str">
        <f t="shared" si="42"/>
        <v>DDDDDDDĐ</v>
      </c>
    </row>
    <row r="1079" spans="1:13" ht="21" customHeight="1">
      <c r="A1079" s="1161">
        <v>862</v>
      </c>
      <c r="B1079" s="1162" t="s">
        <v>5353</v>
      </c>
      <c r="C1079" s="1215" t="s">
        <v>2338</v>
      </c>
      <c r="D1079" s="1211">
        <v>4000</v>
      </c>
      <c r="E1079" s="1179"/>
      <c r="F1079" s="1179"/>
      <c r="G1079" s="1161">
        <v>862</v>
      </c>
      <c r="H1079" s="1162" t="s">
        <v>5353</v>
      </c>
      <c r="I1079" s="1215" t="s">
        <v>2338</v>
      </c>
      <c r="J1079" s="1211">
        <v>4000</v>
      </c>
      <c r="K1079" s="1179"/>
      <c r="L1079" s="1179"/>
      <c r="M1079" s="489" t="str">
        <f t="shared" si="42"/>
        <v>DDDDDDDĐ</v>
      </c>
    </row>
    <row r="1080" spans="1:13" ht="21" customHeight="1">
      <c r="A1080" s="1161">
        <v>863</v>
      </c>
      <c r="B1080" s="1162" t="s">
        <v>5354</v>
      </c>
      <c r="C1080" s="1215" t="s">
        <v>2338</v>
      </c>
      <c r="D1080" s="1211">
        <v>6400</v>
      </c>
      <c r="E1080" s="1179"/>
      <c r="F1080" s="1179"/>
      <c r="G1080" s="1161">
        <v>863</v>
      </c>
      <c r="H1080" s="1162" t="s">
        <v>5354</v>
      </c>
      <c r="I1080" s="1215" t="s">
        <v>2338</v>
      </c>
      <c r="J1080" s="1211">
        <v>6400</v>
      </c>
      <c r="K1080" s="1179"/>
      <c r="L1080" s="1179"/>
      <c r="M1080" s="489" t="str">
        <f t="shared" si="42"/>
        <v>DDDDDDDĐ</v>
      </c>
    </row>
    <row r="1081" spans="1:13" ht="21" customHeight="1">
      <c r="A1081" s="1161">
        <v>864</v>
      </c>
      <c r="B1081" s="1162" t="s">
        <v>5355</v>
      </c>
      <c r="C1081" s="1215" t="s">
        <v>2338</v>
      </c>
      <c r="D1081" s="1211">
        <v>10091</v>
      </c>
      <c r="E1081" s="1179"/>
      <c r="F1081" s="1179"/>
      <c r="G1081" s="1161">
        <v>864</v>
      </c>
      <c r="H1081" s="1162" t="s">
        <v>5355</v>
      </c>
      <c r="I1081" s="1215" t="s">
        <v>2338</v>
      </c>
      <c r="J1081" s="1211">
        <v>10091</v>
      </c>
      <c r="K1081" s="1179"/>
      <c r="L1081" s="1179"/>
      <c r="M1081" s="489" t="str">
        <f t="shared" si="42"/>
        <v>DDDDDDDĐ</v>
      </c>
    </row>
    <row r="1082" spans="1:13" ht="21" customHeight="1">
      <c r="A1082" s="1161">
        <v>865</v>
      </c>
      <c r="B1082" s="1162" t="s">
        <v>5356</v>
      </c>
      <c r="C1082" s="1215" t="s">
        <v>2338</v>
      </c>
      <c r="D1082" s="1211">
        <v>14800</v>
      </c>
      <c r="E1082" s="1179"/>
      <c r="F1082" s="1179"/>
      <c r="G1082" s="1161">
        <v>865</v>
      </c>
      <c r="H1082" s="1162" t="s">
        <v>5356</v>
      </c>
      <c r="I1082" s="1215" t="s">
        <v>2338</v>
      </c>
      <c r="J1082" s="1211">
        <v>14800</v>
      </c>
      <c r="K1082" s="1179"/>
      <c r="L1082" s="1179"/>
      <c r="M1082" s="489" t="str">
        <f t="shared" si="42"/>
        <v>DDDDDDDĐ</v>
      </c>
    </row>
    <row r="1083" spans="1:13" ht="21" customHeight="1">
      <c r="A1083" s="1161">
        <v>866</v>
      </c>
      <c r="B1083" s="1162" t="s">
        <v>5357</v>
      </c>
      <c r="C1083" s="1215" t="s">
        <v>2338</v>
      </c>
      <c r="D1083" s="1211">
        <v>13455</v>
      </c>
      <c r="E1083" s="1179"/>
      <c r="F1083" s="1179"/>
      <c r="G1083" s="1161">
        <v>866</v>
      </c>
      <c r="H1083" s="1162" t="s">
        <v>5357</v>
      </c>
      <c r="I1083" s="1215" t="s">
        <v>2338</v>
      </c>
      <c r="J1083" s="1211">
        <v>13455</v>
      </c>
      <c r="K1083" s="1179"/>
      <c r="L1083" s="1179"/>
      <c r="M1083" s="489" t="str">
        <f t="shared" si="42"/>
        <v>DDDDDDDĐ</v>
      </c>
    </row>
    <row r="1084" spans="1:13" ht="21" customHeight="1">
      <c r="A1084" s="1161">
        <v>867</v>
      </c>
      <c r="B1084" s="1162" t="s">
        <v>5358</v>
      </c>
      <c r="C1084" s="1215" t="s">
        <v>2338</v>
      </c>
      <c r="D1084" s="1211">
        <v>30000</v>
      </c>
      <c r="E1084" s="1179"/>
      <c r="F1084" s="1179"/>
      <c r="G1084" s="1161">
        <v>867</v>
      </c>
      <c r="H1084" s="1162" t="s">
        <v>5358</v>
      </c>
      <c r="I1084" s="1215" t="s">
        <v>2338</v>
      </c>
      <c r="J1084" s="1211">
        <v>30000</v>
      </c>
      <c r="K1084" s="1179"/>
      <c r="L1084" s="1179"/>
      <c r="M1084" s="489" t="str">
        <f t="shared" si="42"/>
        <v>DDDDDDDĐ</v>
      </c>
    </row>
    <row r="1085" spans="1:13" ht="21" customHeight="1">
      <c r="A1085" s="1161">
        <v>868</v>
      </c>
      <c r="B1085" s="1162" t="s">
        <v>5359</v>
      </c>
      <c r="C1085" s="1215" t="s">
        <v>2338</v>
      </c>
      <c r="D1085" s="1211">
        <v>2500</v>
      </c>
      <c r="E1085" s="1158"/>
      <c r="F1085" s="1158"/>
      <c r="G1085" s="1161">
        <v>868</v>
      </c>
      <c r="H1085" s="1162" t="s">
        <v>5359</v>
      </c>
      <c r="I1085" s="1215" t="s">
        <v>2338</v>
      </c>
      <c r="J1085" s="1211">
        <v>2500</v>
      </c>
      <c r="K1085" s="1158"/>
      <c r="L1085" s="1158"/>
      <c r="M1085" s="489" t="str">
        <f t="shared" si="42"/>
        <v>DDDDDDDĐ</v>
      </c>
    </row>
    <row r="1086" spans="1:13" ht="21" customHeight="1">
      <c r="A1086" s="1161">
        <v>869</v>
      </c>
      <c r="B1086" s="1162" t="s">
        <v>5360</v>
      </c>
      <c r="C1086" s="1215" t="s">
        <v>2338</v>
      </c>
      <c r="D1086" s="1211">
        <v>3800</v>
      </c>
      <c r="E1086" s="1179"/>
      <c r="F1086" s="1179"/>
      <c r="G1086" s="1161">
        <v>869</v>
      </c>
      <c r="H1086" s="1162" t="s">
        <v>5360</v>
      </c>
      <c r="I1086" s="1215" t="s">
        <v>2338</v>
      </c>
      <c r="J1086" s="1211">
        <v>3800</v>
      </c>
      <c r="K1086" s="1179"/>
      <c r="L1086" s="1179"/>
      <c r="M1086" s="489" t="str">
        <f t="shared" si="42"/>
        <v>DDDDDDDĐ</v>
      </c>
    </row>
    <row r="1087" spans="1:13" ht="21.6" customHeight="1">
      <c r="A1087" s="1161">
        <v>870</v>
      </c>
      <c r="B1087" s="1162" t="s">
        <v>5361</v>
      </c>
      <c r="C1087" s="1215" t="s">
        <v>2338</v>
      </c>
      <c r="D1087" s="1211">
        <v>5300</v>
      </c>
      <c r="E1087" s="1179"/>
      <c r="F1087" s="1179"/>
      <c r="G1087" s="1161">
        <v>870</v>
      </c>
      <c r="H1087" s="1162" t="s">
        <v>5361</v>
      </c>
      <c r="I1087" s="1215" t="s">
        <v>2338</v>
      </c>
      <c r="J1087" s="1211">
        <v>5300</v>
      </c>
      <c r="K1087" s="1179"/>
      <c r="L1087" s="1179"/>
      <c r="M1087" s="489" t="str">
        <f t="shared" si="42"/>
        <v>DDDDDDDĐ</v>
      </c>
    </row>
    <row r="1088" spans="1:13" ht="21.6" customHeight="1">
      <c r="A1088" s="1161">
        <v>871</v>
      </c>
      <c r="B1088" s="1162" t="s">
        <v>5362</v>
      </c>
      <c r="C1088" s="1215" t="s">
        <v>2338</v>
      </c>
      <c r="D1088" s="1211">
        <v>8500</v>
      </c>
      <c r="E1088" s="1179"/>
      <c r="F1088" s="1179"/>
      <c r="G1088" s="1161">
        <v>871</v>
      </c>
      <c r="H1088" s="1162" t="s">
        <v>5362</v>
      </c>
      <c r="I1088" s="1215" t="s">
        <v>2338</v>
      </c>
      <c r="J1088" s="1211">
        <v>8500</v>
      </c>
      <c r="K1088" s="1179"/>
      <c r="L1088" s="1179"/>
      <c r="M1088" s="489" t="str">
        <f t="shared" si="42"/>
        <v>DDDDDDDĐ</v>
      </c>
    </row>
    <row r="1089" spans="1:13" ht="21.6" customHeight="1">
      <c r="A1089" s="1161">
        <v>872</v>
      </c>
      <c r="B1089" s="1162" t="s">
        <v>5363</v>
      </c>
      <c r="C1089" s="1215" t="s">
        <v>2338</v>
      </c>
      <c r="D1089" s="1211">
        <v>13727</v>
      </c>
      <c r="E1089" s="1179"/>
      <c r="F1089" s="1179"/>
      <c r="G1089" s="1161">
        <v>872</v>
      </c>
      <c r="H1089" s="1162" t="s">
        <v>5363</v>
      </c>
      <c r="I1089" s="1215" t="s">
        <v>2338</v>
      </c>
      <c r="J1089" s="1211">
        <v>13727</v>
      </c>
      <c r="K1089" s="1179"/>
      <c r="L1089" s="1179"/>
      <c r="M1089" s="489" t="str">
        <f t="shared" si="42"/>
        <v>DDDDDDDĐ</v>
      </c>
    </row>
    <row r="1090" spans="1:13" ht="21.6" customHeight="1">
      <c r="A1090" s="1161">
        <v>873</v>
      </c>
      <c r="B1090" s="1162" t="s">
        <v>5364</v>
      </c>
      <c r="C1090" s="1215" t="s">
        <v>2338</v>
      </c>
      <c r="D1090" s="1211">
        <v>21000</v>
      </c>
      <c r="E1090" s="1179"/>
      <c r="F1090" s="1179"/>
      <c r="G1090" s="1161">
        <v>873</v>
      </c>
      <c r="H1090" s="1162" t="s">
        <v>5364</v>
      </c>
      <c r="I1090" s="1215" t="s">
        <v>2338</v>
      </c>
      <c r="J1090" s="1211">
        <v>21000</v>
      </c>
      <c r="K1090" s="1179"/>
      <c r="L1090" s="1179"/>
      <c r="M1090" s="489" t="str">
        <f t="shared" si="42"/>
        <v>DDDDDDDĐ</v>
      </c>
    </row>
    <row r="1091" spans="1:13" ht="21.6" customHeight="1">
      <c r="A1091" s="1161">
        <v>874</v>
      </c>
      <c r="B1091" s="1162" t="s">
        <v>5365</v>
      </c>
      <c r="C1091" s="1215" t="s">
        <v>2338</v>
      </c>
      <c r="D1091" s="1211">
        <v>53000</v>
      </c>
      <c r="E1091" s="1179"/>
      <c r="F1091" s="1179"/>
      <c r="G1091" s="1161">
        <v>874</v>
      </c>
      <c r="H1091" s="1162" t="s">
        <v>5365</v>
      </c>
      <c r="I1091" s="1215" t="s">
        <v>2338</v>
      </c>
      <c r="J1091" s="1211">
        <v>53000</v>
      </c>
      <c r="K1091" s="1179"/>
      <c r="L1091" s="1179"/>
      <c r="M1091" s="489" t="str">
        <f t="shared" si="42"/>
        <v>DDDDDDDĐ</v>
      </c>
    </row>
    <row r="1092" spans="1:13" ht="21.6" customHeight="1">
      <c r="A1092" s="501"/>
      <c r="B1092" s="502" t="s">
        <v>3822</v>
      </c>
      <c r="C1092" s="510"/>
      <c r="D1092" s="508"/>
      <c r="E1092" s="508"/>
      <c r="F1092" s="508"/>
      <c r="G1092" s="501"/>
      <c r="H1092" s="502" t="s">
        <v>3822</v>
      </c>
      <c r="I1092" s="510"/>
      <c r="J1092" s="508"/>
      <c r="K1092" s="508"/>
      <c r="L1092" s="508"/>
      <c r="M1092" s="489" t="str">
        <f t="shared" si="42"/>
        <v>DDDDDDDĐ</v>
      </c>
    </row>
    <row r="1093" spans="1:13" ht="21.6" customHeight="1">
      <c r="A1093" s="501"/>
      <c r="B1093" s="502" t="s">
        <v>3009</v>
      </c>
      <c r="C1093" s="544"/>
      <c r="D1093" s="544"/>
      <c r="E1093" s="544"/>
      <c r="F1093" s="544"/>
      <c r="G1093" s="501"/>
      <c r="H1093" s="502" t="s">
        <v>3009</v>
      </c>
      <c r="I1093" s="544"/>
      <c r="J1093" s="544"/>
      <c r="K1093" s="544"/>
      <c r="L1093" s="544"/>
      <c r="M1093" s="489" t="str">
        <f t="shared" si="42"/>
        <v>DDDDDDDĐ</v>
      </c>
    </row>
    <row r="1094" spans="1:13" ht="21.6" customHeight="1">
      <c r="A1094" s="501">
        <v>875</v>
      </c>
      <c r="B1094" s="506" t="s">
        <v>3010</v>
      </c>
      <c r="C1094" s="533" t="s">
        <v>2344</v>
      </c>
      <c r="D1094" s="510"/>
      <c r="E1094" s="508">
        <v>5300</v>
      </c>
      <c r="F1094" s="508">
        <f>E1094</f>
        <v>5300</v>
      </c>
      <c r="G1094" s="501">
        <v>875</v>
      </c>
      <c r="H1094" s="506" t="s">
        <v>3010</v>
      </c>
      <c r="I1094" s="533" t="s">
        <v>2344</v>
      </c>
      <c r="J1094" s="510"/>
      <c r="K1094" s="508">
        <v>5300</v>
      </c>
      <c r="L1094" s="508">
        <f>K1094</f>
        <v>5300</v>
      </c>
      <c r="M1094" s="489" t="str">
        <f t="shared" si="42"/>
        <v>DDDDDDDĐ</v>
      </c>
    </row>
    <row r="1095" spans="1:13" ht="21.6" customHeight="1">
      <c r="A1095" s="501">
        <v>876</v>
      </c>
      <c r="B1095" s="506" t="s">
        <v>3011</v>
      </c>
      <c r="C1095" s="533" t="s">
        <v>2344</v>
      </c>
      <c r="D1095" s="510"/>
      <c r="E1095" s="508">
        <v>7600</v>
      </c>
      <c r="F1095" s="508">
        <f t="shared" ref="F1095:F1104" si="43">E1095</f>
        <v>7600</v>
      </c>
      <c r="G1095" s="501">
        <v>876</v>
      </c>
      <c r="H1095" s="506" t="s">
        <v>3011</v>
      </c>
      <c r="I1095" s="533" t="s">
        <v>2344</v>
      </c>
      <c r="J1095" s="510"/>
      <c r="K1095" s="508">
        <v>7600</v>
      </c>
      <c r="L1095" s="508">
        <f t="shared" ref="L1095:L1113" si="44">K1095</f>
        <v>7600</v>
      </c>
      <c r="M1095" s="489" t="str">
        <f t="shared" si="42"/>
        <v>DDDDDDDĐ</v>
      </c>
    </row>
    <row r="1096" spans="1:13" ht="21.6" customHeight="1">
      <c r="A1096" s="501">
        <v>877</v>
      </c>
      <c r="B1096" s="506" t="s">
        <v>3012</v>
      </c>
      <c r="C1096" s="533" t="s">
        <v>2344</v>
      </c>
      <c r="D1096" s="510"/>
      <c r="E1096" s="508">
        <v>11200</v>
      </c>
      <c r="F1096" s="508">
        <f t="shared" si="43"/>
        <v>11200</v>
      </c>
      <c r="G1096" s="501">
        <v>877</v>
      </c>
      <c r="H1096" s="506" t="s">
        <v>3012</v>
      </c>
      <c r="I1096" s="533" t="s">
        <v>2344</v>
      </c>
      <c r="J1096" s="510"/>
      <c r="K1096" s="508">
        <v>11200</v>
      </c>
      <c r="L1096" s="508">
        <f t="shared" si="44"/>
        <v>11200</v>
      </c>
      <c r="M1096" s="489" t="str">
        <f t="shared" si="42"/>
        <v>DDDDDDDĐ</v>
      </c>
    </row>
    <row r="1097" spans="1:13" ht="21.6" customHeight="1">
      <c r="A1097" s="501">
        <v>878</v>
      </c>
      <c r="B1097" s="506" t="s">
        <v>3013</v>
      </c>
      <c r="C1097" s="533" t="s">
        <v>2344</v>
      </c>
      <c r="D1097" s="510"/>
      <c r="E1097" s="508">
        <v>13900</v>
      </c>
      <c r="F1097" s="508">
        <f t="shared" si="43"/>
        <v>13900</v>
      </c>
      <c r="G1097" s="501">
        <v>878</v>
      </c>
      <c r="H1097" s="506" t="s">
        <v>3013</v>
      </c>
      <c r="I1097" s="533" t="s">
        <v>2344</v>
      </c>
      <c r="J1097" s="510"/>
      <c r="K1097" s="508">
        <v>13900</v>
      </c>
      <c r="L1097" s="508">
        <f t="shared" si="44"/>
        <v>13900</v>
      </c>
      <c r="M1097" s="489" t="str">
        <f t="shared" si="42"/>
        <v>DDDDDDDĐ</v>
      </c>
    </row>
    <row r="1098" spans="1:13" ht="21.6" customHeight="1">
      <c r="A1098" s="501">
        <v>879</v>
      </c>
      <c r="B1098" s="506" t="s">
        <v>3014</v>
      </c>
      <c r="C1098" s="533" t="s">
        <v>2344</v>
      </c>
      <c r="D1098" s="510"/>
      <c r="E1098" s="508">
        <v>16100</v>
      </c>
      <c r="F1098" s="508">
        <f t="shared" si="43"/>
        <v>16100</v>
      </c>
      <c r="G1098" s="501">
        <v>879</v>
      </c>
      <c r="H1098" s="506" t="s">
        <v>3014</v>
      </c>
      <c r="I1098" s="533" t="s">
        <v>2344</v>
      </c>
      <c r="J1098" s="510"/>
      <c r="K1098" s="508">
        <v>16100</v>
      </c>
      <c r="L1098" s="508">
        <f t="shared" si="44"/>
        <v>16100</v>
      </c>
      <c r="M1098" s="489" t="str">
        <f t="shared" si="42"/>
        <v>DDDDDDDĐ</v>
      </c>
    </row>
    <row r="1099" spans="1:13" ht="21.6" customHeight="1">
      <c r="A1099" s="501">
        <v>880</v>
      </c>
      <c r="B1099" s="506" t="s">
        <v>3015</v>
      </c>
      <c r="C1099" s="533" t="s">
        <v>2344</v>
      </c>
      <c r="D1099" s="510"/>
      <c r="E1099" s="508">
        <v>21600</v>
      </c>
      <c r="F1099" s="508">
        <f t="shared" si="43"/>
        <v>21600</v>
      </c>
      <c r="G1099" s="501">
        <v>880</v>
      </c>
      <c r="H1099" s="506" t="s">
        <v>3015</v>
      </c>
      <c r="I1099" s="533" t="s">
        <v>2344</v>
      </c>
      <c r="J1099" s="510"/>
      <c r="K1099" s="508">
        <v>21600</v>
      </c>
      <c r="L1099" s="508">
        <f t="shared" si="44"/>
        <v>21600</v>
      </c>
      <c r="M1099" s="489" t="str">
        <f t="shared" si="42"/>
        <v>DDDDDDDĐ</v>
      </c>
    </row>
    <row r="1100" spans="1:13" ht="21.6" customHeight="1">
      <c r="A1100" s="501">
        <v>881</v>
      </c>
      <c r="B1100" s="506" t="s">
        <v>3016</v>
      </c>
      <c r="C1100" s="533" t="s">
        <v>2344</v>
      </c>
      <c r="D1100" s="510"/>
      <c r="E1100" s="508">
        <v>40300</v>
      </c>
      <c r="F1100" s="508">
        <f t="shared" si="43"/>
        <v>40300</v>
      </c>
      <c r="G1100" s="501">
        <v>881</v>
      </c>
      <c r="H1100" s="506" t="s">
        <v>3016</v>
      </c>
      <c r="I1100" s="533" t="s">
        <v>2344</v>
      </c>
      <c r="J1100" s="510"/>
      <c r="K1100" s="508">
        <v>40300</v>
      </c>
      <c r="L1100" s="508">
        <f t="shared" si="44"/>
        <v>40300</v>
      </c>
      <c r="M1100" s="489" t="str">
        <f t="shared" si="42"/>
        <v>DDDDDDDĐ</v>
      </c>
    </row>
    <row r="1101" spans="1:13" ht="21.6" customHeight="1">
      <c r="A1101" s="501">
        <v>882</v>
      </c>
      <c r="B1101" s="506" t="s">
        <v>3017</v>
      </c>
      <c r="C1101" s="533" t="s">
        <v>2344</v>
      </c>
      <c r="D1101" s="510"/>
      <c r="E1101" s="508">
        <v>46500</v>
      </c>
      <c r="F1101" s="508">
        <f t="shared" si="43"/>
        <v>46500</v>
      </c>
      <c r="G1101" s="501">
        <v>882</v>
      </c>
      <c r="H1101" s="506" t="s">
        <v>3017</v>
      </c>
      <c r="I1101" s="533" t="s">
        <v>2344</v>
      </c>
      <c r="J1101" s="510"/>
      <c r="K1101" s="508">
        <v>46500</v>
      </c>
      <c r="L1101" s="508">
        <f t="shared" si="44"/>
        <v>46500</v>
      </c>
      <c r="M1101" s="489" t="str">
        <f t="shared" si="42"/>
        <v>DDDDDDDĐ</v>
      </c>
    </row>
    <row r="1102" spans="1:13" ht="21.6" customHeight="1">
      <c r="A1102" s="501">
        <v>883</v>
      </c>
      <c r="B1102" s="506" t="s">
        <v>3018</v>
      </c>
      <c r="C1102" s="533" t="s">
        <v>2344</v>
      </c>
      <c r="D1102" s="510"/>
      <c r="E1102" s="508">
        <v>56400</v>
      </c>
      <c r="F1102" s="508">
        <f t="shared" si="43"/>
        <v>56400</v>
      </c>
      <c r="G1102" s="501">
        <v>883</v>
      </c>
      <c r="H1102" s="506" t="s">
        <v>3018</v>
      </c>
      <c r="I1102" s="533" t="s">
        <v>2344</v>
      </c>
      <c r="J1102" s="510"/>
      <c r="K1102" s="508">
        <v>56400</v>
      </c>
      <c r="L1102" s="508">
        <f t="shared" si="44"/>
        <v>56400</v>
      </c>
      <c r="M1102" s="489" t="str">
        <f t="shared" si="42"/>
        <v>DDDDDDDĐ</v>
      </c>
    </row>
    <row r="1103" spans="1:13" ht="21.6" customHeight="1">
      <c r="A1103" s="501">
        <v>884</v>
      </c>
      <c r="B1103" s="506" t="s">
        <v>3019</v>
      </c>
      <c r="C1103" s="533" t="s">
        <v>2344</v>
      </c>
      <c r="D1103" s="510"/>
      <c r="E1103" s="508">
        <v>109300</v>
      </c>
      <c r="F1103" s="508">
        <f t="shared" si="43"/>
        <v>109300</v>
      </c>
      <c r="G1103" s="501">
        <v>884</v>
      </c>
      <c r="H1103" s="506" t="s">
        <v>3019</v>
      </c>
      <c r="I1103" s="533" t="s">
        <v>2344</v>
      </c>
      <c r="J1103" s="510"/>
      <c r="K1103" s="508">
        <v>109300</v>
      </c>
      <c r="L1103" s="508">
        <f t="shared" si="44"/>
        <v>109300</v>
      </c>
      <c r="M1103" s="489" t="str">
        <f t="shared" si="42"/>
        <v>DDDDDDDĐ</v>
      </c>
    </row>
    <row r="1104" spans="1:13" ht="21.6" customHeight="1">
      <c r="A1104" s="501">
        <v>885</v>
      </c>
      <c r="B1104" s="506" t="s">
        <v>3020</v>
      </c>
      <c r="C1104" s="533" t="s">
        <v>2344</v>
      </c>
      <c r="D1104" s="510"/>
      <c r="E1104" s="508">
        <v>199600</v>
      </c>
      <c r="F1104" s="508">
        <f t="shared" si="43"/>
        <v>199600</v>
      </c>
      <c r="G1104" s="501">
        <v>885</v>
      </c>
      <c r="H1104" s="506" t="s">
        <v>3020</v>
      </c>
      <c r="I1104" s="533" t="s">
        <v>2344</v>
      </c>
      <c r="J1104" s="510"/>
      <c r="K1104" s="508">
        <v>199600</v>
      </c>
      <c r="L1104" s="508">
        <f t="shared" si="44"/>
        <v>199600</v>
      </c>
      <c r="M1104" s="489" t="str">
        <f t="shared" si="42"/>
        <v>DDDDDDDĐ</v>
      </c>
    </row>
    <row r="1105" spans="1:13" ht="21.6" customHeight="1">
      <c r="A1105" s="552"/>
      <c r="B1105" s="514" t="s">
        <v>3021</v>
      </c>
      <c r="C1105" s="555"/>
      <c r="D1105" s="555"/>
      <c r="E1105" s="509"/>
      <c r="F1105" s="508"/>
      <c r="G1105" s="552"/>
      <c r="H1105" s="514" t="s">
        <v>3021</v>
      </c>
      <c r="I1105" s="555"/>
      <c r="J1105" s="555"/>
      <c r="K1105" s="509"/>
      <c r="L1105" s="508"/>
      <c r="M1105" s="489" t="str">
        <f t="shared" si="42"/>
        <v>DDDDDDDĐ</v>
      </c>
    </row>
    <row r="1106" spans="1:13" ht="21.6" customHeight="1">
      <c r="A1106" s="553">
        <v>886</v>
      </c>
      <c r="B1106" s="554" t="s">
        <v>3022</v>
      </c>
      <c r="C1106" s="548" t="s">
        <v>2960</v>
      </c>
      <c r="D1106" s="549"/>
      <c r="E1106" s="551">
        <v>9900</v>
      </c>
      <c r="F1106" s="508">
        <f>E1106</f>
        <v>9900</v>
      </c>
      <c r="G1106" s="553">
        <v>886</v>
      </c>
      <c r="H1106" s="554" t="s">
        <v>3022</v>
      </c>
      <c r="I1106" s="548" t="s">
        <v>2960</v>
      </c>
      <c r="J1106" s="549"/>
      <c r="K1106" s="551">
        <v>9900</v>
      </c>
      <c r="L1106" s="508">
        <f t="shared" si="44"/>
        <v>9900</v>
      </c>
      <c r="M1106" s="489" t="str">
        <f t="shared" si="42"/>
        <v>DDDDDDDĐ</v>
      </c>
    </row>
    <row r="1107" spans="1:13" ht="21.6" customHeight="1">
      <c r="A1107" s="553">
        <v>887</v>
      </c>
      <c r="B1107" s="554" t="s">
        <v>3023</v>
      </c>
      <c r="C1107" s="548" t="s">
        <v>2960</v>
      </c>
      <c r="D1107" s="549"/>
      <c r="E1107" s="551">
        <v>48100</v>
      </c>
      <c r="F1107" s="508">
        <f>E1107</f>
        <v>48100</v>
      </c>
      <c r="G1107" s="553">
        <v>887</v>
      </c>
      <c r="H1107" s="554" t="s">
        <v>3023</v>
      </c>
      <c r="I1107" s="548" t="s">
        <v>2960</v>
      </c>
      <c r="J1107" s="549"/>
      <c r="K1107" s="551">
        <v>48100</v>
      </c>
      <c r="L1107" s="508">
        <f t="shared" si="44"/>
        <v>48100</v>
      </c>
      <c r="M1107" s="489" t="str">
        <f t="shared" si="42"/>
        <v>DDDDDDDĐ</v>
      </c>
    </row>
    <row r="1108" spans="1:13" ht="21.6" customHeight="1">
      <c r="A1108" s="553">
        <v>888</v>
      </c>
      <c r="B1108" s="554" t="s">
        <v>3024</v>
      </c>
      <c r="C1108" s="548" t="s">
        <v>2960</v>
      </c>
      <c r="D1108" s="549"/>
      <c r="E1108" s="551">
        <v>145000</v>
      </c>
      <c r="F1108" s="508">
        <f>E1108</f>
        <v>145000</v>
      </c>
      <c r="G1108" s="553">
        <v>888</v>
      </c>
      <c r="H1108" s="554" t="s">
        <v>3024</v>
      </c>
      <c r="I1108" s="548" t="s">
        <v>2960</v>
      </c>
      <c r="J1108" s="549"/>
      <c r="K1108" s="551">
        <v>145000</v>
      </c>
      <c r="L1108" s="508">
        <f t="shared" si="44"/>
        <v>145000</v>
      </c>
      <c r="M1108" s="489" t="str">
        <f t="shared" si="42"/>
        <v>DDDDDDDĐ</v>
      </c>
    </row>
    <row r="1109" spans="1:13" ht="21.6" customHeight="1">
      <c r="A1109" s="553">
        <v>889</v>
      </c>
      <c r="B1109" s="554" t="s">
        <v>3025</v>
      </c>
      <c r="C1109" s="548" t="s">
        <v>2960</v>
      </c>
      <c r="D1109" s="549"/>
      <c r="E1109" s="551">
        <v>385100</v>
      </c>
      <c r="F1109" s="508">
        <f>E1109</f>
        <v>385100</v>
      </c>
      <c r="G1109" s="553">
        <v>889</v>
      </c>
      <c r="H1109" s="554" t="s">
        <v>3025</v>
      </c>
      <c r="I1109" s="548" t="s">
        <v>2960</v>
      </c>
      <c r="J1109" s="549"/>
      <c r="K1109" s="551">
        <v>385100</v>
      </c>
      <c r="L1109" s="508">
        <f t="shared" si="44"/>
        <v>385100</v>
      </c>
      <c r="M1109" s="489" t="str">
        <f t="shared" si="42"/>
        <v>DDDDDDDĐ</v>
      </c>
    </row>
    <row r="1110" spans="1:13" ht="21.6" customHeight="1">
      <c r="A1110" s="552"/>
      <c r="B1110" s="514" t="s">
        <v>3026</v>
      </c>
      <c r="C1110" s="555"/>
      <c r="D1110" s="555"/>
      <c r="E1110" s="509"/>
      <c r="F1110" s="508"/>
      <c r="G1110" s="552"/>
      <c r="H1110" s="514" t="s">
        <v>3026</v>
      </c>
      <c r="I1110" s="555"/>
      <c r="J1110" s="555"/>
      <c r="K1110" s="509"/>
      <c r="L1110" s="508"/>
      <c r="M1110" s="489" t="str">
        <f t="shared" si="42"/>
        <v>DDDDDDDĐ</v>
      </c>
    </row>
    <row r="1111" spans="1:13" ht="21.6" customHeight="1">
      <c r="A1111" s="553">
        <v>890</v>
      </c>
      <c r="B1111" s="554" t="s">
        <v>3027</v>
      </c>
      <c r="C1111" s="548" t="s">
        <v>2960</v>
      </c>
      <c r="D1111" s="549"/>
      <c r="E1111" s="551">
        <v>15200</v>
      </c>
      <c r="F1111" s="508">
        <f>E1111</f>
        <v>15200</v>
      </c>
      <c r="G1111" s="553">
        <v>890</v>
      </c>
      <c r="H1111" s="554" t="s">
        <v>3027</v>
      </c>
      <c r="I1111" s="548" t="s">
        <v>2960</v>
      </c>
      <c r="J1111" s="549"/>
      <c r="K1111" s="551">
        <v>15200</v>
      </c>
      <c r="L1111" s="508">
        <f t="shared" si="44"/>
        <v>15200</v>
      </c>
      <c r="M1111" s="489" t="str">
        <f t="shared" si="42"/>
        <v>DDDDDDDĐ</v>
      </c>
    </row>
    <row r="1112" spans="1:13" ht="21.6" customHeight="1">
      <c r="A1112" s="553">
        <v>891</v>
      </c>
      <c r="B1112" s="554" t="s">
        <v>3028</v>
      </c>
      <c r="C1112" s="548" t="s">
        <v>2960</v>
      </c>
      <c r="D1112" s="549"/>
      <c r="E1112" s="551">
        <v>36300</v>
      </c>
      <c r="F1112" s="508">
        <f>E1112</f>
        <v>36300</v>
      </c>
      <c r="G1112" s="553">
        <v>891</v>
      </c>
      <c r="H1112" s="554" t="s">
        <v>3028</v>
      </c>
      <c r="I1112" s="548" t="s">
        <v>2960</v>
      </c>
      <c r="J1112" s="549"/>
      <c r="K1112" s="551">
        <v>36300</v>
      </c>
      <c r="L1112" s="508">
        <f t="shared" si="44"/>
        <v>36300</v>
      </c>
      <c r="M1112" s="489" t="str">
        <f t="shared" si="42"/>
        <v>DDDDDDDĐ</v>
      </c>
    </row>
    <row r="1113" spans="1:13" ht="21.6" customHeight="1">
      <c r="A1113" s="553">
        <v>892</v>
      </c>
      <c r="B1113" s="554" t="s">
        <v>3029</v>
      </c>
      <c r="C1113" s="548" t="s">
        <v>2960</v>
      </c>
      <c r="D1113" s="549"/>
      <c r="E1113" s="551">
        <v>143100</v>
      </c>
      <c r="F1113" s="508">
        <f>E1113</f>
        <v>143100</v>
      </c>
      <c r="G1113" s="553">
        <v>892</v>
      </c>
      <c r="H1113" s="554" t="s">
        <v>3029</v>
      </c>
      <c r="I1113" s="548" t="s">
        <v>2960</v>
      </c>
      <c r="J1113" s="549"/>
      <c r="K1113" s="551">
        <v>143100</v>
      </c>
      <c r="L1113" s="508">
        <f t="shared" si="44"/>
        <v>143100</v>
      </c>
      <c r="M1113" s="489" t="str">
        <f t="shared" si="42"/>
        <v>DDDDDDDĐ</v>
      </c>
    </row>
    <row r="1114" spans="1:13" ht="21.6" customHeight="1">
      <c r="A1114" s="501"/>
      <c r="B1114" s="502" t="s">
        <v>3744</v>
      </c>
      <c r="C1114" s="510"/>
      <c r="D1114" s="508"/>
      <c r="E1114" s="508"/>
      <c r="F1114" s="508"/>
      <c r="G1114" s="501"/>
      <c r="H1114" s="502" t="s">
        <v>3744</v>
      </c>
      <c r="I1114" s="510"/>
      <c r="J1114" s="508"/>
      <c r="K1114" s="508"/>
      <c r="L1114" s="508"/>
      <c r="M1114" s="489" t="str">
        <f t="shared" si="42"/>
        <v>DDDDDDDĐ</v>
      </c>
    </row>
    <row r="1115" spans="1:13" ht="21.6" customHeight="1">
      <c r="A1115" s="501"/>
      <c r="B1115" s="502" t="s">
        <v>3009</v>
      </c>
      <c r="C1115" s="544"/>
      <c r="D1115" s="544"/>
      <c r="E1115" s="544"/>
      <c r="F1115" s="544"/>
      <c r="G1115" s="501"/>
      <c r="H1115" s="502" t="s">
        <v>3009</v>
      </c>
      <c r="I1115" s="544"/>
      <c r="J1115" s="544"/>
      <c r="K1115" s="544"/>
      <c r="L1115" s="544"/>
      <c r="M1115" s="489" t="str">
        <f t="shared" si="42"/>
        <v>DDDDDDDĐ</v>
      </c>
    </row>
    <row r="1116" spans="1:13" ht="21.6" customHeight="1">
      <c r="A1116" s="501">
        <v>893</v>
      </c>
      <c r="B1116" s="506" t="s">
        <v>3010</v>
      </c>
      <c r="C1116" s="533" t="s">
        <v>2344</v>
      </c>
      <c r="D1116" s="510"/>
      <c r="E1116" s="508">
        <f>5800/1.1</f>
        <v>5272.7272727272721</v>
      </c>
      <c r="F1116" s="508">
        <f>E1116</f>
        <v>5272.7272727272721</v>
      </c>
      <c r="G1116" s="501">
        <v>893</v>
      </c>
      <c r="H1116" s="506" t="s">
        <v>3010</v>
      </c>
      <c r="I1116" s="533" t="s">
        <v>2344</v>
      </c>
      <c r="J1116" s="510"/>
      <c r="K1116" s="508">
        <f>5800/1.1</f>
        <v>5272.7272727272721</v>
      </c>
      <c r="L1116" s="508">
        <f>K1116</f>
        <v>5272.7272727272721</v>
      </c>
      <c r="M1116" s="489" t="str">
        <f t="shared" si="42"/>
        <v>DDDDDDDĐ</v>
      </c>
    </row>
    <row r="1117" spans="1:13" ht="21.6" customHeight="1">
      <c r="A1117" s="501">
        <v>894</v>
      </c>
      <c r="B1117" s="506" t="s">
        <v>3745</v>
      </c>
      <c r="C1117" s="533" t="s">
        <v>2344</v>
      </c>
      <c r="D1117" s="510"/>
      <c r="E1117" s="508">
        <f>8000/1.1</f>
        <v>7272.7272727272721</v>
      </c>
      <c r="F1117" s="508">
        <f t="shared" ref="F1117:F1126" si="45">E1117</f>
        <v>7272.7272727272721</v>
      </c>
      <c r="G1117" s="501">
        <v>894</v>
      </c>
      <c r="H1117" s="506" t="s">
        <v>3745</v>
      </c>
      <c r="I1117" s="533" t="s">
        <v>2344</v>
      </c>
      <c r="J1117" s="510"/>
      <c r="K1117" s="508">
        <f>8000/1.1</f>
        <v>7272.7272727272721</v>
      </c>
      <c r="L1117" s="508">
        <f t="shared" ref="L1117:L1133" si="46">K1117</f>
        <v>7272.7272727272721</v>
      </c>
      <c r="M1117" s="489" t="str">
        <f t="shared" si="42"/>
        <v>DDDDDDDĐ</v>
      </c>
    </row>
    <row r="1118" spans="1:13" ht="21.6" customHeight="1">
      <c r="A1118" s="501">
        <v>895</v>
      </c>
      <c r="B1118" s="506" t="s">
        <v>3746</v>
      </c>
      <c r="C1118" s="533" t="s">
        <v>2344</v>
      </c>
      <c r="D1118" s="510"/>
      <c r="E1118" s="508">
        <f>12050/1.1</f>
        <v>10954.545454545454</v>
      </c>
      <c r="F1118" s="508">
        <f t="shared" si="45"/>
        <v>10954.545454545454</v>
      </c>
      <c r="G1118" s="501">
        <v>895</v>
      </c>
      <c r="H1118" s="506" t="s">
        <v>3746</v>
      </c>
      <c r="I1118" s="533" t="s">
        <v>2344</v>
      </c>
      <c r="J1118" s="510"/>
      <c r="K1118" s="508">
        <f>12050/1.1</f>
        <v>10954.545454545454</v>
      </c>
      <c r="L1118" s="508">
        <f t="shared" si="46"/>
        <v>10954.545454545454</v>
      </c>
      <c r="M1118" s="489" t="str">
        <f t="shared" si="42"/>
        <v>DDDDDDDĐ</v>
      </c>
    </row>
    <row r="1119" spans="1:13" ht="21.6" customHeight="1">
      <c r="A1119" s="501">
        <v>896</v>
      </c>
      <c r="B1119" s="506" t="s">
        <v>3747</v>
      </c>
      <c r="C1119" s="533" t="s">
        <v>2344</v>
      </c>
      <c r="D1119" s="510"/>
      <c r="E1119" s="508">
        <f>14800/1.1</f>
        <v>13454.545454545454</v>
      </c>
      <c r="F1119" s="508">
        <f t="shared" si="45"/>
        <v>13454.545454545454</v>
      </c>
      <c r="G1119" s="501">
        <v>896</v>
      </c>
      <c r="H1119" s="506" t="s">
        <v>3747</v>
      </c>
      <c r="I1119" s="533" t="s">
        <v>2344</v>
      </c>
      <c r="J1119" s="510"/>
      <c r="K1119" s="508">
        <f>14800/1.1</f>
        <v>13454.545454545454</v>
      </c>
      <c r="L1119" s="508">
        <f t="shared" si="46"/>
        <v>13454.545454545454</v>
      </c>
      <c r="M1119" s="489" t="str">
        <f t="shared" si="42"/>
        <v>DDDDDDDĐ</v>
      </c>
    </row>
    <row r="1120" spans="1:13" ht="21.6" customHeight="1">
      <c r="A1120" s="501">
        <v>897</v>
      </c>
      <c r="B1120" s="506" t="s">
        <v>3748</v>
      </c>
      <c r="C1120" s="533" t="s">
        <v>2344</v>
      </c>
      <c r="D1120" s="510"/>
      <c r="E1120" s="508">
        <f>17150/1.1</f>
        <v>15590.90909090909</v>
      </c>
      <c r="F1120" s="508">
        <f t="shared" si="45"/>
        <v>15590.90909090909</v>
      </c>
      <c r="G1120" s="501">
        <v>897</v>
      </c>
      <c r="H1120" s="506" t="s">
        <v>3748</v>
      </c>
      <c r="I1120" s="533" t="s">
        <v>2344</v>
      </c>
      <c r="J1120" s="510"/>
      <c r="K1120" s="508">
        <f>17150/1.1</f>
        <v>15590.90909090909</v>
      </c>
      <c r="L1120" s="508">
        <f t="shared" si="46"/>
        <v>15590.90909090909</v>
      </c>
      <c r="M1120" s="489" t="str">
        <f t="shared" si="42"/>
        <v>DDDDDDDĐ</v>
      </c>
    </row>
    <row r="1121" spans="1:13" ht="21.6" customHeight="1">
      <c r="A1121" s="501">
        <v>898</v>
      </c>
      <c r="B1121" s="506" t="s">
        <v>3749</v>
      </c>
      <c r="C1121" s="533" t="s">
        <v>2344</v>
      </c>
      <c r="D1121" s="510"/>
      <c r="E1121" s="508">
        <f>22580/1.14</f>
        <v>19807.017543859653</v>
      </c>
      <c r="F1121" s="508">
        <f t="shared" si="45"/>
        <v>19807.017543859653</v>
      </c>
      <c r="G1121" s="501">
        <v>898</v>
      </c>
      <c r="H1121" s="506" t="s">
        <v>3749</v>
      </c>
      <c r="I1121" s="533" t="s">
        <v>2344</v>
      </c>
      <c r="J1121" s="510"/>
      <c r="K1121" s="508">
        <f>22580/1.14</f>
        <v>19807.017543859653</v>
      </c>
      <c r="L1121" s="508">
        <f t="shared" si="46"/>
        <v>19807.017543859653</v>
      </c>
      <c r="M1121" s="489" t="str">
        <f t="shared" si="42"/>
        <v>DDDDDDDĐ</v>
      </c>
    </row>
    <row r="1122" spans="1:13" ht="21.6" customHeight="1">
      <c r="A1122" s="501">
        <v>899</v>
      </c>
      <c r="B1122" s="506" t="s">
        <v>3016</v>
      </c>
      <c r="C1122" s="533" t="s">
        <v>2344</v>
      </c>
      <c r="D1122" s="510"/>
      <c r="E1122" s="508">
        <f>42800/1.1</f>
        <v>38909.090909090904</v>
      </c>
      <c r="F1122" s="508">
        <f t="shared" si="45"/>
        <v>38909.090909090904</v>
      </c>
      <c r="G1122" s="501">
        <v>899</v>
      </c>
      <c r="H1122" s="506" t="s">
        <v>3016</v>
      </c>
      <c r="I1122" s="533" t="s">
        <v>2344</v>
      </c>
      <c r="J1122" s="510"/>
      <c r="K1122" s="508">
        <f>42800/1.1</f>
        <v>38909.090909090904</v>
      </c>
      <c r="L1122" s="508">
        <f t="shared" si="46"/>
        <v>38909.090909090904</v>
      </c>
      <c r="M1122" s="489" t="str">
        <f t="shared" ref="M1122:M1178" si="47">IF(B1122=H1122,"DDDDDDDĐ","SSSSSSSSSSSS")</f>
        <v>DDDDDDDĐ</v>
      </c>
    </row>
    <row r="1123" spans="1:13" ht="21.6" customHeight="1">
      <c r="A1123" s="501">
        <v>900</v>
      </c>
      <c r="B1123" s="506" t="s">
        <v>3017</v>
      </c>
      <c r="C1123" s="533" t="s">
        <v>2344</v>
      </c>
      <c r="D1123" s="510"/>
      <c r="E1123" s="508">
        <f>49150/1.1</f>
        <v>44681.818181818177</v>
      </c>
      <c r="F1123" s="508">
        <f t="shared" si="45"/>
        <v>44681.818181818177</v>
      </c>
      <c r="G1123" s="501">
        <v>900</v>
      </c>
      <c r="H1123" s="506" t="s">
        <v>3017</v>
      </c>
      <c r="I1123" s="533" t="s">
        <v>2344</v>
      </c>
      <c r="J1123" s="510"/>
      <c r="K1123" s="508">
        <f>49150/1.1</f>
        <v>44681.818181818177</v>
      </c>
      <c r="L1123" s="508">
        <f t="shared" si="46"/>
        <v>44681.818181818177</v>
      </c>
      <c r="M1123" s="489" t="str">
        <f t="shared" si="47"/>
        <v>DDDDDDDĐ</v>
      </c>
    </row>
    <row r="1124" spans="1:13" ht="21.6" customHeight="1">
      <c r="A1124" s="501">
        <v>901</v>
      </c>
      <c r="B1124" s="506" t="s">
        <v>3750</v>
      </c>
      <c r="C1124" s="533" t="s">
        <v>2344</v>
      </c>
      <c r="D1124" s="510"/>
      <c r="E1124" s="508">
        <f>68250/1.1</f>
        <v>62045.454545454537</v>
      </c>
      <c r="F1124" s="508">
        <f t="shared" si="45"/>
        <v>62045.454545454537</v>
      </c>
      <c r="G1124" s="501">
        <v>901</v>
      </c>
      <c r="H1124" s="506" t="s">
        <v>3750</v>
      </c>
      <c r="I1124" s="533" t="s">
        <v>2344</v>
      </c>
      <c r="J1124" s="510"/>
      <c r="K1124" s="508">
        <f>68250/1.1</f>
        <v>62045.454545454537</v>
      </c>
      <c r="L1124" s="508">
        <f t="shared" si="46"/>
        <v>62045.454545454537</v>
      </c>
      <c r="M1124" s="489" t="str">
        <f t="shared" si="47"/>
        <v>DDDDDDDĐ</v>
      </c>
    </row>
    <row r="1125" spans="1:13" ht="21.6" customHeight="1">
      <c r="A1125" s="501">
        <v>902</v>
      </c>
      <c r="B1125" s="506" t="s">
        <v>3019</v>
      </c>
      <c r="C1125" s="533" t="s">
        <v>2344</v>
      </c>
      <c r="D1125" s="510"/>
      <c r="E1125" s="508">
        <f>119400/1.1</f>
        <v>108545.45454545453</v>
      </c>
      <c r="F1125" s="508">
        <f t="shared" si="45"/>
        <v>108545.45454545453</v>
      </c>
      <c r="G1125" s="501">
        <v>902</v>
      </c>
      <c r="H1125" s="506" t="s">
        <v>3019</v>
      </c>
      <c r="I1125" s="533" t="s">
        <v>2344</v>
      </c>
      <c r="J1125" s="510"/>
      <c r="K1125" s="508">
        <f>119400/1.1</f>
        <v>108545.45454545453</v>
      </c>
      <c r="L1125" s="508">
        <f t="shared" si="46"/>
        <v>108545.45454545453</v>
      </c>
      <c r="M1125" s="489" t="str">
        <f t="shared" si="47"/>
        <v>DDDDDDDĐ</v>
      </c>
    </row>
    <row r="1126" spans="1:13" ht="21.6" customHeight="1">
      <c r="A1126" s="501">
        <v>903</v>
      </c>
      <c r="B1126" s="506" t="s">
        <v>3751</v>
      </c>
      <c r="C1126" s="533" t="s">
        <v>2344</v>
      </c>
      <c r="D1126" s="510"/>
      <c r="E1126" s="508">
        <f>209130/1.1</f>
        <v>190118.18181818179</v>
      </c>
      <c r="F1126" s="508">
        <f t="shared" si="45"/>
        <v>190118.18181818179</v>
      </c>
      <c r="G1126" s="501">
        <v>903</v>
      </c>
      <c r="H1126" s="506" t="s">
        <v>3751</v>
      </c>
      <c r="I1126" s="533" t="s">
        <v>2344</v>
      </c>
      <c r="J1126" s="510"/>
      <c r="K1126" s="508">
        <f>209130/1.1</f>
        <v>190118.18181818179</v>
      </c>
      <c r="L1126" s="508">
        <f t="shared" si="46"/>
        <v>190118.18181818179</v>
      </c>
      <c r="M1126" s="489" t="str">
        <f t="shared" si="47"/>
        <v>DDDDDDDĐ</v>
      </c>
    </row>
    <row r="1127" spans="1:13" ht="21.6" customHeight="1">
      <c r="A1127" s="501"/>
      <c r="B1127" s="514" t="s">
        <v>3752</v>
      </c>
      <c r="C1127" s="555"/>
      <c r="D1127" s="555"/>
      <c r="E1127" s="509"/>
      <c r="F1127" s="508"/>
      <c r="G1127" s="501"/>
      <c r="H1127" s="514" t="s">
        <v>3752</v>
      </c>
      <c r="I1127" s="555"/>
      <c r="J1127" s="555"/>
      <c r="K1127" s="509"/>
      <c r="L1127" s="508"/>
      <c r="M1127" s="489" t="str">
        <f t="shared" si="47"/>
        <v>DDDDDDDĐ</v>
      </c>
    </row>
    <row r="1128" spans="1:13" ht="21.6" customHeight="1">
      <c r="A1128" s="501">
        <v>904</v>
      </c>
      <c r="B1128" s="554" t="s">
        <v>3753</v>
      </c>
      <c r="C1128" s="548" t="s">
        <v>2960</v>
      </c>
      <c r="D1128" s="549"/>
      <c r="E1128" s="551">
        <f>17175/1.1</f>
        <v>15613.636363636362</v>
      </c>
      <c r="F1128" s="508">
        <f t="shared" ref="F1128:F1133" si="48">E1128</f>
        <v>15613.636363636362</v>
      </c>
      <c r="G1128" s="501">
        <v>904</v>
      </c>
      <c r="H1128" s="554" t="s">
        <v>3753</v>
      </c>
      <c r="I1128" s="548" t="s">
        <v>2960</v>
      </c>
      <c r="J1128" s="549"/>
      <c r="K1128" s="551">
        <f>17175/1.1</f>
        <v>15613.636363636362</v>
      </c>
      <c r="L1128" s="508">
        <f t="shared" si="46"/>
        <v>15613.636363636362</v>
      </c>
      <c r="M1128" s="489" t="str">
        <f t="shared" si="47"/>
        <v>DDDDDDDĐ</v>
      </c>
    </row>
    <row r="1129" spans="1:13" ht="21.6" customHeight="1">
      <c r="A1129" s="501">
        <v>905</v>
      </c>
      <c r="B1129" s="554" t="s">
        <v>3754</v>
      </c>
      <c r="C1129" s="548" t="s">
        <v>2960</v>
      </c>
      <c r="D1129" s="549"/>
      <c r="E1129" s="551">
        <f>23720/1.1</f>
        <v>21563.63636363636</v>
      </c>
      <c r="F1129" s="508">
        <f t="shared" si="48"/>
        <v>21563.63636363636</v>
      </c>
      <c r="G1129" s="501">
        <v>905</v>
      </c>
      <c r="H1129" s="554" t="s">
        <v>3754</v>
      </c>
      <c r="I1129" s="548" t="s">
        <v>2960</v>
      </c>
      <c r="J1129" s="549"/>
      <c r="K1129" s="551">
        <f>23720/1.1</f>
        <v>21563.63636363636</v>
      </c>
      <c r="L1129" s="508">
        <f t="shared" si="46"/>
        <v>21563.63636363636</v>
      </c>
      <c r="M1129" s="489" t="str">
        <f t="shared" si="47"/>
        <v>DDDDDDDĐ</v>
      </c>
    </row>
    <row r="1130" spans="1:13" ht="21.6" customHeight="1">
      <c r="A1130" s="501">
        <v>906</v>
      </c>
      <c r="B1130" s="554" t="s">
        <v>3755</v>
      </c>
      <c r="C1130" s="548" t="s">
        <v>2960</v>
      </c>
      <c r="D1130" s="549"/>
      <c r="E1130" s="551">
        <f>50675/1.1</f>
        <v>46068.181818181816</v>
      </c>
      <c r="F1130" s="508">
        <f t="shared" si="48"/>
        <v>46068.181818181816</v>
      </c>
      <c r="G1130" s="501">
        <v>906</v>
      </c>
      <c r="H1130" s="554" t="s">
        <v>3755</v>
      </c>
      <c r="I1130" s="548" t="s">
        <v>2960</v>
      </c>
      <c r="J1130" s="549"/>
      <c r="K1130" s="551">
        <f>50675/1.1</f>
        <v>46068.181818181816</v>
      </c>
      <c r="L1130" s="508">
        <f t="shared" si="46"/>
        <v>46068.181818181816</v>
      </c>
      <c r="M1130" s="489" t="str">
        <f t="shared" si="47"/>
        <v>DDDDDDDĐ</v>
      </c>
    </row>
    <row r="1131" spans="1:13" ht="21.6" customHeight="1">
      <c r="A1131" s="501">
        <v>907</v>
      </c>
      <c r="B1131" s="554" t="s">
        <v>3756</v>
      </c>
      <c r="C1131" s="548" t="s">
        <v>2960</v>
      </c>
      <c r="D1131" s="549"/>
      <c r="E1131" s="551">
        <f>72325/1.1</f>
        <v>65750</v>
      </c>
      <c r="F1131" s="508">
        <f t="shared" si="48"/>
        <v>65750</v>
      </c>
      <c r="G1131" s="501">
        <v>907</v>
      </c>
      <c r="H1131" s="554" t="s">
        <v>3756</v>
      </c>
      <c r="I1131" s="548" t="s">
        <v>2960</v>
      </c>
      <c r="J1131" s="549"/>
      <c r="K1131" s="551">
        <f>72325/1.1</f>
        <v>65750</v>
      </c>
      <c r="L1131" s="508">
        <f t="shared" si="46"/>
        <v>65750</v>
      </c>
      <c r="M1131" s="489" t="str">
        <f t="shared" si="47"/>
        <v>DDDDDDDĐ</v>
      </c>
    </row>
    <row r="1132" spans="1:13" ht="21.6" customHeight="1">
      <c r="A1132" s="501">
        <v>908</v>
      </c>
      <c r="B1132" s="554" t="s">
        <v>3757</v>
      </c>
      <c r="C1132" s="548" t="s">
        <v>2960</v>
      </c>
      <c r="D1132" s="549"/>
      <c r="E1132" s="551">
        <f>143635/1.1</f>
        <v>130577.27272727272</v>
      </c>
      <c r="F1132" s="508">
        <f t="shared" si="48"/>
        <v>130577.27272727272</v>
      </c>
      <c r="G1132" s="501">
        <v>908</v>
      </c>
      <c r="H1132" s="554" t="s">
        <v>3757</v>
      </c>
      <c r="I1132" s="548" t="s">
        <v>2960</v>
      </c>
      <c r="J1132" s="549"/>
      <c r="K1132" s="551">
        <f>143635/1.1</f>
        <v>130577.27272727272</v>
      </c>
      <c r="L1132" s="508">
        <f t="shared" si="46"/>
        <v>130577.27272727272</v>
      </c>
      <c r="M1132" s="489" t="str">
        <f t="shared" si="47"/>
        <v>DDDDDDDĐ</v>
      </c>
    </row>
    <row r="1133" spans="1:13" ht="21.6" customHeight="1">
      <c r="A1133" s="501">
        <v>909</v>
      </c>
      <c r="B1133" s="554" t="s">
        <v>3758</v>
      </c>
      <c r="C1133" s="548" t="s">
        <v>2960</v>
      </c>
      <c r="D1133" s="549"/>
      <c r="E1133" s="551">
        <f>198895/1.1</f>
        <v>180813.63636363635</v>
      </c>
      <c r="F1133" s="508">
        <f t="shared" si="48"/>
        <v>180813.63636363635</v>
      </c>
      <c r="G1133" s="501">
        <v>909</v>
      </c>
      <c r="H1133" s="554" t="s">
        <v>3758</v>
      </c>
      <c r="I1133" s="548" t="s">
        <v>2960</v>
      </c>
      <c r="J1133" s="549"/>
      <c r="K1133" s="551">
        <f>198895/1.1</f>
        <v>180813.63636363635</v>
      </c>
      <c r="L1133" s="508">
        <f t="shared" si="46"/>
        <v>180813.63636363635</v>
      </c>
      <c r="M1133" s="489" t="str">
        <f t="shared" si="47"/>
        <v>DDDDDDDĐ</v>
      </c>
    </row>
    <row r="1134" spans="1:13" ht="21.6" customHeight="1">
      <c r="A1134" s="513" t="s">
        <v>3030</v>
      </c>
      <c r="B1134" s="525" t="s">
        <v>3031</v>
      </c>
      <c r="C1134" s="526"/>
      <c r="D1134" s="526"/>
      <c r="E1134" s="527"/>
      <c r="F1134" s="527"/>
      <c r="G1134" s="513" t="s">
        <v>3030</v>
      </c>
      <c r="H1134" s="525" t="s">
        <v>3031</v>
      </c>
      <c r="I1134" s="526"/>
      <c r="J1134" s="526"/>
      <c r="K1134" s="527"/>
      <c r="L1134" s="527"/>
      <c r="M1134" s="489" t="str">
        <f t="shared" si="47"/>
        <v>DDDDDDDĐ</v>
      </c>
    </row>
    <row r="1135" spans="1:13" ht="21.6" customHeight="1">
      <c r="A1135" s="501"/>
      <c r="B1135" s="502" t="s">
        <v>3032</v>
      </c>
      <c r="C1135" s="510"/>
      <c r="D1135" s="510"/>
      <c r="E1135" s="508"/>
      <c r="F1135" s="508"/>
      <c r="G1135" s="501"/>
      <c r="H1135" s="502" t="s">
        <v>3032</v>
      </c>
      <c r="I1135" s="510"/>
      <c r="J1135" s="510"/>
      <c r="K1135" s="508"/>
      <c r="L1135" s="508"/>
      <c r="M1135" s="489" t="str">
        <f t="shared" si="47"/>
        <v>DDDDDDDĐ</v>
      </c>
    </row>
    <row r="1136" spans="1:13" ht="21.6" customHeight="1">
      <c r="A1136" s="501">
        <v>910</v>
      </c>
      <c r="B1136" s="506" t="s">
        <v>3033</v>
      </c>
      <c r="C1136" s="507" t="s">
        <v>2338</v>
      </c>
      <c r="D1136" s="510"/>
      <c r="E1136" s="508">
        <f>2920000/1.1</f>
        <v>2654545.4545454541</v>
      </c>
      <c r="F1136" s="508"/>
      <c r="G1136" s="501">
        <v>910</v>
      </c>
      <c r="H1136" s="506" t="s">
        <v>3033</v>
      </c>
      <c r="I1136" s="507" t="s">
        <v>2338</v>
      </c>
      <c r="J1136" s="510"/>
      <c r="K1136" s="508">
        <f>2920000/1.1</f>
        <v>2654545.4545454541</v>
      </c>
      <c r="L1136" s="508"/>
      <c r="M1136" s="489" t="str">
        <f t="shared" si="47"/>
        <v>DDDDDDDĐ</v>
      </c>
    </row>
    <row r="1137" spans="1:13" ht="21.6" customHeight="1">
      <c r="A1137" s="501">
        <v>911</v>
      </c>
      <c r="B1137" s="506" t="s">
        <v>3034</v>
      </c>
      <c r="C1137" s="507" t="s">
        <v>2338</v>
      </c>
      <c r="D1137" s="510"/>
      <c r="E1137" s="508">
        <f>4570000/1.1</f>
        <v>4154545.4545454541</v>
      </c>
      <c r="F1137" s="508"/>
      <c r="G1137" s="501">
        <v>911</v>
      </c>
      <c r="H1137" s="506" t="s">
        <v>3034</v>
      </c>
      <c r="I1137" s="507" t="s">
        <v>2338</v>
      </c>
      <c r="J1137" s="510"/>
      <c r="K1137" s="508">
        <f>4570000/1.1</f>
        <v>4154545.4545454541</v>
      </c>
      <c r="L1137" s="508"/>
      <c r="M1137" s="489" t="str">
        <f t="shared" si="47"/>
        <v>DDDDDDDĐ</v>
      </c>
    </row>
    <row r="1138" spans="1:13" ht="21.6" customHeight="1">
      <c r="A1138" s="501">
        <v>912</v>
      </c>
      <c r="B1138" s="506" t="s">
        <v>3035</v>
      </c>
      <c r="C1138" s="507" t="s">
        <v>2338</v>
      </c>
      <c r="D1138" s="510"/>
      <c r="E1138" s="508">
        <f>6280000/1.1</f>
        <v>5709090.9090909082</v>
      </c>
      <c r="F1138" s="508"/>
      <c r="G1138" s="501">
        <v>912</v>
      </c>
      <c r="H1138" s="506" t="s">
        <v>3035</v>
      </c>
      <c r="I1138" s="507" t="s">
        <v>2338</v>
      </c>
      <c r="J1138" s="510"/>
      <c r="K1138" s="508">
        <f>6280000/1.1</f>
        <v>5709090.9090909082</v>
      </c>
      <c r="L1138" s="508"/>
      <c r="M1138" s="489" t="str">
        <f t="shared" si="47"/>
        <v>DDDDDDDĐ</v>
      </c>
    </row>
    <row r="1139" spans="1:13" ht="21.6" customHeight="1">
      <c r="A1139" s="501"/>
      <c r="B1139" s="502" t="s">
        <v>3823</v>
      </c>
      <c r="C1139" s="510"/>
      <c r="D1139" s="510"/>
      <c r="E1139" s="508"/>
      <c r="F1139" s="508"/>
      <c r="G1139" s="501"/>
      <c r="H1139" s="502" t="s">
        <v>3823</v>
      </c>
      <c r="I1139" s="510"/>
      <c r="J1139" s="510"/>
      <c r="K1139" s="508"/>
      <c r="L1139" s="508"/>
      <c r="M1139" s="489" t="str">
        <f t="shared" si="47"/>
        <v>DDDDDDDĐ</v>
      </c>
    </row>
    <row r="1140" spans="1:13" ht="21.6" customHeight="1">
      <c r="A1140" s="501">
        <v>913</v>
      </c>
      <c r="B1140" s="506" t="s">
        <v>3036</v>
      </c>
      <c r="C1140" s="507" t="s">
        <v>2338</v>
      </c>
      <c r="D1140" s="510"/>
      <c r="E1140" s="508">
        <f>3790000/1.1</f>
        <v>3445454.5454545449</v>
      </c>
      <c r="F1140" s="508"/>
      <c r="G1140" s="501">
        <v>913</v>
      </c>
      <c r="H1140" s="506" t="s">
        <v>3036</v>
      </c>
      <c r="I1140" s="507" t="s">
        <v>2338</v>
      </c>
      <c r="J1140" s="510"/>
      <c r="K1140" s="508">
        <f>3790000/1.1</f>
        <v>3445454.5454545449</v>
      </c>
      <c r="L1140" s="508"/>
      <c r="M1140" s="489" t="str">
        <f t="shared" si="47"/>
        <v>DDDDDDDĐ</v>
      </c>
    </row>
    <row r="1141" spans="1:13" ht="21.6" customHeight="1">
      <c r="A1141" s="501">
        <v>914</v>
      </c>
      <c r="B1141" s="506" t="s">
        <v>3037</v>
      </c>
      <c r="C1141" s="507" t="s">
        <v>2338</v>
      </c>
      <c r="D1141" s="510"/>
      <c r="E1141" s="508">
        <f>5670000/1.1</f>
        <v>5154545.4545454541</v>
      </c>
      <c r="F1141" s="508"/>
      <c r="G1141" s="501">
        <v>914</v>
      </c>
      <c r="H1141" s="506" t="s">
        <v>3037</v>
      </c>
      <c r="I1141" s="507" t="s">
        <v>2338</v>
      </c>
      <c r="J1141" s="510"/>
      <c r="K1141" s="508">
        <f>5670000/1.1</f>
        <v>5154545.4545454541</v>
      </c>
      <c r="L1141" s="508"/>
      <c r="M1141" s="489" t="str">
        <f t="shared" si="47"/>
        <v>DDDDDDDĐ</v>
      </c>
    </row>
    <row r="1142" spans="1:13" ht="21.6" customHeight="1">
      <c r="A1142" s="501">
        <v>915</v>
      </c>
      <c r="B1142" s="506" t="s">
        <v>3038</v>
      </c>
      <c r="C1142" s="507" t="s">
        <v>2338</v>
      </c>
      <c r="D1142" s="510"/>
      <c r="E1142" s="508">
        <f>7590000/1.1</f>
        <v>6899999.9999999991</v>
      </c>
      <c r="F1142" s="508"/>
      <c r="G1142" s="501">
        <v>915</v>
      </c>
      <c r="H1142" s="506" t="s">
        <v>3038</v>
      </c>
      <c r="I1142" s="507" t="s">
        <v>2338</v>
      </c>
      <c r="J1142" s="510"/>
      <c r="K1142" s="508">
        <f>7590000/1.1</f>
        <v>6899999.9999999991</v>
      </c>
      <c r="L1142" s="508"/>
      <c r="M1142" s="489" t="str">
        <f t="shared" si="47"/>
        <v>DDDDDDDĐ</v>
      </c>
    </row>
    <row r="1143" spans="1:13" ht="21.6" customHeight="1">
      <c r="A1143" s="501">
        <v>916</v>
      </c>
      <c r="B1143" s="506" t="s">
        <v>3039</v>
      </c>
      <c r="C1143" s="507" t="s">
        <v>2338</v>
      </c>
      <c r="D1143" s="510"/>
      <c r="E1143" s="508">
        <f>11060000/1.1</f>
        <v>10054545.454545453</v>
      </c>
      <c r="F1143" s="508"/>
      <c r="G1143" s="501">
        <v>916</v>
      </c>
      <c r="H1143" s="506" t="s">
        <v>3039</v>
      </c>
      <c r="I1143" s="507" t="s">
        <v>2338</v>
      </c>
      <c r="J1143" s="510"/>
      <c r="K1143" s="508">
        <f>11060000/1.1</f>
        <v>10054545.454545453</v>
      </c>
      <c r="L1143" s="508"/>
      <c r="M1143" s="489" t="str">
        <f t="shared" si="47"/>
        <v>DDDDDDDĐ</v>
      </c>
    </row>
    <row r="1144" spans="1:13" ht="21.6" customHeight="1">
      <c r="A1144" s="501">
        <v>917</v>
      </c>
      <c r="B1144" s="506" t="s">
        <v>3040</v>
      </c>
      <c r="C1144" s="507" t="s">
        <v>2338</v>
      </c>
      <c r="D1144" s="510"/>
      <c r="E1144" s="508">
        <f>14260000/1.1</f>
        <v>12963636.363636363</v>
      </c>
      <c r="F1144" s="508"/>
      <c r="G1144" s="501">
        <v>917</v>
      </c>
      <c r="H1144" s="506" t="s">
        <v>3040</v>
      </c>
      <c r="I1144" s="507" t="s">
        <v>2338</v>
      </c>
      <c r="J1144" s="510"/>
      <c r="K1144" s="508">
        <f>14260000/1.1</f>
        <v>12963636.363636363</v>
      </c>
      <c r="L1144" s="508"/>
      <c r="M1144" s="489" t="str">
        <f t="shared" si="47"/>
        <v>DDDDDDDĐ</v>
      </c>
    </row>
    <row r="1145" spans="1:13" ht="21.6" customHeight="1">
      <c r="A1145" s="501">
        <v>918</v>
      </c>
      <c r="B1145" s="506" t="s">
        <v>3041</v>
      </c>
      <c r="C1145" s="507" t="s">
        <v>2338</v>
      </c>
      <c r="D1145" s="510"/>
      <c r="E1145" s="508">
        <f>17760000/1.1</f>
        <v>16145454.545454545</v>
      </c>
      <c r="F1145" s="508"/>
      <c r="G1145" s="501">
        <v>918</v>
      </c>
      <c r="H1145" s="506" t="s">
        <v>3041</v>
      </c>
      <c r="I1145" s="507" t="s">
        <v>2338</v>
      </c>
      <c r="J1145" s="510"/>
      <c r="K1145" s="508">
        <f>17760000/1.1</f>
        <v>16145454.545454545</v>
      </c>
      <c r="L1145" s="508"/>
      <c r="M1145" s="489" t="str">
        <f t="shared" si="47"/>
        <v>DDDDDDDĐ</v>
      </c>
    </row>
    <row r="1146" spans="1:13" ht="21.6" customHeight="1">
      <c r="A1146" s="513" t="s">
        <v>3042</v>
      </c>
      <c r="B1146" s="502" t="s">
        <v>3759</v>
      </c>
      <c r="C1146" s="503"/>
      <c r="D1146" s="503"/>
      <c r="E1146" s="503"/>
      <c r="F1146" s="543"/>
      <c r="G1146" s="513" t="s">
        <v>3042</v>
      </c>
      <c r="H1146" s="502" t="s">
        <v>3759</v>
      </c>
      <c r="I1146" s="503"/>
      <c r="J1146" s="503"/>
      <c r="K1146" s="503"/>
      <c r="L1146" s="543"/>
      <c r="M1146" s="489" t="str">
        <f t="shared" si="47"/>
        <v>DDDDDDDĐ</v>
      </c>
    </row>
    <row r="1147" spans="1:13" ht="21.6" customHeight="1">
      <c r="A1147" s="501">
        <v>919</v>
      </c>
      <c r="B1147" s="556" t="s">
        <v>3043</v>
      </c>
      <c r="C1147" s="557" t="s">
        <v>2325</v>
      </c>
      <c r="D1147" s="558"/>
      <c r="E1147" s="559">
        <v>76900</v>
      </c>
      <c r="F1147" s="559">
        <f>E1147</f>
        <v>76900</v>
      </c>
      <c r="G1147" s="501">
        <v>919</v>
      </c>
      <c r="H1147" s="556" t="s">
        <v>3043</v>
      </c>
      <c r="I1147" s="557" t="s">
        <v>2325</v>
      </c>
      <c r="J1147" s="558"/>
      <c r="K1147" s="559">
        <v>76900</v>
      </c>
      <c r="L1147" s="559">
        <f>K1147</f>
        <v>76900</v>
      </c>
      <c r="M1147" s="489" t="str">
        <f t="shared" si="47"/>
        <v>DDDDDDDĐ</v>
      </c>
    </row>
    <row r="1148" spans="1:13" ht="21.6" customHeight="1">
      <c r="A1148" s="501">
        <v>920</v>
      </c>
      <c r="B1148" s="556" t="s">
        <v>3044</v>
      </c>
      <c r="C1148" s="557" t="s">
        <v>2325</v>
      </c>
      <c r="D1148" s="558"/>
      <c r="E1148" s="559">
        <v>90600</v>
      </c>
      <c r="F1148" s="559">
        <f t="shared" ref="F1148:F1211" si="49">E1148</f>
        <v>90600</v>
      </c>
      <c r="G1148" s="501">
        <v>920</v>
      </c>
      <c r="H1148" s="556" t="s">
        <v>3044</v>
      </c>
      <c r="I1148" s="557" t="s">
        <v>2325</v>
      </c>
      <c r="J1148" s="558"/>
      <c r="K1148" s="559">
        <v>90600</v>
      </c>
      <c r="L1148" s="559">
        <f t="shared" ref="L1148:L1211" si="50">K1148</f>
        <v>90600</v>
      </c>
      <c r="M1148" s="489" t="str">
        <f t="shared" si="47"/>
        <v>DDDDDDDĐ</v>
      </c>
    </row>
    <row r="1149" spans="1:13" ht="21.6" customHeight="1">
      <c r="A1149" s="501">
        <v>921</v>
      </c>
      <c r="B1149" s="556" t="s">
        <v>3045</v>
      </c>
      <c r="C1149" s="557" t="s">
        <v>2325</v>
      </c>
      <c r="D1149" s="558"/>
      <c r="E1149" s="559">
        <v>68900</v>
      </c>
      <c r="F1149" s="559">
        <f t="shared" si="49"/>
        <v>68900</v>
      </c>
      <c r="G1149" s="501">
        <v>921</v>
      </c>
      <c r="H1149" s="556" t="s">
        <v>3045</v>
      </c>
      <c r="I1149" s="557" t="s">
        <v>2325</v>
      </c>
      <c r="J1149" s="558"/>
      <c r="K1149" s="559">
        <v>68900</v>
      </c>
      <c r="L1149" s="559">
        <f t="shared" si="50"/>
        <v>68900</v>
      </c>
      <c r="M1149" s="489" t="str">
        <f t="shared" si="47"/>
        <v>DDDDDDDĐ</v>
      </c>
    </row>
    <row r="1150" spans="1:13" ht="21.6" customHeight="1">
      <c r="A1150" s="501">
        <v>922</v>
      </c>
      <c r="B1150" s="556" t="s">
        <v>3046</v>
      </c>
      <c r="C1150" s="557" t="s">
        <v>2325</v>
      </c>
      <c r="D1150" s="558"/>
      <c r="E1150" s="559">
        <v>94200</v>
      </c>
      <c r="F1150" s="559">
        <f t="shared" si="49"/>
        <v>94200</v>
      </c>
      <c r="G1150" s="501">
        <v>922</v>
      </c>
      <c r="H1150" s="556" t="s">
        <v>3046</v>
      </c>
      <c r="I1150" s="557" t="s">
        <v>2325</v>
      </c>
      <c r="J1150" s="558"/>
      <c r="K1150" s="559">
        <v>94200</v>
      </c>
      <c r="L1150" s="559">
        <f t="shared" si="50"/>
        <v>94200</v>
      </c>
      <c r="M1150" s="489" t="str">
        <f t="shared" si="47"/>
        <v>DDDDDDDĐ</v>
      </c>
    </row>
    <row r="1151" spans="1:13" ht="21.6" customHeight="1">
      <c r="A1151" s="501">
        <v>923</v>
      </c>
      <c r="B1151" s="556" t="s">
        <v>3047</v>
      </c>
      <c r="C1151" s="557" t="s">
        <v>2325</v>
      </c>
      <c r="D1151" s="558"/>
      <c r="E1151" s="559">
        <v>80300</v>
      </c>
      <c r="F1151" s="559">
        <f t="shared" si="49"/>
        <v>80300</v>
      </c>
      <c r="G1151" s="501">
        <v>923</v>
      </c>
      <c r="H1151" s="556" t="s">
        <v>3047</v>
      </c>
      <c r="I1151" s="557" t="s">
        <v>2325</v>
      </c>
      <c r="J1151" s="558"/>
      <c r="K1151" s="559">
        <v>80300</v>
      </c>
      <c r="L1151" s="559">
        <f t="shared" si="50"/>
        <v>80300</v>
      </c>
      <c r="M1151" s="489" t="str">
        <f t="shared" si="47"/>
        <v>DDDDDDDĐ</v>
      </c>
    </row>
    <row r="1152" spans="1:13" ht="21.6" customHeight="1">
      <c r="A1152" s="501">
        <v>924</v>
      </c>
      <c r="B1152" s="556" t="s">
        <v>3048</v>
      </c>
      <c r="C1152" s="557" t="s">
        <v>2325</v>
      </c>
      <c r="D1152" s="558"/>
      <c r="E1152" s="559">
        <v>58600</v>
      </c>
      <c r="F1152" s="559">
        <f t="shared" si="49"/>
        <v>58600</v>
      </c>
      <c r="G1152" s="501">
        <v>924</v>
      </c>
      <c r="H1152" s="556" t="s">
        <v>3048</v>
      </c>
      <c r="I1152" s="557" t="s">
        <v>2325</v>
      </c>
      <c r="J1152" s="558"/>
      <c r="K1152" s="559">
        <v>58600</v>
      </c>
      <c r="L1152" s="559">
        <f t="shared" si="50"/>
        <v>58600</v>
      </c>
      <c r="M1152" s="489" t="str">
        <f t="shared" si="47"/>
        <v>DDDDDDDĐ</v>
      </c>
    </row>
    <row r="1153" spans="1:13" ht="21.6" customHeight="1">
      <c r="A1153" s="501">
        <v>925</v>
      </c>
      <c r="B1153" s="556" t="s">
        <v>3049</v>
      </c>
      <c r="C1153" s="557" t="s">
        <v>2325</v>
      </c>
      <c r="D1153" s="558"/>
      <c r="E1153" s="559">
        <v>28100</v>
      </c>
      <c r="F1153" s="559">
        <f t="shared" si="49"/>
        <v>28100</v>
      </c>
      <c r="G1153" s="501">
        <v>925</v>
      </c>
      <c r="H1153" s="556" t="s">
        <v>3049</v>
      </c>
      <c r="I1153" s="557" t="s">
        <v>2325</v>
      </c>
      <c r="J1153" s="558"/>
      <c r="K1153" s="559">
        <v>28100</v>
      </c>
      <c r="L1153" s="559">
        <f t="shared" si="50"/>
        <v>28100</v>
      </c>
      <c r="M1153" s="489" t="str">
        <f t="shared" si="47"/>
        <v>DDDDDDDĐ</v>
      </c>
    </row>
    <row r="1154" spans="1:13" ht="21.6" customHeight="1">
      <c r="A1154" s="501">
        <v>926</v>
      </c>
      <c r="B1154" s="556" t="s">
        <v>3050</v>
      </c>
      <c r="C1154" s="557" t="s">
        <v>2325</v>
      </c>
      <c r="D1154" s="558"/>
      <c r="E1154" s="559">
        <v>31300</v>
      </c>
      <c r="F1154" s="559">
        <f t="shared" si="49"/>
        <v>31300</v>
      </c>
      <c r="G1154" s="501">
        <v>926</v>
      </c>
      <c r="H1154" s="556" t="s">
        <v>3050</v>
      </c>
      <c r="I1154" s="557" t="s">
        <v>2325</v>
      </c>
      <c r="J1154" s="558"/>
      <c r="K1154" s="559">
        <v>31300</v>
      </c>
      <c r="L1154" s="559">
        <f t="shared" si="50"/>
        <v>31300</v>
      </c>
      <c r="M1154" s="489" t="str">
        <f t="shared" si="47"/>
        <v>DDDDDDDĐ</v>
      </c>
    </row>
    <row r="1155" spans="1:13" ht="21.6" customHeight="1">
      <c r="A1155" s="501">
        <v>927</v>
      </c>
      <c r="B1155" s="556" t="s">
        <v>3051</v>
      </c>
      <c r="C1155" s="557" t="s">
        <v>2325</v>
      </c>
      <c r="D1155" s="558"/>
      <c r="E1155" s="559">
        <v>23300</v>
      </c>
      <c r="F1155" s="559">
        <f t="shared" si="49"/>
        <v>23300</v>
      </c>
      <c r="G1155" s="501">
        <v>927</v>
      </c>
      <c r="H1155" s="556" t="s">
        <v>3051</v>
      </c>
      <c r="I1155" s="557" t="s">
        <v>2325</v>
      </c>
      <c r="J1155" s="558"/>
      <c r="K1155" s="559">
        <v>23300</v>
      </c>
      <c r="L1155" s="559">
        <f t="shared" si="50"/>
        <v>23300</v>
      </c>
      <c r="M1155" s="489" t="str">
        <f t="shared" si="47"/>
        <v>DDDDDDDĐ</v>
      </c>
    </row>
    <row r="1156" spans="1:13" ht="21.6" customHeight="1">
      <c r="A1156" s="501">
        <v>928</v>
      </c>
      <c r="B1156" s="556" t="s">
        <v>3052</v>
      </c>
      <c r="C1156" s="557" t="s">
        <v>2325</v>
      </c>
      <c r="D1156" s="558"/>
      <c r="E1156" s="559">
        <v>22300</v>
      </c>
      <c r="F1156" s="559">
        <f t="shared" si="49"/>
        <v>22300</v>
      </c>
      <c r="G1156" s="501">
        <v>928</v>
      </c>
      <c r="H1156" s="556" t="s">
        <v>3052</v>
      </c>
      <c r="I1156" s="557" t="s">
        <v>2325</v>
      </c>
      <c r="J1156" s="558"/>
      <c r="K1156" s="559">
        <v>22300</v>
      </c>
      <c r="L1156" s="559">
        <f t="shared" si="50"/>
        <v>22300</v>
      </c>
      <c r="M1156" s="489" t="str">
        <f t="shared" si="47"/>
        <v>DDDDDDDĐ</v>
      </c>
    </row>
    <row r="1157" spans="1:13" ht="21.6" customHeight="1">
      <c r="A1157" s="501">
        <v>929</v>
      </c>
      <c r="B1157" s="556" t="s">
        <v>3053</v>
      </c>
      <c r="C1157" s="557" t="s">
        <v>2325</v>
      </c>
      <c r="D1157" s="558"/>
      <c r="E1157" s="559">
        <v>26000</v>
      </c>
      <c r="F1157" s="559">
        <f t="shared" si="49"/>
        <v>26000</v>
      </c>
      <c r="G1157" s="501">
        <v>929</v>
      </c>
      <c r="H1157" s="556" t="s">
        <v>3053</v>
      </c>
      <c r="I1157" s="557" t="s">
        <v>2325</v>
      </c>
      <c r="J1157" s="558"/>
      <c r="K1157" s="559">
        <v>26000</v>
      </c>
      <c r="L1157" s="559">
        <f t="shared" si="50"/>
        <v>26000</v>
      </c>
      <c r="M1157" s="489" t="str">
        <f t="shared" si="47"/>
        <v>DDDDDDDĐ</v>
      </c>
    </row>
    <row r="1158" spans="1:13" ht="21.6" customHeight="1">
      <c r="A1158" s="501">
        <v>930</v>
      </c>
      <c r="B1158" s="556" t="s">
        <v>3054</v>
      </c>
      <c r="C1158" s="557" t="s">
        <v>2325</v>
      </c>
      <c r="D1158" s="558"/>
      <c r="E1158" s="559">
        <v>29200</v>
      </c>
      <c r="F1158" s="559">
        <f t="shared" si="49"/>
        <v>29200</v>
      </c>
      <c r="G1158" s="501">
        <v>930</v>
      </c>
      <c r="H1158" s="556" t="s">
        <v>3054</v>
      </c>
      <c r="I1158" s="557" t="s">
        <v>2325</v>
      </c>
      <c r="J1158" s="558"/>
      <c r="K1158" s="559">
        <v>29200</v>
      </c>
      <c r="L1158" s="559">
        <f t="shared" si="50"/>
        <v>29200</v>
      </c>
      <c r="M1158" s="489" t="str">
        <f t="shared" si="47"/>
        <v>DDDDDDDĐ</v>
      </c>
    </row>
    <row r="1159" spans="1:13" ht="21.6" customHeight="1">
      <c r="A1159" s="501">
        <v>931</v>
      </c>
      <c r="B1159" s="560" t="s">
        <v>3055</v>
      </c>
      <c r="C1159" s="557" t="s">
        <v>2338</v>
      </c>
      <c r="D1159" s="558"/>
      <c r="E1159" s="559">
        <v>3515000</v>
      </c>
      <c r="F1159" s="559">
        <f t="shared" si="49"/>
        <v>3515000</v>
      </c>
      <c r="G1159" s="501">
        <v>931</v>
      </c>
      <c r="H1159" s="560" t="s">
        <v>3055</v>
      </c>
      <c r="I1159" s="557" t="s">
        <v>2338</v>
      </c>
      <c r="J1159" s="558"/>
      <c r="K1159" s="559">
        <v>3515000</v>
      </c>
      <c r="L1159" s="559">
        <f t="shared" si="50"/>
        <v>3515000</v>
      </c>
      <c r="M1159" s="489" t="str">
        <f t="shared" si="47"/>
        <v>DDDDDDDĐ</v>
      </c>
    </row>
    <row r="1160" spans="1:13" ht="21.6" customHeight="1">
      <c r="A1160" s="501">
        <v>932</v>
      </c>
      <c r="B1160" s="560" t="s">
        <v>3056</v>
      </c>
      <c r="C1160" s="557" t="s">
        <v>2338</v>
      </c>
      <c r="D1160" s="558"/>
      <c r="E1160" s="559">
        <v>2087100</v>
      </c>
      <c r="F1160" s="559">
        <f t="shared" si="49"/>
        <v>2087100</v>
      </c>
      <c r="G1160" s="501">
        <v>932</v>
      </c>
      <c r="H1160" s="560" t="s">
        <v>3056</v>
      </c>
      <c r="I1160" s="557" t="s">
        <v>2338</v>
      </c>
      <c r="J1160" s="558"/>
      <c r="K1160" s="559">
        <v>2087100</v>
      </c>
      <c r="L1160" s="559">
        <f t="shared" si="50"/>
        <v>2087100</v>
      </c>
      <c r="M1160" s="489" t="str">
        <f t="shared" si="47"/>
        <v>DDDDDDDĐ</v>
      </c>
    </row>
    <row r="1161" spans="1:13" ht="21.6" customHeight="1">
      <c r="A1161" s="501">
        <v>933</v>
      </c>
      <c r="B1161" s="556" t="s">
        <v>3057</v>
      </c>
      <c r="C1161" s="557" t="s">
        <v>2374</v>
      </c>
      <c r="D1161" s="558"/>
      <c r="E1161" s="559">
        <v>37100</v>
      </c>
      <c r="F1161" s="559">
        <f t="shared" si="49"/>
        <v>37100</v>
      </c>
      <c r="G1161" s="501">
        <v>933</v>
      </c>
      <c r="H1161" s="556" t="s">
        <v>3057</v>
      </c>
      <c r="I1161" s="557" t="s">
        <v>2374</v>
      </c>
      <c r="J1161" s="558"/>
      <c r="K1161" s="559">
        <v>37100</v>
      </c>
      <c r="L1161" s="559">
        <f t="shared" si="50"/>
        <v>37100</v>
      </c>
      <c r="M1161" s="489" t="str">
        <f t="shared" si="47"/>
        <v>DDDDDDDĐ</v>
      </c>
    </row>
    <row r="1162" spans="1:13" ht="21.6" customHeight="1">
      <c r="A1162" s="501">
        <v>934</v>
      </c>
      <c r="B1162" s="556" t="s">
        <v>3058</v>
      </c>
      <c r="C1162" s="557" t="s">
        <v>3059</v>
      </c>
      <c r="D1162" s="558"/>
      <c r="E1162" s="559">
        <v>307400</v>
      </c>
      <c r="F1162" s="559">
        <f t="shared" si="49"/>
        <v>307400</v>
      </c>
      <c r="G1162" s="501">
        <v>934</v>
      </c>
      <c r="H1162" s="556" t="s">
        <v>3058</v>
      </c>
      <c r="I1162" s="557" t="s">
        <v>3059</v>
      </c>
      <c r="J1162" s="558"/>
      <c r="K1162" s="559">
        <v>307400</v>
      </c>
      <c r="L1162" s="559">
        <f t="shared" si="50"/>
        <v>307400</v>
      </c>
      <c r="M1162" s="489" t="str">
        <f t="shared" si="47"/>
        <v>DDDDDDDĐ</v>
      </c>
    </row>
    <row r="1163" spans="1:13" ht="21.6" customHeight="1">
      <c r="A1163" s="501">
        <v>935</v>
      </c>
      <c r="B1163" s="560" t="s">
        <v>3060</v>
      </c>
      <c r="C1163" s="557" t="s">
        <v>2338</v>
      </c>
      <c r="D1163" s="558"/>
      <c r="E1163" s="559">
        <v>1098200</v>
      </c>
      <c r="F1163" s="559">
        <f t="shared" si="49"/>
        <v>1098200</v>
      </c>
      <c r="G1163" s="501">
        <v>935</v>
      </c>
      <c r="H1163" s="560" t="s">
        <v>3060</v>
      </c>
      <c r="I1163" s="557" t="s">
        <v>2338</v>
      </c>
      <c r="J1163" s="558"/>
      <c r="K1163" s="559">
        <v>1098200</v>
      </c>
      <c r="L1163" s="559">
        <f t="shared" si="50"/>
        <v>1098200</v>
      </c>
      <c r="M1163" s="489" t="str">
        <f t="shared" si="47"/>
        <v>DDDDDDDĐ</v>
      </c>
    </row>
    <row r="1164" spans="1:13" ht="21.6" customHeight="1">
      <c r="A1164" s="501">
        <v>936</v>
      </c>
      <c r="B1164" s="560" t="s">
        <v>3061</v>
      </c>
      <c r="C1164" s="557" t="s">
        <v>2338</v>
      </c>
      <c r="D1164" s="558"/>
      <c r="E1164" s="559">
        <v>17000</v>
      </c>
      <c r="F1164" s="559">
        <f t="shared" si="49"/>
        <v>17000</v>
      </c>
      <c r="G1164" s="501">
        <v>936</v>
      </c>
      <c r="H1164" s="560" t="s">
        <v>3061</v>
      </c>
      <c r="I1164" s="557" t="s">
        <v>2338</v>
      </c>
      <c r="J1164" s="558"/>
      <c r="K1164" s="559">
        <v>17000</v>
      </c>
      <c r="L1164" s="559">
        <f t="shared" si="50"/>
        <v>17000</v>
      </c>
      <c r="M1164" s="489" t="str">
        <f t="shared" si="47"/>
        <v>DDDDDDDĐ</v>
      </c>
    </row>
    <row r="1165" spans="1:13" ht="21.6" customHeight="1">
      <c r="A1165" s="501">
        <v>937</v>
      </c>
      <c r="B1165" s="560" t="s">
        <v>3062</v>
      </c>
      <c r="C1165" s="557" t="s">
        <v>2338</v>
      </c>
      <c r="D1165" s="558"/>
      <c r="E1165" s="559">
        <v>69400</v>
      </c>
      <c r="F1165" s="559">
        <f t="shared" si="49"/>
        <v>69400</v>
      </c>
      <c r="G1165" s="501">
        <v>937</v>
      </c>
      <c r="H1165" s="560" t="s">
        <v>3062</v>
      </c>
      <c r="I1165" s="557" t="s">
        <v>2338</v>
      </c>
      <c r="J1165" s="558"/>
      <c r="K1165" s="559">
        <v>69400</v>
      </c>
      <c r="L1165" s="559">
        <f t="shared" si="50"/>
        <v>69400</v>
      </c>
      <c r="M1165" s="489" t="str">
        <f t="shared" si="47"/>
        <v>DDDDDDDĐ</v>
      </c>
    </row>
    <row r="1166" spans="1:13" ht="21.6" customHeight="1">
      <c r="A1166" s="501">
        <v>938</v>
      </c>
      <c r="B1166" s="560" t="s">
        <v>3063</v>
      </c>
      <c r="C1166" s="557" t="s">
        <v>2338</v>
      </c>
      <c r="D1166" s="558"/>
      <c r="E1166" s="559">
        <v>108700</v>
      </c>
      <c r="F1166" s="559">
        <f t="shared" si="49"/>
        <v>108700</v>
      </c>
      <c r="G1166" s="501">
        <v>938</v>
      </c>
      <c r="H1166" s="560" t="s">
        <v>3063</v>
      </c>
      <c r="I1166" s="557" t="s">
        <v>2338</v>
      </c>
      <c r="J1166" s="558"/>
      <c r="K1166" s="559">
        <v>108700</v>
      </c>
      <c r="L1166" s="559">
        <f t="shared" si="50"/>
        <v>108700</v>
      </c>
      <c r="M1166" s="489" t="str">
        <f t="shared" si="47"/>
        <v>DDDDDDDĐ</v>
      </c>
    </row>
    <row r="1167" spans="1:13" ht="21.6" customHeight="1">
      <c r="A1167" s="501">
        <v>939</v>
      </c>
      <c r="B1167" s="560" t="s">
        <v>3064</v>
      </c>
      <c r="C1167" s="557" t="s">
        <v>2338</v>
      </c>
      <c r="D1167" s="558"/>
      <c r="E1167" s="559">
        <v>150500</v>
      </c>
      <c r="F1167" s="559">
        <f t="shared" si="49"/>
        <v>150500</v>
      </c>
      <c r="G1167" s="501">
        <v>939</v>
      </c>
      <c r="H1167" s="560" t="s">
        <v>3064</v>
      </c>
      <c r="I1167" s="557" t="s">
        <v>2338</v>
      </c>
      <c r="J1167" s="558"/>
      <c r="K1167" s="559">
        <v>150500</v>
      </c>
      <c r="L1167" s="559">
        <f t="shared" si="50"/>
        <v>150500</v>
      </c>
      <c r="M1167" s="489" t="str">
        <f t="shared" si="47"/>
        <v>DDDDDDDĐ</v>
      </c>
    </row>
    <row r="1168" spans="1:13" ht="21.6" customHeight="1">
      <c r="A1168" s="501">
        <v>940</v>
      </c>
      <c r="B1168" s="556" t="s">
        <v>3065</v>
      </c>
      <c r="C1168" s="557" t="s">
        <v>2338</v>
      </c>
      <c r="D1168" s="558"/>
      <c r="E1168" s="559">
        <v>13300</v>
      </c>
      <c r="F1168" s="559">
        <f t="shared" si="49"/>
        <v>13300</v>
      </c>
      <c r="G1168" s="501">
        <v>940</v>
      </c>
      <c r="H1168" s="556" t="s">
        <v>3065</v>
      </c>
      <c r="I1168" s="557" t="s">
        <v>2338</v>
      </c>
      <c r="J1168" s="558"/>
      <c r="K1168" s="559">
        <v>13300</v>
      </c>
      <c r="L1168" s="559">
        <f t="shared" si="50"/>
        <v>13300</v>
      </c>
      <c r="M1168" s="489" t="str">
        <f t="shared" si="47"/>
        <v>DDDDDDDĐ</v>
      </c>
    </row>
    <row r="1169" spans="1:13" ht="21.6" customHeight="1">
      <c r="A1169" s="501">
        <v>941</v>
      </c>
      <c r="B1169" s="556" t="s">
        <v>3066</v>
      </c>
      <c r="C1169" s="557" t="s">
        <v>2338</v>
      </c>
      <c r="D1169" s="558"/>
      <c r="E1169" s="559">
        <v>45100</v>
      </c>
      <c r="F1169" s="559">
        <f t="shared" si="49"/>
        <v>45100</v>
      </c>
      <c r="G1169" s="501">
        <v>941</v>
      </c>
      <c r="H1169" s="556" t="s">
        <v>3066</v>
      </c>
      <c r="I1169" s="557" t="s">
        <v>2338</v>
      </c>
      <c r="J1169" s="558"/>
      <c r="K1169" s="559">
        <v>45100</v>
      </c>
      <c r="L1169" s="559">
        <f t="shared" si="50"/>
        <v>45100</v>
      </c>
      <c r="M1169" s="489" t="str">
        <f t="shared" si="47"/>
        <v>DDDDDDDĐ</v>
      </c>
    </row>
    <row r="1170" spans="1:13" ht="21.6" customHeight="1">
      <c r="A1170" s="501">
        <v>942</v>
      </c>
      <c r="B1170" s="556" t="s">
        <v>3067</v>
      </c>
      <c r="C1170" s="557" t="s">
        <v>2530</v>
      </c>
      <c r="D1170" s="558"/>
      <c r="E1170" s="559">
        <v>285100</v>
      </c>
      <c r="F1170" s="559">
        <f t="shared" si="49"/>
        <v>285100</v>
      </c>
      <c r="G1170" s="501">
        <v>942</v>
      </c>
      <c r="H1170" s="556" t="s">
        <v>3067</v>
      </c>
      <c r="I1170" s="557" t="s">
        <v>2530</v>
      </c>
      <c r="J1170" s="558"/>
      <c r="K1170" s="559">
        <v>285100</v>
      </c>
      <c r="L1170" s="559">
        <f t="shared" si="50"/>
        <v>285100</v>
      </c>
      <c r="M1170" s="489" t="str">
        <f t="shared" si="47"/>
        <v>DDDDDDDĐ</v>
      </c>
    </row>
    <row r="1171" spans="1:13" ht="21.6" customHeight="1">
      <c r="A1171" s="501">
        <v>943</v>
      </c>
      <c r="B1171" s="556" t="s">
        <v>3068</v>
      </c>
      <c r="C1171" s="557" t="s">
        <v>2530</v>
      </c>
      <c r="D1171" s="558"/>
      <c r="E1171" s="559">
        <v>90100</v>
      </c>
      <c r="F1171" s="559">
        <f t="shared" si="49"/>
        <v>90100</v>
      </c>
      <c r="G1171" s="501">
        <v>943</v>
      </c>
      <c r="H1171" s="556" t="s">
        <v>3068</v>
      </c>
      <c r="I1171" s="557" t="s">
        <v>2530</v>
      </c>
      <c r="J1171" s="558"/>
      <c r="K1171" s="559">
        <v>90100</v>
      </c>
      <c r="L1171" s="559">
        <f t="shared" si="50"/>
        <v>90100</v>
      </c>
      <c r="M1171" s="489" t="str">
        <f t="shared" si="47"/>
        <v>DDDDDDDĐ</v>
      </c>
    </row>
    <row r="1172" spans="1:13" ht="21.6" customHeight="1">
      <c r="A1172" s="501">
        <v>944</v>
      </c>
      <c r="B1172" s="556" t="s">
        <v>3069</v>
      </c>
      <c r="C1172" s="557" t="s">
        <v>2530</v>
      </c>
      <c r="D1172" s="558"/>
      <c r="E1172" s="559">
        <v>90100</v>
      </c>
      <c r="F1172" s="559">
        <f t="shared" si="49"/>
        <v>90100</v>
      </c>
      <c r="G1172" s="501">
        <v>944</v>
      </c>
      <c r="H1172" s="556" t="s">
        <v>3069</v>
      </c>
      <c r="I1172" s="557" t="s">
        <v>2530</v>
      </c>
      <c r="J1172" s="558"/>
      <c r="K1172" s="559">
        <v>90100</v>
      </c>
      <c r="L1172" s="559">
        <f t="shared" si="50"/>
        <v>90100</v>
      </c>
      <c r="M1172" s="489" t="str">
        <f t="shared" si="47"/>
        <v>DDDDDDDĐ</v>
      </c>
    </row>
    <row r="1173" spans="1:13" ht="21.6" customHeight="1">
      <c r="A1173" s="501">
        <v>945</v>
      </c>
      <c r="B1173" s="556" t="s">
        <v>3070</v>
      </c>
      <c r="C1173" s="557" t="s">
        <v>2338</v>
      </c>
      <c r="D1173" s="558"/>
      <c r="E1173" s="559">
        <v>604200</v>
      </c>
      <c r="F1173" s="559">
        <f t="shared" si="49"/>
        <v>604200</v>
      </c>
      <c r="G1173" s="501">
        <v>945</v>
      </c>
      <c r="H1173" s="556" t="s">
        <v>3070</v>
      </c>
      <c r="I1173" s="557" t="s">
        <v>2338</v>
      </c>
      <c r="J1173" s="558"/>
      <c r="K1173" s="559">
        <v>604200</v>
      </c>
      <c r="L1173" s="559">
        <f t="shared" si="50"/>
        <v>604200</v>
      </c>
      <c r="M1173" s="489" t="str">
        <f t="shared" si="47"/>
        <v>DDDDDDDĐ</v>
      </c>
    </row>
    <row r="1174" spans="1:13" ht="21.6" customHeight="1">
      <c r="A1174" s="501">
        <v>946</v>
      </c>
      <c r="B1174" s="556" t="s">
        <v>3071</v>
      </c>
      <c r="C1174" s="557" t="s">
        <v>2338</v>
      </c>
      <c r="D1174" s="558"/>
      <c r="E1174" s="559">
        <v>1607000</v>
      </c>
      <c r="F1174" s="559">
        <f t="shared" si="49"/>
        <v>1607000</v>
      </c>
      <c r="G1174" s="501">
        <v>946</v>
      </c>
      <c r="H1174" s="556" t="s">
        <v>3071</v>
      </c>
      <c r="I1174" s="557" t="s">
        <v>2338</v>
      </c>
      <c r="J1174" s="558"/>
      <c r="K1174" s="559">
        <v>1607000</v>
      </c>
      <c r="L1174" s="559">
        <f t="shared" si="50"/>
        <v>1607000</v>
      </c>
      <c r="M1174" s="489" t="str">
        <f t="shared" si="47"/>
        <v>DDDDDDDĐ</v>
      </c>
    </row>
    <row r="1175" spans="1:13" ht="21.6" customHeight="1">
      <c r="A1175" s="501">
        <v>947</v>
      </c>
      <c r="B1175" s="556" t="s">
        <v>3072</v>
      </c>
      <c r="C1175" s="557" t="s">
        <v>2530</v>
      </c>
      <c r="D1175" s="558"/>
      <c r="E1175" s="559">
        <v>47700</v>
      </c>
      <c r="F1175" s="559">
        <f t="shared" si="49"/>
        <v>47700</v>
      </c>
      <c r="G1175" s="501">
        <v>947</v>
      </c>
      <c r="H1175" s="556" t="s">
        <v>3072</v>
      </c>
      <c r="I1175" s="557" t="s">
        <v>2530</v>
      </c>
      <c r="J1175" s="558"/>
      <c r="K1175" s="559">
        <v>47700</v>
      </c>
      <c r="L1175" s="559">
        <f t="shared" si="50"/>
        <v>47700</v>
      </c>
      <c r="M1175" s="489" t="str">
        <f t="shared" si="47"/>
        <v>DDDDDDDĐ</v>
      </c>
    </row>
    <row r="1176" spans="1:13" ht="21.6" customHeight="1">
      <c r="A1176" s="501">
        <v>948</v>
      </c>
      <c r="B1176" s="556" t="s">
        <v>3073</v>
      </c>
      <c r="C1176" s="557" t="s">
        <v>2530</v>
      </c>
      <c r="D1176" s="558"/>
      <c r="E1176" s="559">
        <v>50900</v>
      </c>
      <c r="F1176" s="559">
        <f t="shared" si="49"/>
        <v>50900</v>
      </c>
      <c r="G1176" s="501">
        <v>948</v>
      </c>
      <c r="H1176" s="556" t="s">
        <v>3073</v>
      </c>
      <c r="I1176" s="557" t="s">
        <v>2530</v>
      </c>
      <c r="J1176" s="558"/>
      <c r="K1176" s="559">
        <v>50900</v>
      </c>
      <c r="L1176" s="559">
        <f t="shared" si="50"/>
        <v>50900</v>
      </c>
      <c r="M1176" s="489" t="str">
        <f t="shared" si="47"/>
        <v>DDDDDDDĐ</v>
      </c>
    </row>
    <row r="1177" spans="1:13" ht="21.6" customHeight="1">
      <c r="A1177" s="501">
        <v>949</v>
      </c>
      <c r="B1177" s="556" t="s">
        <v>3074</v>
      </c>
      <c r="C1177" s="557" t="s">
        <v>2530</v>
      </c>
      <c r="D1177" s="558"/>
      <c r="E1177" s="559">
        <v>55100</v>
      </c>
      <c r="F1177" s="559">
        <f t="shared" si="49"/>
        <v>55100</v>
      </c>
      <c r="G1177" s="501">
        <v>949</v>
      </c>
      <c r="H1177" s="556" t="s">
        <v>3074</v>
      </c>
      <c r="I1177" s="557" t="s">
        <v>2530</v>
      </c>
      <c r="J1177" s="558"/>
      <c r="K1177" s="559">
        <v>55100</v>
      </c>
      <c r="L1177" s="559">
        <f t="shared" si="50"/>
        <v>55100</v>
      </c>
      <c r="M1177" s="489" t="str">
        <f t="shared" si="47"/>
        <v>DDDDDDDĐ</v>
      </c>
    </row>
    <row r="1178" spans="1:13" ht="21.6" customHeight="1">
      <c r="A1178" s="501">
        <v>950</v>
      </c>
      <c r="B1178" s="556" t="s">
        <v>3075</v>
      </c>
      <c r="C1178" s="557" t="s">
        <v>2338</v>
      </c>
      <c r="D1178" s="558"/>
      <c r="E1178" s="559">
        <v>20100</v>
      </c>
      <c r="F1178" s="559">
        <f t="shared" si="49"/>
        <v>20100</v>
      </c>
      <c r="G1178" s="501">
        <v>950</v>
      </c>
      <c r="H1178" s="556" t="s">
        <v>3075</v>
      </c>
      <c r="I1178" s="557" t="s">
        <v>2338</v>
      </c>
      <c r="J1178" s="558"/>
      <c r="K1178" s="559">
        <v>20100</v>
      </c>
      <c r="L1178" s="559">
        <f t="shared" si="50"/>
        <v>20100</v>
      </c>
      <c r="M1178" s="489" t="str">
        <f t="shared" si="47"/>
        <v>DDDDDDDĐ</v>
      </c>
    </row>
    <row r="1179" spans="1:13" ht="21.6" customHeight="1">
      <c r="A1179" s="501">
        <v>951</v>
      </c>
      <c r="B1179" s="556" t="s">
        <v>3076</v>
      </c>
      <c r="C1179" s="557" t="s">
        <v>2338</v>
      </c>
      <c r="D1179" s="558"/>
      <c r="E1179" s="559">
        <v>20100</v>
      </c>
      <c r="F1179" s="559">
        <f t="shared" si="49"/>
        <v>20100</v>
      </c>
      <c r="G1179" s="501">
        <v>951</v>
      </c>
      <c r="H1179" s="556" t="s">
        <v>3076</v>
      </c>
      <c r="I1179" s="557" t="s">
        <v>2338</v>
      </c>
      <c r="J1179" s="558"/>
      <c r="K1179" s="559">
        <v>20100</v>
      </c>
      <c r="L1179" s="559">
        <f t="shared" si="50"/>
        <v>20100</v>
      </c>
      <c r="M1179" s="489" t="str">
        <f>IF(B1179=H1179,"DDDDDDDĐ","SSSSSSSSSSSS")</f>
        <v>DDDDDDDĐ</v>
      </c>
    </row>
    <row r="1180" spans="1:13" ht="21.6" customHeight="1">
      <c r="A1180" s="501">
        <v>952</v>
      </c>
      <c r="B1180" s="556" t="s">
        <v>3077</v>
      </c>
      <c r="C1180" s="557" t="s">
        <v>2338</v>
      </c>
      <c r="D1180" s="558"/>
      <c r="E1180" s="559">
        <v>18000</v>
      </c>
      <c r="F1180" s="559">
        <f t="shared" si="49"/>
        <v>18000</v>
      </c>
      <c r="G1180" s="501">
        <v>952</v>
      </c>
      <c r="H1180" s="556" t="s">
        <v>3077</v>
      </c>
      <c r="I1180" s="557" t="s">
        <v>2338</v>
      </c>
      <c r="J1180" s="558"/>
      <c r="K1180" s="559">
        <v>18000</v>
      </c>
      <c r="L1180" s="559">
        <f t="shared" si="50"/>
        <v>18000</v>
      </c>
      <c r="M1180" s="489" t="str">
        <f>IF(B1180=H1180,"DDDDDDDĐ","SSSSSSSSSSSS")</f>
        <v>DDDDDDDĐ</v>
      </c>
    </row>
    <row r="1181" spans="1:13" ht="21.6" customHeight="1">
      <c r="A1181" s="501">
        <v>953</v>
      </c>
      <c r="B1181" s="556" t="s">
        <v>3078</v>
      </c>
      <c r="C1181" s="557" t="s">
        <v>2338</v>
      </c>
      <c r="D1181" s="558"/>
      <c r="E1181" s="559">
        <v>14500</v>
      </c>
      <c r="F1181" s="559">
        <f t="shared" si="49"/>
        <v>14500</v>
      </c>
      <c r="G1181" s="501">
        <v>953</v>
      </c>
      <c r="H1181" s="556" t="s">
        <v>3078</v>
      </c>
      <c r="I1181" s="557" t="s">
        <v>2338</v>
      </c>
      <c r="J1181" s="558"/>
      <c r="K1181" s="559">
        <v>14500</v>
      </c>
      <c r="L1181" s="559">
        <f t="shared" si="50"/>
        <v>14500</v>
      </c>
      <c r="M1181" s="489" t="str">
        <f>IF(B1181=H1181,"DDDDDDDĐ","SSSSSSSSSSSS")</f>
        <v>DDDDDDDĐ</v>
      </c>
    </row>
    <row r="1182" spans="1:13" ht="21.6" customHeight="1">
      <c r="A1182" s="501">
        <v>954</v>
      </c>
      <c r="B1182" s="556" t="s">
        <v>3079</v>
      </c>
      <c r="C1182" s="557" t="s">
        <v>2338</v>
      </c>
      <c r="D1182" s="558"/>
      <c r="E1182" s="559">
        <v>18100</v>
      </c>
      <c r="F1182" s="559">
        <f t="shared" si="49"/>
        <v>18100</v>
      </c>
      <c r="G1182" s="501">
        <v>954</v>
      </c>
      <c r="H1182" s="556" t="s">
        <v>3079</v>
      </c>
      <c r="I1182" s="557" t="s">
        <v>2338</v>
      </c>
      <c r="J1182" s="558"/>
      <c r="K1182" s="559">
        <v>18100</v>
      </c>
      <c r="L1182" s="559">
        <f t="shared" si="50"/>
        <v>18100</v>
      </c>
      <c r="M1182" s="489" t="str">
        <f>IF(B1182=H1182,"DDDDDDDĐ","SSSSSSSSSSSS")</f>
        <v>DDDDDDDĐ</v>
      </c>
    </row>
    <row r="1183" spans="1:13" ht="21.6" customHeight="1">
      <c r="A1183" s="501">
        <v>955</v>
      </c>
      <c r="B1183" s="556" t="s">
        <v>3080</v>
      </c>
      <c r="C1183" s="557" t="s">
        <v>2338</v>
      </c>
      <c r="D1183" s="558"/>
      <c r="E1183" s="559">
        <v>11600</v>
      </c>
      <c r="F1183" s="559">
        <f t="shared" si="49"/>
        <v>11600</v>
      </c>
      <c r="G1183" s="501">
        <v>955</v>
      </c>
      <c r="H1183" s="556" t="s">
        <v>3080</v>
      </c>
      <c r="I1183" s="557" t="s">
        <v>2338</v>
      </c>
      <c r="J1183" s="558"/>
      <c r="K1183" s="559">
        <v>11600</v>
      </c>
      <c r="L1183" s="559">
        <f t="shared" si="50"/>
        <v>11600</v>
      </c>
      <c r="M1183" s="489" t="str">
        <f>IF(B1183=H1183,"DDDDDDDĐ","SSSSSSSSSSSS")</f>
        <v>DDDDDDDĐ</v>
      </c>
    </row>
    <row r="1184" spans="1:13" ht="21.6" customHeight="1">
      <c r="A1184" s="501">
        <v>956</v>
      </c>
      <c r="B1184" s="556" t="s">
        <v>3081</v>
      </c>
      <c r="C1184" s="557" t="s">
        <v>2338</v>
      </c>
      <c r="D1184" s="558"/>
      <c r="E1184" s="559">
        <v>12100</v>
      </c>
      <c r="F1184" s="559">
        <f t="shared" si="49"/>
        <v>12100</v>
      </c>
      <c r="G1184" s="501">
        <v>956</v>
      </c>
      <c r="H1184" s="556" t="s">
        <v>3081</v>
      </c>
      <c r="I1184" s="557" t="s">
        <v>2338</v>
      </c>
      <c r="J1184" s="558"/>
      <c r="K1184" s="559">
        <v>12100</v>
      </c>
      <c r="L1184" s="559">
        <f t="shared" si="50"/>
        <v>12100</v>
      </c>
      <c r="M1184" s="489" t="str">
        <f t="shared" ref="M1184:M1247" si="51">IF(B1184=H1184,"DDDDDDDĐ","SSSSSSSSSSSS")</f>
        <v>DDDDDDDĐ</v>
      </c>
    </row>
    <row r="1185" spans="1:13" ht="21.6" customHeight="1">
      <c r="A1185" s="501">
        <v>957</v>
      </c>
      <c r="B1185" s="556" t="s">
        <v>3082</v>
      </c>
      <c r="C1185" s="557" t="s">
        <v>3083</v>
      </c>
      <c r="D1185" s="558"/>
      <c r="E1185" s="559">
        <v>42300</v>
      </c>
      <c r="F1185" s="559">
        <f t="shared" si="49"/>
        <v>42300</v>
      </c>
      <c r="G1185" s="501">
        <v>957</v>
      </c>
      <c r="H1185" s="556" t="s">
        <v>3082</v>
      </c>
      <c r="I1185" s="557" t="s">
        <v>3083</v>
      </c>
      <c r="J1185" s="558"/>
      <c r="K1185" s="559">
        <v>42300</v>
      </c>
      <c r="L1185" s="559">
        <f t="shared" si="50"/>
        <v>42300</v>
      </c>
      <c r="M1185" s="489" t="str">
        <f t="shared" si="51"/>
        <v>DDDDDDDĐ</v>
      </c>
    </row>
    <row r="1186" spans="1:13" ht="21.6" customHeight="1">
      <c r="A1186" s="501">
        <v>958</v>
      </c>
      <c r="B1186" s="556" t="s">
        <v>3084</v>
      </c>
      <c r="C1186" s="557" t="s">
        <v>3083</v>
      </c>
      <c r="D1186" s="558"/>
      <c r="E1186" s="559">
        <v>54400</v>
      </c>
      <c r="F1186" s="559">
        <f t="shared" si="49"/>
        <v>54400</v>
      </c>
      <c r="G1186" s="501">
        <v>958</v>
      </c>
      <c r="H1186" s="556" t="s">
        <v>3084</v>
      </c>
      <c r="I1186" s="557" t="s">
        <v>3083</v>
      </c>
      <c r="J1186" s="558"/>
      <c r="K1186" s="559">
        <v>54400</v>
      </c>
      <c r="L1186" s="559">
        <f t="shared" si="50"/>
        <v>54400</v>
      </c>
      <c r="M1186" s="489" t="str">
        <f t="shared" si="51"/>
        <v>DDDDDDDĐ</v>
      </c>
    </row>
    <row r="1187" spans="1:13" ht="21.6" customHeight="1">
      <c r="A1187" s="501">
        <v>959</v>
      </c>
      <c r="B1187" s="556" t="s">
        <v>3085</v>
      </c>
      <c r="C1187" s="557" t="s">
        <v>3083</v>
      </c>
      <c r="D1187" s="558"/>
      <c r="E1187" s="559">
        <v>59200</v>
      </c>
      <c r="F1187" s="559">
        <f t="shared" si="49"/>
        <v>59200</v>
      </c>
      <c r="G1187" s="501">
        <v>959</v>
      </c>
      <c r="H1187" s="556" t="s">
        <v>3085</v>
      </c>
      <c r="I1187" s="557" t="s">
        <v>3083</v>
      </c>
      <c r="J1187" s="558"/>
      <c r="K1187" s="559">
        <v>59200</v>
      </c>
      <c r="L1187" s="559">
        <f t="shared" si="50"/>
        <v>59200</v>
      </c>
      <c r="M1187" s="489" t="str">
        <f t="shared" si="51"/>
        <v>DDDDDDDĐ</v>
      </c>
    </row>
    <row r="1188" spans="1:13" ht="21.6" customHeight="1">
      <c r="A1188" s="501">
        <v>960</v>
      </c>
      <c r="B1188" s="556" t="s">
        <v>3086</v>
      </c>
      <c r="C1188" s="557" t="s">
        <v>3083</v>
      </c>
      <c r="D1188" s="558"/>
      <c r="E1188" s="559">
        <v>106300</v>
      </c>
      <c r="F1188" s="559">
        <f t="shared" si="49"/>
        <v>106300</v>
      </c>
      <c r="G1188" s="501">
        <v>960</v>
      </c>
      <c r="H1188" s="556" t="s">
        <v>3086</v>
      </c>
      <c r="I1188" s="557" t="s">
        <v>3083</v>
      </c>
      <c r="J1188" s="558"/>
      <c r="K1188" s="559">
        <v>106300</v>
      </c>
      <c r="L1188" s="559">
        <f t="shared" si="50"/>
        <v>106300</v>
      </c>
      <c r="M1188" s="489" t="str">
        <f t="shared" si="51"/>
        <v>DDDDDDDĐ</v>
      </c>
    </row>
    <row r="1189" spans="1:13" ht="21.6" customHeight="1">
      <c r="A1189" s="501">
        <v>961</v>
      </c>
      <c r="B1189" s="556" t="s">
        <v>3087</v>
      </c>
      <c r="C1189" s="557" t="s">
        <v>3083</v>
      </c>
      <c r="D1189" s="558"/>
      <c r="E1189" s="559">
        <v>44700</v>
      </c>
      <c r="F1189" s="559">
        <f t="shared" si="49"/>
        <v>44700</v>
      </c>
      <c r="G1189" s="501">
        <v>961</v>
      </c>
      <c r="H1189" s="556" t="s">
        <v>3087</v>
      </c>
      <c r="I1189" s="557" t="s">
        <v>3083</v>
      </c>
      <c r="J1189" s="558"/>
      <c r="K1189" s="559">
        <v>44700</v>
      </c>
      <c r="L1189" s="559">
        <f t="shared" si="50"/>
        <v>44700</v>
      </c>
      <c r="M1189" s="489" t="str">
        <f t="shared" si="51"/>
        <v>DDDDDDDĐ</v>
      </c>
    </row>
    <row r="1190" spans="1:13" ht="21.6" customHeight="1">
      <c r="A1190" s="501">
        <v>962</v>
      </c>
      <c r="B1190" s="556" t="s">
        <v>3088</v>
      </c>
      <c r="C1190" s="557" t="s">
        <v>3083</v>
      </c>
      <c r="D1190" s="558"/>
      <c r="E1190" s="559">
        <v>95500</v>
      </c>
      <c r="F1190" s="559">
        <f t="shared" si="49"/>
        <v>95500</v>
      </c>
      <c r="G1190" s="501">
        <v>962</v>
      </c>
      <c r="H1190" s="556" t="s">
        <v>3088</v>
      </c>
      <c r="I1190" s="557" t="s">
        <v>3083</v>
      </c>
      <c r="J1190" s="558"/>
      <c r="K1190" s="559">
        <v>95500</v>
      </c>
      <c r="L1190" s="559">
        <f t="shared" si="50"/>
        <v>95500</v>
      </c>
      <c r="M1190" s="489" t="str">
        <f t="shared" si="51"/>
        <v>DDDDDDDĐ</v>
      </c>
    </row>
    <row r="1191" spans="1:13" ht="21.6" customHeight="1">
      <c r="A1191" s="501">
        <v>963</v>
      </c>
      <c r="B1191" s="556" t="s">
        <v>3089</v>
      </c>
      <c r="C1191" s="557" t="s">
        <v>2338</v>
      </c>
      <c r="D1191" s="558"/>
      <c r="E1191" s="559">
        <v>24200</v>
      </c>
      <c r="F1191" s="559">
        <f t="shared" si="49"/>
        <v>24200</v>
      </c>
      <c r="G1191" s="501">
        <v>963</v>
      </c>
      <c r="H1191" s="556" t="s">
        <v>3089</v>
      </c>
      <c r="I1191" s="557" t="s">
        <v>2338</v>
      </c>
      <c r="J1191" s="558"/>
      <c r="K1191" s="559">
        <v>24200</v>
      </c>
      <c r="L1191" s="559">
        <f t="shared" si="50"/>
        <v>24200</v>
      </c>
      <c r="M1191" s="489" t="str">
        <f t="shared" si="51"/>
        <v>DDDDDDDĐ</v>
      </c>
    </row>
    <row r="1192" spans="1:13" ht="21.6" customHeight="1">
      <c r="A1192" s="501">
        <v>964</v>
      </c>
      <c r="B1192" s="556" t="s">
        <v>3090</v>
      </c>
      <c r="C1192" s="557" t="s">
        <v>2338</v>
      </c>
      <c r="D1192" s="558"/>
      <c r="E1192" s="559">
        <v>38700</v>
      </c>
      <c r="F1192" s="559">
        <f t="shared" si="49"/>
        <v>38700</v>
      </c>
      <c r="G1192" s="501">
        <v>964</v>
      </c>
      <c r="H1192" s="556" t="s">
        <v>3090</v>
      </c>
      <c r="I1192" s="557" t="s">
        <v>2338</v>
      </c>
      <c r="J1192" s="558"/>
      <c r="K1192" s="559">
        <v>38700</v>
      </c>
      <c r="L1192" s="559">
        <f t="shared" si="50"/>
        <v>38700</v>
      </c>
      <c r="M1192" s="489" t="str">
        <f t="shared" si="51"/>
        <v>DDDDDDDĐ</v>
      </c>
    </row>
    <row r="1193" spans="1:13" ht="21.6" customHeight="1">
      <c r="A1193" s="501">
        <v>965</v>
      </c>
      <c r="B1193" s="556" t="s">
        <v>3091</v>
      </c>
      <c r="C1193" s="557" t="s">
        <v>2338</v>
      </c>
      <c r="D1193" s="558"/>
      <c r="E1193" s="559">
        <v>42400</v>
      </c>
      <c r="F1193" s="559">
        <f t="shared" si="49"/>
        <v>42400</v>
      </c>
      <c r="G1193" s="501">
        <v>965</v>
      </c>
      <c r="H1193" s="556" t="s">
        <v>3091</v>
      </c>
      <c r="I1193" s="557" t="s">
        <v>2338</v>
      </c>
      <c r="J1193" s="558"/>
      <c r="K1193" s="559">
        <v>42400</v>
      </c>
      <c r="L1193" s="559">
        <f t="shared" si="50"/>
        <v>42400</v>
      </c>
      <c r="M1193" s="489" t="str">
        <f t="shared" si="51"/>
        <v>DDDDDDDĐ</v>
      </c>
    </row>
    <row r="1194" spans="1:13" ht="21.6" customHeight="1">
      <c r="A1194" s="501">
        <v>966</v>
      </c>
      <c r="B1194" s="556" t="s">
        <v>3092</v>
      </c>
      <c r="C1194" s="557" t="s">
        <v>2338</v>
      </c>
      <c r="D1194" s="558"/>
      <c r="E1194" s="559">
        <v>53000</v>
      </c>
      <c r="F1194" s="559">
        <f t="shared" si="49"/>
        <v>53000</v>
      </c>
      <c r="G1194" s="501">
        <v>966</v>
      </c>
      <c r="H1194" s="556" t="s">
        <v>3092</v>
      </c>
      <c r="I1194" s="557" t="s">
        <v>2338</v>
      </c>
      <c r="J1194" s="558"/>
      <c r="K1194" s="559">
        <v>53000</v>
      </c>
      <c r="L1194" s="559">
        <f t="shared" si="50"/>
        <v>53000</v>
      </c>
      <c r="M1194" s="489" t="str">
        <f t="shared" si="51"/>
        <v>DDDDDDDĐ</v>
      </c>
    </row>
    <row r="1195" spans="1:13" ht="21.6" customHeight="1">
      <c r="A1195" s="501">
        <v>967</v>
      </c>
      <c r="B1195" s="556" t="s">
        <v>3093</v>
      </c>
      <c r="C1195" s="557" t="s">
        <v>2338</v>
      </c>
      <c r="D1195" s="558"/>
      <c r="E1195" s="559">
        <v>186000</v>
      </c>
      <c r="F1195" s="559">
        <f t="shared" si="49"/>
        <v>186000</v>
      </c>
      <c r="G1195" s="501">
        <v>967</v>
      </c>
      <c r="H1195" s="556" t="s">
        <v>3093</v>
      </c>
      <c r="I1195" s="557" t="s">
        <v>2338</v>
      </c>
      <c r="J1195" s="558"/>
      <c r="K1195" s="559">
        <v>186000</v>
      </c>
      <c r="L1195" s="559">
        <f t="shared" si="50"/>
        <v>186000</v>
      </c>
      <c r="M1195" s="489" t="str">
        <f t="shared" si="51"/>
        <v>DDDDDDDĐ</v>
      </c>
    </row>
    <row r="1196" spans="1:13" ht="21.6" customHeight="1">
      <c r="A1196" s="501">
        <v>968</v>
      </c>
      <c r="B1196" s="556" t="s">
        <v>3094</v>
      </c>
      <c r="C1196" s="557" t="s">
        <v>2338</v>
      </c>
      <c r="D1196" s="558"/>
      <c r="E1196" s="559">
        <v>49800</v>
      </c>
      <c r="F1196" s="559">
        <f t="shared" si="49"/>
        <v>49800</v>
      </c>
      <c r="G1196" s="501">
        <v>968</v>
      </c>
      <c r="H1196" s="556" t="s">
        <v>3094</v>
      </c>
      <c r="I1196" s="557" t="s">
        <v>2338</v>
      </c>
      <c r="J1196" s="558"/>
      <c r="K1196" s="559">
        <v>49800</v>
      </c>
      <c r="L1196" s="559">
        <f t="shared" si="50"/>
        <v>49800</v>
      </c>
      <c r="M1196" s="489" t="str">
        <f t="shared" si="51"/>
        <v>DDDDDDDĐ</v>
      </c>
    </row>
    <row r="1197" spans="1:13" ht="21.6" customHeight="1">
      <c r="A1197" s="501">
        <v>969</v>
      </c>
      <c r="B1197" s="556" t="s">
        <v>3095</v>
      </c>
      <c r="C1197" s="557" t="s">
        <v>2338</v>
      </c>
      <c r="D1197" s="558"/>
      <c r="E1197" s="559">
        <v>65700</v>
      </c>
      <c r="F1197" s="559">
        <f t="shared" si="49"/>
        <v>65700</v>
      </c>
      <c r="G1197" s="501">
        <v>969</v>
      </c>
      <c r="H1197" s="556" t="s">
        <v>3095</v>
      </c>
      <c r="I1197" s="557" t="s">
        <v>2338</v>
      </c>
      <c r="J1197" s="558"/>
      <c r="K1197" s="559">
        <v>65700</v>
      </c>
      <c r="L1197" s="559">
        <f t="shared" si="50"/>
        <v>65700</v>
      </c>
      <c r="M1197" s="489" t="str">
        <f t="shared" si="51"/>
        <v>DDDDDDDĐ</v>
      </c>
    </row>
    <row r="1198" spans="1:13" ht="21.6" customHeight="1">
      <c r="A1198" s="501">
        <v>970</v>
      </c>
      <c r="B1198" s="560" t="s">
        <v>3096</v>
      </c>
      <c r="C1198" s="557" t="s">
        <v>2338</v>
      </c>
      <c r="D1198" s="558"/>
      <c r="E1198" s="559">
        <v>65700</v>
      </c>
      <c r="F1198" s="559">
        <f t="shared" si="49"/>
        <v>65700</v>
      </c>
      <c r="G1198" s="501">
        <v>970</v>
      </c>
      <c r="H1198" s="560" t="s">
        <v>3096</v>
      </c>
      <c r="I1198" s="557" t="s">
        <v>2338</v>
      </c>
      <c r="J1198" s="558"/>
      <c r="K1198" s="559">
        <v>65700</v>
      </c>
      <c r="L1198" s="559">
        <f t="shared" si="50"/>
        <v>65700</v>
      </c>
      <c r="M1198" s="489" t="str">
        <f t="shared" si="51"/>
        <v>DDDDDDDĐ</v>
      </c>
    </row>
    <row r="1199" spans="1:13" ht="21.6" customHeight="1">
      <c r="A1199" s="501">
        <v>971</v>
      </c>
      <c r="B1199" s="556" t="s">
        <v>3097</v>
      </c>
      <c r="C1199" s="557" t="s">
        <v>2338</v>
      </c>
      <c r="D1199" s="558"/>
      <c r="E1199" s="559">
        <v>33900</v>
      </c>
      <c r="F1199" s="559">
        <f t="shared" si="49"/>
        <v>33900</v>
      </c>
      <c r="G1199" s="501">
        <v>971</v>
      </c>
      <c r="H1199" s="556" t="s">
        <v>3097</v>
      </c>
      <c r="I1199" s="557" t="s">
        <v>2338</v>
      </c>
      <c r="J1199" s="558"/>
      <c r="K1199" s="559">
        <v>33900</v>
      </c>
      <c r="L1199" s="559">
        <f t="shared" si="50"/>
        <v>33900</v>
      </c>
      <c r="M1199" s="489" t="str">
        <f t="shared" si="51"/>
        <v>DDDDDDDĐ</v>
      </c>
    </row>
    <row r="1200" spans="1:13" ht="21.6" customHeight="1">
      <c r="A1200" s="501">
        <v>972</v>
      </c>
      <c r="B1200" s="556" t="s">
        <v>3098</v>
      </c>
      <c r="C1200" s="557" t="s">
        <v>2338</v>
      </c>
      <c r="D1200" s="558"/>
      <c r="E1200" s="559">
        <v>47700</v>
      </c>
      <c r="F1200" s="559">
        <f t="shared" si="49"/>
        <v>47700</v>
      </c>
      <c r="G1200" s="501">
        <v>972</v>
      </c>
      <c r="H1200" s="556" t="s">
        <v>3098</v>
      </c>
      <c r="I1200" s="557" t="s">
        <v>2338</v>
      </c>
      <c r="J1200" s="558"/>
      <c r="K1200" s="559">
        <v>47700</v>
      </c>
      <c r="L1200" s="559">
        <f t="shared" si="50"/>
        <v>47700</v>
      </c>
      <c r="M1200" s="489" t="str">
        <f t="shared" si="51"/>
        <v>DDDDDDDĐ</v>
      </c>
    </row>
    <row r="1201" spans="1:13" ht="21.6" customHeight="1">
      <c r="A1201" s="501">
        <v>973</v>
      </c>
      <c r="B1201" s="556" t="s">
        <v>3099</v>
      </c>
      <c r="C1201" s="557" t="s">
        <v>2338</v>
      </c>
      <c r="D1201" s="558"/>
      <c r="E1201" s="559">
        <v>153700</v>
      </c>
      <c r="F1201" s="559">
        <f t="shared" si="49"/>
        <v>153700</v>
      </c>
      <c r="G1201" s="501">
        <v>973</v>
      </c>
      <c r="H1201" s="556" t="s">
        <v>3099</v>
      </c>
      <c r="I1201" s="557" t="s">
        <v>2338</v>
      </c>
      <c r="J1201" s="558"/>
      <c r="K1201" s="559">
        <v>153700</v>
      </c>
      <c r="L1201" s="559">
        <f t="shared" si="50"/>
        <v>153700</v>
      </c>
      <c r="M1201" s="489" t="str">
        <f t="shared" si="51"/>
        <v>DDDDDDDĐ</v>
      </c>
    </row>
    <row r="1202" spans="1:13" ht="21.6" customHeight="1">
      <c r="A1202" s="501">
        <v>974</v>
      </c>
      <c r="B1202" s="556" t="s">
        <v>3100</v>
      </c>
      <c r="C1202" s="557" t="s">
        <v>2338</v>
      </c>
      <c r="D1202" s="558"/>
      <c r="E1202" s="559">
        <v>65700</v>
      </c>
      <c r="F1202" s="559">
        <f t="shared" si="49"/>
        <v>65700</v>
      </c>
      <c r="G1202" s="501">
        <v>974</v>
      </c>
      <c r="H1202" s="556" t="s">
        <v>3100</v>
      </c>
      <c r="I1202" s="557" t="s">
        <v>2338</v>
      </c>
      <c r="J1202" s="558"/>
      <c r="K1202" s="559">
        <v>65700</v>
      </c>
      <c r="L1202" s="559">
        <f t="shared" si="50"/>
        <v>65700</v>
      </c>
      <c r="M1202" s="489" t="str">
        <f t="shared" si="51"/>
        <v>DDDDDDDĐ</v>
      </c>
    </row>
    <row r="1203" spans="1:13" ht="21.6" customHeight="1">
      <c r="A1203" s="501">
        <v>975</v>
      </c>
      <c r="B1203" s="556" t="s">
        <v>3101</v>
      </c>
      <c r="C1203" s="557" t="s">
        <v>2338</v>
      </c>
      <c r="D1203" s="558"/>
      <c r="E1203" s="559">
        <v>26500</v>
      </c>
      <c r="F1203" s="559">
        <f t="shared" si="49"/>
        <v>26500</v>
      </c>
      <c r="G1203" s="501">
        <v>975</v>
      </c>
      <c r="H1203" s="556" t="s">
        <v>3101</v>
      </c>
      <c r="I1203" s="557" t="s">
        <v>2338</v>
      </c>
      <c r="J1203" s="558"/>
      <c r="K1203" s="559">
        <v>26500</v>
      </c>
      <c r="L1203" s="559">
        <f t="shared" si="50"/>
        <v>26500</v>
      </c>
      <c r="M1203" s="489" t="str">
        <f t="shared" si="51"/>
        <v>DDDDDDDĐ</v>
      </c>
    </row>
    <row r="1204" spans="1:13" ht="21.6" customHeight="1">
      <c r="A1204" s="501">
        <v>976</v>
      </c>
      <c r="B1204" s="556" t="s">
        <v>3102</v>
      </c>
      <c r="C1204" s="557" t="s">
        <v>2325</v>
      </c>
      <c r="D1204" s="558"/>
      <c r="E1204" s="559">
        <v>153700</v>
      </c>
      <c r="F1204" s="559">
        <f t="shared" si="49"/>
        <v>153700</v>
      </c>
      <c r="G1204" s="501">
        <v>976</v>
      </c>
      <c r="H1204" s="556" t="s">
        <v>3102</v>
      </c>
      <c r="I1204" s="557" t="s">
        <v>2325</v>
      </c>
      <c r="J1204" s="558"/>
      <c r="K1204" s="559">
        <v>153700</v>
      </c>
      <c r="L1204" s="559">
        <f t="shared" si="50"/>
        <v>153700</v>
      </c>
      <c r="M1204" s="489" t="str">
        <f t="shared" si="51"/>
        <v>DDDDDDDĐ</v>
      </c>
    </row>
    <row r="1205" spans="1:13" ht="21.6" customHeight="1">
      <c r="A1205" s="501">
        <v>977</v>
      </c>
      <c r="B1205" s="556" t="s">
        <v>3103</v>
      </c>
      <c r="C1205" s="557" t="s">
        <v>2530</v>
      </c>
      <c r="D1205" s="558"/>
      <c r="E1205" s="559">
        <v>38200</v>
      </c>
      <c r="F1205" s="559">
        <f t="shared" si="49"/>
        <v>38200</v>
      </c>
      <c r="G1205" s="501">
        <v>977</v>
      </c>
      <c r="H1205" s="556" t="s">
        <v>3103</v>
      </c>
      <c r="I1205" s="557" t="s">
        <v>2530</v>
      </c>
      <c r="J1205" s="558"/>
      <c r="K1205" s="559">
        <v>38200</v>
      </c>
      <c r="L1205" s="559">
        <f t="shared" si="50"/>
        <v>38200</v>
      </c>
      <c r="M1205" s="489" t="str">
        <f t="shared" si="51"/>
        <v>DDDDDDDĐ</v>
      </c>
    </row>
    <row r="1206" spans="1:13" ht="21.6" customHeight="1">
      <c r="A1206" s="501">
        <v>978</v>
      </c>
      <c r="B1206" s="556" t="s">
        <v>3104</v>
      </c>
      <c r="C1206" s="557" t="s">
        <v>2530</v>
      </c>
      <c r="D1206" s="558"/>
      <c r="E1206" s="559">
        <v>249100</v>
      </c>
      <c r="F1206" s="559">
        <f t="shared" si="49"/>
        <v>249100</v>
      </c>
      <c r="G1206" s="501">
        <v>978</v>
      </c>
      <c r="H1206" s="556" t="s">
        <v>3104</v>
      </c>
      <c r="I1206" s="557" t="s">
        <v>2530</v>
      </c>
      <c r="J1206" s="558"/>
      <c r="K1206" s="559">
        <v>249100</v>
      </c>
      <c r="L1206" s="559">
        <f t="shared" si="50"/>
        <v>249100</v>
      </c>
      <c r="M1206" s="489" t="str">
        <f t="shared" si="51"/>
        <v>DDDDDDDĐ</v>
      </c>
    </row>
    <row r="1207" spans="1:13" ht="21.6" customHeight="1">
      <c r="A1207" s="501">
        <v>979</v>
      </c>
      <c r="B1207" s="556" t="s">
        <v>3105</v>
      </c>
      <c r="C1207" s="557" t="s">
        <v>2530</v>
      </c>
      <c r="D1207" s="558"/>
      <c r="E1207" s="559">
        <v>284100</v>
      </c>
      <c r="F1207" s="559">
        <f t="shared" si="49"/>
        <v>284100</v>
      </c>
      <c r="G1207" s="501">
        <v>979</v>
      </c>
      <c r="H1207" s="556" t="s">
        <v>3105</v>
      </c>
      <c r="I1207" s="557" t="s">
        <v>2530</v>
      </c>
      <c r="J1207" s="558"/>
      <c r="K1207" s="559">
        <v>284100</v>
      </c>
      <c r="L1207" s="559">
        <f t="shared" si="50"/>
        <v>284100</v>
      </c>
      <c r="M1207" s="489" t="str">
        <f t="shared" si="51"/>
        <v>DDDDDDDĐ</v>
      </c>
    </row>
    <row r="1208" spans="1:13" ht="21.6" customHeight="1">
      <c r="A1208" s="501">
        <v>980</v>
      </c>
      <c r="B1208" s="556" t="s">
        <v>3106</v>
      </c>
      <c r="C1208" s="557" t="s">
        <v>2307</v>
      </c>
      <c r="D1208" s="558"/>
      <c r="E1208" s="559">
        <v>38200</v>
      </c>
      <c r="F1208" s="559">
        <f t="shared" si="49"/>
        <v>38200</v>
      </c>
      <c r="G1208" s="501">
        <v>980</v>
      </c>
      <c r="H1208" s="556" t="s">
        <v>3106</v>
      </c>
      <c r="I1208" s="557" t="s">
        <v>2307</v>
      </c>
      <c r="J1208" s="558"/>
      <c r="K1208" s="559">
        <v>38200</v>
      </c>
      <c r="L1208" s="559">
        <f t="shared" si="50"/>
        <v>38200</v>
      </c>
      <c r="M1208" s="489" t="str">
        <f t="shared" si="51"/>
        <v>DDDDDDDĐ</v>
      </c>
    </row>
    <row r="1209" spans="1:13" ht="21.6" customHeight="1">
      <c r="A1209" s="501">
        <v>981</v>
      </c>
      <c r="B1209" s="556" t="s">
        <v>3107</v>
      </c>
      <c r="C1209" s="557" t="s">
        <v>2338</v>
      </c>
      <c r="D1209" s="558"/>
      <c r="E1209" s="559">
        <v>33900</v>
      </c>
      <c r="F1209" s="559">
        <f t="shared" si="49"/>
        <v>33900</v>
      </c>
      <c r="G1209" s="501">
        <v>981</v>
      </c>
      <c r="H1209" s="556" t="s">
        <v>3107</v>
      </c>
      <c r="I1209" s="557" t="s">
        <v>2338</v>
      </c>
      <c r="J1209" s="558"/>
      <c r="K1209" s="559">
        <v>33900</v>
      </c>
      <c r="L1209" s="559">
        <f t="shared" si="50"/>
        <v>33900</v>
      </c>
      <c r="M1209" s="489" t="str">
        <f t="shared" si="51"/>
        <v>DDDDDDDĐ</v>
      </c>
    </row>
    <row r="1210" spans="1:13" ht="21.6" customHeight="1">
      <c r="A1210" s="501">
        <v>982</v>
      </c>
      <c r="B1210" s="556" t="s">
        <v>3108</v>
      </c>
      <c r="C1210" s="557" t="s">
        <v>2338</v>
      </c>
      <c r="D1210" s="558"/>
      <c r="E1210" s="559">
        <v>6900</v>
      </c>
      <c r="F1210" s="559">
        <f t="shared" si="49"/>
        <v>6900</v>
      </c>
      <c r="G1210" s="501">
        <v>982</v>
      </c>
      <c r="H1210" s="556" t="s">
        <v>3108</v>
      </c>
      <c r="I1210" s="557" t="s">
        <v>2338</v>
      </c>
      <c r="J1210" s="558"/>
      <c r="K1210" s="559">
        <v>6900</v>
      </c>
      <c r="L1210" s="559">
        <f t="shared" si="50"/>
        <v>6900</v>
      </c>
      <c r="M1210" s="489" t="str">
        <f t="shared" si="51"/>
        <v>DDDDDDDĐ</v>
      </c>
    </row>
    <row r="1211" spans="1:13" ht="21.6" customHeight="1">
      <c r="A1211" s="501">
        <v>983</v>
      </c>
      <c r="B1211" s="556" t="s">
        <v>3109</v>
      </c>
      <c r="C1211" s="557" t="s">
        <v>2325</v>
      </c>
      <c r="D1211" s="558"/>
      <c r="E1211" s="559">
        <v>132500</v>
      </c>
      <c r="F1211" s="559">
        <f t="shared" si="49"/>
        <v>132500</v>
      </c>
      <c r="G1211" s="501">
        <v>983</v>
      </c>
      <c r="H1211" s="556" t="s">
        <v>3109</v>
      </c>
      <c r="I1211" s="557" t="s">
        <v>2325</v>
      </c>
      <c r="J1211" s="558"/>
      <c r="K1211" s="559">
        <v>132500</v>
      </c>
      <c r="L1211" s="559">
        <f t="shared" si="50"/>
        <v>132500</v>
      </c>
      <c r="M1211" s="489" t="str">
        <f t="shared" si="51"/>
        <v>DDDDDDDĐ</v>
      </c>
    </row>
    <row r="1212" spans="1:13" ht="21.6" customHeight="1">
      <c r="A1212" s="501">
        <v>984</v>
      </c>
      <c r="B1212" s="556" t="s">
        <v>3110</v>
      </c>
      <c r="C1212" s="557" t="s">
        <v>2338</v>
      </c>
      <c r="D1212" s="558"/>
      <c r="E1212" s="559">
        <v>12200</v>
      </c>
      <c r="F1212" s="559">
        <f t="shared" ref="F1212:F1232" si="52">E1212</f>
        <v>12200</v>
      </c>
      <c r="G1212" s="501">
        <v>984</v>
      </c>
      <c r="H1212" s="556" t="s">
        <v>3110</v>
      </c>
      <c r="I1212" s="557" t="s">
        <v>2338</v>
      </c>
      <c r="J1212" s="558"/>
      <c r="K1212" s="559">
        <v>12200</v>
      </c>
      <c r="L1212" s="559">
        <f t="shared" ref="L1212:L1256" si="53">K1212</f>
        <v>12200</v>
      </c>
      <c r="M1212" s="489" t="str">
        <f t="shared" si="51"/>
        <v>DDDDDDDĐ</v>
      </c>
    </row>
    <row r="1213" spans="1:13" ht="21.6" customHeight="1">
      <c r="A1213" s="501">
        <v>985</v>
      </c>
      <c r="B1213" s="556" t="s">
        <v>3111</v>
      </c>
      <c r="C1213" s="557" t="s">
        <v>2325</v>
      </c>
      <c r="D1213" s="558"/>
      <c r="E1213" s="559">
        <v>697500</v>
      </c>
      <c r="F1213" s="559">
        <f t="shared" si="52"/>
        <v>697500</v>
      </c>
      <c r="G1213" s="501">
        <v>985</v>
      </c>
      <c r="H1213" s="556" t="s">
        <v>3111</v>
      </c>
      <c r="I1213" s="557" t="s">
        <v>2325</v>
      </c>
      <c r="J1213" s="558"/>
      <c r="K1213" s="559">
        <v>697500</v>
      </c>
      <c r="L1213" s="559">
        <f t="shared" si="53"/>
        <v>697500</v>
      </c>
      <c r="M1213" s="489" t="str">
        <f t="shared" si="51"/>
        <v>DDDDDDDĐ</v>
      </c>
    </row>
    <row r="1214" spans="1:13" ht="21.6" customHeight="1">
      <c r="A1214" s="501">
        <v>986</v>
      </c>
      <c r="B1214" s="556" t="s">
        <v>3112</v>
      </c>
      <c r="C1214" s="557" t="s">
        <v>2325</v>
      </c>
      <c r="D1214" s="558"/>
      <c r="E1214" s="559">
        <v>731400</v>
      </c>
      <c r="F1214" s="559">
        <f t="shared" si="52"/>
        <v>731400</v>
      </c>
      <c r="G1214" s="501">
        <v>986</v>
      </c>
      <c r="H1214" s="556" t="s">
        <v>3112</v>
      </c>
      <c r="I1214" s="557" t="s">
        <v>2325</v>
      </c>
      <c r="J1214" s="558"/>
      <c r="K1214" s="559">
        <v>731400</v>
      </c>
      <c r="L1214" s="559">
        <f t="shared" si="53"/>
        <v>731400</v>
      </c>
      <c r="M1214" s="489" t="str">
        <f t="shared" si="51"/>
        <v>DDDDDDDĐ</v>
      </c>
    </row>
    <row r="1215" spans="1:13" ht="21.6" customHeight="1">
      <c r="A1215" s="501">
        <v>987</v>
      </c>
      <c r="B1215" s="556" t="s">
        <v>3113</v>
      </c>
      <c r="C1215" s="557" t="s">
        <v>2325</v>
      </c>
      <c r="D1215" s="558"/>
      <c r="E1215" s="559">
        <v>853300</v>
      </c>
      <c r="F1215" s="559">
        <f t="shared" si="52"/>
        <v>853300</v>
      </c>
      <c r="G1215" s="501">
        <v>987</v>
      </c>
      <c r="H1215" s="556" t="s">
        <v>3113</v>
      </c>
      <c r="I1215" s="557" t="s">
        <v>2325</v>
      </c>
      <c r="J1215" s="558"/>
      <c r="K1215" s="559">
        <v>853300</v>
      </c>
      <c r="L1215" s="559">
        <f t="shared" si="53"/>
        <v>853300</v>
      </c>
      <c r="M1215" s="489" t="str">
        <f t="shared" si="51"/>
        <v>DDDDDDDĐ</v>
      </c>
    </row>
    <row r="1216" spans="1:13" ht="21.6" customHeight="1">
      <c r="A1216" s="501">
        <v>988</v>
      </c>
      <c r="B1216" s="556" t="s">
        <v>3114</v>
      </c>
      <c r="C1216" s="557" t="s">
        <v>2325</v>
      </c>
      <c r="D1216" s="558"/>
      <c r="E1216" s="559">
        <v>975200</v>
      </c>
      <c r="F1216" s="559">
        <f t="shared" si="52"/>
        <v>975200</v>
      </c>
      <c r="G1216" s="501">
        <v>988</v>
      </c>
      <c r="H1216" s="556" t="s">
        <v>3114</v>
      </c>
      <c r="I1216" s="557" t="s">
        <v>2325</v>
      </c>
      <c r="J1216" s="558"/>
      <c r="K1216" s="559">
        <v>975200</v>
      </c>
      <c r="L1216" s="559">
        <f t="shared" si="53"/>
        <v>975200</v>
      </c>
      <c r="M1216" s="489" t="str">
        <f t="shared" si="51"/>
        <v>DDDDDDDĐ</v>
      </c>
    </row>
    <row r="1217" spans="1:13" ht="21.6" customHeight="1">
      <c r="A1217" s="501">
        <v>989</v>
      </c>
      <c r="B1217" s="556" t="s">
        <v>3115</v>
      </c>
      <c r="C1217" s="557" t="s">
        <v>2325</v>
      </c>
      <c r="D1217" s="558"/>
      <c r="E1217" s="559">
        <v>298900</v>
      </c>
      <c r="F1217" s="559">
        <f t="shared" si="52"/>
        <v>298900</v>
      </c>
      <c r="G1217" s="501">
        <v>989</v>
      </c>
      <c r="H1217" s="556" t="s">
        <v>3115</v>
      </c>
      <c r="I1217" s="557" t="s">
        <v>2325</v>
      </c>
      <c r="J1217" s="558"/>
      <c r="K1217" s="559">
        <v>298900</v>
      </c>
      <c r="L1217" s="559">
        <f t="shared" si="53"/>
        <v>298900</v>
      </c>
      <c r="M1217" s="489" t="str">
        <f t="shared" si="51"/>
        <v>DDDDDDDĐ</v>
      </c>
    </row>
    <row r="1218" spans="1:13" ht="21.6" customHeight="1">
      <c r="A1218" s="501">
        <v>990</v>
      </c>
      <c r="B1218" s="556" t="s">
        <v>3116</v>
      </c>
      <c r="C1218" s="557" t="s">
        <v>2325</v>
      </c>
      <c r="D1218" s="558"/>
      <c r="E1218" s="559">
        <v>97500</v>
      </c>
      <c r="F1218" s="559">
        <f t="shared" si="52"/>
        <v>97500</v>
      </c>
      <c r="G1218" s="501">
        <v>990</v>
      </c>
      <c r="H1218" s="556" t="s">
        <v>3116</v>
      </c>
      <c r="I1218" s="557" t="s">
        <v>2325</v>
      </c>
      <c r="J1218" s="558"/>
      <c r="K1218" s="559">
        <v>97500</v>
      </c>
      <c r="L1218" s="559">
        <f t="shared" si="53"/>
        <v>97500</v>
      </c>
      <c r="M1218" s="489" t="str">
        <f t="shared" si="51"/>
        <v>DDDDDDDĐ</v>
      </c>
    </row>
    <row r="1219" spans="1:13" ht="21.6" customHeight="1">
      <c r="A1219" s="501">
        <v>991</v>
      </c>
      <c r="B1219" s="556" t="s">
        <v>3117</v>
      </c>
      <c r="C1219" s="557" t="s">
        <v>2325</v>
      </c>
      <c r="D1219" s="558"/>
      <c r="E1219" s="559">
        <v>97500</v>
      </c>
      <c r="F1219" s="559">
        <f t="shared" si="52"/>
        <v>97500</v>
      </c>
      <c r="G1219" s="501">
        <v>991</v>
      </c>
      <c r="H1219" s="556" t="s">
        <v>3117</v>
      </c>
      <c r="I1219" s="557" t="s">
        <v>2325</v>
      </c>
      <c r="J1219" s="558"/>
      <c r="K1219" s="559">
        <v>97500</v>
      </c>
      <c r="L1219" s="559">
        <f t="shared" si="53"/>
        <v>97500</v>
      </c>
      <c r="M1219" s="489" t="str">
        <f t="shared" si="51"/>
        <v>DDDDDDDĐ</v>
      </c>
    </row>
    <row r="1220" spans="1:13" ht="21.6" customHeight="1">
      <c r="A1220" s="501">
        <v>992</v>
      </c>
      <c r="B1220" s="556" t="s">
        <v>3118</v>
      </c>
      <c r="C1220" s="557" t="s">
        <v>2325</v>
      </c>
      <c r="D1220" s="558"/>
      <c r="E1220" s="559">
        <v>164300</v>
      </c>
      <c r="F1220" s="559">
        <f t="shared" si="52"/>
        <v>164300</v>
      </c>
      <c r="G1220" s="501">
        <v>992</v>
      </c>
      <c r="H1220" s="556" t="s">
        <v>3118</v>
      </c>
      <c r="I1220" s="557" t="s">
        <v>2325</v>
      </c>
      <c r="J1220" s="558"/>
      <c r="K1220" s="559">
        <v>164300</v>
      </c>
      <c r="L1220" s="559">
        <f t="shared" si="53"/>
        <v>164300</v>
      </c>
      <c r="M1220" s="489" t="str">
        <f t="shared" si="51"/>
        <v>DDDDDDDĐ</v>
      </c>
    </row>
    <row r="1221" spans="1:13" ht="21.6" customHeight="1">
      <c r="A1221" s="501">
        <v>993</v>
      </c>
      <c r="B1221" s="556" t="s">
        <v>3119</v>
      </c>
      <c r="C1221" s="557" t="s">
        <v>2325</v>
      </c>
      <c r="D1221" s="558"/>
      <c r="E1221" s="559">
        <v>238500</v>
      </c>
      <c r="F1221" s="559">
        <f t="shared" si="52"/>
        <v>238500</v>
      </c>
      <c r="G1221" s="501">
        <v>993</v>
      </c>
      <c r="H1221" s="556" t="s">
        <v>3119</v>
      </c>
      <c r="I1221" s="557" t="s">
        <v>2325</v>
      </c>
      <c r="J1221" s="558"/>
      <c r="K1221" s="559">
        <v>238500</v>
      </c>
      <c r="L1221" s="559">
        <f t="shared" si="53"/>
        <v>238500</v>
      </c>
      <c r="M1221" s="489" t="str">
        <f t="shared" si="51"/>
        <v>DDDDDDDĐ</v>
      </c>
    </row>
    <row r="1222" spans="1:13" ht="21.6" customHeight="1">
      <c r="A1222" s="501">
        <v>994</v>
      </c>
      <c r="B1222" s="556" t="s">
        <v>3120</v>
      </c>
      <c r="C1222" s="557" t="s">
        <v>2325</v>
      </c>
      <c r="D1222" s="558"/>
      <c r="E1222" s="559">
        <v>291500</v>
      </c>
      <c r="F1222" s="559">
        <f t="shared" si="52"/>
        <v>291500</v>
      </c>
      <c r="G1222" s="501">
        <v>994</v>
      </c>
      <c r="H1222" s="556" t="s">
        <v>3120</v>
      </c>
      <c r="I1222" s="557" t="s">
        <v>2325</v>
      </c>
      <c r="J1222" s="558"/>
      <c r="K1222" s="559">
        <v>291500</v>
      </c>
      <c r="L1222" s="559">
        <f t="shared" si="53"/>
        <v>291500</v>
      </c>
      <c r="M1222" s="489" t="str">
        <f t="shared" si="51"/>
        <v>DDDDDDDĐ</v>
      </c>
    </row>
    <row r="1223" spans="1:13" ht="21.6" customHeight="1">
      <c r="A1223" s="501">
        <v>995</v>
      </c>
      <c r="B1223" s="556" t="s">
        <v>3121</v>
      </c>
      <c r="C1223" s="557" t="s">
        <v>2325</v>
      </c>
      <c r="D1223" s="558"/>
      <c r="E1223" s="559">
        <v>443100</v>
      </c>
      <c r="F1223" s="559">
        <f t="shared" si="52"/>
        <v>443100</v>
      </c>
      <c r="G1223" s="501">
        <v>995</v>
      </c>
      <c r="H1223" s="556" t="s">
        <v>3121</v>
      </c>
      <c r="I1223" s="557" t="s">
        <v>2325</v>
      </c>
      <c r="J1223" s="558"/>
      <c r="K1223" s="559">
        <v>443100</v>
      </c>
      <c r="L1223" s="559">
        <f t="shared" si="53"/>
        <v>443100</v>
      </c>
      <c r="M1223" s="489" t="str">
        <f t="shared" si="51"/>
        <v>DDDDDDDĐ</v>
      </c>
    </row>
    <row r="1224" spans="1:13" ht="21.6" customHeight="1">
      <c r="A1224" s="501">
        <v>996</v>
      </c>
      <c r="B1224" s="556" t="s">
        <v>3122</v>
      </c>
      <c r="C1224" s="557" t="s">
        <v>2325</v>
      </c>
      <c r="D1224" s="558"/>
      <c r="E1224" s="559">
        <v>554400</v>
      </c>
      <c r="F1224" s="559">
        <f t="shared" si="52"/>
        <v>554400</v>
      </c>
      <c r="G1224" s="501">
        <v>996</v>
      </c>
      <c r="H1224" s="556" t="s">
        <v>3122</v>
      </c>
      <c r="I1224" s="557" t="s">
        <v>2325</v>
      </c>
      <c r="J1224" s="558"/>
      <c r="K1224" s="559">
        <v>554400</v>
      </c>
      <c r="L1224" s="559">
        <f t="shared" si="53"/>
        <v>554400</v>
      </c>
      <c r="M1224" s="489" t="str">
        <f t="shared" si="51"/>
        <v>DDDDDDDĐ</v>
      </c>
    </row>
    <row r="1225" spans="1:13" ht="21.6" customHeight="1">
      <c r="A1225" s="501">
        <v>997</v>
      </c>
      <c r="B1225" s="556" t="s">
        <v>3123</v>
      </c>
      <c r="C1225" s="557" t="s">
        <v>2325</v>
      </c>
      <c r="D1225" s="558"/>
      <c r="E1225" s="559">
        <v>1445800</v>
      </c>
      <c r="F1225" s="559">
        <f t="shared" si="52"/>
        <v>1445800</v>
      </c>
      <c r="G1225" s="501">
        <v>997</v>
      </c>
      <c r="H1225" s="556" t="s">
        <v>3123</v>
      </c>
      <c r="I1225" s="557" t="s">
        <v>2325</v>
      </c>
      <c r="J1225" s="558"/>
      <c r="K1225" s="559">
        <v>1445800</v>
      </c>
      <c r="L1225" s="559">
        <f t="shared" si="53"/>
        <v>1445800</v>
      </c>
      <c r="M1225" s="489" t="str">
        <f t="shared" si="51"/>
        <v>DDDDDDDĐ</v>
      </c>
    </row>
    <row r="1226" spans="1:13" ht="21.6" customHeight="1">
      <c r="A1226" s="501">
        <v>998</v>
      </c>
      <c r="B1226" s="560" t="s">
        <v>3124</v>
      </c>
      <c r="C1226" s="557" t="s">
        <v>2338</v>
      </c>
      <c r="D1226" s="558"/>
      <c r="E1226" s="559">
        <v>997500</v>
      </c>
      <c r="F1226" s="559">
        <f t="shared" si="52"/>
        <v>997500</v>
      </c>
      <c r="G1226" s="501">
        <v>998</v>
      </c>
      <c r="H1226" s="560" t="s">
        <v>3124</v>
      </c>
      <c r="I1226" s="557" t="s">
        <v>2338</v>
      </c>
      <c r="J1226" s="558"/>
      <c r="K1226" s="559">
        <v>997500</v>
      </c>
      <c r="L1226" s="559">
        <f t="shared" si="53"/>
        <v>997500</v>
      </c>
      <c r="M1226" s="489" t="str">
        <f t="shared" si="51"/>
        <v>DDDDDDDĐ</v>
      </c>
    </row>
    <row r="1227" spans="1:13" ht="21.6" customHeight="1">
      <c r="A1227" s="501">
        <v>999</v>
      </c>
      <c r="B1227" s="560" t="s">
        <v>3125</v>
      </c>
      <c r="C1227" s="557" t="s">
        <v>2338</v>
      </c>
      <c r="D1227" s="558"/>
      <c r="E1227" s="559">
        <v>1773400</v>
      </c>
      <c r="F1227" s="559">
        <f t="shared" si="52"/>
        <v>1773400</v>
      </c>
      <c r="G1227" s="501">
        <v>999</v>
      </c>
      <c r="H1227" s="560" t="s">
        <v>3125</v>
      </c>
      <c r="I1227" s="557" t="s">
        <v>2338</v>
      </c>
      <c r="J1227" s="558"/>
      <c r="K1227" s="559">
        <v>1773400</v>
      </c>
      <c r="L1227" s="559">
        <f t="shared" si="53"/>
        <v>1773400</v>
      </c>
      <c r="M1227" s="489" t="str">
        <f t="shared" si="51"/>
        <v>DDDDDDDĐ</v>
      </c>
    </row>
    <row r="1228" spans="1:13" ht="21.6" customHeight="1">
      <c r="A1228" s="501">
        <v>1000</v>
      </c>
      <c r="B1228" s="560" t="s">
        <v>3126</v>
      </c>
      <c r="C1228" s="557" t="s">
        <v>2325</v>
      </c>
      <c r="D1228" s="558"/>
      <c r="E1228" s="559">
        <v>166400</v>
      </c>
      <c r="F1228" s="559">
        <f t="shared" si="52"/>
        <v>166400</v>
      </c>
      <c r="G1228" s="501">
        <v>1000</v>
      </c>
      <c r="H1228" s="560" t="s">
        <v>3126</v>
      </c>
      <c r="I1228" s="557" t="s">
        <v>2325</v>
      </c>
      <c r="J1228" s="558"/>
      <c r="K1228" s="559">
        <v>166400</v>
      </c>
      <c r="L1228" s="559">
        <f t="shared" si="53"/>
        <v>166400</v>
      </c>
      <c r="M1228" s="489" t="str">
        <f t="shared" si="51"/>
        <v>DDDDDDDĐ</v>
      </c>
    </row>
    <row r="1229" spans="1:13" ht="21.6" customHeight="1">
      <c r="A1229" s="501">
        <v>1001</v>
      </c>
      <c r="B1229" s="560" t="s">
        <v>3127</v>
      </c>
      <c r="C1229" s="557" t="s">
        <v>2325</v>
      </c>
      <c r="D1229" s="558"/>
      <c r="E1229" s="559">
        <v>265000</v>
      </c>
      <c r="F1229" s="559">
        <f t="shared" si="52"/>
        <v>265000</v>
      </c>
      <c r="G1229" s="501">
        <v>1001</v>
      </c>
      <c r="H1229" s="560" t="s">
        <v>3127</v>
      </c>
      <c r="I1229" s="557" t="s">
        <v>2325</v>
      </c>
      <c r="J1229" s="558"/>
      <c r="K1229" s="559">
        <v>265000</v>
      </c>
      <c r="L1229" s="559">
        <f t="shared" si="53"/>
        <v>265000</v>
      </c>
      <c r="M1229" s="489" t="str">
        <f t="shared" si="51"/>
        <v>DDDDDDDĐ</v>
      </c>
    </row>
    <row r="1230" spans="1:13" ht="21.6" customHeight="1">
      <c r="A1230" s="501">
        <v>1002</v>
      </c>
      <c r="B1230" s="560" t="s">
        <v>3128</v>
      </c>
      <c r="C1230" s="557" t="s">
        <v>2325</v>
      </c>
      <c r="D1230" s="558"/>
      <c r="E1230" s="559">
        <v>328600</v>
      </c>
      <c r="F1230" s="559">
        <f t="shared" si="52"/>
        <v>328600</v>
      </c>
      <c r="G1230" s="501">
        <v>1002</v>
      </c>
      <c r="H1230" s="560" t="s">
        <v>3128</v>
      </c>
      <c r="I1230" s="557" t="s">
        <v>2325</v>
      </c>
      <c r="J1230" s="558"/>
      <c r="K1230" s="559">
        <v>328600</v>
      </c>
      <c r="L1230" s="559">
        <f t="shared" si="53"/>
        <v>328600</v>
      </c>
      <c r="M1230" s="489" t="str">
        <f t="shared" si="51"/>
        <v>DDDDDDDĐ</v>
      </c>
    </row>
    <row r="1231" spans="1:13" ht="21.6" customHeight="1">
      <c r="A1231" s="501">
        <v>1003</v>
      </c>
      <c r="B1231" s="556" t="s">
        <v>3129</v>
      </c>
      <c r="C1231" s="557" t="s">
        <v>2338</v>
      </c>
      <c r="D1231" s="558"/>
      <c r="E1231" s="559">
        <v>4200</v>
      </c>
      <c r="F1231" s="559">
        <f t="shared" si="52"/>
        <v>4200</v>
      </c>
      <c r="G1231" s="501">
        <v>1003</v>
      </c>
      <c r="H1231" s="556" t="s">
        <v>3129</v>
      </c>
      <c r="I1231" s="557" t="s">
        <v>2338</v>
      </c>
      <c r="J1231" s="558"/>
      <c r="K1231" s="559">
        <v>4200</v>
      </c>
      <c r="L1231" s="559">
        <f t="shared" si="53"/>
        <v>4200</v>
      </c>
      <c r="M1231" s="489" t="str">
        <f t="shared" si="51"/>
        <v>DDDDDDDĐ</v>
      </c>
    </row>
    <row r="1232" spans="1:13" ht="21.6" customHeight="1">
      <c r="A1232" s="501">
        <v>1004</v>
      </c>
      <c r="B1232" s="556" t="s">
        <v>3130</v>
      </c>
      <c r="C1232" s="557" t="s">
        <v>2338</v>
      </c>
      <c r="D1232" s="558"/>
      <c r="E1232" s="559">
        <v>11700</v>
      </c>
      <c r="F1232" s="559">
        <f t="shared" si="52"/>
        <v>11700</v>
      </c>
      <c r="G1232" s="501">
        <v>1004</v>
      </c>
      <c r="H1232" s="556" t="s">
        <v>3130</v>
      </c>
      <c r="I1232" s="557" t="s">
        <v>2338</v>
      </c>
      <c r="J1232" s="558"/>
      <c r="K1232" s="559">
        <v>11700</v>
      </c>
      <c r="L1232" s="559">
        <f t="shared" si="53"/>
        <v>11700</v>
      </c>
      <c r="M1232" s="489" t="str">
        <f t="shared" si="51"/>
        <v>DDDDDDDĐ</v>
      </c>
    </row>
    <row r="1233" spans="1:13" ht="21.6" customHeight="1">
      <c r="A1233" s="501"/>
      <c r="B1233" s="561" t="s">
        <v>3131</v>
      </c>
      <c r="C1233" s="558"/>
      <c r="D1233" s="558"/>
      <c r="E1233" s="559"/>
      <c r="F1233" s="559"/>
      <c r="G1233" s="501"/>
      <c r="H1233" s="561" t="s">
        <v>3131</v>
      </c>
      <c r="I1233" s="558"/>
      <c r="J1233" s="558"/>
      <c r="K1233" s="559"/>
      <c r="L1233" s="559"/>
      <c r="M1233" s="489" t="str">
        <f t="shared" si="51"/>
        <v>DDDDDDDĐ</v>
      </c>
    </row>
    <row r="1234" spans="1:13" ht="21.6" customHeight="1">
      <c r="A1234" s="501">
        <v>1005</v>
      </c>
      <c r="B1234" s="562" t="s">
        <v>3132</v>
      </c>
      <c r="C1234" s="557" t="s">
        <v>2307</v>
      </c>
      <c r="D1234" s="558"/>
      <c r="E1234" s="563">
        <v>79700</v>
      </c>
      <c r="F1234" s="559">
        <f t="shared" ref="F1234:F1256" si="54">E1234</f>
        <v>79700</v>
      </c>
      <c r="G1234" s="501">
        <v>1005</v>
      </c>
      <c r="H1234" s="562" t="s">
        <v>3132</v>
      </c>
      <c r="I1234" s="557" t="s">
        <v>2307</v>
      </c>
      <c r="J1234" s="558"/>
      <c r="K1234" s="563">
        <v>79700</v>
      </c>
      <c r="L1234" s="559">
        <f t="shared" si="53"/>
        <v>79700</v>
      </c>
      <c r="M1234" s="489" t="str">
        <f t="shared" si="51"/>
        <v>DDDDDDDĐ</v>
      </c>
    </row>
    <row r="1235" spans="1:13" ht="21.6" customHeight="1">
      <c r="A1235" s="501">
        <v>1006</v>
      </c>
      <c r="B1235" s="556" t="s">
        <v>3133</v>
      </c>
      <c r="C1235" s="557" t="s">
        <v>2307</v>
      </c>
      <c r="D1235" s="558"/>
      <c r="E1235" s="563">
        <v>79700</v>
      </c>
      <c r="F1235" s="559">
        <f t="shared" si="54"/>
        <v>79700</v>
      </c>
      <c r="G1235" s="501">
        <v>1006</v>
      </c>
      <c r="H1235" s="556" t="s">
        <v>3133</v>
      </c>
      <c r="I1235" s="557" t="s">
        <v>2307</v>
      </c>
      <c r="J1235" s="558"/>
      <c r="K1235" s="563">
        <v>79700</v>
      </c>
      <c r="L1235" s="559">
        <f t="shared" si="53"/>
        <v>79700</v>
      </c>
      <c r="M1235" s="489" t="str">
        <f t="shared" si="51"/>
        <v>DDDDDDDĐ</v>
      </c>
    </row>
    <row r="1236" spans="1:13" ht="21.6" customHeight="1">
      <c r="A1236" s="501">
        <v>1007</v>
      </c>
      <c r="B1236" s="556" t="s">
        <v>3134</v>
      </c>
      <c r="C1236" s="564" t="s">
        <v>2960</v>
      </c>
      <c r="D1236" s="565"/>
      <c r="E1236" s="559">
        <v>17500</v>
      </c>
      <c r="F1236" s="559">
        <f t="shared" si="54"/>
        <v>17500</v>
      </c>
      <c r="G1236" s="501">
        <v>1007</v>
      </c>
      <c r="H1236" s="556" t="s">
        <v>3134</v>
      </c>
      <c r="I1236" s="564" t="s">
        <v>2960</v>
      </c>
      <c r="J1236" s="565"/>
      <c r="K1236" s="559">
        <v>17500</v>
      </c>
      <c r="L1236" s="559">
        <f t="shared" si="53"/>
        <v>17500</v>
      </c>
      <c r="M1236" s="489" t="str">
        <f t="shared" si="51"/>
        <v>DDDDDDDĐ</v>
      </c>
    </row>
    <row r="1237" spans="1:13" ht="21.6" customHeight="1">
      <c r="A1237" s="501">
        <v>1008</v>
      </c>
      <c r="B1237" s="556" t="s">
        <v>3135</v>
      </c>
      <c r="C1237" s="564" t="s">
        <v>2960</v>
      </c>
      <c r="D1237" s="565"/>
      <c r="E1237" s="563">
        <v>22800</v>
      </c>
      <c r="F1237" s="559">
        <f t="shared" si="54"/>
        <v>22800</v>
      </c>
      <c r="G1237" s="501">
        <v>1008</v>
      </c>
      <c r="H1237" s="556" t="s">
        <v>3135</v>
      </c>
      <c r="I1237" s="564" t="s">
        <v>2960</v>
      </c>
      <c r="J1237" s="565"/>
      <c r="K1237" s="563">
        <v>22800</v>
      </c>
      <c r="L1237" s="559">
        <f t="shared" si="53"/>
        <v>22800</v>
      </c>
      <c r="M1237" s="489" t="str">
        <f t="shared" si="51"/>
        <v>DDDDDDDĐ</v>
      </c>
    </row>
    <row r="1238" spans="1:13" ht="21.6" customHeight="1">
      <c r="A1238" s="501">
        <v>1009</v>
      </c>
      <c r="B1238" s="556" t="s">
        <v>3136</v>
      </c>
      <c r="C1238" s="564" t="s">
        <v>2960</v>
      </c>
      <c r="D1238" s="565"/>
      <c r="E1238" s="563">
        <v>94900</v>
      </c>
      <c r="F1238" s="559">
        <f t="shared" si="54"/>
        <v>94900</v>
      </c>
      <c r="G1238" s="501">
        <v>1009</v>
      </c>
      <c r="H1238" s="556" t="s">
        <v>3136</v>
      </c>
      <c r="I1238" s="564" t="s">
        <v>2960</v>
      </c>
      <c r="J1238" s="565"/>
      <c r="K1238" s="563">
        <v>94900</v>
      </c>
      <c r="L1238" s="559">
        <f t="shared" si="53"/>
        <v>94900</v>
      </c>
      <c r="M1238" s="489" t="str">
        <f t="shared" si="51"/>
        <v>DDDDDDDĐ</v>
      </c>
    </row>
    <row r="1239" spans="1:13" ht="21.6" customHeight="1">
      <c r="A1239" s="501">
        <v>1010</v>
      </c>
      <c r="B1239" s="556" t="s">
        <v>3137</v>
      </c>
      <c r="C1239" s="564" t="s">
        <v>2960</v>
      </c>
      <c r="D1239" s="565"/>
      <c r="E1239" s="563">
        <v>76300</v>
      </c>
      <c r="F1239" s="559">
        <f t="shared" si="54"/>
        <v>76300</v>
      </c>
      <c r="G1239" s="501">
        <v>1010</v>
      </c>
      <c r="H1239" s="556" t="s">
        <v>3137</v>
      </c>
      <c r="I1239" s="564" t="s">
        <v>2960</v>
      </c>
      <c r="J1239" s="565"/>
      <c r="K1239" s="563">
        <v>76300</v>
      </c>
      <c r="L1239" s="559">
        <f t="shared" si="53"/>
        <v>76300</v>
      </c>
      <c r="M1239" s="489" t="str">
        <f t="shared" si="51"/>
        <v>DDDDDDDĐ</v>
      </c>
    </row>
    <row r="1240" spans="1:13" ht="21.6" customHeight="1">
      <c r="A1240" s="501">
        <v>1011</v>
      </c>
      <c r="B1240" s="556" t="s">
        <v>3138</v>
      </c>
      <c r="C1240" s="564" t="s">
        <v>2960</v>
      </c>
      <c r="D1240" s="565"/>
      <c r="E1240" s="563">
        <v>109200</v>
      </c>
      <c r="F1240" s="559">
        <f t="shared" si="54"/>
        <v>109200</v>
      </c>
      <c r="G1240" s="501">
        <v>1011</v>
      </c>
      <c r="H1240" s="556" t="s">
        <v>3138</v>
      </c>
      <c r="I1240" s="564" t="s">
        <v>2960</v>
      </c>
      <c r="J1240" s="565"/>
      <c r="K1240" s="563">
        <v>109200</v>
      </c>
      <c r="L1240" s="559">
        <f t="shared" si="53"/>
        <v>109200</v>
      </c>
      <c r="M1240" s="489" t="str">
        <f t="shared" si="51"/>
        <v>DDDDDDDĐ</v>
      </c>
    </row>
    <row r="1241" spans="1:13" ht="21.6" customHeight="1">
      <c r="A1241" s="501">
        <v>1012</v>
      </c>
      <c r="B1241" s="556" t="s">
        <v>3139</v>
      </c>
      <c r="C1241" s="564" t="s">
        <v>2960</v>
      </c>
      <c r="D1241" s="558"/>
      <c r="E1241" s="563">
        <v>121900</v>
      </c>
      <c r="F1241" s="559">
        <f t="shared" si="54"/>
        <v>121900</v>
      </c>
      <c r="G1241" s="501">
        <v>1012</v>
      </c>
      <c r="H1241" s="556" t="s">
        <v>3139</v>
      </c>
      <c r="I1241" s="564" t="s">
        <v>2960</v>
      </c>
      <c r="J1241" s="558"/>
      <c r="K1241" s="563">
        <v>121900</v>
      </c>
      <c r="L1241" s="559">
        <f t="shared" si="53"/>
        <v>121900</v>
      </c>
      <c r="M1241" s="489" t="str">
        <f t="shared" si="51"/>
        <v>DDDDDDDĐ</v>
      </c>
    </row>
    <row r="1242" spans="1:13" ht="21.6" customHeight="1">
      <c r="A1242" s="501">
        <v>1013</v>
      </c>
      <c r="B1242" s="556" t="s">
        <v>3140</v>
      </c>
      <c r="C1242" s="564" t="s">
        <v>2960</v>
      </c>
      <c r="D1242" s="558"/>
      <c r="E1242" s="563">
        <v>149500</v>
      </c>
      <c r="F1242" s="559">
        <f t="shared" si="54"/>
        <v>149500</v>
      </c>
      <c r="G1242" s="501">
        <v>1013</v>
      </c>
      <c r="H1242" s="556" t="s">
        <v>3140</v>
      </c>
      <c r="I1242" s="564" t="s">
        <v>2960</v>
      </c>
      <c r="J1242" s="558"/>
      <c r="K1242" s="563">
        <v>149500</v>
      </c>
      <c r="L1242" s="559">
        <f t="shared" si="53"/>
        <v>149500</v>
      </c>
      <c r="M1242" s="489" t="str">
        <f t="shared" si="51"/>
        <v>DDDDDDDĐ</v>
      </c>
    </row>
    <row r="1243" spans="1:13" ht="21.6" customHeight="1">
      <c r="A1243" s="501">
        <v>1014</v>
      </c>
      <c r="B1243" s="556" t="s">
        <v>3141</v>
      </c>
      <c r="C1243" s="564" t="s">
        <v>2960</v>
      </c>
      <c r="D1243" s="558"/>
      <c r="E1243" s="563">
        <v>304800</v>
      </c>
      <c r="F1243" s="559">
        <f t="shared" si="54"/>
        <v>304800</v>
      </c>
      <c r="G1243" s="501">
        <v>1014</v>
      </c>
      <c r="H1243" s="556" t="s">
        <v>3141</v>
      </c>
      <c r="I1243" s="564" t="s">
        <v>2960</v>
      </c>
      <c r="J1243" s="558"/>
      <c r="K1243" s="563">
        <v>304800</v>
      </c>
      <c r="L1243" s="559">
        <f t="shared" si="53"/>
        <v>304800</v>
      </c>
      <c r="M1243" s="489" t="str">
        <f t="shared" si="51"/>
        <v>DDDDDDDĐ</v>
      </c>
    </row>
    <row r="1244" spans="1:13" ht="21.6" customHeight="1">
      <c r="A1244" s="501">
        <v>1015</v>
      </c>
      <c r="B1244" s="556" t="s">
        <v>3142</v>
      </c>
      <c r="C1244" s="564" t="s">
        <v>2960</v>
      </c>
      <c r="D1244" s="558"/>
      <c r="E1244" s="563">
        <v>353500</v>
      </c>
      <c r="F1244" s="559">
        <f t="shared" si="54"/>
        <v>353500</v>
      </c>
      <c r="G1244" s="501">
        <v>1015</v>
      </c>
      <c r="H1244" s="556" t="s">
        <v>3142</v>
      </c>
      <c r="I1244" s="564" t="s">
        <v>2960</v>
      </c>
      <c r="J1244" s="558"/>
      <c r="K1244" s="563">
        <v>353500</v>
      </c>
      <c r="L1244" s="559">
        <f t="shared" si="53"/>
        <v>353500</v>
      </c>
      <c r="M1244" s="489" t="str">
        <f t="shared" si="51"/>
        <v>DDDDDDDĐ</v>
      </c>
    </row>
    <row r="1245" spans="1:13" ht="21.6" customHeight="1">
      <c r="A1245" s="501">
        <v>1016</v>
      </c>
      <c r="B1245" s="556" t="s">
        <v>3143</v>
      </c>
      <c r="C1245" s="564" t="s">
        <v>2960</v>
      </c>
      <c r="D1245" s="558"/>
      <c r="E1245" s="563">
        <v>744100</v>
      </c>
      <c r="F1245" s="559">
        <f t="shared" si="54"/>
        <v>744100</v>
      </c>
      <c r="G1245" s="501">
        <v>1016</v>
      </c>
      <c r="H1245" s="556" t="s">
        <v>3143</v>
      </c>
      <c r="I1245" s="564" t="s">
        <v>2960</v>
      </c>
      <c r="J1245" s="558"/>
      <c r="K1245" s="563">
        <v>744100</v>
      </c>
      <c r="L1245" s="559">
        <f t="shared" si="53"/>
        <v>744100</v>
      </c>
      <c r="M1245" s="489" t="str">
        <f t="shared" si="51"/>
        <v>DDDDDDDĐ</v>
      </c>
    </row>
    <row r="1246" spans="1:13" ht="21.6" customHeight="1">
      <c r="A1246" s="501">
        <v>1017</v>
      </c>
      <c r="B1246" s="556" t="s">
        <v>3144</v>
      </c>
      <c r="C1246" s="564" t="s">
        <v>2960</v>
      </c>
      <c r="D1246" s="558"/>
      <c r="E1246" s="563">
        <v>91700</v>
      </c>
      <c r="F1246" s="559">
        <f t="shared" si="54"/>
        <v>91700</v>
      </c>
      <c r="G1246" s="501">
        <v>1017</v>
      </c>
      <c r="H1246" s="556" t="s">
        <v>3144</v>
      </c>
      <c r="I1246" s="564" t="s">
        <v>2960</v>
      </c>
      <c r="J1246" s="558"/>
      <c r="K1246" s="563">
        <v>91700</v>
      </c>
      <c r="L1246" s="559">
        <f t="shared" si="53"/>
        <v>91700</v>
      </c>
      <c r="M1246" s="489" t="str">
        <f t="shared" si="51"/>
        <v>DDDDDDDĐ</v>
      </c>
    </row>
    <row r="1247" spans="1:13" ht="21.6" customHeight="1">
      <c r="A1247" s="501">
        <v>1018</v>
      </c>
      <c r="B1247" s="556" t="s">
        <v>3145</v>
      </c>
      <c r="C1247" s="564" t="s">
        <v>2960</v>
      </c>
      <c r="D1247" s="558"/>
      <c r="E1247" s="563">
        <v>42700</v>
      </c>
      <c r="F1247" s="559">
        <f t="shared" si="54"/>
        <v>42700</v>
      </c>
      <c r="G1247" s="501">
        <v>1018</v>
      </c>
      <c r="H1247" s="556" t="s">
        <v>3145</v>
      </c>
      <c r="I1247" s="564" t="s">
        <v>2960</v>
      </c>
      <c r="J1247" s="558"/>
      <c r="K1247" s="563">
        <v>42700</v>
      </c>
      <c r="L1247" s="559">
        <f t="shared" si="53"/>
        <v>42700</v>
      </c>
      <c r="M1247" s="489" t="str">
        <f t="shared" si="51"/>
        <v>DDDDDDDĐ</v>
      </c>
    </row>
    <row r="1248" spans="1:13" ht="21.6" customHeight="1">
      <c r="A1248" s="501">
        <v>1019</v>
      </c>
      <c r="B1248" s="556" t="s">
        <v>3146</v>
      </c>
      <c r="C1248" s="557" t="s">
        <v>2307</v>
      </c>
      <c r="D1248" s="558"/>
      <c r="E1248" s="559">
        <v>288300</v>
      </c>
      <c r="F1248" s="559">
        <f t="shared" si="54"/>
        <v>288300</v>
      </c>
      <c r="G1248" s="501">
        <v>1019</v>
      </c>
      <c r="H1248" s="556" t="s">
        <v>3146</v>
      </c>
      <c r="I1248" s="557" t="s">
        <v>2307</v>
      </c>
      <c r="J1248" s="558"/>
      <c r="K1248" s="559">
        <v>288300</v>
      </c>
      <c r="L1248" s="559">
        <f t="shared" si="53"/>
        <v>288300</v>
      </c>
      <c r="M1248" s="489" t="str">
        <f t="shared" ref="M1248:M1311" si="55">IF(B1248=H1248,"DDDDDDDĐ","SSSSSSSSSSSS")</f>
        <v>DDDDDDDĐ</v>
      </c>
    </row>
    <row r="1249" spans="1:13" ht="21.6" customHeight="1">
      <c r="A1249" s="501">
        <v>1020</v>
      </c>
      <c r="B1249" s="566" t="s">
        <v>3147</v>
      </c>
      <c r="C1249" s="564" t="s">
        <v>2960</v>
      </c>
      <c r="D1249" s="567"/>
      <c r="E1249" s="568">
        <v>192400</v>
      </c>
      <c r="F1249" s="559">
        <f t="shared" si="54"/>
        <v>192400</v>
      </c>
      <c r="G1249" s="501">
        <v>1020</v>
      </c>
      <c r="H1249" s="566" t="s">
        <v>3147</v>
      </c>
      <c r="I1249" s="564" t="s">
        <v>2960</v>
      </c>
      <c r="J1249" s="567"/>
      <c r="K1249" s="568">
        <v>192400</v>
      </c>
      <c r="L1249" s="559">
        <f t="shared" si="53"/>
        <v>192400</v>
      </c>
      <c r="M1249" s="489" t="str">
        <f t="shared" si="55"/>
        <v>DDDDDDDĐ</v>
      </c>
    </row>
    <row r="1250" spans="1:13" ht="21.6" customHeight="1">
      <c r="A1250" s="501">
        <v>1021</v>
      </c>
      <c r="B1250" s="566" t="s">
        <v>3148</v>
      </c>
      <c r="C1250" s="564" t="s">
        <v>2960</v>
      </c>
      <c r="D1250" s="567"/>
      <c r="E1250" s="568">
        <v>121900</v>
      </c>
      <c r="F1250" s="559">
        <f t="shared" si="54"/>
        <v>121900</v>
      </c>
      <c r="G1250" s="501">
        <v>1021</v>
      </c>
      <c r="H1250" s="566" t="s">
        <v>3148</v>
      </c>
      <c r="I1250" s="564" t="s">
        <v>2960</v>
      </c>
      <c r="J1250" s="567"/>
      <c r="K1250" s="568">
        <v>121900</v>
      </c>
      <c r="L1250" s="559">
        <f t="shared" si="53"/>
        <v>121900</v>
      </c>
      <c r="M1250" s="489" t="str">
        <f t="shared" si="55"/>
        <v>DDDDDDDĐ</v>
      </c>
    </row>
    <row r="1251" spans="1:13" ht="21.6" customHeight="1">
      <c r="A1251" s="501">
        <v>1022</v>
      </c>
      <c r="B1251" s="566" t="s">
        <v>3149</v>
      </c>
      <c r="C1251" s="564" t="s">
        <v>2960</v>
      </c>
      <c r="D1251" s="567"/>
      <c r="E1251" s="568">
        <v>60300</v>
      </c>
      <c r="F1251" s="559">
        <f t="shared" si="54"/>
        <v>60300</v>
      </c>
      <c r="G1251" s="501">
        <v>1022</v>
      </c>
      <c r="H1251" s="566" t="s">
        <v>3149</v>
      </c>
      <c r="I1251" s="564" t="s">
        <v>2960</v>
      </c>
      <c r="J1251" s="567"/>
      <c r="K1251" s="568">
        <v>60300</v>
      </c>
      <c r="L1251" s="559">
        <f t="shared" si="53"/>
        <v>60300</v>
      </c>
      <c r="M1251" s="489" t="str">
        <f t="shared" si="55"/>
        <v>DDDDDDDĐ</v>
      </c>
    </row>
    <row r="1252" spans="1:13" ht="21.6" customHeight="1">
      <c r="A1252" s="501">
        <v>1023</v>
      </c>
      <c r="B1252" s="566" t="s">
        <v>3150</v>
      </c>
      <c r="C1252" s="564" t="s">
        <v>2960</v>
      </c>
      <c r="D1252" s="567"/>
      <c r="E1252" s="568">
        <v>42900</v>
      </c>
      <c r="F1252" s="559">
        <f t="shared" si="54"/>
        <v>42900</v>
      </c>
      <c r="G1252" s="501">
        <v>1023</v>
      </c>
      <c r="H1252" s="566" t="s">
        <v>3150</v>
      </c>
      <c r="I1252" s="564" t="s">
        <v>2960</v>
      </c>
      <c r="J1252" s="567"/>
      <c r="K1252" s="568">
        <v>42900</v>
      </c>
      <c r="L1252" s="559">
        <f t="shared" si="53"/>
        <v>42900</v>
      </c>
      <c r="M1252" s="489" t="str">
        <f t="shared" si="55"/>
        <v>DDDDDDDĐ</v>
      </c>
    </row>
    <row r="1253" spans="1:13" ht="21.6" customHeight="1">
      <c r="A1253" s="501">
        <v>1024</v>
      </c>
      <c r="B1253" s="566" t="s">
        <v>3151</v>
      </c>
      <c r="C1253" s="564" t="s">
        <v>2960</v>
      </c>
      <c r="D1253" s="567"/>
      <c r="E1253" s="568">
        <v>182300</v>
      </c>
      <c r="F1253" s="559">
        <f t="shared" si="54"/>
        <v>182300</v>
      </c>
      <c r="G1253" s="501">
        <v>1024</v>
      </c>
      <c r="H1253" s="566" t="s">
        <v>3151</v>
      </c>
      <c r="I1253" s="564" t="s">
        <v>2960</v>
      </c>
      <c r="J1253" s="567"/>
      <c r="K1253" s="568">
        <v>182300</v>
      </c>
      <c r="L1253" s="559">
        <f t="shared" si="53"/>
        <v>182300</v>
      </c>
      <c r="M1253" s="489" t="str">
        <f t="shared" si="55"/>
        <v>DDDDDDDĐ</v>
      </c>
    </row>
    <row r="1254" spans="1:13" ht="21.6" customHeight="1">
      <c r="A1254" s="501">
        <v>1025</v>
      </c>
      <c r="B1254" s="566" t="s">
        <v>3152</v>
      </c>
      <c r="C1254" s="564" t="s">
        <v>2960</v>
      </c>
      <c r="D1254" s="567"/>
      <c r="E1254" s="568">
        <v>133000</v>
      </c>
      <c r="F1254" s="559">
        <f t="shared" si="54"/>
        <v>133000</v>
      </c>
      <c r="G1254" s="501">
        <v>1025</v>
      </c>
      <c r="H1254" s="566" t="s">
        <v>3152</v>
      </c>
      <c r="I1254" s="564" t="s">
        <v>2960</v>
      </c>
      <c r="J1254" s="567"/>
      <c r="K1254" s="568">
        <v>133000</v>
      </c>
      <c r="L1254" s="559">
        <f t="shared" si="53"/>
        <v>133000</v>
      </c>
      <c r="M1254" s="489" t="str">
        <f t="shared" si="55"/>
        <v>DDDDDDDĐ</v>
      </c>
    </row>
    <row r="1255" spans="1:13" ht="21.6" customHeight="1">
      <c r="A1255" s="501">
        <v>1026</v>
      </c>
      <c r="B1255" s="566" t="s">
        <v>3153</v>
      </c>
      <c r="C1255" s="564" t="s">
        <v>2960</v>
      </c>
      <c r="D1255" s="567"/>
      <c r="E1255" s="568">
        <v>65700</v>
      </c>
      <c r="F1255" s="559">
        <f t="shared" si="54"/>
        <v>65700</v>
      </c>
      <c r="G1255" s="501">
        <v>1026</v>
      </c>
      <c r="H1255" s="566" t="s">
        <v>3153</v>
      </c>
      <c r="I1255" s="564" t="s">
        <v>2960</v>
      </c>
      <c r="J1255" s="567"/>
      <c r="K1255" s="568">
        <v>65700</v>
      </c>
      <c r="L1255" s="559">
        <f t="shared" si="53"/>
        <v>65700</v>
      </c>
      <c r="M1255" s="489" t="str">
        <f t="shared" si="55"/>
        <v>DDDDDDDĐ</v>
      </c>
    </row>
    <row r="1256" spans="1:13" ht="21.6" customHeight="1">
      <c r="A1256" s="501">
        <v>1027</v>
      </c>
      <c r="B1256" s="566" t="s">
        <v>3154</v>
      </c>
      <c r="C1256" s="564" t="s">
        <v>2960</v>
      </c>
      <c r="D1256" s="567"/>
      <c r="E1256" s="568">
        <v>49800</v>
      </c>
      <c r="F1256" s="559">
        <f t="shared" si="54"/>
        <v>49800</v>
      </c>
      <c r="G1256" s="501">
        <v>1027</v>
      </c>
      <c r="H1256" s="566" t="s">
        <v>3154</v>
      </c>
      <c r="I1256" s="564" t="s">
        <v>2960</v>
      </c>
      <c r="J1256" s="567"/>
      <c r="K1256" s="568">
        <v>49800</v>
      </c>
      <c r="L1256" s="559">
        <f t="shared" si="53"/>
        <v>49800</v>
      </c>
      <c r="M1256" s="489" t="str">
        <f t="shared" si="55"/>
        <v>DDDDDDDĐ</v>
      </c>
    </row>
    <row r="1257" spans="1:13" ht="21.6" customHeight="1">
      <c r="A1257" s="501"/>
      <c r="B1257" s="569" t="s">
        <v>3155</v>
      </c>
      <c r="C1257" s="570"/>
      <c r="D1257" s="570"/>
      <c r="E1257" s="570"/>
      <c r="F1257" s="571"/>
      <c r="G1257" s="501"/>
      <c r="H1257" s="569" t="s">
        <v>3155</v>
      </c>
      <c r="I1257" s="570"/>
      <c r="J1257" s="570"/>
      <c r="K1257" s="570"/>
      <c r="L1257" s="571"/>
      <c r="M1257" s="489" t="str">
        <f t="shared" si="55"/>
        <v>DDDDDDDĐ</v>
      </c>
    </row>
    <row r="1258" spans="1:13" ht="21.6" customHeight="1">
      <c r="A1258" s="501">
        <v>1028</v>
      </c>
      <c r="B1258" s="556" t="s">
        <v>3156</v>
      </c>
      <c r="C1258" s="564" t="s">
        <v>2960</v>
      </c>
      <c r="D1258" s="570"/>
      <c r="E1258" s="572">
        <f>2454/1.1</f>
        <v>2230.9090909090905</v>
      </c>
      <c r="F1258" s="572"/>
      <c r="G1258" s="501">
        <v>1028</v>
      </c>
      <c r="H1258" s="556" t="s">
        <v>3156</v>
      </c>
      <c r="I1258" s="564" t="s">
        <v>2960</v>
      </c>
      <c r="J1258" s="570"/>
      <c r="K1258" s="572">
        <f>2454/1.1</f>
        <v>2230.9090909090905</v>
      </c>
      <c r="L1258" s="572"/>
      <c r="M1258" s="489" t="str">
        <f t="shared" si="55"/>
        <v>DDDDDDDĐ</v>
      </c>
    </row>
    <row r="1259" spans="1:13" ht="21.6" customHeight="1">
      <c r="A1259" s="501">
        <v>1029</v>
      </c>
      <c r="B1259" s="556" t="s">
        <v>3157</v>
      </c>
      <c r="C1259" s="564" t="s">
        <v>2960</v>
      </c>
      <c r="D1259" s="570"/>
      <c r="E1259" s="572">
        <f>4682/1.1</f>
        <v>4256.363636363636</v>
      </c>
      <c r="F1259" s="572"/>
      <c r="G1259" s="501">
        <v>1029</v>
      </c>
      <c r="H1259" s="556" t="s">
        <v>3157</v>
      </c>
      <c r="I1259" s="564" t="s">
        <v>2960</v>
      </c>
      <c r="J1259" s="570"/>
      <c r="K1259" s="572">
        <f>4682/1.1</f>
        <v>4256.363636363636</v>
      </c>
      <c r="L1259" s="572"/>
      <c r="M1259" s="489" t="str">
        <f t="shared" si="55"/>
        <v>DDDDDDDĐ</v>
      </c>
    </row>
    <row r="1260" spans="1:13" ht="21.6" customHeight="1">
      <c r="A1260" s="501">
        <v>1030</v>
      </c>
      <c r="B1260" s="556" t="s">
        <v>3158</v>
      </c>
      <c r="C1260" s="564" t="s">
        <v>2960</v>
      </c>
      <c r="D1260" s="535"/>
      <c r="E1260" s="573">
        <f>6798/1.1</f>
        <v>6179.9999999999991</v>
      </c>
      <c r="F1260" s="573"/>
      <c r="G1260" s="501">
        <v>1030</v>
      </c>
      <c r="H1260" s="556" t="s">
        <v>3158</v>
      </c>
      <c r="I1260" s="564" t="s">
        <v>2960</v>
      </c>
      <c r="J1260" s="535"/>
      <c r="K1260" s="573">
        <f>6798/1.1</f>
        <v>6179.9999999999991</v>
      </c>
      <c r="L1260" s="573"/>
      <c r="M1260" s="489" t="str">
        <f t="shared" si="55"/>
        <v>DDDDDDDĐ</v>
      </c>
    </row>
    <row r="1261" spans="1:13" ht="21.6" customHeight="1">
      <c r="A1261" s="501">
        <v>1031</v>
      </c>
      <c r="B1261" s="556" t="s">
        <v>3159</v>
      </c>
      <c r="C1261" s="564" t="s">
        <v>2960</v>
      </c>
      <c r="D1261" s="535"/>
      <c r="E1261" s="573">
        <f>11481/1.1</f>
        <v>10437.272727272726</v>
      </c>
      <c r="F1261" s="573"/>
      <c r="G1261" s="501">
        <v>1031</v>
      </c>
      <c r="H1261" s="556" t="s">
        <v>3159</v>
      </c>
      <c r="I1261" s="564" t="s">
        <v>2960</v>
      </c>
      <c r="J1261" s="535"/>
      <c r="K1261" s="573">
        <f>11481/1.1</f>
        <v>10437.272727272726</v>
      </c>
      <c r="L1261" s="573"/>
      <c r="M1261" s="489" t="str">
        <f t="shared" si="55"/>
        <v>DDDDDDDĐ</v>
      </c>
    </row>
    <row r="1262" spans="1:13" ht="21.6" customHeight="1">
      <c r="A1262" s="501">
        <v>1032</v>
      </c>
      <c r="B1262" s="556" t="s">
        <v>3160</v>
      </c>
      <c r="C1262" s="564" t="s">
        <v>2960</v>
      </c>
      <c r="D1262" s="535"/>
      <c r="E1262" s="573">
        <f>15798/1.1</f>
        <v>14361.81818181818</v>
      </c>
      <c r="F1262" s="573"/>
      <c r="G1262" s="501">
        <v>1032</v>
      </c>
      <c r="H1262" s="556" t="s">
        <v>3160</v>
      </c>
      <c r="I1262" s="564" t="s">
        <v>2960</v>
      </c>
      <c r="J1262" s="535"/>
      <c r="K1262" s="573">
        <f>15798/1.1</f>
        <v>14361.81818181818</v>
      </c>
      <c r="L1262" s="573"/>
      <c r="M1262" s="489" t="str">
        <f t="shared" si="55"/>
        <v>DDDDDDDĐ</v>
      </c>
    </row>
    <row r="1263" spans="1:13" ht="21.6" customHeight="1">
      <c r="A1263" s="501">
        <v>1033</v>
      </c>
      <c r="B1263" s="556" t="s">
        <v>3161</v>
      </c>
      <c r="C1263" s="564" t="s">
        <v>2960</v>
      </c>
      <c r="D1263" s="535"/>
      <c r="E1263" s="573">
        <f>2610/1.1</f>
        <v>2372.7272727272725</v>
      </c>
      <c r="F1263" s="573"/>
      <c r="G1263" s="501">
        <v>1033</v>
      </c>
      <c r="H1263" s="556" t="s">
        <v>3161</v>
      </c>
      <c r="I1263" s="564" t="s">
        <v>2960</v>
      </c>
      <c r="J1263" s="535"/>
      <c r="K1263" s="573">
        <f>2610/1.1</f>
        <v>2372.7272727272725</v>
      </c>
      <c r="L1263" s="573"/>
      <c r="M1263" s="489" t="str">
        <f t="shared" si="55"/>
        <v>DDDDDDDĐ</v>
      </c>
    </row>
    <row r="1264" spans="1:13" ht="21.6" customHeight="1">
      <c r="A1264" s="501">
        <v>1034</v>
      </c>
      <c r="B1264" s="556" t="s">
        <v>3162</v>
      </c>
      <c r="C1264" s="564" t="s">
        <v>2960</v>
      </c>
      <c r="D1264" s="535"/>
      <c r="E1264" s="573">
        <f>3800/1.1</f>
        <v>3454.545454545454</v>
      </c>
      <c r="F1264" s="573"/>
      <c r="G1264" s="501">
        <v>1034</v>
      </c>
      <c r="H1264" s="556" t="s">
        <v>3162</v>
      </c>
      <c r="I1264" s="564" t="s">
        <v>2960</v>
      </c>
      <c r="J1264" s="535"/>
      <c r="K1264" s="573">
        <f>3800/1.1</f>
        <v>3454.545454545454</v>
      </c>
      <c r="L1264" s="573"/>
      <c r="M1264" s="489" t="str">
        <f t="shared" si="55"/>
        <v>DDDDDDDĐ</v>
      </c>
    </row>
    <row r="1265" spans="1:13" ht="21.6" customHeight="1">
      <c r="A1265" s="501">
        <v>1035</v>
      </c>
      <c r="B1265" s="556" t="s">
        <v>3163</v>
      </c>
      <c r="C1265" s="564" t="s">
        <v>2960</v>
      </c>
      <c r="D1265" s="535"/>
      <c r="E1265" s="509">
        <f>4748/1.1</f>
        <v>4316.363636363636</v>
      </c>
      <c r="F1265" s="509"/>
      <c r="G1265" s="501">
        <v>1035</v>
      </c>
      <c r="H1265" s="556" t="s">
        <v>3163</v>
      </c>
      <c r="I1265" s="564" t="s">
        <v>2960</v>
      </c>
      <c r="J1265" s="535"/>
      <c r="K1265" s="509">
        <f>4748/1.1</f>
        <v>4316.363636363636</v>
      </c>
      <c r="L1265" s="509"/>
      <c r="M1265" s="489" t="str">
        <f t="shared" si="55"/>
        <v>DDDDDDDĐ</v>
      </c>
    </row>
    <row r="1266" spans="1:13" ht="21.6" customHeight="1">
      <c r="A1266" s="501">
        <v>1036</v>
      </c>
      <c r="B1266" s="556" t="s">
        <v>3164</v>
      </c>
      <c r="C1266" s="564" t="s">
        <v>2960</v>
      </c>
      <c r="D1266" s="535"/>
      <c r="E1266" s="509">
        <f>5130/1.1</f>
        <v>4663.6363636363631</v>
      </c>
      <c r="F1266" s="509"/>
      <c r="G1266" s="501">
        <v>1036</v>
      </c>
      <c r="H1266" s="556" t="s">
        <v>3164</v>
      </c>
      <c r="I1266" s="564" t="s">
        <v>2960</v>
      </c>
      <c r="J1266" s="535"/>
      <c r="K1266" s="509">
        <f>5130/1.1</f>
        <v>4663.6363636363631</v>
      </c>
      <c r="L1266" s="509"/>
      <c r="M1266" s="489" t="str">
        <f t="shared" si="55"/>
        <v>DDDDDDDĐ</v>
      </c>
    </row>
    <row r="1267" spans="1:13" ht="21.6" customHeight="1">
      <c r="A1267" s="501">
        <v>1037</v>
      </c>
      <c r="B1267" s="574" t="s">
        <v>3165</v>
      </c>
      <c r="C1267" s="564" t="s">
        <v>2960</v>
      </c>
      <c r="D1267" s="535"/>
      <c r="E1267" s="572">
        <f>4974/1.1</f>
        <v>4521.8181818181811</v>
      </c>
      <c r="F1267" s="572"/>
      <c r="G1267" s="501">
        <v>1037</v>
      </c>
      <c r="H1267" s="574" t="s">
        <v>3165</v>
      </c>
      <c r="I1267" s="564" t="s">
        <v>2960</v>
      </c>
      <c r="J1267" s="535"/>
      <c r="K1267" s="572">
        <f>4974/1.1</f>
        <v>4521.8181818181811</v>
      </c>
      <c r="L1267" s="572"/>
      <c r="M1267" s="489" t="str">
        <f t="shared" si="55"/>
        <v>DDDDDDDĐ</v>
      </c>
    </row>
    <row r="1268" spans="1:13" ht="21.6" customHeight="1">
      <c r="A1268" s="501">
        <v>1038</v>
      </c>
      <c r="B1268" s="574" t="s">
        <v>3166</v>
      </c>
      <c r="C1268" s="564" t="s">
        <v>2960</v>
      </c>
      <c r="D1268" s="535"/>
      <c r="E1268" s="572">
        <f>7435/1.1</f>
        <v>6759.0909090909081</v>
      </c>
      <c r="F1268" s="572"/>
      <c r="G1268" s="501">
        <v>1038</v>
      </c>
      <c r="H1268" s="574" t="s">
        <v>3166</v>
      </c>
      <c r="I1268" s="564" t="s">
        <v>2960</v>
      </c>
      <c r="J1268" s="535"/>
      <c r="K1268" s="572">
        <f>7435/1.1</f>
        <v>6759.0909090909081</v>
      </c>
      <c r="L1268" s="572"/>
      <c r="M1268" s="489" t="str">
        <f t="shared" si="55"/>
        <v>DDDDDDDĐ</v>
      </c>
    </row>
    <row r="1269" spans="1:13" ht="21.6" customHeight="1">
      <c r="A1269" s="501">
        <v>1039</v>
      </c>
      <c r="B1269" s="574" t="s">
        <v>3167</v>
      </c>
      <c r="C1269" s="564" t="s">
        <v>2960</v>
      </c>
      <c r="D1269" s="535"/>
      <c r="E1269" s="572">
        <f>10581/1.1</f>
        <v>9619.0909090909081</v>
      </c>
      <c r="F1269" s="572"/>
      <c r="G1269" s="501">
        <v>1039</v>
      </c>
      <c r="H1269" s="574" t="s">
        <v>3167</v>
      </c>
      <c r="I1269" s="564" t="s">
        <v>2960</v>
      </c>
      <c r="J1269" s="535"/>
      <c r="K1269" s="572">
        <f>10581/1.1</f>
        <v>9619.0909090909081</v>
      </c>
      <c r="L1269" s="572"/>
      <c r="M1269" s="489" t="str">
        <f t="shared" si="55"/>
        <v>DDDDDDDĐ</v>
      </c>
    </row>
    <row r="1270" spans="1:13" ht="21.6" customHeight="1">
      <c r="A1270" s="501">
        <v>1040</v>
      </c>
      <c r="B1270" s="574" t="s">
        <v>3168</v>
      </c>
      <c r="C1270" s="564" t="s">
        <v>2960</v>
      </c>
      <c r="D1270" s="535"/>
      <c r="E1270" s="572">
        <f>10394/1.1</f>
        <v>9449.0909090909081</v>
      </c>
      <c r="F1270" s="572"/>
      <c r="G1270" s="501">
        <v>1040</v>
      </c>
      <c r="H1270" s="574" t="s">
        <v>3168</v>
      </c>
      <c r="I1270" s="564" t="s">
        <v>2960</v>
      </c>
      <c r="J1270" s="535"/>
      <c r="K1270" s="572">
        <f>10394/1.1</f>
        <v>9449.0909090909081</v>
      </c>
      <c r="L1270" s="572"/>
      <c r="M1270" s="489" t="str">
        <f t="shared" si="55"/>
        <v>DDDDDDDĐ</v>
      </c>
    </row>
    <row r="1271" spans="1:13" ht="21.6" customHeight="1">
      <c r="A1271" s="501">
        <v>1041</v>
      </c>
      <c r="B1271" s="556" t="s">
        <v>3169</v>
      </c>
      <c r="C1271" s="564" t="s">
        <v>2960</v>
      </c>
      <c r="D1271" s="535"/>
      <c r="E1271" s="572">
        <f>2760/1.1</f>
        <v>2509.090909090909</v>
      </c>
      <c r="F1271" s="572"/>
      <c r="G1271" s="501">
        <v>1041</v>
      </c>
      <c r="H1271" s="556" t="s">
        <v>3169</v>
      </c>
      <c r="I1271" s="564" t="s">
        <v>2960</v>
      </c>
      <c r="J1271" s="535"/>
      <c r="K1271" s="572">
        <f>2760/1.1</f>
        <v>2509.090909090909</v>
      </c>
      <c r="L1271" s="572"/>
      <c r="M1271" s="489" t="str">
        <f t="shared" si="55"/>
        <v>DDDDDDDĐ</v>
      </c>
    </row>
    <row r="1272" spans="1:13" ht="21.6" customHeight="1">
      <c r="A1272" s="501">
        <v>1042</v>
      </c>
      <c r="B1272" s="556" t="s">
        <v>3170</v>
      </c>
      <c r="C1272" s="564" t="s">
        <v>2960</v>
      </c>
      <c r="D1272" s="535"/>
      <c r="E1272" s="572">
        <f>4338/1.1</f>
        <v>3943.6363636363635</v>
      </c>
      <c r="F1272" s="572"/>
      <c r="G1272" s="501">
        <v>1042</v>
      </c>
      <c r="H1272" s="556" t="s">
        <v>3170</v>
      </c>
      <c r="I1272" s="564" t="s">
        <v>2960</v>
      </c>
      <c r="J1272" s="535"/>
      <c r="K1272" s="572">
        <f>4338/1.1</f>
        <v>3943.6363636363635</v>
      </c>
      <c r="L1272" s="572"/>
      <c r="M1272" s="489" t="str">
        <f t="shared" si="55"/>
        <v>DDDDDDDĐ</v>
      </c>
    </row>
    <row r="1273" spans="1:13" ht="21.6" customHeight="1">
      <c r="A1273" s="501">
        <v>1043</v>
      </c>
      <c r="B1273" s="556" t="s">
        <v>3171</v>
      </c>
      <c r="C1273" s="564" t="s">
        <v>2960</v>
      </c>
      <c r="D1273" s="535"/>
      <c r="E1273" s="572">
        <f>6823/1.1</f>
        <v>6202.7272727272721</v>
      </c>
      <c r="F1273" s="572"/>
      <c r="G1273" s="501">
        <v>1043</v>
      </c>
      <c r="H1273" s="556" t="s">
        <v>3171</v>
      </c>
      <c r="I1273" s="564" t="s">
        <v>2960</v>
      </c>
      <c r="J1273" s="535"/>
      <c r="K1273" s="572">
        <f>6823/1.1</f>
        <v>6202.7272727272721</v>
      </c>
      <c r="L1273" s="572"/>
      <c r="M1273" s="489" t="str">
        <f t="shared" si="55"/>
        <v>DDDDDDDĐ</v>
      </c>
    </row>
    <row r="1274" spans="1:13" ht="21.6" customHeight="1">
      <c r="A1274" s="501">
        <v>1044</v>
      </c>
      <c r="B1274" s="556" t="s">
        <v>3172</v>
      </c>
      <c r="C1274" s="564" t="s">
        <v>2960</v>
      </c>
      <c r="D1274" s="535"/>
      <c r="E1274" s="572">
        <f>8960/1.1</f>
        <v>8145.454545454545</v>
      </c>
      <c r="F1274" s="572"/>
      <c r="G1274" s="501">
        <v>1044</v>
      </c>
      <c r="H1274" s="556" t="s">
        <v>3172</v>
      </c>
      <c r="I1274" s="564" t="s">
        <v>2960</v>
      </c>
      <c r="J1274" s="535"/>
      <c r="K1274" s="572">
        <f>8960/1.1</f>
        <v>8145.454545454545</v>
      </c>
      <c r="L1274" s="572"/>
      <c r="M1274" s="489" t="str">
        <f t="shared" si="55"/>
        <v>DDDDDDDĐ</v>
      </c>
    </row>
    <row r="1275" spans="1:13" ht="21.6" customHeight="1">
      <c r="A1275" s="501"/>
      <c r="B1275" s="569" t="s">
        <v>3173</v>
      </c>
      <c r="C1275" s="570"/>
      <c r="D1275" s="570"/>
      <c r="E1275" s="570"/>
      <c r="F1275" s="571"/>
      <c r="G1275" s="501"/>
      <c r="H1275" s="569" t="s">
        <v>3173</v>
      </c>
      <c r="I1275" s="570"/>
      <c r="J1275" s="570"/>
      <c r="K1275" s="570"/>
      <c r="L1275" s="571"/>
      <c r="M1275" s="489" t="str">
        <f t="shared" si="55"/>
        <v>DDDDDDDĐ</v>
      </c>
    </row>
    <row r="1276" spans="1:13" ht="21.6" customHeight="1">
      <c r="A1276" s="501">
        <v>1045</v>
      </c>
      <c r="B1276" s="556" t="s">
        <v>3174</v>
      </c>
      <c r="C1276" s="564" t="s">
        <v>2307</v>
      </c>
      <c r="D1276" s="572">
        <f>116643/1.1</f>
        <v>106039.0909090909</v>
      </c>
      <c r="E1276" s="572"/>
      <c r="F1276" s="571"/>
      <c r="G1276" s="501">
        <v>1045</v>
      </c>
      <c r="H1276" s="556" t="s">
        <v>3174</v>
      </c>
      <c r="I1276" s="564" t="s">
        <v>2307</v>
      </c>
      <c r="J1276" s="572">
        <f>116643/1.1</f>
        <v>106039.0909090909</v>
      </c>
      <c r="K1276" s="572"/>
      <c r="L1276" s="571"/>
      <c r="M1276" s="489" t="str">
        <f t="shared" si="55"/>
        <v>DDDDDDDĐ</v>
      </c>
    </row>
    <row r="1277" spans="1:13" ht="21.6" customHeight="1">
      <c r="A1277" s="501">
        <v>1046</v>
      </c>
      <c r="B1277" s="556" t="s">
        <v>3175</v>
      </c>
      <c r="C1277" s="564" t="s">
        <v>2307</v>
      </c>
      <c r="D1277" s="572">
        <f>103001/1.1</f>
        <v>93637.272727272721</v>
      </c>
      <c r="E1277" s="572"/>
      <c r="F1277" s="571"/>
      <c r="G1277" s="501">
        <v>1046</v>
      </c>
      <c r="H1277" s="556" t="s">
        <v>3175</v>
      </c>
      <c r="I1277" s="564" t="s">
        <v>2307</v>
      </c>
      <c r="J1277" s="572">
        <f>103001/1.1</f>
        <v>93637.272727272721</v>
      </c>
      <c r="K1277" s="572"/>
      <c r="L1277" s="571"/>
      <c r="M1277" s="489" t="str">
        <f t="shared" si="55"/>
        <v>DDDDDDDĐ</v>
      </c>
    </row>
    <row r="1278" spans="1:13" ht="21.6" customHeight="1">
      <c r="A1278" s="501">
        <v>1047</v>
      </c>
      <c r="B1278" s="556" t="s">
        <v>3176</v>
      </c>
      <c r="C1278" s="564" t="s">
        <v>2307</v>
      </c>
      <c r="D1278" s="572">
        <f>102501/1.1</f>
        <v>93182.727272727265</v>
      </c>
      <c r="E1278" s="572"/>
      <c r="F1278" s="571"/>
      <c r="G1278" s="501">
        <v>1047</v>
      </c>
      <c r="H1278" s="556" t="s">
        <v>3176</v>
      </c>
      <c r="I1278" s="564" t="s">
        <v>2307</v>
      </c>
      <c r="J1278" s="572">
        <f>102501/1.1</f>
        <v>93182.727272727265</v>
      </c>
      <c r="K1278" s="572"/>
      <c r="L1278" s="571"/>
      <c r="M1278" s="489" t="str">
        <f t="shared" si="55"/>
        <v>DDDDDDDĐ</v>
      </c>
    </row>
    <row r="1279" spans="1:13" ht="21.6" customHeight="1">
      <c r="A1279" s="501">
        <v>1048</v>
      </c>
      <c r="B1279" s="556" t="s">
        <v>3177</v>
      </c>
      <c r="C1279" s="564" t="s">
        <v>2307</v>
      </c>
      <c r="D1279" s="572">
        <f>102115/1.1</f>
        <v>92831.818181818177</v>
      </c>
      <c r="E1279" s="572"/>
      <c r="F1279" s="571"/>
      <c r="G1279" s="501">
        <v>1048</v>
      </c>
      <c r="H1279" s="556" t="s">
        <v>3177</v>
      </c>
      <c r="I1279" s="564" t="s">
        <v>2307</v>
      </c>
      <c r="J1279" s="572">
        <f>102115/1.1</f>
        <v>92831.818181818177</v>
      </c>
      <c r="K1279" s="572"/>
      <c r="L1279" s="571"/>
      <c r="M1279" s="489" t="str">
        <f t="shared" si="55"/>
        <v>DDDDDDDĐ</v>
      </c>
    </row>
    <row r="1280" spans="1:13" ht="21.6" customHeight="1">
      <c r="A1280" s="501">
        <v>1049</v>
      </c>
      <c r="B1280" s="556" t="s">
        <v>3178</v>
      </c>
      <c r="C1280" s="564" t="s">
        <v>2307</v>
      </c>
      <c r="D1280" s="572">
        <f>102860/1.1</f>
        <v>93509.090909090897</v>
      </c>
      <c r="E1280" s="572"/>
      <c r="F1280" s="571"/>
      <c r="G1280" s="501">
        <v>1049</v>
      </c>
      <c r="H1280" s="556" t="s">
        <v>3178</v>
      </c>
      <c r="I1280" s="564" t="s">
        <v>2307</v>
      </c>
      <c r="J1280" s="572">
        <f>102860/1.1</f>
        <v>93509.090909090897</v>
      </c>
      <c r="K1280" s="572"/>
      <c r="L1280" s="571"/>
      <c r="M1280" s="489" t="str">
        <f t="shared" si="55"/>
        <v>DDDDDDDĐ</v>
      </c>
    </row>
    <row r="1281" spans="1:13" ht="21.6" customHeight="1">
      <c r="A1281" s="501">
        <v>1050</v>
      </c>
      <c r="B1281" s="556" t="s">
        <v>3179</v>
      </c>
      <c r="C1281" s="564" t="s">
        <v>2307</v>
      </c>
      <c r="D1281" s="572">
        <f>86631/1.1</f>
        <v>78755.454545454544</v>
      </c>
      <c r="E1281" s="572"/>
      <c r="F1281" s="571"/>
      <c r="G1281" s="501">
        <v>1050</v>
      </c>
      <c r="H1281" s="556" t="s">
        <v>3179</v>
      </c>
      <c r="I1281" s="564" t="s">
        <v>2307</v>
      </c>
      <c r="J1281" s="572">
        <f>86631/1.1</f>
        <v>78755.454545454544</v>
      </c>
      <c r="K1281" s="572"/>
      <c r="L1281" s="571"/>
      <c r="M1281" s="489" t="str">
        <f t="shared" si="55"/>
        <v>DDDDDDDĐ</v>
      </c>
    </row>
    <row r="1282" spans="1:13" ht="21.6" customHeight="1">
      <c r="A1282" s="501">
        <v>1051</v>
      </c>
      <c r="B1282" s="556" t="s">
        <v>3504</v>
      </c>
      <c r="C1282" s="564" t="s">
        <v>2307</v>
      </c>
      <c r="D1282" s="572">
        <f>86286/1.1</f>
        <v>78441.818181818177</v>
      </c>
      <c r="E1282" s="572"/>
      <c r="F1282" s="571"/>
      <c r="G1282" s="501">
        <v>1051</v>
      </c>
      <c r="H1282" s="556" t="s">
        <v>3504</v>
      </c>
      <c r="I1282" s="564" t="s">
        <v>2307</v>
      </c>
      <c r="J1282" s="572">
        <f>86286/1.1</f>
        <v>78441.818181818177</v>
      </c>
      <c r="K1282" s="572"/>
      <c r="L1282" s="571"/>
      <c r="M1282" s="489" t="str">
        <f t="shared" si="55"/>
        <v>DDDDDDDĐ</v>
      </c>
    </row>
    <row r="1283" spans="1:13" ht="21.6" customHeight="1">
      <c r="A1283" s="501">
        <v>1052</v>
      </c>
      <c r="B1283" s="556" t="s">
        <v>3505</v>
      </c>
      <c r="C1283" s="564" t="s">
        <v>2307</v>
      </c>
      <c r="D1283" s="572">
        <f>86205/1.1</f>
        <v>78368.181818181809</v>
      </c>
      <c r="E1283" s="572"/>
      <c r="F1283" s="571"/>
      <c r="G1283" s="501">
        <v>1052</v>
      </c>
      <c r="H1283" s="556" t="s">
        <v>3505</v>
      </c>
      <c r="I1283" s="564" t="s">
        <v>2307</v>
      </c>
      <c r="J1283" s="572">
        <f>86205/1.1</f>
        <v>78368.181818181809</v>
      </c>
      <c r="K1283" s="572"/>
      <c r="L1283" s="571"/>
      <c r="M1283" s="489" t="str">
        <f t="shared" si="55"/>
        <v>DDDDDDDĐ</v>
      </c>
    </row>
    <row r="1284" spans="1:13" ht="21.6" customHeight="1">
      <c r="A1284" s="501">
        <v>1053</v>
      </c>
      <c r="B1284" s="995" t="s">
        <v>3180</v>
      </c>
      <c r="C1284" s="564" t="s">
        <v>2307</v>
      </c>
      <c r="D1284" s="572">
        <f>89794/1.1</f>
        <v>81630.909090909088</v>
      </c>
      <c r="E1284" s="572"/>
      <c r="F1284" s="571"/>
      <c r="G1284" s="501">
        <v>1053</v>
      </c>
      <c r="H1284" s="995" t="s">
        <v>3180</v>
      </c>
      <c r="I1284" s="564" t="s">
        <v>2307</v>
      </c>
      <c r="J1284" s="572">
        <f>89794/1.1</f>
        <v>81630.909090909088</v>
      </c>
      <c r="K1284" s="572"/>
      <c r="L1284" s="571"/>
      <c r="M1284" s="489" t="str">
        <f t="shared" si="55"/>
        <v>DDDDDDDĐ</v>
      </c>
    </row>
    <row r="1285" spans="1:13" ht="21.6" customHeight="1">
      <c r="A1285" s="501">
        <v>1054</v>
      </c>
      <c r="B1285" s="995" t="s">
        <v>3181</v>
      </c>
      <c r="C1285" s="564" t="s">
        <v>2307</v>
      </c>
      <c r="D1285" s="572">
        <f>85320/1.1</f>
        <v>77563.636363636353</v>
      </c>
      <c r="E1285" s="572"/>
      <c r="F1285" s="571"/>
      <c r="G1285" s="501">
        <v>1054</v>
      </c>
      <c r="H1285" s="995" t="s">
        <v>3181</v>
      </c>
      <c r="I1285" s="564" t="s">
        <v>2307</v>
      </c>
      <c r="J1285" s="572">
        <f>85320/1.1</f>
        <v>77563.636363636353</v>
      </c>
      <c r="K1285" s="572"/>
      <c r="L1285" s="571"/>
      <c r="M1285" s="489" t="str">
        <f t="shared" si="55"/>
        <v>DDDDDDDĐ</v>
      </c>
    </row>
    <row r="1286" spans="1:13" ht="34.5" customHeight="1">
      <c r="A1286" s="501">
        <v>1055</v>
      </c>
      <c r="B1286" s="995" t="s">
        <v>3182</v>
      </c>
      <c r="C1286" s="564" t="s">
        <v>2307</v>
      </c>
      <c r="D1286" s="572">
        <f>90489/1.1</f>
        <v>82262.727272727265</v>
      </c>
      <c r="E1286" s="572"/>
      <c r="F1286" s="571"/>
      <c r="G1286" s="501">
        <v>1055</v>
      </c>
      <c r="H1286" s="995" t="s">
        <v>3182</v>
      </c>
      <c r="I1286" s="564" t="s">
        <v>2307</v>
      </c>
      <c r="J1286" s="572">
        <f>90489/1.1</f>
        <v>82262.727272727265</v>
      </c>
      <c r="K1286" s="572"/>
      <c r="L1286" s="571"/>
      <c r="M1286" s="489" t="str">
        <f t="shared" si="55"/>
        <v>DDDDDDDĐ</v>
      </c>
    </row>
    <row r="1287" spans="1:13" ht="21.6" customHeight="1">
      <c r="A1287" s="501">
        <v>1056</v>
      </c>
      <c r="B1287" s="556" t="s">
        <v>3183</v>
      </c>
      <c r="C1287" s="564" t="s">
        <v>2960</v>
      </c>
      <c r="D1287" s="572">
        <f>21251/1.1</f>
        <v>19319.090909090908</v>
      </c>
      <c r="E1287" s="572"/>
      <c r="F1287" s="571"/>
      <c r="G1287" s="501">
        <v>1056</v>
      </c>
      <c r="H1287" s="556" t="s">
        <v>3183</v>
      </c>
      <c r="I1287" s="564" t="s">
        <v>2960</v>
      </c>
      <c r="J1287" s="572">
        <f>21251/1.1</f>
        <v>19319.090909090908</v>
      </c>
      <c r="K1287" s="572"/>
      <c r="L1287" s="571"/>
      <c r="M1287" s="489" t="str">
        <f t="shared" si="55"/>
        <v>DDDDDDDĐ</v>
      </c>
    </row>
    <row r="1288" spans="1:13" ht="21.6" customHeight="1">
      <c r="A1288" s="501">
        <v>1057</v>
      </c>
      <c r="B1288" s="556" t="s">
        <v>3184</v>
      </c>
      <c r="C1288" s="564" t="s">
        <v>2960</v>
      </c>
      <c r="D1288" s="572">
        <f>29377/1.1</f>
        <v>26706.363636363632</v>
      </c>
      <c r="E1288" s="572"/>
      <c r="F1288" s="571"/>
      <c r="G1288" s="501">
        <v>1057</v>
      </c>
      <c r="H1288" s="556" t="s">
        <v>3184</v>
      </c>
      <c r="I1288" s="564" t="s">
        <v>2960</v>
      </c>
      <c r="J1288" s="572">
        <f>29377/1.1</f>
        <v>26706.363636363632</v>
      </c>
      <c r="K1288" s="572"/>
      <c r="L1288" s="571"/>
      <c r="M1288" s="489" t="str">
        <f t="shared" si="55"/>
        <v>DDDDDDDĐ</v>
      </c>
    </row>
    <row r="1289" spans="1:13" ht="21.6" customHeight="1">
      <c r="A1289" s="501">
        <v>1058</v>
      </c>
      <c r="B1289" s="556" t="s">
        <v>3185</v>
      </c>
      <c r="C1289" s="564" t="s">
        <v>2960</v>
      </c>
      <c r="D1289" s="572">
        <f>40437/1.1</f>
        <v>36760.909090909088</v>
      </c>
      <c r="E1289" s="572"/>
      <c r="F1289" s="571"/>
      <c r="G1289" s="501">
        <v>1058</v>
      </c>
      <c r="H1289" s="556" t="s">
        <v>3185</v>
      </c>
      <c r="I1289" s="564" t="s">
        <v>2960</v>
      </c>
      <c r="J1289" s="572">
        <f>40437/1.1</f>
        <v>36760.909090909088</v>
      </c>
      <c r="K1289" s="572"/>
      <c r="L1289" s="571"/>
      <c r="M1289" s="489" t="str">
        <f t="shared" si="55"/>
        <v>DDDDDDDĐ</v>
      </c>
    </row>
    <row r="1290" spans="1:13" ht="21.6" customHeight="1">
      <c r="A1290" s="501">
        <v>1059</v>
      </c>
      <c r="B1290" s="996" t="s">
        <v>3186</v>
      </c>
      <c r="C1290" s="564" t="s">
        <v>2960</v>
      </c>
      <c r="D1290" s="572">
        <f>49410/1.1</f>
        <v>44918.181818181816</v>
      </c>
      <c r="E1290" s="572"/>
      <c r="F1290" s="571"/>
      <c r="G1290" s="501">
        <v>1059</v>
      </c>
      <c r="H1290" s="996" t="s">
        <v>3186</v>
      </c>
      <c r="I1290" s="564" t="s">
        <v>2960</v>
      </c>
      <c r="J1290" s="572">
        <f>49410/1.1</f>
        <v>44918.181818181816</v>
      </c>
      <c r="K1290" s="572"/>
      <c r="L1290" s="571"/>
      <c r="M1290" s="489" t="str">
        <f t="shared" si="55"/>
        <v>DDDDDDDĐ</v>
      </c>
    </row>
    <row r="1291" spans="1:13" ht="21.6" customHeight="1">
      <c r="A1291" s="501">
        <v>1060</v>
      </c>
      <c r="B1291" s="556" t="s">
        <v>3187</v>
      </c>
      <c r="C1291" s="564" t="s">
        <v>2960</v>
      </c>
      <c r="D1291" s="572">
        <f>17978/1.1</f>
        <v>16343.636363636362</v>
      </c>
      <c r="E1291" s="572"/>
      <c r="F1291" s="571"/>
      <c r="G1291" s="501">
        <v>1060</v>
      </c>
      <c r="H1291" s="556" t="s">
        <v>3187</v>
      </c>
      <c r="I1291" s="564" t="s">
        <v>2960</v>
      </c>
      <c r="J1291" s="572">
        <f>17978/1.1</f>
        <v>16343.636363636362</v>
      </c>
      <c r="K1291" s="572"/>
      <c r="L1291" s="571"/>
      <c r="M1291" s="489" t="str">
        <f t="shared" si="55"/>
        <v>DDDDDDDĐ</v>
      </c>
    </row>
    <row r="1292" spans="1:13" ht="21.6" customHeight="1">
      <c r="A1292" s="501">
        <v>1061</v>
      </c>
      <c r="B1292" s="556" t="s">
        <v>3188</v>
      </c>
      <c r="C1292" s="564" t="s">
        <v>2960</v>
      </c>
      <c r="D1292" s="572">
        <f>24396/1.1</f>
        <v>22178.181818181816</v>
      </c>
      <c r="E1292" s="572"/>
      <c r="F1292" s="571"/>
      <c r="G1292" s="501">
        <v>1061</v>
      </c>
      <c r="H1292" s="556" t="s">
        <v>3188</v>
      </c>
      <c r="I1292" s="564" t="s">
        <v>2960</v>
      </c>
      <c r="J1292" s="572">
        <f>24396/1.1</f>
        <v>22178.181818181816</v>
      </c>
      <c r="K1292" s="572"/>
      <c r="L1292" s="571"/>
      <c r="M1292" s="489" t="str">
        <f t="shared" si="55"/>
        <v>DDDDDDDĐ</v>
      </c>
    </row>
    <row r="1293" spans="1:13" ht="21.6" customHeight="1">
      <c r="A1293" s="501">
        <v>1062</v>
      </c>
      <c r="B1293" s="556" t="s">
        <v>3189</v>
      </c>
      <c r="C1293" s="564" t="s">
        <v>2960</v>
      </c>
      <c r="D1293" s="572">
        <f>32388/1.1</f>
        <v>29443.63636363636</v>
      </c>
      <c r="E1293" s="572"/>
      <c r="F1293" s="571"/>
      <c r="G1293" s="501">
        <v>1062</v>
      </c>
      <c r="H1293" s="556" t="s">
        <v>3189</v>
      </c>
      <c r="I1293" s="564" t="s">
        <v>2960</v>
      </c>
      <c r="J1293" s="572">
        <f>32388/1.1</f>
        <v>29443.63636363636</v>
      </c>
      <c r="K1293" s="572"/>
      <c r="L1293" s="571"/>
      <c r="M1293" s="489" t="str">
        <f t="shared" si="55"/>
        <v>DDDDDDDĐ</v>
      </c>
    </row>
    <row r="1294" spans="1:13" ht="21.6" customHeight="1">
      <c r="A1294" s="501">
        <v>1063</v>
      </c>
      <c r="B1294" s="556" t="s">
        <v>3190</v>
      </c>
      <c r="C1294" s="564" t="s">
        <v>2960</v>
      </c>
      <c r="D1294" s="572">
        <f>39875/1.1</f>
        <v>36250</v>
      </c>
      <c r="E1294" s="572"/>
      <c r="F1294" s="571"/>
      <c r="G1294" s="501">
        <v>1063</v>
      </c>
      <c r="H1294" s="556" t="s">
        <v>3190</v>
      </c>
      <c r="I1294" s="564" t="s">
        <v>2960</v>
      </c>
      <c r="J1294" s="572">
        <f>39875/1.1</f>
        <v>36250</v>
      </c>
      <c r="K1294" s="572"/>
      <c r="L1294" s="571"/>
      <c r="M1294" s="489" t="str">
        <f t="shared" si="55"/>
        <v>DDDDDDDĐ</v>
      </c>
    </row>
    <row r="1295" spans="1:13" ht="21.6" customHeight="1">
      <c r="A1295" s="501">
        <v>1064</v>
      </c>
      <c r="B1295" s="995" t="s">
        <v>3191</v>
      </c>
      <c r="C1295" s="564" t="s">
        <v>2960</v>
      </c>
      <c r="D1295" s="572">
        <f>13292/1.1</f>
        <v>12083.636363636362</v>
      </c>
      <c r="E1295" s="572"/>
      <c r="F1295" s="571"/>
      <c r="G1295" s="501">
        <v>1064</v>
      </c>
      <c r="H1295" s="995" t="s">
        <v>3191</v>
      </c>
      <c r="I1295" s="564" t="s">
        <v>2960</v>
      </c>
      <c r="J1295" s="572">
        <f>13292/1.1</f>
        <v>12083.636363636362</v>
      </c>
      <c r="K1295" s="572"/>
      <c r="L1295" s="571"/>
      <c r="M1295" s="489" t="str">
        <f t="shared" si="55"/>
        <v>DDDDDDDĐ</v>
      </c>
    </row>
    <row r="1296" spans="1:13" ht="21.6" customHeight="1">
      <c r="A1296" s="501">
        <v>1065</v>
      </c>
      <c r="B1296" s="995" t="s">
        <v>3506</v>
      </c>
      <c r="C1296" s="564" t="s">
        <v>2960</v>
      </c>
      <c r="D1296" s="572">
        <f>22446/1.1</f>
        <v>20405.454545454544</v>
      </c>
      <c r="E1296" s="572"/>
      <c r="F1296" s="571"/>
      <c r="G1296" s="501">
        <v>1065</v>
      </c>
      <c r="H1296" s="995" t="s">
        <v>3506</v>
      </c>
      <c r="I1296" s="564" t="s">
        <v>2960</v>
      </c>
      <c r="J1296" s="572">
        <f>22446/1.1</f>
        <v>20405.454545454544</v>
      </c>
      <c r="K1296" s="572"/>
      <c r="L1296" s="571"/>
      <c r="M1296" s="489" t="str">
        <f t="shared" si="55"/>
        <v>DDDDDDDĐ</v>
      </c>
    </row>
    <row r="1297" spans="1:13" ht="21.6" customHeight="1">
      <c r="A1297" s="501">
        <v>1066</v>
      </c>
      <c r="B1297" s="556" t="s">
        <v>5125</v>
      </c>
      <c r="C1297" s="564" t="s">
        <v>2960</v>
      </c>
      <c r="D1297" s="572">
        <f>21883/1.1</f>
        <v>19893.63636363636</v>
      </c>
      <c r="E1297" s="572"/>
      <c r="F1297" s="571"/>
      <c r="G1297" s="501">
        <v>1066</v>
      </c>
      <c r="H1297" s="556" t="s">
        <v>5125</v>
      </c>
      <c r="I1297" s="564" t="s">
        <v>2960</v>
      </c>
      <c r="J1297" s="572">
        <f>21883/1.1</f>
        <v>19893.63636363636</v>
      </c>
      <c r="K1297" s="572"/>
      <c r="L1297" s="571"/>
      <c r="M1297" s="489" t="str">
        <f t="shared" si="55"/>
        <v>DDDDDDDĐ</v>
      </c>
    </row>
    <row r="1298" spans="1:13" ht="21.6" customHeight="1">
      <c r="A1298" s="501">
        <v>1067</v>
      </c>
      <c r="B1298" s="556" t="s">
        <v>5126</v>
      </c>
      <c r="C1298" s="564" t="s">
        <v>2960</v>
      </c>
      <c r="D1298" s="572">
        <f>27799/1.1</f>
        <v>25271.81818181818</v>
      </c>
      <c r="E1298" s="572"/>
      <c r="F1298" s="571"/>
      <c r="G1298" s="501">
        <v>1067</v>
      </c>
      <c r="H1298" s="556" t="s">
        <v>5126</v>
      </c>
      <c r="I1298" s="564" t="s">
        <v>2960</v>
      </c>
      <c r="J1298" s="572">
        <f>27799/1.1</f>
        <v>25271.81818181818</v>
      </c>
      <c r="K1298" s="572"/>
      <c r="L1298" s="571"/>
      <c r="M1298" s="489" t="str">
        <f t="shared" si="55"/>
        <v>DDDDDDDĐ</v>
      </c>
    </row>
    <row r="1299" spans="1:13" ht="21.6" customHeight="1">
      <c r="A1299" s="501">
        <v>1068</v>
      </c>
      <c r="B1299" s="556" t="s">
        <v>5127</v>
      </c>
      <c r="C1299" s="564" t="s">
        <v>2960</v>
      </c>
      <c r="D1299" s="572">
        <f>28076/1.1</f>
        <v>25523.63636363636</v>
      </c>
      <c r="E1299" s="572"/>
      <c r="F1299" s="571"/>
      <c r="G1299" s="501">
        <v>1068</v>
      </c>
      <c r="H1299" s="556" t="s">
        <v>5127</v>
      </c>
      <c r="I1299" s="564" t="s">
        <v>2960</v>
      </c>
      <c r="J1299" s="572">
        <f>28076/1.1</f>
        <v>25523.63636363636</v>
      </c>
      <c r="K1299" s="572"/>
      <c r="L1299" s="571"/>
      <c r="M1299" s="489" t="str">
        <f t="shared" si="55"/>
        <v>DDDDDDDĐ</v>
      </c>
    </row>
    <row r="1300" spans="1:13" ht="21.6" customHeight="1">
      <c r="A1300" s="501">
        <v>1069</v>
      </c>
      <c r="B1300" s="556" t="s">
        <v>3192</v>
      </c>
      <c r="C1300" s="564" t="s">
        <v>2960</v>
      </c>
      <c r="D1300" s="572">
        <f>50262/1.1</f>
        <v>45692.727272727272</v>
      </c>
      <c r="E1300" s="572"/>
      <c r="F1300" s="571"/>
      <c r="G1300" s="501">
        <v>1069</v>
      </c>
      <c r="H1300" s="556" t="s">
        <v>3192</v>
      </c>
      <c r="I1300" s="564" t="s">
        <v>2960</v>
      </c>
      <c r="J1300" s="572">
        <f>50262/1.1</f>
        <v>45692.727272727272</v>
      </c>
      <c r="K1300" s="572"/>
      <c r="L1300" s="571"/>
      <c r="M1300" s="489" t="str">
        <f t="shared" si="55"/>
        <v>DDDDDDDĐ</v>
      </c>
    </row>
    <row r="1301" spans="1:13" ht="21.6" customHeight="1">
      <c r="A1301" s="501">
        <v>1070</v>
      </c>
      <c r="B1301" s="556" t="s">
        <v>5128</v>
      </c>
      <c r="C1301" s="564" t="s">
        <v>2960</v>
      </c>
      <c r="D1301" s="572">
        <f>67676/1.1</f>
        <v>61523.63636363636</v>
      </c>
      <c r="E1301" s="572"/>
      <c r="F1301" s="571"/>
      <c r="G1301" s="501">
        <v>1070</v>
      </c>
      <c r="H1301" s="556" t="s">
        <v>5128</v>
      </c>
      <c r="I1301" s="564" t="s">
        <v>2960</v>
      </c>
      <c r="J1301" s="572">
        <f>67676/1.1</f>
        <v>61523.63636363636</v>
      </c>
      <c r="K1301" s="572"/>
      <c r="L1301" s="571"/>
      <c r="M1301" s="489" t="str">
        <f t="shared" si="55"/>
        <v>DDDDDDDĐ</v>
      </c>
    </row>
    <row r="1302" spans="1:13" ht="21.6" customHeight="1">
      <c r="A1302" s="501">
        <v>1071</v>
      </c>
      <c r="B1302" s="556" t="s">
        <v>5129</v>
      </c>
      <c r="C1302" s="564" t="s">
        <v>2960</v>
      </c>
      <c r="D1302" s="572">
        <f>82952/1.1</f>
        <v>75410.909090909088</v>
      </c>
      <c r="E1302" s="572"/>
      <c r="F1302" s="571"/>
      <c r="G1302" s="501">
        <v>1071</v>
      </c>
      <c r="H1302" s="556" t="s">
        <v>5129</v>
      </c>
      <c r="I1302" s="564" t="s">
        <v>2960</v>
      </c>
      <c r="J1302" s="572">
        <f>82952/1.1</f>
        <v>75410.909090909088</v>
      </c>
      <c r="K1302" s="572"/>
      <c r="L1302" s="571"/>
      <c r="M1302" s="489" t="str">
        <f t="shared" si="55"/>
        <v>DDDDDDDĐ</v>
      </c>
    </row>
    <row r="1303" spans="1:13" ht="21" customHeight="1">
      <c r="A1303" s="501">
        <v>1072</v>
      </c>
      <c r="B1303" s="556" t="s">
        <v>5130</v>
      </c>
      <c r="C1303" s="564" t="s">
        <v>2960</v>
      </c>
      <c r="D1303" s="572">
        <f>76076/1.1</f>
        <v>69160</v>
      </c>
      <c r="E1303" s="572"/>
      <c r="F1303" s="571"/>
      <c r="G1303" s="501">
        <v>1072</v>
      </c>
      <c r="H1303" s="556" t="s">
        <v>5130</v>
      </c>
      <c r="I1303" s="564" t="s">
        <v>2960</v>
      </c>
      <c r="J1303" s="572">
        <f>76076/1.1</f>
        <v>69160</v>
      </c>
      <c r="K1303" s="572"/>
      <c r="L1303" s="571"/>
      <c r="M1303" s="489" t="str">
        <f t="shared" si="55"/>
        <v>DDDDDDDĐ</v>
      </c>
    </row>
    <row r="1304" spans="1:13" ht="21" customHeight="1">
      <c r="A1304" s="501">
        <v>1073</v>
      </c>
      <c r="B1304" s="556" t="s">
        <v>5131</v>
      </c>
      <c r="C1304" s="564" t="s">
        <v>2960</v>
      </c>
      <c r="D1304" s="572">
        <f>135698/1.1</f>
        <v>123361.81818181818</v>
      </c>
      <c r="E1304" s="572"/>
      <c r="F1304" s="571"/>
      <c r="G1304" s="501">
        <v>1073</v>
      </c>
      <c r="H1304" s="556" t="s">
        <v>5131</v>
      </c>
      <c r="I1304" s="564" t="s">
        <v>2960</v>
      </c>
      <c r="J1304" s="572">
        <f>135698/1.1</f>
        <v>123361.81818181818</v>
      </c>
      <c r="K1304" s="572"/>
      <c r="L1304" s="571"/>
      <c r="M1304" s="489" t="str">
        <f t="shared" si="55"/>
        <v>DDDDDDDĐ</v>
      </c>
    </row>
    <row r="1305" spans="1:13" ht="21" customHeight="1">
      <c r="A1305" s="501"/>
      <c r="B1305" s="1138" t="s">
        <v>3878</v>
      </c>
      <c r="C1305" s="535"/>
      <c r="D1305" s="535"/>
      <c r="E1305" s="1139"/>
      <c r="F1305" s="571"/>
      <c r="G1305" s="501"/>
      <c r="H1305" s="1138" t="s">
        <v>3878</v>
      </c>
      <c r="I1305" s="535"/>
      <c r="J1305" s="535"/>
      <c r="K1305" s="1139"/>
      <c r="L1305" s="571"/>
      <c r="M1305" s="489" t="str">
        <f t="shared" si="55"/>
        <v>DDDDDDDĐ</v>
      </c>
    </row>
    <row r="1306" spans="1:13" ht="21" customHeight="1">
      <c r="A1306" s="501">
        <v>1074</v>
      </c>
      <c r="B1306" s="1140" t="s">
        <v>3879</v>
      </c>
      <c r="C1306" s="575" t="s">
        <v>2530</v>
      </c>
      <c r="D1306" s="570"/>
      <c r="E1306" s="572">
        <f>128000</f>
        <v>128000</v>
      </c>
      <c r="F1306" s="571"/>
      <c r="G1306" s="501">
        <v>1074</v>
      </c>
      <c r="H1306" s="1140" t="s">
        <v>3879</v>
      </c>
      <c r="I1306" s="575" t="s">
        <v>2530</v>
      </c>
      <c r="J1306" s="570"/>
      <c r="K1306" s="572">
        <f>128000</f>
        <v>128000</v>
      </c>
      <c r="L1306" s="571"/>
      <c r="M1306" s="489" t="str">
        <f t="shared" si="55"/>
        <v>DDDDDDDĐ</v>
      </c>
    </row>
    <row r="1307" spans="1:13" ht="21" customHeight="1">
      <c r="A1307" s="501">
        <v>1075</v>
      </c>
      <c r="B1307" s="1140" t="s">
        <v>3880</v>
      </c>
      <c r="C1307" s="575" t="s">
        <v>2530</v>
      </c>
      <c r="D1307" s="570"/>
      <c r="E1307" s="572">
        <f>174000</f>
        <v>174000</v>
      </c>
      <c r="F1307" s="571"/>
      <c r="G1307" s="501">
        <v>1075</v>
      </c>
      <c r="H1307" s="1140" t="s">
        <v>3880</v>
      </c>
      <c r="I1307" s="575" t="s">
        <v>2530</v>
      </c>
      <c r="J1307" s="570"/>
      <c r="K1307" s="572">
        <f>174000</f>
        <v>174000</v>
      </c>
      <c r="L1307" s="571"/>
      <c r="M1307" s="489" t="str">
        <f t="shared" si="55"/>
        <v>DDDDDDDĐ</v>
      </c>
    </row>
    <row r="1308" spans="1:13" ht="21" customHeight="1">
      <c r="A1308" s="501">
        <v>1076</v>
      </c>
      <c r="B1308" s="576" t="s">
        <v>3881</v>
      </c>
      <c r="C1308" s="575" t="s">
        <v>2530</v>
      </c>
      <c r="D1308" s="570"/>
      <c r="E1308" s="572">
        <f>136500</f>
        <v>136500</v>
      </c>
      <c r="F1308" s="571"/>
      <c r="G1308" s="501">
        <v>1076</v>
      </c>
      <c r="H1308" s="576" t="s">
        <v>3881</v>
      </c>
      <c r="I1308" s="575" t="s">
        <v>2530</v>
      </c>
      <c r="J1308" s="570"/>
      <c r="K1308" s="572">
        <f>136500</f>
        <v>136500</v>
      </c>
      <c r="L1308" s="571"/>
      <c r="M1308" s="489" t="str">
        <f t="shared" si="55"/>
        <v>DDDDDDDĐ</v>
      </c>
    </row>
    <row r="1309" spans="1:13" ht="22.5" customHeight="1">
      <c r="A1309" s="501">
        <v>1077</v>
      </c>
      <c r="B1309" s="576" t="s">
        <v>3882</v>
      </c>
      <c r="C1309" s="575" t="s">
        <v>2530</v>
      </c>
      <c r="D1309" s="570"/>
      <c r="E1309" s="572">
        <f>195000</f>
        <v>195000</v>
      </c>
      <c r="F1309" s="571"/>
      <c r="G1309" s="501">
        <v>1077</v>
      </c>
      <c r="H1309" s="576" t="s">
        <v>3882</v>
      </c>
      <c r="I1309" s="575" t="s">
        <v>2530</v>
      </c>
      <c r="J1309" s="570"/>
      <c r="K1309" s="572">
        <f>195000</f>
        <v>195000</v>
      </c>
      <c r="L1309" s="571"/>
      <c r="M1309" s="489" t="str">
        <f t="shared" si="55"/>
        <v>DDDDDDDĐ</v>
      </c>
    </row>
    <row r="1310" spans="1:13" ht="19.5" customHeight="1">
      <c r="A1310" s="501"/>
      <c r="B1310" s="577" t="s">
        <v>3193</v>
      </c>
      <c r="C1310" s="570"/>
      <c r="D1310" s="570"/>
      <c r="E1310" s="572"/>
      <c r="F1310" s="571"/>
      <c r="G1310" s="501"/>
      <c r="H1310" s="577" t="s">
        <v>3193</v>
      </c>
      <c r="I1310" s="570"/>
      <c r="J1310" s="570"/>
      <c r="K1310" s="572"/>
      <c r="L1310" s="571"/>
      <c r="M1310" s="489" t="str">
        <f t="shared" si="55"/>
        <v>DDDDDDDĐ</v>
      </c>
    </row>
    <row r="1311" spans="1:13" ht="39" customHeight="1">
      <c r="A1311" s="501">
        <v>1078</v>
      </c>
      <c r="B1311" s="576" t="s">
        <v>3194</v>
      </c>
      <c r="C1311" s="575" t="s">
        <v>2530</v>
      </c>
      <c r="D1311" s="570"/>
      <c r="E1311" s="572">
        <f>74000</f>
        <v>74000</v>
      </c>
      <c r="F1311" s="571"/>
      <c r="G1311" s="501">
        <v>1078</v>
      </c>
      <c r="H1311" s="576" t="s">
        <v>3194</v>
      </c>
      <c r="I1311" s="575" t="s">
        <v>2530</v>
      </c>
      <c r="J1311" s="570"/>
      <c r="K1311" s="572">
        <f>74000</f>
        <v>74000</v>
      </c>
      <c r="L1311" s="571"/>
      <c r="M1311" s="489" t="str">
        <f t="shared" si="55"/>
        <v>DDDDDDDĐ</v>
      </c>
    </row>
    <row r="1312" spans="1:13" ht="19.5" customHeight="1">
      <c r="A1312" s="501">
        <v>1079</v>
      </c>
      <c r="B1312" s="576" t="s">
        <v>3195</v>
      </c>
      <c r="C1312" s="575" t="s">
        <v>2530</v>
      </c>
      <c r="D1312" s="570"/>
      <c r="E1312" s="572">
        <f>81000</f>
        <v>81000</v>
      </c>
      <c r="F1312" s="571"/>
      <c r="G1312" s="501">
        <v>1079</v>
      </c>
      <c r="H1312" s="576" t="s">
        <v>3195</v>
      </c>
      <c r="I1312" s="575" t="s">
        <v>2530</v>
      </c>
      <c r="J1312" s="570"/>
      <c r="K1312" s="572">
        <f>81000</f>
        <v>81000</v>
      </c>
      <c r="L1312" s="571"/>
      <c r="M1312" s="489" t="str">
        <f t="shared" ref="M1312:M1375" si="56">IF(B1312=H1312,"DDDDDDDĐ","SSSSSSSSSSSS")</f>
        <v>DDDDDDDĐ</v>
      </c>
    </row>
    <row r="1313" spans="1:13" ht="19.5" customHeight="1">
      <c r="A1313" s="501">
        <v>1080</v>
      </c>
      <c r="B1313" s="578" t="s">
        <v>3196</v>
      </c>
      <c r="C1313" s="575" t="s">
        <v>2530</v>
      </c>
      <c r="D1313" s="570"/>
      <c r="E1313" s="572">
        <f>115000</f>
        <v>115000</v>
      </c>
      <c r="F1313" s="571"/>
      <c r="G1313" s="501">
        <v>1080</v>
      </c>
      <c r="H1313" s="578" t="s">
        <v>3196</v>
      </c>
      <c r="I1313" s="575" t="s">
        <v>2530</v>
      </c>
      <c r="J1313" s="570"/>
      <c r="K1313" s="572">
        <f>115000</f>
        <v>115000</v>
      </c>
      <c r="L1313" s="571"/>
      <c r="M1313" s="489" t="str">
        <f t="shared" si="56"/>
        <v>DDDDDDDĐ</v>
      </c>
    </row>
    <row r="1314" spans="1:13" ht="19.5" customHeight="1">
      <c r="A1314" s="501">
        <v>1081</v>
      </c>
      <c r="B1314" s="579" t="s">
        <v>3197</v>
      </c>
      <c r="C1314" s="575" t="s">
        <v>2530</v>
      </c>
      <c r="D1314" s="570"/>
      <c r="E1314" s="580">
        <f>78000</f>
        <v>78000</v>
      </c>
      <c r="F1314" s="571"/>
      <c r="G1314" s="501">
        <v>1081</v>
      </c>
      <c r="H1314" s="579" t="s">
        <v>3197</v>
      </c>
      <c r="I1314" s="575" t="s">
        <v>2530</v>
      </c>
      <c r="J1314" s="570"/>
      <c r="K1314" s="580">
        <f>78000</f>
        <v>78000</v>
      </c>
      <c r="L1314" s="571"/>
      <c r="M1314" s="489" t="str">
        <f t="shared" si="56"/>
        <v>DDDDDDDĐ</v>
      </c>
    </row>
    <row r="1315" spans="1:13" ht="19.5" customHeight="1">
      <c r="A1315" s="501">
        <v>1082</v>
      </c>
      <c r="B1315" s="579" t="s">
        <v>3198</v>
      </c>
      <c r="C1315" s="575" t="s">
        <v>2530</v>
      </c>
      <c r="D1315" s="570"/>
      <c r="E1315" s="572">
        <f>85000</f>
        <v>85000</v>
      </c>
      <c r="F1315" s="571"/>
      <c r="G1315" s="501">
        <v>1082</v>
      </c>
      <c r="H1315" s="579" t="s">
        <v>3198</v>
      </c>
      <c r="I1315" s="575" t="s">
        <v>2530</v>
      </c>
      <c r="J1315" s="570"/>
      <c r="K1315" s="572">
        <f>85000</f>
        <v>85000</v>
      </c>
      <c r="L1315" s="571"/>
      <c r="M1315" s="489" t="str">
        <f t="shared" si="56"/>
        <v>DDDDDDDĐ</v>
      </c>
    </row>
    <row r="1316" spans="1:13" ht="19.5" customHeight="1">
      <c r="A1316" s="501">
        <v>1083</v>
      </c>
      <c r="B1316" s="581" t="s">
        <v>3199</v>
      </c>
      <c r="C1316" s="557" t="s">
        <v>2530</v>
      </c>
      <c r="D1316" s="558"/>
      <c r="E1316" s="582">
        <f>35399*1.1</f>
        <v>38938.9</v>
      </c>
      <c r="F1316" s="582"/>
      <c r="G1316" s="501">
        <v>1083</v>
      </c>
      <c r="H1316" s="581" t="s">
        <v>3199</v>
      </c>
      <c r="I1316" s="557" t="s">
        <v>2530</v>
      </c>
      <c r="J1316" s="558"/>
      <c r="K1316" s="582">
        <f>35399*1.1</f>
        <v>38938.9</v>
      </c>
      <c r="L1316" s="582"/>
      <c r="M1316" s="489" t="str">
        <f t="shared" si="56"/>
        <v>DDDDDDDĐ</v>
      </c>
    </row>
    <row r="1317" spans="1:13" ht="19.5" customHeight="1">
      <c r="A1317" s="501">
        <v>1084</v>
      </c>
      <c r="B1317" s="581" t="s">
        <v>3200</v>
      </c>
      <c r="C1317" s="557" t="s">
        <v>2530</v>
      </c>
      <c r="D1317" s="558"/>
      <c r="E1317" s="582">
        <f>44458*1.1</f>
        <v>48903.8</v>
      </c>
      <c r="F1317" s="582"/>
      <c r="G1317" s="501">
        <v>1084</v>
      </c>
      <c r="H1317" s="581" t="s">
        <v>3200</v>
      </c>
      <c r="I1317" s="557" t="s">
        <v>2530</v>
      </c>
      <c r="J1317" s="558"/>
      <c r="K1317" s="582">
        <f>44458*1.1</f>
        <v>48903.8</v>
      </c>
      <c r="L1317" s="582"/>
      <c r="M1317" s="489" t="str">
        <f t="shared" si="56"/>
        <v>DDDDDDDĐ</v>
      </c>
    </row>
    <row r="1318" spans="1:13" ht="19.5" customHeight="1">
      <c r="A1318" s="501">
        <v>1085</v>
      </c>
      <c r="B1318" s="581" t="s">
        <v>3201</v>
      </c>
      <c r="C1318" s="557" t="s">
        <v>2338</v>
      </c>
      <c r="D1318" s="558"/>
      <c r="E1318" s="582">
        <f>20626*1.1</f>
        <v>22688.600000000002</v>
      </c>
      <c r="F1318" s="582"/>
      <c r="G1318" s="501">
        <v>1085</v>
      </c>
      <c r="H1318" s="581" t="s">
        <v>3201</v>
      </c>
      <c r="I1318" s="557" t="s">
        <v>2338</v>
      </c>
      <c r="J1318" s="558"/>
      <c r="K1318" s="582">
        <f>20626*1.1</f>
        <v>22688.600000000002</v>
      </c>
      <c r="L1318" s="582"/>
      <c r="M1318" s="489" t="str">
        <f t="shared" si="56"/>
        <v>DDDDDDDĐ</v>
      </c>
    </row>
    <row r="1319" spans="1:13" ht="19.5" customHeight="1">
      <c r="A1319" s="501">
        <v>1086</v>
      </c>
      <c r="B1319" s="581" t="s">
        <v>3202</v>
      </c>
      <c r="C1319" s="557" t="s">
        <v>2338</v>
      </c>
      <c r="D1319" s="558"/>
      <c r="E1319" s="582">
        <f>22385*1.1</f>
        <v>24623.500000000004</v>
      </c>
      <c r="F1319" s="582"/>
      <c r="G1319" s="501">
        <v>1086</v>
      </c>
      <c r="H1319" s="581" t="s">
        <v>3202</v>
      </c>
      <c r="I1319" s="557" t="s">
        <v>2338</v>
      </c>
      <c r="J1319" s="558"/>
      <c r="K1319" s="582">
        <f>22385*1.1</f>
        <v>24623.500000000004</v>
      </c>
      <c r="L1319" s="582"/>
      <c r="M1319" s="489" t="str">
        <f t="shared" si="56"/>
        <v>DDDDDDDĐ</v>
      </c>
    </row>
    <row r="1320" spans="1:13" ht="19.5" customHeight="1">
      <c r="A1320" s="501">
        <v>1087</v>
      </c>
      <c r="B1320" s="581" t="s">
        <v>3203</v>
      </c>
      <c r="C1320" s="557" t="s">
        <v>2338</v>
      </c>
      <c r="D1320" s="558"/>
      <c r="E1320" s="582">
        <f>22385*1.1</f>
        <v>24623.500000000004</v>
      </c>
      <c r="F1320" s="582"/>
      <c r="G1320" s="501">
        <v>1087</v>
      </c>
      <c r="H1320" s="581" t="s">
        <v>3203</v>
      </c>
      <c r="I1320" s="557" t="s">
        <v>2338</v>
      </c>
      <c r="J1320" s="558"/>
      <c r="K1320" s="582">
        <f>22385*1.1</f>
        <v>24623.500000000004</v>
      </c>
      <c r="L1320" s="582"/>
      <c r="M1320" s="489" t="str">
        <f t="shared" si="56"/>
        <v>DDDDDDDĐ</v>
      </c>
    </row>
    <row r="1321" spans="1:13" ht="19.5" customHeight="1">
      <c r="A1321" s="501">
        <v>1088</v>
      </c>
      <c r="B1321" s="581" t="s">
        <v>3204</v>
      </c>
      <c r="C1321" s="557" t="s">
        <v>2338</v>
      </c>
      <c r="D1321" s="558"/>
      <c r="E1321" s="582">
        <f>37733*1.1</f>
        <v>41506.300000000003</v>
      </c>
      <c r="F1321" s="582"/>
      <c r="G1321" s="501">
        <v>1088</v>
      </c>
      <c r="H1321" s="581" t="s">
        <v>3204</v>
      </c>
      <c r="I1321" s="557" t="s">
        <v>2338</v>
      </c>
      <c r="J1321" s="558"/>
      <c r="K1321" s="582">
        <f>37733*1.1</f>
        <v>41506.300000000003</v>
      </c>
      <c r="L1321" s="582"/>
      <c r="M1321" s="489" t="str">
        <f t="shared" si="56"/>
        <v>DDDDDDDĐ</v>
      </c>
    </row>
    <row r="1322" spans="1:13" ht="19.5" customHeight="1">
      <c r="A1322" s="501">
        <v>1089</v>
      </c>
      <c r="B1322" s="581" t="s">
        <v>3205</v>
      </c>
      <c r="C1322" s="557" t="s">
        <v>2338</v>
      </c>
      <c r="D1322" s="558"/>
      <c r="E1322" s="582">
        <f>39101*1.1</f>
        <v>43011.100000000006</v>
      </c>
      <c r="F1322" s="582"/>
      <c r="G1322" s="501">
        <v>1089</v>
      </c>
      <c r="H1322" s="581" t="s">
        <v>3205</v>
      </c>
      <c r="I1322" s="557" t="s">
        <v>2338</v>
      </c>
      <c r="J1322" s="558"/>
      <c r="K1322" s="582">
        <f>39101*1.1</f>
        <v>43011.100000000006</v>
      </c>
      <c r="L1322" s="582"/>
      <c r="M1322" s="489" t="str">
        <f t="shared" si="56"/>
        <v>DDDDDDDĐ</v>
      </c>
    </row>
    <row r="1323" spans="1:13" ht="19.5" customHeight="1">
      <c r="A1323" s="501">
        <v>1090</v>
      </c>
      <c r="B1323" s="581" t="s">
        <v>3206</v>
      </c>
      <c r="C1323" s="557" t="s">
        <v>2338</v>
      </c>
      <c r="D1323" s="558"/>
      <c r="E1323" s="582">
        <f>40763*1.1</f>
        <v>44839.3</v>
      </c>
      <c r="F1323" s="582"/>
      <c r="G1323" s="501">
        <v>1090</v>
      </c>
      <c r="H1323" s="581" t="s">
        <v>3206</v>
      </c>
      <c r="I1323" s="557" t="s">
        <v>2338</v>
      </c>
      <c r="J1323" s="558"/>
      <c r="K1323" s="582">
        <f>40763*1.1</f>
        <v>44839.3</v>
      </c>
      <c r="L1323" s="582"/>
      <c r="M1323" s="489" t="str">
        <f t="shared" si="56"/>
        <v>DDDDDDDĐ</v>
      </c>
    </row>
    <row r="1324" spans="1:13" ht="19.5" customHeight="1">
      <c r="A1324" s="501">
        <v>1091</v>
      </c>
      <c r="B1324" s="581" t="s">
        <v>3207</v>
      </c>
      <c r="C1324" s="557" t="s">
        <v>2338</v>
      </c>
      <c r="D1324" s="558"/>
      <c r="E1324" s="582">
        <f>79140/1.1</f>
        <v>71945.454545454544</v>
      </c>
      <c r="F1324" s="582"/>
      <c r="G1324" s="501">
        <v>1091</v>
      </c>
      <c r="H1324" s="581" t="s">
        <v>3207</v>
      </c>
      <c r="I1324" s="557" t="s">
        <v>2338</v>
      </c>
      <c r="J1324" s="558"/>
      <c r="K1324" s="582">
        <f>79140/1.1</f>
        <v>71945.454545454544</v>
      </c>
      <c r="L1324" s="582"/>
      <c r="M1324" s="489" t="str">
        <f t="shared" si="56"/>
        <v>DDDDDDDĐ</v>
      </c>
    </row>
    <row r="1325" spans="1:13" ht="19.5" customHeight="1">
      <c r="A1325" s="501">
        <v>1092</v>
      </c>
      <c r="B1325" s="581" t="s">
        <v>3208</v>
      </c>
      <c r="C1325" s="557" t="s">
        <v>2338</v>
      </c>
      <c r="D1325" s="558"/>
      <c r="E1325" s="582">
        <f>79140/1.1</f>
        <v>71945.454545454544</v>
      </c>
      <c r="F1325" s="582"/>
      <c r="G1325" s="501">
        <v>1092</v>
      </c>
      <c r="H1325" s="581" t="s">
        <v>3208</v>
      </c>
      <c r="I1325" s="557" t="s">
        <v>2338</v>
      </c>
      <c r="J1325" s="558"/>
      <c r="K1325" s="582">
        <f>79140/1.1</f>
        <v>71945.454545454544</v>
      </c>
      <c r="L1325" s="582"/>
      <c r="M1325" s="489" t="str">
        <f t="shared" si="56"/>
        <v>DDDDDDDĐ</v>
      </c>
    </row>
    <row r="1326" spans="1:13" ht="19.5" customHeight="1">
      <c r="A1326" s="501">
        <v>1093</v>
      </c>
      <c r="B1326" s="581" t="s">
        <v>3209</v>
      </c>
      <c r="C1326" s="557" t="s">
        <v>2338</v>
      </c>
      <c r="D1326" s="558"/>
      <c r="E1326" s="582">
        <f>79140/1.1</f>
        <v>71945.454545454544</v>
      </c>
      <c r="F1326" s="582"/>
      <c r="G1326" s="501">
        <v>1093</v>
      </c>
      <c r="H1326" s="581" t="s">
        <v>3209</v>
      </c>
      <c r="I1326" s="557" t="s">
        <v>2338</v>
      </c>
      <c r="J1326" s="558"/>
      <c r="K1326" s="582">
        <f>79140/1.1</f>
        <v>71945.454545454544</v>
      </c>
      <c r="L1326" s="582"/>
      <c r="M1326" s="489" t="str">
        <f t="shared" si="56"/>
        <v>DDDDDDDĐ</v>
      </c>
    </row>
    <row r="1327" spans="1:13" ht="19.5" customHeight="1">
      <c r="A1327" s="501">
        <v>1094</v>
      </c>
      <c r="B1327" s="581" t="s">
        <v>3210</v>
      </c>
      <c r="C1327" s="557" t="s">
        <v>2338</v>
      </c>
      <c r="D1327" s="558"/>
      <c r="E1327" s="582">
        <f>79140/1.1</f>
        <v>71945.454545454544</v>
      </c>
      <c r="F1327" s="582"/>
      <c r="G1327" s="501">
        <v>1094</v>
      </c>
      <c r="H1327" s="581" t="s">
        <v>3210</v>
      </c>
      <c r="I1327" s="557" t="s">
        <v>2338</v>
      </c>
      <c r="J1327" s="558"/>
      <c r="K1327" s="582">
        <f>79140/1.1</f>
        <v>71945.454545454544</v>
      </c>
      <c r="L1327" s="582"/>
      <c r="M1327" s="489" t="str">
        <f t="shared" si="56"/>
        <v>DDDDDDDĐ</v>
      </c>
    </row>
    <row r="1328" spans="1:13" ht="19.5" customHeight="1">
      <c r="A1328" s="501">
        <v>1095</v>
      </c>
      <c r="B1328" s="581" t="s">
        <v>3211</v>
      </c>
      <c r="C1328" s="557" t="s">
        <v>2338</v>
      </c>
      <c r="D1328" s="558"/>
      <c r="E1328" s="582">
        <f>94624/1.1</f>
        <v>86021.818181818177</v>
      </c>
      <c r="F1328" s="582"/>
      <c r="G1328" s="501">
        <v>1095</v>
      </c>
      <c r="H1328" s="581" t="s">
        <v>3211</v>
      </c>
      <c r="I1328" s="557" t="s">
        <v>2338</v>
      </c>
      <c r="J1328" s="558"/>
      <c r="K1328" s="582">
        <f>94624/1.1</f>
        <v>86021.818181818177</v>
      </c>
      <c r="L1328" s="582"/>
      <c r="M1328" s="489" t="str">
        <f t="shared" si="56"/>
        <v>DDDDDDDĐ</v>
      </c>
    </row>
    <row r="1329" spans="1:13" ht="19.5" customHeight="1">
      <c r="A1329" s="501">
        <v>1096</v>
      </c>
      <c r="B1329" s="581" t="s">
        <v>3212</v>
      </c>
      <c r="C1329" s="557" t="s">
        <v>2338</v>
      </c>
      <c r="D1329" s="558"/>
      <c r="E1329" s="582">
        <f>104517/1.1</f>
        <v>95015.454545454544</v>
      </c>
      <c r="F1329" s="582"/>
      <c r="G1329" s="501">
        <v>1096</v>
      </c>
      <c r="H1329" s="581" t="s">
        <v>3212</v>
      </c>
      <c r="I1329" s="557" t="s">
        <v>2338</v>
      </c>
      <c r="J1329" s="558"/>
      <c r="K1329" s="582">
        <f>104517/1.1</f>
        <v>95015.454545454544</v>
      </c>
      <c r="L1329" s="582"/>
      <c r="M1329" s="489" t="str">
        <f t="shared" si="56"/>
        <v>DDDDDDDĐ</v>
      </c>
    </row>
    <row r="1330" spans="1:13" ht="19.5" customHeight="1">
      <c r="A1330" s="501">
        <v>1097</v>
      </c>
      <c r="B1330" s="581" t="s">
        <v>3213</v>
      </c>
      <c r="C1330" s="557" t="s">
        <v>2465</v>
      </c>
      <c r="D1330" s="558"/>
      <c r="E1330" s="582">
        <f>2560*1.1</f>
        <v>2816</v>
      </c>
      <c r="F1330" s="582"/>
      <c r="G1330" s="501">
        <v>1097</v>
      </c>
      <c r="H1330" s="581" t="s">
        <v>3213</v>
      </c>
      <c r="I1330" s="557" t="s">
        <v>2465</v>
      </c>
      <c r="J1330" s="558"/>
      <c r="K1330" s="582">
        <f>2560*1.1</f>
        <v>2816</v>
      </c>
      <c r="L1330" s="582"/>
      <c r="M1330" s="489" t="str">
        <f t="shared" si="56"/>
        <v>DDDDDDDĐ</v>
      </c>
    </row>
    <row r="1331" spans="1:13" ht="19.5" customHeight="1">
      <c r="A1331" s="501">
        <v>1098</v>
      </c>
      <c r="B1331" s="581" t="s">
        <v>3214</v>
      </c>
      <c r="C1331" s="557" t="s">
        <v>2465</v>
      </c>
      <c r="D1331" s="558"/>
      <c r="E1331" s="582">
        <f>4240*1.1</f>
        <v>4664</v>
      </c>
      <c r="F1331" s="582"/>
      <c r="G1331" s="501">
        <v>1098</v>
      </c>
      <c r="H1331" s="581" t="s">
        <v>3214</v>
      </c>
      <c r="I1331" s="557" t="s">
        <v>2465</v>
      </c>
      <c r="J1331" s="558"/>
      <c r="K1331" s="582">
        <f>4240*1.1</f>
        <v>4664</v>
      </c>
      <c r="L1331" s="582"/>
      <c r="M1331" s="489" t="str">
        <f t="shared" si="56"/>
        <v>DDDDDDDĐ</v>
      </c>
    </row>
    <row r="1332" spans="1:13" ht="19.5" customHeight="1">
      <c r="A1332" s="501">
        <v>1099</v>
      </c>
      <c r="B1332" s="581" t="s">
        <v>3215</v>
      </c>
      <c r="C1332" s="557" t="s">
        <v>2465</v>
      </c>
      <c r="D1332" s="558"/>
      <c r="E1332" s="582">
        <f>5940*1.1</f>
        <v>6534.0000000000009</v>
      </c>
      <c r="F1332" s="582"/>
      <c r="G1332" s="501">
        <v>1099</v>
      </c>
      <c r="H1332" s="581" t="s">
        <v>3215</v>
      </c>
      <c r="I1332" s="557" t="s">
        <v>2465</v>
      </c>
      <c r="J1332" s="558"/>
      <c r="K1332" s="582">
        <f>5940*1.1</f>
        <v>6534.0000000000009</v>
      </c>
      <c r="L1332" s="582"/>
      <c r="M1332" s="489" t="str">
        <f t="shared" si="56"/>
        <v>DDDDDDDĐ</v>
      </c>
    </row>
    <row r="1333" spans="1:13" ht="19.5" customHeight="1">
      <c r="A1333" s="501">
        <v>1100</v>
      </c>
      <c r="B1333" s="581" t="s">
        <v>3216</v>
      </c>
      <c r="C1333" s="557" t="s">
        <v>2465</v>
      </c>
      <c r="D1333" s="558"/>
      <c r="E1333" s="582">
        <f>8100*1.1</f>
        <v>8910</v>
      </c>
      <c r="F1333" s="582"/>
      <c r="G1333" s="501">
        <v>1100</v>
      </c>
      <c r="H1333" s="581" t="s">
        <v>3216</v>
      </c>
      <c r="I1333" s="557" t="s">
        <v>2465</v>
      </c>
      <c r="J1333" s="558"/>
      <c r="K1333" s="582">
        <f>8100*1.1</f>
        <v>8910</v>
      </c>
      <c r="L1333" s="582"/>
      <c r="M1333" s="489" t="str">
        <f t="shared" si="56"/>
        <v>DDDDDDDĐ</v>
      </c>
    </row>
    <row r="1334" spans="1:13" ht="19.5" customHeight="1">
      <c r="A1334" s="501"/>
      <c r="B1334" s="583" t="s">
        <v>3217</v>
      </c>
      <c r="C1334" s="510"/>
      <c r="D1334" s="510"/>
      <c r="E1334" s="511"/>
      <c r="F1334" s="511"/>
      <c r="G1334" s="501"/>
      <c r="H1334" s="583" t="s">
        <v>3217</v>
      </c>
      <c r="I1334" s="510"/>
      <c r="J1334" s="510"/>
      <c r="K1334" s="511"/>
      <c r="L1334" s="511"/>
      <c r="M1334" s="489" t="str">
        <f t="shared" si="56"/>
        <v>DDDDDDDĐ</v>
      </c>
    </row>
    <row r="1335" spans="1:13" ht="19.5" customHeight="1">
      <c r="A1335" s="501">
        <v>1101</v>
      </c>
      <c r="B1335" s="540" t="s">
        <v>3218</v>
      </c>
      <c r="C1335" s="507" t="s">
        <v>2530</v>
      </c>
      <c r="D1335" s="511">
        <v>2250000</v>
      </c>
      <c r="E1335" s="511"/>
      <c r="F1335" s="511"/>
      <c r="G1335" s="501">
        <v>1101</v>
      </c>
      <c r="H1335" s="540" t="s">
        <v>3218</v>
      </c>
      <c r="I1335" s="507" t="s">
        <v>2530</v>
      </c>
      <c r="J1335" s="511">
        <v>2250000</v>
      </c>
      <c r="K1335" s="511"/>
      <c r="L1335" s="511"/>
      <c r="M1335" s="489" t="str">
        <f t="shared" si="56"/>
        <v>DDDDDDDĐ</v>
      </c>
    </row>
    <row r="1336" spans="1:13" ht="19.5" customHeight="1">
      <c r="A1336" s="501">
        <v>1102</v>
      </c>
      <c r="B1336" s="540" t="s">
        <v>3219</v>
      </c>
      <c r="C1336" s="507" t="s">
        <v>2530</v>
      </c>
      <c r="D1336" s="511">
        <v>2400000</v>
      </c>
      <c r="E1336" s="511"/>
      <c r="F1336" s="511"/>
      <c r="G1336" s="501">
        <v>1102</v>
      </c>
      <c r="H1336" s="540" t="s">
        <v>3219</v>
      </c>
      <c r="I1336" s="507" t="s">
        <v>2530</v>
      </c>
      <c r="J1336" s="511">
        <v>2400000</v>
      </c>
      <c r="K1336" s="511"/>
      <c r="L1336" s="511"/>
      <c r="M1336" s="489" t="str">
        <f t="shared" si="56"/>
        <v>DDDDDDDĐ</v>
      </c>
    </row>
    <row r="1337" spans="1:13" ht="19.5" customHeight="1">
      <c r="A1337" s="501">
        <v>1103</v>
      </c>
      <c r="B1337" s="540" t="s">
        <v>3220</v>
      </c>
      <c r="C1337" s="507" t="s">
        <v>2530</v>
      </c>
      <c r="D1337" s="511">
        <v>2600000</v>
      </c>
      <c r="E1337" s="511"/>
      <c r="F1337" s="511"/>
      <c r="G1337" s="501">
        <v>1103</v>
      </c>
      <c r="H1337" s="540" t="s">
        <v>3220</v>
      </c>
      <c r="I1337" s="507" t="s">
        <v>2530</v>
      </c>
      <c r="J1337" s="511">
        <v>2600000</v>
      </c>
      <c r="K1337" s="511"/>
      <c r="L1337" s="511"/>
      <c r="M1337" s="489" t="str">
        <f t="shared" si="56"/>
        <v>DDDDDDDĐ</v>
      </c>
    </row>
    <row r="1338" spans="1:13" ht="20.100000000000001" customHeight="1">
      <c r="A1338" s="501">
        <v>1104</v>
      </c>
      <c r="B1338" s="540" t="s">
        <v>3221</v>
      </c>
      <c r="C1338" s="507" t="s">
        <v>2530</v>
      </c>
      <c r="D1338" s="511">
        <v>2900000</v>
      </c>
      <c r="E1338" s="511"/>
      <c r="F1338" s="511"/>
      <c r="G1338" s="501">
        <v>1104</v>
      </c>
      <c r="H1338" s="540" t="s">
        <v>3221</v>
      </c>
      <c r="I1338" s="507" t="s">
        <v>2530</v>
      </c>
      <c r="J1338" s="511">
        <v>2900000</v>
      </c>
      <c r="K1338" s="511"/>
      <c r="L1338" s="511"/>
      <c r="M1338" s="489" t="str">
        <f t="shared" si="56"/>
        <v>DDDDDDDĐ</v>
      </c>
    </row>
    <row r="1339" spans="1:13" ht="20.100000000000001" customHeight="1">
      <c r="A1339" s="501">
        <v>1105</v>
      </c>
      <c r="B1339" s="540" t="s">
        <v>3222</v>
      </c>
      <c r="C1339" s="507" t="s">
        <v>2530</v>
      </c>
      <c r="D1339" s="511">
        <v>3000000</v>
      </c>
      <c r="E1339" s="511"/>
      <c r="F1339" s="511"/>
      <c r="G1339" s="501">
        <v>1105</v>
      </c>
      <c r="H1339" s="540" t="s">
        <v>3222</v>
      </c>
      <c r="I1339" s="507" t="s">
        <v>2530</v>
      </c>
      <c r="J1339" s="511">
        <v>3000000</v>
      </c>
      <c r="K1339" s="511"/>
      <c r="L1339" s="511"/>
      <c r="M1339" s="489" t="str">
        <f t="shared" si="56"/>
        <v>DDDDDDDĐ</v>
      </c>
    </row>
    <row r="1340" spans="1:13" ht="20.100000000000001" customHeight="1">
      <c r="A1340" s="501">
        <v>1106</v>
      </c>
      <c r="B1340" s="540" t="s">
        <v>3223</v>
      </c>
      <c r="C1340" s="507" t="s">
        <v>2530</v>
      </c>
      <c r="D1340" s="511">
        <v>3200000</v>
      </c>
      <c r="E1340" s="511"/>
      <c r="F1340" s="511"/>
      <c r="G1340" s="501">
        <v>1106</v>
      </c>
      <c r="H1340" s="540" t="s">
        <v>3223</v>
      </c>
      <c r="I1340" s="507" t="s">
        <v>2530</v>
      </c>
      <c r="J1340" s="511">
        <v>3200000</v>
      </c>
      <c r="K1340" s="511"/>
      <c r="L1340" s="511"/>
      <c r="M1340" s="489" t="str">
        <f t="shared" si="56"/>
        <v>DDDDDDDĐ</v>
      </c>
    </row>
    <row r="1341" spans="1:13" ht="20.100000000000001" customHeight="1">
      <c r="A1341" s="501">
        <v>1107</v>
      </c>
      <c r="B1341" s="540" t="s">
        <v>3224</v>
      </c>
      <c r="C1341" s="507" t="s">
        <v>2530</v>
      </c>
      <c r="D1341" s="511">
        <v>2520000</v>
      </c>
      <c r="E1341" s="511"/>
      <c r="F1341" s="511"/>
      <c r="G1341" s="501">
        <v>1107</v>
      </c>
      <c r="H1341" s="540" t="s">
        <v>3224</v>
      </c>
      <c r="I1341" s="507" t="s">
        <v>2530</v>
      </c>
      <c r="J1341" s="511">
        <v>2520000</v>
      </c>
      <c r="K1341" s="511"/>
      <c r="L1341" s="511"/>
      <c r="M1341" s="489" t="str">
        <f t="shared" si="56"/>
        <v>DDDDDDDĐ</v>
      </c>
    </row>
    <row r="1342" spans="1:13" ht="20.100000000000001" customHeight="1">
      <c r="A1342" s="501">
        <v>1108</v>
      </c>
      <c r="B1342" s="540" t="s">
        <v>3225</v>
      </c>
      <c r="C1342" s="507" t="s">
        <v>2530</v>
      </c>
      <c r="D1342" s="511">
        <v>2750000</v>
      </c>
      <c r="E1342" s="511"/>
      <c r="F1342" s="511"/>
      <c r="G1342" s="501">
        <v>1108</v>
      </c>
      <c r="H1342" s="540" t="s">
        <v>3225</v>
      </c>
      <c r="I1342" s="507" t="s">
        <v>2530</v>
      </c>
      <c r="J1342" s="511">
        <v>2750000</v>
      </c>
      <c r="K1342" s="511"/>
      <c r="L1342" s="511"/>
      <c r="M1342" s="489" t="str">
        <f t="shared" si="56"/>
        <v>DDDDDDDĐ</v>
      </c>
    </row>
    <row r="1343" spans="1:13" ht="20.100000000000001" customHeight="1">
      <c r="A1343" s="501">
        <v>1109</v>
      </c>
      <c r="B1343" s="540" t="s">
        <v>3226</v>
      </c>
      <c r="C1343" s="507" t="s">
        <v>2530</v>
      </c>
      <c r="D1343" s="511">
        <v>2850000</v>
      </c>
      <c r="E1343" s="511"/>
      <c r="F1343" s="511"/>
      <c r="G1343" s="501">
        <v>1109</v>
      </c>
      <c r="H1343" s="540" t="s">
        <v>3226</v>
      </c>
      <c r="I1343" s="507" t="s">
        <v>2530</v>
      </c>
      <c r="J1343" s="511">
        <v>2850000</v>
      </c>
      <c r="K1343" s="511"/>
      <c r="L1343" s="511"/>
      <c r="M1343" s="489" t="str">
        <f t="shared" si="56"/>
        <v>DDDDDDDĐ</v>
      </c>
    </row>
    <row r="1344" spans="1:13" ht="20.100000000000001" customHeight="1">
      <c r="A1344" s="501">
        <v>1110</v>
      </c>
      <c r="B1344" s="540" t="s">
        <v>3227</v>
      </c>
      <c r="C1344" s="507" t="s">
        <v>2530</v>
      </c>
      <c r="D1344" s="511">
        <v>1640000</v>
      </c>
      <c r="E1344" s="511"/>
      <c r="F1344" s="511"/>
      <c r="G1344" s="501">
        <v>1110</v>
      </c>
      <c r="H1344" s="540" t="s">
        <v>3227</v>
      </c>
      <c r="I1344" s="507" t="s">
        <v>2530</v>
      </c>
      <c r="J1344" s="511">
        <v>1640000</v>
      </c>
      <c r="K1344" s="511"/>
      <c r="L1344" s="511"/>
      <c r="M1344" s="489" t="str">
        <f t="shared" si="56"/>
        <v>DDDDDDDĐ</v>
      </c>
    </row>
    <row r="1345" spans="1:13" ht="20.100000000000001" customHeight="1">
      <c r="A1345" s="501">
        <v>1111</v>
      </c>
      <c r="B1345" s="540" t="s">
        <v>3228</v>
      </c>
      <c r="C1345" s="507" t="s">
        <v>2530</v>
      </c>
      <c r="D1345" s="511">
        <v>1320000</v>
      </c>
      <c r="E1345" s="511"/>
      <c r="F1345" s="511"/>
      <c r="G1345" s="501">
        <v>1111</v>
      </c>
      <c r="H1345" s="540" t="s">
        <v>3228</v>
      </c>
      <c r="I1345" s="507" t="s">
        <v>2530</v>
      </c>
      <c r="J1345" s="511">
        <v>1320000</v>
      </c>
      <c r="K1345" s="511"/>
      <c r="L1345" s="511"/>
      <c r="M1345" s="489" t="str">
        <f t="shared" si="56"/>
        <v>DDDDDDDĐ</v>
      </c>
    </row>
    <row r="1346" spans="1:13" ht="20.100000000000001" customHeight="1">
      <c r="A1346" s="501"/>
      <c r="B1346" s="2160" t="s">
        <v>3760</v>
      </c>
      <c r="C1346" s="2160"/>
      <c r="D1346" s="2160"/>
      <c r="E1346" s="2160"/>
      <c r="F1346" s="2160"/>
      <c r="G1346" s="501"/>
      <c r="H1346" s="2160" t="s">
        <v>3760</v>
      </c>
      <c r="I1346" s="2160"/>
      <c r="J1346" s="2160"/>
      <c r="K1346" s="2160"/>
      <c r="L1346" s="2160"/>
      <c r="M1346" s="489" t="str">
        <f t="shared" si="56"/>
        <v>DDDDDDDĐ</v>
      </c>
    </row>
    <row r="1347" spans="1:13" ht="20.100000000000001" customHeight="1">
      <c r="A1347" s="501">
        <v>1112</v>
      </c>
      <c r="B1347" s="540" t="s">
        <v>3229</v>
      </c>
      <c r="C1347" s="507" t="s">
        <v>2338</v>
      </c>
      <c r="D1347" s="511"/>
      <c r="E1347" s="511">
        <f>21000/1.1</f>
        <v>19090.909090909088</v>
      </c>
      <c r="F1347" s="511">
        <f t="shared" ref="F1347:F1365" si="57">E1347</f>
        <v>19090.909090909088</v>
      </c>
      <c r="G1347" s="501">
        <v>1112</v>
      </c>
      <c r="H1347" s="540" t="s">
        <v>3229</v>
      </c>
      <c r="I1347" s="507" t="s">
        <v>2338</v>
      </c>
      <c r="J1347" s="511"/>
      <c r="K1347" s="511">
        <f>21000/1.1</f>
        <v>19090.909090909088</v>
      </c>
      <c r="L1347" s="511">
        <f t="shared" ref="L1347:L1365" si="58">K1347</f>
        <v>19090.909090909088</v>
      </c>
      <c r="M1347" s="489" t="str">
        <f t="shared" si="56"/>
        <v>DDDDDDDĐ</v>
      </c>
    </row>
    <row r="1348" spans="1:13" ht="20.100000000000001" customHeight="1">
      <c r="A1348" s="501">
        <v>1113</v>
      </c>
      <c r="B1348" s="540" t="s">
        <v>3230</v>
      </c>
      <c r="C1348" s="507" t="s">
        <v>2338</v>
      </c>
      <c r="D1348" s="511"/>
      <c r="E1348" s="511">
        <f>23000/1.1</f>
        <v>20909.090909090908</v>
      </c>
      <c r="F1348" s="511">
        <f t="shared" si="57"/>
        <v>20909.090909090908</v>
      </c>
      <c r="G1348" s="501">
        <v>1113</v>
      </c>
      <c r="H1348" s="540" t="s">
        <v>3230</v>
      </c>
      <c r="I1348" s="507" t="s">
        <v>2338</v>
      </c>
      <c r="J1348" s="511"/>
      <c r="K1348" s="511">
        <f>23000/1.1</f>
        <v>20909.090909090908</v>
      </c>
      <c r="L1348" s="511">
        <f t="shared" si="58"/>
        <v>20909.090909090908</v>
      </c>
      <c r="M1348" s="489" t="str">
        <f t="shared" si="56"/>
        <v>DDDDDDDĐ</v>
      </c>
    </row>
    <row r="1349" spans="1:13" ht="20.100000000000001" customHeight="1">
      <c r="A1349" s="501">
        <v>1114</v>
      </c>
      <c r="B1349" s="540" t="s">
        <v>3231</v>
      </c>
      <c r="C1349" s="507" t="s">
        <v>2338</v>
      </c>
      <c r="D1349" s="511"/>
      <c r="E1349" s="511">
        <f>230000/1.1</f>
        <v>209090.90909090909</v>
      </c>
      <c r="F1349" s="511">
        <f t="shared" si="57"/>
        <v>209090.90909090909</v>
      </c>
      <c r="G1349" s="501">
        <v>1114</v>
      </c>
      <c r="H1349" s="540" t="s">
        <v>3231</v>
      </c>
      <c r="I1349" s="507" t="s">
        <v>2338</v>
      </c>
      <c r="J1349" s="511"/>
      <c r="K1349" s="511">
        <f>230000/1.1</f>
        <v>209090.90909090909</v>
      </c>
      <c r="L1349" s="511">
        <f t="shared" si="58"/>
        <v>209090.90909090909</v>
      </c>
      <c r="M1349" s="489" t="str">
        <f t="shared" si="56"/>
        <v>DDDDDDDĐ</v>
      </c>
    </row>
    <row r="1350" spans="1:13" ht="20.100000000000001" customHeight="1">
      <c r="A1350" s="501">
        <v>1115</v>
      </c>
      <c r="B1350" s="540" t="s">
        <v>3232</v>
      </c>
      <c r="C1350" s="507" t="s">
        <v>2344</v>
      </c>
      <c r="D1350" s="511"/>
      <c r="E1350" s="511">
        <f>3055/1.1</f>
        <v>2777.272727272727</v>
      </c>
      <c r="F1350" s="511">
        <f t="shared" si="57"/>
        <v>2777.272727272727</v>
      </c>
      <c r="G1350" s="501">
        <v>1115</v>
      </c>
      <c r="H1350" s="540" t="s">
        <v>3232</v>
      </c>
      <c r="I1350" s="507" t="s">
        <v>2344</v>
      </c>
      <c r="J1350" s="511"/>
      <c r="K1350" s="511">
        <f>3055/1.1</f>
        <v>2777.272727272727</v>
      </c>
      <c r="L1350" s="511">
        <f t="shared" si="58"/>
        <v>2777.272727272727</v>
      </c>
      <c r="M1350" s="489" t="str">
        <f t="shared" si="56"/>
        <v>DDDDDDDĐ</v>
      </c>
    </row>
    <row r="1351" spans="1:13" ht="19.5" customHeight="1">
      <c r="A1351" s="501">
        <v>1116</v>
      </c>
      <c r="B1351" s="540" t="s">
        <v>3233</v>
      </c>
      <c r="C1351" s="507" t="s">
        <v>2344</v>
      </c>
      <c r="D1351" s="511"/>
      <c r="E1351" s="511">
        <f>5391/1.1</f>
        <v>4900.9090909090901</v>
      </c>
      <c r="F1351" s="511">
        <f t="shared" si="57"/>
        <v>4900.9090909090901</v>
      </c>
      <c r="G1351" s="501">
        <v>1116</v>
      </c>
      <c r="H1351" s="540" t="s">
        <v>3233</v>
      </c>
      <c r="I1351" s="507" t="s">
        <v>2344</v>
      </c>
      <c r="J1351" s="511"/>
      <c r="K1351" s="511">
        <f>5391/1.1</f>
        <v>4900.9090909090901</v>
      </c>
      <c r="L1351" s="511">
        <f t="shared" si="58"/>
        <v>4900.9090909090901</v>
      </c>
      <c r="M1351" s="489" t="str">
        <f t="shared" si="56"/>
        <v>DDDDDDDĐ</v>
      </c>
    </row>
    <row r="1352" spans="1:13" ht="19.5" customHeight="1">
      <c r="A1352" s="501">
        <v>1117</v>
      </c>
      <c r="B1352" s="540" t="s">
        <v>3234</v>
      </c>
      <c r="C1352" s="507" t="s">
        <v>2344</v>
      </c>
      <c r="D1352" s="511"/>
      <c r="E1352" s="511">
        <f>8233/1.1</f>
        <v>7484.545454545454</v>
      </c>
      <c r="F1352" s="511">
        <f t="shared" si="57"/>
        <v>7484.545454545454</v>
      </c>
      <c r="G1352" s="501">
        <v>1117</v>
      </c>
      <c r="H1352" s="540" t="s">
        <v>3234</v>
      </c>
      <c r="I1352" s="507" t="s">
        <v>2344</v>
      </c>
      <c r="J1352" s="511"/>
      <c r="K1352" s="511">
        <f>8233/1.1</f>
        <v>7484.545454545454</v>
      </c>
      <c r="L1352" s="511">
        <f t="shared" si="58"/>
        <v>7484.545454545454</v>
      </c>
      <c r="M1352" s="489" t="str">
        <f t="shared" si="56"/>
        <v>DDDDDDDĐ</v>
      </c>
    </row>
    <row r="1353" spans="1:13" ht="19.5" customHeight="1">
      <c r="A1353" s="501">
        <v>1118</v>
      </c>
      <c r="B1353" s="540" t="s">
        <v>3235</v>
      </c>
      <c r="C1353" s="507" t="s">
        <v>2344</v>
      </c>
      <c r="D1353" s="511"/>
      <c r="E1353" s="511">
        <f>18241/1.1</f>
        <v>16582.727272727272</v>
      </c>
      <c r="F1353" s="511">
        <f t="shared" si="57"/>
        <v>16582.727272727272</v>
      </c>
      <c r="G1353" s="501">
        <v>1118</v>
      </c>
      <c r="H1353" s="540" t="s">
        <v>3235</v>
      </c>
      <c r="I1353" s="507" t="s">
        <v>2344</v>
      </c>
      <c r="J1353" s="511"/>
      <c r="K1353" s="511">
        <f>18241/1.1</f>
        <v>16582.727272727272</v>
      </c>
      <c r="L1353" s="511">
        <f t="shared" si="58"/>
        <v>16582.727272727272</v>
      </c>
      <c r="M1353" s="489" t="str">
        <f t="shared" si="56"/>
        <v>DDDDDDDĐ</v>
      </c>
    </row>
    <row r="1354" spans="1:13" ht="19.5" customHeight="1">
      <c r="A1354" s="501">
        <v>1119</v>
      </c>
      <c r="B1354" s="540" t="s">
        <v>3236</v>
      </c>
      <c r="C1354" s="507" t="s">
        <v>2344</v>
      </c>
      <c r="D1354" s="511"/>
      <c r="E1354" s="511">
        <f>3376/1.1</f>
        <v>3069.090909090909</v>
      </c>
      <c r="F1354" s="511">
        <f t="shared" si="57"/>
        <v>3069.090909090909</v>
      </c>
      <c r="G1354" s="501">
        <v>1119</v>
      </c>
      <c r="H1354" s="540" t="s">
        <v>3236</v>
      </c>
      <c r="I1354" s="507" t="s">
        <v>2344</v>
      </c>
      <c r="J1354" s="511"/>
      <c r="K1354" s="511">
        <f>3376/1.1</f>
        <v>3069.090909090909</v>
      </c>
      <c r="L1354" s="511">
        <f t="shared" si="58"/>
        <v>3069.090909090909</v>
      </c>
      <c r="M1354" s="489" t="str">
        <f t="shared" si="56"/>
        <v>DDDDDDDĐ</v>
      </c>
    </row>
    <row r="1355" spans="1:13" ht="19.5" customHeight="1">
      <c r="A1355" s="501">
        <v>1120</v>
      </c>
      <c r="B1355" s="540" t="s">
        <v>3237</v>
      </c>
      <c r="C1355" s="507" t="s">
        <v>2344</v>
      </c>
      <c r="D1355" s="511"/>
      <c r="E1355" s="511">
        <f>6033/1.1</f>
        <v>5484.545454545454</v>
      </c>
      <c r="F1355" s="511">
        <f t="shared" si="57"/>
        <v>5484.545454545454</v>
      </c>
      <c r="G1355" s="501">
        <v>1120</v>
      </c>
      <c r="H1355" s="540" t="s">
        <v>3237</v>
      </c>
      <c r="I1355" s="507" t="s">
        <v>2344</v>
      </c>
      <c r="J1355" s="511"/>
      <c r="K1355" s="511">
        <f>6033/1.1</f>
        <v>5484.545454545454</v>
      </c>
      <c r="L1355" s="511">
        <f t="shared" si="58"/>
        <v>5484.545454545454</v>
      </c>
      <c r="M1355" s="489" t="str">
        <f t="shared" si="56"/>
        <v>DDDDDDDĐ</v>
      </c>
    </row>
    <row r="1356" spans="1:13" ht="19.5" customHeight="1">
      <c r="A1356" s="501">
        <v>1121</v>
      </c>
      <c r="B1356" s="540" t="s">
        <v>3238</v>
      </c>
      <c r="C1356" s="507" t="s">
        <v>2344</v>
      </c>
      <c r="D1356" s="511"/>
      <c r="E1356" s="511">
        <f>8788/1.1</f>
        <v>7989.0909090909081</v>
      </c>
      <c r="F1356" s="511">
        <f t="shared" si="57"/>
        <v>7989.0909090909081</v>
      </c>
      <c r="G1356" s="501">
        <v>1121</v>
      </c>
      <c r="H1356" s="540" t="s">
        <v>3238</v>
      </c>
      <c r="I1356" s="507" t="s">
        <v>2344</v>
      </c>
      <c r="J1356" s="511"/>
      <c r="K1356" s="511">
        <f>8788/1.1</f>
        <v>7989.0909090909081</v>
      </c>
      <c r="L1356" s="511">
        <f t="shared" si="58"/>
        <v>7989.0909090909081</v>
      </c>
      <c r="M1356" s="489" t="str">
        <f t="shared" si="56"/>
        <v>DDDDDDDĐ</v>
      </c>
    </row>
    <row r="1357" spans="1:13" ht="19.5" customHeight="1">
      <c r="A1357" s="501">
        <v>1122</v>
      </c>
      <c r="B1357" s="540" t="s">
        <v>3239</v>
      </c>
      <c r="C1357" s="507" t="s">
        <v>2344</v>
      </c>
      <c r="D1357" s="511"/>
      <c r="E1357" s="511">
        <f>11293/1.1</f>
        <v>10266.363636363636</v>
      </c>
      <c r="F1357" s="511">
        <f t="shared" si="57"/>
        <v>10266.363636363636</v>
      </c>
      <c r="G1357" s="501">
        <v>1122</v>
      </c>
      <c r="H1357" s="540" t="s">
        <v>3239</v>
      </c>
      <c r="I1357" s="507" t="s">
        <v>2344</v>
      </c>
      <c r="J1357" s="511"/>
      <c r="K1357" s="511">
        <f>11293/1.1</f>
        <v>10266.363636363636</v>
      </c>
      <c r="L1357" s="511">
        <f t="shared" si="58"/>
        <v>10266.363636363636</v>
      </c>
      <c r="M1357" s="489" t="str">
        <f t="shared" si="56"/>
        <v>DDDDDDDĐ</v>
      </c>
    </row>
    <row r="1358" spans="1:13" ht="19.5" customHeight="1">
      <c r="A1358" s="501">
        <v>1123</v>
      </c>
      <c r="B1358" s="540" t="s">
        <v>3240</v>
      </c>
      <c r="C1358" s="507" t="s">
        <v>2344</v>
      </c>
      <c r="D1358" s="511"/>
      <c r="E1358" s="511">
        <f>14407/1.1</f>
        <v>13097.272727272726</v>
      </c>
      <c r="F1358" s="511">
        <f t="shared" si="57"/>
        <v>13097.272727272726</v>
      </c>
      <c r="G1358" s="501">
        <v>1123</v>
      </c>
      <c r="H1358" s="540" t="s">
        <v>3240</v>
      </c>
      <c r="I1358" s="507" t="s">
        <v>2344</v>
      </c>
      <c r="J1358" s="511"/>
      <c r="K1358" s="511">
        <f>14407/1.1</f>
        <v>13097.272727272726</v>
      </c>
      <c r="L1358" s="511">
        <f t="shared" si="58"/>
        <v>13097.272727272726</v>
      </c>
      <c r="M1358" s="489" t="str">
        <f t="shared" si="56"/>
        <v>DDDDDDDĐ</v>
      </c>
    </row>
    <row r="1359" spans="1:13" ht="19.5" customHeight="1">
      <c r="A1359" s="501">
        <v>1124</v>
      </c>
      <c r="B1359" s="540" t="s">
        <v>3241</v>
      </c>
      <c r="C1359" s="507" t="s">
        <v>2344</v>
      </c>
      <c r="D1359" s="511"/>
      <c r="E1359" s="511">
        <f>19580/1.1</f>
        <v>17800</v>
      </c>
      <c r="F1359" s="511">
        <f t="shared" si="57"/>
        <v>17800</v>
      </c>
      <c r="G1359" s="501">
        <v>1124</v>
      </c>
      <c r="H1359" s="540" t="s">
        <v>3241</v>
      </c>
      <c r="I1359" s="507" t="s">
        <v>2344</v>
      </c>
      <c r="J1359" s="511"/>
      <c r="K1359" s="511">
        <f>19580/1.1</f>
        <v>17800</v>
      </c>
      <c r="L1359" s="511">
        <f t="shared" si="58"/>
        <v>17800</v>
      </c>
      <c r="M1359" s="489" t="str">
        <f t="shared" si="56"/>
        <v>DDDDDDDĐ</v>
      </c>
    </row>
    <row r="1360" spans="1:13" ht="19.5" customHeight="1">
      <c r="A1360" s="501">
        <v>1125</v>
      </c>
      <c r="B1360" s="540" t="s">
        <v>3242</v>
      </c>
      <c r="C1360" s="507" t="s">
        <v>2344</v>
      </c>
      <c r="D1360" s="511"/>
      <c r="E1360" s="511">
        <f>65993/1.1</f>
        <v>59993.63636363636</v>
      </c>
      <c r="F1360" s="511">
        <f t="shared" si="57"/>
        <v>59993.63636363636</v>
      </c>
      <c r="G1360" s="501">
        <v>1125</v>
      </c>
      <c r="H1360" s="540" t="s">
        <v>3242</v>
      </c>
      <c r="I1360" s="507" t="s">
        <v>2344</v>
      </c>
      <c r="J1360" s="511"/>
      <c r="K1360" s="511">
        <f>65993/1.1</f>
        <v>59993.63636363636</v>
      </c>
      <c r="L1360" s="511">
        <f t="shared" si="58"/>
        <v>59993.63636363636</v>
      </c>
      <c r="M1360" s="489" t="str">
        <f t="shared" si="56"/>
        <v>DDDDDDDĐ</v>
      </c>
    </row>
    <row r="1361" spans="1:13" ht="19.5" customHeight="1">
      <c r="A1361" s="501">
        <v>1126</v>
      </c>
      <c r="B1361" s="540" t="s">
        <v>3243</v>
      </c>
      <c r="C1361" s="507" t="s">
        <v>2344</v>
      </c>
      <c r="D1361" s="511"/>
      <c r="E1361" s="511">
        <f>96485/1.1</f>
        <v>87713.636363636353</v>
      </c>
      <c r="F1361" s="511">
        <f t="shared" si="57"/>
        <v>87713.636363636353</v>
      </c>
      <c r="G1361" s="501">
        <v>1126</v>
      </c>
      <c r="H1361" s="540" t="s">
        <v>3243</v>
      </c>
      <c r="I1361" s="507" t="s">
        <v>2344</v>
      </c>
      <c r="J1361" s="511"/>
      <c r="K1361" s="511">
        <f>96485/1.1</f>
        <v>87713.636363636353</v>
      </c>
      <c r="L1361" s="511">
        <f t="shared" si="58"/>
        <v>87713.636363636353</v>
      </c>
      <c r="M1361" s="489" t="str">
        <f t="shared" si="56"/>
        <v>DDDDDDDĐ</v>
      </c>
    </row>
    <row r="1362" spans="1:13" ht="19.5" customHeight="1">
      <c r="A1362" s="501">
        <v>1127</v>
      </c>
      <c r="B1362" s="584" t="s">
        <v>3244</v>
      </c>
      <c r="C1362" s="507" t="s">
        <v>2344</v>
      </c>
      <c r="D1362" s="511"/>
      <c r="E1362" s="511">
        <f>127304/1.1</f>
        <v>115730.90909090909</v>
      </c>
      <c r="F1362" s="511">
        <f t="shared" si="57"/>
        <v>115730.90909090909</v>
      </c>
      <c r="G1362" s="501">
        <v>1127</v>
      </c>
      <c r="H1362" s="584" t="s">
        <v>3244</v>
      </c>
      <c r="I1362" s="507" t="s">
        <v>2344</v>
      </c>
      <c r="J1362" s="511"/>
      <c r="K1362" s="511">
        <f>127304/1.1</f>
        <v>115730.90909090909</v>
      </c>
      <c r="L1362" s="511">
        <f t="shared" si="58"/>
        <v>115730.90909090909</v>
      </c>
      <c r="M1362" s="489" t="str">
        <f t="shared" si="56"/>
        <v>DDDDDDDĐ</v>
      </c>
    </row>
    <row r="1363" spans="1:13" ht="19.5" customHeight="1">
      <c r="A1363" s="501">
        <v>1128</v>
      </c>
      <c r="B1363" s="540" t="s">
        <v>3245</v>
      </c>
      <c r="C1363" s="585" t="s">
        <v>2344</v>
      </c>
      <c r="D1363" s="997"/>
      <c r="E1363" s="511">
        <f>79000/1.1/50</f>
        <v>1436.3636363636363</v>
      </c>
      <c r="F1363" s="511">
        <f t="shared" si="57"/>
        <v>1436.3636363636363</v>
      </c>
      <c r="G1363" s="501">
        <v>1128</v>
      </c>
      <c r="H1363" s="540" t="s">
        <v>3245</v>
      </c>
      <c r="I1363" s="585" t="s">
        <v>2344</v>
      </c>
      <c r="J1363" s="997"/>
      <c r="K1363" s="511">
        <f>79000/1.1/50</f>
        <v>1436.3636363636363</v>
      </c>
      <c r="L1363" s="511">
        <f t="shared" si="58"/>
        <v>1436.3636363636363</v>
      </c>
      <c r="M1363" s="489" t="str">
        <f t="shared" si="56"/>
        <v>DDDDDDDĐ</v>
      </c>
    </row>
    <row r="1364" spans="1:13" ht="19.5" customHeight="1">
      <c r="A1364" s="501">
        <v>1129</v>
      </c>
      <c r="B1364" s="540" t="s">
        <v>3246</v>
      </c>
      <c r="C1364" s="585" t="s">
        <v>2344</v>
      </c>
      <c r="D1364" s="997"/>
      <c r="E1364" s="511">
        <f>95000/1.1/50</f>
        <v>1727.272727272727</v>
      </c>
      <c r="F1364" s="511">
        <f t="shared" si="57"/>
        <v>1727.272727272727</v>
      </c>
      <c r="G1364" s="501">
        <v>1129</v>
      </c>
      <c r="H1364" s="540" t="s">
        <v>3246</v>
      </c>
      <c r="I1364" s="585" t="s">
        <v>2344</v>
      </c>
      <c r="J1364" s="997"/>
      <c r="K1364" s="511">
        <f>95000/1.1/50</f>
        <v>1727.272727272727</v>
      </c>
      <c r="L1364" s="511">
        <f t="shared" si="58"/>
        <v>1727.272727272727</v>
      </c>
      <c r="M1364" s="489" t="str">
        <f t="shared" si="56"/>
        <v>DDDDDDDĐ</v>
      </c>
    </row>
    <row r="1365" spans="1:13" ht="20.100000000000001" customHeight="1">
      <c r="A1365" s="501">
        <v>1130</v>
      </c>
      <c r="B1365" s="584" t="s">
        <v>3247</v>
      </c>
      <c r="C1365" s="585" t="s">
        <v>2344</v>
      </c>
      <c r="D1365" s="997"/>
      <c r="E1365" s="511">
        <f>123000/1.1/50</f>
        <v>2236.363636363636</v>
      </c>
      <c r="F1365" s="511">
        <f t="shared" si="57"/>
        <v>2236.363636363636</v>
      </c>
      <c r="G1365" s="501">
        <v>1130</v>
      </c>
      <c r="H1365" s="584" t="s">
        <v>3247</v>
      </c>
      <c r="I1365" s="585" t="s">
        <v>2344</v>
      </c>
      <c r="J1365" s="997"/>
      <c r="K1365" s="511">
        <f>123000/1.1/50</f>
        <v>2236.363636363636</v>
      </c>
      <c r="L1365" s="511">
        <f t="shared" si="58"/>
        <v>2236.363636363636</v>
      </c>
      <c r="M1365" s="489" t="str">
        <f t="shared" si="56"/>
        <v>DDDDDDDĐ</v>
      </c>
    </row>
    <row r="1366" spans="1:13" ht="20.100000000000001" customHeight="1">
      <c r="A1366" s="501">
        <v>1131</v>
      </c>
      <c r="B1366" s="540" t="s">
        <v>3248</v>
      </c>
      <c r="C1366" s="585" t="s">
        <v>2344</v>
      </c>
      <c r="D1366" s="997"/>
      <c r="E1366" s="511">
        <f>89000/1.1/50</f>
        <v>1618.181818181818</v>
      </c>
      <c r="F1366" s="511">
        <f>E1366</f>
        <v>1618.181818181818</v>
      </c>
      <c r="G1366" s="501">
        <v>1131</v>
      </c>
      <c r="H1366" s="540" t="s">
        <v>3248</v>
      </c>
      <c r="I1366" s="585" t="s">
        <v>2344</v>
      </c>
      <c r="J1366" s="997"/>
      <c r="K1366" s="511">
        <f>89000/1.1/50</f>
        <v>1618.181818181818</v>
      </c>
      <c r="L1366" s="511">
        <f>K1366</f>
        <v>1618.181818181818</v>
      </c>
      <c r="M1366" s="489" t="str">
        <f t="shared" si="56"/>
        <v>DDDDDDDĐ</v>
      </c>
    </row>
    <row r="1367" spans="1:13" ht="20.100000000000001" customHeight="1">
      <c r="A1367" s="501">
        <v>1132</v>
      </c>
      <c r="B1367" s="540" t="s">
        <v>3249</v>
      </c>
      <c r="C1367" s="585" t="s">
        <v>2344</v>
      </c>
      <c r="D1367" s="997"/>
      <c r="E1367" s="511">
        <f>129000/1.1/50</f>
        <v>2345.4545454545455</v>
      </c>
      <c r="F1367" s="511">
        <f>E1367</f>
        <v>2345.4545454545455</v>
      </c>
      <c r="G1367" s="501">
        <v>1132</v>
      </c>
      <c r="H1367" s="540" t="s">
        <v>3249</v>
      </c>
      <c r="I1367" s="585" t="s">
        <v>2344</v>
      </c>
      <c r="J1367" s="997"/>
      <c r="K1367" s="511">
        <f>129000/1.1/50</f>
        <v>2345.4545454545455</v>
      </c>
      <c r="L1367" s="511">
        <f>K1367</f>
        <v>2345.4545454545455</v>
      </c>
      <c r="M1367" s="489" t="str">
        <f t="shared" si="56"/>
        <v>DDDDDDDĐ</v>
      </c>
    </row>
    <row r="1368" spans="1:13" ht="20.100000000000001" customHeight="1">
      <c r="A1368" s="501">
        <v>1133</v>
      </c>
      <c r="B1368" s="540" t="s">
        <v>3250</v>
      </c>
      <c r="C1368" s="585" t="s">
        <v>2344</v>
      </c>
      <c r="D1368" s="997"/>
      <c r="E1368" s="511">
        <f>159000/1.1/50</f>
        <v>2890.9090909090905</v>
      </c>
      <c r="F1368" s="511">
        <f>E1368</f>
        <v>2890.9090909090905</v>
      </c>
      <c r="G1368" s="501">
        <v>1133</v>
      </c>
      <c r="H1368" s="540" t="s">
        <v>3250</v>
      </c>
      <c r="I1368" s="585" t="s">
        <v>2344</v>
      </c>
      <c r="J1368" s="997"/>
      <c r="K1368" s="511">
        <f>159000/1.1/50</f>
        <v>2890.9090909090905</v>
      </c>
      <c r="L1368" s="511">
        <f>K1368</f>
        <v>2890.9090909090905</v>
      </c>
      <c r="M1368" s="489" t="str">
        <f t="shared" si="56"/>
        <v>DDDDDDDĐ</v>
      </c>
    </row>
    <row r="1369" spans="1:13" ht="20.100000000000001" customHeight="1">
      <c r="A1369" s="501"/>
      <c r="B1369" s="583" t="s">
        <v>3761</v>
      </c>
      <c r="C1369" s="510"/>
      <c r="D1369" s="510"/>
      <c r="E1369" s="511"/>
      <c r="F1369" s="511"/>
      <c r="G1369" s="501"/>
      <c r="H1369" s="583" t="s">
        <v>3761</v>
      </c>
      <c r="I1369" s="510"/>
      <c r="J1369" s="510"/>
      <c r="K1369" s="511"/>
      <c r="L1369" s="511"/>
      <c r="M1369" s="489" t="str">
        <f t="shared" si="56"/>
        <v>DDDDDDDĐ</v>
      </c>
    </row>
    <row r="1370" spans="1:13" ht="20.100000000000001" customHeight="1">
      <c r="A1370" s="501">
        <v>1134</v>
      </c>
      <c r="B1370" s="540" t="s">
        <v>3762</v>
      </c>
      <c r="C1370" s="507" t="s">
        <v>2338</v>
      </c>
      <c r="D1370" s="511">
        <v>9091</v>
      </c>
      <c r="E1370" s="511"/>
      <c r="F1370" s="511"/>
      <c r="G1370" s="501">
        <v>1134</v>
      </c>
      <c r="H1370" s="540" t="s">
        <v>3762</v>
      </c>
      <c r="I1370" s="507" t="s">
        <v>2338</v>
      </c>
      <c r="J1370" s="511">
        <v>9091</v>
      </c>
      <c r="K1370" s="511"/>
      <c r="L1370" s="511"/>
      <c r="M1370" s="489" t="str">
        <f t="shared" si="56"/>
        <v>DDDDDDDĐ</v>
      </c>
    </row>
    <row r="1371" spans="1:13" ht="20.100000000000001" customHeight="1">
      <c r="A1371" s="501">
        <v>1135</v>
      </c>
      <c r="B1371" s="540" t="s">
        <v>3763</v>
      </c>
      <c r="C1371" s="507" t="s">
        <v>2338</v>
      </c>
      <c r="D1371" s="511">
        <v>12000</v>
      </c>
      <c r="E1371" s="511"/>
      <c r="F1371" s="511"/>
      <c r="G1371" s="501">
        <v>1135</v>
      </c>
      <c r="H1371" s="540" t="s">
        <v>3763</v>
      </c>
      <c r="I1371" s="507" t="s">
        <v>2338</v>
      </c>
      <c r="J1371" s="511">
        <v>12000</v>
      </c>
      <c r="K1371" s="511"/>
      <c r="L1371" s="511"/>
      <c r="M1371" s="489" t="str">
        <f t="shared" si="56"/>
        <v>DDDDDDDĐ</v>
      </c>
    </row>
    <row r="1372" spans="1:13" ht="20.100000000000001" customHeight="1">
      <c r="A1372" s="501">
        <v>1136</v>
      </c>
      <c r="B1372" s="540" t="s">
        <v>3764</v>
      </c>
      <c r="C1372" s="507" t="s">
        <v>2338</v>
      </c>
      <c r="D1372" s="511">
        <v>45000</v>
      </c>
      <c r="E1372" s="511"/>
      <c r="F1372" s="511"/>
      <c r="G1372" s="501">
        <v>1136</v>
      </c>
      <c r="H1372" s="540" t="s">
        <v>3764</v>
      </c>
      <c r="I1372" s="507" t="s">
        <v>2338</v>
      </c>
      <c r="J1372" s="511">
        <v>45000</v>
      </c>
      <c r="K1372" s="511"/>
      <c r="L1372" s="511"/>
      <c r="M1372" s="489" t="str">
        <f t="shared" si="56"/>
        <v>DDDDDDDĐ</v>
      </c>
    </row>
    <row r="1373" spans="1:13" ht="20.100000000000001" customHeight="1">
      <c r="A1373" s="501">
        <v>1137</v>
      </c>
      <c r="B1373" s="540" t="s">
        <v>3765</v>
      </c>
      <c r="C1373" s="507" t="s">
        <v>2338</v>
      </c>
      <c r="D1373" s="511">
        <v>46000</v>
      </c>
      <c r="E1373" s="511"/>
      <c r="F1373" s="511"/>
      <c r="G1373" s="501">
        <v>1137</v>
      </c>
      <c r="H1373" s="540" t="s">
        <v>3765</v>
      </c>
      <c r="I1373" s="507" t="s">
        <v>2338</v>
      </c>
      <c r="J1373" s="511">
        <v>46000</v>
      </c>
      <c r="K1373" s="511"/>
      <c r="L1373" s="511"/>
      <c r="M1373" s="489" t="str">
        <f t="shared" si="56"/>
        <v>DDDDDDDĐ</v>
      </c>
    </row>
    <row r="1374" spans="1:13" ht="20.100000000000001" customHeight="1">
      <c r="A1374" s="501">
        <v>1138</v>
      </c>
      <c r="B1374" s="540" t="s">
        <v>3766</v>
      </c>
      <c r="C1374" s="507" t="s">
        <v>2338</v>
      </c>
      <c r="D1374" s="511">
        <v>28000</v>
      </c>
      <c r="E1374" s="511"/>
      <c r="F1374" s="511"/>
      <c r="G1374" s="501">
        <v>1138</v>
      </c>
      <c r="H1374" s="540" t="s">
        <v>3766</v>
      </c>
      <c r="I1374" s="507" t="s">
        <v>2338</v>
      </c>
      <c r="J1374" s="511">
        <v>28000</v>
      </c>
      <c r="K1374" s="511"/>
      <c r="L1374" s="511"/>
      <c r="M1374" s="489" t="str">
        <f t="shared" si="56"/>
        <v>DDDDDDDĐ</v>
      </c>
    </row>
    <row r="1375" spans="1:13" ht="19.5" customHeight="1">
      <c r="A1375" s="501">
        <v>1139</v>
      </c>
      <c r="B1375" s="540" t="s">
        <v>3767</v>
      </c>
      <c r="C1375" s="507" t="s">
        <v>2338</v>
      </c>
      <c r="D1375" s="511">
        <v>33000</v>
      </c>
      <c r="E1375" s="511"/>
      <c r="F1375" s="511"/>
      <c r="G1375" s="501">
        <v>1139</v>
      </c>
      <c r="H1375" s="540" t="s">
        <v>3767</v>
      </c>
      <c r="I1375" s="507" t="s">
        <v>2338</v>
      </c>
      <c r="J1375" s="511">
        <v>33000</v>
      </c>
      <c r="K1375" s="511"/>
      <c r="L1375" s="511"/>
      <c r="M1375" s="489" t="str">
        <f t="shared" si="56"/>
        <v>DDDDDDDĐ</v>
      </c>
    </row>
    <row r="1376" spans="1:13" ht="19.5" customHeight="1">
      <c r="A1376" s="501">
        <v>1140</v>
      </c>
      <c r="B1376" s="540" t="s">
        <v>3768</v>
      </c>
      <c r="C1376" s="507" t="s">
        <v>2338</v>
      </c>
      <c r="D1376" s="511">
        <v>28000</v>
      </c>
      <c r="E1376" s="511"/>
      <c r="F1376" s="511"/>
      <c r="G1376" s="501">
        <v>1140</v>
      </c>
      <c r="H1376" s="540" t="s">
        <v>3768</v>
      </c>
      <c r="I1376" s="507" t="s">
        <v>2338</v>
      </c>
      <c r="J1376" s="511">
        <v>28000</v>
      </c>
      <c r="K1376" s="511"/>
      <c r="L1376" s="511"/>
      <c r="M1376" s="489" t="str">
        <f t="shared" ref="M1376:M1439" si="59">IF(B1376=H1376,"DDDDDDDĐ","SSSSSSSSSSSS")</f>
        <v>DDDDDDDĐ</v>
      </c>
    </row>
    <row r="1377" spans="1:13" ht="19.5" customHeight="1">
      <c r="A1377" s="501">
        <v>1141</v>
      </c>
      <c r="B1377" s="540" t="s">
        <v>3769</v>
      </c>
      <c r="C1377" s="507" t="s">
        <v>2338</v>
      </c>
      <c r="D1377" s="511">
        <v>36000</v>
      </c>
      <c r="E1377" s="511"/>
      <c r="F1377" s="511"/>
      <c r="G1377" s="501">
        <v>1141</v>
      </c>
      <c r="H1377" s="540" t="s">
        <v>3769</v>
      </c>
      <c r="I1377" s="507" t="s">
        <v>2338</v>
      </c>
      <c r="J1377" s="511">
        <v>36000</v>
      </c>
      <c r="K1377" s="511"/>
      <c r="L1377" s="511"/>
      <c r="M1377" s="489" t="str">
        <f t="shared" si="59"/>
        <v>DDDDDDDĐ</v>
      </c>
    </row>
    <row r="1378" spans="1:13" ht="19.5" customHeight="1">
      <c r="A1378" s="501">
        <v>1142</v>
      </c>
      <c r="B1378" s="540" t="s">
        <v>3770</v>
      </c>
      <c r="C1378" s="507" t="s">
        <v>2338</v>
      </c>
      <c r="D1378" s="511">
        <v>118000</v>
      </c>
      <c r="E1378" s="511"/>
      <c r="F1378" s="511"/>
      <c r="G1378" s="501">
        <v>1142</v>
      </c>
      <c r="H1378" s="540" t="s">
        <v>3770</v>
      </c>
      <c r="I1378" s="507" t="s">
        <v>2338</v>
      </c>
      <c r="J1378" s="511">
        <v>118000</v>
      </c>
      <c r="K1378" s="511"/>
      <c r="L1378" s="511"/>
      <c r="M1378" s="489" t="str">
        <f t="shared" si="59"/>
        <v>DDDDDDDĐ</v>
      </c>
    </row>
    <row r="1379" spans="1:13" ht="19.5" customHeight="1">
      <c r="A1379" s="501">
        <v>1143</v>
      </c>
      <c r="B1379" s="540" t="s">
        <v>3771</v>
      </c>
      <c r="C1379" s="507" t="s">
        <v>2338</v>
      </c>
      <c r="D1379" s="511">
        <v>193000</v>
      </c>
      <c r="E1379" s="511"/>
      <c r="F1379" s="511"/>
      <c r="G1379" s="501">
        <v>1143</v>
      </c>
      <c r="H1379" s="540" t="s">
        <v>3771</v>
      </c>
      <c r="I1379" s="507" t="s">
        <v>2338</v>
      </c>
      <c r="J1379" s="511">
        <v>193000</v>
      </c>
      <c r="K1379" s="511"/>
      <c r="L1379" s="511"/>
      <c r="M1379" s="489" t="str">
        <f t="shared" si="59"/>
        <v>DDDDDDDĐ</v>
      </c>
    </row>
    <row r="1380" spans="1:13" ht="19.5" customHeight="1">
      <c r="A1380" s="501">
        <v>1144</v>
      </c>
      <c r="B1380" s="540" t="s">
        <v>3772</v>
      </c>
      <c r="C1380" s="507" t="s">
        <v>2338</v>
      </c>
      <c r="D1380" s="511">
        <v>128000</v>
      </c>
      <c r="E1380" s="511"/>
      <c r="F1380" s="511"/>
      <c r="G1380" s="501">
        <v>1144</v>
      </c>
      <c r="H1380" s="540" t="s">
        <v>3772</v>
      </c>
      <c r="I1380" s="507" t="s">
        <v>2338</v>
      </c>
      <c r="J1380" s="511">
        <v>128000</v>
      </c>
      <c r="K1380" s="511"/>
      <c r="L1380" s="511"/>
      <c r="M1380" s="489" t="str">
        <f t="shared" si="59"/>
        <v>DDDDDDDĐ</v>
      </c>
    </row>
    <row r="1381" spans="1:13" ht="19.5" customHeight="1">
      <c r="A1381" s="501">
        <v>1145</v>
      </c>
      <c r="B1381" s="540" t="s">
        <v>3773</v>
      </c>
      <c r="C1381" s="507" t="s">
        <v>2338</v>
      </c>
      <c r="D1381" s="511">
        <v>141000</v>
      </c>
      <c r="E1381" s="511"/>
      <c r="F1381" s="511"/>
      <c r="G1381" s="501">
        <v>1145</v>
      </c>
      <c r="H1381" s="540" t="s">
        <v>3773</v>
      </c>
      <c r="I1381" s="507" t="s">
        <v>2338</v>
      </c>
      <c r="J1381" s="511">
        <v>141000</v>
      </c>
      <c r="K1381" s="511"/>
      <c r="L1381" s="511"/>
      <c r="M1381" s="489" t="str">
        <f t="shared" si="59"/>
        <v>DDDDDDDĐ</v>
      </c>
    </row>
    <row r="1382" spans="1:13" ht="19.5" customHeight="1">
      <c r="A1382" s="501">
        <v>1146</v>
      </c>
      <c r="B1382" s="540" t="s">
        <v>3774</v>
      </c>
      <c r="C1382" s="507" t="s">
        <v>2338</v>
      </c>
      <c r="D1382" s="511">
        <v>123000</v>
      </c>
      <c r="E1382" s="511"/>
      <c r="F1382" s="511"/>
      <c r="G1382" s="501">
        <v>1146</v>
      </c>
      <c r="H1382" s="540" t="s">
        <v>3774</v>
      </c>
      <c r="I1382" s="507" t="s">
        <v>2338</v>
      </c>
      <c r="J1382" s="511">
        <v>123000</v>
      </c>
      <c r="K1382" s="511"/>
      <c r="L1382" s="511"/>
      <c r="M1382" s="489" t="str">
        <f t="shared" si="59"/>
        <v>DDDDDDDĐ</v>
      </c>
    </row>
    <row r="1383" spans="1:13" ht="19.5" customHeight="1">
      <c r="A1383" s="501">
        <v>1147</v>
      </c>
      <c r="B1383" s="540" t="s">
        <v>3775</v>
      </c>
      <c r="C1383" s="507" t="s">
        <v>2338</v>
      </c>
      <c r="D1383" s="511">
        <v>133000</v>
      </c>
      <c r="E1383" s="511"/>
      <c r="F1383" s="511"/>
      <c r="G1383" s="501">
        <v>1147</v>
      </c>
      <c r="H1383" s="540" t="s">
        <v>3775</v>
      </c>
      <c r="I1383" s="507" t="s">
        <v>2338</v>
      </c>
      <c r="J1383" s="511">
        <v>133000</v>
      </c>
      <c r="K1383" s="511"/>
      <c r="L1383" s="511"/>
      <c r="M1383" s="489" t="str">
        <f t="shared" si="59"/>
        <v>DDDDDDDĐ</v>
      </c>
    </row>
    <row r="1384" spans="1:13" ht="19.5" customHeight="1">
      <c r="A1384" s="501">
        <v>1148</v>
      </c>
      <c r="B1384" s="540" t="s">
        <v>3776</v>
      </c>
      <c r="C1384" s="585" t="s">
        <v>2530</v>
      </c>
      <c r="D1384" s="511">
        <v>106000</v>
      </c>
      <c r="E1384" s="511"/>
      <c r="F1384" s="511"/>
      <c r="G1384" s="501">
        <v>1148</v>
      </c>
      <c r="H1384" s="540" t="s">
        <v>3776</v>
      </c>
      <c r="I1384" s="585" t="s">
        <v>2530</v>
      </c>
      <c r="J1384" s="511">
        <v>106000</v>
      </c>
      <c r="K1384" s="511"/>
      <c r="L1384" s="511"/>
      <c r="M1384" s="489" t="str">
        <f t="shared" si="59"/>
        <v>DDDDDDDĐ</v>
      </c>
    </row>
    <row r="1385" spans="1:13" ht="19.5" customHeight="1">
      <c r="A1385" s="501">
        <v>1149</v>
      </c>
      <c r="B1385" s="540" t="s">
        <v>3777</v>
      </c>
      <c r="C1385" s="585" t="s">
        <v>2530</v>
      </c>
      <c r="D1385" s="511">
        <v>119000</v>
      </c>
      <c r="E1385" s="511"/>
      <c r="F1385" s="511"/>
      <c r="G1385" s="501">
        <v>1149</v>
      </c>
      <c r="H1385" s="540" t="s">
        <v>3777</v>
      </c>
      <c r="I1385" s="585" t="s">
        <v>2530</v>
      </c>
      <c r="J1385" s="511">
        <v>119000</v>
      </c>
      <c r="K1385" s="511"/>
      <c r="L1385" s="511"/>
      <c r="M1385" s="489" t="str">
        <f t="shared" si="59"/>
        <v>DDDDDDDĐ</v>
      </c>
    </row>
    <row r="1386" spans="1:13" ht="19.5" customHeight="1">
      <c r="A1386" s="501">
        <v>1150</v>
      </c>
      <c r="B1386" s="540" t="s">
        <v>3778</v>
      </c>
      <c r="C1386" s="585" t="s">
        <v>2530</v>
      </c>
      <c r="D1386" s="511">
        <v>454000</v>
      </c>
      <c r="E1386" s="511"/>
      <c r="F1386" s="511"/>
      <c r="G1386" s="501">
        <v>1150</v>
      </c>
      <c r="H1386" s="540" t="s">
        <v>3778</v>
      </c>
      <c r="I1386" s="585" t="s">
        <v>2530</v>
      </c>
      <c r="J1386" s="511">
        <v>454000</v>
      </c>
      <c r="K1386" s="511"/>
      <c r="L1386" s="511"/>
      <c r="M1386" s="489" t="str">
        <f t="shared" si="59"/>
        <v>DDDDDDDĐ</v>
      </c>
    </row>
    <row r="1387" spans="1:13" ht="19.5" customHeight="1">
      <c r="A1387" s="501">
        <v>1151</v>
      </c>
      <c r="B1387" s="540" t="s">
        <v>3779</v>
      </c>
      <c r="C1387" s="585" t="s">
        <v>2530</v>
      </c>
      <c r="D1387" s="511">
        <v>590000</v>
      </c>
      <c r="E1387" s="511"/>
      <c r="F1387" s="511"/>
      <c r="G1387" s="501">
        <v>1151</v>
      </c>
      <c r="H1387" s="540" t="s">
        <v>3779</v>
      </c>
      <c r="I1387" s="585" t="s">
        <v>2530</v>
      </c>
      <c r="J1387" s="511">
        <v>590000</v>
      </c>
      <c r="K1387" s="511"/>
      <c r="L1387" s="511"/>
      <c r="M1387" s="489" t="str">
        <f t="shared" si="59"/>
        <v>DDDDDDDĐ</v>
      </c>
    </row>
    <row r="1388" spans="1:13" ht="19.5" customHeight="1">
      <c r="A1388" s="513" t="s">
        <v>3251</v>
      </c>
      <c r="B1388" s="583" t="s">
        <v>3252</v>
      </c>
      <c r="C1388" s="510"/>
      <c r="D1388" s="510"/>
      <c r="E1388" s="511"/>
      <c r="F1388" s="511"/>
      <c r="G1388" s="513" t="s">
        <v>3251</v>
      </c>
      <c r="H1388" s="583" t="s">
        <v>3252</v>
      </c>
      <c r="I1388" s="510"/>
      <c r="J1388" s="510"/>
      <c r="K1388" s="511"/>
      <c r="L1388" s="511"/>
      <c r="M1388" s="489" t="str">
        <f t="shared" si="59"/>
        <v>DDDDDDDĐ</v>
      </c>
    </row>
    <row r="1389" spans="1:13" ht="19.5" customHeight="1">
      <c r="A1389" s="501"/>
      <c r="B1389" s="583" t="s">
        <v>3780</v>
      </c>
      <c r="C1389" s="510"/>
      <c r="D1389" s="510"/>
      <c r="E1389" s="511"/>
      <c r="F1389" s="511"/>
      <c r="G1389" s="501"/>
      <c r="H1389" s="583" t="s">
        <v>3780</v>
      </c>
      <c r="I1389" s="510"/>
      <c r="J1389" s="510"/>
      <c r="K1389" s="511"/>
      <c r="L1389" s="511"/>
      <c r="M1389" s="489" t="str">
        <f t="shared" si="59"/>
        <v>DDDDDDDĐ</v>
      </c>
    </row>
    <row r="1390" spans="1:13" ht="19.5" customHeight="1">
      <c r="A1390" s="501"/>
      <c r="B1390" s="2160" t="s">
        <v>3253</v>
      </c>
      <c r="C1390" s="2160"/>
      <c r="D1390" s="2160"/>
      <c r="E1390" s="2160"/>
      <c r="F1390" s="2160"/>
      <c r="G1390" s="501"/>
      <c r="H1390" s="2160" t="s">
        <v>3253</v>
      </c>
      <c r="I1390" s="2160"/>
      <c r="J1390" s="2160"/>
      <c r="K1390" s="2160"/>
      <c r="L1390" s="2160"/>
      <c r="M1390" s="489" t="str">
        <f t="shared" si="59"/>
        <v>DDDDDDDĐ</v>
      </c>
    </row>
    <row r="1391" spans="1:13" ht="19.5" customHeight="1">
      <c r="A1391" s="501">
        <v>1152</v>
      </c>
      <c r="B1391" s="540" t="s">
        <v>3254</v>
      </c>
      <c r="C1391" s="507" t="s">
        <v>5268</v>
      </c>
      <c r="D1391" s="511">
        <f>1970639/1.1</f>
        <v>1791489.9999999998</v>
      </c>
      <c r="E1391" s="511"/>
      <c r="F1391" s="511"/>
      <c r="G1391" s="501">
        <v>1152</v>
      </c>
      <c r="H1391" s="540" t="s">
        <v>3254</v>
      </c>
      <c r="I1391" s="507" t="s">
        <v>5268</v>
      </c>
      <c r="J1391" s="511">
        <f>1970639/1.1</f>
        <v>1791489.9999999998</v>
      </c>
      <c r="K1391" s="511"/>
      <c r="L1391" s="511"/>
      <c r="M1391" s="489" t="str">
        <f t="shared" si="59"/>
        <v>DDDDDDDĐ</v>
      </c>
    </row>
    <row r="1392" spans="1:13" ht="18">
      <c r="A1392" s="501">
        <v>1153</v>
      </c>
      <c r="B1392" s="540" t="s">
        <v>3255</v>
      </c>
      <c r="C1392" s="507" t="s">
        <v>5268</v>
      </c>
      <c r="D1392" s="511">
        <f>2357007/1.1</f>
        <v>2142733.6363636362</v>
      </c>
      <c r="E1392" s="511"/>
      <c r="F1392" s="511"/>
      <c r="G1392" s="501">
        <v>1153</v>
      </c>
      <c r="H1392" s="540" t="s">
        <v>3255</v>
      </c>
      <c r="I1392" s="507" t="s">
        <v>5268</v>
      </c>
      <c r="J1392" s="511">
        <f>2357007/1.1</f>
        <v>2142733.6363636362</v>
      </c>
      <c r="K1392" s="511"/>
      <c r="L1392" s="511"/>
      <c r="M1392" s="489" t="str">
        <f t="shared" si="59"/>
        <v>DDDDDDDĐ</v>
      </c>
    </row>
    <row r="1393" spans="1:13" ht="18">
      <c r="A1393" s="501">
        <v>1154</v>
      </c>
      <c r="B1393" s="540" t="s">
        <v>3256</v>
      </c>
      <c r="C1393" s="507" t="s">
        <v>5268</v>
      </c>
      <c r="D1393" s="511">
        <f>3354451/1.1</f>
        <v>3049500.9090909087</v>
      </c>
      <c r="E1393" s="511"/>
      <c r="F1393" s="511"/>
      <c r="G1393" s="501">
        <v>1154</v>
      </c>
      <c r="H1393" s="540" t="s">
        <v>3256</v>
      </c>
      <c r="I1393" s="507" t="s">
        <v>5268</v>
      </c>
      <c r="J1393" s="511">
        <f>3354451/1.1</f>
        <v>3049500.9090909087</v>
      </c>
      <c r="K1393" s="511"/>
      <c r="L1393" s="511"/>
      <c r="M1393" s="489" t="str">
        <f t="shared" si="59"/>
        <v>DDDDDDDĐ</v>
      </c>
    </row>
    <row r="1394" spans="1:13" ht="18">
      <c r="A1394" s="501">
        <v>1155</v>
      </c>
      <c r="B1394" s="540" t="s">
        <v>3257</v>
      </c>
      <c r="C1394" s="507" t="s">
        <v>5268</v>
      </c>
      <c r="D1394" s="511">
        <f>3205724/1.1</f>
        <v>2914294.5454545454</v>
      </c>
      <c r="E1394" s="511"/>
      <c r="F1394" s="511"/>
      <c r="G1394" s="501">
        <v>1155</v>
      </c>
      <c r="H1394" s="540" t="s">
        <v>3257</v>
      </c>
      <c r="I1394" s="507" t="s">
        <v>5268</v>
      </c>
      <c r="J1394" s="511">
        <f>3205724/1.1</f>
        <v>2914294.5454545454</v>
      </c>
      <c r="K1394" s="511"/>
      <c r="L1394" s="511"/>
      <c r="M1394" s="489" t="str">
        <f t="shared" si="59"/>
        <v>DDDDDDDĐ</v>
      </c>
    </row>
    <row r="1395" spans="1:13" ht="18">
      <c r="A1395" s="501">
        <v>1156</v>
      </c>
      <c r="B1395" s="540" t="s">
        <v>3258</v>
      </c>
      <c r="C1395" s="507" t="s">
        <v>5268</v>
      </c>
      <c r="D1395" s="511">
        <f>4054440/1.1</f>
        <v>3685854.5454545449</v>
      </c>
      <c r="E1395" s="511"/>
      <c r="F1395" s="511"/>
      <c r="G1395" s="501">
        <v>1156</v>
      </c>
      <c r="H1395" s="540" t="s">
        <v>3258</v>
      </c>
      <c r="I1395" s="507" t="s">
        <v>5268</v>
      </c>
      <c r="J1395" s="511">
        <f>4054440/1.1</f>
        <v>3685854.5454545449</v>
      </c>
      <c r="K1395" s="511"/>
      <c r="L1395" s="511"/>
      <c r="M1395" s="489" t="str">
        <f t="shared" si="59"/>
        <v>DDDDDDDĐ</v>
      </c>
    </row>
    <row r="1396" spans="1:13" ht="19.5" customHeight="1">
      <c r="A1396" s="501">
        <v>1157</v>
      </c>
      <c r="B1396" s="540" t="s">
        <v>3259</v>
      </c>
      <c r="C1396" s="507" t="s">
        <v>5268</v>
      </c>
      <c r="D1396" s="511">
        <f>4348662/1.1</f>
        <v>3953329.0909090904</v>
      </c>
      <c r="E1396" s="511"/>
      <c r="F1396" s="511"/>
      <c r="G1396" s="501">
        <v>1157</v>
      </c>
      <c r="H1396" s="540" t="s">
        <v>3259</v>
      </c>
      <c r="I1396" s="507" t="s">
        <v>5268</v>
      </c>
      <c r="J1396" s="511">
        <f>4348662/1.1</f>
        <v>3953329.0909090904</v>
      </c>
      <c r="K1396" s="511"/>
      <c r="L1396" s="511"/>
      <c r="M1396" s="489" t="str">
        <f t="shared" si="59"/>
        <v>DDDDDDDĐ</v>
      </c>
    </row>
    <row r="1397" spans="1:13" ht="19.5" customHeight="1">
      <c r="A1397" s="501">
        <v>1158</v>
      </c>
      <c r="B1397" s="540" t="s">
        <v>3260</v>
      </c>
      <c r="C1397" s="507" t="s">
        <v>5268</v>
      </c>
      <c r="D1397" s="511">
        <f>3957149/1.1</f>
        <v>3597408.1818181816</v>
      </c>
      <c r="E1397" s="511"/>
      <c r="F1397" s="511"/>
      <c r="G1397" s="501">
        <v>1158</v>
      </c>
      <c r="H1397" s="540" t="s">
        <v>3260</v>
      </c>
      <c r="I1397" s="507" t="s">
        <v>5268</v>
      </c>
      <c r="J1397" s="511">
        <f>3957149/1.1</f>
        <v>3597408.1818181816</v>
      </c>
      <c r="K1397" s="511"/>
      <c r="L1397" s="511"/>
      <c r="M1397" s="489" t="str">
        <f t="shared" si="59"/>
        <v>DDDDDDDĐ</v>
      </c>
    </row>
    <row r="1398" spans="1:13" ht="19.5" customHeight="1">
      <c r="A1398" s="501">
        <v>1159</v>
      </c>
      <c r="B1398" s="540" t="s">
        <v>3261</v>
      </c>
      <c r="C1398" s="507" t="s">
        <v>5268</v>
      </c>
      <c r="D1398" s="511">
        <f>4410093/1.1</f>
        <v>4009175.4545454541</v>
      </c>
      <c r="E1398" s="511"/>
      <c r="F1398" s="511"/>
      <c r="G1398" s="501">
        <v>1159</v>
      </c>
      <c r="H1398" s="540" t="s">
        <v>3261</v>
      </c>
      <c r="I1398" s="507" t="s">
        <v>5268</v>
      </c>
      <c r="J1398" s="511">
        <f>4410093/1.1</f>
        <v>4009175.4545454541</v>
      </c>
      <c r="K1398" s="511"/>
      <c r="L1398" s="511"/>
      <c r="M1398" s="489" t="str">
        <f t="shared" si="59"/>
        <v>DDDDDDDĐ</v>
      </c>
    </row>
    <row r="1399" spans="1:13" ht="18">
      <c r="A1399" s="501">
        <v>1160</v>
      </c>
      <c r="B1399" s="540" t="s">
        <v>3262</v>
      </c>
      <c r="C1399" s="507" t="s">
        <v>5268</v>
      </c>
      <c r="D1399" s="511">
        <f>4718799/1.1</f>
        <v>4289817.2727272725</v>
      </c>
      <c r="E1399" s="511"/>
      <c r="F1399" s="511"/>
      <c r="G1399" s="501">
        <v>1160</v>
      </c>
      <c r="H1399" s="540" t="s">
        <v>3262</v>
      </c>
      <c r="I1399" s="507" t="s">
        <v>5268</v>
      </c>
      <c r="J1399" s="511">
        <f>4718799/1.1</f>
        <v>4289817.2727272725</v>
      </c>
      <c r="K1399" s="511"/>
      <c r="L1399" s="511"/>
      <c r="M1399" s="489" t="str">
        <f t="shared" si="59"/>
        <v>DDDDDDDĐ</v>
      </c>
    </row>
    <row r="1400" spans="1:13" ht="19.5" customHeight="1">
      <c r="A1400" s="501">
        <v>1161</v>
      </c>
      <c r="B1400" s="540" t="s">
        <v>3263</v>
      </c>
      <c r="C1400" s="507" t="s">
        <v>5268</v>
      </c>
      <c r="D1400" s="511">
        <f>2434604/1.1</f>
        <v>2213276.3636363633</v>
      </c>
      <c r="E1400" s="511"/>
      <c r="F1400" s="511"/>
      <c r="G1400" s="501">
        <v>1161</v>
      </c>
      <c r="H1400" s="540" t="s">
        <v>3263</v>
      </c>
      <c r="I1400" s="507" t="s">
        <v>5268</v>
      </c>
      <c r="J1400" s="511">
        <f>2434604/1.1</f>
        <v>2213276.3636363633</v>
      </c>
      <c r="K1400" s="511"/>
      <c r="L1400" s="511"/>
      <c r="M1400" s="489" t="str">
        <f t="shared" si="59"/>
        <v>DDDDDDDĐ</v>
      </c>
    </row>
    <row r="1401" spans="1:13" ht="19.5" customHeight="1">
      <c r="A1401" s="501"/>
      <c r="B1401" s="2160" t="s">
        <v>3824</v>
      </c>
      <c r="C1401" s="2160"/>
      <c r="D1401" s="2160"/>
      <c r="E1401" s="2160"/>
      <c r="F1401" s="2160"/>
      <c r="G1401" s="501"/>
      <c r="H1401" s="2160" t="s">
        <v>3824</v>
      </c>
      <c r="I1401" s="2160"/>
      <c r="J1401" s="2160"/>
      <c r="K1401" s="2160"/>
      <c r="L1401" s="2160"/>
      <c r="M1401" s="489" t="str">
        <f t="shared" si="59"/>
        <v>DDDDDDDĐ</v>
      </c>
    </row>
    <row r="1402" spans="1:13" ht="19.5" customHeight="1">
      <c r="A1402" s="501"/>
      <c r="B1402" s="587" t="s">
        <v>3264</v>
      </c>
      <c r="C1402" s="588"/>
      <c r="D1402" s="588"/>
      <c r="E1402" s="588"/>
      <c r="F1402" s="589"/>
      <c r="G1402" s="501"/>
      <c r="H1402" s="587" t="s">
        <v>3264</v>
      </c>
      <c r="I1402" s="588"/>
      <c r="J1402" s="588"/>
      <c r="K1402" s="588"/>
      <c r="L1402" s="589"/>
      <c r="M1402" s="489" t="str">
        <f t="shared" si="59"/>
        <v>DDDDDDDĐ</v>
      </c>
    </row>
    <row r="1403" spans="1:13" ht="18">
      <c r="A1403" s="501">
        <v>1162</v>
      </c>
      <c r="B1403" s="540" t="s">
        <v>3265</v>
      </c>
      <c r="C1403" s="507" t="s">
        <v>5268</v>
      </c>
      <c r="D1403" s="511"/>
      <c r="E1403" s="511">
        <v>1633000</v>
      </c>
      <c r="F1403" s="511"/>
      <c r="G1403" s="501">
        <v>1162</v>
      </c>
      <c r="H1403" s="540" t="s">
        <v>3265</v>
      </c>
      <c r="I1403" s="507" t="s">
        <v>5268</v>
      </c>
      <c r="J1403" s="511"/>
      <c r="K1403" s="511">
        <v>1633000</v>
      </c>
      <c r="L1403" s="511"/>
      <c r="M1403" s="489" t="str">
        <f t="shared" si="59"/>
        <v>DDDDDDDĐ</v>
      </c>
    </row>
    <row r="1404" spans="1:13" ht="18">
      <c r="A1404" s="501">
        <v>1163</v>
      </c>
      <c r="B1404" s="540" t="s">
        <v>3255</v>
      </c>
      <c r="C1404" s="507" t="s">
        <v>5268</v>
      </c>
      <c r="D1404" s="511"/>
      <c r="E1404" s="511">
        <v>1980000</v>
      </c>
      <c r="F1404" s="511"/>
      <c r="G1404" s="501">
        <v>1163</v>
      </c>
      <c r="H1404" s="540" t="s">
        <v>3255</v>
      </c>
      <c r="I1404" s="507" t="s">
        <v>5268</v>
      </c>
      <c r="J1404" s="511"/>
      <c r="K1404" s="511">
        <v>1980000</v>
      </c>
      <c r="L1404" s="511"/>
      <c r="M1404" s="489" t="str">
        <f t="shared" si="59"/>
        <v>DDDDDDDĐ</v>
      </c>
    </row>
    <row r="1405" spans="1:13" ht="19.5" customHeight="1">
      <c r="A1405" s="501">
        <v>1164</v>
      </c>
      <c r="B1405" s="540" t="s">
        <v>3257</v>
      </c>
      <c r="C1405" s="507" t="s">
        <v>5268</v>
      </c>
      <c r="D1405" s="511"/>
      <c r="E1405" s="511">
        <v>2622000</v>
      </c>
      <c r="F1405" s="511"/>
      <c r="G1405" s="501">
        <v>1164</v>
      </c>
      <c r="H1405" s="540" t="s">
        <v>3257</v>
      </c>
      <c r="I1405" s="507" t="s">
        <v>5268</v>
      </c>
      <c r="J1405" s="511"/>
      <c r="K1405" s="511">
        <v>2622000</v>
      </c>
      <c r="L1405" s="511"/>
      <c r="M1405" s="489" t="str">
        <f t="shared" si="59"/>
        <v>DDDDDDDĐ</v>
      </c>
    </row>
    <row r="1406" spans="1:13" ht="19.5" customHeight="1">
      <c r="A1406" s="501">
        <v>1165</v>
      </c>
      <c r="B1406" s="540" t="s">
        <v>3258</v>
      </c>
      <c r="C1406" s="507" t="s">
        <v>5268</v>
      </c>
      <c r="D1406" s="511"/>
      <c r="E1406" s="511">
        <v>2817000</v>
      </c>
      <c r="F1406" s="511"/>
      <c r="G1406" s="501">
        <v>1165</v>
      </c>
      <c r="H1406" s="540" t="s">
        <v>3258</v>
      </c>
      <c r="I1406" s="507" t="s">
        <v>5268</v>
      </c>
      <c r="J1406" s="511"/>
      <c r="K1406" s="511">
        <v>2817000</v>
      </c>
      <c r="L1406" s="511"/>
      <c r="M1406" s="489" t="str">
        <f t="shared" si="59"/>
        <v>DDDDDDDĐ</v>
      </c>
    </row>
    <row r="1407" spans="1:13" ht="19.5" customHeight="1">
      <c r="A1407" s="501">
        <v>1166</v>
      </c>
      <c r="B1407" s="540" t="s">
        <v>3266</v>
      </c>
      <c r="C1407" s="507" t="s">
        <v>5268</v>
      </c>
      <c r="D1407" s="511"/>
      <c r="E1407" s="511">
        <v>3315000</v>
      </c>
      <c r="F1407" s="511"/>
      <c r="G1407" s="501">
        <v>1166</v>
      </c>
      <c r="H1407" s="540" t="s">
        <v>3266</v>
      </c>
      <c r="I1407" s="507" t="s">
        <v>5268</v>
      </c>
      <c r="J1407" s="511"/>
      <c r="K1407" s="511">
        <v>3315000</v>
      </c>
      <c r="L1407" s="511"/>
      <c r="M1407" s="489" t="str">
        <f t="shared" si="59"/>
        <v>DDDDDDDĐ</v>
      </c>
    </row>
    <row r="1408" spans="1:13" ht="18">
      <c r="A1408" s="501">
        <v>1167</v>
      </c>
      <c r="B1408" s="540" t="s">
        <v>3262</v>
      </c>
      <c r="C1408" s="507" t="s">
        <v>5268</v>
      </c>
      <c r="D1408" s="511"/>
      <c r="E1408" s="511">
        <v>3972000</v>
      </c>
      <c r="F1408" s="511"/>
      <c r="G1408" s="501">
        <v>1167</v>
      </c>
      <c r="H1408" s="540" t="s">
        <v>3262</v>
      </c>
      <c r="I1408" s="507" t="s">
        <v>5268</v>
      </c>
      <c r="J1408" s="511"/>
      <c r="K1408" s="511">
        <v>3972000</v>
      </c>
      <c r="L1408" s="511"/>
      <c r="M1408" s="489" t="str">
        <f t="shared" si="59"/>
        <v>DDDDDDDĐ</v>
      </c>
    </row>
    <row r="1409" spans="1:13" ht="19.5" customHeight="1">
      <c r="A1409" s="501">
        <v>1168</v>
      </c>
      <c r="B1409" s="540" t="s">
        <v>3263</v>
      </c>
      <c r="C1409" s="507" t="s">
        <v>5268</v>
      </c>
      <c r="D1409" s="511"/>
      <c r="E1409" s="511">
        <v>2359200</v>
      </c>
      <c r="F1409" s="511"/>
      <c r="G1409" s="501">
        <v>1168</v>
      </c>
      <c r="H1409" s="540" t="s">
        <v>3263</v>
      </c>
      <c r="I1409" s="507" t="s">
        <v>5268</v>
      </c>
      <c r="J1409" s="511"/>
      <c r="K1409" s="511">
        <v>2359200</v>
      </c>
      <c r="L1409" s="511"/>
      <c r="M1409" s="489" t="str">
        <f t="shared" si="59"/>
        <v>DDDDDDDĐ</v>
      </c>
    </row>
    <row r="1410" spans="1:13" ht="19.5" customHeight="1">
      <c r="A1410" s="501">
        <v>1169</v>
      </c>
      <c r="B1410" s="506" t="s">
        <v>3267</v>
      </c>
      <c r="C1410" s="507" t="s">
        <v>5366</v>
      </c>
      <c r="D1410" s="511"/>
      <c r="E1410" s="511">
        <v>3410000</v>
      </c>
      <c r="F1410" s="511"/>
      <c r="G1410" s="501">
        <v>1169</v>
      </c>
      <c r="H1410" s="506" t="s">
        <v>3267</v>
      </c>
      <c r="I1410" s="507" t="s">
        <v>5366</v>
      </c>
      <c r="J1410" s="511"/>
      <c r="K1410" s="511">
        <v>3410000</v>
      </c>
      <c r="L1410" s="511"/>
      <c r="M1410" s="489" t="str">
        <f t="shared" si="59"/>
        <v>DDDDDDDĐ</v>
      </c>
    </row>
    <row r="1411" spans="1:13" ht="19.5" customHeight="1">
      <c r="A1411" s="501"/>
      <c r="B1411" s="587" t="s">
        <v>3268</v>
      </c>
      <c r="C1411" s="588"/>
      <c r="D1411" s="588"/>
      <c r="E1411" s="588"/>
      <c r="F1411" s="589"/>
      <c r="G1411" s="501"/>
      <c r="H1411" s="587" t="s">
        <v>3268</v>
      </c>
      <c r="I1411" s="588"/>
      <c r="J1411" s="588"/>
      <c r="K1411" s="588"/>
      <c r="L1411" s="589"/>
      <c r="M1411" s="489" t="str">
        <f t="shared" si="59"/>
        <v>DDDDDDDĐ</v>
      </c>
    </row>
    <row r="1412" spans="1:13" ht="18">
      <c r="A1412" s="501">
        <v>1170</v>
      </c>
      <c r="B1412" s="540" t="s">
        <v>3269</v>
      </c>
      <c r="C1412" s="507" t="s">
        <v>5268</v>
      </c>
      <c r="D1412" s="511"/>
      <c r="E1412" s="511">
        <v>720000</v>
      </c>
      <c r="F1412" s="511"/>
      <c r="G1412" s="501">
        <v>1170</v>
      </c>
      <c r="H1412" s="540" t="s">
        <v>3269</v>
      </c>
      <c r="I1412" s="507" t="s">
        <v>5268</v>
      </c>
      <c r="J1412" s="511"/>
      <c r="K1412" s="511">
        <v>720000</v>
      </c>
      <c r="L1412" s="511"/>
      <c r="M1412" s="489" t="str">
        <f t="shared" si="59"/>
        <v>DDDDDDDĐ</v>
      </c>
    </row>
    <row r="1413" spans="1:13" ht="18">
      <c r="A1413" s="501">
        <v>1171</v>
      </c>
      <c r="B1413" s="540" t="s">
        <v>3270</v>
      </c>
      <c r="C1413" s="507" t="s">
        <v>5268</v>
      </c>
      <c r="D1413" s="511"/>
      <c r="E1413" s="511">
        <v>920000</v>
      </c>
      <c r="F1413" s="511"/>
      <c r="G1413" s="501">
        <v>1171</v>
      </c>
      <c r="H1413" s="540" t="s">
        <v>3270</v>
      </c>
      <c r="I1413" s="507" t="s">
        <v>5268</v>
      </c>
      <c r="J1413" s="511"/>
      <c r="K1413" s="511">
        <v>920000</v>
      </c>
      <c r="L1413" s="511"/>
      <c r="M1413" s="489" t="str">
        <f t="shared" si="59"/>
        <v>DDDDDDDĐ</v>
      </c>
    </row>
    <row r="1414" spans="1:13" ht="19.5" customHeight="1">
      <c r="A1414" s="501">
        <v>1172</v>
      </c>
      <c r="B1414" s="540" t="s">
        <v>3883</v>
      </c>
      <c r="C1414" s="507" t="s">
        <v>5268</v>
      </c>
      <c r="D1414" s="511"/>
      <c r="E1414" s="511">
        <v>680000</v>
      </c>
      <c r="F1414" s="511"/>
      <c r="G1414" s="501">
        <v>1172</v>
      </c>
      <c r="H1414" s="540" t="s">
        <v>3883</v>
      </c>
      <c r="I1414" s="507" t="s">
        <v>5268</v>
      </c>
      <c r="J1414" s="511"/>
      <c r="K1414" s="511">
        <v>680000</v>
      </c>
      <c r="L1414" s="511"/>
      <c r="M1414" s="489" t="str">
        <f t="shared" si="59"/>
        <v>DDDDDDDĐ</v>
      </c>
    </row>
    <row r="1415" spans="1:13" ht="19.5" customHeight="1">
      <c r="A1415" s="501"/>
      <c r="B1415" s="502" t="s">
        <v>3271</v>
      </c>
      <c r="C1415" s="510"/>
      <c r="D1415" s="510"/>
      <c r="E1415" s="511"/>
      <c r="F1415" s="511"/>
      <c r="G1415" s="501"/>
      <c r="H1415" s="502" t="s">
        <v>3271</v>
      </c>
      <c r="I1415" s="510"/>
      <c r="J1415" s="510"/>
      <c r="K1415" s="511"/>
      <c r="L1415" s="511"/>
      <c r="M1415" s="489" t="str">
        <f t="shared" si="59"/>
        <v>DDDDDDDĐ</v>
      </c>
    </row>
    <row r="1416" spans="1:13" ht="19.5" customHeight="1">
      <c r="A1416" s="501"/>
      <c r="B1416" s="502" t="s">
        <v>3272</v>
      </c>
      <c r="C1416" s="510"/>
      <c r="D1416" s="510"/>
      <c r="E1416" s="511"/>
      <c r="F1416" s="511"/>
      <c r="G1416" s="501"/>
      <c r="H1416" s="502" t="s">
        <v>3272</v>
      </c>
      <c r="I1416" s="510"/>
      <c r="J1416" s="510"/>
      <c r="K1416" s="511"/>
      <c r="L1416" s="511"/>
      <c r="M1416" s="489" t="str">
        <f t="shared" si="59"/>
        <v>DDDDDDDĐ</v>
      </c>
    </row>
    <row r="1417" spans="1:13" ht="19.5" customHeight="1">
      <c r="A1417" s="501">
        <v>1173</v>
      </c>
      <c r="B1417" s="506" t="s">
        <v>3273</v>
      </c>
      <c r="C1417" s="586" t="s">
        <v>5268</v>
      </c>
      <c r="D1417" s="510"/>
      <c r="E1417" s="511">
        <v>800000</v>
      </c>
      <c r="F1417" s="511">
        <f t="shared" ref="F1417:F1423" si="60">E1417</f>
        <v>800000</v>
      </c>
      <c r="G1417" s="501">
        <v>1173</v>
      </c>
      <c r="H1417" s="506" t="s">
        <v>3273</v>
      </c>
      <c r="I1417" s="586" t="s">
        <v>5268</v>
      </c>
      <c r="J1417" s="510"/>
      <c r="K1417" s="511">
        <v>800000</v>
      </c>
      <c r="L1417" s="511">
        <f>K1417</f>
        <v>800000</v>
      </c>
      <c r="M1417" s="489" t="str">
        <f t="shared" si="59"/>
        <v>DDDDDDDĐ</v>
      </c>
    </row>
    <row r="1418" spans="1:13" ht="19.5" customHeight="1">
      <c r="A1418" s="501">
        <v>1174</v>
      </c>
      <c r="B1418" s="506" t="s">
        <v>3274</v>
      </c>
      <c r="C1418" s="586" t="s">
        <v>5268</v>
      </c>
      <c r="D1418" s="510"/>
      <c r="E1418" s="511">
        <v>1200000</v>
      </c>
      <c r="F1418" s="511">
        <f t="shared" si="60"/>
        <v>1200000</v>
      </c>
      <c r="G1418" s="501">
        <v>1174</v>
      </c>
      <c r="H1418" s="506" t="s">
        <v>3274</v>
      </c>
      <c r="I1418" s="586" t="s">
        <v>5268</v>
      </c>
      <c r="J1418" s="510"/>
      <c r="K1418" s="511">
        <v>1200000</v>
      </c>
      <c r="L1418" s="511">
        <f t="shared" ref="L1418:L1434" si="61">K1418</f>
        <v>1200000</v>
      </c>
      <c r="M1418" s="489" t="str">
        <f t="shared" si="59"/>
        <v>DDDDDDDĐ</v>
      </c>
    </row>
    <row r="1419" spans="1:13" ht="18">
      <c r="A1419" s="501">
        <v>1175</v>
      </c>
      <c r="B1419" s="506" t="s">
        <v>3275</v>
      </c>
      <c r="C1419" s="586" t="s">
        <v>5268</v>
      </c>
      <c r="D1419" s="510"/>
      <c r="E1419" s="511">
        <v>600000</v>
      </c>
      <c r="F1419" s="511">
        <f t="shared" si="60"/>
        <v>600000</v>
      </c>
      <c r="G1419" s="501">
        <v>1175</v>
      </c>
      <c r="H1419" s="506" t="s">
        <v>3275</v>
      </c>
      <c r="I1419" s="586" t="s">
        <v>5268</v>
      </c>
      <c r="J1419" s="510"/>
      <c r="K1419" s="511">
        <v>600000</v>
      </c>
      <c r="L1419" s="511">
        <f t="shared" si="61"/>
        <v>600000</v>
      </c>
      <c r="M1419" s="489" t="str">
        <f t="shared" si="59"/>
        <v>DDDDDDDĐ</v>
      </c>
    </row>
    <row r="1420" spans="1:13" ht="19.5" customHeight="1">
      <c r="A1420" s="501">
        <v>1176</v>
      </c>
      <c r="B1420" s="506" t="s">
        <v>3276</v>
      </c>
      <c r="C1420" s="586" t="s">
        <v>5268</v>
      </c>
      <c r="D1420" s="510"/>
      <c r="E1420" s="511">
        <v>500000</v>
      </c>
      <c r="F1420" s="511">
        <f t="shared" si="60"/>
        <v>500000</v>
      </c>
      <c r="G1420" s="501">
        <v>1176</v>
      </c>
      <c r="H1420" s="506" t="s">
        <v>3276</v>
      </c>
      <c r="I1420" s="586" t="s">
        <v>5268</v>
      </c>
      <c r="J1420" s="510"/>
      <c r="K1420" s="511">
        <v>500000</v>
      </c>
      <c r="L1420" s="511">
        <f t="shared" si="61"/>
        <v>500000</v>
      </c>
      <c r="M1420" s="489" t="str">
        <f t="shared" si="59"/>
        <v>DDDDDDDĐ</v>
      </c>
    </row>
    <row r="1421" spans="1:13" ht="19.5" customHeight="1">
      <c r="A1421" s="501">
        <v>1177</v>
      </c>
      <c r="B1421" s="506" t="s">
        <v>3277</v>
      </c>
      <c r="C1421" s="586" t="s">
        <v>5268</v>
      </c>
      <c r="D1421" s="510"/>
      <c r="E1421" s="511">
        <v>600000</v>
      </c>
      <c r="F1421" s="511">
        <f t="shared" si="60"/>
        <v>600000</v>
      </c>
      <c r="G1421" s="501">
        <v>1177</v>
      </c>
      <c r="H1421" s="506" t="s">
        <v>3277</v>
      </c>
      <c r="I1421" s="586" t="s">
        <v>5268</v>
      </c>
      <c r="J1421" s="510"/>
      <c r="K1421" s="511">
        <v>600000</v>
      </c>
      <c r="L1421" s="511">
        <f t="shared" si="61"/>
        <v>600000</v>
      </c>
      <c r="M1421" s="489" t="str">
        <f t="shared" si="59"/>
        <v>DDDDDDDĐ</v>
      </c>
    </row>
    <row r="1422" spans="1:13" ht="19.5" customHeight="1">
      <c r="A1422" s="501">
        <v>1178</v>
      </c>
      <c r="B1422" s="506" t="s">
        <v>3278</v>
      </c>
      <c r="C1422" s="586" t="s">
        <v>5268</v>
      </c>
      <c r="D1422" s="510"/>
      <c r="E1422" s="511">
        <v>600000</v>
      </c>
      <c r="F1422" s="511">
        <f t="shared" si="60"/>
        <v>600000</v>
      </c>
      <c r="G1422" s="501">
        <v>1178</v>
      </c>
      <c r="H1422" s="506" t="s">
        <v>3278</v>
      </c>
      <c r="I1422" s="586" t="s">
        <v>5268</v>
      </c>
      <c r="J1422" s="510"/>
      <c r="K1422" s="511">
        <v>600000</v>
      </c>
      <c r="L1422" s="511">
        <f t="shared" si="61"/>
        <v>600000</v>
      </c>
      <c r="M1422" s="489" t="str">
        <f t="shared" si="59"/>
        <v>DDDDDDDĐ</v>
      </c>
    </row>
    <row r="1423" spans="1:13" ht="19.5" customHeight="1">
      <c r="A1423" s="501">
        <v>1179</v>
      </c>
      <c r="B1423" s="506" t="s">
        <v>3279</v>
      </c>
      <c r="C1423" s="586" t="s">
        <v>5268</v>
      </c>
      <c r="D1423" s="510"/>
      <c r="E1423" s="511">
        <v>600000</v>
      </c>
      <c r="F1423" s="511">
        <f t="shared" si="60"/>
        <v>600000</v>
      </c>
      <c r="G1423" s="501">
        <v>1179</v>
      </c>
      <c r="H1423" s="506" t="s">
        <v>3279</v>
      </c>
      <c r="I1423" s="586" t="s">
        <v>5268</v>
      </c>
      <c r="J1423" s="510"/>
      <c r="K1423" s="511">
        <v>600000</v>
      </c>
      <c r="L1423" s="511">
        <f t="shared" si="61"/>
        <v>600000</v>
      </c>
      <c r="M1423" s="489" t="str">
        <f t="shared" si="59"/>
        <v>DDDDDDDĐ</v>
      </c>
    </row>
    <row r="1424" spans="1:13" ht="19.5" customHeight="1">
      <c r="A1424" s="501"/>
      <c r="B1424" s="502" t="s">
        <v>3280</v>
      </c>
      <c r="C1424" s="503"/>
      <c r="D1424" s="503"/>
      <c r="E1424" s="590"/>
      <c r="F1424" s="511"/>
      <c r="G1424" s="501"/>
      <c r="H1424" s="502" t="s">
        <v>3280</v>
      </c>
      <c r="I1424" s="503"/>
      <c r="J1424" s="503"/>
      <c r="K1424" s="590"/>
      <c r="L1424" s="511"/>
      <c r="M1424" s="489" t="str">
        <f t="shared" si="59"/>
        <v>DDDDDDDĐ</v>
      </c>
    </row>
    <row r="1425" spans="1:13" ht="18">
      <c r="A1425" s="501">
        <v>1180</v>
      </c>
      <c r="B1425" s="506" t="s">
        <v>3281</v>
      </c>
      <c r="C1425" s="586" t="s">
        <v>5268</v>
      </c>
      <c r="D1425" s="503"/>
      <c r="E1425" s="511">
        <v>700000</v>
      </c>
      <c r="F1425" s="511">
        <f t="shared" ref="F1425:F1431" si="62">E1425</f>
        <v>700000</v>
      </c>
      <c r="G1425" s="501">
        <v>1180</v>
      </c>
      <c r="H1425" s="506" t="s">
        <v>3281</v>
      </c>
      <c r="I1425" s="586" t="s">
        <v>5268</v>
      </c>
      <c r="J1425" s="503"/>
      <c r="K1425" s="511">
        <v>700000</v>
      </c>
      <c r="L1425" s="511">
        <f t="shared" si="61"/>
        <v>700000</v>
      </c>
      <c r="M1425" s="489" t="str">
        <f t="shared" si="59"/>
        <v>DDDDDDDĐ</v>
      </c>
    </row>
    <row r="1426" spans="1:13" ht="18">
      <c r="A1426" s="501">
        <v>1181</v>
      </c>
      <c r="B1426" s="506" t="s">
        <v>3282</v>
      </c>
      <c r="C1426" s="586" t="s">
        <v>5268</v>
      </c>
      <c r="D1426" s="510"/>
      <c r="E1426" s="511">
        <v>800000</v>
      </c>
      <c r="F1426" s="511">
        <f t="shared" si="62"/>
        <v>800000</v>
      </c>
      <c r="G1426" s="501">
        <v>1181</v>
      </c>
      <c r="H1426" s="506" t="s">
        <v>3282</v>
      </c>
      <c r="I1426" s="586" t="s">
        <v>5268</v>
      </c>
      <c r="J1426" s="510"/>
      <c r="K1426" s="511">
        <v>800000</v>
      </c>
      <c r="L1426" s="511">
        <f t="shared" si="61"/>
        <v>800000</v>
      </c>
      <c r="M1426" s="489" t="str">
        <f t="shared" si="59"/>
        <v>DDDDDDDĐ</v>
      </c>
    </row>
    <row r="1427" spans="1:13" ht="19.5" customHeight="1">
      <c r="A1427" s="501">
        <v>1182</v>
      </c>
      <c r="B1427" s="506" t="s">
        <v>3283</v>
      </c>
      <c r="C1427" s="586" t="s">
        <v>5268</v>
      </c>
      <c r="D1427" s="510"/>
      <c r="E1427" s="511">
        <v>600000</v>
      </c>
      <c r="F1427" s="511">
        <f t="shared" si="62"/>
        <v>600000</v>
      </c>
      <c r="G1427" s="501">
        <v>1182</v>
      </c>
      <c r="H1427" s="506" t="s">
        <v>3283</v>
      </c>
      <c r="I1427" s="586" t="s">
        <v>5268</v>
      </c>
      <c r="J1427" s="510"/>
      <c r="K1427" s="511">
        <v>600000</v>
      </c>
      <c r="L1427" s="511">
        <f t="shared" si="61"/>
        <v>600000</v>
      </c>
      <c r="M1427" s="489" t="str">
        <f t="shared" si="59"/>
        <v>DDDDDDDĐ</v>
      </c>
    </row>
    <row r="1428" spans="1:13" ht="19.5" customHeight="1">
      <c r="A1428" s="501">
        <v>1183</v>
      </c>
      <c r="B1428" s="506" t="s">
        <v>3284</v>
      </c>
      <c r="C1428" s="586" t="s">
        <v>5268</v>
      </c>
      <c r="D1428" s="510"/>
      <c r="E1428" s="511">
        <v>900000</v>
      </c>
      <c r="F1428" s="511">
        <f t="shared" si="62"/>
        <v>900000</v>
      </c>
      <c r="G1428" s="501">
        <v>1183</v>
      </c>
      <c r="H1428" s="506" t="s">
        <v>3284</v>
      </c>
      <c r="I1428" s="586" t="s">
        <v>5268</v>
      </c>
      <c r="J1428" s="510"/>
      <c r="K1428" s="511">
        <v>900000</v>
      </c>
      <c r="L1428" s="511">
        <f t="shared" si="61"/>
        <v>900000</v>
      </c>
      <c r="M1428" s="489" t="str">
        <f t="shared" si="59"/>
        <v>DDDDDDDĐ</v>
      </c>
    </row>
    <row r="1429" spans="1:13" ht="19.5" customHeight="1">
      <c r="A1429" s="501">
        <v>1184</v>
      </c>
      <c r="B1429" s="506" t="s">
        <v>3285</v>
      </c>
      <c r="C1429" s="586" t="s">
        <v>5268</v>
      </c>
      <c r="D1429" s="510"/>
      <c r="E1429" s="511">
        <v>1100000</v>
      </c>
      <c r="F1429" s="511">
        <f t="shared" si="62"/>
        <v>1100000</v>
      </c>
      <c r="G1429" s="501">
        <v>1184</v>
      </c>
      <c r="H1429" s="506" t="s">
        <v>3285</v>
      </c>
      <c r="I1429" s="586" t="s">
        <v>5268</v>
      </c>
      <c r="J1429" s="510"/>
      <c r="K1429" s="511">
        <v>1100000</v>
      </c>
      <c r="L1429" s="511">
        <f t="shared" si="61"/>
        <v>1100000</v>
      </c>
      <c r="M1429" s="489" t="str">
        <f t="shared" si="59"/>
        <v>DDDDDDDĐ</v>
      </c>
    </row>
    <row r="1430" spans="1:13" ht="19.5" customHeight="1">
      <c r="A1430" s="501">
        <v>1185</v>
      </c>
      <c r="B1430" s="506" t="s">
        <v>3286</v>
      </c>
      <c r="C1430" s="586" t="s">
        <v>5268</v>
      </c>
      <c r="D1430" s="510"/>
      <c r="E1430" s="511">
        <v>600000</v>
      </c>
      <c r="F1430" s="511">
        <f t="shared" si="62"/>
        <v>600000</v>
      </c>
      <c r="G1430" s="501">
        <v>1185</v>
      </c>
      <c r="H1430" s="506" t="s">
        <v>3286</v>
      </c>
      <c r="I1430" s="586" t="s">
        <v>5268</v>
      </c>
      <c r="J1430" s="510"/>
      <c r="K1430" s="511">
        <v>600000</v>
      </c>
      <c r="L1430" s="511">
        <f t="shared" si="61"/>
        <v>600000</v>
      </c>
      <c r="M1430" s="489" t="str">
        <f t="shared" si="59"/>
        <v>DDDDDDDĐ</v>
      </c>
    </row>
    <row r="1431" spans="1:13" ht="19.5" customHeight="1">
      <c r="A1431" s="501">
        <v>1186</v>
      </c>
      <c r="B1431" s="506" t="s">
        <v>3287</v>
      </c>
      <c r="C1431" s="586" t="s">
        <v>5268</v>
      </c>
      <c r="D1431" s="510"/>
      <c r="E1431" s="511">
        <v>700000</v>
      </c>
      <c r="F1431" s="511">
        <f t="shared" si="62"/>
        <v>700000</v>
      </c>
      <c r="G1431" s="501">
        <v>1186</v>
      </c>
      <c r="H1431" s="506" t="s">
        <v>3287</v>
      </c>
      <c r="I1431" s="586" t="s">
        <v>5268</v>
      </c>
      <c r="J1431" s="510"/>
      <c r="K1431" s="511">
        <v>700000</v>
      </c>
      <c r="L1431" s="511">
        <f t="shared" si="61"/>
        <v>700000</v>
      </c>
      <c r="M1431" s="489" t="str">
        <f t="shared" si="59"/>
        <v>DDDDDDDĐ</v>
      </c>
    </row>
    <row r="1432" spans="1:13">
      <c r="A1432" s="501"/>
      <c r="B1432" s="502" t="s">
        <v>3288</v>
      </c>
      <c r="C1432" s="510"/>
      <c r="D1432" s="510"/>
      <c r="E1432" s="511"/>
      <c r="F1432" s="511"/>
      <c r="G1432" s="501"/>
      <c r="H1432" s="502" t="s">
        <v>3288</v>
      </c>
      <c r="I1432" s="510"/>
      <c r="J1432" s="510"/>
      <c r="K1432" s="511"/>
      <c r="L1432" s="511"/>
      <c r="M1432" s="489" t="str">
        <f t="shared" si="59"/>
        <v>DDDDDDDĐ</v>
      </c>
    </row>
    <row r="1433" spans="1:13" ht="18.600000000000001" customHeight="1">
      <c r="A1433" s="501">
        <v>1187</v>
      </c>
      <c r="B1433" s="506" t="s">
        <v>3289</v>
      </c>
      <c r="C1433" s="586" t="s">
        <v>5268</v>
      </c>
      <c r="D1433" s="510"/>
      <c r="E1433" s="511">
        <v>180000</v>
      </c>
      <c r="F1433" s="511">
        <f>E1433</f>
        <v>180000</v>
      </c>
      <c r="G1433" s="501">
        <v>1187</v>
      </c>
      <c r="H1433" s="506" t="s">
        <v>3289</v>
      </c>
      <c r="I1433" s="586" t="s">
        <v>5268</v>
      </c>
      <c r="J1433" s="510"/>
      <c r="K1433" s="511">
        <v>180000</v>
      </c>
      <c r="L1433" s="511">
        <f t="shared" si="61"/>
        <v>180000</v>
      </c>
      <c r="M1433" s="489" t="str">
        <f t="shared" si="59"/>
        <v>DDDDDDDĐ</v>
      </c>
    </row>
    <row r="1434" spans="1:13" ht="18.600000000000001" customHeight="1">
      <c r="A1434" s="501">
        <v>1188</v>
      </c>
      <c r="B1434" s="506" t="s">
        <v>3781</v>
      </c>
      <c r="C1434" s="586" t="s">
        <v>5268</v>
      </c>
      <c r="D1434" s="510"/>
      <c r="E1434" s="511">
        <v>300000</v>
      </c>
      <c r="F1434" s="511">
        <f>E1434</f>
        <v>300000</v>
      </c>
      <c r="G1434" s="501">
        <v>1188</v>
      </c>
      <c r="H1434" s="506" t="s">
        <v>3781</v>
      </c>
      <c r="I1434" s="586" t="s">
        <v>5268</v>
      </c>
      <c r="J1434" s="510"/>
      <c r="K1434" s="511">
        <v>300000</v>
      </c>
      <c r="L1434" s="511">
        <f t="shared" si="61"/>
        <v>300000</v>
      </c>
      <c r="M1434" s="489" t="str">
        <f t="shared" si="59"/>
        <v>DDDDDDDĐ</v>
      </c>
    </row>
    <row r="1435" spans="1:13" ht="18.600000000000001" customHeight="1">
      <c r="A1435" s="501"/>
      <c r="B1435" s="2160" t="s">
        <v>3782</v>
      </c>
      <c r="C1435" s="2160"/>
      <c r="D1435" s="2160"/>
      <c r="E1435" s="2160"/>
      <c r="F1435" s="2160"/>
      <c r="G1435" s="501"/>
      <c r="H1435" s="2160" t="s">
        <v>3782</v>
      </c>
      <c r="I1435" s="2160"/>
      <c r="J1435" s="2160"/>
      <c r="K1435" s="2160"/>
      <c r="L1435" s="2160"/>
      <c r="M1435" s="489" t="str">
        <f t="shared" si="59"/>
        <v>DDDDDDDĐ</v>
      </c>
    </row>
    <row r="1436" spans="1:13" ht="18.600000000000001" customHeight="1">
      <c r="A1436" s="501">
        <v>1189</v>
      </c>
      <c r="B1436" s="592" t="s">
        <v>3783</v>
      </c>
      <c r="C1436" s="593" t="s">
        <v>5367</v>
      </c>
      <c r="D1436" s="594">
        <v>1235000</v>
      </c>
      <c r="E1436" s="594"/>
      <c r="F1436" s="594"/>
      <c r="G1436" s="501">
        <v>1189</v>
      </c>
      <c r="H1436" s="592" t="s">
        <v>3783</v>
      </c>
      <c r="I1436" s="593" t="s">
        <v>5367</v>
      </c>
      <c r="J1436" s="594">
        <v>1235000</v>
      </c>
      <c r="K1436" s="594"/>
      <c r="L1436" s="594"/>
      <c r="M1436" s="489" t="str">
        <f t="shared" si="59"/>
        <v>DDDDDDDĐ</v>
      </c>
    </row>
    <row r="1437" spans="1:13" ht="18.600000000000001" customHeight="1">
      <c r="A1437" s="501">
        <v>1190</v>
      </c>
      <c r="B1437" s="592" t="s">
        <v>3784</v>
      </c>
      <c r="C1437" s="593" t="s">
        <v>5367</v>
      </c>
      <c r="D1437" s="594">
        <v>1420000</v>
      </c>
      <c r="E1437" s="594"/>
      <c r="F1437" s="594"/>
      <c r="G1437" s="501">
        <v>1190</v>
      </c>
      <c r="H1437" s="592" t="s">
        <v>3784</v>
      </c>
      <c r="I1437" s="593" t="s">
        <v>5367</v>
      </c>
      <c r="J1437" s="594">
        <v>1420000</v>
      </c>
      <c r="K1437" s="594"/>
      <c r="L1437" s="594"/>
      <c r="M1437" s="489" t="str">
        <f t="shared" si="59"/>
        <v>DDDDDDDĐ</v>
      </c>
    </row>
    <row r="1438" spans="1:13" ht="17.25">
      <c r="A1438" s="501">
        <v>1191</v>
      </c>
      <c r="B1438" s="592" t="s">
        <v>3785</v>
      </c>
      <c r="C1438" s="593" t="s">
        <v>5367</v>
      </c>
      <c r="D1438" s="594">
        <v>1650000</v>
      </c>
      <c r="E1438" s="594"/>
      <c r="F1438" s="594"/>
      <c r="G1438" s="501">
        <v>1191</v>
      </c>
      <c r="H1438" s="592" t="s">
        <v>3785</v>
      </c>
      <c r="I1438" s="593" t="s">
        <v>5367</v>
      </c>
      <c r="J1438" s="594">
        <v>1650000</v>
      </c>
      <c r="K1438" s="594"/>
      <c r="L1438" s="594"/>
      <c r="M1438" s="489" t="str">
        <f t="shared" si="59"/>
        <v>DDDDDDDĐ</v>
      </c>
    </row>
    <row r="1439" spans="1:13" ht="16.5" customHeight="1">
      <c r="A1439" s="501">
        <v>1192</v>
      </c>
      <c r="B1439" s="592" t="s">
        <v>3786</v>
      </c>
      <c r="C1439" s="593" t="s">
        <v>5367</v>
      </c>
      <c r="D1439" s="594">
        <v>1350000</v>
      </c>
      <c r="E1439" s="594"/>
      <c r="F1439" s="594"/>
      <c r="G1439" s="501">
        <v>1192</v>
      </c>
      <c r="H1439" s="592" t="s">
        <v>3786</v>
      </c>
      <c r="I1439" s="593" t="s">
        <v>5367</v>
      </c>
      <c r="J1439" s="594">
        <v>1350000</v>
      </c>
      <c r="K1439" s="594"/>
      <c r="L1439" s="594"/>
      <c r="M1439" s="489" t="str">
        <f t="shared" si="59"/>
        <v>DDDDDDDĐ</v>
      </c>
    </row>
    <row r="1440" spans="1:13" ht="16.5" customHeight="1">
      <c r="A1440" s="501">
        <v>1193</v>
      </c>
      <c r="B1440" s="592" t="s">
        <v>3787</v>
      </c>
      <c r="C1440" s="593" t="s">
        <v>5367</v>
      </c>
      <c r="D1440" s="594">
        <v>1540000</v>
      </c>
      <c r="E1440" s="594"/>
      <c r="F1440" s="594"/>
      <c r="G1440" s="501">
        <v>1193</v>
      </c>
      <c r="H1440" s="592" t="s">
        <v>3787</v>
      </c>
      <c r="I1440" s="593" t="s">
        <v>5367</v>
      </c>
      <c r="J1440" s="594">
        <v>1540000</v>
      </c>
      <c r="K1440" s="594"/>
      <c r="L1440" s="594"/>
      <c r="M1440" s="489" t="str">
        <f t="shared" ref="M1440:M1503" si="63">IF(B1440=H1440,"DDDDDDDĐ","SSSSSSSSSSSS")</f>
        <v>DDDDDDDĐ</v>
      </c>
    </row>
    <row r="1441" spans="1:13" ht="18.600000000000001" customHeight="1">
      <c r="A1441" s="501">
        <v>1194</v>
      </c>
      <c r="B1441" s="592" t="s">
        <v>3788</v>
      </c>
      <c r="C1441" s="593" t="s">
        <v>5368</v>
      </c>
      <c r="D1441" s="594">
        <v>1740000</v>
      </c>
      <c r="E1441" s="594"/>
      <c r="F1441" s="594"/>
      <c r="G1441" s="501">
        <v>1194</v>
      </c>
      <c r="H1441" s="592" t="s">
        <v>3788</v>
      </c>
      <c r="I1441" s="593" t="s">
        <v>5368</v>
      </c>
      <c r="J1441" s="594">
        <v>1740000</v>
      </c>
      <c r="K1441" s="594"/>
      <c r="L1441" s="594"/>
      <c r="M1441" s="489" t="str">
        <f t="shared" si="63"/>
        <v>DDDDDDDĐ</v>
      </c>
    </row>
    <row r="1442" spans="1:13" ht="18.600000000000001" customHeight="1">
      <c r="A1442" s="501">
        <v>1195</v>
      </c>
      <c r="B1442" s="592" t="s">
        <v>3789</v>
      </c>
      <c r="C1442" s="593" t="s">
        <v>5369</v>
      </c>
      <c r="D1442" s="594">
        <v>2260000</v>
      </c>
      <c r="E1442" s="594"/>
      <c r="F1442" s="594"/>
      <c r="G1442" s="501">
        <v>1195</v>
      </c>
      <c r="H1442" s="592" t="s">
        <v>3789</v>
      </c>
      <c r="I1442" s="593" t="s">
        <v>5369</v>
      </c>
      <c r="J1442" s="594">
        <v>2260000</v>
      </c>
      <c r="K1442" s="594"/>
      <c r="L1442" s="594"/>
      <c r="M1442" s="489" t="str">
        <f t="shared" si="63"/>
        <v>DDDDDDDĐ</v>
      </c>
    </row>
    <row r="1443" spans="1:13">
      <c r="A1443" s="501"/>
      <c r="B1443" s="2160" t="s">
        <v>5132</v>
      </c>
      <c r="C1443" s="2160"/>
      <c r="D1443" s="2160"/>
      <c r="E1443" s="2160"/>
      <c r="F1443" s="2160"/>
      <c r="G1443" s="501"/>
      <c r="H1443" s="2160" t="s">
        <v>5132</v>
      </c>
      <c r="I1443" s="2160"/>
      <c r="J1443" s="2160"/>
      <c r="K1443" s="2160"/>
      <c r="L1443" s="2160"/>
      <c r="M1443" s="489" t="str">
        <f t="shared" si="63"/>
        <v>DDDDDDDĐ</v>
      </c>
    </row>
    <row r="1444" spans="1:13" ht="18.600000000000001" customHeight="1">
      <c r="A1444" s="501">
        <v>1196</v>
      </c>
      <c r="B1444" s="592" t="s">
        <v>5133</v>
      </c>
      <c r="C1444" s="593" t="s">
        <v>5367</v>
      </c>
      <c r="D1444" s="997"/>
      <c r="E1444" s="594">
        <v>2985000</v>
      </c>
      <c r="F1444" s="594"/>
      <c r="G1444" s="501">
        <v>1196</v>
      </c>
      <c r="H1444" s="592" t="s">
        <v>5133</v>
      </c>
      <c r="I1444" s="593" t="s">
        <v>5367</v>
      </c>
      <c r="J1444" s="997"/>
      <c r="K1444" s="594">
        <v>2985000</v>
      </c>
      <c r="L1444" s="594"/>
      <c r="M1444" s="489" t="str">
        <f t="shared" si="63"/>
        <v>DDDDDDDĐ</v>
      </c>
    </row>
    <row r="1445" spans="1:13" ht="18.600000000000001" customHeight="1">
      <c r="A1445" s="501">
        <v>1197</v>
      </c>
      <c r="B1445" s="592" t="s">
        <v>5134</v>
      </c>
      <c r="C1445" s="593" t="s">
        <v>5367</v>
      </c>
      <c r="D1445" s="997"/>
      <c r="E1445" s="594">
        <v>2685000</v>
      </c>
      <c r="F1445" s="594"/>
      <c r="G1445" s="501">
        <v>1197</v>
      </c>
      <c r="H1445" s="592" t="s">
        <v>5134</v>
      </c>
      <c r="I1445" s="593" t="s">
        <v>5367</v>
      </c>
      <c r="J1445" s="997"/>
      <c r="K1445" s="594">
        <v>2685000</v>
      </c>
      <c r="L1445" s="594"/>
      <c r="M1445" s="489" t="str">
        <f t="shared" si="63"/>
        <v>DDDDDDDĐ</v>
      </c>
    </row>
    <row r="1446" spans="1:13" ht="18.600000000000001" customHeight="1">
      <c r="A1446" s="501">
        <v>1198</v>
      </c>
      <c r="B1446" s="592" t="s">
        <v>5135</v>
      </c>
      <c r="C1446" s="593" t="s">
        <v>5367</v>
      </c>
      <c r="D1446" s="997"/>
      <c r="E1446" s="594">
        <v>2885000</v>
      </c>
      <c r="F1446" s="594"/>
      <c r="G1446" s="501">
        <v>1198</v>
      </c>
      <c r="H1446" s="592" t="s">
        <v>5135</v>
      </c>
      <c r="I1446" s="593" t="s">
        <v>5367</v>
      </c>
      <c r="J1446" s="997"/>
      <c r="K1446" s="594">
        <v>2885000</v>
      </c>
      <c r="L1446" s="594"/>
      <c r="M1446" s="489" t="str">
        <f t="shared" si="63"/>
        <v>DDDDDDDĐ</v>
      </c>
    </row>
    <row r="1447" spans="1:13" ht="18.600000000000001" customHeight="1">
      <c r="A1447" s="501">
        <v>1199</v>
      </c>
      <c r="B1447" s="592" t="s">
        <v>5136</v>
      </c>
      <c r="C1447" s="593" t="s">
        <v>5367</v>
      </c>
      <c r="D1447" s="997"/>
      <c r="E1447" s="594">
        <v>3895000</v>
      </c>
      <c r="F1447" s="594"/>
      <c r="G1447" s="501">
        <v>1199</v>
      </c>
      <c r="H1447" s="592" t="s">
        <v>5136</v>
      </c>
      <c r="I1447" s="593" t="s">
        <v>5367</v>
      </c>
      <c r="J1447" s="997"/>
      <c r="K1447" s="594">
        <v>3895000</v>
      </c>
      <c r="L1447" s="594"/>
      <c r="M1447" s="489" t="str">
        <f t="shared" si="63"/>
        <v>DDDDDDDĐ</v>
      </c>
    </row>
    <row r="1448" spans="1:13" ht="17.25">
      <c r="A1448" s="501">
        <v>1200</v>
      </c>
      <c r="B1448" s="592" t="s">
        <v>5137</v>
      </c>
      <c r="C1448" s="593" t="s">
        <v>5367</v>
      </c>
      <c r="D1448" s="997"/>
      <c r="E1448" s="594">
        <v>2985000</v>
      </c>
      <c r="F1448" s="594"/>
      <c r="G1448" s="501">
        <v>1200</v>
      </c>
      <c r="H1448" s="592" t="s">
        <v>5137</v>
      </c>
      <c r="I1448" s="593" t="s">
        <v>5367</v>
      </c>
      <c r="J1448" s="997"/>
      <c r="K1448" s="594">
        <v>2985000</v>
      </c>
      <c r="L1448" s="594"/>
      <c r="M1448" s="489" t="str">
        <f t="shared" si="63"/>
        <v>DDDDDDDĐ</v>
      </c>
    </row>
    <row r="1449" spans="1:13" ht="17.25">
      <c r="A1449" s="501">
        <v>1201</v>
      </c>
      <c r="B1449" s="592" t="s">
        <v>5138</v>
      </c>
      <c r="C1449" s="593" t="s">
        <v>5367</v>
      </c>
      <c r="D1449" s="997"/>
      <c r="E1449" s="594">
        <v>3450000</v>
      </c>
      <c r="F1449" s="594"/>
      <c r="G1449" s="501">
        <v>1201</v>
      </c>
      <c r="H1449" s="592" t="s">
        <v>5138</v>
      </c>
      <c r="I1449" s="593" t="s">
        <v>5367</v>
      </c>
      <c r="J1449" s="997"/>
      <c r="K1449" s="594">
        <v>3450000</v>
      </c>
      <c r="L1449" s="594"/>
      <c r="M1449" s="489" t="str">
        <f t="shared" si="63"/>
        <v>DDDDDDDĐ</v>
      </c>
    </row>
    <row r="1450" spans="1:13" ht="18.75" customHeight="1">
      <c r="A1450" s="501">
        <v>1202</v>
      </c>
      <c r="B1450" s="592" t="s">
        <v>5139</v>
      </c>
      <c r="C1450" s="593" t="s">
        <v>5367</v>
      </c>
      <c r="D1450" s="997"/>
      <c r="E1450" s="594">
        <v>2985000</v>
      </c>
      <c r="F1450" s="594"/>
      <c r="G1450" s="501">
        <v>1202</v>
      </c>
      <c r="H1450" s="592" t="s">
        <v>5139</v>
      </c>
      <c r="I1450" s="593" t="s">
        <v>5367</v>
      </c>
      <c r="J1450" s="997"/>
      <c r="K1450" s="594">
        <v>2985000</v>
      </c>
      <c r="L1450" s="594"/>
      <c r="M1450" s="489" t="str">
        <f t="shared" si="63"/>
        <v>DDDDDDDĐ</v>
      </c>
    </row>
    <row r="1451" spans="1:13" ht="18.75" customHeight="1">
      <c r="A1451" s="501">
        <v>1203</v>
      </c>
      <c r="B1451" s="592" t="s">
        <v>5140</v>
      </c>
      <c r="C1451" s="593" t="s">
        <v>5367</v>
      </c>
      <c r="D1451" s="997"/>
      <c r="E1451" s="594">
        <v>3200000</v>
      </c>
      <c r="F1451" s="594"/>
      <c r="G1451" s="501">
        <v>1203</v>
      </c>
      <c r="H1451" s="592" t="s">
        <v>5140</v>
      </c>
      <c r="I1451" s="593" t="s">
        <v>5367</v>
      </c>
      <c r="J1451" s="997"/>
      <c r="K1451" s="594">
        <v>3200000</v>
      </c>
      <c r="L1451" s="594"/>
      <c r="M1451" s="489" t="str">
        <f t="shared" si="63"/>
        <v>DDDDDDDĐ</v>
      </c>
    </row>
    <row r="1452" spans="1:13" ht="18.75" customHeight="1">
      <c r="A1452" s="501">
        <v>1204</v>
      </c>
      <c r="B1452" s="592" t="s">
        <v>5141</v>
      </c>
      <c r="C1452" s="593" t="s">
        <v>5367</v>
      </c>
      <c r="D1452" s="997"/>
      <c r="E1452" s="594">
        <v>4200000</v>
      </c>
      <c r="F1452" s="594"/>
      <c r="G1452" s="501">
        <v>1204</v>
      </c>
      <c r="H1452" s="592" t="s">
        <v>5141</v>
      </c>
      <c r="I1452" s="593" t="s">
        <v>5367</v>
      </c>
      <c r="J1452" s="997"/>
      <c r="K1452" s="594">
        <v>4200000</v>
      </c>
      <c r="L1452" s="594"/>
      <c r="M1452" s="489" t="str">
        <f t="shared" si="63"/>
        <v>DDDDDDDĐ</v>
      </c>
    </row>
    <row r="1453" spans="1:13" ht="18.75" customHeight="1">
      <c r="A1453" s="501">
        <v>1205</v>
      </c>
      <c r="B1453" s="592" t="s">
        <v>5142</v>
      </c>
      <c r="C1453" s="593" t="s">
        <v>5367</v>
      </c>
      <c r="D1453" s="997"/>
      <c r="E1453" s="594">
        <v>3500000</v>
      </c>
      <c r="F1453" s="594"/>
      <c r="G1453" s="501">
        <v>1205</v>
      </c>
      <c r="H1453" s="592" t="s">
        <v>5142</v>
      </c>
      <c r="I1453" s="593" t="s">
        <v>5367</v>
      </c>
      <c r="J1453" s="997"/>
      <c r="K1453" s="594">
        <v>3500000</v>
      </c>
      <c r="L1453" s="594"/>
      <c r="M1453" s="489" t="str">
        <f t="shared" si="63"/>
        <v>DDDDDDDĐ</v>
      </c>
    </row>
    <row r="1454" spans="1:13" ht="18.75" customHeight="1">
      <c r="A1454" s="501"/>
      <c r="B1454" s="2160" t="s">
        <v>5143</v>
      </c>
      <c r="C1454" s="2160"/>
      <c r="D1454" s="2160"/>
      <c r="E1454" s="2160"/>
      <c r="F1454" s="2160"/>
      <c r="G1454" s="501"/>
      <c r="H1454" s="2160" t="s">
        <v>5143</v>
      </c>
      <c r="I1454" s="2160"/>
      <c r="J1454" s="2160"/>
      <c r="K1454" s="2160"/>
      <c r="L1454" s="2160"/>
      <c r="M1454" s="489" t="str">
        <f t="shared" si="63"/>
        <v>DDDDDDDĐ</v>
      </c>
    </row>
    <row r="1455" spans="1:13" ht="18.75" customHeight="1">
      <c r="A1455" s="501">
        <v>1206</v>
      </c>
      <c r="B1455" s="592" t="s">
        <v>5144</v>
      </c>
      <c r="C1455" s="593" t="s">
        <v>5367</v>
      </c>
      <c r="D1455" s="997"/>
      <c r="E1455" s="594">
        <v>1690000</v>
      </c>
      <c r="F1455" s="594"/>
      <c r="G1455" s="501">
        <v>1206</v>
      </c>
      <c r="H1455" s="592" t="s">
        <v>5144</v>
      </c>
      <c r="I1455" s="593" t="s">
        <v>5367</v>
      </c>
      <c r="J1455" s="997"/>
      <c r="K1455" s="594">
        <v>1690000</v>
      </c>
      <c r="L1455" s="594"/>
      <c r="M1455" s="489" t="str">
        <f t="shared" si="63"/>
        <v>DDDDDDDĐ</v>
      </c>
    </row>
    <row r="1456" spans="1:13" ht="17.25" customHeight="1">
      <c r="A1456" s="501">
        <v>1207</v>
      </c>
      <c r="B1456" s="592" t="s">
        <v>5145</v>
      </c>
      <c r="C1456" s="593" t="s">
        <v>5367</v>
      </c>
      <c r="D1456" s="997"/>
      <c r="E1456" s="594">
        <v>1706000</v>
      </c>
      <c r="F1456" s="594"/>
      <c r="G1456" s="501">
        <v>1207</v>
      </c>
      <c r="H1456" s="592" t="s">
        <v>5145</v>
      </c>
      <c r="I1456" s="593" t="s">
        <v>5367</v>
      </c>
      <c r="J1456" s="997"/>
      <c r="K1456" s="594">
        <v>1706000</v>
      </c>
      <c r="L1456" s="594"/>
      <c r="M1456" s="489" t="str">
        <f t="shared" si="63"/>
        <v>DDDDDDDĐ</v>
      </c>
    </row>
    <row r="1457" spans="1:13" ht="17.25" customHeight="1">
      <c r="A1457" s="501">
        <v>1208</v>
      </c>
      <c r="B1457" s="592" t="s">
        <v>5146</v>
      </c>
      <c r="C1457" s="593" t="s">
        <v>5367</v>
      </c>
      <c r="D1457" s="997"/>
      <c r="E1457" s="594">
        <v>1506000</v>
      </c>
      <c r="F1457" s="594"/>
      <c r="G1457" s="501">
        <v>1208</v>
      </c>
      <c r="H1457" s="592" t="s">
        <v>5146</v>
      </c>
      <c r="I1457" s="593" t="s">
        <v>5367</v>
      </c>
      <c r="J1457" s="997"/>
      <c r="K1457" s="594">
        <v>1506000</v>
      </c>
      <c r="L1457" s="594"/>
      <c r="M1457" s="489" t="str">
        <f t="shared" si="63"/>
        <v>DDDDDDDĐ</v>
      </c>
    </row>
    <row r="1458" spans="1:13" ht="18.75" customHeight="1">
      <c r="A1458" s="501">
        <v>1209</v>
      </c>
      <c r="B1458" s="592" t="s">
        <v>5147</v>
      </c>
      <c r="C1458" s="593" t="s">
        <v>5367</v>
      </c>
      <c r="D1458" s="997"/>
      <c r="E1458" s="594">
        <v>1606000</v>
      </c>
      <c r="F1458" s="594"/>
      <c r="G1458" s="501">
        <v>1209</v>
      </c>
      <c r="H1458" s="592" t="s">
        <v>5147</v>
      </c>
      <c r="I1458" s="593" t="s">
        <v>5367</v>
      </c>
      <c r="J1458" s="997"/>
      <c r="K1458" s="594">
        <v>1606000</v>
      </c>
      <c r="L1458" s="594"/>
      <c r="M1458" s="489" t="str">
        <f t="shared" si="63"/>
        <v>DDDDDDDĐ</v>
      </c>
    </row>
    <row r="1459" spans="1:13" ht="18.75" customHeight="1">
      <c r="A1459" s="501">
        <v>1210</v>
      </c>
      <c r="B1459" s="592" t="s">
        <v>5148</v>
      </c>
      <c r="C1459" s="593" t="s">
        <v>5367</v>
      </c>
      <c r="D1459" s="997"/>
      <c r="E1459" s="594">
        <v>1418000</v>
      </c>
      <c r="F1459" s="594"/>
      <c r="G1459" s="501">
        <v>1210</v>
      </c>
      <c r="H1459" s="592" t="s">
        <v>5148</v>
      </c>
      <c r="I1459" s="593" t="s">
        <v>5367</v>
      </c>
      <c r="J1459" s="997"/>
      <c r="K1459" s="594">
        <v>1418000</v>
      </c>
      <c r="L1459" s="594"/>
      <c r="M1459" s="489" t="str">
        <f t="shared" si="63"/>
        <v>DDDDDDDĐ</v>
      </c>
    </row>
    <row r="1460" spans="1:13" ht="18.75" customHeight="1">
      <c r="A1460" s="501">
        <v>1211</v>
      </c>
      <c r="B1460" s="592" t="s">
        <v>5149</v>
      </c>
      <c r="C1460" s="593" t="s">
        <v>5367</v>
      </c>
      <c r="D1460" s="997"/>
      <c r="E1460" s="594">
        <v>1527000</v>
      </c>
      <c r="F1460" s="594"/>
      <c r="G1460" s="501">
        <v>1211</v>
      </c>
      <c r="H1460" s="592" t="s">
        <v>5149</v>
      </c>
      <c r="I1460" s="593" t="s">
        <v>5367</v>
      </c>
      <c r="J1460" s="997"/>
      <c r="K1460" s="594">
        <v>1527000</v>
      </c>
      <c r="L1460" s="594"/>
      <c r="M1460" s="489" t="str">
        <f t="shared" si="63"/>
        <v>DDDDDDDĐ</v>
      </c>
    </row>
    <row r="1461" spans="1:13" ht="18.75" customHeight="1">
      <c r="A1461" s="501">
        <v>1212</v>
      </c>
      <c r="B1461" s="592" t="s">
        <v>5150</v>
      </c>
      <c r="C1461" s="593"/>
      <c r="D1461" s="594"/>
      <c r="E1461" s="594">
        <v>1327000</v>
      </c>
      <c r="F1461" s="594"/>
      <c r="G1461" s="501">
        <v>1212</v>
      </c>
      <c r="H1461" s="592" t="s">
        <v>5150</v>
      </c>
      <c r="I1461" s="593"/>
      <c r="J1461" s="594"/>
      <c r="K1461" s="594">
        <v>1327000</v>
      </c>
      <c r="L1461" s="594"/>
      <c r="M1461" s="489" t="str">
        <f t="shared" si="63"/>
        <v>DDDDDDDĐ</v>
      </c>
    </row>
    <row r="1462" spans="1:13">
      <c r="A1462" s="501">
        <v>1213</v>
      </c>
      <c r="B1462" s="592" t="s">
        <v>5151</v>
      </c>
      <c r="C1462" s="593"/>
      <c r="D1462" s="594"/>
      <c r="E1462" s="594">
        <v>1465000</v>
      </c>
      <c r="F1462" s="594"/>
      <c r="G1462" s="501">
        <v>1213</v>
      </c>
      <c r="H1462" s="592" t="s">
        <v>5151</v>
      </c>
      <c r="I1462" s="593"/>
      <c r="J1462" s="594"/>
      <c r="K1462" s="594">
        <v>1465000</v>
      </c>
      <c r="L1462" s="594"/>
      <c r="M1462" s="489" t="str">
        <f t="shared" si="63"/>
        <v>DDDDDDDĐ</v>
      </c>
    </row>
    <row r="1463" spans="1:13">
      <c r="A1463" s="513" t="s">
        <v>3290</v>
      </c>
      <c r="B1463" s="596" t="s">
        <v>3291</v>
      </c>
      <c r="C1463" s="597"/>
      <c r="D1463" s="597"/>
      <c r="E1463" s="594"/>
      <c r="F1463" s="594"/>
      <c r="G1463" s="513" t="s">
        <v>3290</v>
      </c>
      <c r="H1463" s="596" t="s">
        <v>3291</v>
      </c>
      <c r="I1463" s="597"/>
      <c r="J1463" s="597"/>
      <c r="K1463" s="594"/>
      <c r="L1463" s="594"/>
      <c r="M1463" s="489" t="str">
        <f t="shared" si="63"/>
        <v>DDDDDDDĐ</v>
      </c>
    </row>
    <row r="1464" spans="1:13" ht="19.5" customHeight="1">
      <c r="A1464" s="595"/>
      <c r="B1464" s="596" t="s">
        <v>3292</v>
      </c>
      <c r="C1464" s="597"/>
      <c r="D1464" s="597"/>
      <c r="E1464" s="594"/>
      <c r="F1464" s="594"/>
      <c r="G1464" s="595"/>
      <c r="H1464" s="596" t="s">
        <v>3292</v>
      </c>
      <c r="I1464" s="597"/>
      <c r="J1464" s="597"/>
      <c r="K1464" s="594"/>
      <c r="L1464" s="594"/>
      <c r="M1464" s="489" t="str">
        <f t="shared" si="63"/>
        <v>DDDDDDDĐ</v>
      </c>
    </row>
    <row r="1465" spans="1:13" ht="17.25" customHeight="1">
      <c r="A1465" s="591"/>
      <c r="B1465" s="596" t="s">
        <v>3293</v>
      </c>
      <c r="C1465" s="597"/>
      <c r="D1465" s="597"/>
      <c r="E1465" s="594"/>
      <c r="F1465" s="594"/>
      <c r="G1465" s="591"/>
      <c r="H1465" s="596" t="s">
        <v>3293</v>
      </c>
      <c r="I1465" s="597"/>
      <c r="J1465" s="597"/>
      <c r="K1465" s="594"/>
      <c r="L1465" s="594"/>
      <c r="M1465" s="489" t="str">
        <f t="shared" si="63"/>
        <v>DDDDDDDĐ</v>
      </c>
    </row>
    <row r="1466" spans="1:13" ht="17.25" customHeight="1">
      <c r="A1466" s="591"/>
      <c r="B1466" s="596" t="s">
        <v>3294</v>
      </c>
      <c r="C1466" s="597"/>
      <c r="D1466" s="597"/>
      <c r="E1466" s="594"/>
      <c r="F1466" s="594"/>
      <c r="G1466" s="591"/>
      <c r="H1466" s="596" t="s">
        <v>3294</v>
      </c>
      <c r="I1466" s="597"/>
      <c r="J1466" s="597"/>
      <c r="K1466" s="594"/>
      <c r="L1466" s="594"/>
      <c r="M1466" s="489" t="str">
        <f t="shared" si="63"/>
        <v>DDDDDDDĐ</v>
      </c>
    </row>
    <row r="1467" spans="1:13" ht="17.25" customHeight="1">
      <c r="A1467" s="591">
        <v>1214</v>
      </c>
      <c r="B1467" s="598" t="s">
        <v>3295</v>
      </c>
      <c r="C1467" s="593" t="s">
        <v>3296</v>
      </c>
      <c r="D1467" s="594">
        <v>5363636</v>
      </c>
      <c r="E1467" s="594"/>
      <c r="F1467" s="594"/>
      <c r="G1467" s="591">
        <v>1214</v>
      </c>
      <c r="H1467" s="598" t="s">
        <v>3295</v>
      </c>
      <c r="I1467" s="593" t="s">
        <v>3296</v>
      </c>
      <c r="J1467" s="594">
        <v>5363636</v>
      </c>
      <c r="K1467" s="594"/>
      <c r="L1467" s="594"/>
      <c r="M1467" s="489" t="str">
        <f t="shared" si="63"/>
        <v>DDDDDDDĐ</v>
      </c>
    </row>
    <row r="1468" spans="1:13" ht="18.75" customHeight="1">
      <c r="A1468" s="591">
        <v>1215</v>
      </c>
      <c r="B1468" s="599" t="s">
        <v>3297</v>
      </c>
      <c r="C1468" s="593" t="s">
        <v>3298</v>
      </c>
      <c r="D1468" s="594">
        <f>730000/1.1</f>
        <v>663636.36363636353</v>
      </c>
      <c r="E1468" s="594"/>
      <c r="F1468" s="594"/>
      <c r="G1468" s="591">
        <v>1215</v>
      </c>
      <c r="H1468" s="599" t="s">
        <v>3297</v>
      </c>
      <c r="I1468" s="593" t="s">
        <v>3298</v>
      </c>
      <c r="J1468" s="594">
        <f>730000/1.1</f>
        <v>663636.36363636353</v>
      </c>
      <c r="K1468" s="594"/>
      <c r="L1468" s="594"/>
      <c r="M1468" s="489" t="str">
        <f t="shared" si="63"/>
        <v>DDDDDDDĐ</v>
      </c>
    </row>
    <row r="1469" spans="1:13" ht="17.25" customHeight="1">
      <c r="A1469" s="591">
        <v>1216</v>
      </c>
      <c r="B1469" s="599" t="s">
        <v>3299</v>
      </c>
      <c r="C1469" s="593" t="s">
        <v>3298</v>
      </c>
      <c r="D1469" s="594">
        <f>5200000/1.1</f>
        <v>4727272.7272727266</v>
      </c>
      <c r="E1469" s="594"/>
      <c r="F1469" s="594"/>
      <c r="G1469" s="591">
        <v>1216</v>
      </c>
      <c r="H1469" s="599" t="s">
        <v>3299</v>
      </c>
      <c r="I1469" s="593" t="s">
        <v>3298</v>
      </c>
      <c r="J1469" s="594">
        <f>5200000/1.1</f>
        <v>4727272.7272727266</v>
      </c>
      <c r="K1469" s="594"/>
      <c r="L1469" s="594"/>
      <c r="M1469" s="489" t="str">
        <f t="shared" si="63"/>
        <v>DDDDDDDĐ</v>
      </c>
    </row>
    <row r="1470" spans="1:13" ht="19.5" customHeight="1">
      <c r="A1470" s="591"/>
      <c r="B1470" s="596" t="s">
        <v>3300</v>
      </c>
      <c r="C1470" s="593"/>
      <c r="D1470" s="594"/>
      <c r="E1470" s="594"/>
      <c r="F1470" s="594"/>
      <c r="G1470" s="591"/>
      <c r="H1470" s="596" t="s">
        <v>3300</v>
      </c>
      <c r="I1470" s="593"/>
      <c r="J1470" s="594"/>
      <c r="K1470" s="594"/>
      <c r="L1470" s="594"/>
      <c r="M1470" s="489" t="str">
        <f t="shared" si="63"/>
        <v>DDDDDDDĐ</v>
      </c>
    </row>
    <row r="1471" spans="1:13">
      <c r="A1471" s="591">
        <v>1217</v>
      </c>
      <c r="B1471" s="598" t="s">
        <v>3301</v>
      </c>
      <c r="C1471" s="593" t="s">
        <v>3296</v>
      </c>
      <c r="D1471" s="594">
        <v>6181818</v>
      </c>
      <c r="E1471" s="594"/>
      <c r="F1471" s="594"/>
      <c r="G1471" s="591">
        <v>1217</v>
      </c>
      <c r="H1471" s="598" t="s">
        <v>3301</v>
      </c>
      <c r="I1471" s="593" t="s">
        <v>3296</v>
      </c>
      <c r="J1471" s="594">
        <v>6181818</v>
      </c>
      <c r="K1471" s="594"/>
      <c r="L1471" s="594"/>
      <c r="M1471" s="489" t="str">
        <f t="shared" si="63"/>
        <v>DDDDDDDĐ</v>
      </c>
    </row>
    <row r="1472" spans="1:13">
      <c r="A1472" s="591">
        <v>1218</v>
      </c>
      <c r="B1472" s="599" t="s">
        <v>3297</v>
      </c>
      <c r="C1472" s="593" t="s">
        <v>3298</v>
      </c>
      <c r="D1472" s="594">
        <f>770000/1.1</f>
        <v>700000</v>
      </c>
      <c r="E1472" s="594"/>
      <c r="F1472" s="594"/>
      <c r="G1472" s="591">
        <v>1218</v>
      </c>
      <c r="H1472" s="599" t="s">
        <v>3297</v>
      </c>
      <c r="I1472" s="593" t="s">
        <v>3298</v>
      </c>
      <c r="J1472" s="594">
        <f>770000/1.1</f>
        <v>700000</v>
      </c>
      <c r="K1472" s="594"/>
      <c r="L1472" s="594"/>
      <c r="M1472" s="489" t="str">
        <f t="shared" si="63"/>
        <v>DDDDDDDĐ</v>
      </c>
    </row>
    <row r="1473" spans="1:13" ht="19.5" customHeight="1">
      <c r="A1473" s="591">
        <v>1219</v>
      </c>
      <c r="B1473" s="599" t="s">
        <v>3299</v>
      </c>
      <c r="C1473" s="593" t="s">
        <v>3298</v>
      </c>
      <c r="D1473" s="594">
        <f>5900000/1.1</f>
        <v>5363636.3636363633</v>
      </c>
      <c r="E1473" s="594"/>
      <c r="F1473" s="594"/>
      <c r="G1473" s="591">
        <v>1219</v>
      </c>
      <c r="H1473" s="599" t="s">
        <v>3299</v>
      </c>
      <c r="I1473" s="593" t="s">
        <v>3298</v>
      </c>
      <c r="J1473" s="594">
        <f>5900000/1.1</f>
        <v>5363636.3636363633</v>
      </c>
      <c r="K1473" s="594"/>
      <c r="L1473" s="594"/>
      <c r="M1473" s="489" t="str">
        <f t="shared" si="63"/>
        <v>DDDDDDDĐ</v>
      </c>
    </row>
    <row r="1474" spans="1:13" ht="19.5" customHeight="1">
      <c r="A1474" s="591"/>
      <c r="B1474" s="596" t="s">
        <v>3302</v>
      </c>
      <c r="C1474" s="597"/>
      <c r="D1474" s="597"/>
      <c r="E1474" s="594"/>
      <c r="F1474" s="594"/>
      <c r="G1474" s="591"/>
      <c r="H1474" s="596" t="s">
        <v>3302</v>
      </c>
      <c r="I1474" s="597"/>
      <c r="J1474" s="597"/>
      <c r="K1474" s="594"/>
      <c r="L1474" s="594"/>
      <c r="M1474" s="489" t="str">
        <f t="shared" si="63"/>
        <v>DDDDDDDĐ</v>
      </c>
    </row>
    <row r="1475" spans="1:13" ht="19.5" customHeight="1">
      <c r="A1475" s="591"/>
      <c r="B1475" s="596" t="s">
        <v>3294</v>
      </c>
      <c r="C1475" s="597"/>
      <c r="D1475" s="597"/>
      <c r="E1475" s="594"/>
      <c r="F1475" s="594"/>
      <c r="G1475" s="591"/>
      <c r="H1475" s="596" t="s">
        <v>3294</v>
      </c>
      <c r="I1475" s="597"/>
      <c r="J1475" s="597"/>
      <c r="K1475" s="594"/>
      <c r="L1475" s="594"/>
      <c r="M1475" s="489" t="str">
        <f t="shared" si="63"/>
        <v>DDDDDDDĐ</v>
      </c>
    </row>
    <row r="1476" spans="1:13" ht="19.5" customHeight="1">
      <c r="A1476" s="591">
        <v>1220</v>
      </c>
      <c r="B1476" s="598" t="s">
        <v>3303</v>
      </c>
      <c r="C1476" s="593" t="s">
        <v>3296</v>
      </c>
      <c r="D1476" s="594">
        <v>7727727</v>
      </c>
      <c r="E1476" s="594"/>
      <c r="F1476" s="594"/>
      <c r="G1476" s="591">
        <v>1220</v>
      </c>
      <c r="H1476" s="598" t="s">
        <v>3303</v>
      </c>
      <c r="I1476" s="593" t="s">
        <v>3296</v>
      </c>
      <c r="J1476" s="594">
        <v>7727727</v>
      </c>
      <c r="K1476" s="594"/>
      <c r="L1476" s="594"/>
      <c r="M1476" s="489" t="str">
        <f t="shared" si="63"/>
        <v>DDDDDDDĐ</v>
      </c>
    </row>
    <row r="1477" spans="1:13" ht="19.5" customHeight="1">
      <c r="A1477" s="591">
        <v>1221</v>
      </c>
      <c r="B1477" s="599" t="s">
        <v>3304</v>
      </c>
      <c r="C1477" s="593" t="s">
        <v>3298</v>
      </c>
      <c r="D1477" s="594">
        <f>950000/1.1</f>
        <v>863636.36363636353</v>
      </c>
      <c r="E1477" s="594"/>
      <c r="F1477" s="594"/>
      <c r="G1477" s="591">
        <v>1221</v>
      </c>
      <c r="H1477" s="599" t="s">
        <v>3304</v>
      </c>
      <c r="I1477" s="593" t="s">
        <v>3298</v>
      </c>
      <c r="J1477" s="594">
        <f>950000/1.1</f>
        <v>863636.36363636353</v>
      </c>
      <c r="K1477" s="594"/>
      <c r="L1477" s="594"/>
      <c r="M1477" s="489" t="str">
        <f t="shared" si="63"/>
        <v>DDDDDDDĐ</v>
      </c>
    </row>
    <row r="1478" spans="1:13" ht="19.5" customHeight="1">
      <c r="A1478" s="591">
        <v>1223</v>
      </c>
      <c r="B1478" s="599" t="s">
        <v>3305</v>
      </c>
      <c r="C1478" s="593" t="s">
        <v>3298</v>
      </c>
      <c r="D1478" s="594">
        <f>9000000/1.1</f>
        <v>8181818.1818181807</v>
      </c>
      <c r="E1478" s="594"/>
      <c r="F1478" s="594"/>
      <c r="G1478" s="591">
        <v>1223</v>
      </c>
      <c r="H1478" s="599" t="s">
        <v>3305</v>
      </c>
      <c r="I1478" s="593" t="s">
        <v>3298</v>
      </c>
      <c r="J1478" s="594">
        <f>9000000/1.1</f>
        <v>8181818.1818181807</v>
      </c>
      <c r="K1478" s="594"/>
      <c r="L1478" s="594"/>
      <c r="M1478" s="489" t="str">
        <f t="shared" si="63"/>
        <v>DDDDDDDĐ</v>
      </c>
    </row>
    <row r="1479" spans="1:13" ht="19.5" customHeight="1">
      <c r="A1479" s="591"/>
      <c r="B1479" s="596" t="s">
        <v>3300</v>
      </c>
      <c r="C1479" s="597"/>
      <c r="D1479" s="594"/>
      <c r="E1479" s="594"/>
      <c r="F1479" s="594"/>
      <c r="G1479" s="591"/>
      <c r="H1479" s="596" t="s">
        <v>3300</v>
      </c>
      <c r="I1479" s="597"/>
      <c r="J1479" s="594"/>
      <c r="K1479" s="594"/>
      <c r="L1479" s="594"/>
      <c r="M1479" s="489" t="str">
        <f t="shared" si="63"/>
        <v>DDDDDDDĐ</v>
      </c>
    </row>
    <row r="1480" spans="1:13" ht="19.5" customHeight="1">
      <c r="A1480" s="591">
        <v>1224</v>
      </c>
      <c r="B1480" s="598" t="s">
        <v>3303</v>
      </c>
      <c r="C1480" s="593" t="s">
        <v>3296</v>
      </c>
      <c r="D1480" s="594">
        <v>8818182</v>
      </c>
      <c r="E1480" s="594"/>
      <c r="F1480" s="594"/>
      <c r="G1480" s="591">
        <v>1224</v>
      </c>
      <c r="H1480" s="598" t="s">
        <v>3303</v>
      </c>
      <c r="I1480" s="593" t="s">
        <v>3296</v>
      </c>
      <c r="J1480" s="594">
        <v>8818182</v>
      </c>
      <c r="K1480" s="594"/>
      <c r="L1480" s="594"/>
      <c r="M1480" s="489" t="str">
        <f t="shared" si="63"/>
        <v>DDDDDDDĐ</v>
      </c>
    </row>
    <row r="1481" spans="1:13">
      <c r="A1481" s="591">
        <v>1225</v>
      </c>
      <c r="B1481" s="599" t="s">
        <v>3304</v>
      </c>
      <c r="C1481" s="593" t="s">
        <v>3298</v>
      </c>
      <c r="D1481" s="594">
        <f>1050000/1.1</f>
        <v>954545.45454545447</v>
      </c>
      <c r="E1481" s="594"/>
      <c r="F1481" s="594"/>
      <c r="G1481" s="591">
        <v>1225</v>
      </c>
      <c r="H1481" s="599" t="s">
        <v>3304</v>
      </c>
      <c r="I1481" s="593" t="s">
        <v>3298</v>
      </c>
      <c r="J1481" s="594">
        <f>1050000/1.1</f>
        <v>954545.45454545447</v>
      </c>
      <c r="K1481" s="594"/>
      <c r="L1481" s="594"/>
      <c r="M1481" s="489" t="str">
        <f t="shared" si="63"/>
        <v>DDDDDDDĐ</v>
      </c>
    </row>
    <row r="1482" spans="1:13" ht="18.75" customHeight="1">
      <c r="A1482" s="591">
        <v>1226</v>
      </c>
      <c r="B1482" s="599" t="s">
        <v>3305</v>
      </c>
      <c r="C1482" s="593" t="s">
        <v>3298</v>
      </c>
      <c r="D1482" s="594">
        <f>10100000/1.1</f>
        <v>9181818.1818181816</v>
      </c>
      <c r="E1482" s="594"/>
      <c r="F1482" s="594"/>
      <c r="G1482" s="591">
        <v>1226</v>
      </c>
      <c r="H1482" s="599" t="s">
        <v>3305</v>
      </c>
      <c r="I1482" s="593" t="s">
        <v>3298</v>
      </c>
      <c r="J1482" s="594">
        <f>10100000/1.1</f>
        <v>9181818.1818181816</v>
      </c>
      <c r="K1482" s="594"/>
      <c r="L1482" s="594"/>
      <c r="M1482" s="489" t="str">
        <f t="shared" si="63"/>
        <v>DDDDDDDĐ</v>
      </c>
    </row>
    <row r="1483" spans="1:13" ht="17.25" customHeight="1">
      <c r="A1483" s="591"/>
      <c r="B1483" s="596" t="s">
        <v>3306</v>
      </c>
      <c r="C1483" s="597"/>
      <c r="D1483" s="594"/>
      <c r="E1483" s="594"/>
      <c r="F1483" s="594"/>
      <c r="G1483" s="591"/>
      <c r="H1483" s="596" t="s">
        <v>3306</v>
      </c>
      <c r="I1483" s="597"/>
      <c r="J1483" s="594"/>
      <c r="K1483" s="594"/>
      <c r="L1483" s="594"/>
      <c r="M1483" s="489" t="str">
        <f t="shared" si="63"/>
        <v>DDDDDDDĐ</v>
      </c>
    </row>
    <row r="1484" spans="1:13" ht="18.75" customHeight="1">
      <c r="A1484" s="591"/>
      <c r="B1484" s="596" t="s">
        <v>3294</v>
      </c>
      <c r="C1484" s="597"/>
      <c r="D1484" s="594"/>
      <c r="E1484" s="594"/>
      <c r="F1484" s="594"/>
      <c r="G1484" s="591"/>
      <c r="H1484" s="596" t="s">
        <v>3294</v>
      </c>
      <c r="I1484" s="597"/>
      <c r="J1484" s="594"/>
      <c r="K1484" s="594"/>
      <c r="L1484" s="594"/>
      <c r="M1484" s="489" t="str">
        <f t="shared" si="63"/>
        <v>DDDDDDDĐ</v>
      </c>
    </row>
    <row r="1485" spans="1:13" ht="18.75" customHeight="1">
      <c r="A1485" s="591">
        <v>1227</v>
      </c>
      <c r="B1485" s="598" t="s">
        <v>3307</v>
      </c>
      <c r="C1485" s="593" t="s">
        <v>3296</v>
      </c>
      <c r="D1485" s="594">
        <v>11909091</v>
      </c>
      <c r="E1485" s="594"/>
      <c r="F1485" s="594"/>
      <c r="G1485" s="591">
        <v>1227</v>
      </c>
      <c r="H1485" s="598" t="s">
        <v>3307</v>
      </c>
      <c r="I1485" s="593" t="s">
        <v>3296</v>
      </c>
      <c r="J1485" s="594">
        <v>11909091</v>
      </c>
      <c r="K1485" s="594"/>
      <c r="L1485" s="594"/>
      <c r="M1485" s="489" t="str">
        <f t="shared" si="63"/>
        <v>DDDDDDDĐ</v>
      </c>
    </row>
    <row r="1486" spans="1:13" ht="16.5" customHeight="1">
      <c r="A1486" s="591">
        <v>1228</v>
      </c>
      <c r="B1486" s="599" t="s">
        <v>3308</v>
      </c>
      <c r="C1486" s="593" t="s">
        <v>3298</v>
      </c>
      <c r="D1486" s="594">
        <f>1500000/1.1</f>
        <v>1363636.3636363635</v>
      </c>
      <c r="E1486" s="594"/>
      <c r="F1486" s="594"/>
      <c r="G1486" s="591">
        <v>1228</v>
      </c>
      <c r="H1486" s="599" t="s">
        <v>3308</v>
      </c>
      <c r="I1486" s="593" t="s">
        <v>3298</v>
      </c>
      <c r="J1486" s="594">
        <f>1500000/1.1</f>
        <v>1363636.3636363635</v>
      </c>
      <c r="K1486" s="594"/>
      <c r="L1486" s="594"/>
      <c r="M1486" s="489" t="str">
        <f t="shared" si="63"/>
        <v>DDDDDDDĐ</v>
      </c>
    </row>
    <row r="1487" spans="1:13">
      <c r="A1487" s="591">
        <v>1229</v>
      </c>
      <c r="B1487" s="599" t="s">
        <v>3309</v>
      </c>
      <c r="C1487" s="593" t="s">
        <v>3298</v>
      </c>
      <c r="D1487" s="594">
        <f>9600000/1.1</f>
        <v>8727272.7272727266</v>
      </c>
      <c r="E1487" s="594"/>
      <c r="F1487" s="594"/>
      <c r="G1487" s="591">
        <v>1229</v>
      </c>
      <c r="H1487" s="599" t="s">
        <v>3309</v>
      </c>
      <c r="I1487" s="593" t="s">
        <v>3298</v>
      </c>
      <c r="J1487" s="594">
        <f>9600000/1.1</f>
        <v>8727272.7272727266</v>
      </c>
      <c r="K1487" s="594"/>
      <c r="L1487" s="594"/>
      <c r="M1487" s="489" t="str">
        <f t="shared" si="63"/>
        <v>DDDDDDDĐ</v>
      </c>
    </row>
    <row r="1488" spans="1:13" ht="18.95" customHeight="1">
      <c r="A1488" s="591">
        <v>1230</v>
      </c>
      <c r="B1488" s="599" t="s">
        <v>3310</v>
      </c>
      <c r="C1488" s="593" t="s">
        <v>3298</v>
      </c>
      <c r="D1488" s="594">
        <f>5600000/1.1</f>
        <v>5090909.0909090908</v>
      </c>
      <c r="E1488" s="594"/>
      <c r="F1488" s="594"/>
      <c r="G1488" s="591">
        <v>1230</v>
      </c>
      <c r="H1488" s="599" t="s">
        <v>3310</v>
      </c>
      <c r="I1488" s="593" t="s">
        <v>3298</v>
      </c>
      <c r="J1488" s="594">
        <f>5600000/1.1</f>
        <v>5090909.0909090908</v>
      </c>
      <c r="K1488" s="594"/>
      <c r="L1488" s="594"/>
      <c r="M1488" s="489" t="str">
        <f t="shared" si="63"/>
        <v>DDDDDDDĐ</v>
      </c>
    </row>
    <row r="1489" spans="1:13">
      <c r="A1489" s="591">
        <v>1231</v>
      </c>
      <c r="B1489" s="599" t="s">
        <v>3311</v>
      </c>
      <c r="C1489" s="593" t="s">
        <v>3298</v>
      </c>
      <c r="D1489" s="600">
        <f>28700000/1.1</f>
        <v>26090909.09090909</v>
      </c>
      <c r="E1489" s="594"/>
      <c r="F1489" s="594"/>
      <c r="G1489" s="591">
        <v>1231</v>
      </c>
      <c r="H1489" s="599" t="s">
        <v>3311</v>
      </c>
      <c r="I1489" s="593" t="s">
        <v>3298</v>
      </c>
      <c r="J1489" s="600">
        <f>28700000/1.1</f>
        <v>26090909.09090909</v>
      </c>
      <c r="K1489" s="594"/>
      <c r="L1489" s="594"/>
      <c r="M1489" s="489" t="str">
        <f t="shared" si="63"/>
        <v>DDDDDDDĐ</v>
      </c>
    </row>
    <row r="1490" spans="1:13" ht="18.95" customHeight="1">
      <c r="A1490" s="591"/>
      <c r="B1490" s="596" t="s">
        <v>3300</v>
      </c>
      <c r="C1490" s="597"/>
      <c r="D1490" s="594"/>
      <c r="E1490" s="594"/>
      <c r="F1490" s="594"/>
      <c r="G1490" s="591"/>
      <c r="H1490" s="596" t="s">
        <v>3300</v>
      </c>
      <c r="I1490" s="597"/>
      <c r="J1490" s="594"/>
      <c r="K1490" s="594"/>
      <c r="L1490" s="594"/>
      <c r="M1490" s="489" t="str">
        <f t="shared" si="63"/>
        <v>DDDDDDDĐ</v>
      </c>
    </row>
    <row r="1491" spans="1:13" ht="18.95" customHeight="1">
      <c r="A1491" s="591">
        <v>1232</v>
      </c>
      <c r="B1491" s="598" t="s">
        <v>3307</v>
      </c>
      <c r="C1491" s="593" t="s">
        <v>3296</v>
      </c>
      <c r="D1491" s="594">
        <v>13545455</v>
      </c>
      <c r="E1491" s="594"/>
      <c r="F1491" s="594"/>
      <c r="G1491" s="591">
        <v>1232</v>
      </c>
      <c r="H1491" s="598" t="s">
        <v>3307</v>
      </c>
      <c r="I1491" s="593" t="s">
        <v>3296</v>
      </c>
      <c r="J1491" s="594">
        <v>13545455</v>
      </c>
      <c r="K1491" s="594"/>
      <c r="L1491" s="594"/>
      <c r="M1491" s="489" t="str">
        <f t="shared" si="63"/>
        <v>DDDDDDDĐ</v>
      </c>
    </row>
    <row r="1492" spans="1:13" ht="18.95" customHeight="1">
      <c r="A1492" s="591">
        <v>1233</v>
      </c>
      <c r="B1492" s="599" t="s">
        <v>3308</v>
      </c>
      <c r="C1492" s="593" t="s">
        <v>3298</v>
      </c>
      <c r="D1492" s="594">
        <f>1600000/1.1</f>
        <v>1454545.4545454544</v>
      </c>
      <c r="E1492" s="594"/>
      <c r="F1492" s="594"/>
      <c r="G1492" s="591">
        <v>1233</v>
      </c>
      <c r="H1492" s="599" t="s">
        <v>3308</v>
      </c>
      <c r="I1492" s="593" t="s">
        <v>3298</v>
      </c>
      <c r="J1492" s="594">
        <f>1600000/1.1</f>
        <v>1454545.4545454544</v>
      </c>
      <c r="K1492" s="594"/>
      <c r="L1492" s="594"/>
      <c r="M1492" s="489" t="str">
        <f t="shared" si="63"/>
        <v>DDDDDDDĐ</v>
      </c>
    </row>
    <row r="1493" spans="1:13" ht="18.95" customHeight="1">
      <c r="A1493" s="591">
        <v>1234</v>
      </c>
      <c r="B1493" s="599" t="s">
        <v>3309</v>
      </c>
      <c r="C1493" s="593" t="s">
        <v>3298</v>
      </c>
      <c r="D1493" s="594">
        <f>10800000/1.1</f>
        <v>9818181.8181818165</v>
      </c>
      <c r="E1493" s="594"/>
      <c r="F1493" s="594"/>
      <c r="G1493" s="591">
        <v>1234</v>
      </c>
      <c r="H1493" s="599" t="s">
        <v>3309</v>
      </c>
      <c r="I1493" s="593" t="s">
        <v>3298</v>
      </c>
      <c r="J1493" s="594">
        <f>10800000/1.1</f>
        <v>9818181.8181818165</v>
      </c>
      <c r="K1493" s="594"/>
      <c r="L1493" s="594"/>
      <c r="M1493" s="489" t="str">
        <f t="shared" si="63"/>
        <v>DDDDDDDĐ</v>
      </c>
    </row>
    <row r="1494" spans="1:13" ht="18.95" customHeight="1">
      <c r="A1494" s="591">
        <v>1235</v>
      </c>
      <c r="B1494" s="599" t="s">
        <v>3310</v>
      </c>
      <c r="C1494" s="593" t="s">
        <v>3298</v>
      </c>
      <c r="D1494" s="594">
        <f>6800000/1.1</f>
        <v>6181818.1818181816</v>
      </c>
      <c r="E1494" s="594"/>
      <c r="F1494" s="594"/>
      <c r="G1494" s="591">
        <v>1235</v>
      </c>
      <c r="H1494" s="599" t="s">
        <v>3310</v>
      </c>
      <c r="I1494" s="593" t="s">
        <v>3298</v>
      </c>
      <c r="J1494" s="594">
        <f>6800000/1.1</f>
        <v>6181818.1818181816</v>
      </c>
      <c r="K1494" s="594"/>
      <c r="L1494" s="594"/>
      <c r="M1494" s="489" t="str">
        <f t="shared" si="63"/>
        <v>DDDDDDDĐ</v>
      </c>
    </row>
    <row r="1495" spans="1:13">
      <c r="A1495" s="591">
        <v>1236</v>
      </c>
      <c r="B1495" s="599" t="s">
        <v>3311</v>
      </c>
      <c r="C1495" s="593" t="s">
        <v>3298</v>
      </c>
      <c r="D1495" s="594">
        <f>34500000/1.1</f>
        <v>31363636.36363636</v>
      </c>
      <c r="E1495" s="594"/>
      <c r="F1495" s="594"/>
      <c r="G1495" s="591">
        <v>1236</v>
      </c>
      <c r="H1495" s="599" t="s">
        <v>3311</v>
      </c>
      <c r="I1495" s="593" t="s">
        <v>3298</v>
      </c>
      <c r="J1495" s="594">
        <f>34500000/1.1</f>
        <v>31363636.36363636</v>
      </c>
      <c r="K1495" s="594"/>
      <c r="L1495" s="594"/>
      <c r="M1495" s="489" t="str">
        <f t="shared" si="63"/>
        <v>DDDDDDDĐ</v>
      </c>
    </row>
    <row r="1496" spans="1:13" ht="18.95" customHeight="1">
      <c r="A1496" s="591"/>
      <c r="B1496" s="596" t="s">
        <v>3312</v>
      </c>
      <c r="C1496" s="597"/>
      <c r="D1496" s="594"/>
      <c r="E1496" s="594"/>
      <c r="F1496" s="594"/>
      <c r="G1496" s="591"/>
      <c r="H1496" s="596" t="s">
        <v>3312</v>
      </c>
      <c r="I1496" s="597"/>
      <c r="J1496" s="594"/>
      <c r="K1496" s="594"/>
      <c r="L1496" s="594"/>
      <c r="M1496" s="489" t="str">
        <f t="shared" si="63"/>
        <v>DDDDDDDĐ</v>
      </c>
    </row>
    <row r="1497" spans="1:13" ht="18.95" customHeight="1">
      <c r="A1497" s="591"/>
      <c r="B1497" s="596" t="s">
        <v>3294</v>
      </c>
      <c r="C1497" s="597"/>
      <c r="D1497" s="594"/>
      <c r="E1497" s="594"/>
      <c r="F1497" s="594"/>
      <c r="G1497" s="591"/>
      <c r="H1497" s="596" t="s">
        <v>3294</v>
      </c>
      <c r="I1497" s="597"/>
      <c r="J1497" s="594"/>
      <c r="K1497" s="594"/>
      <c r="L1497" s="594"/>
      <c r="M1497" s="489" t="str">
        <f t="shared" si="63"/>
        <v>DDDDDDDĐ</v>
      </c>
    </row>
    <row r="1498" spans="1:13" ht="18.95" customHeight="1">
      <c r="A1498" s="591">
        <v>1237</v>
      </c>
      <c r="B1498" s="599" t="s">
        <v>3315</v>
      </c>
      <c r="C1498" s="593" t="s">
        <v>3296</v>
      </c>
      <c r="D1498" s="594">
        <v>16454545</v>
      </c>
      <c r="E1498" s="594"/>
      <c r="F1498" s="594"/>
      <c r="G1498" s="591">
        <v>1237</v>
      </c>
      <c r="H1498" s="599" t="s">
        <v>3315</v>
      </c>
      <c r="I1498" s="593" t="s">
        <v>3296</v>
      </c>
      <c r="J1498" s="594">
        <v>16454545</v>
      </c>
      <c r="K1498" s="594"/>
      <c r="L1498" s="594"/>
      <c r="M1498" s="489" t="str">
        <f t="shared" si="63"/>
        <v>DDDDDDDĐ</v>
      </c>
    </row>
    <row r="1499" spans="1:13" ht="18.95" customHeight="1">
      <c r="A1499" s="591">
        <v>1238</v>
      </c>
      <c r="B1499" s="599" t="s">
        <v>3313</v>
      </c>
      <c r="C1499" s="593" t="s">
        <v>3298</v>
      </c>
      <c r="D1499" s="594">
        <f>1600000/1.1</f>
        <v>1454545.4545454544</v>
      </c>
      <c r="E1499" s="594"/>
      <c r="F1499" s="594"/>
      <c r="G1499" s="591">
        <v>1238</v>
      </c>
      <c r="H1499" s="599" t="s">
        <v>3313</v>
      </c>
      <c r="I1499" s="593" t="s">
        <v>3298</v>
      </c>
      <c r="J1499" s="594">
        <f>1600000/1.1</f>
        <v>1454545.4545454544</v>
      </c>
      <c r="K1499" s="594"/>
      <c r="L1499" s="594"/>
      <c r="M1499" s="489" t="str">
        <f t="shared" si="63"/>
        <v>DDDDDDDĐ</v>
      </c>
    </row>
    <row r="1500" spans="1:13" ht="18.95" customHeight="1">
      <c r="A1500" s="591">
        <v>1239</v>
      </c>
      <c r="B1500" s="599" t="s">
        <v>3314</v>
      </c>
      <c r="C1500" s="593" t="s">
        <v>3298</v>
      </c>
      <c r="D1500" s="594">
        <f>11200000/1.1</f>
        <v>10181818.181818182</v>
      </c>
      <c r="E1500" s="594"/>
      <c r="F1500" s="594"/>
      <c r="G1500" s="591">
        <v>1239</v>
      </c>
      <c r="H1500" s="599" t="s">
        <v>3314</v>
      </c>
      <c r="I1500" s="593" t="s">
        <v>3298</v>
      </c>
      <c r="J1500" s="594">
        <f>11200000/1.1</f>
        <v>10181818.181818182</v>
      </c>
      <c r="K1500" s="594"/>
      <c r="L1500" s="594"/>
      <c r="M1500" s="489" t="str">
        <f t="shared" si="63"/>
        <v>DDDDDDDĐ</v>
      </c>
    </row>
    <row r="1501" spans="1:13" ht="18.95" customHeight="1">
      <c r="A1501" s="591">
        <v>1240</v>
      </c>
      <c r="B1501" s="599" t="s">
        <v>3316</v>
      </c>
      <c r="C1501" s="593" t="s">
        <v>3298</v>
      </c>
      <c r="D1501" s="594">
        <f>7100000/1.1</f>
        <v>6454545.4545454541</v>
      </c>
      <c r="E1501" s="594"/>
      <c r="F1501" s="594"/>
      <c r="G1501" s="591">
        <v>1240</v>
      </c>
      <c r="H1501" s="599" t="s">
        <v>3316</v>
      </c>
      <c r="I1501" s="593" t="s">
        <v>3298</v>
      </c>
      <c r="J1501" s="594">
        <f>7100000/1.1</f>
        <v>6454545.4545454541</v>
      </c>
      <c r="K1501" s="594"/>
      <c r="L1501" s="594"/>
      <c r="M1501" s="489" t="str">
        <f t="shared" si="63"/>
        <v>DDDDDDDĐ</v>
      </c>
    </row>
    <row r="1502" spans="1:13" ht="18.95" customHeight="1">
      <c r="A1502" s="591">
        <v>1241</v>
      </c>
      <c r="B1502" s="599" t="s">
        <v>3317</v>
      </c>
      <c r="C1502" s="593" t="s">
        <v>3298</v>
      </c>
      <c r="D1502" s="594">
        <f>34000000/1.1</f>
        <v>30909090.909090906</v>
      </c>
      <c r="E1502" s="594"/>
      <c r="F1502" s="594"/>
      <c r="G1502" s="591">
        <v>1241</v>
      </c>
      <c r="H1502" s="599" t="s">
        <v>3317</v>
      </c>
      <c r="I1502" s="593" t="s">
        <v>3298</v>
      </c>
      <c r="J1502" s="594">
        <f>34000000/1.1</f>
        <v>30909090.909090906</v>
      </c>
      <c r="K1502" s="594"/>
      <c r="L1502" s="594"/>
      <c r="M1502" s="489" t="str">
        <f t="shared" si="63"/>
        <v>DDDDDDDĐ</v>
      </c>
    </row>
    <row r="1503" spans="1:13" ht="18.95" customHeight="1">
      <c r="A1503" s="591"/>
      <c r="B1503" s="596" t="s">
        <v>3318</v>
      </c>
      <c r="C1503" s="597"/>
      <c r="D1503" s="594"/>
      <c r="E1503" s="594"/>
      <c r="F1503" s="594"/>
      <c r="G1503" s="591"/>
      <c r="H1503" s="596" t="s">
        <v>3318</v>
      </c>
      <c r="I1503" s="597"/>
      <c r="J1503" s="594"/>
      <c r="K1503" s="594"/>
      <c r="L1503" s="594"/>
      <c r="M1503" s="489" t="str">
        <f t="shared" si="63"/>
        <v>DDDDDDDĐ</v>
      </c>
    </row>
    <row r="1504" spans="1:13" ht="18.95" customHeight="1">
      <c r="A1504" s="591">
        <v>1242</v>
      </c>
      <c r="B1504" s="599" t="s">
        <v>3315</v>
      </c>
      <c r="C1504" s="593" t="s">
        <v>3296</v>
      </c>
      <c r="D1504" s="594">
        <v>18636364</v>
      </c>
      <c r="E1504" s="594"/>
      <c r="F1504" s="594"/>
      <c r="G1504" s="591">
        <v>1242</v>
      </c>
      <c r="H1504" s="599" t="s">
        <v>3315</v>
      </c>
      <c r="I1504" s="593" t="s">
        <v>3296</v>
      </c>
      <c r="J1504" s="594">
        <v>18636364</v>
      </c>
      <c r="K1504" s="594"/>
      <c r="L1504" s="594"/>
      <c r="M1504" s="489" t="str">
        <f t="shared" ref="M1504:M1567" si="64">IF(B1504=H1504,"DDDDDDDĐ","SSSSSSSSSSSS")</f>
        <v>DDDDDDDĐ</v>
      </c>
    </row>
    <row r="1505" spans="1:13" ht="18.95" customHeight="1">
      <c r="A1505" s="591">
        <v>1243</v>
      </c>
      <c r="B1505" s="599" t="s">
        <v>3313</v>
      </c>
      <c r="C1505" s="593" t="s">
        <v>3298</v>
      </c>
      <c r="D1505" s="594">
        <f>1800000/1.1</f>
        <v>1636363.6363636362</v>
      </c>
      <c r="E1505" s="594"/>
      <c r="F1505" s="594"/>
      <c r="G1505" s="591">
        <v>1243</v>
      </c>
      <c r="H1505" s="599" t="s">
        <v>3313</v>
      </c>
      <c r="I1505" s="593" t="s">
        <v>3298</v>
      </c>
      <c r="J1505" s="594">
        <f>1800000/1.1</f>
        <v>1636363.6363636362</v>
      </c>
      <c r="K1505" s="594"/>
      <c r="L1505" s="594"/>
      <c r="M1505" s="489" t="str">
        <f t="shared" si="64"/>
        <v>DDDDDDDĐ</v>
      </c>
    </row>
    <row r="1506" spans="1:13">
      <c r="A1506" s="591">
        <v>1244</v>
      </c>
      <c r="B1506" s="599" t="s">
        <v>3314</v>
      </c>
      <c r="C1506" s="593" t="s">
        <v>3298</v>
      </c>
      <c r="D1506" s="594">
        <f>13200000/1.1</f>
        <v>11999999.999999998</v>
      </c>
      <c r="E1506" s="594"/>
      <c r="F1506" s="594"/>
      <c r="G1506" s="591">
        <v>1244</v>
      </c>
      <c r="H1506" s="599" t="s">
        <v>3314</v>
      </c>
      <c r="I1506" s="593" t="s">
        <v>3298</v>
      </c>
      <c r="J1506" s="594">
        <f>13200000/1.1</f>
        <v>11999999.999999998</v>
      </c>
      <c r="K1506" s="594"/>
      <c r="L1506" s="594"/>
      <c r="M1506" s="489" t="str">
        <f t="shared" si="64"/>
        <v>DDDDDDDĐ</v>
      </c>
    </row>
    <row r="1507" spans="1:13">
      <c r="A1507" s="591">
        <v>1245</v>
      </c>
      <c r="B1507" s="599" t="s">
        <v>3316</v>
      </c>
      <c r="C1507" s="593" t="s">
        <v>3298</v>
      </c>
      <c r="D1507" s="594">
        <f>8500000/1.1</f>
        <v>7727272.7272727266</v>
      </c>
      <c r="E1507" s="594"/>
      <c r="F1507" s="594"/>
      <c r="G1507" s="591">
        <v>1245</v>
      </c>
      <c r="H1507" s="599" t="s">
        <v>3316</v>
      </c>
      <c r="I1507" s="593" t="s">
        <v>3298</v>
      </c>
      <c r="J1507" s="594">
        <f>8500000/1.1</f>
        <v>7727272.7272727266</v>
      </c>
      <c r="K1507" s="594"/>
      <c r="L1507" s="594"/>
      <c r="M1507" s="489" t="str">
        <f t="shared" si="64"/>
        <v>DDDDDDDĐ</v>
      </c>
    </row>
    <row r="1508" spans="1:13" ht="18.95" customHeight="1">
      <c r="A1508" s="591">
        <v>1246</v>
      </c>
      <c r="B1508" s="599" t="s">
        <v>3317</v>
      </c>
      <c r="C1508" s="593" t="s">
        <v>3298</v>
      </c>
      <c r="D1508" s="594">
        <f>40300000/1.1</f>
        <v>36636363.636363633</v>
      </c>
      <c r="E1508" s="594"/>
      <c r="F1508" s="594"/>
      <c r="G1508" s="591">
        <v>1246</v>
      </c>
      <c r="H1508" s="599" t="s">
        <v>3317</v>
      </c>
      <c r="I1508" s="593" t="s">
        <v>3298</v>
      </c>
      <c r="J1508" s="594">
        <f>40300000/1.1</f>
        <v>36636363.636363633</v>
      </c>
      <c r="K1508" s="594"/>
      <c r="L1508" s="594"/>
      <c r="M1508" s="489" t="str">
        <f t="shared" si="64"/>
        <v>DDDDDDDĐ</v>
      </c>
    </row>
    <row r="1509" spans="1:13" ht="18.95" customHeight="1">
      <c r="A1509" s="591"/>
      <c r="B1509" s="596" t="s">
        <v>3319</v>
      </c>
      <c r="C1509" s="593"/>
      <c r="D1509" s="594"/>
      <c r="E1509" s="594"/>
      <c r="F1509" s="594"/>
      <c r="G1509" s="591"/>
      <c r="H1509" s="596" t="s">
        <v>3319</v>
      </c>
      <c r="I1509" s="593"/>
      <c r="J1509" s="594"/>
      <c r="K1509" s="594"/>
      <c r="L1509" s="594"/>
      <c r="M1509" s="489" t="str">
        <f t="shared" si="64"/>
        <v>DDDDDDDĐ</v>
      </c>
    </row>
    <row r="1510" spans="1:13" ht="18.95" customHeight="1">
      <c r="A1510" s="591">
        <v>1247</v>
      </c>
      <c r="B1510" s="599" t="s">
        <v>3320</v>
      </c>
      <c r="C1510" s="593" t="s">
        <v>3298</v>
      </c>
      <c r="D1510" s="594">
        <f>8300000/1.1</f>
        <v>7545454.5454545449</v>
      </c>
      <c r="E1510" s="594"/>
      <c r="F1510" s="594"/>
      <c r="G1510" s="591">
        <v>1247</v>
      </c>
      <c r="H1510" s="599" t="s">
        <v>3320</v>
      </c>
      <c r="I1510" s="593" t="s">
        <v>3298</v>
      </c>
      <c r="J1510" s="594">
        <f>8300000/1.1</f>
        <v>7545454.5454545449</v>
      </c>
      <c r="K1510" s="594"/>
      <c r="L1510" s="594"/>
      <c r="M1510" s="489" t="str">
        <f t="shared" si="64"/>
        <v>DDDDDDDĐ</v>
      </c>
    </row>
    <row r="1511" spans="1:13" ht="18.95" customHeight="1">
      <c r="A1511" s="591">
        <v>1248</v>
      </c>
      <c r="B1511" s="599" t="s">
        <v>3321</v>
      </c>
      <c r="C1511" s="593" t="s">
        <v>3298</v>
      </c>
      <c r="D1511" s="594">
        <f>39800000/1.1</f>
        <v>36181818.18181818</v>
      </c>
      <c r="E1511" s="594"/>
      <c r="F1511" s="594"/>
      <c r="G1511" s="591">
        <v>1248</v>
      </c>
      <c r="H1511" s="599" t="s">
        <v>3321</v>
      </c>
      <c r="I1511" s="593" t="s">
        <v>3298</v>
      </c>
      <c r="J1511" s="594">
        <f>39800000/1.1</f>
        <v>36181818.18181818</v>
      </c>
      <c r="K1511" s="594"/>
      <c r="L1511" s="594"/>
      <c r="M1511" s="489" t="str">
        <f t="shared" si="64"/>
        <v>DDDDDDDĐ</v>
      </c>
    </row>
    <row r="1512" spans="1:13" ht="18.95" customHeight="1">
      <c r="A1512" s="591">
        <v>1249</v>
      </c>
      <c r="B1512" s="599" t="s">
        <v>3322</v>
      </c>
      <c r="C1512" s="593" t="s">
        <v>3298</v>
      </c>
      <c r="D1512" s="594">
        <f>9950000/1.1</f>
        <v>9045454.5454545449</v>
      </c>
      <c r="E1512" s="594"/>
      <c r="F1512" s="594"/>
      <c r="G1512" s="591">
        <v>1249</v>
      </c>
      <c r="H1512" s="599" t="s">
        <v>3322</v>
      </c>
      <c r="I1512" s="593" t="s">
        <v>3298</v>
      </c>
      <c r="J1512" s="594">
        <f>9950000/1.1</f>
        <v>9045454.5454545449</v>
      </c>
      <c r="K1512" s="594"/>
      <c r="L1512" s="594"/>
      <c r="M1512" s="489" t="str">
        <f t="shared" si="64"/>
        <v>DDDDDDDĐ</v>
      </c>
    </row>
    <row r="1513" spans="1:13" ht="18.95" customHeight="1">
      <c r="A1513" s="591">
        <v>1250</v>
      </c>
      <c r="B1513" s="599" t="s">
        <v>3323</v>
      </c>
      <c r="C1513" s="593" t="s">
        <v>3298</v>
      </c>
      <c r="D1513" s="594">
        <f>47200000/1.1</f>
        <v>42909090.909090906</v>
      </c>
      <c r="E1513" s="594"/>
      <c r="F1513" s="594"/>
      <c r="G1513" s="591">
        <v>1250</v>
      </c>
      <c r="H1513" s="599" t="s">
        <v>3323</v>
      </c>
      <c r="I1513" s="593" t="s">
        <v>3298</v>
      </c>
      <c r="J1513" s="594">
        <f>47200000/1.1</f>
        <v>42909090.909090906</v>
      </c>
      <c r="K1513" s="594"/>
      <c r="L1513" s="594"/>
      <c r="M1513" s="489" t="str">
        <f t="shared" si="64"/>
        <v>DDDDDDDĐ</v>
      </c>
    </row>
    <row r="1514" spans="1:13" ht="18.95" customHeight="1">
      <c r="A1514" s="591"/>
      <c r="B1514" s="596" t="s">
        <v>3324</v>
      </c>
      <c r="C1514" s="593"/>
      <c r="D1514" s="594"/>
      <c r="E1514" s="594"/>
      <c r="F1514" s="594"/>
      <c r="G1514" s="591"/>
      <c r="H1514" s="596" t="s">
        <v>3324</v>
      </c>
      <c r="I1514" s="593"/>
      <c r="J1514" s="594"/>
      <c r="K1514" s="594"/>
      <c r="L1514" s="594"/>
      <c r="M1514" s="489" t="str">
        <f t="shared" si="64"/>
        <v>DDDDDDDĐ</v>
      </c>
    </row>
    <row r="1515" spans="1:13" ht="18.95" customHeight="1">
      <c r="A1515" s="591">
        <v>1251</v>
      </c>
      <c r="B1515" s="599" t="s">
        <v>3325</v>
      </c>
      <c r="C1515" s="593" t="s">
        <v>2338</v>
      </c>
      <c r="D1515" s="594">
        <f>550000/1.1</f>
        <v>499999.99999999994</v>
      </c>
      <c r="E1515" s="594"/>
      <c r="F1515" s="594"/>
      <c r="G1515" s="591">
        <v>1251</v>
      </c>
      <c r="H1515" s="599" t="s">
        <v>3325</v>
      </c>
      <c r="I1515" s="593" t="s">
        <v>2338</v>
      </c>
      <c r="J1515" s="594">
        <f>550000/1.1</f>
        <v>499999.99999999994</v>
      </c>
      <c r="K1515" s="594"/>
      <c r="L1515" s="594"/>
      <c r="M1515" s="489" t="str">
        <f t="shared" si="64"/>
        <v>DDDDDDDĐ</v>
      </c>
    </row>
    <row r="1516" spans="1:13" ht="18.95" customHeight="1">
      <c r="A1516" s="591">
        <v>1252</v>
      </c>
      <c r="B1516" s="599" t="s">
        <v>3326</v>
      </c>
      <c r="C1516" s="593" t="s">
        <v>2338</v>
      </c>
      <c r="D1516" s="594">
        <v>1090909</v>
      </c>
      <c r="E1516" s="594"/>
      <c r="F1516" s="594"/>
      <c r="G1516" s="591">
        <v>1252</v>
      </c>
      <c r="H1516" s="599" t="s">
        <v>3326</v>
      </c>
      <c r="I1516" s="593" t="s">
        <v>2338</v>
      </c>
      <c r="J1516" s="594">
        <v>1090909</v>
      </c>
      <c r="K1516" s="594"/>
      <c r="L1516" s="594"/>
      <c r="M1516" s="489" t="str">
        <f t="shared" si="64"/>
        <v>DDDDDDDĐ</v>
      </c>
    </row>
    <row r="1517" spans="1:13" ht="18.95" customHeight="1">
      <c r="A1517" s="591">
        <v>1253</v>
      </c>
      <c r="B1517" s="599" t="s">
        <v>3327</v>
      </c>
      <c r="C1517" s="593" t="s">
        <v>2338</v>
      </c>
      <c r="D1517" s="594">
        <v>1272727</v>
      </c>
      <c r="E1517" s="594"/>
      <c r="F1517" s="594"/>
      <c r="G1517" s="591">
        <v>1253</v>
      </c>
      <c r="H1517" s="599" t="s">
        <v>3327</v>
      </c>
      <c r="I1517" s="593" t="s">
        <v>2338</v>
      </c>
      <c r="J1517" s="594">
        <v>1272727</v>
      </c>
      <c r="K1517" s="594"/>
      <c r="L1517" s="594"/>
      <c r="M1517" s="489" t="str">
        <f t="shared" si="64"/>
        <v>DDDDDDDĐ</v>
      </c>
    </row>
    <row r="1518" spans="1:13" ht="18.95" customHeight="1">
      <c r="A1518" s="591">
        <v>1254</v>
      </c>
      <c r="B1518" s="599" t="s">
        <v>3790</v>
      </c>
      <c r="C1518" s="593" t="s">
        <v>2338</v>
      </c>
      <c r="D1518" s="594">
        <f>2200000/1.1</f>
        <v>1999999.9999999998</v>
      </c>
      <c r="E1518" s="594"/>
      <c r="F1518" s="594"/>
      <c r="G1518" s="591">
        <v>1254</v>
      </c>
      <c r="H1518" s="599" t="s">
        <v>3790</v>
      </c>
      <c r="I1518" s="593" t="s">
        <v>2338</v>
      </c>
      <c r="J1518" s="594">
        <f>2200000/1.1</f>
        <v>1999999.9999999998</v>
      </c>
      <c r="K1518" s="594"/>
      <c r="L1518" s="594"/>
      <c r="M1518" s="489" t="str">
        <f t="shared" si="64"/>
        <v>DDDDDDDĐ</v>
      </c>
    </row>
    <row r="1519" spans="1:13" ht="18.95" customHeight="1">
      <c r="A1519" s="591"/>
      <c r="B1519" s="596" t="s">
        <v>3328</v>
      </c>
      <c r="C1519" s="597"/>
      <c r="D1519" s="594"/>
      <c r="E1519" s="594"/>
      <c r="F1519" s="594"/>
      <c r="G1519" s="591"/>
      <c r="H1519" s="596" t="s">
        <v>3328</v>
      </c>
      <c r="I1519" s="597"/>
      <c r="J1519" s="594"/>
      <c r="K1519" s="594"/>
      <c r="L1519" s="594"/>
      <c r="M1519" s="489" t="str">
        <f t="shared" si="64"/>
        <v>DDDDDDDĐ</v>
      </c>
    </row>
    <row r="1520" spans="1:13" ht="18.95" customHeight="1">
      <c r="A1520" s="591"/>
      <c r="B1520" s="596" t="s">
        <v>3300</v>
      </c>
      <c r="C1520" s="597"/>
      <c r="D1520" s="594"/>
      <c r="E1520" s="594"/>
      <c r="F1520" s="594"/>
      <c r="G1520" s="591"/>
      <c r="H1520" s="596" t="s">
        <v>3300</v>
      </c>
      <c r="I1520" s="597"/>
      <c r="J1520" s="594"/>
      <c r="K1520" s="594"/>
      <c r="L1520" s="594"/>
      <c r="M1520" s="489" t="str">
        <f t="shared" si="64"/>
        <v>DDDDDDDĐ</v>
      </c>
    </row>
    <row r="1521" spans="1:13" ht="18.95" customHeight="1">
      <c r="A1521" s="591">
        <v>1255</v>
      </c>
      <c r="B1521" s="599" t="s">
        <v>3791</v>
      </c>
      <c r="C1521" s="593" t="s">
        <v>3296</v>
      </c>
      <c r="D1521" s="594">
        <v>20090909</v>
      </c>
      <c r="E1521" s="594"/>
      <c r="F1521" s="594"/>
      <c r="G1521" s="591">
        <v>1255</v>
      </c>
      <c r="H1521" s="599" t="s">
        <v>3791</v>
      </c>
      <c r="I1521" s="593" t="s">
        <v>3296</v>
      </c>
      <c r="J1521" s="594">
        <v>20090909</v>
      </c>
      <c r="K1521" s="594"/>
      <c r="L1521" s="594"/>
      <c r="M1521" s="489" t="str">
        <f t="shared" si="64"/>
        <v>DDDDDDDĐ</v>
      </c>
    </row>
    <row r="1522" spans="1:13" ht="18.95" customHeight="1">
      <c r="A1522" s="591">
        <v>1256</v>
      </c>
      <c r="B1522" s="599" t="s">
        <v>3329</v>
      </c>
      <c r="C1522" s="593" t="s">
        <v>3296</v>
      </c>
      <c r="D1522" s="594">
        <v>30363636</v>
      </c>
      <c r="E1522" s="594"/>
      <c r="F1522" s="594"/>
      <c r="G1522" s="591">
        <v>1256</v>
      </c>
      <c r="H1522" s="599" t="s">
        <v>3329</v>
      </c>
      <c r="I1522" s="593" t="s">
        <v>3296</v>
      </c>
      <c r="J1522" s="594">
        <v>30363636</v>
      </c>
      <c r="K1522" s="594"/>
      <c r="L1522" s="594"/>
      <c r="M1522" s="489" t="str">
        <f t="shared" si="64"/>
        <v>DDDDDDDĐ</v>
      </c>
    </row>
    <row r="1523" spans="1:13" ht="18.95" customHeight="1">
      <c r="A1523" s="591">
        <v>1257</v>
      </c>
      <c r="B1523" s="599" t="s">
        <v>3792</v>
      </c>
      <c r="C1523" s="593" t="s">
        <v>3296</v>
      </c>
      <c r="D1523" s="594">
        <v>22181818</v>
      </c>
      <c r="E1523" s="594"/>
      <c r="F1523" s="594"/>
      <c r="G1523" s="591">
        <v>1257</v>
      </c>
      <c r="H1523" s="599" t="s">
        <v>3792</v>
      </c>
      <c r="I1523" s="593" t="s">
        <v>3296</v>
      </c>
      <c r="J1523" s="594">
        <v>22181818</v>
      </c>
      <c r="K1523" s="594"/>
      <c r="L1523" s="594"/>
      <c r="M1523" s="489" t="str">
        <f t="shared" si="64"/>
        <v>DDDDDDDĐ</v>
      </c>
    </row>
    <row r="1524" spans="1:13" ht="18.95" customHeight="1">
      <c r="A1524" s="591">
        <v>1258</v>
      </c>
      <c r="B1524" s="599" t="s">
        <v>3330</v>
      </c>
      <c r="C1524" s="593" t="s">
        <v>3296</v>
      </c>
      <c r="D1524" s="594">
        <v>34545455</v>
      </c>
      <c r="E1524" s="594"/>
      <c r="F1524" s="594"/>
      <c r="G1524" s="591">
        <v>1258</v>
      </c>
      <c r="H1524" s="599" t="s">
        <v>3330</v>
      </c>
      <c r="I1524" s="593" t="s">
        <v>3296</v>
      </c>
      <c r="J1524" s="594">
        <v>34545455</v>
      </c>
      <c r="K1524" s="594"/>
      <c r="L1524" s="594"/>
      <c r="M1524" s="489" t="str">
        <f t="shared" si="64"/>
        <v>DDDDDDDĐ</v>
      </c>
    </row>
    <row r="1525" spans="1:13" ht="18.95" customHeight="1">
      <c r="A1525" s="591">
        <v>1259</v>
      </c>
      <c r="B1525" s="599" t="s">
        <v>3793</v>
      </c>
      <c r="C1525" s="593" t="s">
        <v>3296</v>
      </c>
      <c r="D1525" s="594">
        <v>25000000</v>
      </c>
      <c r="E1525" s="594"/>
      <c r="F1525" s="594"/>
      <c r="G1525" s="591">
        <v>1259</v>
      </c>
      <c r="H1525" s="599" t="s">
        <v>3793</v>
      </c>
      <c r="I1525" s="593" t="s">
        <v>3296</v>
      </c>
      <c r="J1525" s="594">
        <v>25000000</v>
      </c>
      <c r="K1525" s="594"/>
      <c r="L1525" s="594"/>
      <c r="M1525" s="489" t="str">
        <f t="shared" si="64"/>
        <v>DDDDDDDĐ</v>
      </c>
    </row>
    <row r="1526" spans="1:13" ht="18.95" customHeight="1">
      <c r="A1526" s="591">
        <v>1260</v>
      </c>
      <c r="B1526" s="599" t="s">
        <v>3331</v>
      </c>
      <c r="C1526" s="593" t="s">
        <v>3296</v>
      </c>
      <c r="D1526" s="594">
        <v>40272727</v>
      </c>
      <c r="E1526" s="594"/>
      <c r="F1526" s="594"/>
      <c r="G1526" s="591">
        <v>1260</v>
      </c>
      <c r="H1526" s="599" t="s">
        <v>3331</v>
      </c>
      <c r="I1526" s="593" t="s">
        <v>3296</v>
      </c>
      <c r="J1526" s="594">
        <v>40272727</v>
      </c>
      <c r="K1526" s="594"/>
      <c r="L1526" s="594"/>
      <c r="M1526" s="489" t="str">
        <f t="shared" si="64"/>
        <v>DDDDDDDĐ</v>
      </c>
    </row>
    <row r="1527" spans="1:13" ht="24.75" customHeight="1">
      <c r="A1527" s="591">
        <v>1261</v>
      </c>
      <c r="B1527" s="599" t="s">
        <v>3794</v>
      </c>
      <c r="C1527" s="593" t="s">
        <v>3296</v>
      </c>
      <c r="D1527" s="594">
        <v>26636364</v>
      </c>
      <c r="E1527" s="594"/>
      <c r="F1527" s="594"/>
      <c r="G1527" s="591">
        <v>1261</v>
      </c>
      <c r="H1527" s="599" t="s">
        <v>3794</v>
      </c>
      <c r="I1527" s="593" t="s">
        <v>3296</v>
      </c>
      <c r="J1527" s="594">
        <v>26636364</v>
      </c>
      <c r="K1527" s="594"/>
      <c r="L1527" s="594"/>
      <c r="M1527" s="489" t="str">
        <f t="shared" si="64"/>
        <v>DDDDDDDĐ</v>
      </c>
    </row>
    <row r="1528" spans="1:13" ht="30.75" customHeight="1">
      <c r="A1528" s="591">
        <v>1262</v>
      </c>
      <c r="B1528" s="599" t="s">
        <v>3332</v>
      </c>
      <c r="C1528" s="593" t="s">
        <v>3296</v>
      </c>
      <c r="D1528" s="594">
        <v>43636364</v>
      </c>
      <c r="E1528" s="594"/>
      <c r="F1528" s="594"/>
      <c r="G1528" s="591">
        <v>1262</v>
      </c>
      <c r="H1528" s="599" t="s">
        <v>3332</v>
      </c>
      <c r="I1528" s="593" t="s">
        <v>3296</v>
      </c>
      <c r="J1528" s="594">
        <v>43636364</v>
      </c>
      <c r="K1528" s="594"/>
      <c r="L1528" s="594"/>
      <c r="M1528" s="489" t="str">
        <f t="shared" si="64"/>
        <v>DDDDDDDĐ</v>
      </c>
    </row>
    <row r="1529" spans="1:13" ht="33" customHeight="1">
      <c r="A1529" s="591">
        <v>1263</v>
      </c>
      <c r="B1529" s="599" t="s">
        <v>3795</v>
      </c>
      <c r="C1529" s="593" t="s">
        <v>3296</v>
      </c>
      <c r="D1529" s="594">
        <v>28363636</v>
      </c>
      <c r="E1529" s="594"/>
      <c r="F1529" s="594"/>
      <c r="G1529" s="591">
        <v>1263</v>
      </c>
      <c r="H1529" s="599" t="s">
        <v>3795</v>
      </c>
      <c r="I1529" s="593" t="s">
        <v>3296</v>
      </c>
      <c r="J1529" s="594">
        <v>28363636</v>
      </c>
      <c r="K1529" s="594"/>
      <c r="L1529" s="594"/>
      <c r="M1529" s="489" t="str">
        <f t="shared" si="64"/>
        <v>DDDDDDDĐ</v>
      </c>
    </row>
    <row r="1530" spans="1:13" ht="51.75" customHeight="1">
      <c r="A1530" s="591">
        <v>1264</v>
      </c>
      <c r="B1530" s="599" t="s">
        <v>3333</v>
      </c>
      <c r="C1530" s="593" t="s">
        <v>3296</v>
      </c>
      <c r="D1530" s="594">
        <v>47000000</v>
      </c>
      <c r="E1530" s="594"/>
      <c r="F1530" s="594"/>
      <c r="G1530" s="591">
        <v>1264</v>
      </c>
      <c r="H1530" s="599" t="s">
        <v>3333</v>
      </c>
      <c r="I1530" s="593" t="s">
        <v>3296</v>
      </c>
      <c r="J1530" s="594">
        <v>47000000</v>
      </c>
      <c r="K1530" s="594"/>
      <c r="L1530" s="594"/>
      <c r="M1530" s="489" t="str">
        <f t="shared" si="64"/>
        <v>DDDDDDDĐ</v>
      </c>
    </row>
    <row r="1531" spans="1:13" ht="10.5" customHeight="1">
      <c r="A1531" s="591">
        <v>1265</v>
      </c>
      <c r="B1531" s="599" t="s">
        <v>3334</v>
      </c>
      <c r="C1531" s="593" t="s">
        <v>3298</v>
      </c>
      <c r="D1531" s="594">
        <f>7090000/1.1</f>
        <v>6445454.5454545449</v>
      </c>
      <c r="E1531" s="594"/>
      <c r="F1531" s="594"/>
      <c r="G1531" s="591">
        <v>1265</v>
      </c>
      <c r="H1531" s="599" t="s">
        <v>3334</v>
      </c>
      <c r="I1531" s="593" t="s">
        <v>3298</v>
      </c>
      <c r="J1531" s="594">
        <f>7090000/1.1</f>
        <v>6445454.5454545449</v>
      </c>
      <c r="K1531" s="594"/>
      <c r="L1531" s="594"/>
      <c r="M1531" s="489" t="str">
        <f t="shared" si="64"/>
        <v>DDDDDDDĐ</v>
      </c>
    </row>
    <row r="1532" spans="1:13" ht="18.75" customHeight="1">
      <c r="A1532" s="591">
        <v>1266</v>
      </c>
      <c r="B1532" s="599" t="s">
        <v>3335</v>
      </c>
      <c r="C1532" s="593" t="s">
        <v>3298</v>
      </c>
      <c r="D1532" s="594">
        <v>26818182</v>
      </c>
      <c r="E1532" s="594"/>
      <c r="F1532" s="594"/>
      <c r="G1532" s="591">
        <v>1266</v>
      </c>
      <c r="H1532" s="599" t="s">
        <v>3335</v>
      </c>
      <c r="I1532" s="593" t="s">
        <v>3298</v>
      </c>
      <c r="J1532" s="594">
        <v>26818182</v>
      </c>
      <c r="K1532" s="594"/>
      <c r="L1532" s="594"/>
      <c r="M1532" s="489" t="str">
        <f t="shared" si="64"/>
        <v>DDDDDDDĐ</v>
      </c>
    </row>
    <row r="1533" spans="1:13" ht="18.75" customHeight="1">
      <c r="A1533" s="591"/>
      <c r="B1533" s="596" t="s">
        <v>3336</v>
      </c>
      <c r="C1533" s="597"/>
      <c r="D1533" s="594"/>
      <c r="E1533" s="594"/>
      <c r="F1533" s="594"/>
      <c r="G1533" s="591"/>
      <c r="H1533" s="596" t="s">
        <v>3336</v>
      </c>
      <c r="I1533" s="597"/>
      <c r="J1533" s="594"/>
      <c r="K1533" s="594"/>
      <c r="L1533" s="594"/>
      <c r="M1533" s="489" t="str">
        <f t="shared" si="64"/>
        <v>DDDDDDDĐ</v>
      </c>
    </row>
    <row r="1534" spans="1:13" ht="18.75" customHeight="1">
      <c r="A1534" s="591"/>
      <c r="B1534" s="596" t="s">
        <v>3300</v>
      </c>
      <c r="C1534" s="597"/>
      <c r="D1534" s="594"/>
      <c r="E1534" s="594"/>
      <c r="F1534" s="594"/>
      <c r="G1534" s="591"/>
      <c r="H1534" s="596" t="s">
        <v>3300</v>
      </c>
      <c r="I1534" s="597"/>
      <c r="J1534" s="594"/>
      <c r="K1534" s="594"/>
      <c r="L1534" s="594"/>
      <c r="M1534" s="489" t="str">
        <f t="shared" si="64"/>
        <v>DDDDDDDĐ</v>
      </c>
    </row>
    <row r="1535" spans="1:13" ht="14.25" customHeight="1">
      <c r="A1535" s="591">
        <v>1267</v>
      </c>
      <c r="B1535" s="599" t="s">
        <v>3796</v>
      </c>
      <c r="C1535" s="593" t="s">
        <v>3296</v>
      </c>
      <c r="D1535" s="594">
        <v>34909091</v>
      </c>
      <c r="E1535" s="594"/>
      <c r="F1535" s="594"/>
      <c r="G1535" s="591">
        <v>1267</v>
      </c>
      <c r="H1535" s="599" t="s">
        <v>3796</v>
      </c>
      <c r="I1535" s="593" t="s">
        <v>3296</v>
      </c>
      <c r="J1535" s="594">
        <v>34909091</v>
      </c>
      <c r="K1535" s="594"/>
      <c r="L1535" s="594"/>
      <c r="M1535" s="489" t="str">
        <f t="shared" si="64"/>
        <v>DDDDDDDĐ</v>
      </c>
    </row>
    <row r="1536" spans="1:13" ht="15" customHeight="1">
      <c r="A1536" s="591">
        <v>1268</v>
      </c>
      <c r="B1536" s="599" t="s">
        <v>3337</v>
      </c>
      <c r="C1536" s="593" t="s">
        <v>3296</v>
      </c>
      <c r="D1536" s="594">
        <v>39090909</v>
      </c>
      <c r="E1536" s="594"/>
      <c r="F1536" s="594"/>
      <c r="G1536" s="591">
        <v>1268</v>
      </c>
      <c r="H1536" s="599" t="s">
        <v>3337</v>
      </c>
      <c r="I1536" s="593" t="s">
        <v>3296</v>
      </c>
      <c r="J1536" s="594">
        <v>39090909</v>
      </c>
      <c r="K1536" s="594"/>
      <c r="L1536" s="594"/>
      <c r="M1536" s="489" t="str">
        <f t="shared" si="64"/>
        <v>DDDDDDDĐ</v>
      </c>
    </row>
    <row r="1537" spans="1:13" ht="17.25" customHeight="1">
      <c r="A1537" s="591">
        <v>1269</v>
      </c>
      <c r="B1537" s="599" t="s">
        <v>3338</v>
      </c>
      <c r="C1537" s="593" t="s">
        <v>3296</v>
      </c>
      <c r="D1537" s="594">
        <v>44818182</v>
      </c>
      <c r="E1537" s="594"/>
      <c r="F1537" s="594"/>
      <c r="G1537" s="591">
        <v>1269</v>
      </c>
      <c r="H1537" s="599" t="s">
        <v>3338</v>
      </c>
      <c r="I1537" s="593" t="s">
        <v>3296</v>
      </c>
      <c r="J1537" s="594">
        <v>44818182</v>
      </c>
      <c r="K1537" s="594"/>
      <c r="L1537" s="594"/>
      <c r="M1537" s="489" t="str">
        <f t="shared" si="64"/>
        <v>DDDDDDDĐ</v>
      </c>
    </row>
    <row r="1538" spans="1:13" ht="34.5" customHeight="1">
      <c r="A1538" s="591">
        <v>1270</v>
      </c>
      <c r="B1538" s="599" t="s">
        <v>3339</v>
      </c>
      <c r="C1538" s="593" t="s">
        <v>3296</v>
      </c>
      <c r="D1538" s="594">
        <v>48181818</v>
      </c>
      <c r="E1538" s="594"/>
      <c r="F1538" s="594"/>
      <c r="G1538" s="591">
        <v>1270</v>
      </c>
      <c r="H1538" s="599" t="s">
        <v>3339</v>
      </c>
      <c r="I1538" s="593" t="s">
        <v>3296</v>
      </c>
      <c r="J1538" s="594">
        <v>48181818</v>
      </c>
      <c r="K1538" s="594"/>
      <c r="L1538" s="594"/>
      <c r="M1538" s="489" t="str">
        <f t="shared" si="64"/>
        <v>DDDDDDDĐ</v>
      </c>
    </row>
    <row r="1539" spans="1:13" ht="20.25" customHeight="1">
      <c r="A1539" s="591">
        <v>1271</v>
      </c>
      <c r="B1539" s="599" t="s">
        <v>3340</v>
      </c>
      <c r="C1539" s="593" t="s">
        <v>3296</v>
      </c>
      <c r="D1539" s="594">
        <v>51545455</v>
      </c>
      <c r="E1539" s="594"/>
      <c r="F1539" s="594"/>
      <c r="G1539" s="591">
        <v>1271</v>
      </c>
      <c r="H1539" s="599" t="s">
        <v>3340</v>
      </c>
      <c r="I1539" s="593" t="s">
        <v>3296</v>
      </c>
      <c r="J1539" s="594">
        <v>51545455</v>
      </c>
      <c r="K1539" s="594"/>
      <c r="L1539" s="594"/>
      <c r="M1539" s="489" t="str">
        <f t="shared" si="64"/>
        <v>DDDDDDDĐ</v>
      </c>
    </row>
    <row r="1540" spans="1:13" ht="16.5" customHeight="1">
      <c r="A1540" s="591">
        <v>1272</v>
      </c>
      <c r="B1540" s="599" t="s">
        <v>3341</v>
      </c>
      <c r="C1540" s="593" t="s">
        <v>3298</v>
      </c>
      <c r="D1540" s="594">
        <f>9400000/1.1</f>
        <v>8545454.5454545449</v>
      </c>
      <c r="E1540" s="594"/>
      <c r="F1540" s="594"/>
      <c r="G1540" s="591">
        <v>1272</v>
      </c>
      <c r="H1540" s="599" t="s">
        <v>3341</v>
      </c>
      <c r="I1540" s="593" t="s">
        <v>3298</v>
      </c>
      <c r="J1540" s="594">
        <f>9400000/1.1</f>
        <v>8545454.5454545449</v>
      </c>
      <c r="K1540" s="594"/>
      <c r="L1540" s="594"/>
      <c r="M1540" s="489" t="str">
        <f t="shared" si="64"/>
        <v>DDDDDDDĐ</v>
      </c>
    </row>
    <row r="1541" spans="1:13" ht="18" customHeight="1">
      <c r="A1541" s="591">
        <v>1273</v>
      </c>
      <c r="B1541" s="599" t="s">
        <v>3342</v>
      </c>
      <c r="C1541" s="593" t="s">
        <v>3298</v>
      </c>
      <c r="D1541" s="594">
        <f>46900000/1.1</f>
        <v>42636363.636363633</v>
      </c>
      <c r="E1541" s="594"/>
      <c r="F1541" s="594"/>
      <c r="G1541" s="591">
        <v>1273</v>
      </c>
      <c r="H1541" s="599" t="s">
        <v>3342</v>
      </c>
      <c r="I1541" s="593" t="s">
        <v>3298</v>
      </c>
      <c r="J1541" s="594">
        <f>46900000/1.1</f>
        <v>42636363.636363633</v>
      </c>
      <c r="K1541" s="594"/>
      <c r="L1541" s="594"/>
      <c r="M1541" s="489" t="str">
        <f t="shared" si="64"/>
        <v>DDDDDDDĐ</v>
      </c>
    </row>
    <row r="1542" spans="1:13" ht="16.5" customHeight="1">
      <c r="A1542" s="591"/>
      <c r="B1542" s="596" t="s">
        <v>3343</v>
      </c>
      <c r="C1542" s="597"/>
      <c r="D1542" s="594"/>
      <c r="E1542" s="594"/>
      <c r="F1542" s="594"/>
      <c r="G1542" s="591"/>
      <c r="H1542" s="596" t="s">
        <v>3343</v>
      </c>
      <c r="I1542" s="597"/>
      <c r="J1542" s="594"/>
      <c r="K1542" s="594"/>
      <c r="L1542" s="594"/>
      <c r="M1542" s="489" t="str">
        <f t="shared" si="64"/>
        <v>DDDDDDDĐ</v>
      </c>
    </row>
    <row r="1543" spans="1:13" ht="16.5" customHeight="1">
      <c r="A1543" s="591"/>
      <c r="B1543" s="596" t="s">
        <v>3300</v>
      </c>
      <c r="C1543" s="597"/>
      <c r="D1543" s="594"/>
      <c r="E1543" s="594"/>
      <c r="F1543" s="594"/>
      <c r="G1543" s="591"/>
      <c r="H1543" s="596" t="s">
        <v>3300</v>
      </c>
      <c r="I1543" s="597"/>
      <c r="J1543" s="594"/>
      <c r="K1543" s="594"/>
      <c r="L1543" s="594"/>
      <c r="M1543" s="489" t="str">
        <f t="shared" si="64"/>
        <v>DDDDDDDĐ</v>
      </c>
    </row>
    <row r="1544" spans="1:13" ht="16.5" customHeight="1">
      <c r="A1544" s="591">
        <v>1274</v>
      </c>
      <c r="B1544" s="599" t="s">
        <v>3344</v>
      </c>
      <c r="C1544" s="593" t="s">
        <v>3296</v>
      </c>
      <c r="D1544" s="594">
        <v>42909091</v>
      </c>
      <c r="E1544" s="594"/>
      <c r="F1544" s="594"/>
      <c r="G1544" s="591">
        <v>1274</v>
      </c>
      <c r="H1544" s="599" t="s">
        <v>3344</v>
      </c>
      <c r="I1544" s="593" t="s">
        <v>3296</v>
      </c>
      <c r="J1544" s="594">
        <v>42909091</v>
      </c>
      <c r="K1544" s="594"/>
      <c r="L1544" s="594"/>
      <c r="M1544" s="489" t="str">
        <f t="shared" si="64"/>
        <v>DDDDDDDĐ</v>
      </c>
    </row>
    <row r="1545" spans="1:13" ht="16.5" customHeight="1">
      <c r="A1545" s="591">
        <v>1275</v>
      </c>
      <c r="B1545" s="599" t="s">
        <v>3797</v>
      </c>
      <c r="C1545" s="593" t="s">
        <v>3296</v>
      </c>
      <c r="D1545" s="594">
        <v>47181818</v>
      </c>
      <c r="E1545" s="594"/>
      <c r="F1545" s="594"/>
      <c r="G1545" s="591">
        <v>1275</v>
      </c>
      <c r="H1545" s="599" t="s">
        <v>3797</v>
      </c>
      <c r="I1545" s="593" t="s">
        <v>3296</v>
      </c>
      <c r="J1545" s="594">
        <v>47181818</v>
      </c>
      <c r="K1545" s="594"/>
      <c r="L1545" s="594"/>
      <c r="M1545" s="489" t="str">
        <f t="shared" si="64"/>
        <v>DDDDDDDĐ</v>
      </c>
    </row>
    <row r="1546" spans="1:13" ht="16.5" customHeight="1">
      <c r="A1546" s="591">
        <v>1276</v>
      </c>
      <c r="B1546" s="599" t="s">
        <v>3798</v>
      </c>
      <c r="C1546" s="593" t="s">
        <v>3296</v>
      </c>
      <c r="D1546" s="594">
        <v>52818182</v>
      </c>
      <c r="E1546" s="594"/>
      <c r="F1546" s="594"/>
      <c r="G1546" s="591">
        <v>1276</v>
      </c>
      <c r="H1546" s="599" t="s">
        <v>3798</v>
      </c>
      <c r="I1546" s="593" t="s">
        <v>3296</v>
      </c>
      <c r="J1546" s="594">
        <v>52818182</v>
      </c>
      <c r="K1546" s="594"/>
      <c r="L1546" s="594"/>
      <c r="M1546" s="489" t="str">
        <f t="shared" si="64"/>
        <v>DDDDDDDĐ</v>
      </c>
    </row>
    <row r="1547" spans="1:13" ht="16.5" customHeight="1">
      <c r="A1547" s="591">
        <v>1277</v>
      </c>
      <c r="B1547" s="599" t="s">
        <v>3799</v>
      </c>
      <c r="C1547" s="593" t="s">
        <v>3296</v>
      </c>
      <c r="D1547" s="594">
        <v>56181818</v>
      </c>
      <c r="E1547" s="594"/>
      <c r="F1547" s="594"/>
      <c r="G1547" s="591">
        <v>1277</v>
      </c>
      <c r="H1547" s="599" t="s">
        <v>3799</v>
      </c>
      <c r="I1547" s="593" t="s">
        <v>3296</v>
      </c>
      <c r="J1547" s="594">
        <v>56181818</v>
      </c>
      <c r="K1547" s="594"/>
      <c r="L1547" s="594"/>
      <c r="M1547" s="489" t="str">
        <f t="shared" si="64"/>
        <v>DDDDDDDĐ</v>
      </c>
    </row>
    <row r="1548" spans="1:13" ht="16.5" customHeight="1">
      <c r="A1548" s="591">
        <v>1278</v>
      </c>
      <c r="B1548" s="599" t="s">
        <v>3800</v>
      </c>
      <c r="C1548" s="593" t="s">
        <v>3296</v>
      </c>
      <c r="D1548" s="594">
        <v>59636364</v>
      </c>
      <c r="E1548" s="594"/>
      <c r="F1548" s="594"/>
      <c r="G1548" s="591">
        <v>1278</v>
      </c>
      <c r="H1548" s="599" t="s">
        <v>3800</v>
      </c>
      <c r="I1548" s="593" t="s">
        <v>3296</v>
      </c>
      <c r="J1548" s="594">
        <v>59636364</v>
      </c>
      <c r="K1548" s="594"/>
      <c r="L1548" s="594"/>
      <c r="M1548" s="489" t="str">
        <f t="shared" si="64"/>
        <v>DDDDDDDĐ</v>
      </c>
    </row>
    <row r="1549" spans="1:13">
      <c r="A1549" s="591">
        <v>1279</v>
      </c>
      <c r="B1549" s="599" t="s">
        <v>3801</v>
      </c>
      <c r="C1549" s="593" t="s">
        <v>3296</v>
      </c>
      <c r="D1549" s="594">
        <v>108181818</v>
      </c>
      <c r="E1549" s="594"/>
      <c r="F1549" s="594"/>
      <c r="G1549" s="591">
        <v>1279</v>
      </c>
      <c r="H1549" s="599" t="s">
        <v>3801</v>
      </c>
      <c r="I1549" s="593" t="s">
        <v>3296</v>
      </c>
      <c r="J1549" s="594">
        <v>108181818</v>
      </c>
      <c r="K1549" s="594"/>
      <c r="L1549" s="594"/>
      <c r="M1549" s="489" t="str">
        <f t="shared" si="64"/>
        <v>DDDDDDDĐ</v>
      </c>
    </row>
    <row r="1550" spans="1:13">
      <c r="A1550" s="591">
        <v>1280</v>
      </c>
      <c r="B1550" s="599" t="s">
        <v>3345</v>
      </c>
      <c r="C1550" s="593" t="s">
        <v>3298</v>
      </c>
      <c r="D1550" s="594">
        <f>13450000/1.1</f>
        <v>12227272.727272727</v>
      </c>
      <c r="E1550" s="594"/>
      <c r="F1550" s="594"/>
      <c r="G1550" s="591">
        <v>1280</v>
      </c>
      <c r="H1550" s="599" t="s">
        <v>3345</v>
      </c>
      <c r="I1550" s="593" t="s">
        <v>3298</v>
      </c>
      <c r="J1550" s="594">
        <f>13450000/1.1</f>
        <v>12227272.727272727</v>
      </c>
      <c r="K1550" s="594"/>
      <c r="L1550" s="594"/>
      <c r="M1550" s="489" t="str">
        <f t="shared" si="64"/>
        <v>DDDDDDDĐ</v>
      </c>
    </row>
    <row r="1551" spans="1:13">
      <c r="A1551" s="591">
        <v>1281</v>
      </c>
      <c r="B1551" s="599" t="s">
        <v>3346</v>
      </c>
      <c r="C1551" s="593" t="s">
        <v>3298</v>
      </c>
      <c r="D1551" s="594">
        <f>62550000/1.1</f>
        <v>56863636.36363636</v>
      </c>
      <c r="E1551" s="594"/>
      <c r="F1551" s="594"/>
      <c r="G1551" s="591">
        <v>1281</v>
      </c>
      <c r="H1551" s="599" t="s">
        <v>3346</v>
      </c>
      <c r="I1551" s="593" t="s">
        <v>3298</v>
      </c>
      <c r="J1551" s="594">
        <f>62550000/1.1</f>
        <v>56863636.36363636</v>
      </c>
      <c r="K1551" s="594"/>
      <c r="L1551" s="594"/>
      <c r="M1551" s="489" t="str">
        <f t="shared" si="64"/>
        <v>DDDDDDDĐ</v>
      </c>
    </row>
    <row r="1552" spans="1:13">
      <c r="A1552" s="591"/>
      <c r="B1552" s="596" t="s">
        <v>3347</v>
      </c>
      <c r="C1552" s="597"/>
      <c r="D1552" s="594"/>
      <c r="E1552" s="594"/>
      <c r="F1552" s="594"/>
      <c r="G1552" s="591"/>
      <c r="H1552" s="596" t="s">
        <v>3347</v>
      </c>
      <c r="I1552" s="597"/>
      <c r="J1552" s="594"/>
      <c r="K1552" s="594"/>
      <c r="L1552" s="594"/>
      <c r="M1552" s="489" t="str">
        <f t="shared" si="64"/>
        <v>DDDDDDDĐ</v>
      </c>
    </row>
    <row r="1553" spans="1:13">
      <c r="A1553" s="591">
        <v>1282</v>
      </c>
      <c r="B1553" s="598" t="s">
        <v>3348</v>
      </c>
      <c r="C1553" s="593" t="s">
        <v>2338</v>
      </c>
      <c r="D1553" s="594">
        <f>1200000/1.1</f>
        <v>1090909.0909090908</v>
      </c>
      <c r="E1553" s="594"/>
      <c r="F1553" s="594"/>
      <c r="G1553" s="591">
        <v>1282</v>
      </c>
      <c r="H1553" s="598" t="s">
        <v>3348</v>
      </c>
      <c r="I1553" s="593" t="s">
        <v>2338</v>
      </c>
      <c r="J1553" s="594">
        <f>1200000/1.1</f>
        <v>1090909.0909090908</v>
      </c>
      <c r="K1553" s="594"/>
      <c r="L1553" s="594"/>
      <c r="M1553" s="489" t="str">
        <f t="shared" si="64"/>
        <v>DDDDDDDĐ</v>
      </c>
    </row>
    <row r="1554" spans="1:13" ht="16.5" customHeight="1">
      <c r="A1554" s="591">
        <v>1283</v>
      </c>
      <c r="B1554" s="598" t="s">
        <v>3349</v>
      </c>
      <c r="C1554" s="593" t="s">
        <v>2338</v>
      </c>
      <c r="D1554" s="594">
        <v>745545</v>
      </c>
      <c r="E1554" s="594"/>
      <c r="F1554" s="594"/>
      <c r="G1554" s="591">
        <v>1283</v>
      </c>
      <c r="H1554" s="598" t="s">
        <v>3349</v>
      </c>
      <c r="I1554" s="593" t="s">
        <v>2338</v>
      </c>
      <c r="J1554" s="594">
        <v>745545</v>
      </c>
      <c r="K1554" s="594"/>
      <c r="L1554" s="594"/>
      <c r="M1554" s="489" t="str">
        <f t="shared" si="64"/>
        <v>DDDDDDDĐ</v>
      </c>
    </row>
    <row r="1555" spans="1:13" ht="16.5" customHeight="1">
      <c r="A1555" s="591">
        <v>1284</v>
      </c>
      <c r="B1555" s="598" t="s">
        <v>3350</v>
      </c>
      <c r="C1555" s="593" t="s">
        <v>2338</v>
      </c>
      <c r="D1555" s="594">
        <f>1400000/1.1</f>
        <v>1272727.2727272727</v>
      </c>
      <c r="E1555" s="594"/>
      <c r="F1555" s="594"/>
      <c r="G1555" s="591">
        <v>1284</v>
      </c>
      <c r="H1555" s="598" t="s">
        <v>3350</v>
      </c>
      <c r="I1555" s="593" t="s">
        <v>2338</v>
      </c>
      <c r="J1555" s="594">
        <f>1400000/1.1</f>
        <v>1272727.2727272727</v>
      </c>
      <c r="K1555" s="594"/>
      <c r="L1555" s="594"/>
      <c r="M1555" s="489" t="str">
        <f t="shared" si="64"/>
        <v>DDDDDDDĐ</v>
      </c>
    </row>
    <row r="1556" spans="1:13" ht="16.5" customHeight="1">
      <c r="A1556" s="591">
        <v>1285</v>
      </c>
      <c r="B1556" s="598" t="s">
        <v>3351</v>
      </c>
      <c r="C1556" s="593" t="s">
        <v>2338</v>
      </c>
      <c r="D1556" s="594">
        <f>2400000/1.1</f>
        <v>2181818.1818181816</v>
      </c>
      <c r="E1556" s="594"/>
      <c r="F1556" s="594"/>
      <c r="G1556" s="591">
        <v>1285</v>
      </c>
      <c r="H1556" s="598" t="s">
        <v>3351</v>
      </c>
      <c r="I1556" s="593" t="s">
        <v>2338</v>
      </c>
      <c r="J1556" s="594">
        <f>2400000/1.1</f>
        <v>2181818.1818181816</v>
      </c>
      <c r="K1556" s="594"/>
      <c r="L1556" s="594"/>
      <c r="M1556" s="489" t="str">
        <f t="shared" si="64"/>
        <v>DDDDDDDĐ</v>
      </c>
    </row>
    <row r="1557" spans="1:13" ht="16.5" customHeight="1">
      <c r="A1557" s="591"/>
      <c r="B1557" s="2160" t="s">
        <v>3352</v>
      </c>
      <c r="C1557" s="2160"/>
      <c r="D1557" s="2160"/>
      <c r="E1557" s="2160"/>
      <c r="F1557" s="2160"/>
      <c r="G1557" s="591"/>
      <c r="H1557" s="2160" t="s">
        <v>3352</v>
      </c>
      <c r="I1557" s="2160"/>
      <c r="J1557" s="2160"/>
      <c r="K1557" s="2160"/>
      <c r="L1557" s="2160"/>
      <c r="M1557" s="489" t="str">
        <f t="shared" si="64"/>
        <v>DDDDDDDĐ</v>
      </c>
    </row>
    <row r="1558" spans="1:13">
      <c r="A1558" s="591"/>
      <c r="B1558" s="596" t="s">
        <v>3353</v>
      </c>
      <c r="C1558" s="597"/>
      <c r="D1558" s="594"/>
      <c r="E1558" s="594"/>
      <c r="F1558" s="594"/>
      <c r="G1558" s="591"/>
      <c r="H1558" s="596" t="s">
        <v>3353</v>
      </c>
      <c r="I1558" s="597"/>
      <c r="J1558" s="594"/>
      <c r="K1558" s="594"/>
      <c r="L1558" s="594"/>
      <c r="M1558" s="489" t="str">
        <f t="shared" si="64"/>
        <v>DDDDDDDĐ</v>
      </c>
    </row>
    <row r="1559" spans="1:13">
      <c r="A1559" s="591">
        <v>1286</v>
      </c>
      <c r="B1559" s="599" t="s">
        <v>3354</v>
      </c>
      <c r="C1559" s="593" t="s">
        <v>3296</v>
      </c>
      <c r="D1559" s="594">
        <v>45000000</v>
      </c>
      <c r="E1559" s="594"/>
      <c r="F1559" s="594"/>
      <c r="G1559" s="591">
        <v>1286</v>
      </c>
      <c r="H1559" s="599" t="s">
        <v>3354</v>
      </c>
      <c r="I1559" s="593" t="s">
        <v>3296</v>
      </c>
      <c r="J1559" s="594">
        <v>45000000</v>
      </c>
      <c r="K1559" s="594"/>
      <c r="L1559" s="594"/>
      <c r="M1559" s="489" t="str">
        <f t="shared" si="64"/>
        <v>DDDDDDDĐ</v>
      </c>
    </row>
    <row r="1560" spans="1:13">
      <c r="A1560" s="591"/>
      <c r="B1560" s="596" t="s">
        <v>3355</v>
      </c>
      <c r="C1560" s="597"/>
      <c r="D1560" s="594"/>
      <c r="E1560" s="594"/>
      <c r="F1560" s="594"/>
      <c r="G1560" s="591"/>
      <c r="H1560" s="596" t="s">
        <v>3355</v>
      </c>
      <c r="I1560" s="597"/>
      <c r="J1560" s="594"/>
      <c r="K1560" s="594"/>
      <c r="L1560" s="594"/>
      <c r="M1560" s="489" t="str">
        <f t="shared" si="64"/>
        <v>DDDDDDDĐ</v>
      </c>
    </row>
    <row r="1561" spans="1:13">
      <c r="A1561" s="591">
        <v>1287</v>
      </c>
      <c r="B1561" s="599" t="s">
        <v>3356</v>
      </c>
      <c r="C1561" s="593" t="s">
        <v>3296</v>
      </c>
      <c r="D1561" s="594">
        <v>60391000</v>
      </c>
      <c r="E1561" s="594"/>
      <c r="F1561" s="594"/>
      <c r="G1561" s="591">
        <v>1287</v>
      </c>
      <c r="H1561" s="599" t="s">
        <v>3356</v>
      </c>
      <c r="I1561" s="593" t="s">
        <v>3296</v>
      </c>
      <c r="J1561" s="594">
        <v>60391000</v>
      </c>
      <c r="K1561" s="594"/>
      <c r="L1561" s="594"/>
      <c r="M1561" s="489" t="str">
        <f t="shared" si="64"/>
        <v>DDDDDDDĐ</v>
      </c>
    </row>
    <row r="1562" spans="1:13">
      <c r="A1562" s="591">
        <v>1288</v>
      </c>
      <c r="B1562" s="599" t="s">
        <v>3357</v>
      </c>
      <c r="C1562" s="593" t="s">
        <v>2338</v>
      </c>
      <c r="D1562" s="594">
        <v>3200000</v>
      </c>
      <c r="E1562" s="594"/>
      <c r="F1562" s="594"/>
      <c r="G1562" s="591">
        <v>1288</v>
      </c>
      <c r="H1562" s="599" t="s">
        <v>3357</v>
      </c>
      <c r="I1562" s="593" t="s">
        <v>2338</v>
      </c>
      <c r="J1562" s="594">
        <v>3200000</v>
      </c>
      <c r="K1562" s="594"/>
      <c r="L1562" s="594"/>
      <c r="M1562" s="489" t="str">
        <f t="shared" si="64"/>
        <v>DDDDDDDĐ</v>
      </c>
    </row>
    <row r="1563" spans="1:13">
      <c r="A1563" s="591">
        <v>1289</v>
      </c>
      <c r="B1563" s="599" t="s">
        <v>3358</v>
      </c>
      <c r="C1563" s="593" t="s">
        <v>2338</v>
      </c>
      <c r="D1563" s="594">
        <v>9500000</v>
      </c>
      <c r="E1563" s="594"/>
      <c r="F1563" s="594"/>
      <c r="G1563" s="591">
        <v>1289</v>
      </c>
      <c r="H1563" s="599" t="s">
        <v>3358</v>
      </c>
      <c r="I1563" s="593" t="s">
        <v>2338</v>
      </c>
      <c r="J1563" s="594">
        <v>9500000</v>
      </c>
      <c r="K1563" s="594"/>
      <c r="L1563" s="594"/>
      <c r="M1563" s="489" t="str">
        <f t="shared" si="64"/>
        <v>DDDDDDDĐ</v>
      </c>
    </row>
    <row r="1564" spans="1:13" ht="17.25">
      <c r="A1564" s="591">
        <v>1290</v>
      </c>
      <c r="B1564" s="599" t="s">
        <v>5370</v>
      </c>
      <c r="C1564" s="593" t="s">
        <v>2338</v>
      </c>
      <c r="D1564" s="601">
        <v>65000000</v>
      </c>
      <c r="E1564" s="594"/>
      <c r="F1564" s="594"/>
      <c r="G1564" s="591">
        <v>1290</v>
      </c>
      <c r="H1564" s="599" t="s">
        <v>5370</v>
      </c>
      <c r="I1564" s="593" t="s">
        <v>2338</v>
      </c>
      <c r="J1564" s="601">
        <v>65000000</v>
      </c>
      <c r="K1564" s="594"/>
      <c r="L1564" s="594"/>
      <c r="M1564" s="489" t="str">
        <f t="shared" si="64"/>
        <v>DDDDDDDĐ</v>
      </c>
    </row>
    <row r="1565" spans="1:13">
      <c r="A1565" s="591">
        <v>1291</v>
      </c>
      <c r="B1565" s="599" t="s">
        <v>3359</v>
      </c>
      <c r="C1565" s="593" t="s">
        <v>3298</v>
      </c>
      <c r="D1565" s="594">
        <v>12200000</v>
      </c>
      <c r="E1565" s="594"/>
      <c r="F1565" s="594"/>
      <c r="G1565" s="591">
        <v>1291</v>
      </c>
      <c r="H1565" s="599" t="s">
        <v>3359</v>
      </c>
      <c r="I1565" s="593" t="s">
        <v>3298</v>
      </c>
      <c r="J1565" s="594">
        <v>12200000</v>
      </c>
      <c r="K1565" s="594"/>
      <c r="L1565" s="594"/>
      <c r="M1565" s="489" t="str">
        <f t="shared" si="64"/>
        <v>DDDDDDDĐ</v>
      </c>
    </row>
    <row r="1566" spans="1:13">
      <c r="A1566" s="591"/>
      <c r="B1566" s="596" t="s">
        <v>3360</v>
      </c>
      <c r="C1566" s="597"/>
      <c r="D1566" s="594"/>
      <c r="E1566" s="602"/>
      <c r="F1566" s="602"/>
      <c r="G1566" s="591"/>
      <c r="H1566" s="596" t="s">
        <v>3360</v>
      </c>
      <c r="I1566" s="597"/>
      <c r="J1566" s="594"/>
      <c r="K1566" s="602"/>
      <c r="L1566" s="602"/>
      <c r="M1566" s="489" t="str">
        <f t="shared" si="64"/>
        <v>DDDDDDDĐ</v>
      </c>
    </row>
    <row r="1567" spans="1:13">
      <c r="A1567" s="591">
        <v>1292</v>
      </c>
      <c r="B1567" s="599" t="s">
        <v>3802</v>
      </c>
      <c r="C1567" s="593" t="s">
        <v>3296</v>
      </c>
      <c r="D1567" s="594">
        <v>28270000</v>
      </c>
      <c r="E1567" s="602"/>
      <c r="F1567" s="602"/>
      <c r="G1567" s="591">
        <v>1292</v>
      </c>
      <c r="H1567" s="599" t="s">
        <v>3802</v>
      </c>
      <c r="I1567" s="593" t="s">
        <v>3296</v>
      </c>
      <c r="J1567" s="594">
        <v>28270000</v>
      </c>
      <c r="K1567" s="602"/>
      <c r="L1567" s="602"/>
      <c r="M1567" s="489" t="str">
        <f t="shared" si="64"/>
        <v>DDDDDDDĐ</v>
      </c>
    </row>
    <row r="1568" spans="1:13">
      <c r="A1568" s="591">
        <v>1293</v>
      </c>
      <c r="B1568" s="599" t="s">
        <v>3803</v>
      </c>
      <c r="C1568" s="593" t="s">
        <v>3296</v>
      </c>
      <c r="D1568" s="594">
        <v>33300000</v>
      </c>
      <c r="E1568" s="602"/>
      <c r="F1568" s="602"/>
      <c r="G1568" s="591">
        <v>1293</v>
      </c>
      <c r="H1568" s="599" t="s">
        <v>3803</v>
      </c>
      <c r="I1568" s="593" t="s">
        <v>3296</v>
      </c>
      <c r="J1568" s="594">
        <v>33300000</v>
      </c>
      <c r="K1568" s="602"/>
      <c r="L1568" s="602"/>
      <c r="M1568" s="489" t="str">
        <f t="shared" ref="M1568:M1597" si="65">IF(B1568=H1568,"DDDDDDDĐ","SSSSSSSSSSSS")</f>
        <v>DDDDDDDĐ</v>
      </c>
    </row>
    <row r="1569" spans="1:13">
      <c r="A1569" s="591">
        <v>1294</v>
      </c>
      <c r="B1569" s="599" t="s">
        <v>3361</v>
      </c>
      <c r="C1569" s="593" t="s">
        <v>2338</v>
      </c>
      <c r="D1569" s="594">
        <v>1500000</v>
      </c>
      <c r="E1569" s="602"/>
      <c r="F1569" s="602"/>
      <c r="G1569" s="591">
        <v>1294</v>
      </c>
      <c r="H1569" s="599" t="s">
        <v>3361</v>
      </c>
      <c r="I1569" s="593" t="s">
        <v>2338</v>
      </c>
      <c r="J1569" s="594">
        <v>1500000</v>
      </c>
      <c r="K1569" s="602"/>
      <c r="L1569" s="602"/>
      <c r="M1569" s="489" t="str">
        <f t="shared" si="65"/>
        <v>DDDDDDDĐ</v>
      </c>
    </row>
    <row r="1570" spans="1:13">
      <c r="A1570" s="591">
        <v>1295</v>
      </c>
      <c r="B1570" s="599" t="s">
        <v>3357</v>
      </c>
      <c r="C1570" s="593" t="s">
        <v>2338</v>
      </c>
      <c r="D1570" s="594">
        <v>2500000</v>
      </c>
      <c r="E1570" s="602"/>
      <c r="F1570" s="602"/>
      <c r="G1570" s="591">
        <v>1295</v>
      </c>
      <c r="H1570" s="599" t="s">
        <v>3357</v>
      </c>
      <c r="I1570" s="593" t="s">
        <v>2338</v>
      </c>
      <c r="J1570" s="594">
        <v>2500000</v>
      </c>
      <c r="K1570" s="602"/>
      <c r="L1570" s="602"/>
      <c r="M1570" s="489" t="str">
        <f t="shared" si="65"/>
        <v>DDDDDDDĐ</v>
      </c>
    </row>
    <row r="1571" spans="1:13">
      <c r="A1571" s="591">
        <v>1296</v>
      </c>
      <c r="B1571" s="599" t="s">
        <v>3362</v>
      </c>
      <c r="C1571" s="593" t="s">
        <v>2338</v>
      </c>
      <c r="D1571" s="594">
        <v>6900000</v>
      </c>
      <c r="E1571" s="602"/>
      <c r="F1571" s="602"/>
      <c r="G1571" s="591">
        <v>1296</v>
      </c>
      <c r="H1571" s="599" t="s">
        <v>3362</v>
      </c>
      <c r="I1571" s="593" t="s">
        <v>2338</v>
      </c>
      <c r="J1571" s="594">
        <v>6900000</v>
      </c>
      <c r="K1571" s="602"/>
      <c r="L1571" s="602"/>
      <c r="M1571" s="489" t="str">
        <f t="shared" si="65"/>
        <v>DDDDDDDĐ</v>
      </c>
    </row>
    <row r="1572" spans="1:13">
      <c r="A1572" s="591">
        <v>1297</v>
      </c>
      <c r="B1572" s="599" t="s">
        <v>3358</v>
      </c>
      <c r="C1572" s="593" t="s">
        <v>2338</v>
      </c>
      <c r="D1572" s="594">
        <v>8900000</v>
      </c>
      <c r="E1572" s="602"/>
      <c r="F1572" s="602"/>
      <c r="G1572" s="591">
        <v>1297</v>
      </c>
      <c r="H1572" s="599" t="s">
        <v>3358</v>
      </c>
      <c r="I1572" s="593" t="s">
        <v>2338</v>
      </c>
      <c r="J1572" s="594">
        <v>8900000</v>
      </c>
      <c r="K1572" s="602"/>
      <c r="L1572" s="602"/>
      <c r="M1572" s="489" t="str">
        <f t="shared" si="65"/>
        <v>DDDDDDDĐ</v>
      </c>
    </row>
    <row r="1573" spans="1:13" ht="17.25">
      <c r="A1573" s="591">
        <v>1298</v>
      </c>
      <c r="B1573" s="599" t="s">
        <v>5371</v>
      </c>
      <c r="C1573" s="593" t="s">
        <v>2338</v>
      </c>
      <c r="D1573" s="594">
        <v>43000000</v>
      </c>
      <c r="E1573" s="602"/>
      <c r="F1573" s="602"/>
      <c r="G1573" s="591">
        <v>1298</v>
      </c>
      <c r="H1573" s="599" t="s">
        <v>5371</v>
      </c>
      <c r="I1573" s="593" t="s">
        <v>2338</v>
      </c>
      <c r="J1573" s="594">
        <v>43000000</v>
      </c>
      <c r="K1573" s="602"/>
      <c r="L1573" s="602"/>
      <c r="M1573" s="489" t="str">
        <f t="shared" si="65"/>
        <v>DDDDDDDĐ</v>
      </c>
    </row>
    <row r="1574" spans="1:13" ht="17.25">
      <c r="A1574" s="591">
        <v>1299</v>
      </c>
      <c r="B1574" s="599" t="s">
        <v>5372</v>
      </c>
      <c r="C1574" s="593" t="s">
        <v>2338</v>
      </c>
      <c r="D1574" s="601">
        <v>55000000</v>
      </c>
      <c r="E1574" s="602"/>
      <c r="F1574" s="602"/>
      <c r="G1574" s="591">
        <v>1299</v>
      </c>
      <c r="H1574" s="599" t="s">
        <v>5372</v>
      </c>
      <c r="I1574" s="593" t="s">
        <v>2338</v>
      </c>
      <c r="J1574" s="601">
        <v>55000000</v>
      </c>
      <c r="K1574" s="602"/>
      <c r="L1574" s="602"/>
      <c r="M1574" s="489" t="str">
        <f t="shared" si="65"/>
        <v>DDDDDDDĐ</v>
      </c>
    </row>
    <row r="1575" spans="1:13">
      <c r="A1575" s="591">
        <v>1300</v>
      </c>
      <c r="B1575" s="599" t="s">
        <v>3363</v>
      </c>
      <c r="C1575" s="593" t="s">
        <v>3298</v>
      </c>
      <c r="D1575" s="594">
        <v>8250000</v>
      </c>
      <c r="E1575" s="602"/>
      <c r="F1575" s="602"/>
      <c r="G1575" s="591">
        <v>1300</v>
      </c>
      <c r="H1575" s="599" t="s">
        <v>3363</v>
      </c>
      <c r="I1575" s="593" t="s">
        <v>3298</v>
      </c>
      <c r="J1575" s="594">
        <v>8250000</v>
      </c>
      <c r="K1575" s="602"/>
      <c r="L1575" s="602"/>
      <c r="M1575" s="489" t="str">
        <f t="shared" si="65"/>
        <v>DDDDDDDĐ</v>
      </c>
    </row>
    <row r="1576" spans="1:13">
      <c r="A1576" s="591">
        <v>1301</v>
      </c>
      <c r="B1576" s="599" t="s">
        <v>3364</v>
      </c>
      <c r="C1576" s="593" t="s">
        <v>3298</v>
      </c>
      <c r="D1576" s="594">
        <v>10500000</v>
      </c>
      <c r="E1576" s="602"/>
      <c r="F1576" s="602"/>
      <c r="G1576" s="591">
        <v>1301</v>
      </c>
      <c r="H1576" s="599" t="s">
        <v>3364</v>
      </c>
      <c r="I1576" s="593" t="s">
        <v>3298</v>
      </c>
      <c r="J1576" s="594">
        <v>10500000</v>
      </c>
      <c r="K1576" s="602"/>
      <c r="L1576" s="602"/>
      <c r="M1576" s="489" t="str">
        <f t="shared" si="65"/>
        <v>DDDDDDDĐ</v>
      </c>
    </row>
    <row r="1577" spans="1:13">
      <c r="A1577" s="595" t="s">
        <v>3365</v>
      </c>
      <c r="B1577" s="603" t="s">
        <v>3366</v>
      </c>
      <c r="C1577" s="604"/>
      <c r="D1577" s="604"/>
      <c r="E1577" s="605"/>
      <c r="F1577" s="605"/>
      <c r="G1577" s="595" t="s">
        <v>3365</v>
      </c>
      <c r="H1577" s="603" t="s">
        <v>3366</v>
      </c>
      <c r="I1577" s="604"/>
      <c r="J1577" s="604"/>
      <c r="K1577" s="605"/>
      <c r="L1577" s="605"/>
      <c r="M1577" s="489" t="str">
        <f t="shared" si="65"/>
        <v>DDDDDDDĐ</v>
      </c>
    </row>
    <row r="1578" spans="1:13">
      <c r="A1578" s="591">
        <v>1302</v>
      </c>
      <c r="B1578" s="599" t="s">
        <v>566</v>
      </c>
      <c r="C1578" s="593" t="s">
        <v>2307</v>
      </c>
      <c r="D1578" s="597"/>
      <c r="E1578" s="1434">
        <v>14000</v>
      </c>
      <c r="F1578" s="606"/>
      <c r="G1578" s="591">
        <v>1302</v>
      </c>
      <c r="H1578" s="599" t="s">
        <v>566</v>
      </c>
      <c r="I1578" s="593" t="s">
        <v>2307</v>
      </c>
      <c r="J1578" s="597"/>
      <c r="K1578" s="606">
        <v>14000</v>
      </c>
      <c r="L1578" s="606"/>
      <c r="M1578" s="489" t="str">
        <f t="shared" si="65"/>
        <v>DDDDDDDĐ</v>
      </c>
    </row>
    <row r="1579" spans="1:13">
      <c r="A1579" s="591">
        <v>1303</v>
      </c>
      <c r="B1579" s="599" t="s">
        <v>3367</v>
      </c>
      <c r="C1579" s="593" t="s">
        <v>3368</v>
      </c>
      <c r="D1579" s="597"/>
      <c r="E1579" s="606">
        <v>1500</v>
      </c>
      <c r="F1579" s="606"/>
      <c r="G1579" s="591">
        <v>1303</v>
      </c>
      <c r="H1579" s="599" t="s">
        <v>3367</v>
      </c>
      <c r="I1579" s="593" t="s">
        <v>3368</v>
      </c>
      <c r="J1579" s="597"/>
      <c r="K1579" s="606">
        <v>1500</v>
      </c>
      <c r="L1579" s="606"/>
      <c r="M1579" s="489" t="str">
        <f t="shared" si="65"/>
        <v>DDDDDDDĐ</v>
      </c>
    </row>
    <row r="1580" spans="1:13">
      <c r="A1580" s="591">
        <v>1304</v>
      </c>
      <c r="B1580" s="599" t="s">
        <v>3369</v>
      </c>
      <c r="C1580" s="593" t="s">
        <v>2307</v>
      </c>
      <c r="D1580" s="597"/>
      <c r="E1580" s="606">
        <v>55000</v>
      </c>
      <c r="F1580" s="606"/>
      <c r="G1580" s="591">
        <v>1304</v>
      </c>
      <c r="H1580" s="599" t="s">
        <v>3369</v>
      </c>
      <c r="I1580" s="593" t="s">
        <v>2307</v>
      </c>
      <c r="J1580" s="597"/>
      <c r="K1580" s="606">
        <v>55000</v>
      </c>
      <c r="L1580" s="606"/>
      <c r="M1580" s="489" t="str">
        <f t="shared" si="65"/>
        <v>DDDDDDDĐ</v>
      </c>
    </row>
    <row r="1581" spans="1:13">
      <c r="A1581" s="591">
        <v>1305</v>
      </c>
      <c r="B1581" s="599" t="s">
        <v>3370</v>
      </c>
      <c r="C1581" s="593" t="s">
        <v>2307</v>
      </c>
      <c r="D1581" s="597"/>
      <c r="E1581" s="606">
        <v>36000</v>
      </c>
      <c r="F1581" s="606"/>
      <c r="G1581" s="591">
        <v>1305</v>
      </c>
      <c r="H1581" s="599" t="s">
        <v>3370</v>
      </c>
      <c r="I1581" s="593" t="s">
        <v>2307</v>
      </c>
      <c r="J1581" s="597"/>
      <c r="K1581" s="606">
        <v>36000</v>
      </c>
      <c r="L1581" s="606"/>
      <c r="M1581" s="489" t="str">
        <f t="shared" si="65"/>
        <v>DDDDDDDĐ</v>
      </c>
    </row>
    <row r="1582" spans="1:13">
      <c r="A1582" s="591">
        <v>1306</v>
      </c>
      <c r="B1582" s="599" t="s">
        <v>3371</v>
      </c>
      <c r="C1582" s="593" t="s">
        <v>2307</v>
      </c>
      <c r="D1582" s="597"/>
      <c r="E1582" s="606">
        <v>25000</v>
      </c>
      <c r="F1582" s="606"/>
      <c r="G1582" s="591">
        <v>1306</v>
      </c>
      <c r="H1582" s="599" t="s">
        <v>3371</v>
      </c>
      <c r="I1582" s="593" t="s">
        <v>2307</v>
      </c>
      <c r="J1582" s="597"/>
      <c r="K1582" s="606">
        <v>25000</v>
      </c>
      <c r="L1582" s="606"/>
      <c r="M1582" s="489" t="str">
        <f t="shared" si="65"/>
        <v>DDDDDDDĐ</v>
      </c>
    </row>
    <row r="1583" spans="1:13" ht="16.5" customHeight="1">
      <c r="A1583" s="1216">
        <v>1307</v>
      </c>
      <c r="B1583" s="1162" t="s">
        <v>460</v>
      </c>
      <c r="C1583" s="1163" t="s">
        <v>2307</v>
      </c>
      <c r="D1583" s="1217"/>
      <c r="E1583" s="1432">
        <v>17143</v>
      </c>
      <c r="F1583" s="508"/>
      <c r="G1583" s="1216">
        <v>1307</v>
      </c>
      <c r="H1583" s="1162" t="s">
        <v>460</v>
      </c>
      <c r="I1583" s="1163" t="s">
        <v>2307</v>
      </c>
      <c r="J1583" s="1217"/>
      <c r="K1583" s="1158">
        <v>17143</v>
      </c>
      <c r="L1583" s="508"/>
      <c r="M1583" s="489" t="str">
        <f t="shared" si="65"/>
        <v>DDDDDDDĐ</v>
      </c>
    </row>
    <row r="1584" spans="1:13" ht="16.5" customHeight="1">
      <c r="A1584" s="1216">
        <v>1308</v>
      </c>
      <c r="B1584" s="1162" t="s">
        <v>3372</v>
      </c>
      <c r="C1584" s="1163" t="s">
        <v>2307</v>
      </c>
      <c r="D1584" s="1217"/>
      <c r="E1584" s="1432">
        <v>17143</v>
      </c>
      <c r="F1584" s="508"/>
      <c r="G1584" s="1216">
        <v>1308</v>
      </c>
      <c r="H1584" s="1162" t="s">
        <v>3372</v>
      </c>
      <c r="I1584" s="1163" t="s">
        <v>2307</v>
      </c>
      <c r="J1584" s="1217"/>
      <c r="K1584" s="1158">
        <v>17143</v>
      </c>
      <c r="L1584" s="508"/>
      <c r="M1584" s="489" t="str">
        <f t="shared" si="65"/>
        <v>DDDDDDDĐ</v>
      </c>
    </row>
    <row r="1585" spans="1:13" ht="16.5" customHeight="1">
      <c r="A1585" s="1216">
        <v>1309</v>
      </c>
      <c r="B1585" s="1162" t="s">
        <v>3373</v>
      </c>
      <c r="C1585" s="1163" t="s">
        <v>2307</v>
      </c>
      <c r="D1585" s="1217"/>
      <c r="E1585" s="1432">
        <v>16381</v>
      </c>
      <c r="F1585" s="508"/>
      <c r="G1585" s="1216">
        <v>1309</v>
      </c>
      <c r="H1585" s="1162" t="s">
        <v>3373</v>
      </c>
      <c r="I1585" s="1163" t="s">
        <v>2307</v>
      </c>
      <c r="J1585" s="1217"/>
      <c r="K1585" s="1158">
        <v>16381</v>
      </c>
      <c r="L1585" s="508"/>
      <c r="M1585" s="489" t="str">
        <f t="shared" si="65"/>
        <v>DDDDDDDĐ</v>
      </c>
    </row>
    <row r="1586" spans="1:13" ht="16.5" customHeight="1">
      <c r="A1586" s="1216">
        <v>1310</v>
      </c>
      <c r="B1586" s="1162" t="s">
        <v>3374</v>
      </c>
      <c r="C1586" s="1163" t="s">
        <v>2307</v>
      </c>
      <c r="D1586" s="1217"/>
      <c r="E1586" s="1158">
        <v>16476</v>
      </c>
      <c r="F1586" s="508"/>
      <c r="G1586" s="1216">
        <v>1310</v>
      </c>
      <c r="H1586" s="1162" t="s">
        <v>3374</v>
      </c>
      <c r="I1586" s="1163" t="s">
        <v>2307</v>
      </c>
      <c r="J1586" s="1217"/>
      <c r="K1586" s="1158">
        <v>16476</v>
      </c>
      <c r="L1586" s="508"/>
      <c r="M1586" s="489" t="str">
        <f t="shared" si="65"/>
        <v>DDDDDDDĐ</v>
      </c>
    </row>
    <row r="1587" spans="1:13">
      <c r="A1587" s="591">
        <v>1311</v>
      </c>
      <c r="B1587" s="506" t="s">
        <v>3375</v>
      </c>
      <c r="C1587" s="507" t="s">
        <v>2307</v>
      </c>
      <c r="D1587" s="607"/>
      <c r="E1587" s="508">
        <v>2700</v>
      </c>
      <c r="F1587" s="508"/>
      <c r="G1587" s="591">
        <v>1311</v>
      </c>
      <c r="H1587" s="506" t="s">
        <v>3375</v>
      </c>
      <c r="I1587" s="507" t="s">
        <v>2307</v>
      </c>
      <c r="J1587" s="607"/>
      <c r="K1587" s="508">
        <v>2700</v>
      </c>
      <c r="L1587" s="508"/>
      <c r="M1587" s="489" t="str">
        <f t="shared" si="65"/>
        <v>DDDDDDDĐ</v>
      </c>
    </row>
    <row r="1588" spans="1:13" ht="16.5" customHeight="1">
      <c r="A1588" s="591">
        <v>1312</v>
      </c>
      <c r="B1588" s="506" t="s">
        <v>3376</v>
      </c>
      <c r="C1588" s="507" t="s">
        <v>2307</v>
      </c>
      <c r="D1588" s="607"/>
      <c r="E1588" s="508">
        <v>28000</v>
      </c>
      <c r="F1588" s="508"/>
      <c r="G1588" s="591">
        <v>1312</v>
      </c>
      <c r="H1588" s="506" t="s">
        <v>3376</v>
      </c>
      <c r="I1588" s="507" t="s">
        <v>2307</v>
      </c>
      <c r="J1588" s="607"/>
      <c r="K1588" s="508">
        <v>28000</v>
      </c>
      <c r="L1588" s="508"/>
      <c r="M1588" s="489" t="str">
        <f t="shared" si="65"/>
        <v>DDDDDDDĐ</v>
      </c>
    </row>
    <row r="1589" spans="1:13" ht="16.5" customHeight="1">
      <c r="A1589" s="591">
        <v>1313</v>
      </c>
      <c r="B1589" s="506" t="s">
        <v>3377</v>
      </c>
      <c r="C1589" s="507" t="s">
        <v>2530</v>
      </c>
      <c r="D1589" s="510"/>
      <c r="E1589" s="508">
        <f>350000/1.1</f>
        <v>318181.81818181818</v>
      </c>
      <c r="F1589" s="508"/>
      <c r="G1589" s="591">
        <v>1313</v>
      </c>
      <c r="H1589" s="506" t="s">
        <v>3377</v>
      </c>
      <c r="I1589" s="507" t="s">
        <v>2530</v>
      </c>
      <c r="J1589" s="510"/>
      <c r="K1589" s="508">
        <f>350000/1.1</f>
        <v>318181.81818181818</v>
      </c>
      <c r="L1589" s="508"/>
      <c r="M1589" s="489" t="str">
        <f t="shared" si="65"/>
        <v>DDDDDDDĐ</v>
      </c>
    </row>
    <row r="1590" spans="1:13" ht="16.5" customHeight="1">
      <c r="A1590" s="591">
        <v>1314</v>
      </c>
      <c r="B1590" s="506" t="s">
        <v>3378</v>
      </c>
      <c r="C1590" s="507" t="s">
        <v>2307</v>
      </c>
      <c r="D1590" s="509"/>
      <c r="E1590" s="1433">
        <f>105000/1.1/5</f>
        <v>19090.909090909088</v>
      </c>
      <c r="F1590" s="508"/>
      <c r="G1590" s="591">
        <v>1314</v>
      </c>
      <c r="H1590" s="506" t="s">
        <v>3378</v>
      </c>
      <c r="I1590" s="507" t="s">
        <v>2307</v>
      </c>
      <c r="J1590" s="509"/>
      <c r="K1590" s="509">
        <f>105000/1.1/5</f>
        <v>19090.909090909088</v>
      </c>
      <c r="L1590" s="508"/>
      <c r="M1590" s="489" t="str">
        <f t="shared" si="65"/>
        <v>DDDDDDDĐ</v>
      </c>
    </row>
    <row r="1591" spans="1:13">
      <c r="A1591" s="1141" t="s">
        <v>3379</v>
      </c>
      <c r="B1591" s="525" t="s">
        <v>5373</v>
      </c>
      <c r="C1591" s="526"/>
      <c r="D1591" s="1142"/>
      <c r="E1591" s="1143"/>
      <c r="F1591" s="1143"/>
      <c r="G1591" s="1141" t="s">
        <v>3379</v>
      </c>
      <c r="H1591" s="525" t="s">
        <v>5373</v>
      </c>
      <c r="I1591" s="526"/>
      <c r="J1591" s="1142"/>
      <c r="K1591" s="1143"/>
      <c r="L1591" s="1143"/>
      <c r="M1591" s="489" t="str">
        <f t="shared" si="65"/>
        <v>DDDDDDDĐ</v>
      </c>
    </row>
    <row r="1592" spans="1:13">
      <c r="A1592" s="1161">
        <v>1315</v>
      </c>
      <c r="B1592" s="1162" t="s">
        <v>3380</v>
      </c>
      <c r="C1592" s="1163" t="s">
        <v>3381</v>
      </c>
      <c r="D1592" s="1159"/>
      <c r="E1592" s="1218"/>
      <c r="F1592" s="1169">
        <f>23780/1.1</f>
        <v>21618.181818181816</v>
      </c>
      <c r="G1592" s="1161">
        <v>1315</v>
      </c>
      <c r="H1592" s="1162" t="s">
        <v>3380</v>
      </c>
      <c r="I1592" s="1163" t="s">
        <v>3381</v>
      </c>
      <c r="J1592" s="1159"/>
      <c r="K1592" s="1218"/>
      <c r="L1592" s="1169">
        <f>23780/1.1</f>
        <v>21618.181818181816</v>
      </c>
      <c r="M1592" s="489" t="str">
        <f t="shared" si="65"/>
        <v>DDDDDDDĐ</v>
      </c>
    </row>
    <row r="1593" spans="1:13">
      <c r="A1593" s="501">
        <v>1316</v>
      </c>
      <c r="B1593" s="1162" t="s">
        <v>3382</v>
      </c>
      <c r="C1593" s="1163" t="s">
        <v>3381</v>
      </c>
      <c r="D1593" s="1159"/>
      <c r="E1593" s="1159">
        <v>22100</v>
      </c>
      <c r="F1593" s="1159">
        <f>E1593</f>
        <v>22100</v>
      </c>
      <c r="G1593" s="501">
        <v>1316</v>
      </c>
      <c r="H1593" s="1162" t="s">
        <v>3382</v>
      </c>
      <c r="I1593" s="1163" t="s">
        <v>3381</v>
      </c>
      <c r="J1593" s="1159"/>
      <c r="K1593" s="1159">
        <v>22100</v>
      </c>
      <c r="L1593" s="1159">
        <f>K1593</f>
        <v>22100</v>
      </c>
      <c r="M1593" s="489" t="str">
        <f t="shared" si="65"/>
        <v>DDDDDDDĐ</v>
      </c>
    </row>
    <row r="1594" spans="1:13">
      <c r="A1594" s="501">
        <v>1317</v>
      </c>
      <c r="B1594" s="1162" t="s">
        <v>3383</v>
      </c>
      <c r="C1594" s="1163" t="s">
        <v>3381</v>
      </c>
      <c r="D1594" s="1159"/>
      <c r="E1594" s="1159">
        <v>22555</v>
      </c>
      <c r="F1594" s="1159">
        <f>E1594</f>
        <v>22555</v>
      </c>
      <c r="G1594" s="501">
        <v>1317</v>
      </c>
      <c r="H1594" s="1162" t="s">
        <v>3383</v>
      </c>
      <c r="I1594" s="1163" t="s">
        <v>3381</v>
      </c>
      <c r="J1594" s="1159"/>
      <c r="K1594" s="1159">
        <v>22555</v>
      </c>
      <c r="L1594" s="1159">
        <f>K1594</f>
        <v>22555</v>
      </c>
      <c r="M1594" s="489" t="str">
        <f t="shared" si="65"/>
        <v>DDDDDDDĐ</v>
      </c>
    </row>
    <row r="1595" spans="1:13">
      <c r="A1595" s="501">
        <v>1318</v>
      </c>
      <c r="B1595" s="1162" t="s">
        <v>3384</v>
      </c>
      <c r="C1595" s="1163" t="s">
        <v>3381</v>
      </c>
      <c r="D1595" s="1158"/>
      <c r="E1595" s="1158">
        <v>20036</v>
      </c>
      <c r="F1595" s="1159">
        <f>E1595</f>
        <v>20036</v>
      </c>
      <c r="G1595" s="501">
        <v>1318</v>
      </c>
      <c r="H1595" s="1162" t="s">
        <v>3384</v>
      </c>
      <c r="I1595" s="1163" t="s">
        <v>3381</v>
      </c>
      <c r="J1595" s="1158"/>
      <c r="K1595" s="1158">
        <v>20036</v>
      </c>
      <c r="L1595" s="1159">
        <f>K1595</f>
        <v>20036</v>
      </c>
      <c r="M1595" s="489" t="str">
        <f t="shared" si="65"/>
        <v>DDDDDDDĐ</v>
      </c>
    </row>
    <row r="1596" spans="1:13">
      <c r="A1596" s="501">
        <v>1319</v>
      </c>
      <c r="B1596" s="1162" t="s">
        <v>3385</v>
      </c>
      <c r="C1596" s="1163" t="s">
        <v>3381</v>
      </c>
      <c r="D1596" s="1159"/>
      <c r="E1596" s="1159">
        <v>19991</v>
      </c>
      <c r="F1596" s="1159">
        <f>E1596</f>
        <v>19991</v>
      </c>
      <c r="G1596" s="501">
        <v>1319</v>
      </c>
      <c r="H1596" s="1162" t="s">
        <v>3385</v>
      </c>
      <c r="I1596" s="1163" t="s">
        <v>3381</v>
      </c>
      <c r="J1596" s="1159"/>
      <c r="K1596" s="1159">
        <v>19991</v>
      </c>
      <c r="L1596" s="1159">
        <f>K1596</f>
        <v>19991</v>
      </c>
      <c r="M1596" s="489" t="str">
        <f t="shared" si="65"/>
        <v>DDDDDDDĐ</v>
      </c>
    </row>
    <row r="1597" spans="1:13">
      <c r="A1597" s="501">
        <v>1320</v>
      </c>
      <c r="B1597" s="1219" t="s">
        <v>3386</v>
      </c>
      <c r="C1597" s="1220" t="s">
        <v>3381</v>
      </c>
      <c r="D1597" s="1221"/>
      <c r="E1597" s="1221">
        <v>20000</v>
      </c>
      <c r="F1597" s="1221">
        <f>E1597</f>
        <v>20000</v>
      </c>
      <c r="G1597" s="501">
        <v>1320</v>
      </c>
      <c r="H1597" s="1219" t="s">
        <v>3386</v>
      </c>
      <c r="I1597" s="1220" t="s">
        <v>3381</v>
      </c>
      <c r="J1597" s="1221"/>
      <c r="K1597" s="1221">
        <v>20000</v>
      </c>
      <c r="L1597" s="1221">
        <f>K1597</f>
        <v>20000</v>
      </c>
      <c r="M1597" s="489" t="str">
        <f t="shared" si="65"/>
        <v>DDDDDDDĐ</v>
      </c>
    </row>
    <row r="1598" spans="1:13">
      <c r="A1598" s="608" t="s">
        <v>3387</v>
      </c>
      <c r="B1598" s="609"/>
      <c r="C1598" s="610"/>
      <c r="D1598" s="611"/>
      <c r="E1598" s="611"/>
      <c r="F1598" s="611"/>
      <c r="G1598" s="608" t="s">
        <v>3387</v>
      </c>
      <c r="H1598" s="609"/>
      <c r="I1598" s="610"/>
      <c r="J1598" s="611"/>
      <c r="K1598" s="611"/>
      <c r="L1598" s="611"/>
    </row>
    <row r="1599" spans="1:13" ht="16.5" customHeight="1">
      <c r="A1599" s="2160" t="s">
        <v>3388</v>
      </c>
      <c r="B1599" s="2160"/>
      <c r="C1599" s="2160"/>
      <c r="D1599" s="2160"/>
      <c r="E1599" s="2160"/>
      <c r="F1599" s="2160"/>
      <c r="G1599" s="2160" t="s">
        <v>3388</v>
      </c>
      <c r="H1599" s="2160"/>
      <c r="I1599" s="2160"/>
      <c r="J1599" s="2160"/>
      <c r="K1599" s="2160"/>
      <c r="L1599" s="2160"/>
    </row>
    <row r="1600" spans="1:13" ht="16.5" customHeight="1">
      <c r="A1600" s="2160" t="s">
        <v>3884</v>
      </c>
      <c r="B1600" s="2160"/>
      <c r="C1600" s="2160"/>
      <c r="D1600" s="2160"/>
      <c r="E1600" s="2160"/>
      <c r="F1600" s="2160"/>
      <c r="G1600" s="2160" t="s">
        <v>3884</v>
      </c>
      <c r="H1600" s="2160"/>
      <c r="I1600" s="2160"/>
      <c r="J1600" s="2160"/>
      <c r="K1600" s="2160"/>
      <c r="L1600" s="2160"/>
    </row>
    <row r="1601" spans="1:12" ht="16.5" customHeight="1">
      <c r="A1601" s="2160" t="s">
        <v>3389</v>
      </c>
      <c r="B1601" s="2160"/>
      <c r="C1601" s="2160"/>
      <c r="D1601" s="2160"/>
      <c r="E1601" s="2160"/>
      <c r="F1601" s="2160"/>
      <c r="G1601" s="2160" t="s">
        <v>3389</v>
      </c>
      <c r="H1601" s="2160"/>
      <c r="I1601" s="2160"/>
      <c r="J1601" s="2160"/>
      <c r="K1601" s="2160"/>
      <c r="L1601" s="2160"/>
    </row>
    <row r="1602" spans="1:12" ht="18.75">
      <c r="A1602" s="612"/>
      <c r="B1602" s="613" t="s">
        <v>3390</v>
      </c>
      <c r="C1602" s="2160" t="s">
        <v>3391</v>
      </c>
      <c r="D1602" s="2160"/>
      <c r="E1602" s="2160"/>
      <c r="F1602" s="2160"/>
      <c r="G1602" s="612"/>
      <c r="H1602" s="613" t="s">
        <v>3390</v>
      </c>
      <c r="I1602" s="2160" t="s">
        <v>3391</v>
      </c>
      <c r="J1602" s="2160"/>
      <c r="K1602" s="2160"/>
      <c r="L1602" s="2160"/>
    </row>
    <row r="1603" spans="1:12" ht="18.75">
      <c r="A1603" s="612"/>
      <c r="B1603" s="613" t="s">
        <v>3392</v>
      </c>
      <c r="C1603" s="2160" t="s">
        <v>3393</v>
      </c>
      <c r="D1603" s="2160"/>
      <c r="E1603" s="2160"/>
      <c r="F1603" s="2160"/>
      <c r="G1603" s="612"/>
      <c r="H1603" s="613" t="s">
        <v>3392</v>
      </c>
      <c r="I1603" s="2160" t="s">
        <v>3393</v>
      </c>
      <c r="J1603" s="2160"/>
      <c r="K1603" s="2160"/>
      <c r="L1603" s="2160"/>
    </row>
    <row r="1604" spans="1:12" ht="18.75">
      <c r="A1604" s="612"/>
      <c r="B1604" s="613" t="s">
        <v>3394</v>
      </c>
      <c r="C1604" s="2160" t="s">
        <v>3395</v>
      </c>
      <c r="D1604" s="2160"/>
      <c r="E1604" s="2160"/>
      <c r="F1604" s="2160"/>
      <c r="G1604" s="612"/>
      <c r="H1604" s="613" t="s">
        <v>3394</v>
      </c>
      <c r="I1604" s="2160" t="s">
        <v>3395</v>
      </c>
      <c r="J1604" s="2160"/>
      <c r="K1604" s="2160"/>
      <c r="L1604" s="2160"/>
    </row>
    <row r="1605" spans="1:12" ht="18.75">
      <c r="A1605" s="612"/>
      <c r="C1605" s="615"/>
      <c r="D1605" s="615"/>
      <c r="E1605" s="615"/>
      <c r="F1605" s="615"/>
      <c r="G1605" s="612"/>
      <c r="I1605" s="615"/>
      <c r="J1605" s="615"/>
      <c r="K1605" s="615"/>
      <c r="L1605" s="615"/>
    </row>
    <row r="1606" spans="1:12" ht="18.75">
      <c r="A1606" s="616"/>
      <c r="B1606" s="998" t="s">
        <v>5152</v>
      </c>
      <c r="C1606" s="2160" t="s">
        <v>5374</v>
      </c>
      <c r="D1606" s="2160"/>
      <c r="E1606" s="2160"/>
      <c r="F1606" s="2160"/>
      <c r="G1606" s="616"/>
      <c r="H1606" s="998" t="s">
        <v>5152</v>
      </c>
      <c r="I1606" s="2160" t="s">
        <v>5374</v>
      </c>
      <c r="J1606" s="2160"/>
      <c r="K1606" s="2160"/>
      <c r="L1606" s="2160"/>
    </row>
    <row r="1607" spans="1:12" ht="18.75">
      <c r="A1607" s="616"/>
      <c r="B1607" s="615"/>
      <c r="C1607" s="615"/>
      <c r="D1607" s="615"/>
      <c r="E1607" s="615"/>
      <c r="F1607" s="615"/>
      <c r="G1607" s="616"/>
      <c r="H1607" s="615"/>
      <c r="I1607" s="615"/>
      <c r="J1607" s="615"/>
      <c r="K1607" s="615"/>
      <c r="L1607" s="615"/>
    </row>
    <row r="1608" spans="1:12" ht="18.75">
      <c r="A1608" s="616"/>
      <c r="B1608" s="613" t="s">
        <v>3396</v>
      </c>
      <c r="C1608" s="2160" t="s">
        <v>3397</v>
      </c>
      <c r="D1608" s="2160"/>
      <c r="E1608" s="2160"/>
      <c r="F1608" s="2160"/>
      <c r="G1608" s="616"/>
      <c r="H1608" s="613" t="s">
        <v>3396</v>
      </c>
      <c r="I1608" s="2160" t="s">
        <v>3397</v>
      </c>
      <c r="J1608" s="2160"/>
      <c r="K1608" s="2160"/>
      <c r="L1608" s="2160"/>
    </row>
    <row r="1609" spans="1:12" ht="18.75">
      <c r="A1609" s="616"/>
      <c r="B1609" s="614"/>
      <c r="C1609" s="2160"/>
      <c r="D1609" s="2160"/>
      <c r="E1609" s="2160"/>
      <c r="F1609" s="2160"/>
      <c r="G1609" s="616"/>
      <c r="H1609" s="614"/>
      <c r="I1609" s="2160"/>
      <c r="J1609" s="2160"/>
      <c r="K1609" s="2160"/>
      <c r="L1609" s="2160"/>
    </row>
    <row r="1610" spans="1:12">
      <c r="A1610" s="2160" t="s">
        <v>3398</v>
      </c>
      <c r="B1610" s="2160"/>
      <c r="C1610" s="617"/>
      <c r="D1610" s="617"/>
      <c r="E1610" s="617"/>
      <c r="F1610" s="617"/>
      <c r="G1610" s="2160" t="s">
        <v>3398</v>
      </c>
      <c r="H1610" s="2160"/>
      <c r="I1610" s="617"/>
      <c r="J1610" s="617"/>
      <c r="K1610" s="617"/>
      <c r="L1610" s="617"/>
    </row>
    <row r="1611" spans="1:12">
      <c r="A1611" s="2160" t="s">
        <v>3399</v>
      </c>
      <c r="B1611" s="2160"/>
      <c r="C1611" s="618"/>
      <c r="D1611" s="618"/>
      <c r="E1611" s="618"/>
      <c r="F1611" s="618"/>
      <c r="G1611" s="2160" t="s">
        <v>3399</v>
      </c>
      <c r="H1611" s="2160"/>
      <c r="I1611" s="618"/>
      <c r="J1611" s="618"/>
      <c r="K1611" s="618"/>
      <c r="L1611" s="618"/>
    </row>
    <row r="1612" spans="1:12">
      <c r="A1612" s="2160" t="s">
        <v>3400</v>
      </c>
      <c r="B1612" s="2160"/>
      <c r="C1612" s="618"/>
      <c r="D1612" s="618"/>
      <c r="E1612" s="618"/>
      <c r="F1612" s="618"/>
      <c r="G1612" s="2160" t="s">
        <v>3400</v>
      </c>
      <c r="H1612" s="2160"/>
      <c r="I1612" s="618"/>
      <c r="J1612" s="618"/>
      <c r="K1612" s="618"/>
      <c r="L1612" s="618"/>
    </row>
    <row r="1613" spans="1:12">
      <c r="A1613" s="2160" t="s">
        <v>3401</v>
      </c>
      <c r="B1613" s="2160"/>
      <c r="C1613" s="618"/>
      <c r="D1613" s="618"/>
      <c r="E1613" s="618"/>
      <c r="F1613" s="618"/>
      <c r="G1613" s="2160" t="s">
        <v>3401</v>
      </c>
      <c r="H1613" s="2160"/>
      <c r="I1613" s="618"/>
      <c r="J1613" s="618"/>
      <c r="K1613" s="618"/>
      <c r="L1613" s="618"/>
    </row>
    <row r="1614" spans="1:12">
      <c r="A1614" s="2160" t="s">
        <v>3402</v>
      </c>
      <c r="B1614" s="2160"/>
      <c r="C1614" s="618"/>
      <c r="D1614" s="618"/>
      <c r="E1614" s="618"/>
      <c r="F1614" s="618"/>
      <c r="G1614" s="2160" t="s">
        <v>3402</v>
      </c>
      <c r="H1614" s="2160"/>
      <c r="I1614" s="618"/>
      <c r="J1614" s="618"/>
      <c r="K1614" s="618"/>
      <c r="L1614" s="618"/>
    </row>
    <row r="1615" spans="1:12">
      <c r="A1615" s="2160" t="s">
        <v>3403</v>
      </c>
      <c r="B1615" s="2160"/>
      <c r="C1615" s="618"/>
      <c r="D1615" s="618"/>
      <c r="E1615" s="618"/>
      <c r="F1615" s="618"/>
      <c r="G1615" s="2160" t="s">
        <v>3403</v>
      </c>
      <c r="H1615" s="2160"/>
      <c r="I1615" s="618"/>
      <c r="J1615" s="618"/>
      <c r="K1615" s="618"/>
      <c r="L1615" s="618"/>
    </row>
    <row r="1616" spans="1:12">
      <c r="A1616" s="2160" t="s">
        <v>3404</v>
      </c>
      <c r="B1616" s="2160"/>
      <c r="C1616" s="618"/>
      <c r="D1616" s="618"/>
      <c r="E1616" s="618"/>
      <c r="F1616" s="618"/>
      <c r="G1616" s="2160" t="s">
        <v>3404</v>
      </c>
      <c r="H1616" s="2160"/>
      <c r="I1616" s="618"/>
      <c r="J1616" s="618"/>
      <c r="K1616" s="618"/>
      <c r="L1616" s="618"/>
    </row>
    <row r="1617" spans="1:12">
      <c r="A1617" s="2160" t="s">
        <v>3405</v>
      </c>
      <c r="B1617" s="2160"/>
      <c r="C1617" s="618"/>
      <c r="D1617" s="618"/>
      <c r="E1617" s="618"/>
      <c r="F1617" s="618"/>
      <c r="G1617" s="2160" t="s">
        <v>3405</v>
      </c>
      <c r="H1617" s="2160"/>
      <c r="I1617" s="618"/>
      <c r="J1617" s="618"/>
      <c r="K1617" s="618"/>
      <c r="L1617" s="618"/>
    </row>
    <row r="1618" spans="1:12">
      <c r="A1618" s="1222"/>
      <c r="B1618" s="1223"/>
      <c r="C1618" s="618"/>
      <c r="D1618" s="618"/>
      <c r="E1618" s="618"/>
      <c r="F1618" s="618"/>
      <c r="G1618" s="1222"/>
      <c r="H1618" s="1223"/>
      <c r="I1618" s="618"/>
      <c r="J1618" s="618"/>
      <c r="K1618" s="618"/>
      <c r="L1618" s="618"/>
    </row>
    <row r="1619" spans="1:12">
      <c r="A1619" s="619"/>
      <c r="B1619" s="618"/>
      <c r="C1619" s="618"/>
      <c r="D1619" s="618"/>
      <c r="E1619" s="618"/>
      <c r="F1619" s="618"/>
      <c r="G1619" s="619"/>
      <c r="H1619" s="618"/>
      <c r="I1619" s="618"/>
      <c r="J1619" s="618"/>
      <c r="K1619" s="618"/>
      <c r="L1619" s="618"/>
    </row>
    <row r="1620" spans="1:12">
      <c r="A1620" s="619"/>
      <c r="B1620" s="618"/>
      <c r="C1620" s="618"/>
      <c r="D1620" s="618"/>
      <c r="E1620" s="618"/>
      <c r="F1620" s="618"/>
      <c r="G1620" s="619"/>
      <c r="H1620" s="618"/>
      <c r="I1620" s="618"/>
      <c r="J1620" s="618"/>
      <c r="K1620" s="618"/>
      <c r="L1620" s="618"/>
    </row>
    <row r="1621" spans="1:12">
      <c r="A1621" s="619"/>
      <c r="B1621" s="618"/>
      <c r="C1621" s="618"/>
      <c r="D1621" s="618"/>
      <c r="E1621" s="618"/>
      <c r="F1621" s="618"/>
      <c r="G1621" s="619"/>
      <c r="H1621" s="618"/>
      <c r="I1621" s="618"/>
      <c r="J1621" s="618"/>
      <c r="K1621" s="618"/>
      <c r="L1621" s="618"/>
    </row>
    <row r="1622" spans="1:12">
      <c r="A1622" s="619"/>
      <c r="B1622" s="618"/>
      <c r="C1622" s="618"/>
      <c r="D1622" s="618"/>
      <c r="E1622" s="618"/>
      <c r="F1622" s="618"/>
      <c r="G1622" s="619"/>
      <c r="H1622" s="618"/>
      <c r="I1622" s="618"/>
      <c r="J1622" s="618"/>
      <c r="K1622" s="618"/>
      <c r="L1622" s="618"/>
    </row>
    <row r="1623" spans="1:12">
      <c r="A1623" s="619"/>
      <c r="B1623" s="618"/>
      <c r="C1623" s="618"/>
      <c r="D1623" s="618"/>
      <c r="E1623" s="618"/>
      <c r="F1623" s="618"/>
      <c r="G1623" s="619"/>
      <c r="H1623" s="618"/>
      <c r="I1623" s="618"/>
      <c r="J1623" s="618"/>
      <c r="K1623" s="618"/>
      <c r="L1623" s="618"/>
    </row>
    <row r="1624" spans="1:12">
      <c r="A1624" s="619"/>
      <c r="B1624" s="618"/>
      <c r="C1624" s="618"/>
      <c r="D1624" s="618"/>
      <c r="E1624" s="618"/>
      <c r="F1624" s="618"/>
      <c r="G1624" s="619"/>
      <c r="H1624" s="618"/>
      <c r="I1624" s="618"/>
      <c r="J1624" s="618"/>
      <c r="K1624" s="618"/>
      <c r="L1624" s="618"/>
    </row>
    <row r="1625" spans="1:12">
      <c r="A1625" s="619"/>
      <c r="B1625" s="618"/>
      <c r="C1625" s="618"/>
      <c r="D1625" s="618"/>
      <c r="E1625" s="618"/>
      <c r="F1625" s="618"/>
      <c r="G1625" s="619"/>
      <c r="H1625" s="618"/>
      <c r="I1625" s="618"/>
      <c r="J1625" s="618"/>
      <c r="K1625" s="618"/>
      <c r="L1625" s="618"/>
    </row>
    <row r="1626" spans="1:12">
      <c r="A1626" s="619"/>
      <c r="B1626" s="618"/>
      <c r="C1626" s="618"/>
      <c r="D1626" s="618"/>
      <c r="E1626" s="618"/>
      <c r="F1626" s="618"/>
      <c r="G1626" s="619"/>
      <c r="H1626" s="618"/>
      <c r="I1626" s="618"/>
      <c r="J1626" s="618"/>
      <c r="K1626" s="618"/>
      <c r="L1626" s="618"/>
    </row>
    <row r="1627" spans="1:12">
      <c r="A1627" s="619"/>
      <c r="B1627" s="618"/>
      <c r="C1627" s="618"/>
      <c r="D1627" s="618"/>
      <c r="E1627" s="618"/>
      <c r="F1627" s="618"/>
      <c r="G1627" s="619"/>
      <c r="H1627" s="618"/>
      <c r="I1627" s="618"/>
      <c r="J1627" s="618"/>
      <c r="K1627" s="618"/>
      <c r="L1627" s="618"/>
    </row>
    <row r="1628" spans="1:12">
      <c r="A1628" s="619"/>
      <c r="B1628" s="618"/>
      <c r="C1628" s="618"/>
      <c r="D1628" s="618"/>
      <c r="E1628" s="618"/>
      <c r="F1628" s="618"/>
      <c r="G1628" s="619"/>
      <c r="H1628" s="618"/>
      <c r="I1628" s="618"/>
      <c r="J1628" s="618"/>
      <c r="K1628" s="618"/>
      <c r="L1628" s="618"/>
    </row>
    <row r="1629" spans="1:12">
      <c r="A1629" s="619"/>
      <c r="B1629" s="618"/>
      <c r="C1629" s="618"/>
      <c r="D1629" s="618"/>
      <c r="E1629" s="618"/>
      <c r="F1629" s="618"/>
      <c r="G1629" s="619"/>
      <c r="H1629" s="618"/>
      <c r="I1629" s="618"/>
      <c r="J1629" s="618"/>
      <c r="K1629" s="618"/>
      <c r="L1629" s="618"/>
    </row>
    <row r="1630" spans="1:12">
      <c r="A1630" s="619"/>
      <c r="B1630" s="618"/>
      <c r="C1630" s="618"/>
      <c r="D1630" s="618"/>
      <c r="E1630" s="618"/>
      <c r="F1630" s="618"/>
      <c r="G1630" s="619"/>
      <c r="H1630" s="618"/>
      <c r="I1630" s="618"/>
      <c r="J1630" s="618"/>
      <c r="K1630" s="618"/>
      <c r="L1630" s="618"/>
    </row>
    <row r="1631" spans="1:12">
      <c r="A1631" s="619"/>
      <c r="B1631" s="618"/>
      <c r="C1631" s="618"/>
      <c r="D1631" s="618"/>
      <c r="E1631" s="618"/>
      <c r="F1631" s="618"/>
      <c r="G1631" s="619"/>
      <c r="H1631" s="618"/>
      <c r="I1631" s="618"/>
      <c r="J1631" s="618"/>
      <c r="K1631" s="618"/>
      <c r="L1631" s="618"/>
    </row>
    <row r="1632" spans="1:12">
      <c r="A1632" s="619"/>
      <c r="B1632" s="618"/>
      <c r="C1632" s="618"/>
      <c r="D1632" s="618"/>
      <c r="E1632" s="618"/>
      <c r="F1632" s="618"/>
      <c r="G1632" s="619"/>
      <c r="H1632" s="618"/>
      <c r="I1632" s="618"/>
      <c r="J1632" s="618"/>
      <c r="K1632" s="618"/>
      <c r="L1632" s="618"/>
    </row>
    <row r="1633" spans="1:12">
      <c r="A1633" s="619"/>
      <c r="B1633" s="618"/>
      <c r="C1633" s="618"/>
      <c r="D1633" s="618"/>
      <c r="E1633" s="618"/>
      <c r="F1633" s="618"/>
      <c r="G1633" s="619"/>
      <c r="H1633" s="618"/>
      <c r="I1633" s="618"/>
      <c r="J1633" s="618"/>
      <c r="K1633" s="618"/>
      <c r="L1633" s="618"/>
    </row>
    <row r="1634" spans="1:12">
      <c r="A1634" s="619"/>
      <c r="B1634" s="618"/>
      <c r="C1634" s="618"/>
      <c r="D1634" s="618"/>
      <c r="E1634" s="618"/>
      <c r="F1634" s="618"/>
      <c r="G1634" s="619"/>
      <c r="H1634" s="618"/>
      <c r="I1634" s="618"/>
      <c r="J1634" s="618"/>
      <c r="K1634" s="618"/>
      <c r="L1634" s="618"/>
    </row>
    <row r="1635" spans="1:12">
      <c r="A1635" s="619"/>
      <c r="B1635" s="618"/>
      <c r="C1635" s="618"/>
      <c r="D1635" s="618"/>
      <c r="E1635" s="618"/>
      <c r="F1635" s="618"/>
      <c r="G1635" s="619"/>
      <c r="H1635" s="618"/>
      <c r="I1635" s="618"/>
      <c r="J1635" s="618"/>
      <c r="K1635" s="618"/>
      <c r="L1635" s="618"/>
    </row>
    <row r="1636" spans="1:12">
      <c r="A1636" s="619"/>
      <c r="B1636" s="618"/>
      <c r="C1636" s="618"/>
      <c r="D1636" s="618"/>
      <c r="E1636" s="618"/>
      <c r="F1636" s="618"/>
      <c r="G1636" s="619"/>
      <c r="H1636" s="618"/>
      <c r="I1636" s="618"/>
      <c r="J1636" s="618"/>
      <c r="K1636" s="618"/>
      <c r="L1636" s="618"/>
    </row>
    <row r="1637" spans="1:12">
      <c r="A1637" s="619"/>
      <c r="B1637" s="618"/>
      <c r="C1637" s="618"/>
      <c r="D1637" s="618"/>
      <c r="E1637" s="618"/>
      <c r="F1637" s="618"/>
      <c r="G1637" s="619"/>
      <c r="H1637" s="618"/>
      <c r="I1637" s="618"/>
      <c r="J1637" s="618"/>
      <c r="K1637" s="618"/>
      <c r="L1637" s="618"/>
    </row>
    <row r="1638" spans="1:12">
      <c r="A1638" s="619"/>
      <c r="B1638" s="618"/>
      <c r="C1638" s="618"/>
      <c r="D1638" s="618"/>
      <c r="E1638" s="618"/>
      <c r="F1638" s="618"/>
      <c r="G1638" s="619"/>
      <c r="H1638" s="618"/>
      <c r="I1638" s="618"/>
      <c r="J1638" s="618"/>
      <c r="K1638" s="618"/>
      <c r="L1638" s="618"/>
    </row>
    <row r="1639" spans="1:12">
      <c r="A1639" s="619"/>
      <c r="B1639" s="618"/>
      <c r="C1639" s="618"/>
      <c r="D1639" s="618"/>
      <c r="E1639" s="618"/>
      <c r="F1639" s="618"/>
      <c r="G1639" s="619"/>
      <c r="H1639" s="618"/>
      <c r="I1639" s="618"/>
      <c r="J1639" s="618"/>
      <c r="K1639" s="618"/>
      <c r="L1639" s="618"/>
    </row>
    <row r="1640" spans="1:12">
      <c r="A1640" s="619"/>
      <c r="B1640" s="618"/>
      <c r="C1640" s="618"/>
      <c r="D1640" s="618"/>
      <c r="E1640" s="618"/>
      <c r="F1640" s="618"/>
      <c r="G1640" s="619"/>
      <c r="H1640" s="618"/>
      <c r="I1640" s="618"/>
      <c r="J1640" s="618"/>
      <c r="K1640" s="618"/>
      <c r="L1640" s="618"/>
    </row>
    <row r="1641" spans="1:12">
      <c r="A1641" s="619"/>
      <c r="B1641" s="618"/>
      <c r="C1641" s="618"/>
      <c r="D1641" s="618"/>
      <c r="E1641" s="618"/>
      <c r="F1641" s="618"/>
      <c r="G1641" s="619"/>
      <c r="H1641" s="618"/>
      <c r="I1641" s="618"/>
      <c r="J1641" s="618"/>
      <c r="K1641" s="618"/>
      <c r="L1641" s="618"/>
    </row>
    <row r="1642" spans="1:12">
      <c r="A1642" s="619"/>
      <c r="B1642" s="618"/>
      <c r="C1642" s="618"/>
      <c r="D1642" s="618"/>
      <c r="E1642" s="618"/>
      <c r="F1642" s="618"/>
      <c r="G1642" s="619"/>
      <c r="H1642" s="618"/>
      <c r="I1642" s="618"/>
      <c r="J1642" s="618"/>
      <c r="K1642" s="618"/>
      <c r="L1642" s="618"/>
    </row>
    <row r="1643" spans="1:12">
      <c r="A1643" s="619"/>
      <c r="B1643" s="618"/>
      <c r="C1643" s="618"/>
      <c r="D1643" s="618"/>
      <c r="E1643" s="618"/>
      <c r="F1643" s="618"/>
      <c r="G1643" s="619"/>
      <c r="H1643" s="618"/>
      <c r="I1643" s="618"/>
      <c r="J1643" s="618"/>
      <c r="K1643" s="618"/>
      <c r="L1643" s="618"/>
    </row>
    <row r="1644" spans="1:12">
      <c r="A1644" s="619"/>
      <c r="B1644" s="618"/>
      <c r="C1644" s="618"/>
      <c r="D1644" s="618"/>
      <c r="E1644" s="618"/>
      <c r="F1644" s="618"/>
      <c r="G1644" s="619"/>
      <c r="H1644" s="618"/>
      <c r="I1644" s="618"/>
      <c r="J1644" s="618"/>
      <c r="K1644" s="618"/>
      <c r="L1644" s="618"/>
    </row>
    <row r="1645" spans="1:12">
      <c r="A1645" s="619"/>
      <c r="B1645" s="618"/>
      <c r="C1645" s="618"/>
      <c r="D1645" s="618"/>
      <c r="E1645" s="618"/>
      <c r="F1645" s="618"/>
      <c r="G1645" s="619"/>
      <c r="H1645" s="618"/>
      <c r="I1645" s="618"/>
      <c r="J1645" s="618"/>
      <c r="K1645" s="618"/>
      <c r="L1645" s="618"/>
    </row>
    <row r="1646" spans="1:12">
      <c r="A1646" s="619"/>
      <c r="B1646" s="618"/>
      <c r="C1646" s="618"/>
      <c r="D1646" s="618"/>
      <c r="E1646" s="618"/>
      <c r="F1646" s="618"/>
      <c r="G1646" s="619"/>
      <c r="H1646" s="618"/>
      <c r="I1646" s="618"/>
      <c r="J1646" s="618"/>
      <c r="K1646" s="618"/>
      <c r="L1646" s="618"/>
    </row>
    <row r="1647" spans="1:12">
      <c r="A1647" s="619"/>
      <c r="B1647" s="618"/>
      <c r="C1647" s="618"/>
      <c r="D1647" s="618"/>
      <c r="E1647" s="618"/>
      <c r="F1647" s="618"/>
      <c r="G1647" s="619"/>
      <c r="H1647" s="618"/>
      <c r="I1647" s="618"/>
      <c r="J1647" s="618"/>
      <c r="K1647" s="618"/>
      <c r="L1647" s="618"/>
    </row>
    <row r="1648" spans="1:12">
      <c r="A1648" s="619"/>
      <c r="B1648" s="618"/>
      <c r="C1648" s="618"/>
      <c r="D1648" s="618"/>
      <c r="E1648" s="618"/>
      <c r="F1648" s="618"/>
      <c r="G1648" s="619"/>
      <c r="H1648" s="618"/>
      <c r="I1648" s="618"/>
      <c r="J1648" s="618"/>
      <c r="K1648" s="618"/>
      <c r="L1648" s="618"/>
    </row>
    <row r="1649" spans="1:12">
      <c r="A1649" s="619"/>
      <c r="B1649" s="618"/>
      <c r="C1649" s="618"/>
      <c r="D1649" s="618"/>
      <c r="E1649" s="618"/>
      <c r="F1649" s="618"/>
      <c r="G1649" s="619"/>
      <c r="H1649" s="618"/>
      <c r="I1649" s="618"/>
      <c r="J1649" s="618"/>
      <c r="K1649" s="618"/>
      <c r="L1649" s="618"/>
    </row>
    <row r="1650" spans="1:12">
      <c r="A1650" s="619"/>
      <c r="B1650" s="618"/>
      <c r="C1650" s="618"/>
      <c r="D1650" s="618"/>
      <c r="E1650" s="618"/>
      <c r="F1650" s="618"/>
      <c r="G1650" s="619"/>
      <c r="H1650" s="618"/>
      <c r="I1650" s="618"/>
      <c r="J1650" s="618"/>
      <c r="K1650" s="618"/>
      <c r="L1650" s="618"/>
    </row>
    <row r="1651" spans="1:12">
      <c r="A1651" s="619"/>
      <c r="B1651" s="618"/>
      <c r="C1651" s="618"/>
      <c r="D1651" s="618"/>
      <c r="E1651" s="618"/>
      <c r="F1651" s="618"/>
      <c r="G1651" s="619"/>
      <c r="H1651" s="618"/>
      <c r="I1651" s="618"/>
      <c r="J1651" s="618"/>
      <c r="K1651" s="618"/>
      <c r="L1651" s="618"/>
    </row>
    <row r="1652" spans="1:12">
      <c r="A1652" s="619"/>
      <c r="B1652" s="618"/>
      <c r="C1652" s="618"/>
      <c r="D1652" s="618"/>
      <c r="E1652" s="618"/>
      <c r="F1652" s="618"/>
      <c r="G1652" s="619"/>
      <c r="H1652" s="618"/>
      <c r="I1652" s="618"/>
      <c r="J1652" s="618"/>
      <c r="K1652" s="618"/>
      <c r="L1652" s="618"/>
    </row>
    <row r="1653" spans="1:12">
      <c r="A1653" s="619"/>
      <c r="B1653" s="618"/>
      <c r="C1653" s="618"/>
      <c r="D1653" s="618"/>
      <c r="E1653" s="618"/>
      <c r="F1653" s="618"/>
      <c r="G1653" s="619"/>
      <c r="H1653" s="618"/>
      <c r="I1653" s="618"/>
      <c r="J1653" s="618"/>
      <c r="K1653" s="618"/>
      <c r="L1653" s="618"/>
    </row>
    <row r="1654" spans="1:12">
      <c r="A1654" s="619"/>
      <c r="B1654" s="618"/>
      <c r="C1654" s="618"/>
      <c r="D1654" s="618"/>
      <c r="E1654" s="618"/>
      <c r="F1654" s="618"/>
      <c r="G1654" s="619"/>
      <c r="H1654" s="618"/>
      <c r="I1654" s="618"/>
      <c r="J1654" s="618"/>
      <c r="K1654" s="618"/>
      <c r="L1654" s="618"/>
    </row>
    <row r="1655" spans="1:12">
      <c r="A1655" s="619"/>
      <c r="B1655" s="618"/>
      <c r="C1655" s="618"/>
      <c r="D1655" s="618"/>
      <c r="E1655" s="618"/>
      <c r="F1655" s="618"/>
      <c r="G1655" s="619"/>
      <c r="H1655" s="618"/>
      <c r="I1655" s="618"/>
      <c r="J1655" s="618"/>
      <c r="K1655" s="618"/>
      <c r="L1655" s="618"/>
    </row>
    <row r="1656" spans="1:12">
      <c r="A1656" s="619"/>
      <c r="B1656" s="618"/>
      <c r="C1656" s="618"/>
      <c r="D1656" s="618"/>
      <c r="E1656" s="618"/>
      <c r="F1656" s="618"/>
      <c r="G1656" s="619"/>
      <c r="H1656" s="618"/>
      <c r="I1656" s="618"/>
      <c r="J1656" s="618"/>
      <c r="K1656" s="618"/>
      <c r="L1656" s="618"/>
    </row>
    <row r="1657" spans="1:12">
      <c r="A1657" s="619"/>
      <c r="B1657" s="618"/>
      <c r="C1657" s="618"/>
      <c r="D1657" s="618"/>
      <c r="E1657" s="618"/>
      <c r="F1657" s="618"/>
      <c r="G1657" s="619"/>
      <c r="H1657" s="618"/>
      <c r="I1657" s="618"/>
      <c r="J1657" s="618"/>
      <c r="K1657" s="618"/>
      <c r="L1657" s="618"/>
    </row>
    <row r="1658" spans="1:12">
      <c r="A1658" s="619"/>
      <c r="B1658" s="618"/>
      <c r="C1658" s="618"/>
      <c r="D1658" s="618"/>
      <c r="E1658" s="618"/>
      <c r="F1658" s="618"/>
      <c r="G1658" s="619"/>
      <c r="H1658" s="618"/>
      <c r="I1658" s="618"/>
      <c r="J1658" s="618"/>
      <c r="K1658" s="618"/>
      <c r="L1658" s="618"/>
    </row>
    <row r="1659" spans="1:12">
      <c r="A1659" s="619"/>
      <c r="B1659" s="618"/>
      <c r="C1659" s="618"/>
      <c r="D1659" s="618"/>
      <c r="E1659" s="618"/>
      <c r="F1659" s="618"/>
      <c r="G1659" s="619"/>
      <c r="H1659" s="618"/>
      <c r="I1659" s="618"/>
      <c r="J1659" s="618"/>
      <c r="K1659" s="618"/>
      <c r="L1659" s="618"/>
    </row>
    <row r="1660" spans="1:12">
      <c r="A1660" s="619"/>
      <c r="B1660" s="618"/>
      <c r="C1660" s="618"/>
      <c r="D1660" s="618"/>
      <c r="E1660" s="618"/>
      <c r="F1660" s="618"/>
      <c r="G1660" s="619"/>
      <c r="H1660" s="618"/>
      <c r="I1660" s="618"/>
      <c r="J1660" s="618"/>
      <c r="K1660" s="618"/>
      <c r="L1660" s="618"/>
    </row>
    <row r="1661" spans="1:12">
      <c r="A1661" s="619"/>
      <c r="B1661" s="618"/>
      <c r="C1661" s="618"/>
      <c r="D1661" s="618"/>
      <c r="E1661" s="618"/>
      <c r="F1661" s="618"/>
      <c r="G1661" s="619"/>
      <c r="H1661" s="618"/>
      <c r="I1661" s="618"/>
      <c r="J1661" s="618"/>
      <c r="K1661" s="618"/>
      <c r="L1661" s="618"/>
    </row>
    <row r="1662" spans="1:12">
      <c r="A1662" s="619"/>
      <c r="B1662" s="618"/>
      <c r="C1662" s="618"/>
      <c r="D1662" s="618"/>
      <c r="E1662" s="618"/>
      <c r="F1662" s="618"/>
      <c r="G1662" s="619"/>
      <c r="H1662" s="618"/>
      <c r="I1662" s="618"/>
      <c r="J1662" s="618"/>
      <c r="K1662" s="618"/>
      <c r="L1662" s="618"/>
    </row>
    <row r="1663" spans="1:12">
      <c r="A1663" s="619"/>
      <c r="B1663" s="618"/>
      <c r="C1663" s="618"/>
      <c r="D1663" s="618"/>
      <c r="E1663" s="618"/>
      <c r="F1663" s="618"/>
      <c r="G1663" s="619"/>
      <c r="H1663" s="618"/>
      <c r="I1663" s="618"/>
      <c r="J1663" s="618"/>
      <c r="K1663" s="618"/>
      <c r="L1663" s="618"/>
    </row>
    <row r="1664" spans="1:12">
      <c r="A1664" s="619"/>
      <c r="B1664" s="618"/>
      <c r="C1664" s="618"/>
      <c r="D1664" s="618"/>
      <c r="E1664" s="618"/>
      <c r="F1664" s="618"/>
      <c r="G1664" s="619"/>
      <c r="H1664" s="618"/>
      <c r="I1664" s="618"/>
      <c r="J1664" s="618"/>
      <c r="K1664" s="618"/>
      <c r="L1664" s="618"/>
    </row>
    <row r="1665" spans="1:12">
      <c r="A1665" s="619"/>
      <c r="B1665" s="618"/>
      <c r="C1665" s="618"/>
      <c r="D1665" s="618"/>
      <c r="E1665" s="618"/>
      <c r="F1665" s="618"/>
      <c r="G1665" s="619"/>
      <c r="H1665" s="618"/>
      <c r="I1665" s="618"/>
      <c r="J1665" s="618"/>
      <c r="K1665" s="618"/>
      <c r="L1665" s="618"/>
    </row>
    <row r="1666" spans="1:12">
      <c r="A1666" s="619"/>
      <c r="B1666" s="618"/>
      <c r="C1666" s="618"/>
      <c r="D1666" s="618"/>
      <c r="E1666" s="618"/>
      <c r="F1666" s="618"/>
      <c r="G1666" s="619"/>
      <c r="H1666" s="618"/>
      <c r="I1666" s="618"/>
      <c r="J1666" s="618"/>
      <c r="K1666" s="618"/>
      <c r="L1666" s="618"/>
    </row>
    <row r="1667" spans="1:12">
      <c r="A1667" s="619"/>
      <c r="B1667" s="618"/>
      <c r="C1667" s="618"/>
      <c r="D1667" s="618"/>
      <c r="E1667" s="618"/>
      <c r="F1667" s="618"/>
      <c r="G1667" s="619"/>
      <c r="H1667" s="618"/>
      <c r="I1667" s="618"/>
      <c r="J1667" s="618"/>
      <c r="K1667" s="618"/>
      <c r="L1667" s="618"/>
    </row>
    <row r="1668" spans="1:12">
      <c r="A1668" s="619"/>
      <c r="B1668" s="618"/>
      <c r="C1668" s="618"/>
      <c r="D1668" s="618"/>
      <c r="E1668" s="618"/>
      <c r="F1668" s="618"/>
      <c r="G1668" s="619"/>
      <c r="H1668" s="618"/>
      <c r="I1668" s="618"/>
      <c r="J1668" s="618"/>
      <c r="K1668" s="618"/>
      <c r="L1668" s="618"/>
    </row>
    <row r="1669" spans="1:12">
      <c r="A1669" s="619"/>
      <c r="B1669" s="618"/>
      <c r="C1669" s="618"/>
      <c r="D1669" s="618"/>
      <c r="E1669" s="618"/>
      <c r="F1669" s="618"/>
      <c r="G1669" s="619"/>
      <c r="H1669" s="618"/>
      <c r="I1669" s="618"/>
      <c r="J1669" s="618"/>
      <c r="K1669" s="618"/>
      <c r="L1669" s="618"/>
    </row>
    <row r="1670" spans="1:12">
      <c r="A1670" s="619"/>
      <c r="B1670" s="618"/>
      <c r="C1670" s="618"/>
      <c r="D1670" s="618"/>
      <c r="E1670" s="618"/>
      <c r="F1670" s="618"/>
      <c r="G1670" s="619"/>
      <c r="H1670" s="618"/>
      <c r="I1670" s="618"/>
      <c r="J1670" s="618"/>
      <c r="K1670" s="618"/>
      <c r="L1670" s="618"/>
    </row>
    <row r="1671" spans="1:12">
      <c r="A1671" s="619"/>
      <c r="B1671" s="618"/>
      <c r="C1671" s="618"/>
      <c r="D1671" s="618"/>
      <c r="E1671" s="618"/>
      <c r="F1671" s="618"/>
      <c r="G1671" s="619"/>
      <c r="H1671" s="618"/>
      <c r="I1671" s="618"/>
      <c r="J1671" s="618"/>
      <c r="K1671" s="618"/>
      <c r="L1671" s="618"/>
    </row>
    <row r="1672" spans="1:12">
      <c r="A1672" s="619"/>
      <c r="B1672" s="618"/>
      <c r="C1672" s="618"/>
      <c r="D1672" s="618"/>
      <c r="E1672" s="618"/>
      <c r="F1672" s="618"/>
      <c r="G1672" s="619"/>
      <c r="H1672" s="618"/>
      <c r="I1672" s="618"/>
      <c r="J1672" s="618"/>
      <c r="K1672" s="618"/>
      <c r="L1672" s="618"/>
    </row>
    <row r="1673" spans="1:12">
      <c r="A1673" s="619"/>
      <c r="B1673" s="618"/>
      <c r="C1673" s="618"/>
      <c r="D1673" s="618"/>
      <c r="E1673" s="618"/>
      <c r="F1673" s="618"/>
      <c r="G1673" s="619"/>
      <c r="H1673" s="618"/>
      <c r="I1673" s="618"/>
      <c r="J1673" s="618"/>
      <c r="K1673" s="618"/>
      <c r="L1673" s="618"/>
    </row>
    <row r="1674" spans="1:12">
      <c r="A1674" s="619"/>
      <c r="B1674" s="618"/>
      <c r="C1674" s="618"/>
      <c r="D1674" s="618"/>
      <c r="E1674" s="618"/>
      <c r="F1674" s="618"/>
      <c r="G1674" s="619"/>
      <c r="H1674" s="618"/>
      <c r="I1674" s="618"/>
      <c r="J1674" s="618"/>
      <c r="K1674" s="618"/>
      <c r="L1674" s="618"/>
    </row>
    <row r="1675" spans="1:12">
      <c r="A1675" s="619"/>
      <c r="B1675" s="618"/>
      <c r="C1675" s="618"/>
      <c r="D1675" s="618"/>
      <c r="E1675" s="618"/>
      <c r="F1675" s="618"/>
      <c r="G1675" s="619"/>
      <c r="H1675" s="618"/>
      <c r="I1675" s="618"/>
      <c r="J1675" s="618"/>
      <c r="K1675" s="618"/>
      <c r="L1675" s="618"/>
    </row>
    <row r="1676" spans="1:12">
      <c r="A1676" s="619"/>
      <c r="B1676" s="618"/>
      <c r="C1676" s="618"/>
      <c r="D1676" s="618"/>
      <c r="E1676" s="618"/>
      <c r="F1676" s="618"/>
      <c r="G1676" s="619"/>
      <c r="H1676" s="618"/>
      <c r="I1676" s="618"/>
      <c r="J1676" s="618"/>
      <c r="K1676" s="618"/>
      <c r="L1676" s="618"/>
    </row>
    <row r="1677" spans="1:12">
      <c r="A1677" s="619"/>
      <c r="B1677" s="618"/>
      <c r="C1677" s="618"/>
      <c r="D1677" s="618"/>
      <c r="E1677" s="618"/>
      <c r="F1677" s="618"/>
      <c r="G1677" s="619"/>
      <c r="H1677" s="618"/>
      <c r="I1677" s="618"/>
      <c r="J1677" s="618"/>
      <c r="K1677" s="618"/>
      <c r="L1677" s="618"/>
    </row>
    <row r="1678" spans="1:12">
      <c r="A1678" s="619"/>
      <c r="B1678" s="618"/>
      <c r="C1678" s="618"/>
      <c r="D1678" s="618"/>
      <c r="E1678" s="618"/>
      <c r="F1678" s="618"/>
      <c r="G1678" s="619"/>
      <c r="H1678" s="618"/>
      <c r="I1678" s="618"/>
      <c r="J1678" s="618"/>
      <c r="K1678" s="618"/>
      <c r="L1678" s="618"/>
    </row>
    <row r="1679" spans="1:12">
      <c r="A1679" s="619"/>
      <c r="B1679" s="618"/>
      <c r="C1679" s="618"/>
      <c r="D1679" s="618"/>
      <c r="E1679" s="618"/>
      <c r="F1679" s="618"/>
      <c r="G1679" s="619"/>
      <c r="H1679" s="618"/>
      <c r="I1679" s="618"/>
      <c r="J1679" s="618"/>
      <c r="K1679" s="618"/>
      <c r="L1679" s="618"/>
    </row>
    <row r="1680" spans="1:12">
      <c r="A1680" s="619"/>
      <c r="B1680" s="618"/>
      <c r="C1680" s="618"/>
      <c r="D1680" s="618"/>
      <c r="E1680" s="618"/>
      <c r="F1680" s="618"/>
      <c r="G1680" s="619"/>
      <c r="H1680" s="618"/>
      <c r="I1680" s="618"/>
      <c r="J1680" s="618"/>
      <c r="K1680" s="618"/>
      <c r="L1680" s="618"/>
    </row>
    <row r="1681" spans="1:12">
      <c r="A1681" s="619"/>
      <c r="B1681" s="618"/>
      <c r="C1681" s="618"/>
      <c r="D1681" s="618"/>
      <c r="E1681" s="618"/>
      <c r="F1681" s="618"/>
      <c r="G1681" s="619"/>
      <c r="H1681" s="618"/>
      <c r="I1681" s="618"/>
      <c r="J1681" s="618"/>
      <c r="K1681" s="618"/>
      <c r="L1681" s="618"/>
    </row>
    <row r="1682" spans="1:12">
      <c r="A1682" s="619"/>
      <c r="B1682" s="618"/>
      <c r="C1682" s="618"/>
      <c r="D1682" s="618"/>
      <c r="E1682" s="618"/>
      <c r="F1682" s="618"/>
      <c r="G1682" s="619"/>
      <c r="H1682" s="618"/>
      <c r="I1682" s="618"/>
      <c r="J1682" s="618"/>
      <c r="K1682" s="618"/>
      <c r="L1682" s="618"/>
    </row>
    <row r="1683" spans="1:12">
      <c r="A1683" s="619"/>
      <c r="B1683" s="618"/>
      <c r="C1683" s="618"/>
      <c r="D1683" s="618"/>
      <c r="E1683" s="618"/>
      <c r="F1683" s="618"/>
      <c r="G1683" s="619"/>
      <c r="H1683" s="618"/>
      <c r="I1683" s="618"/>
      <c r="J1683" s="618"/>
      <c r="K1683" s="618"/>
      <c r="L1683" s="618"/>
    </row>
    <row r="1684" spans="1:12">
      <c r="A1684" s="619"/>
      <c r="B1684" s="618"/>
      <c r="C1684" s="618"/>
      <c r="D1684" s="618"/>
      <c r="E1684" s="618"/>
      <c r="F1684" s="618"/>
      <c r="G1684" s="619"/>
      <c r="H1684" s="618"/>
      <c r="I1684" s="618"/>
      <c r="J1684" s="618"/>
      <c r="K1684" s="618"/>
      <c r="L1684" s="618"/>
    </row>
    <row r="1685" spans="1:12">
      <c r="A1685" s="619"/>
      <c r="B1685" s="618"/>
      <c r="C1685" s="618"/>
      <c r="D1685" s="618"/>
      <c r="E1685" s="618"/>
      <c r="F1685" s="618"/>
      <c r="G1685" s="619"/>
      <c r="H1685" s="618"/>
      <c r="I1685" s="618"/>
      <c r="J1685" s="618"/>
      <c r="K1685" s="618"/>
      <c r="L1685" s="618"/>
    </row>
    <row r="1686" spans="1:12">
      <c r="A1686" s="619"/>
      <c r="B1686" s="618"/>
      <c r="C1686" s="618"/>
      <c r="D1686" s="618"/>
      <c r="E1686" s="618"/>
      <c r="F1686" s="618"/>
      <c r="G1686" s="619"/>
      <c r="H1686" s="618"/>
      <c r="I1686" s="618"/>
      <c r="J1686" s="618"/>
      <c r="K1686" s="618"/>
      <c r="L1686" s="618"/>
    </row>
    <row r="1687" spans="1:12">
      <c r="A1687" s="619"/>
      <c r="B1687" s="618"/>
      <c r="C1687" s="618"/>
      <c r="D1687" s="618"/>
      <c r="E1687" s="618"/>
      <c r="F1687" s="618"/>
      <c r="G1687" s="619"/>
      <c r="H1687" s="618"/>
      <c r="I1687" s="618"/>
      <c r="J1687" s="618"/>
      <c r="K1687" s="618"/>
      <c r="L1687" s="618"/>
    </row>
    <row r="1688" spans="1:12">
      <c r="A1688" s="619"/>
      <c r="B1688" s="618"/>
      <c r="C1688" s="618"/>
      <c r="D1688" s="618"/>
      <c r="E1688" s="618"/>
      <c r="F1688" s="618"/>
      <c r="G1688" s="619"/>
      <c r="H1688" s="618"/>
      <c r="I1688" s="618"/>
      <c r="J1688" s="618"/>
      <c r="K1688" s="618"/>
      <c r="L1688" s="618"/>
    </row>
    <row r="1689" spans="1:12">
      <c r="A1689" s="619"/>
      <c r="B1689" s="618"/>
      <c r="C1689" s="618"/>
      <c r="D1689" s="618"/>
      <c r="E1689" s="618"/>
      <c r="F1689" s="618"/>
      <c r="G1689" s="619"/>
      <c r="H1689" s="618"/>
      <c r="I1689" s="618"/>
      <c r="J1689" s="618"/>
      <c r="K1689" s="618"/>
      <c r="L1689" s="618"/>
    </row>
    <row r="1690" spans="1:12">
      <c r="A1690" s="619"/>
      <c r="B1690" s="618"/>
      <c r="C1690" s="618"/>
      <c r="D1690" s="618"/>
      <c r="E1690" s="618"/>
      <c r="F1690" s="618"/>
      <c r="G1690" s="619"/>
      <c r="H1690" s="618"/>
      <c r="I1690" s="618"/>
      <c r="J1690" s="618"/>
      <c r="K1690" s="618"/>
      <c r="L1690" s="618"/>
    </row>
    <row r="1691" spans="1:12">
      <c r="A1691" s="619"/>
      <c r="B1691" s="618"/>
      <c r="C1691" s="618"/>
      <c r="D1691" s="618"/>
      <c r="E1691" s="618"/>
      <c r="F1691" s="618"/>
      <c r="G1691" s="619"/>
      <c r="H1691" s="618"/>
      <c r="I1691" s="618"/>
      <c r="J1691" s="618"/>
      <c r="K1691" s="618"/>
      <c r="L1691" s="618"/>
    </row>
    <row r="1692" spans="1:12">
      <c r="A1692" s="619"/>
      <c r="B1692" s="618"/>
      <c r="C1692" s="618"/>
      <c r="D1692" s="618"/>
      <c r="E1692" s="618"/>
      <c r="F1692" s="618"/>
      <c r="G1692" s="619"/>
      <c r="H1692" s="618"/>
      <c r="I1692" s="618"/>
      <c r="J1692" s="618"/>
      <c r="K1692" s="618"/>
      <c r="L1692" s="618"/>
    </row>
    <row r="1693" spans="1:12">
      <c r="A1693" s="619"/>
      <c r="B1693" s="618"/>
      <c r="C1693" s="618"/>
      <c r="D1693" s="618"/>
      <c r="E1693" s="618"/>
      <c r="F1693" s="618"/>
      <c r="G1693" s="619"/>
      <c r="H1693" s="618"/>
      <c r="I1693" s="618"/>
      <c r="J1693" s="618"/>
      <c r="K1693" s="618"/>
      <c r="L1693" s="618"/>
    </row>
    <row r="1694" spans="1:12">
      <c r="A1694" s="619"/>
      <c r="B1694" s="618"/>
      <c r="C1694" s="618"/>
      <c r="D1694" s="618"/>
      <c r="E1694" s="618"/>
      <c r="F1694" s="618"/>
      <c r="G1694" s="619"/>
      <c r="H1694" s="618"/>
      <c r="I1694" s="618"/>
      <c r="J1694" s="618"/>
      <c r="K1694" s="618"/>
      <c r="L1694" s="618"/>
    </row>
    <row r="1695" spans="1:12">
      <c r="A1695" s="619"/>
      <c r="B1695" s="618"/>
      <c r="C1695" s="618"/>
      <c r="D1695" s="618"/>
      <c r="E1695" s="618"/>
      <c r="F1695" s="618"/>
      <c r="G1695" s="619"/>
      <c r="H1695" s="618"/>
      <c r="I1695" s="618"/>
      <c r="J1695" s="618"/>
      <c r="K1695" s="618"/>
      <c r="L1695" s="618"/>
    </row>
    <row r="1696" spans="1:12">
      <c r="A1696" s="619"/>
      <c r="B1696" s="618"/>
      <c r="C1696" s="618"/>
      <c r="D1696" s="618"/>
      <c r="E1696" s="618"/>
      <c r="F1696" s="618"/>
      <c r="G1696" s="619"/>
      <c r="H1696" s="618"/>
      <c r="I1696" s="618"/>
      <c r="J1696" s="618"/>
      <c r="K1696" s="618"/>
      <c r="L1696" s="618"/>
    </row>
    <row r="1697" spans="1:12">
      <c r="A1697" s="619"/>
      <c r="B1697" s="618"/>
      <c r="C1697" s="618"/>
      <c r="D1697" s="618"/>
      <c r="E1697" s="618"/>
      <c r="F1697" s="618"/>
      <c r="G1697" s="619"/>
      <c r="H1697" s="618"/>
      <c r="I1697" s="618"/>
      <c r="J1697" s="618"/>
      <c r="K1697" s="618"/>
      <c r="L1697" s="618"/>
    </row>
    <row r="1698" spans="1:12">
      <c r="A1698" s="619"/>
      <c r="B1698" s="618"/>
      <c r="C1698" s="618"/>
      <c r="D1698" s="618"/>
      <c r="E1698" s="618"/>
      <c r="F1698" s="618"/>
      <c r="G1698" s="619"/>
      <c r="H1698" s="618"/>
      <c r="I1698" s="618"/>
      <c r="J1698" s="618"/>
      <c r="K1698" s="618"/>
      <c r="L1698" s="618"/>
    </row>
    <row r="1699" spans="1:12">
      <c r="A1699" s="619"/>
      <c r="B1699" s="618"/>
      <c r="C1699" s="618"/>
      <c r="D1699" s="618"/>
      <c r="E1699" s="618"/>
      <c r="F1699" s="618"/>
      <c r="G1699" s="619"/>
      <c r="H1699" s="618"/>
      <c r="I1699" s="618"/>
      <c r="J1699" s="618"/>
      <c r="K1699" s="618"/>
      <c r="L1699" s="618"/>
    </row>
    <row r="1700" spans="1:12">
      <c r="A1700" s="619"/>
      <c r="B1700" s="618"/>
      <c r="C1700" s="618"/>
      <c r="D1700" s="618"/>
      <c r="E1700" s="618"/>
      <c r="F1700" s="618"/>
      <c r="G1700" s="619"/>
      <c r="H1700" s="618"/>
      <c r="I1700" s="618"/>
      <c r="J1700" s="618"/>
      <c r="K1700" s="618"/>
      <c r="L1700" s="618"/>
    </row>
    <row r="1701" spans="1:12">
      <c r="A1701" s="619"/>
      <c r="B1701" s="618"/>
      <c r="C1701" s="618"/>
      <c r="D1701" s="618"/>
      <c r="E1701" s="618"/>
      <c r="F1701" s="618"/>
      <c r="G1701" s="619"/>
      <c r="H1701" s="618"/>
      <c r="I1701" s="618"/>
      <c r="J1701" s="618"/>
      <c r="K1701" s="618"/>
      <c r="L1701" s="618"/>
    </row>
    <row r="1702" spans="1:12">
      <c r="A1702" s="619"/>
      <c r="B1702" s="618"/>
      <c r="C1702" s="618"/>
      <c r="D1702" s="618"/>
      <c r="E1702" s="618"/>
      <c r="F1702" s="618"/>
      <c r="G1702" s="619"/>
      <c r="H1702" s="618"/>
      <c r="I1702" s="618"/>
      <c r="J1702" s="618"/>
      <c r="K1702" s="618"/>
      <c r="L1702" s="618"/>
    </row>
    <row r="1703" spans="1:12">
      <c r="A1703" s="619"/>
      <c r="B1703" s="618"/>
      <c r="C1703" s="618"/>
      <c r="D1703" s="618"/>
      <c r="E1703" s="618"/>
      <c r="F1703" s="618"/>
      <c r="G1703" s="619"/>
      <c r="H1703" s="618"/>
      <c r="I1703" s="618"/>
      <c r="J1703" s="618"/>
      <c r="K1703" s="618"/>
      <c r="L1703" s="618"/>
    </row>
    <row r="1704" spans="1:12">
      <c r="A1704" s="619"/>
      <c r="B1704" s="618"/>
      <c r="C1704" s="618"/>
      <c r="D1704" s="618"/>
      <c r="E1704" s="618"/>
      <c r="F1704" s="618"/>
      <c r="G1704" s="619"/>
      <c r="H1704" s="618"/>
      <c r="I1704" s="618"/>
      <c r="J1704" s="618"/>
      <c r="K1704" s="618"/>
      <c r="L1704" s="618"/>
    </row>
    <row r="1705" spans="1:12">
      <c r="A1705" s="619"/>
      <c r="B1705" s="618"/>
      <c r="C1705" s="618"/>
      <c r="D1705" s="618"/>
      <c r="E1705" s="618"/>
      <c r="F1705" s="618"/>
      <c r="G1705" s="619"/>
      <c r="H1705" s="618"/>
      <c r="I1705" s="618"/>
      <c r="J1705" s="618"/>
      <c r="K1705" s="618"/>
      <c r="L1705" s="618"/>
    </row>
    <row r="1706" spans="1:12">
      <c r="A1706" s="619"/>
      <c r="B1706" s="618"/>
      <c r="C1706" s="618"/>
      <c r="D1706" s="618"/>
      <c r="E1706" s="618"/>
      <c r="F1706" s="618"/>
      <c r="G1706" s="619"/>
      <c r="H1706" s="618"/>
      <c r="I1706" s="618"/>
      <c r="J1706" s="618"/>
      <c r="K1706" s="618"/>
      <c r="L1706" s="618"/>
    </row>
    <row r="1707" spans="1:12">
      <c r="A1707" s="619"/>
      <c r="B1707" s="618"/>
      <c r="C1707" s="618"/>
      <c r="D1707" s="618"/>
      <c r="E1707" s="618"/>
      <c r="F1707" s="618"/>
      <c r="G1707" s="619"/>
      <c r="H1707" s="618"/>
      <c r="I1707" s="618"/>
      <c r="J1707" s="618"/>
      <c r="K1707" s="618"/>
      <c r="L1707" s="618"/>
    </row>
    <row r="1708" spans="1:12">
      <c r="A1708" s="619"/>
      <c r="B1708" s="618"/>
      <c r="C1708" s="618"/>
      <c r="D1708" s="618"/>
      <c r="E1708" s="618"/>
      <c r="F1708" s="618"/>
      <c r="G1708" s="619"/>
      <c r="H1708" s="618"/>
      <c r="I1708" s="618"/>
      <c r="J1708" s="618"/>
      <c r="K1708" s="618"/>
      <c r="L1708" s="618"/>
    </row>
    <row r="1709" spans="1:12">
      <c r="A1709" s="619"/>
      <c r="B1709" s="618"/>
      <c r="C1709" s="618"/>
      <c r="D1709" s="618"/>
      <c r="E1709" s="618"/>
      <c r="F1709" s="618"/>
      <c r="G1709" s="619"/>
      <c r="H1709" s="618"/>
      <c r="I1709" s="618"/>
      <c r="J1709" s="618"/>
      <c r="K1709" s="618"/>
      <c r="L1709" s="618"/>
    </row>
    <row r="1710" spans="1:12">
      <c r="A1710" s="619"/>
      <c r="B1710" s="618"/>
      <c r="C1710" s="618"/>
      <c r="D1710" s="618"/>
      <c r="E1710" s="618"/>
      <c r="F1710" s="618"/>
      <c r="G1710" s="619"/>
      <c r="H1710" s="618"/>
      <c r="I1710" s="618"/>
      <c r="J1710" s="618"/>
      <c r="K1710" s="618"/>
      <c r="L1710" s="618"/>
    </row>
    <row r="1711" spans="1:12">
      <c r="A1711" s="619"/>
      <c r="B1711" s="618"/>
      <c r="C1711" s="618"/>
      <c r="D1711" s="618"/>
      <c r="E1711" s="618"/>
      <c r="F1711" s="618"/>
      <c r="G1711" s="619"/>
      <c r="H1711" s="618"/>
      <c r="I1711" s="618"/>
      <c r="J1711" s="618"/>
      <c r="K1711" s="618"/>
      <c r="L1711" s="618"/>
    </row>
    <row r="1712" spans="1:12">
      <c r="A1712" s="619"/>
      <c r="B1712" s="618"/>
      <c r="C1712" s="618"/>
      <c r="D1712" s="618"/>
      <c r="E1712" s="618"/>
      <c r="F1712" s="618"/>
      <c r="G1712" s="619"/>
      <c r="H1712" s="618"/>
      <c r="I1712" s="618"/>
      <c r="J1712" s="618"/>
      <c r="K1712" s="618"/>
      <c r="L1712" s="618"/>
    </row>
    <row r="1713" spans="1:12">
      <c r="A1713" s="619"/>
      <c r="B1713" s="618"/>
      <c r="C1713" s="618"/>
      <c r="D1713" s="618"/>
      <c r="E1713" s="618"/>
      <c r="F1713" s="618"/>
      <c r="G1713" s="619"/>
      <c r="H1713" s="618"/>
      <c r="I1713" s="618"/>
      <c r="J1713" s="618"/>
      <c r="K1713" s="618"/>
      <c r="L1713" s="618"/>
    </row>
    <row r="1714" spans="1:12">
      <c r="A1714" s="619"/>
      <c r="B1714" s="618"/>
      <c r="C1714" s="618"/>
      <c r="D1714" s="618"/>
      <c r="E1714" s="618"/>
      <c r="F1714" s="618"/>
      <c r="G1714" s="619"/>
      <c r="H1714" s="618"/>
      <c r="I1714" s="618"/>
      <c r="J1714" s="618"/>
      <c r="K1714" s="618"/>
      <c r="L1714" s="618"/>
    </row>
    <row r="1715" spans="1:12">
      <c r="A1715" s="619"/>
      <c r="B1715" s="618"/>
      <c r="C1715" s="618"/>
      <c r="D1715" s="618"/>
      <c r="E1715" s="618"/>
      <c r="F1715" s="618"/>
      <c r="G1715" s="619"/>
      <c r="H1715" s="618"/>
      <c r="I1715" s="618"/>
      <c r="J1715" s="618"/>
      <c r="K1715" s="618"/>
      <c r="L1715" s="618"/>
    </row>
    <row r="1716" spans="1:12">
      <c r="A1716" s="619"/>
      <c r="B1716" s="618"/>
      <c r="C1716" s="618"/>
      <c r="D1716" s="618"/>
      <c r="E1716" s="618"/>
      <c r="F1716" s="618"/>
      <c r="G1716" s="619"/>
      <c r="H1716" s="618"/>
      <c r="I1716" s="618"/>
      <c r="J1716" s="618"/>
      <c r="K1716" s="618"/>
      <c r="L1716" s="618"/>
    </row>
    <row r="1717" spans="1:12">
      <c r="A1717" s="619"/>
      <c r="B1717" s="618"/>
      <c r="C1717" s="618"/>
      <c r="D1717" s="618"/>
      <c r="E1717" s="618"/>
      <c r="F1717" s="618"/>
      <c r="G1717" s="619"/>
      <c r="H1717" s="618"/>
      <c r="I1717" s="618"/>
      <c r="J1717" s="618"/>
      <c r="K1717" s="618"/>
      <c r="L1717" s="618"/>
    </row>
    <row r="1718" spans="1:12">
      <c r="A1718" s="619"/>
      <c r="B1718" s="618"/>
      <c r="C1718" s="618"/>
      <c r="D1718" s="618"/>
      <c r="E1718" s="618"/>
      <c r="F1718" s="618"/>
      <c r="G1718" s="619"/>
      <c r="H1718" s="618"/>
      <c r="I1718" s="618"/>
      <c r="J1718" s="618"/>
      <c r="K1718" s="618"/>
      <c r="L1718" s="618"/>
    </row>
    <row r="1719" spans="1:12">
      <c r="A1719" s="619"/>
      <c r="B1719" s="618"/>
      <c r="C1719" s="618"/>
      <c r="D1719" s="618"/>
      <c r="E1719" s="618"/>
      <c r="F1719" s="618"/>
      <c r="G1719" s="619"/>
      <c r="H1719" s="618"/>
      <c r="I1719" s="618"/>
      <c r="J1719" s="618"/>
      <c r="K1719" s="618"/>
      <c r="L1719" s="618"/>
    </row>
    <row r="1720" spans="1:12">
      <c r="A1720" s="619"/>
      <c r="B1720" s="618"/>
      <c r="C1720" s="618"/>
      <c r="D1720" s="618"/>
      <c r="E1720" s="618"/>
      <c r="F1720" s="618"/>
      <c r="G1720" s="619"/>
      <c r="H1720" s="618"/>
      <c r="I1720" s="618"/>
      <c r="J1720" s="618"/>
      <c r="K1720" s="618"/>
      <c r="L1720" s="618"/>
    </row>
    <row r="1721" spans="1:12">
      <c r="A1721" s="619"/>
      <c r="B1721" s="618"/>
      <c r="C1721" s="618"/>
      <c r="D1721" s="618"/>
      <c r="E1721" s="618"/>
      <c r="F1721" s="618"/>
      <c r="G1721" s="619"/>
      <c r="H1721" s="618"/>
      <c r="I1721" s="618"/>
      <c r="J1721" s="618"/>
      <c r="K1721" s="618"/>
      <c r="L1721" s="618"/>
    </row>
    <row r="1722" spans="1:12">
      <c r="A1722" s="619"/>
      <c r="B1722" s="618"/>
      <c r="C1722" s="618"/>
      <c r="D1722" s="618"/>
      <c r="E1722" s="618"/>
      <c r="F1722" s="618"/>
      <c r="G1722" s="619"/>
      <c r="H1722" s="618"/>
      <c r="I1722" s="618"/>
      <c r="J1722" s="618"/>
      <c r="K1722" s="618"/>
      <c r="L1722" s="618"/>
    </row>
    <row r="1723" spans="1:12">
      <c r="A1723" s="619"/>
      <c r="B1723" s="618"/>
      <c r="C1723" s="618"/>
      <c r="D1723" s="618"/>
      <c r="E1723" s="618"/>
      <c r="F1723" s="618"/>
      <c r="G1723" s="619"/>
      <c r="H1723" s="618"/>
      <c r="I1723" s="618"/>
      <c r="J1723" s="618"/>
      <c r="K1723" s="618"/>
      <c r="L1723" s="618"/>
    </row>
    <row r="1724" spans="1:12">
      <c r="A1724" s="619"/>
      <c r="B1724" s="618"/>
      <c r="C1724" s="618"/>
      <c r="D1724" s="618"/>
      <c r="E1724" s="618"/>
      <c r="F1724" s="618"/>
      <c r="G1724" s="619"/>
      <c r="H1724" s="618"/>
      <c r="I1724" s="618"/>
      <c r="J1724" s="618"/>
      <c r="K1724" s="618"/>
      <c r="L1724" s="618"/>
    </row>
    <row r="1725" spans="1:12">
      <c r="A1725" s="619"/>
      <c r="B1725" s="618"/>
      <c r="C1725" s="618"/>
      <c r="D1725" s="618"/>
      <c r="E1725" s="618"/>
      <c r="F1725" s="618"/>
      <c r="G1725" s="619"/>
      <c r="H1725" s="618"/>
      <c r="I1725" s="618"/>
      <c r="J1725" s="618"/>
      <c r="K1725" s="618"/>
      <c r="L1725" s="618"/>
    </row>
    <row r="1726" spans="1:12">
      <c r="A1726" s="619"/>
      <c r="B1726" s="618"/>
      <c r="C1726" s="618"/>
      <c r="D1726" s="618"/>
      <c r="E1726" s="618"/>
      <c r="F1726" s="618"/>
      <c r="G1726" s="619"/>
      <c r="H1726" s="618"/>
      <c r="I1726" s="618"/>
      <c r="J1726" s="618"/>
      <c r="K1726" s="618"/>
      <c r="L1726" s="618"/>
    </row>
    <row r="1727" spans="1:12">
      <c r="A1727" s="619"/>
      <c r="B1727" s="618"/>
      <c r="C1727" s="618"/>
      <c r="D1727" s="618"/>
      <c r="E1727" s="618"/>
      <c r="F1727" s="618"/>
      <c r="G1727" s="619"/>
      <c r="H1727" s="618"/>
      <c r="I1727" s="618"/>
      <c r="J1727" s="618"/>
      <c r="K1727" s="618"/>
      <c r="L1727" s="618"/>
    </row>
    <row r="1728" spans="1:12">
      <c r="A1728" s="619"/>
      <c r="B1728" s="618"/>
      <c r="C1728" s="618"/>
      <c r="D1728" s="618"/>
      <c r="E1728" s="618"/>
      <c r="F1728" s="618"/>
      <c r="G1728" s="619"/>
      <c r="H1728" s="618"/>
      <c r="I1728" s="618"/>
      <c r="J1728" s="618"/>
      <c r="K1728" s="618"/>
      <c r="L1728" s="618"/>
    </row>
    <row r="1729" spans="1:12">
      <c r="A1729" s="619"/>
      <c r="B1729" s="618"/>
      <c r="C1729" s="618"/>
      <c r="D1729" s="618"/>
      <c r="E1729" s="618"/>
      <c r="F1729" s="618"/>
      <c r="G1729" s="619"/>
      <c r="H1729" s="618"/>
      <c r="I1729" s="618"/>
      <c r="J1729" s="618"/>
      <c r="K1729" s="618"/>
      <c r="L1729" s="618"/>
    </row>
    <row r="1730" spans="1:12">
      <c r="A1730" s="619"/>
      <c r="B1730" s="618"/>
      <c r="C1730" s="618"/>
      <c r="D1730" s="618"/>
      <c r="E1730" s="618"/>
      <c r="F1730" s="618"/>
      <c r="G1730" s="619"/>
      <c r="H1730" s="618"/>
      <c r="I1730" s="618"/>
      <c r="J1730" s="618"/>
      <c r="K1730" s="618"/>
      <c r="L1730" s="618"/>
    </row>
    <row r="1731" spans="1:12">
      <c r="A1731" s="619"/>
      <c r="B1731" s="618"/>
      <c r="C1731" s="618"/>
      <c r="D1731" s="618"/>
      <c r="E1731" s="618"/>
      <c r="F1731" s="618"/>
      <c r="G1731" s="619"/>
      <c r="H1731" s="618"/>
      <c r="I1731" s="618"/>
      <c r="J1731" s="618"/>
      <c r="K1731" s="618"/>
      <c r="L1731" s="618"/>
    </row>
    <row r="1732" spans="1:12">
      <c r="A1732" s="619"/>
      <c r="B1732" s="618"/>
      <c r="C1732" s="618"/>
      <c r="D1732" s="618"/>
      <c r="E1732" s="618"/>
      <c r="F1732" s="618"/>
      <c r="G1732" s="619"/>
      <c r="H1732" s="618"/>
      <c r="I1732" s="618"/>
      <c r="J1732" s="618"/>
      <c r="K1732" s="618"/>
      <c r="L1732" s="618"/>
    </row>
    <row r="1733" spans="1:12">
      <c r="A1733" s="619"/>
      <c r="B1733" s="618"/>
      <c r="C1733" s="618"/>
      <c r="D1733" s="618"/>
      <c r="E1733" s="618"/>
      <c r="F1733" s="618"/>
      <c r="G1733" s="619"/>
      <c r="H1733" s="618"/>
      <c r="I1733" s="618"/>
      <c r="J1733" s="618"/>
      <c r="K1733" s="618"/>
      <c r="L1733" s="618"/>
    </row>
    <row r="1734" spans="1:12">
      <c r="A1734" s="619"/>
      <c r="B1734" s="618"/>
      <c r="C1734" s="618"/>
      <c r="D1734" s="618"/>
      <c r="E1734" s="618"/>
      <c r="F1734" s="618"/>
      <c r="G1734" s="619"/>
      <c r="H1734" s="618"/>
      <c r="I1734" s="618"/>
      <c r="J1734" s="618"/>
      <c r="K1734" s="618"/>
      <c r="L1734" s="618"/>
    </row>
    <row r="1735" spans="1:12">
      <c r="A1735" s="619"/>
      <c r="B1735" s="618"/>
      <c r="C1735" s="618"/>
      <c r="D1735" s="618"/>
      <c r="E1735" s="618"/>
      <c r="F1735" s="618"/>
      <c r="G1735" s="619"/>
      <c r="H1735" s="618"/>
      <c r="I1735" s="618"/>
      <c r="J1735" s="618"/>
      <c r="K1735" s="618"/>
      <c r="L1735" s="618"/>
    </row>
    <row r="1736" spans="1:12">
      <c r="A1736" s="619"/>
      <c r="B1736" s="618"/>
      <c r="C1736" s="618"/>
      <c r="D1736" s="618"/>
      <c r="E1736" s="618"/>
      <c r="F1736" s="618"/>
      <c r="G1736" s="619"/>
      <c r="H1736" s="618"/>
      <c r="I1736" s="618"/>
      <c r="J1736" s="618"/>
      <c r="K1736" s="618"/>
      <c r="L1736" s="618"/>
    </row>
    <row r="1737" spans="1:12">
      <c r="A1737" s="619"/>
      <c r="B1737" s="618"/>
      <c r="C1737" s="618"/>
      <c r="D1737" s="618"/>
      <c r="E1737" s="618"/>
      <c r="F1737" s="618"/>
      <c r="G1737" s="619"/>
      <c r="H1737" s="618"/>
      <c r="I1737" s="618"/>
      <c r="J1737" s="618"/>
      <c r="K1737" s="618"/>
      <c r="L1737" s="618"/>
    </row>
    <row r="1738" spans="1:12">
      <c r="A1738" s="619"/>
      <c r="B1738" s="618"/>
      <c r="C1738" s="618"/>
      <c r="D1738" s="618"/>
      <c r="E1738" s="618"/>
      <c r="F1738" s="618"/>
      <c r="G1738" s="619"/>
      <c r="H1738" s="618"/>
      <c r="I1738" s="618"/>
      <c r="J1738" s="618"/>
      <c r="K1738" s="618"/>
      <c r="L1738" s="618"/>
    </row>
    <row r="1739" spans="1:12">
      <c r="A1739" s="619"/>
      <c r="B1739" s="618"/>
      <c r="C1739" s="618"/>
      <c r="D1739" s="618"/>
      <c r="E1739" s="618"/>
      <c r="F1739" s="618"/>
      <c r="G1739" s="619"/>
      <c r="H1739" s="618"/>
      <c r="I1739" s="618"/>
      <c r="J1739" s="618"/>
      <c r="K1739" s="618"/>
      <c r="L1739" s="618"/>
    </row>
    <row r="1740" spans="1:12">
      <c r="A1740" s="619"/>
      <c r="B1740" s="618"/>
      <c r="C1740" s="618"/>
      <c r="D1740" s="618"/>
      <c r="E1740" s="618"/>
      <c r="F1740" s="618"/>
      <c r="G1740" s="619"/>
      <c r="H1740" s="618"/>
      <c r="I1740" s="618"/>
      <c r="J1740" s="618"/>
      <c r="K1740" s="618"/>
      <c r="L1740" s="618"/>
    </row>
    <row r="1741" spans="1:12">
      <c r="A1741" s="619"/>
      <c r="B1741" s="618"/>
      <c r="C1741" s="618"/>
      <c r="D1741" s="618"/>
      <c r="E1741" s="618"/>
      <c r="F1741" s="618"/>
      <c r="G1741" s="619"/>
      <c r="H1741" s="618"/>
      <c r="I1741" s="618"/>
      <c r="J1741" s="618"/>
      <c r="K1741" s="618"/>
      <c r="L1741" s="618"/>
    </row>
    <row r="1742" spans="1:12">
      <c r="A1742" s="619"/>
      <c r="B1742" s="618"/>
      <c r="C1742" s="618"/>
      <c r="D1742" s="618"/>
      <c r="E1742" s="618"/>
      <c r="F1742" s="618"/>
      <c r="G1742" s="619"/>
      <c r="H1742" s="618"/>
      <c r="I1742" s="618"/>
      <c r="J1742" s="618"/>
      <c r="K1742" s="618"/>
      <c r="L1742" s="618"/>
    </row>
    <row r="1743" spans="1:12">
      <c r="A1743" s="619"/>
      <c r="B1743" s="618"/>
      <c r="C1743" s="618"/>
      <c r="D1743" s="618"/>
      <c r="E1743" s="618"/>
      <c r="F1743" s="618"/>
      <c r="G1743" s="619"/>
      <c r="H1743" s="618"/>
      <c r="I1743" s="618"/>
      <c r="J1743" s="618"/>
      <c r="K1743" s="618"/>
      <c r="L1743" s="618"/>
    </row>
    <row r="1744" spans="1:12">
      <c r="A1744" s="619"/>
      <c r="B1744" s="618"/>
      <c r="C1744" s="618"/>
      <c r="D1744" s="618"/>
      <c r="E1744" s="618"/>
      <c r="F1744" s="618"/>
      <c r="G1744" s="619"/>
      <c r="H1744" s="618"/>
      <c r="I1744" s="618"/>
      <c r="J1744" s="618"/>
      <c r="K1744" s="618"/>
      <c r="L1744" s="618"/>
    </row>
    <row r="1745" spans="1:12">
      <c r="A1745" s="619"/>
      <c r="B1745" s="618"/>
      <c r="C1745" s="618"/>
      <c r="D1745" s="618"/>
      <c r="E1745" s="618"/>
      <c r="F1745" s="618"/>
      <c r="G1745" s="619"/>
      <c r="H1745" s="618"/>
      <c r="I1745" s="618"/>
      <c r="J1745" s="618"/>
      <c r="K1745" s="618"/>
      <c r="L1745" s="618"/>
    </row>
    <row r="1746" spans="1:12">
      <c r="A1746" s="619"/>
      <c r="B1746" s="618"/>
      <c r="C1746" s="618"/>
      <c r="D1746" s="618"/>
      <c r="E1746" s="618"/>
      <c r="F1746" s="618"/>
      <c r="G1746" s="619"/>
      <c r="H1746" s="618"/>
      <c r="I1746" s="618"/>
      <c r="J1746" s="618"/>
      <c r="K1746" s="618"/>
      <c r="L1746" s="618"/>
    </row>
    <row r="1747" spans="1:12">
      <c r="A1747" s="619"/>
      <c r="B1747" s="618"/>
      <c r="C1747" s="618"/>
      <c r="D1747" s="618"/>
      <c r="E1747" s="618"/>
      <c r="F1747" s="618"/>
      <c r="G1747" s="619"/>
      <c r="H1747" s="618"/>
      <c r="I1747" s="618"/>
      <c r="J1747" s="618"/>
      <c r="K1747" s="618"/>
      <c r="L1747" s="618"/>
    </row>
    <row r="1748" spans="1:12">
      <c r="A1748" s="619"/>
      <c r="B1748" s="618"/>
      <c r="C1748" s="618"/>
      <c r="D1748" s="618"/>
      <c r="E1748" s="618"/>
      <c r="F1748" s="618"/>
      <c r="G1748" s="619"/>
      <c r="H1748" s="618"/>
      <c r="I1748" s="618"/>
      <c r="J1748" s="618"/>
      <c r="K1748" s="618"/>
      <c r="L1748" s="618"/>
    </row>
    <row r="1749" spans="1:12">
      <c r="A1749" s="619"/>
      <c r="B1749" s="618"/>
      <c r="C1749" s="618"/>
      <c r="D1749" s="618"/>
      <c r="E1749" s="618"/>
      <c r="F1749" s="618"/>
      <c r="G1749" s="619"/>
      <c r="H1749" s="618"/>
      <c r="I1749" s="618"/>
      <c r="J1749" s="618"/>
      <c r="K1749" s="618"/>
      <c r="L1749" s="618"/>
    </row>
    <row r="1750" spans="1:12">
      <c r="A1750" s="619"/>
      <c r="B1750" s="618"/>
      <c r="C1750" s="618"/>
      <c r="D1750" s="618"/>
      <c r="E1750" s="618"/>
      <c r="F1750" s="618"/>
      <c r="G1750" s="619"/>
      <c r="H1750" s="618"/>
      <c r="I1750" s="618"/>
      <c r="J1750" s="618"/>
      <c r="K1750" s="618"/>
      <c r="L1750" s="618"/>
    </row>
    <row r="1751" spans="1:12">
      <c r="A1751" s="619"/>
      <c r="B1751" s="618"/>
      <c r="C1751" s="618"/>
      <c r="D1751" s="618"/>
      <c r="E1751" s="618"/>
      <c r="F1751" s="618"/>
      <c r="G1751" s="619"/>
      <c r="H1751" s="618"/>
      <c r="I1751" s="618"/>
      <c r="J1751" s="618"/>
      <c r="K1751" s="618"/>
      <c r="L1751" s="618"/>
    </row>
    <row r="1752" spans="1:12">
      <c r="A1752" s="619"/>
      <c r="B1752" s="618"/>
      <c r="C1752" s="618"/>
      <c r="D1752" s="618"/>
      <c r="E1752" s="618"/>
      <c r="F1752" s="618"/>
      <c r="G1752" s="619"/>
      <c r="H1752" s="618"/>
      <c r="I1752" s="618"/>
      <c r="J1752" s="618"/>
      <c r="K1752" s="618"/>
      <c r="L1752" s="618"/>
    </row>
    <row r="1753" spans="1:12">
      <c r="A1753" s="619"/>
      <c r="B1753" s="618"/>
      <c r="C1753" s="618"/>
      <c r="D1753" s="618"/>
      <c r="E1753" s="618"/>
      <c r="F1753" s="618"/>
      <c r="G1753" s="619"/>
      <c r="H1753" s="618"/>
      <c r="I1753" s="618"/>
      <c r="J1753" s="618"/>
      <c r="K1753" s="618"/>
      <c r="L1753" s="618"/>
    </row>
    <row r="1754" spans="1:12">
      <c r="A1754" s="619"/>
      <c r="B1754" s="618"/>
      <c r="C1754" s="618"/>
      <c r="D1754" s="618"/>
      <c r="E1754" s="618"/>
      <c r="F1754" s="618"/>
      <c r="G1754" s="619"/>
      <c r="H1754" s="618"/>
      <c r="I1754" s="618"/>
      <c r="J1754" s="618"/>
      <c r="K1754" s="618"/>
      <c r="L1754" s="618"/>
    </row>
    <row r="1755" spans="1:12">
      <c r="A1755" s="619"/>
      <c r="B1755" s="618"/>
      <c r="C1755" s="618"/>
      <c r="D1755" s="618"/>
      <c r="E1755" s="618"/>
      <c r="F1755" s="618"/>
      <c r="G1755" s="619"/>
      <c r="H1755" s="618"/>
      <c r="I1755" s="618"/>
      <c r="J1755" s="618"/>
      <c r="K1755" s="618"/>
      <c r="L1755" s="618"/>
    </row>
    <row r="1756" spans="1:12">
      <c r="A1756" s="620"/>
      <c r="B1756" s="621"/>
      <c r="C1756" s="621"/>
      <c r="D1756" s="621"/>
      <c r="E1756" s="621"/>
      <c r="F1756" s="618"/>
      <c r="G1756" s="620"/>
      <c r="H1756" s="621"/>
      <c r="I1756" s="621"/>
      <c r="J1756" s="621"/>
      <c r="K1756" s="621"/>
      <c r="L1756" s="618"/>
    </row>
    <row r="1757" spans="1:12">
      <c r="A1757" s="620"/>
      <c r="B1757" s="621"/>
      <c r="C1757" s="621"/>
      <c r="D1757" s="621"/>
      <c r="E1757" s="621"/>
      <c r="F1757" s="618"/>
      <c r="G1757" s="620"/>
      <c r="H1757" s="621"/>
      <c r="I1757" s="621"/>
      <c r="J1757" s="621"/>
      <c r="K1757" s="621"/>
      <c r="L1757" s="618"/>
    </row>
    <row r="1758" spans="1:12">
      <c r="A1758" s="620"/>
      <c r="B1758" s="621"/>
      <c r="C1758" s="621"/>
      <c r="D1758" s="621"/>
      <c r="E1758" s="621"/>
      <c r="F1758" s="618"/>
      <c r="G1758" s="620"/>
      <c r="H1758" s="621"/>
      <c r="I1758" s="621"/>
      <c r="J1758" s="621"/>
      <c r="K1758" s="621"/>
      <c r="L1758" s="618"/>
    </row>
    <row r="1759" spans="1:12">
      <c r="A1759" s="620"/>
      <c r="B1759" s="621"/>
      <c r="C1759" s="621"/>
      <c r="D1759" s="621"/>
      <c r="E1759" s="621"/>
      <c r="F1759" s="618"/>
      <c r="G1759" s="620"/>
      <c r="H1759" s="621"/>
      <c r="I1759" s="621"/>
      <c r="J1759" s="621"/>
      <c r="K1759" s="621"/>
      <c r="L1759" s="618"/>
    </row>
    <row r="1760" spans="1:12">
      <c r="A1760" s="620"/>
      <c r="B1760" s="621"/>
      <c r="C1760" s="621"/>
      <c r="D1760" s="621"/>
      <c r="E1760" s="621"/>
      <c r="F1760" s="618"/>
      <c r="G1760" s="620"/>
      <c r="H1760" s="621"/>
      <c r="I1760" s="621"/>
      <c r="J1760" s="621"/>
      <c r="K1760" s="621"/>
      <c r="L1760" s="618"/>
    </row>
    <row r="1761" spans="1:12">
      <c r="A1761" s="620"/>
      <c r="B1761" s="621"/>
      <c r="C1761" s="621"/>
      <c r="D1761" s="621"/>
      <c r="E1761" s="621"/>
      <c r="F1761" s="618"/>
      <c r="G1761" s="620"/>
      <c r="H1761" s="621"/>
      <c r="I1761" s="621"/>
      <c r="J1761" s="621"/>
      <c r="K1761" s="621"/>
      <c r="L1761" s="618"/>
    </row>
    <row r="1762" spans="1:12">
      <c r="A1762" s="620"/>
      <c r="B1762" s="621"/>
      <c r="C1762" s="621"/>
      <c r="D1762" s="621"/>
      <c r="E1762" s="621"/>
      <c r="F1762" s="618"/>
      <c r="G1762" s="620"/>
      <c r="H1762" s="621"/>
      <c r="I1762" s="621"/>
      <c r="J1762" s="621"/>
      <c r="K1762" s="621"/>
      <c r="L1762" s="618"/>
    </row>
    <row r="1763" spans="1:12">
      <c r="A1763" s="620"/>
      <c r="B1763" s="621"/>
      <c r="C1763" s="621"/>
      <c r="D1763" s="621"/>
      <c r="E1763" s="621"/>
      <c r="F1763" s="618"/>
      <c r="G1763" s="620"/>
      <c r="H1763" s="621"/>
      <c r="I1763" s="621"/>
      <c r="J1763" s="621"/>
      <c r="K1763" s="621"/>
      <c r="L1763" s="618"/>
    </row>
    <row r="1764" spans="1:12">
      <c r="A1764" s="620"/>
      <c r="B1764" s="621"/>
      <c r="C1764" s="621"/>
      <c r="D1764" s="621"/>
      <c r="E1764" s="621"/>
      <c r="F1764" s="618"/>
      <c r="G1764" s="620"/>
      <c r="H1764" s="621"/>
      <c r="I1764" s="621"/>
      <c r="J1764" s="621"/>
      <c r="K1764" s="621"/>
      <c r="L1764" s="618"/>
    </row>
    <row r="1765" spans="1:12">
      <c r="A1765" s="620"/>
      <c r="B1765" s="621"/>
      <c r="C1765" s="621"/>
      <c r="D1765" s="621"/>
      <c r="E1765" s="621"/>
      <c r="F1765" s="618"/>
      <c r="G1765" s="620"/>
      <c r="H1765" s="621"/>
      <c r="I1765" s="621"/>
      <c r="J1765" s="621"/>
      <c r="K1765" s="621"/>
      <c r="L1765" s="618"/>
    </row>
    <row r="1766" spans="1:12">
      <c r="A1766" s="620"/>
      <c r="B1766" s="621"/>
      <c r="C1766" s="621"/>
      <c r="D1766" s="621"/>
      <c r="E1766" s="621"/>
      <c r="F1766" s="618"/>
      <c r="G1766" s="620"/>
      <c r="H1766" s="621"/>
      <c r="I1766" s="621"/>
      <c r="J1766" s="621"/>
      <c r="K1766" s="621"/>
      <c r="L1766" s="618"/>
    </row>
    <row r="1767" spans="1:12">
      <c r="A1767" s="620"/>
      <c r="B1767" s="621"/>
      <c r="C1767" s="621"/>
      <c r="D1767" s="621"/>
      <c r="E1767" s="621"/>
      <c r="F1767" s="618"/>
      <c r="G1767" s="620"/>
      <c r="H1767" s="621"/>
      <c r="I1767" s="621"/>
      <c r="J1767" s="621"/>
      <c r="K1767" s="621"/>
      <c r="L1767" s="618"/>
    </row>
    <row r="1768" spans="1:12">
      <c r="A1768" s="620"/>
      <c r="B1768" s="621"/>
      <c r="C1768" s="621"/>
      <c r="D1768" s="621"/>
      <c r="E1768" s="621"/>
      <c r="F1768" s="618"/>
      <c r="G1768" s="620"/>
      <c r="H1768" s="621"/>
      <c r="I1768" s="621"/>
      <c r="J1768" s="621"/>
      <c r="K1768" s="621"/>
      <c r="L1768" s="618"/>
    </row>
    <row r="1769" spans="1:12">
      <c r="A1769" s="620"/>
      <c r="B1769" s="621"/>
      <c r="C1769" s="621"/>
      <c r="D1769" s="621"/>
      <c r="E1769" s="621"/>
      <c r="F1769" s="618"/>
      <c r="G1769" s="620"/>
      <c r="H1769" s="621"/>
      <c r="I1769" s="621"/>
      <c r="J1769" s="621"/>
      <c r="K1769" s="621"/>
      <c r="L1769" s="618"/>
    </row>
    <row r="1770" spans="1:12">
      <c r="A1770" s="620"/>
      <c r="B1770" s="621"/>
      <c r="C1770" s="621"/>
      <c r="D1770" s="621"/>
      <c r="E1770" s="621"/>
      <c r="F1770" s="618"/>
      <c r="G1770" s="620"/>
      <c r="H1770" s="621"/>
      <c r="I1770" s="621"/>
      <c r="J1770" s="621"/>
      <c r="K1770" s="621"/>
      <c r="L1770" s="618"/>
    </row>
    <row r="1771" spans="1:12">
      <c r="A1771" s="620"/>
      <c r="B1771" s="621"/>
      <c r="C1771" s="621"/>
      <c r="D1771" s="621"/>
      <c r="E1771" s="621"/>
      <c r="F1771" s="618"/>
      <c r="G1771" s="620"/>
      <c r="H1771" s="621"/>
      <c r="I1771" s="621"/>
      <c r="J1771" s="621"/>
      <c r="K1771" s="621"/>
      <c r="L1771" s="618"/>
    </row>
    <row r="1772" spans="1:12">
      <c r="A1772" s="620"/>
      <c r="B1772" s="621"/>
      <c r="C1772" s="621"/>
      <c r="D1772" s="621"/>
      <c r="E1772" s="621"/>
      <c r="F1772" s="618"/>
      <c r="G1772" s="620"/>
      <c r="H1772" s="621"/>
      <c r="I1772" s="621"/>
      <c r="J1772" s="621"/>
      <c r="K1772" s="621"/>
      <c r="L1772" s="618"/>
    </row>
    <row r="1773" spans="1:12">
      <c r="A1773" s="620"/>
      <c r="B1773" s="621"/>
      <c r="C1773" s="621"/>
      <c r="D1773" s="621"/>
      <c r="E1773" s="621"/>
      <c r="F1773" s="618"/>
      <c r="G1773" s="620"/>
      <c r="H1773" s="621"/>
      <c r="I1773" s="621"/>
      <c r="J1773" s="621"/>
      <c r="K1773" s="621"/>
      <c r="L1773" s="618"/>
    </row>
    <row r="1774" spans="1:12">
      <c r="A1774" s="620"/>
      <c r="B1774" s="621"/>
      <c r="C1774" s="621"/>
      <c r="D1774" s="621"/>
      <c r="E1774" s="621"/>
      <c r="F1774" s="618"/>
      <c r="G1774" s="620"/>
      <c r="H1774" s="621"/>
      <c r="I1774" s="621"/>
      <c r="J1774" s="621"/>
      <c r="K1774" s="621"/>
      <c r="L1774" s="618"/>
    </row>
    <row r="1775" spans="1:12">
      <c r="A1775" s="620"/>
      <c r="B1775" s="621"/>
      <c r="C1775" s="621"/>
      <c r="D1775" s="621"/>
      <c r="E1775" s="621"/>
      <c r="F1775" s="618"/>
      <c r="G1775" s="620"/>
      <c r="H1775" s="621"/>
      <c r="I1775" s="621"/>
      <c r="J1775" s="621"/>
      <c r="K1775" s="621"/>
      <c r="L1775" s="618"/>
    </row>
    <row r="1776" spans="1:12">
      <c r="A1776" s="620"/>
      <c r="B1776" s="621"/>
      <c r="C1776" s="621"/>
      <c r="D1776" s="621"/>
      <c r="E1776" s="621"/>
      <c r="F1776" s="618"/>
      <c r="G1776" s="620"/>
      <c r="H1776" s="621"/>
      <c r="I1776" s="621"/>
      <c r="J1776" s="621"/>
      <c r="K1776" s="621"/>
      <c r="L1776" s="618"/>
    </row>
    <row r="1777" spans="1:12">
      <c r="A1777" s="620"/>
      <c r="B1777" s="621"/>
      <c r="C1777" s="621"/>
      <c r="D1777" s="621"/>
      <c r="E1777" s="621"/>
      <c r="F1777" s="618"/>
      <c r="G1777" s="620"/>
      <c r="H1777" s="621"/>
      <c r="I1777" s="621"/>
      <c r="J1777" s="621"/>
      <c r="K1777" s="621"/>
      <c r="L1777" s="618"/>
    </row>
    <row r="1778" spans="1:12">
      <c r="A1778" s="620"/>
      <c r="B1778" s="621"/>
      <c r="C1778" s="621"/>
      <c r="D1778" s="621"/>
      <c r="E1778" s="621"/>
      <c r="F1778" s="618"/>
      <c r="G1778" s="620"/>
      <c r="H1778" s="621"/>
      <c r="I1778" s="621"/>
      <c r="J1778" s="621"/>
      <c r="K1778" s="621"/>
      <c r="L1778" s="618"/>
    </row>
    <row r="1779" spans="1:12">
      <c r="A1779" s="620"/>
      <c r="B1779" s="621"/>
      <c r="C1779" s="621"/>
      <c r="D1779" s="621"/>
      <c r="E1779" s="621"/>
      <c r="F1779" s="618"/>
      <c r="G1779" s="620"/>
      <c r="H1779" s="621"/>
      <c r="I1779" s="621"/>
      <c r="J1779" s="621"/>
      <c r="K1779" s="621"/>
      <c r="L1779" s="618"/>
    </row>
    <row r="1780" spans="1:12">
      <c r="A1780" s="620"/>
      <c r="B1780" s="621"/>
      <c r="C1780" s="621"/>
      <c r="D1780" s="621"/>
      <c r="E1780" s="621"/>
      <c r="F1780" s="618"/>
      <c r="G1780" s="620"/>
      <c r="H1780" s="621"/>
      <c r="I1780" s="621"/>
      <c r="J1780" s="621"/>
      <c r="K1780" s="621"/>
      <c r="L1780" s="618"/>
    </row>
    <row r="1781" spans="1:12">
      <c r="A1781" s="620"/>
      <c r="B1781" s="621"/>
      <c r="C1781" s="621"/>
      <c r="D1781" s="621"/>
      <c r="E1781" s="621"/>
      <c r="F1781" s="618"/>
      <c r="G1781" s="620"/>
      <c r="H1781" s="621"/>
      <c r="I1781" s="621"/>
      <c r="J1781" s="621"/>
      <c r="K1781" s="621"/>
      <c r="L1781" s="618"/>
    </row>
    <row r="1782" spans="1:12">
      <c r="A1782" s="620"/>
      <c r="B1782" s="621"/>
      <c r="C1782" s="621"/>
      <c r="D1782" s="621"/>
      <c r="E1782" s="621"/>
      <c r="F1782" s="618"/>
      <c r="G1782" s="620"/>
      <c r="H1782" s="621"/>
      <c r="I1782" s="621"/>
      <c r="J1782" s="621"/>
      <c r="K1782" s="621"/>
      <c r="L1782" s="618"/>
    </row>
    <row r="1783" spans="1:12">
      <c r="A1783" s="620"/>
      <c r="B1783" s="621"/>
      <c r="C1783" s="621"/>
      <c r="D1783" s="621"/>
      <c r="E1783" s="621"/>
      <c r="F1783" s="618"/>
      <c r="G1783" s="620"/>
      <c r="H1783" s="621"/>
      <c r="I1783" s="621"/>
      <c r="J1783" s="621"/>
      <c r="K1783" s="621"/>
      <c r="L1783" s="618"/>
    </row>
    <row r="1784" spans="1:12">
      <c r="A1784" s="620"/>
      <c r="B1784" s="621"/>
      <c r="C1784" s="621"/>
      <c r="D1784" s="621"/>
      <c r="E1784" s="621"/>
      <c r="F1784" s="618"/>
      <c r="G1784" s="620"/>
      <c r="H1784" s="621"/>
      <c r="I1784" s="621"/>
      <c r="J1784" s="621"/>
      <c r="K1784" s="621"/>
      <c r="L1784" s="618"/>
    </row>
    <row r="1785" spans="1:12">
      <c r="A1785" s="620"/>
      <c r="B1785" s="621"/>
      <c r="C1785" s="621"/>
      <c r="D1785" s="621"/>
      <c r="E1785" s="621"/>
      <c r="F1785" s="618"/>
      <c r="G1785" s="620"/>
      <c r="H1785" s="621"/>
      <c r="I1785" s="621"/>
      <c r="J1785" s="621"/>
      <c r="K1785" s="621"/>
      <c r="L1785" s="618"/>
    </row>
    <row r="1786" spans="1:12">
      <c r="A1786" s="620"/>
      <c r="B1786" s="621"/>
      <c r="C1786" s="621"/>
      <c r="D1786" s="621"/>
      <c r="E1786" s="621"/>
      <c r="F1786" s="618"/>
      <c r="G1786" s="620"/>
      <c r="H1786" s="621"/>
      <c r="I1786" s="621"/>
      <c r="J1786" s="621"/>
      <c r="K1786" s="621"/>
      <c r="L1786" s="618"/>
    </row>
    <row r="1787" spans="1:12">
      <c r="A1787" s="620"/>
      <c r="B1787" s="621"/>
      <c r="C1787" s="621"/>
      <c r="D1787" s="621"/>
      <c r="E1787" s="621"/>
      <c r="F1787" s="618"/>
      <c r="G1787" s="620"/>
      <c r="H1787" s="621"/>
      <c r="I1787" s="621"/>
      <c r="J1787" s="621"/>
      <c r="K1787" s="621"/>
      <c r="L1787" s="618"/>
    </row>
    <row r="1788" spans="1:12">
      <c r="A1788" s="620"/>
      <c r="B1788" s="621"/>
      <c r="C1788" s="621"/>
      <c r="D1788" s="621"/>
      <c r="E1788" s="621"/>
      <c r="F1788" s="618"/>
      <c r="G1788" s="620"/>
      <c r="H1788" s="621"/>
      <c r="I1788" s="621"/>
      <c r="J1788" s="621"/>
      <c r="K1788" s="621"/>
      <c r="L1788" s="618"/>
    </row>
    <row r="1789" spans="1:12">
      <c r="A1789" s="620"/>
      <c r="B1789" s="621"/>
      <c r="C1789" s="621"/>
      <c r="D1789" s="621"/>
      <c r="E1789" s="621"/>
      <c r="F1789" s="618"/>
      <c r="G1789" s="620"/>
      <c r="H1789" s="621"/>
      <c r="I1789" s="621"/>
      <c r="J1789" s="621"/>
      <c r="K1789" s="621"/>
      <c r="L1789" s="618"/>
    </row>
    <row r="1790" spans="1:12">
      <c r="A1790" s="620"/>
      <c r="B1790" s="621"/>
      <c r="C1790" s="621"/>
      <c r="D1790" s="621"/>
      <c r="E1790" s="621"/>
      <c r="F1790" s="618"/>
      <c r="G1790" s="620"/>
      <c r="H1790" s="621"/>
      <c r="I1790" s="621"/>
      <c r="J1790" s="621"/>
      <c r="K1790" s="621"/>
      <c r="L1790" s="618"/>
    </row>
    <row r="1791" spans="1:12">
      <c r="A1791" s="620"/>
      <c r="B1791" s="621"/>
      <c r="C1791" s="621"/>
      <c r="D1791" s="621"/>
      <c r="E1791" s="621"/>
      <c r="F1791" s="618"/>
      <c r="G1791" s="620"/>
      <c r="H1791" s="621"/>
      <c r="I1791" s="621"/>
      <c r="J1791" s="621"/>
      <c r="K1791" s="621"/>
      <c r="L1791" s="618"/>
    </row>
    <row r="1792" spans="1:12">
      <c r="A1792" s="620"/>
      <c r="B1792" s="621"/>
      <c r="C1792" s="621"/>
      <c r="D1792" s="621"/>
      <c r="E1792" s="621"/>
      <c r="F1792" s="618"/>
      <c r="G1792" s="620"/>
      <c r="H1792" s="621"/>
      <c r="I1792" s="621"/>
      <c r="J1792" s="621"/>
      <c r="K1792" s="621"/>
      <c r="L1792" s="618"/>
    </row>
    <row r="1793" spans="1:12">
      <c r="A1793" s="620"/>
      <c r="B1793" s="621"/>
      <c r="C1793" s="621"/>
      <c r="D1793" s="621"/>
      <c r="E1793" s="621"/>
      <c r="F1793" s="618"/>
      <c r="G1793" s="620"/>
      <c r="H1793" s="621"/>
      <c r="I1793" s="621"/>
      <c r="J1793" s="621"/>
      <c r="K1793" s="621"/>
      <c r="L1793" s="618"/>
    </row>
    <row r="1794" spans="1:12">
      <c r="A1794" s="620"/>
      <c r="B1794" s="621"/>
      <c r="C1794" s="621"/>
      <c r="D1794" s="621"/>
      <c r="E1794" s="621"/>
      <c r="F1794" s="618"/>
      <c r="G1794" s="620"/>
      <c r="H1794" s="621"/>
      <c r="I1794" s="621"/>
      <c r="J1794" s="621"/>
      <c r="K1794" s="621"/>
      <c r="L1794" s="618"/>
    </row>
    <row r="1795" spans="1:12">
      <c r="A1795" s="620"/>
      <c r="B1795" s="621"/>
      <c r="C1795" s="621"/>
      <c r="D1795" s="621"/>
      <c r="E1795" s="621"/>
      <c r="F1795" s="618"/>
      <c r="G1795" s="620"/>
      <c r="H1795" s="621"/>
      <c r="I1795" s="621"/>
      <c r="J1795" s="621"/>
      <c r="K1795" s="621"/>
      <c r="L1795" s="618"/>
    </row>
    <row r="1796" spans="1:12">
      <c r="A1796" s="620"/>
      <c r="B1796" s="621"/>
      <c r="C1796" s="621"/>
      <c r="D1796" s="621"/>
      <c r="E1796" s="621"/>
      <c r="F1796" s="618"/>
      <c r="G1796" s="620"/>
      <c r="H1796" s="621"/>
      <c r="I1796" s="621"/>
      <c r="J1796" s="621"/>
      <c r="K1796" s="621"/>
      <c r="L1796" s="618"/>
    </row>
  </sheetData>
  <autoFilter ref="A12:F1601">
    <filterColumn colId="3" showButton="0"/>
    <filterColumn colId="4" showButton="0"/>
  </autoFilter>
  <mergeCells count="136">
    <mergeCell ref="H540:L540"/>
    <mergeCell ref="H551:L551"/>
    <mergeCell ref="B1027:F1027"/>
    <mergeCell ref="B1035:F1035"/>
    <mergeCell ref="B1557:F1557"/>
    <mergeCell ref="B1346:F1346"/>
    <mergeCell ref="B1390:F1390"/>
    <mergeCell ref="B1401:F1401"/>
    <mergeCell ref="B1435:F1435"/>
    <mergeCell ref="B1443:F1443"/>
    <mergeCell ref="B1454:F1454"/>
    <mergeCell ref="B652:F652"/>
    <mergeCell ref="B660:F660"/>
    <mergeCell ref="B829:F829"/>
    <mergeCell ref="B1021:F1021"/>
    <mergeCell ref="H660:L660"/>
    <mergeCell ref="H669:L669"/>
    <mergeCell ref="H739:L739"/>
    <mergeCell ref="H769:L769"/>
    <mergeCell ref="H808:L808"/>
    <mergeCell ref="H817:L817"/>
    <mergeCell ref="H460:L460"/>
    <mergeCell ref="B311:F311"/>
    <mergeCell ref="B385:F385"/>
    <mergeCell ref="B429:F429"/>
    <mergeCell ref="B460:F460"/>
    <mergeCell ref="B89:F89"/>
    <mergeCell ref="B116:F116"/>
    <mergeCell ref="B157:F157"/>
    <mergeCell ref="B161:F161"/>
    <mergeCell ref="B166:F166"/>
    <mergeCell ref="H507:L507"/>
    <mergeCell ref="H525:L525"/>
    <mergeCell ref="H1401:L1401"/>
    <mergeCell ref="H1435:L1435"/>
    <mergeCell ref="H563:L563"/>
    <mergeCell ref="H583:L583"/>
    <mergeCell ref="H637:L637"/>
    <mergeCell ref="H652:L652"/>
    <mergeCell ref="B466:F466"/>
    <mergeCell ref="B507:F507"/>
    <mergeCell ref="B525:F525"/>
    <mergeCell ref="B540:F540"/>
    <mergeCell ref="B551:F551"/>
    <mergeCell ref="B563:F563"/>
    <mergeCell ref="B583:F583"/>
    <mergeCell ref="B637:F637"/>
    <mergeCell ref="H1035:L1035"/>
    <mergeCell ref="H1346:L1346"/>
    <mergeCell ref="B669:F669"/>
    <mergeCell ref="B739:F739"/>
    <mergeCell ref="B769:F769"/>
    <mergeCell ref="B808:F808"/>
    <mergeCell ref="B817:F817"/>
    <mergeCell ref="B823:F823"/>
    <mergeCell ref="G1601:L1601"/>
    <mergeCell ref="I1602:L1602"/>
    <mergeCell ref="I1603:L1603"/>
    <mergeCell ref="I1606:L1606"/>
    <mergeCell ref="I1608:L1608"/>
    <mergeCell ref="I1609:L1609"/>
    <mergeCell ref="G1610:H1610"/>
    <mergeCell ref="G1611:H1611"/>
    <mergeCell ref="G1612:H1612"/>
    <mergeCell ref="G8:L8"/>
    <mergeCell ref="G9:L9"/>
    <mergeCell ref="G10:L10"/>
    <mergeCell ref="A10:F10"/>
    <mergeCell ref="A8:F8"/>
    <mergeCell ref="G11:G13"/>
    <mergeCell ref="H11:H13"/>
    <mergeCell ref="I11:I13"/>
    <mergeCell ref="H466:L466"/>
    <mergeCell ref="H116:L116"/>
    <mergeCell ref="H157:L157"/>
    <mergeCell ref="H161:L161"/>
    <mergeCell ref="H166:L166"/>
    <mergeCell ref="H218:L218"/>
    <mergeCell ref="H311:L311"/>
    <mergeCell ref="B218:F218"/>
    <mergeCell ref="A11:A13"/>
    <mergeCell ref="B11:B13"/>
    <mergeCell ref="C11:C13"/>
    <mergeCell ref="D11:F11"/>
    <mergeCell ref="D12:D13"/>
    <mergeCell ref="E12:F12"/>
    <mergeCell ref="H385:L385"/>
    <mergeCell ref="H429:L429"/>
    <mergeCell ref="G1:L1"/>
    <mergeCell ref="G2:L2"/>
    <mergeCell ref="G4:L4"/>
    <mergeCell ref="G6:L6"/>
    <mergeCell ref="G7:L7"/>
    <mergeCell ref="A1599:F1599"/>
    <mergeCell ref="J11:L11"/>
    <mergeCell ref="J12:J13"/>
    <mergeCell ref="K12:L12"/>
    <mergeCell ref="H89:L89"/>
    <mergeCell ref="A9:F9"/>
    <mergeCell ref="A1:F1"/>
    <mergeCell ref="A2:F2"/>
    <mergeCell ref="A4:F4"/>
    <mergeCell ref="A6:F6"/>
    <mergeCell ref="A7:F7"/>
    <mergeCell ref="H1443:L1443"/>
    <mergeCell ref="H1454:L1454"/>
    <mergeCell ref="H1557:L1557"/>
    <mergeCell ref="H823:L823"/>
    <mergeCell ref="H829:L829"/>
    <mergeCell ref="H1021:L1021"/>
    <mergeCell ref="H1027:L1027"/>
    <mergeCell ref="H1390:L1390"/>
    <mergeCell ref="A1617:B1617"/>
    <mergeCell ref="A1612:B1612"/>
    <mergeCell ref="A1613:B1613"/>
    <mergeCell ref="A1614:B1614"/>
    <mergeCell ref="A1615:B1615"/>
    <mergeCell ref="G1599:L1599"/>
    <mergeCell ref="I1604:L1604"/>
    <mergeCell ref="A1600:F1600"/>
    <mergeCell ref="A1601:F1601"/>
    <mergeCell ref="G1617:H1617"/>
    <mergeCell ref="A1610:B1610"/>
    <mergeCell ref="A1611:B1611"/>
    <mergeCell ref="C1608:F1608"/>
    <mergeCell ref="C1609:F1609"/>
    <mergeCell ref="A1616:B1616"/>
    <mergeCell ref="C1602:F1602"/>
    <mergeCell ref="C1603:F1603"/>
    <mergeCell ref="C1604:F1604"/>
    <mergeCell ref="C1606:F1606"/>
    <mergeCell ref="G1613:H1613"/>
    <mergeCell ref="G1614:H1614"/>
    <mergeCell ref="G1615:H1615"/>
    <mergeCell ref="G1616:H1616"/>
    <mergeCell ref="G1600:L1600"/>
  </mergeCells>
  <printOptions horizontalCentered="1"/>
  <pageMargins left="0.55000000000000004" right="0.24" top="0.45" bottom="0.47" header="0.24" footer="0.27"/>
  <pageSetup paperSize="9" scale="70" orientation="portrait" blackAndWhite="1" r:id="rId1"/>
  <headerFooter>
    <oddFooter>&amp;R&amp;P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showZeros="0" view="pageBreakPreview" zoomScale="85" zoomScaleNormal="100" zoomScaleSheetLayoutView="85" workbookViewId="0">
      <selection activeCell="A18" sqref="A18"/>
    </sheetView>
  </sheetViews>
  <sheetFormatPr defaultColWidth="9.140625" defaultRowHeight="12.75"/>
  <cols>
    <col min="1" max="1" width="1.7109375" customWidth="1"/>
    <col min="2" max="2" width="4.28515625" customWidth="1"/>
    <col min="3" max="3" width="6.28515625" customWidth="1"/>
    <col min="4" max="4" width="0" hidden="1" customWidth="1"/>
    <col min="5" max="5" width="11.28515625" bestFit="1" customWidth="1"/>
    <col min="6" max="6" width="53.42578125" customWidth="1"/>
    <col min="7" max="7" width="8.28515625" customWidth="1"/>
    <col min="8" max="8" width="8.85546875" customWidth="1"/>
    <col min="9" max="11" width="14" customWidth="1"/>
    <col min="12" max="16" width="16.42578125" customWidth="1"/>
    <col min="17" max="17" width="18" customWidth="1"/>
    <col min="18" max="18" width="7.140625" customWidth="1"/>
    <col min="19" max="19" width="0" hidden="1" customWidth="1"/>
    <col min="20" max="20" width="12.85546875" bestFit="1" customWidth="1"/>
    <col min="21" max="21" width="12.7109375" bestFit="1" customWidth="1"/>
    <col min="23" max="23" width="13.85546875" bestFit="1" customWidth="1"/>
  </cols>
  <sheetData>
    <row r="1" spans="1:19" s="87" customFormat="1" ht="25.5" customHeight="1">
      <c r="A1" s="308" t="e">
        <f>#REF!</f>
        <v>#REF!</v>
      </c>
      <c r="B1" s="220"/>
      <c r="C1" s="221"/>
      <c r="D1" s="221"/>
      <c r="E1" s="220"/>
      <c r="F1" s="113"/>
      <c r="G1" s="220"/>
      <c r="H1" s="350"/>
      <c r="I1" s="115"/>
      <c r="J1" s="115"/>
      <c r="K1" s="115"/>
      <c r="L1" s="115"/>
      <c r="M1" s="115"/>
      <c r="N1" s="115"/>
      <c r="O1" s="115"/>
      <c r="P1" s="115"/>
      <c r="Q1" s="805"/>
      <c r="R1" s="193"/>
      <c r="S1" s="193"/>
    </row>
    <row r="2" spans="1:19" s="87" customFormat="1" ht="20.25" customHeight="1">
      <c r="A2" s="309" t="e">
        <f>#REF!</f>
        <v>#REF!</v>
      </c>
      <c r="B2" s="220"/>
      <c r="C2" s="221"/>
      <c r="D2" s="221"/>
      <c r="E2" s="220"/>
      <c r="F2" s="113"/>
      <c r="G2" s="220"/>
      <c r="H2" s="350"/>
      <c r="I2" s="115"/>
      <c r="J2" s="115"/>
      <c r="K2" s="115"/>
      <c r="L2" s="115"/>
      <c r="M2" s="115"/>
      <c r="N2" s="115"/>
      <c r="O2" s="115"/>
      <c r="P2" s="115"/>
      <c r="Q2" s="805"/>
      <c r="R2" s="193"/>
      <c r="S2" s="193"/>
    </row>
    <row r="3" spans="1:19" s="87" customFormat="1" ht="28.5" customHeight="1">
      <c r="A3" s="223" t="s">
        <v>3596</v>
      </c>
      <c r="B3" s="220"/>
      <c r="C3" s="221"/>
      <c r="D3" s="221"/>
      <c r="E3" s="220"/>
      <c r="F3" s="113"/>
      <c r="G3" s="220"/>
      <c r="H3" s="350"/>
      <c r="I3" s="115"/>
      <c r="J3" s="115"/>
      <c r="K3" s="115"/>
      <c r="L3" s="115"/>
      <c r="M3" s="115"/>
      <c r="N3" s="115"/>
      <c r="O3" s="115"/>
      <c r="P3" s="115"/>
      <c r="Q3" s="805"/>
      <c r="R3" s="193"/>
      <c r="S3" s="193"/>
    </row>
    <row r="4" spans="1:19" s="87" customFormat="1" ht="13.5">
      <c r="A4" s="220"/>
      <c r="B4" s="220"/>
      <c r="C4" s="221"/>
      <c r="D4" s="221"/>
      <c r="E4" s="220"/>
      <c r="F4" s="352"/>
      <c r="G4" s="220"/>
      <c r="H4" s="350"/>
      <c r="I4" s="115"/>
      <c r="J4" s="115"/>
      <c r="K4" s="115"/>
      <c r="L4" s="115"/>
      <c r="M4" s="115"/>
      <c r="N4" s="763"/>
      <c r="O4" s="677"/>
      <c r="P4" s="763" t="s">
        <v>304</v>
      </c>
      <c r="Q4" s="805"/>
      <c r="R4" s="193"/>
      <c r="S4" s="193"/>
    </row>
    <row r="5" spans="1:19" s="87" customFormat="1" ht="13.5">
      <c r="A5" s="220"/>
      <c r="B5" s="220"/>
      <c r="C5" s="221"/>
      <c r="D5" s="221"/>
      <c r="E5" s="220"/>
      <c r="F5" s="352"/>
      <c r="G5" s="220"/>
      <c r="H5" s="350"/>
      <c r="I5" s="115"/>
      <c r="J5" s="115"/>
      <c r="K5" s="115"/>
      <c r="L5" s="115"/>
      <c r="M5" s="115"/>
      <c r="N5" s="225"/>
      <c r="O5" s="225"/>
      <c r="P5" s="225"/>
      <c r="Q5" s="805"/>
      <c r="R5" s="193"/>
      <c r="S5" s="193"/>
    </row>
    <row r="6" spans="1:19" s="231" customFormat="1" ht="21.75" customHeight="1">
      <c r="A6" s="226" t="s">
        <v>524</v>
      </c>
      <c r="B6" s="353"/>
      <c r="C6" s="227" t="s">
        <v>266</v>
      </c>
      <c r="D6" s="227"/>
      <c r="E6" s="228" t="s">
        <v>533</v>
      </c>
      <c r="F6" s="229" t="s">
        <v>534</v>
      </c>
      <c r="G6" s="228" t="s">
        <v>267</v>
      </c>
      <c r="H6" s="354" t="s">
        <v>535</v>
      </c>
      <c r="I6" s="230" t="s">
        <v>536</v>
      </c>
      <c r="J6" s="230"/>
      <c r="K6" s="230"/>
      <c r="L6" s="230" t="s">
        <v>537</v>
      </c>
      <c r="M6" s="230"/>
      <c r="N6" s="230"/>
      <c r="O6" s="230" t="s">
        <v>1998</v>
      </c>
      <c r="P6" s="230" t="s">
        <v>168</v>
      </c>
      <c r="Q6" s="355"/>
      <c r="R6" s="395"/>
      <c r="S6" s="395"/>
    </row>
    <row r="7" spans="1:19" s="231" customFormat="1" ht="21.75" customHeight="1">
      <c r="A7" s="232"/>
      <c r="B7" s="233"/>
      <c r="C7" s="234"/>
      <c r="D7" s="234"/>
      <c r="E7" s="235"/>
      <c r="F7" s="236"/>
      <c r="G7" s="235" t="s">
        <v>268</v>
      </c>
      <c r="H7" s="356" t="s">
        <v>538</v>
      </c>
      <c r="I7" s="237" t="s">
        <v>539</v>
      </c>
      <c r="J7" s="237" t="s">
        <v>540</v>
      </c>
      <c r="K7" s="237" t="s">
        <v>541</v>
      </c>
      <c r="L7" s="237" t="s">
        <v>539</v>
      </c>
      <c r="M7" s="237" t="s">
        <v>540</v>
      </c>
      <c r="N7" s="237" t="s">
        <v>541</v>
      </c>
      <c r="O7" s="237"/>
      <c r="P7" s="237"/>
      <c r="Q7" s="355"/>
      <c r="R7" s="395"/>
      <c r="S7" s="395"/>
    </row>
    <row r="8" spans="1:19" s="87" customFormat="1" ht="21.75" customHeight="1">
      <c r="A8" s="316"/>
      <c r="B8" s="317">
        <f>IF(H8&gt;0,MAX($B7:$B$7)+1,"")</f>
        <v>1</v>
      </c>
      <c r="C8" s="239">
        <f>'8.Dgia'!$B$2867</f>
        <v>338</v>
      </c>
      <c r="D8" s="239">
        <f>VLOOKUP(C8,'8.Dgia'!B:M,2,FALSE)</f>
        <v>1776</v>
      </c>
      <c r="E8" s="240" t="str">
        <f>VLOOKUP(C8,'8.Dgia'!B:M,3,FALSE)</f>
        <v>AD.32441vd</v>
      </c>
      <c r="F8" s="244" t="str">
        <f>VLOOKUP(C8,'8.Dgia'!B:N,4,FALSE)</f>
        <v>Biển báo chữ nhật 2x1m, tạm tính KHVL=0.5</v>
      </c>
      <c r="G8" s="240" t="str">
        <f>VLOOKUP(C8,'8.Dgia'!B:M,5,FALSE)</f>
        <v>Rectangular traffic sign 2x1m, amorM=0.5</v>
      </c>
      <c r="H8" s="360">
        <v>12</v>
      </c>
      <c r="I8" s="241">
        <f>VLOOKUP(C8,'8.Dgia'!B:M,9,FALSE)</f>
        <v>0</v>
      </c>
      <c r="J8" s="241">
        <f>VLOOKUP(C8,'8.Dgia'!B:M,10,FALSE)</f>
        <v>1000000</v>
      </c>
      <c r="K8" s="241">
        <f>VLOOKUP(C8,'8.Dgia'!B:M,11,FALSE)</f>
        <v>97318.92</v>
      </c>
      <c r="L8" s="241">
        <f t="shared" ref="L8:N9" si="0">$H8*I8</f>
        <v>0</v>
      </c>
      <c r="M8" s="241">
        <f t="shared" si="0"/>
        <v>12000000</v>
      </c>
      <c r="N8" s="241">
        <f t="shared" si="0"/>
        <v>1167827.04</v>
      </c>
      <c r="O8" s="241">
        <f t="shared" ref="O8:O20" si="1">(I8+J8*NCT*HSNC+K8)*TT*CC*TL*LT*VAT</f>
        <v>1473011.2154197127</v>
      </c>
      <c r="P8" s="241">
        <f>H8*O8</f>
        <v>17676134.585036553</v>
      </c>
      <c r="Q8" s="351">
        <f>O8*H8</f>
        <v>17676134.585036553</v>
      </c>
      <c r="R8" s="193"/>
      <c r="S8" s="193"/>
    </row>
    <row r="9" spans="1:19" s="87" customFormat="1" ht="21.75" customHeight="1">
      <c r="A9" s="243"/>
      <c r="B9" s="317">
        <f>IF(H9&gt;0,MAX($B$8:$B8)+1,"")</f>
        <v>2</v>
      </c>
      <c r="C9" s="239">
        <f>'8.Dgia'!$B$2873</f>
        <v>339</v>
      </c>
      <c r="D9" s="239">
        <f>VLOOKUP(C9,'8.Dgia'!B:M,2,FALSE)</f>
        <v>1776</v>
      </c>
      <c r="E9" s="240" t="str">
        <f>VLOOKUP(C9,'8.Dgia'!B:M,3,FALSE)</f>
        <v>AD.32441vd</v>
      </c>
      <c r="F9" s="244" t="str">
        <f>VLOOKUP(C9,'8.Dgia'!B:N,4,FALSE)</f>
        <v>Biển báo chữ nhật 1.2x0.25m, tạm tính KHVL=0.5</v>
      </c>
      <c r="G9" s="240" t="str">
        <f>VLOOKUP(C9,'8.Dgia'!B:M,5,FALSE)</f>
        <v>Rectangular traffic sign 1.2x0.25m, amorM=0.5</v>
      </c>
      <c r="H9" s="360">
        <v>4</v>
      </c>
      <c r="I9" s="241">
        <f>VLOOKUP(C9,'8.Dgia'!B:M,9,FALSE)</f>
        <v>0</v>
      </c>
      <c r="J9" s="241">
        <f>VLOOKUP(C9,'8.Dgia'!B:M,10,FALSE)</f>
        <v>150000</v>
      </c>
      <c r="K9" s="241">
        <f>VLOOKUP(C9,'8.Dgia'!B:M,11,FALSE)</f>
        <v>97318.92</v>
      </c>
      <c r="L9" s="241">
        <f t="shared" si="0"/>
        <v>0</v>
      </c>
      <c r="M9" s="241">
        <f t="shared" si="0"/>
        <v>600000</v>
      </c>
      <c r="N9" s="241">
        <f t="shared" si="0"/>
        <v>389275.68</v>
      </c>
      <c r="O9" s="241">
        <f t="shared" si="1"/>
        <v>326055.7045415027</v>
      </c>
      <c r="P9" s="241">
        <f>H9*O9</f>
        <v>1304222.8181660108</v>
      </c>
      <c r="Q9" s="351">
        <f>O9*H9</f>
        <v>1304222.8181660108</v>
      </c>
      <c r="R9" s="193"/>
      <c r="S9" s="193"/>
    </row>
    <row r="10" spans="1:19" s="87" customFormat="1" ht="21.75" customHeight="1">
      <c r="A10" s="243"/>
      <c r="B10" s="317"/>
      <c r="C10" s="239"/>
      <c r="D10" s="239"/>
      <c r="E10" s="240"/>
      <c r="F10" s="363" t="s">
        <v>2028</v>
      </c>
      <c r="G10" s="240"/>
      <c r="H10" s="360"/>
      <c r="I10" s="241"/>
      <c r="J10" s="241"/>
      <c r="K10" s="241"/>
      <c r="L10" s="241"/>
      <c r="M10" s="241"/>
      <c r="N10" s="241"/>
      <c r="O10" s="241">
        <f t="shared" si="1"/>
        <v>0</v>
      </c>
      <c r="P10" s="241"/>
      <c r="Q10" s="351"/>
      <c r="R10" s="193"/>
      <c r="S10" s="193"/>
    </row>
    <row r="11" spans="1:19" s="87" customFormat="1" ht="21.75" customHeight="1">
      <c r="A11" s="243"/>
      <c r="B11" s="317">
        <f>IF(H11&gt;0,MAX($B$8:$B9)+1,"")</f>
        <v>3</v>
      </c>
      <c r="C11" s="239">
        <f>+'8.Dgia'!$B$3041</f>
        <v>364</v>
      </c>
      <c r="D11" s="239">
        <f>VLOOKUP(C11,'8.Dgia'!B:M,2,FALSE)</f>
        <v>1776</v>
      </c>
      <c r="E11" s="240" t="str">
        <f>VLOOKUP(C11,'8.Dgia'!B:M,3,FALSE)</f>
        <v>AF.11210</v>
      </c>
      <c r="F11" s="244" t="str">
        <f>VLOOKUP(C11,'8.Dgia'!B:N,4,FALSE)</f>
        <v>Bê tông C15 móng</v>
      </c>
      <c r="G11" s="240" t="str">
        <f>VLOOKUP(C11,'8.Dgia'!B:M,5,FALSE)</f>
        <v>Concrete C15 of foundation</v>
      </c>
      <c r="H11" s="360">
        <v>3.28</v>
      </c>
      <c r="I11" s="241">
        <f>VLOOKUP(C11,'8.Dgia'!B:M,9,FALSE)</f>
        <v>0</v>
      </c>
      <c r="J11" s="241">
        <f>VLOOKUP(C11,'8.Dgia'!B:M,10,FALSE)</f>
        <v>848610.91186656663</v>
      </c>
      <c r="K11" s="241">
        <f>VLOOKUP(C11,'8.Dgia'!B:M,11,FALSE)</f>
        <v>306347.07999999996</v>
      </c>
      <c r="L11" s="241">
        <f t="shared" ref="L11:L18" si="2">$H11*I11</f>
        <v>0</v>
      </c>
      <c r="M11" s="241">
        <f t="shared" ref="M11:M18" si="3">$H11*J11</f>
        <v>2783443.7909223386</v>
      </c>
      <c r="N11" s="241">
        <f t="shared" ref="N11:N18" si="4">$H11*K11</f>
        <v>1004818.4223999998</v>
      </c>
      <c r="O11" s="241">
        <f t="shared" si="1"/>
        <v>1534320.6040162926</v>
      </c>
      <c r="P11" s="241">
        <f t="shared" ref="P11:P18" si="5">H11*O11</f>
        <v>5032571.5811734395</v>
      </c>
      <c r="Q11" s="351">
        <f t="shared" ref="Q11:Q18" si="6">O11*H11</f>
        <v>5032571.5811734395</v>
      </c>
      <c r="R11" s="193"/>
      <c r="S11" s="193"/>
    </row>
    <row r="12" spans="1:19" s="87" customFormat="1" ht="21.75" customHeight="1">
      <c r="A12" s="243"/>
      <c r="B12" s="317">
        <f>IF(H12&gt;0,MAX($B$8:$B11)+1,"")</f>
        <v>4</v>
      </c>
      <c r="C12" s="239">
        <f>+'8.Dgia'!$B$3049</f>
        <v>365</v>
      </c>
      <c r="D12" s="239">
        <f>VLOOKUP(C12,'8.Dgia'!B:M,2,FALSE)</f>
        <v>1776</v>
      </c>
      <c r="E12" s="240" t="str">
        <f>VLOOKUP(C12,'8.Dgia'!B:M,3,FALSE)</f>
        <v>AF.61110</v>
      </c>
      <c r="F12" s="244" t="str">
        <f>VLOOKUP(C12,'8.Dgia'!B:N,4,FALSE)</f>
        <v>Cốt thép D6 cọc tiêu</v>
      </c>
      <c r="G12" s="240" t="str">
        <f>VLOOKUP(C12,'8.Dgia'!B:M,5,FALSE)</f>
        <v>Reinforcement D6 of pole</v>
      </c>
      <c r="H12" s="360">
        <v>0.1</v>
      </c>
      <c r="I12" s="241">
        <f>VLOOKUP(C12,'8.Dgia'!B:M,9,FALSE)</f>
        <v>0</v>
      </c>
      <c r="J12" s="241">
        <f>VLOOKUP(C12,'8.Dgia'!B:M,10,FALSE)</f>
        <v>17205048.9978</v>
      </c>
      <c r="K12" s="241">
        <f>VLOOKUP(C12,'8.Dgia'!B:M,11,FALSE)</f>
        <v>2296397.84</v>
      </c>
      <c r="L12" s="241">
        <f t="shared" si="2"/>
        <v>0</v>
      </c>
      <c r="M12" s="241">
        <f t="shared" si="3"/>
        <v>1720504.8997800001</v>
      </c>
      <c r="N12" s="241">
        <f t="shared" si="4"/>
        <v>229639.78399999999</v>
      </c>
      <c r="O12" s="241">
        <f t="shared" si="1"/>
        <v>26133559.674328625</v>
      </c>
      <c r="P12" s="241">
        <f t="shared" si="5"/>
        <v>2613355.9674328626</v>
      </c>
      <c r="Q12" s="351">
        <f t="shared" si="6"/>
        <v>2613355.9674328626</v>
      </c>
      <c r="R12" s="193"/>
      <c r="S12" s="193"/>
    </row>
    <row r="13" spans="1:19" s="87" customFormat="1" ht="21.75" customHeight="1">
      <c r="A13" s="243"/>
      <c r="B13" s="317">
        <f>IF(H13&gt;0,MAX($B$8:$B12)+1,"")</f>
        <v>5</v>
      </c>
      <c r="C13" s="239">
        <f>+'8.Dgia'!$B$3056</f>
        <v>366</v>
      </c>
      <c r="D13" s="239">
        <f>VLOOKUP(C13,'8.Dgia'!B:M,2,FALSE)</f>
        <v>1776</v>
      </c>
      <c r="E13" s="240" t="str">
        <f>VLOOKUP(C13,'8.Dgia'!B:M,3,FALSE)</f>
        <v>AK.91211</v>
      </c>
      <c r="F13" s="244" t="str">
        <f>VLOOKUP(C13,'8.Dgia'!B:N,4,FALSE)</f>
        <v>Sơn cọc tiêu</v>
      </c>
      <c r="G13" s="240" t="str">
        <f>VLOOKUP(C13,'8.Dgia'!B:M,5,FALSE)</f>
        <v>Marking post</v>
      </c>
      <c r="H13" s="360">
        <f>4.18+14.4</f>
        <v>18.579999999999998</v>
      </c>
      <c r="I13" s="241">
        <f>VLOOKUP(C13,'8.Dgia'!B:M,9,FALSE)</f>
        <v>0</v>
      </c>
      <c r="J13" s="241">
        <f>VLOOKUP(C13,'8.Dgia'!B:M,10,FALSE)</f>
        <v>51272</v>
      </c>
      <c r="K13" s="241">
        <f>VLOOKUP(C13,'8.Dgia'!B:M,11,FALSE)</f>
        <v>28460.510000000002</v>
      </c>
      <c r="L13" s="241">
        <f t="shared" si="2"/>
        <v>0</v>
      </c>
      <c r="M13" s="241">
        <f t="shared" si="3"/>
        <v>952633.75999999989</v>
      </c>
      <c r="N13" s="241">
        <f t="shared" si="4"/>
        <v>528796.27579999994</v>
      </c>
      <c r="O13" s="241">
        <f t="shared" si="1"/>
        <v>105345.80405869542</v>
      </c>
      <c r="P13" s="241">
        <f t="shared" si="5"/>
        <v>1957325.0394105606</v>
      </c>
      <c r="Q13" s="351">
        <f t="shared" si="6"/>
        <v>1957325.0394105606</v>
      </c>
      <c r="R13" s="193"/>
      <c r="S13" s="193"/>
    </row>
    <row r="14" spans="1:19" s="87" customFormat="1" ht="21.75" customHeight="1">
      <c r="A14" s="243"/>
      <c r="B14" s="317"/>
      <c r="C14" s="239"/>
      <c r="D14" s="239"/>
      <c r="E14" s="240"/>
      <c r="F14" s="360" t="s">
        <v>3568</v>
      </c>
      <c r="G14" s="240"/>
      <c r="H14" s="360"/>
      <c r="I14" s="241"/>
      <c r="J14" s="241"/>
      <c r="K14" s="241"/>
      <c r="L14" s="241"/>
      <c r="M14" s="241"/>
      <c r="N14" s="241"/>
      <c r="O14" s="241">
        <f t="shared" si="1"/>
        <v>0</v>
      </c>
      <c r="P14" s="241"/>
      <c r="Q14" s="351"/>
      <c r="R14" s="193"/>
      <c r="S14" s="193"/>
    </row>
    <row r="15" spans="1:19" s="87" customFormat="1" ht="21.75" customHeight="1">
      <c r="A15" s="243"/>
      <c r="B15" s="317">
        <f>IF(H15&gt;0,MAX($B$8:$B13)+1,"")</f>
        <v>6</v>
      </c>
      <c r="C15" s="239">
        <f>'8.Dgia'!$B$2388</f>
        <v>280</v>
      </c>
      <c r="D15" s="239">
        <f>VLOOKUP(C15,'8.Dgia'!B:M,2,FALSE)</f>
        <v>0</v>
      </c>
      <c r="E15" s="240" t="str">
        <f>VLOOKUP(C15,'8.Dgia'!B:M,3,FALSE)</f>
        <v>Tạm tính</v>
      </c>
      <c r="F15" s="244" t="str">
        <f>VLOOKUP(C15,'8.Dgia'!B:N,4,FALSE)</f>
        <v>Đèn báo hiệu buổi tối</v>
      </c>
      <c r="G15" s="240" t="str">
        <f>VLOOKUP(C15,'8.Dgia'!B:M,5,FALSE)</f>
        <v>Signal light in night</v>
      </c>
      <c r="H15" s="360">
        <v>4</v>
      </c>
      <c r="I15" s="241">
        <f>VLOOKUP(C15,'8.Dgia'!B:M,9,FALSE)</f>
        <v>0</v>
      </c>
      <c r="J15" s="241">
        <f>VLOOKUP(C15,'8.Dgia'!B:M,10,FALSE)</f>
        <v>200000</v>
      </c>
      <c r="K15" s="241">
        <f>VLOOKUP(C15,'8.Dgia'!B:M,11,FALSE)</f>
        <v>0</v>
      </c>
      <c r="L15" s="241">
        <f t="shared" si="2"/>
        <v>0</v>
      </c>
      <c r="M15" s="241">
        <f t="shared" si="3"/>
        <v>800000</v>
      </c>
      <c r="N15" s="241">
        <f t="shared" si="4"/>
        <v>0</v>
      </c>
      <c r="O15" s="241">
        <f t="shared" si="1"/>
        <v>269871.88491252001</v>
      </c>
      <c r="P15" s="241">
        <f t="shared" si="5"/>
        <v>1079487.53965008</v>
      </c>
      <c r="Q15" s="351">
        <f t="shared" si="6"/>
        <v>1079487.53965008</v>
      </c>
      <c r="R15" s="193"/>
      <c r="S15" s="193"/>
    </row>
    <row r="16" spans="1:19" s="87" customFormat="1" ht="21.75" customHeight="1">
      <c r="A16" s="243"/>
      <c r="B16" s="317"/>
      <c r="C16" s="239"/>
      <c r="D16" s="239"/>
      <c r="E16" s="240"/>
      <c r="F16" s="244" t="s">
        <v>3656</v>
      </c>
      <c r="G16" s="240" t="s">
        <v>552</v>
      </c>
      <c r="H16" s="360">
        <f>2*2*2*30</f>
        <v>240</v>
      </c>
      <c r="I16" s="241"/>
      <c r="J16" s="241">
        <f>'16.NC'!F11</f>
        <v>173203</v>
      </c>
      <c r="K16" s="241"/>
      <c r="L16" s="241">
        <f>$H16*I16</f>
        <v>0</v>
      </c>
      <c r="M16" s="241">
        <f>$H16*J16</f>
        <v>41568720</v>
      </c>
      <c r="N16" s="241">
        <f>$H16*K16</f>
        <v>0</v>
      </c>
      <c r="O16" s="241">
        <f>(I16+J16*NCT*HSNC+K16)*TT*CC*TL*LT*VAT</f>
        <v>233713.10041251607</v>
      </c>
      <c r="P16" s="241">
        <f>H16*O16</f>
        <v>56091144.099003859</v>
      </c>
      <c r="Q16" s="351"/>
      <c r="R16" s="193"/>
      <c r="S16" s="193"/>
    </row>
    <row r="17" spans="1:19" s="87" customFormat="1" ht="21.75" customHeight="1">
      <c r="A17" s="243"/>
      <c r="B17" s="317"/>
      <c r="C17" s="239"/>
      <c r="D17" s="239"/>
      <c r="E17" s="240"/>
      <c r="F17" s="244" t="s">
        <v>3655</v>
      </c>
      <c r="G17" s="240"/>
      <c r="H17" s="360"/>
      <c r="I17" s="241"/>
      <c r="J17" s="241"/>
      <c r="K17" s="241"/>
      <c r="L17" s="241"/>
      <c r="M17" s="241"/>
      <c r="N17" s="241"/>
      <c r="O17" s="241"/>
      <c r="P17" s="241"/>
      <c r="Q17" s="351"/>
      <c r="R17" s="193"/>
      <c r="S17" s="193"/>
    </row>
    <row r="18" spans="1:19" s="87" customFormat="1" ht="21.75" customHeight="1">
      <c r="A18" s="243"/>
      <c r="B18" s="317">
        <f>IF(H18&gt;0,MAX($B$8:$B15)+1,"")</f>
        <v>7</v>
      </c>
      <c r="C18" s="239" t="e">
        <f>#REF!</f>
        <v>#REF!</v>
      </c>
      <c r="D18" s="239" t="e">
        <f>VLOOKUP(C18,'8.Dgia'!B:M,2,FALSE)</f>
        <v>#REF!</v>
      </c>
      <c r="E18" s="240" t="e">
        <f>VLOOKUP(C18,'8.Dgia'!B:M,3,FALSE)</f>
        <v>#REF!</v>
      </c>
      <c r="F18" s="244" t="s">
        <v>3571</v>
      </c>
      <c r="G18" s="240" t="e">
        <f>VLOOKUP(C18,'8.Dgia'!B:M,5,FALSE)</f>
        <v>#REF!</v>
      </c>
      <c r="H18" s="360">
        <f>171.2/100</f>
        <v>1.712</v>
      </c>
      <c r="I18" s="241" t="e">
        <f>VLOOKUP(C18,'8.Dgia'!B:M,9,FALSE)</f>
        <v>#REF!</v>
      </c>
      <c r="J18" s="241" t="e">
        <f>VLOOKUP(C18,'8.Dgia'!B:M,10,FALSE)</f>
        <v>#REF!</v>
      </c>
      <c r="K18" s="241" t="e">
        <f>VLOOKUP(C18,'8.Dgia'!B:M,11,FALSE)</f>
        <v>#REF!</v>
      </c>
      <c r="L18" s="241" t="e">
        <f t="shared" si="2"/>
        <v>#REF!</v>
      </c>
      <c r="M18" s="241" t="e">
        <f t="shared" si="3"/>
        <v>#REF!</v>
      </c>
      <c r="N18" s="241" t="e">
        <f t="shared" si="4"/>
        <v>#REF!</v>
      </c>
      <c r="O18" s="241" t="e">
        <f t="shared" si="1"/>
        <v>#REF!</v>
      </c>
      <c r="P18" s="241" t="e">
        <f t="shared" si="5"/>
        <v>#REF!</v>
      </c>
      <c r="Q18" s="351" t="e">
        <f t="shared" si="6"/>
        <v>#REF!</v>
      </c>
      <c r="R18" s="193"/>
      <c r="S18" s="193"/>
    </row>
    <row r="19" spans="1:19" s="87" customFormat="1" ht="21.75" customHeight="1">
      <c r="A19" s="243"/>
      <c r="B19" s="317">
        <f>IF(H19&gt;0,MAX($B$8:$B18)+1,"")</f>
        <v>8</v>
      </c>
      <c r="C19" s="239">
        <f>'8.Dgia'!$B$2814</f>
        <v>329</v>
      </c>
      <c r="D19" s="239">
        <f>VLOOKUP(C19,'8.Dgia'!B:M,2,FALSE)</f>
        <v>1776</v>
      </c>
      <c r="E19" s="240" t="str">
        <f>VLOOKUP(C19,'8.Dgia'!B:M,3,FALSE)</f>
        <v>AB.31143</v>
      </c>
      <c r="F19" s="244" t="s">
        <v>3646</v>
      </c>
      <c r="G19" s="240" t="str">
        <f>VLOOKUP(C19,'8.Dgia'!B:M,5,FALSE)</f>
        <v>Excavating old pavement</v>
      </c>
      <c r="H19" s="360">
        <f>H18</f>
        <v>1.712</v>
      </c>
      <c r="I19" s="241">
        <f>VLOOKUP(C19,'8.Dgia'!B:M,9,FALSE)</f>
        <v>0</v>
      </c>
      <c r="J19" s="241">
        <f>VLOOKUP(C19,'8.Dgia'!B:M,10,FALSE)</f>
        <v>0</v>
      </c>
      <c r="K19" s="241">
        <f>VLOOKUP(C19,'8.Dgia'!B:M,11,FALSE)</f>
        <v>1081554.6300000001</v>
      </c>
      <c r="L19" s="241">
        <f t="shared" ref="L19:N20" si="7">$H19*I19</f>
        <v>0</v>
      </c>
      <c r="M19" s="241">
        <f t="shared" si="7"/>
        <v>0</v>
      </c>
      <c r="N19" s="241">
        <f t="shared" si="7"/>
        <v>1851621.5265600001</v>
      </c>
      <c r="O19" s="241">
        <f t="shared" si="1"/>
        <v>1374205.2101410697</v>
      </c>
      <c r="P19" s="241">
        <f>H19*O19</f>
        <v>2352639.3197615114</v>
      </c>
      <c r="Q19" s="351">
        <f>O19*H19</f>
        <v>2352639.3197615114</v>
      </c>
      <c r="R19" s="193"/>
      <c r="S19" s="193"/>
    </row>
    <row r="20" spans="1:19" s="87" customFormat="1" ht="21.75" customHeight="1">
      <c r="A20" s="243"/>
      <c r="B20" s="317">
        <f>IF(H20&gt;0,MAX($B$8:$B19)+1,"")</f>
        <v>9</v>
      </c>
      <c r="C20" s="239">
        <f>'8.Dgia'!$B$2837</f>
        <v>334</v>
      </c>
      <c r="D20" s="239">
        <f>VLOOKUP(C20,'8.Dgia'!B:M,2,FALSE)</f>
        <v>1776</v>
      </c>
      <c r="E20" s="240" t="str">
        <f>VLOOKUP(C20,'8.Dgia'!B:M,3,FALSE)</f>
        <v>AB.42431</v>
      </c>
      <c r="F20" s="244" t="str">
        <f>VLOOKUP(C20,'8.Dgia'!B:N,4,FALSE)</f>
        <v>Vận chuyển bằng ôtô tự đổ, 10T, C1, L=15Km</v>
      </c>
      <c r="G20" s="240" t="str">
        <f>VLOOKUP(C20,'8.Dgia'!B:M,5,FALSE)</f>
        <v>Transport by dump truck, 10T, C1, L=15Km</v>
      </c>
      <c r="H20" s="360">
        <f>H19</f>
        <v>1.712</v>
      </c>
      <c r="I20" s="241">
        <f>VLOOKUP(C20,'8.Dgia'!B:M,9,FALSE)</f>
        <v>0</v>
      </c>
      <c r="J20" s="241">
        <f>VLOOKUP(C20,'8.Dgia'!B:M,10,FALSE)</f>
        <v>0</v>
      </c>
      <c r="K20" s="241">
        <f>VLOOKUP(C20,'8.Dgia'!B:M,11,FALSE)</f>
        <v>0</v>
      </c>
      <c r="L20" s="241">
        <f t="shared" si="7"/>
        <v>0</v>
      </c>
      <c r="M20" s="241">
        <f t="shared" si="7"/>
        <v>0</v>
      </c>
      <c r="N20" s="241">
        <f t="shared" si="7"/>
        <v>0</v>
      </c>
      <c r="O20" s="241">
        <f t="shared" si="1"/>
        <v>0</v>
      </c>
      <c r="P20" s="241">
        <f>H20*O20</f>
        <v>0</v>
      </c>
      <c r="Q20" s="351">
        <f>O20*H20</f>
        <v>0</v>
      </c>
      <c r="R20" s="193"/>
      <c r="S20" s="193"/>
    </row>
    <row r="21" spans="1:19" s="87" customFormat="1" ht="21.75" customHeight="1">
      <c r="A21" s="766"/>
      <c r="B21" s="708"/>
      <c r="C21" s="248"/>
      <c r="D21" s="248"/>
      <c r="E21" s="249"/>
      <c r="F21" s="767" t="s">
        <v>116</v>
      </c>
      <c r="G21" s="249"/>
      <c r="H21" s="709"/>
      <c r="I21" s="184"/>
      <c r="J21" s="184"/>
      <c r="K21" s="184"/>
      <c r="L21" s="184"/>
      <c r="M21" s="184"/>
      <c r="N21" s="184"/>
      <c r="O21" s="184"/>
      <c r="P21" s="768" t="e">
        <f>SUM(P8:P20)</f>
        <v>#REF!</v>
      </c>
      <c r="Q21" s="351"/>
      <c r="R21" s="193"/>
      <c r="S21" s="193"/>
    </row>
    <row r="23" spans="1:19">
      <c r="C23" s="971" t="s">
        <v>3627</v>
      </c>
      <c r="D23" s="972"/>
      <c r="G23" s="682"/>
      <c r="H23" s="710"/>
      <c r="I23" s="710"/>
      <c r="J23" s="710"/>
      <c r="K23" s="710"/>
      <c r="L23" s="710"/>
      <c r="M23" s="710"/>
      <c r="N23" s="710"/>
    </row>
    <row r="24" spans="1:19">
      <c r="C24" s="972" t="s">
        <v>3628</v>
      </c>
      <c r="D24" s="972" t="s">
        <v>3628</v>
      </c>
      <c r="G24" s="682"/>
      <c r="H24" s="710"/>
      <c r="I24" s="710"/>
      <c r="J24" s="710"/>
      <c r="K24" s="710"/>
      <c r="L24" s="710"/>
      <c r="M24" s="710"/>
      <c r="N24" s="710"/>
    </row>
    <row r="25" spans="1:19">
      <c r="C25" s="972" t="s">
        <v>115</v>
      </c>
      <c r="D25" s="972" t="s">
        <v>115</v>
      </c>
      <c r="G25" s="682"/>
      <c r="H25" s="710"/>
      <c r="I25" s="710"/>
      <c r="J25" s="710"/>
      <c r="K25" s="710"/>
      <c r="L25" s="710"/>
      <c r="M25" s="710"/>
      <c r="N25" s="710"/>
    </row>
    <row r="26" spans="1:19">
      <c r="E26" s="972" t="s">
        <v>3629</v>
      </c>
      <c r="G26" s="682"/>
      <c r="H26" s="710"/>
      <c r="I26" s="973"/>
      <c r="K26" s="682"/>
      <c r="L26" s="710"/>
      <c r="M26" s="710"/>
      <c r="N26" s="710"/>
    </row>
    <row r="27" spans="1:19">
      <c r="E27" s="972" t="s">
        <v>3630</v>
      </c>
      <c r="G27" s="682"/>
      <c r="H27" s="710"/>
      <c r="I27" s="972"/>
      <c r="K27" s="682"/>
      <c r="L27" s="710"/>
      <c r="M27" s="710"/>
      <c r="N27" s="710"/>
    </row>
    <row r="28" spans="1:19">
      <c r="E28" s="972" t="s">
        <v>3631</v>
      </c>
      <c r="G28" s="682"/>
      <c r="H28" s="710"/>
      <c r="I28" s="972"/>
      <c r="K28" s="682"/>
      <c r="L28" s="710"/>
      <c r="M28" s="710"/>
      <c r="N28" s="710"/>
    </row>
    <row r="29" spans="1:19">
      <c r="E29" s="972" t="s">
        <v>3632</v>
      </c>
      <c r="G29" s="682"/>
      <c r="H29" s="710"/>
      <c r="I29" s="972"/>
      <c r="K29" s="682"/>
      <c r="L29" s="710"/>
      <c r="M29" s="710"/>
      <c r="N29" s="710"/>
    </row>
    <row r="30" spans="1:19">
      <c r="E30" s="973" t="s">
        <v>3633</v>
      </c>
      <c r="G30" s="682"/>
      <c r="H30" s="710"/>
      <c r="I30" s="974"/>
      <c r="K30" s="682"/>
      <c r="L30" s="710"/>
      <c r="M30" s="710"/>
      <c r="N30" s="710"/>
    </row>
    <row r="31" spans="1:19">
      <c r="E31" s="972" t="s">
        <v>3634</v>
      </c>
      <c r="G31" s="682"/>
      <c r="H31" s="710"/>
      <c r="I31" s="87"/>
      <c r="K31" s="682"/>
      <c r="L31" s="710"/>
      <c r="M31" s="710"/>
      <c r="N31" s="710"/>
    </row>
    <row r="32" spans="1:19">
      <c r="E32" s="972" t="s">
        <v>3635</v>
      </c>
      <c r="G32" s="682"/>
      <c r="H32" s="710"/>
      <c r="I32" s="711"/>
      <c r="J32" s="87"/>
      <c r="K32" s="682"/>
      <c r="L32" s="710"/>
      <c r="M32" s="710"/>
      <c r="N32" s="710"/>
    </row>
    <row r="33" spans="5:14" ht="13.5">
      <c r="E33" s="972" t="s">
        <v>3636</v>
      </c>
      <c r="G33" s="682"/>
      <c r="H33" s="710"/>
      <c r="I33" s="711"/>
      <c r="J33" s="712"/>
      <c r="K33" s="682"/>
      <c r="L33" s="710"/>
      <c r="M33" s="710"/>
      <c r="N33" s="710"/>
    </row>
    <row r="34" spans="5:14">
      <c r="E34" s="972" t="s">
        <v>3637</v>
      </c>
      <c r="G34" s="682"/>
      <c r="H34" s="710"/>
      <c r="I34" s="711"/>
      <c r="J34" s="87"/>
      <c r="K34" s="682"/>
      <c r="L34" s="710"/>
      <c r="M34" s="710"/>
      <c r="N34" s="710"/>
    </row>
    <row r="35" spans="5:14">
      <c r="E35" s="974" t="s">
        <v>78</v>
      </c>
    </row>
    <row r="36" spans="5:14">
      <c r="E36" s="87" t="s">
        <v>79</v>
      </c>
    </row>
  </sheetData>
  <pageMargins left="0.7" right="0.7" top="0.75" bottom="0.75" header="0.3" footer="0.3"/>
  <pageSetup paperSize="9" scale="6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G25"/>
  <sheetViews>
    <sheetView showGridLines="0" zoomScale="130" zoomScaleNormal="130" workbookViewId="0">
      <selection activeCell="A5" sqref="A5:A15"/>
    </sheetView>
  </sheetViews>
  <sheetFormatPr defaultRowHeight="12.75"/>
  <cols>
    <col min="1" max="1" width="22.28515625" style="735" bestFit="1" customWidth="1"/>
    <col min="2" max="5" width="9.140625" style="735"/>
    <col min="6" max="6" width="11.7109375" style="735" customWidth="1"/>
    <col min="7" max="7" width="19" style="736" customWidth="1"/>
    <col min="8" max="16384" width="9.140625" style="735"/>
  </cols>
  <sheetData>
    <row r="1" spans="1:7" ht="20.25">
      <c r="A1" s="305" t="s">
        <v>1999</v>
      </c>
    </row>
    <row r="2" spans="1:7" ht="18.75">
      <c r="A2" s="306" t="s">
        <v>2000</v>
      </c>
    </row>
    <row r="3" spans="1:7" ht="20.25">
      <c r="A3" s="223" t="s">
        <v>2194</v>
      </c>
    </row>
    <row r="4" spans="1:7" ht="51">
      <c r="A4" s="99" t="s">
        <v>298</v>
      </c>
      <c r="B4" s="3" t="s">
        <v>282</v>
      </c>
      <c r="C4" s="4" t="s">
        <v>324</v>
      </c>
      <c r="D4" s="100" t="s">
        <v>456</v>
      </c>
    </row>
    <row r="5" spans="1:7">
      <c r="A5" s="5" t="s">
        <v>2046</v>
      </c>
      <c r="B5" s="101" t="s">
        <v>552</v>
      </c>
      <c r="C5" s="6">
        <v>36531</v>
      </c>
      <c r="D5" s="102"/>
      <c r="F5" s="737" t="e">
        <f>SUMIF('8.Dgia'!E:E,'nhan cong'!A5,'8.Dgia'!P:P)</f>
        <v>#REF!</v>
      </c>
      <c r="G5" s="736" t="e">
        <f>F5*C5</f>
        <v>#REF!</v>
      </c>
    </row>
    <row r="6" spans="1:7">
      <c r="A6" s="5" t="s">
        <v>2042</v>
      </c>
      <c r="B6" s="103" t="s">
        <v>552</v>
      </c>
      <c r="C6" s="1">
        <v>37650</v>
      </c>
      <c r="D6" s="104"/>
      <c r="F6" s="737" t="e">
        <f>SUMIF('8.Dgia'!E:E,'nhan cong'!A6,'8.Dgia'!P:P)</f>
        <v>#REF!</v>
      </c>
      <c r="G6" s="736" t="e">
        <f t="shared" ref="G6:G15" si="0">F6*C6</f>
        <v>#REF!</v>
      </c>
    </row>
    <row r="7" spans="1:7">
      <c r="A7" s="5" t="s">
        <v>2038</v>
      </c>
      <c r="B7" s="103" t="s">
        <v>552</v>
      </c>
      <c r="C7" s="1">
        <v>39329</v>
      </c>
      <c r="D7" s="104"/>
      <c r="F7" s="737" t="e">
        <f>SUMIF('8.Dgia'!E:E,'nhan cong'!A7,'8.Dgia'!P:P)</f>
        <v>#REF!</v>
      </c>
      <c r="G7" s="736" t="e">
        <f t="shared" si="0"/>
        <v>#REF!</v>
      </c>
    </row>
    <row r="8" spans="1:7">
      <c r="A8" s="5" t="s">
        <v>2047</v>
      </c>
      <c r="B8" s="103" t="s">
        <v>552</v>
      </c>
      <c r="C8" s="1">
        <v>40652</v>
      </c>
      <c r="D8" s="104"/>
      <c r="F8" s="737">
        <f>SUMIF('8.Dgia'!E:E,'nhan cong'!A8,'8.Dgia'!P:P)</f>
        <v>0</v>
      </c>
      <c r="G8" s="736">
        <f t="shared" si="0"/>
        <v>0</v>
      </c>
    </row>
    <row r="9" spans="1:7">
      <c r="A9" s="5" t="s">
        <v>2045</v>
      </c>
      <c r="B9" s="103" t="s">
        <v>552</v>
      </c>
      <c r="C9" s="1">
        <v>41314</v>
      </c>
      <c r="D9" s="104"/>
      <c r="F9" s="737" t="e">
        <f>SUMIF('8.Dgia'!E:E,'nhan cong'!A9,'8.Dgia'!P:P)</f>
        <v>#REF!</v>
      </c>
      <c r="G9" s="736" t="e">
        <f t="shared" si="0"/>
        <v>#REF!</v>
      </c>
    </row>
    <row r="10" spans="1:7">
      <c r="A10" s="5" t="s">
        <v>2037</v>
      </c>
      <c r="B10" s="103" t="s">
        <v>552</v>
      </c>
      <c r="C10" s="1">
        <v>42637</v>
      </c>
      <c r="D10" s="104"/>
      <c r="F10" s="737" t="e">
        <f>SUMIF('8.Dgia'!E:E,'nhan cong'!A10,'8.Dgia'!P:P)</f>
        <v>#REF!</v>
      </c>
      <c r="G10" s="736" t="e">
        <f t="shared" si="0"/>
        <v>#REF!</v>
      </c>
    </row>
    <row r="11" spans="1:7">
      <c r="A11" s="5" t="s">
        <v>2041</v>
      </c>
      <c r="B11" s="103" t="s">
        <v>552</v>
      </c>
      <c r="C11" s="1">
        <v>43960</v>
      </c>
      <c r="D11" s="104"/>
      <c r="F11" s="737" t="e">
        <f>SUMIF('8.Dgia'!E:E,'nhan cong'!A11,'8.Dgia'!P:P)</f>
        <v>#REF!</v>
      </c>
      <c r="G11" s="736" t="e">
        <f t="shared" si="0"/>
        <v>#REF!</v>
      </c>
    </row>
    <row r="12" spans="1:7">
      <c r="A12" s="2" t="s">
        <v>2039</v>
      </c>
      <c r="B12" s="103" t="s">
        <v>552</v>
      </c>
      <c r="C12" s="1">
        <v>45944</v>
      </c>
      <c r="D12" s="104"/>
      <c r="F12" s="737" t="e">
        <f>SUMIF('8.Dgia'!E:E,'nhan cong'!A12,'8.Dgia'!P:P)</f>
        <v>#REF!</v>
      </c>
      <c r="G12" s="736" t="e">
        <f t="shared" si="0"/>
        <v>#REF!</v>
      </c>
    </row>
    <row r="13" spans="1:7">
      <c r="A13" s="5" t="s">
        <v>2044</v>
      </c>
      <c r="B13" s="103" t="s">
        <v>552</v>
      </c>
      <c r="C13" s="1">
        <v>48285</v>
      </c>
      <c r="D13" s="104"/>
      <c r="F13" s="737" t="e">
        <f>SUMIF('8.Dgia'!E:E,'nhan cong'!A13,'8.Dgia'!P:P)</f>
        <v>#REF!</v>
      </c>
      <c r="G13" s="736" t="e">
        <f t="shared" si="0"/>
        <v>#REF!</v>
      </c>
    </row>
    <row r="14" spans="1:7">
      <c r="A14" s="5" t="s">
        <v>2040</v>
      </c>
      <c r="B14" s="103" t="s">
        <v>552</v>
      </c>
      <c r="C14" s="1">
        <v>49845</v>
      </c>
      <c r="D14" s="104"/>
      <c r="F14" s="737" t="e">
        <f>SUMIF('8.Dgia'!E:E,'nhan cong'!A14,'8.Dgia'!P:P)</f>
        <v>#REF!</v>
      </c>
      <c r="G14" s="736" t="e">
        <f t="shared" si="0"/>
        <v>#REF!</v>
      </c>
    </row>
    <row r="15" spans="1:7">
      <c r="A15" s="5" t="s">
        <v>2043</v>
      </c>
      <c r="B15" s="103" t="s">
        <v>552</v>
      </c>
      <c r="C15" s="1">
        <v>53747</v>
      </c>
      <c r="D15" s="104"/>
      <c r="F15" s="737">
        <f>SUMIF('8.Dgia'!E:E,'nhan cong'!A15,'8.Dgia'!P:P)</f>
        <v>0</v>
      </c>
      <c r="G15" s="736">
        <f t="shared" si="0"/>
        <v>0</v>
      </c>
    </row>
    <row r="16" spans="1:7">
      <c r="F16" s="737">
        <f>SUMIF('8.Dgia'!E:E,'nhan cong'!A16,'8.Dgia'!P:P)</f>
        <v>0</v>
      </c>
    </row>
    <row r="20" spans="6:7">
      <c r="G20" s="736" t="e">
        <f>SUM(G5:G15)</f>
        <v>#REF!</v>
      </c>
    </row>
    <row r="21" spans="6:7">
      <c r="G21" s="736" t="e">
        <f>+#REF!</f>
        <v>#REF!</v>
      </c>
    </row>
    <row r="22" spans="6:7">
      <c r="F22" s="735" t="s">
        <v>2144</v>
      </c>
      <c r="G22" s="736" t="e">
        <f>+G21-G20-G25</f>
        <v>#REF!</v>
      </c>
    </row>
    <row r="25" spans="6:7">
      <c r="G25" s="736">
        <v>17907540.000000015</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E358" sqref="E358"/>
    </sheetView>
  </sheetViews>
  <sheetFormatPr defaultRowHeight="12.75"/>
  <cols>
    <col min="1" max="1" width="26.7109375" customWidth="1"/>
  </cols>
  <sheetData>
    <row r="1" spans="1:10" ht="16.5">
      <c r="A1" s="630"/>
      <c r="B1" s="224"/>
      <c r="C1" s="224"/>
      <c r="D1" s="224"/>
      <c r="E1" s="224"/>
      <c r="F1" s="224"/>
      <c r="G1" s="224"/>
      <c r="H1" s="224"/>
    </row>
    <row r="2" spans="1:10" ht="16.5">
      <c r="A2" s="630"/>
      <c r="B2" s="224"/>
      <c r="C2" s="224"/>
      <c r="D2" s="224"/>
      <c r="E2" s="224"/>
      <c r="F2" s="224"/>
      <c r="G2" s="224"/>
      <c r="H2" s="224"/>
    </row>
    <row r="3" spans="1:10" ht="16.5">
      <c r="A3" s="630"/>
      <c r="B3" s="224"/>
      <c r="C3" s="224"/>
      <c r="D3" s="224"/>
      <c r="E3" s="224"/>
      <c r="F3" s="224"/>
      <c r="G3" s="224"/>
      <c r="H3" s="224"/>
    </row>
    <row r="4" spans="1:10" ht="15">
      <c r="A4" s="224"/>
      <c r="B4" s="224"/>
      <c r="C4" s="310"/>
      <c r="D4" s="224"/>
      <c r="E4" s="224"/>
      <c r="F4" s="631"/>
      <c r="G4" s="224"/>
      <c r="H4" s="224"/>
    </row>
    <row r="5" spans="1:10" ht="14.25">
      <c r="A5" s="632" t="s">
        <v>3438</v>
      </c>
      <c r="B5" s="632" t="s">
        <v>3439</v>
      </c>
      <c r="C5" s="633" t="s">
        <v>3440</v>
      </c>
      <c r="D5" s="634"/>
      <c r="E5" s="634"/>
      <c r="F5" s="635"/>
      <c r="G5" s="636" t="s">
        <v>3441</v>
      </c>
      <c r="H5" s="224"/>
    </row>
    <row r="6" spans="1:10">
      <c r="A6" s="637" t="s">
        <v>3442</v>
      </c>
      <c r="B6" s="638" t="s">
        <v>3443</v>
      </c>
      <c r="C6" s="639">
        <v>1.0620000000000001</v>
      </c>
      <c r="D6" s="640"/>
      <c r="E6" s="641"/>
      <c r="F6" s="642"/>
      <c r="G6" s="643">
        <f t="shared" ref="G6:G13" si="0">PRODUCT(C6:F6)</f>
        <v>1.0620000000000001</v>
      </c>
      <c r="H6" s="224"/>
    </row>
    <row r="7" spans="1:10">
      <c r="A7" s="644" t="s">
        <v>3444</v>
      </c>
      <c r="B7" s="645" t="s">
        <v>3445</v>
      </c>
      <c r="C7" s="646">
        <v>1.171</v>
      </c>
      <c r="D7" s="640"/>
      <c r="E7" s="641"/>
      <c r="F7" s="647"/>
      <c r="G7" s="648">
        <f t="shared" si="0"/>
        <v>1.171</v>
      </c>
      <c r="H7" s="224"/>
      <c r="J7" s="1493"/>
    </row>
    <row r="8" spans="1:10">
      <c r="A8" s="644" t="s">
        <v>3446</v>
      </c>
      <c r="B8" s="645" t="s">
        <v>528</v>
      </c>
      <c r="C8" s="646">
        <v>1</v>
      </c>
      <c r="D8" s="641"/>
      <c r="E8" s="641"/>
      <c r="F8" s="647"/>
      <c r="G8" s="648">
        <f t="shared" si="0"/>
        <v>1</v>
      </c>
      <c r="H8" s="224"/>
    </row>
    <row r="9" spans="1:10">
      <c r="A9" s="644" t="s">
        <v>3447</v>
      </c>
      <c r="B9" s="645" t="s">
        <v>529</v>
      </c>
      <c r="C9" s="646">
        <v>1.02</v>
      </c>
      <c r="D9" s="649"/>
      <c r="E9" s="649"/>
      <c r="F9" s="647"/>
      <c r="G9" s="648">
        <f t="shared" si="0"/>
        <v>1.02</v>
      </c>
      <c r="H9" s="224"/>
    </row>
    <row r="10" spans="1:10">
      <c r="A10" s="644" t="s">
        <v>3448</v>
      </c>
      <c r="B10" s="645" t="s">
        <v>3449</v>
      </c>
      <c r="C10" s="646">
        <f>1+5.5%*1.05</f>
        <v>1.05775</v>
      </c>
      <c r="D10" s="649"/>
      <c r="E10" s="649"/>
      <c r="F10" s="647"/>
      <c r="G10" s="648">
        <f t="shared" si="0"/>
        <v>1.05775</v>
      </c>
      <c r="H10" s="224"/>
    </row>
    <row r="11" spans="1:10">
      <c r="A11" s="644" t="s">
        <v>3450</v>
      </c>
      <c r="B11" s="645" t="s">
        <v>530</v>
      </c>
      <c r="C11" s="646">
        <v>1.06</v>
      </c>
      <c r="D11" s="649"/>
      <c r="E11" s="649"/>
      <c r="F11" s="647"/>
      <c r="G11" s="648">
        <f t="shared" si="0"/>
        <v>1.06</v>
      </c>
      <c r="H11" s="224"/>
    </row>
    <row r="12" spans="1:10">
      <c r="A12" s="644" t="s">
        <v>3451</v>
      </c>
      <c r="B12" s="645" t="s">
        <v>3452</v>
      </c>
      <c r="C12" s="646">
        <v>1.01</v>
      </c>
      <c r="D12" s="649"/>
      <c r="E12" s="649"/>
      <c r="F12" s="647"/>
      <c r="G12" s="648">
        <f t="shared" si="0"/>
        <v>1.01</v>
      </c>
      <c r="H12" s="224"/>
    </row>
    <row r="13" spans="1:10">
      <c r="A13" s="650" t="s">
        <v>167</v>
      </c>
      <c r="B13" s="651" t="s">
        <v>3453</v>
      </c>
      <c r="C13" s="652">
        <v>1.1000000000000001</v>
      </c>
      <c r="D13" s="653"/>
      <c r="E13" s="653"/>
      <c r="F13" s="654"/>
      <c r="G13" s="655">
        <f t="shared" si="0"/>
        <v>1.1000000000000001</v>
      </c>
      <c r="H13" s="224"/>
    </row>
    <row r="14" spans="1:10">
      <c r="B14" s="656" t="s">
        <v>3454</v>
      </c>
      <c r="G14">
        <v>1</v>
      </c>
    </row>
    <row r="20" spans="5:5">
      <c r="E20">
        <f>NCC</f>
        <v>1.171</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I73"/>
  <sheetViews>
    <sheetView workbookViewId="0">
      <selection activeCell="C16" sqref="C16"/>
    </sheetView>
  </sheetViews>
  <sheetFormatPr defaultColWidth="10.28515625" defaultRowHeight="18" customHeight="1"/>
  <cols>
    <col min="1" max="1" width="10.28515625" style="8"/>
    <col min="2" max="6" width="12.5703125" style="8" customWidth="1"/>
    <col min="7" max="7" width="12.28515625" style="8" customWidth="1"/>
    <col min="8" max="8" width="10.28515625" style="8"/>
    <col min="9" max="9" width="11.5703125" style="8" bestFit="1" customWidth="1"/>
    <col min="10" max="16384" width="10.28515625" style="8"/>
  </cols>
  <sheetData>
    <row r="1" spans="1:9" ht="18" customHeight="1">
      <c r="A1" s="81"/>
    </row>
    <row r="2" spans="1:9" ht="18" customHeight="1">
      <c r="A2" s="19" t="s">
        <v>477</v>
      </c>
    </row>
    <row r="3" spans="1:9" ht="18.75" customHeight="1">
      <c r="A3" s="20" t="s">
        <v>478</v>
      </c>
      <c r="B3" s="20" t="s">
        <v>479</v>
      </c>
      <c r="C3" s="20" t="s">
        <v>480</v>
      </c>
      <c r="D3" s="20" t="s">
        <v>481</v>
      </c>
      <c r="E3" s="20" t="s">
        <v>482</v>
      </c>
      <c r="F3" s="20" t="s">
        <v>483</v>
      </c>
    </row>
    <row r="4" spans="1:9" ht="18" customHeight="1">
      <c r="A4" s="669">
        <v>101</v>
      </c>
      <c r="B4" s="670">
        <v>708</v>
      </c>
      <c r="C4" s="670">
        <v>795</v>
      </c>
      <c r="D4" s="670">
        <v>1115</v>
      </c>
      <c r="E4" s="670">
        <v>1511</v>
      </c>
      <c r="F4" s="670">
        <v>2119</v>
      </c>
    </row>
    <row r="5" spans="1:9" ht="18" customHeight="1">
      <c r="A5" s="669">
        <v>91</v>
      </c>
      <c r="B5" s="670">
        <v>711</v>
      </c>
      <c r="C5" s="670">
        <v>801</v>
      </c>
      <c r="D5" s="670">
        <v>1125</v>
      </c>
      <c r="E5" s="670">
        <v>1524</v>
      </c>
      <c r="F5" s="670">
        <v>2135</v>
      </c>
    </row>
    <row r="6" spans="1:9" ht="18" customHeight="1">
      <c r="A6" s="669">
        <v>81</v>
      </c>
      <c r="B6" s="670">
        <v>719</v>
      </c>
      <c r="C6" s="670">
        <v>809</v>
      </c>
      <c r="D6" s="670">
        <v>1134</v>
      </c>
      <c r="E6" s="670">
        <v>1537</v>
      </c>
      <c r="F6" s="670">
        <v>2154</v>
      </c>
    </row>
    <row r="7" spans="1:9" ht="18" customHeight="1">
      <c r="A7" s="669">
        <v>71</v>
      </c>
      <c r="B7" s="670">
        <v>726</v>
      </c>
      <c r="C7" s="670">
        <v>817</v>
      </c>
      <c r="D7" s="670">
        <v>1146</v>
      </c>
      <c r="E7" s="670">
        <v>1554</v>
      </c>
      <c r="F7" s="670">
        <v>2174</v>
      </c>
      <c r="I7" s="769">
        <f>(16*1146+9*2174+10.2*1554+33*2174)*2</f>
        <v>250989.6</v>
      </c>
    </row>
    <row r="8" spans="1:9" ht="18" customHeight="1">
      <c r="A8" s="669">
        <v>61</v>
      </c>
      <c r="B8" s="670">
        <v>736</v>
      </c>
      <c r="C8" s="670">
        <v>829</v>
      </c>
      <c r="D8" s="670">
        <v>1160</v>
      </c>
      <c r="E8" s="670">
        <v>1571</v>
      </c>
      <c r="F8" s="670">
        <v>2200</v>
      </c>
    </row>
    <row r="9" spans="1:9" ht="18" customHeight="1">
      <c r="A9" s="669">
        <v>56</v>
      </c>
      <c r="B9" s="670">
        <v>748</v>
      </c>
      <c r="C9" s="670">
        <v>842</v>
      </c>
      <c r="D9" s="670">
        <v>1178</v>
      </c>
      <c r="E9" s="670">
        <v>1591</v>
      </c>
      <c r="F9" s="670">
        <v>2228</v>
      </c>
    </row>
    <row r="10" spans="1:9" ht="18" customHeight="1">
      <c r="A10" s="669">
        <v>51</v>
      </c>
      <c r="B10" s="670">
        <v>760</v>
      </c>
      <c r="C10" s="670">
        <v>856</v>
      </c>
      <c r="D10" s="670">
        <v>1191</v>
      </c>
      <c r="E10" s="670">
        <v>1609</v>
      </c>
      <c r="F10" s="670">
        <v>2253</v>
      </c>
    </row>
    <row r="11" spans="1:9" ht="18" customHeight="1">
      <c r="A11" s="669">
        <v>46</v>
      </c>
      <c r="B11" s="670">
        <v>775</v>
      </c>
      <c r="C11" s="670">
        <v>873</v>
      </c>
      <c r="D11" s="670">
        <v>1211</v>
      </c>
      <c r="E11" s="670">
        <v>1635</v>
      </c>
      <c r="F11" s="670">
        <v>2271</v>
      </c>
    </row>
    <row r="12" spans="1:9" ht="18" customHeight="1">
      <c r="A12" s="669">
        <v>41</v>
      </c>
      <c r="B12" s="670">
        <v>791</v>
      </c>
      <c r="C12" s="670">
        <v>891</v>
      </c>
      <c r="D12" s="670">
        <v>1229</v>
      </c>
      <c r="E12" s="670">
        <v>1659</v>
      </c>
      <c r="F12" s="670">
        <v>2290</v>
      </c>
    </row>
    <row r="13" spans="1:9" ht="18" customHeight="1">
      <c r="A13" s="669">
        <v>36</v>
      </c>
      <c r="B13" s="670">
        <v>809</v>
      </c>
      <c r="C13" s="670">
        <v>910</v>
      </c>
      <c r="D13" s="670">
        <v>1246</v>
      </c>
      <c r="E13" s="670">
        <v>1683</v>
      </c>
      <c r="F13" s="670">
        <v>2308</v>
      </c>
    </row>
    <row r="14" spans="1:9" ht="18" customHeight="1">
      <c r="A14" s="669">
        <v>33</v>
      </c>
      <c r="B14" s="670">
        <v>830</v>
      </c>
      <c r="C14" s="670">
        <v>933</v>
      </c>
      <c r="D14" s="670">
        <v>1261</v>
      </c>
      <c r="E14" s="670">
        <v>1703</v>
      </c>
      <c r="F14" s="670">
        <v>2334</v>
      </c>
    </row>
    <row r="15" spans="1:9" ht="18" customHeight="1">
      <c r="A15" s="669">
        <v>31</v>
      </c>
      <c r="B15" s="670">
        <v>830</v>
      </c>
      <c r="C15" s="670">
        <v>933</v>
      </c>
      <c r="D15" s="670">
        <v>1261</v>
      </c>
      <c r="E15" s="670">
        <v>1703</v>
      </c>
      <c r="F15" s="670">
        <v>2334</v>
      </c>
    </row>
    <row r="16" spans="1:9" ht="18" customHeight="1">
      <c r="A16" s="669">
        <v>30</v>
      </c>
      <c r="B16" s="670">
        <v>854</v>
      </c>
      <c r="C16" s="670">
        <v>947</v>
      </c>
      <c r="D16" s="670">
        <v>1279</v>
      </c>
      <c r="E16" s="670">
        <v>1726</v>
      </c>
      <c r="F16" s="670">
        <v>2355</v>
      </c>
    </row>
    <row r="17" spans="1:6" ht="18" customHeight="1">
      <c r="A17" s="669">
        <v>29</v>
      </c>
      <c r="B17" s="670">
        <v>878</v>
      </c>
      <c r="C17" s="670">
        <v>975</v>
      </c>
      <c r="D17" s="670">
        <v>1316</v>
      </c>
      <c r="E17" s="670">
        <v>1778</v>
      </c>
      <c r="F17" s="670">
        <v>2390</v>
      </c>
    </row>
    <row r="18" spans="1:6" ht="18" customHeight="1">
      <c r="A18" s="669">
        <v>28</v>
      </c>
      <c r="B18" s="670">
        <v>904</v>
      </c>
      <c r="C18" s="670">
        <v>1003</v>
      </c>
      <c r="D18" s="670">
        <v>1354</v>
      </c>
      <c r="E18" s="670">
        <v>1829</v>
      </c>
      <c r="F18" s="670">
        <v>2426</v>
      </c>
    </row>
    <row r="19" spans="1:6" ht="18" customHeight="1">
      <c r="A19" s="669">
        <v>27</v>
      </c>
      <c r="B19" s="670">
        <v>930</v>
      </c>
      <c r="C19" s="670">
        <v>1032</v>
      </c>
      <c r="D19" s="670">
        <v>1393</v>
      </c>
      <c r="E19" s="670">
        <v>1859</v>
      </c>
      <c r="F19" s="670">
        <v>2463</v>
      </c>
    </row>
    <row r="20" spans="1:6" ht="18" customHeight="1">
      <c r="A20" s="669">
        <v>26</v>
      </c>
      <c r="B20" s="670">
        <v>959</v>
      </c>
      <c r="C20" s="670">
        <v>1055</v>
      </c>
      <c r="D20" s="670">
        <v>1424</v>
      </c>
      <c r="E20" s="670">
        <v>1891</v>
      </c>
      <c r="F20" s="670">
        <v>2498</v>
      </c>
    </row>
    <row r="21" spans="1:6" ht="18" customHeight="1">
      <c r="A21" s="669">
        <v>25</v>
      </c>
      <c r="B21" s="670">
        <v>981</v>
      </c>
      <c r="C21" s="670">
        <v>1081</v>
      </c>
      <c r="D21" s="670">
        <v>1459</v>
      </c>
      <c r="E21" s="670">
        <v>1923</v>
      </c>
      <c r="F21" s="670">
        <v>2534</v>
      </c>
    </row>
    <row r="22" spans="1:6" ht="18" customHeight="1">
      <c r="A22" s="669">
        <v>23</v>
      </c>
      <c r="B22" s="670">
        <v>1040</v>
      </c>
      <c r="C22" s="670">
        <v>1144</v>
      </c>
      <c r="D22" s="670">
        <v>1544</v>
      </c>
      <c r="E22" s="670">
        <v>1989</v>
      </c>
      <c r="F22" s="670">
        <v>2605</v>
      </c>
    </row>
    <row r="23" spans="1:6" ht="18" customHeight="1">
      <c r="A23" s="669">
        <v>24</v>
      </c>
      <c r="B23" s="670">
        <v>1008</v>
      </c>
      <c r="C23" s="670">
        <v>1108</v>
      </c>
      <c r="D23" s="670">
        <v>1497</v>
      </c>
      <c r="E23" s="670">
        <v>1959</v>
      </c>
      <c r="F23" s="670">
        <v>2569</v>
      </c>
    </row>
    <row r="24" spans="1:6" ht="18" customHeight="1">
      <c r="A24" s="669">
        <v>22</v>
      </c>
      <c r="B24" s="670">
        <v>1068</v>
      </c>
      <c r="C24" s="670">
        <v>1175</v>
      </c>
      <c r="D24" s="670">
        <v>1578</v>
      </c>
      <c r="E24" s="670">
        <v>2019</v>
      </c>
      <c r="F24" s="670">
        <v>2641</v>
      </c>
    </row>
    <row r="25" spans="1:6" ht="18" customHeight="1">
      <c r="A25" s="669">
        <v>21</v>
      </c>
      <c r="B25" s="670">
        <v>1111</v>
      </c>
      <c r="C25" s="670">
        <v>1212</v>
      </c>
      <c r="D25" s="670">
        <v>1612</v>
      </c>
      <c r="E25" s="670">
        <v>2048</v>
      </c>
      <c r="F25" s="670">
        <v>2676</v>
      </c>
    </row>
    <row r="26" spans="1:6" ht="18" customHeight="1">
      <c r="A26" s="669">
        <v>20</v>
      </c>
      <c r="B26" s="670">
        <v>1148</v>
      </c>
      <c r="C26" s="670">
        <v>1251</v>
      </c>
      <c r="D26" s="670">
        <v>1664</v>
      </c>
      <c r="E26" s="670">
        <v>2080</v>
      </c>
      <c r="F26" s="670">
        <v>2713</v>
      </c>
    </row>
    <row r="27" spans="1:6" ht="18" customHeight="1">
      <c r="A27" s="669">
        <v>19</v>
      </c>
      <c r="B27" s="670">
        <v>1165</v>
      </c>
      <c r="C27" s="670">
        <v>1271</v>
      </c>
      <c r="D27" s="670">
        <v>1690</v>
      </c>
      <c r="E27" s="670">
        <v>2113</v>
      </c>
      <c r="F27" s="670">
        <v>2746</v>
      </c>
    </row>
    <row r="28" spans="1:6" ht="18" customHeight="1">
      <c r="A28" s="669">
        <v>18</v>
      </c>
      <c r="B28" s="670">
        <v>1195</v>
      </c>
      <c r="C28" s="670">
        <v>1302</v>
      </c>
      <c r="D28" s="670">
        <v>1731</v>
      </c>
      <c r="E28" s="670">
        <v>2163</v>
      </c>
      <c r="F28" s="670">
        <v>2811</v>
      </c>
    </row>
    <row r="29" spans="1:6" ht="18" customHeight="1">
      <c r="A29" s="669">
        <v>17</v>
      </c>
      <c r="B29" s="670">
        <v>1228</v>
      </c>
      <c r="C29" s="670">
        <v>1337</v>
      </c>
      <c r="D29" s="670">
        <v>1780</v>
      </c>
      <c r="E29" s="670">
        <v>2225</v>
      </c>
      <c r="F29" s="670">
        <v>2893</v>
      </c>
    </row>
    <row r="30" spans="1:6" ht="18" customHeight="1">
      <c r="A30" s="669">
        <v>16</v>
      </c>
      <c r="B30" s="670">
        <v>1256</v>
      </c>
      <c r="C30" s="670">
        <v>1357</v>
      </c>
      <c r="D30" s="670">
        <v>1805</v>
      </c>
      <c r="E30" s="670">
        <v>2258</v>
      </c>
      <c r="F30" s="670">
        <v>2935</v>
      </c>
    </row>
    <row r="31" spans="1:6" ht="18" customHeight="1">
      <c r="A31" s="669">
        <v>15</v>
      </c>
      <c r="B31" s="670">
        <v>1290</v>
      </c>
      <c r="C31" s="670">
        <v>1406</v>
      </c>
      <c r="D31" s="670">
        <v>1869</v>
      </c>
      <c r="E31" s="670">
        <v>2336</v>
      </c>
      <c r="F31" s="670">
        <v>3038</v>
      </c>
    </row>
    <row r="32" spans="1:6" ht="18" customHeight="1">
      <c r="A32" s="669">
        <v>14</v>
      </c>
      <c r="B32" s="670">
        <v>1311</v>
      </c>
      <c r="C32" s="670">
        <v>1430</v>
      </c>
      <c r="D32" s="670">
        <v>1901</v>
      </c>
      <c r="E32" s="670">
        <v>2378</v>
      </c>
      <c r="F32" s="670">
        <v>3091</v>
      </c>
    </row>
    <row r="33" spans="1:6" ht="18" customHeight="1">
      <c r="A33" s="669">
        <v>13</v>
      </c>
      <c r="B33" s="670">
        <v>1365</v>
      </c>
      <c r="C33" s="670">
        <v>1474</v>
      </c>
      <c r="D33" s="670">
        <v>1960</v>
      </c>
      <c r="E33" s="670">
        <v>2450</v>
      </c>
      <c r="F33" s="670">
        <v>3185</v>
      </c>
    </row>
    <row r="34" spans="1:6" ht="18" customHeight="1">
      <c r="A34" s="669">
        <v>12</v>
      </c>
      <c r="B34" s="670">
        <v>1404</v>
      </c>
      <c r="C34" s="670">
        <v>1531</v>
      </c>
      <c r="D34" s="670">
        <v>2021</v>
      </c>
      <c r="E34" s="670">
        <v>2528</v>
      </c>
      <c r="F34" s="670">
        <v>3286</v>
      </c>
    </row>
    <row r="35" spans="1:6" ht="18" customHeight="1">
      <c r="A35" s="669">
        <v>11</v>
      </c>
      <c r="B35" s="670">
        <v>1523</v>
      </c>
      <c r="C35" s="670">
        <v>1645</v>
      </c>
      <c r="D35" s="670">
        <v>2171</v>
      </c>
      <c r="E35" s="670">
        <v>2714</v>
      </c>
      <c r="F35" s="670">
        <v>3528</v>
      </c>
    </row>
    <row r="36" spans="1:6" ht="18" customHeight="1">
      <c r="A36" s="669">
        <v>10</v>
      </c>
      <c r="B36" s="670">
        <v>1674</v>
      </c>
      <c r="C36" s="670">
        <v>1775</v>
      </c>
      <c r="D36" s="670">
        <v>2308</v>
      </c>
      <c r="E36" s="670">
        <v>2885</v>
      </c>
      <c r="F36" s="670">
        <v>3750</v>
      </c>
    </row>
    <row r="37" spans="1:6" ht="18" customHeight="1">
      <c r="A37" s="669">
        <v>9</v>
      </c>
      <c r="B37" s="670">
        <v>1723</v>
      </c>
      <c r="C37" s="670">
        <v>1826</v>
      </c>
      <c r="D37" s="670">
        <v>2376</v>
      </c>
      <c r="E37" s="670">
        <v>2970</v>
      </c>
      <c r="F37" s="670">
        <v>3861</v>
      </c>
    </row>
    <row r="38" spans="1:6" ht="18" customHeight="1">
      <c r="A38" s="669">
        <v>8</v>
      </c>
      <c r="B38" s="670">
        <v>1820</v>
      </c>
      <c r="C38" s="670">
        <v>1930</v>
      </c>
      <c r="D38" s="670">
        <v>2511</v>
      </c>
      <c r="E38" s="670">
        <v>3138</v>
      </c>
      <c r="F38" s="670">
        <v>4079</v>
      </c>
    </row>
    <row r="39" spans="1:6" ht="18" customHeight="1">
      <c r="A39" s="669">
        <v>7</v>
      </c>
      <c r="B39" s="670">
        <v>1950</v>
      </c>
      <c r="C39" s="670">
        <v>2068</v>
      </c>
      <c r="D39" s="670">
        <v>2688</v>
      </c>
      <c r="E39" s="670">
        <v>3360</v>
      </c>
      <c r="F39" s="670">
        <v>4368</v>
      </c>
    </row>
    <row r="40" spans="1:6" ht="18" customHeight="1">
      <c r="A40" s="669">
        <v>6</v>
      </c>
      <c r="B40" s="670">
        <v>2113</v>
      </c>
      <c r="C40" s="670">
        <v>2239</v>
      </c>
      <c r="D40" s="670">
        <v>2913</v>
      </c>
      <c r="E40" s="670">
        <v>3640</v>
      </c>
      <c r="F40" s="670">
        <v>4733</v>
      </c>
    </row>
    <row r="41" spans="1:6" ht="18" customHeight="1">
      <c r="A41" s="669">
        <v>5</v>
      </c>
      <c r="B41" s="670">
        <v>2486</v>
      </c>
      <c r="C41" s="670">
        <v>2636</v>
      </c>
      <c r="D41" s="670">
        <v>3424</v>
      </c>
      <c r="E41" s="670">
        <v>4280</v>
      </c>
      <c r="F41" s="670">
        <v>5564</v>
      </c>
    </row>
    <row r="42" spans="1:6" ht="18" customHeight="1">
      <c r="A42" s="669">
        <v>4</v>
      </c>
      <c r="B42" s="670">
        <v>2925</v>
      </c>
      <c r="C42" s="670">
        <v>3104</v>
      </c>
      <c r="D42" s="670">
        <v>4035</v>
      </c>
      <c r="E42" s="670">
        <v>5044</v>
      </c>
      <c r="F42" s="670">
        <v>6558</v>
      </c>
    </row>
    <row r="43" spans="1:6" ht="18" customHeight="1">
      <c r="A43" s="669">
        <v>3</v>
      </c>
      <c r="B43" s="670">
        <v>3575</v>
      </c>
      <c r="C43" s="670">
        <v>3790</v>
      </c>
      <c r="D43" s="670">
        <v>4928</v>
      </c>
      <c r="E43" s="670">
        <v>6159</v>
      </c>
      <c r="F43" s="670">
        <v>8006</v>
      </c>
    </row>
    <row r="44" spans="1:6" ht="18" customHeight="1">
      <c r="A44" s="669">
        <v>2</v>
      </c>
      <c r="B44" s="670">
        <v>4875</v>
      </c>
      <c r="C44" s="670">
        <v>5168</v>
      </c>
      <c r="D44" s="670">
        <v>6718</v>
      </c>
      <c r="E44" s="670">
        <v>8398</v>
      </c>
      <c r="F44" s="670">
        <v>10916</v>
      </c>
    </row>
    <row r="45" spans="1:6" ht="18" customHeight="1">
      <c r="A45" s="669">
        <v>1</v>
      </c>
      <c r="B45" s="670">
        <v>9100</v>
      </c>
      <c r="C45" s="670">
        <v>9653</v>
      </c>
      <c r="D45" s="670">
        <v>12549</v>
      </c>
      <c r="E45" s="670">
        <v>15686</v>
      </c>
      <c r="F45" s="670">
        <v>18824</v>
      </c>
    </row>
    <row r="46" spans="1:6" ht="18" customHeight="1">
      <c r="A46" s="19" t="s">
        <v>484</v>
      </c>
    </row>
    <row r="47" spans="1:6" ht="18" customHeight="1">
      <c r="A47" s="19"/>
      <c r="B47" s="18" t="s">
        <v>485</v>
      </c>
      <c r="C47" s="18" t="s">
        <v>486</v>
      </c>
    </row>
    <row r="48" spans="1:6" ht="18" customHeight="1">
      <c r="A48" s="19"/>
      <c r="B48" s="18">
        <v>1</v>
      </c>
      <c r="C48" s="17">
        <v>1</v>
      </c>
    </row>
    <row r="49" spans="1:4" ht="18" customHeight="1">
      <c r="B49" s="18">
        <v>2</v>
      </c>
      <c r="C49" s="17">
        <v>1.1000000000000001</v>
      </c>
    </row>
    <row r="50" spans="1:4" ht="18" customHeight="1">
      <c r="B50" s="18">
        <v>3</v>
      </c>
      <c r="C50" s="17">
        <v>1.3</v>
      </c>
    </row>
    <row r="51" spans="1:4" ht="18" customHeight="1">
      <c r="B51" s="18">
        <v>4</v>
      </c>
      <c r="C51" s="17">
        <v>1.4</v>
      </c>
    </row>
    <row r="53" spans="1:4" ht="18" customHeight="1">
      <c r="A53" s="16"/>
    </row>
    <row r="54" spans="1:4" ht="18" customHeight="1">
      <c r="A54" s="8" t="s">
        <v>487</v>
      </c>
    </row>
    <row r="55" spans="1:4" ht="18" customHeight="1">
      <c r="A55" s="2160" t="s">
        <v>488</v>
      </c>
      <c r="B55" s="2160" t="s">
        <v>489</v>
      </c>
      <c r="C55" s="2160"/>
    </row>
    <row r="56" spans="1:4" ht="18" customHeight="1">
      <c r="A56" s="2160"/>
      <c r="B56" s="15" t="s">
        <v>264</v>
      </c>
      <c r="C56" s="14" t="s">
        <v>263</v>
      </c>
      <c r="D56" s="14" t="s">
        <v>490</v>
      </c>
    </row>
    <row r="57" spans="1:4" ht="18" customHeight="1">
      <c r="A57" s="2160"/>
      <c r="B57" s="13" t="s">
        <v>491</v>
      </c>
      <c r="C57" s="12" t="s">
        <v>492</v>
      </c>
      <c r="D57" s="12" t="s">
        <v>492</v>
      </c>
    </row>
    <row r="58" spans="1:4" ht="18" customHeight="1">
      <c r="A58" s="11">
        <v>1</v>
      </c>
      <c r="B58" s="671">
        <v>35854</v>
      </c>
      <c r="C58" s="671">
        <v>35854</v>
      </c>
      <c r="D58" s="672">
        <v>246</v>
      </c>
    </row>
    <row r="59" spans="1:4" ht="18" customHeight="1">
      <c r="A59" s="10">
        <v>2</v>
      </c>
      <c r="B59" s="673">
        <v>39312</v>
      </c>
      <c r="C59" s="673">
        <v>39312</v>
      </c>
      <c r="D59" s="674">
        <v>269</v>
      </c>
    </row>
    <row r="60" spans="1:4" ht="18" customHeight="1">
      <c r="A60" s="9">
        <v>3</v>
      </c>
      <c r="B60" s="675">
        <v>43498</v>
      </c>
      <c r="C60" s="675">
        <v>43498</v>
      </c>
      <c r="D60" s="676">
        <v>295</v>
      </c>
    </row>
    <row r="62" spans="1:4" ht="18" customHeight="1">
      <c r="A62" s="82"/>
    </row>
    <row r="63" spans="1:4" ht="18" customHeight="1">
      <c r="A63" s="83"/>
    </row>
    <row r="64" spans="1:4" ht="18" customHeight="1">
      <c r="A64" s="83"/>
    </row>
    <row r="65" spans="1:2" ht="18" customHeight="1">
      <c r="B65" s="84"/>
    </row>
    <row r="66" spans="1:2" ht="18" customHeight="1">
      <c r="B66" s="84"/>
    </row>
    <row r="67" spans="1:2" ht="18" customHeight="1">
      <c r="B67" s="84"/>
    </row>
    <row r="68" spans="1:2" ht="18" customHeight="1">
      <c r="A68" s="83"/>
    </row>
    <row r="69" spans="1:2" ht="18" customHeight="1">
      <c r="A69" s="85"/>
      <c r="B69" s="84"/>
    </row>
    <row r="70" spans="1:2" ht="18" customHeight="1">
      <c r="A70" s="85"/>
      <c r="B70" s="84"/>
    </row>
    <row r="71" spans="1:2" ht="18" customHeight="1">
      <c r="A71" s="86"/>
      <c r="B71" s="84"/>
    </row>
    <row r="72" spans="1:2" ht="18" customHeight="1">
      <c r="A72" s="83"/>
    </row>
    <row r="73" spans="1:2" ht="18" customHeight="1">
      <c r="A73" s="85"/>
      <c r="B73" s="84"/>
    </row>
  </sheetData>
  <mergeCells count="2">
    <mergeCell ref="A55:A57"/>
    <mergeCell ref="B55:C55"/>
  </mergeCells>
  <phoneticPr fontId="83" type="noConversion"/>
  <pageMargins left="0.75" right="0.75" top="1" bottom="1" header="0.5" footer="0.5"/>
  <pageSetup paperSize="9" orientation="portrait" horizontalDpi="4294967292"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42</vt:i4>
      </vt:variant>
    </vt:vector>
  </HeadingPairs>
  <TitlesOfParts>
    <vt:vector size="66" baseType="lpstr">
      <vt:lpstr>DICH</vt:lpstr>
      <vt:lpstr>BieuGia ĐX</vt:lpstr>
      <vt:lpstr>GiaDuThau</vt:lpstr>
      <vt:lpstr>DGTH</vt:lpstr>
      <vt:lpstr>DGCT Cau</vt:lpstr>
      <vt:lpstr>DGCT Duong</vt:lpstr>
      <vt:lpstr>DGCT CS</vt:lpstr>
      <vt:lpstr>GVL</vt:lpstr>
      <vt:lpstr>NC</vt:lpstr>
      <vt:lpstr>9.may</vt:lpstr>
      <vt:lpstr>16.NC</vt:lpstr>
      <vt:lpstr>8.Dgia</vt:lpstr>
      <vt:lpstr>11.gia </vt:lpstr>
      <vt:lpstr>13.vanchuyen</vt:lpstr>
      <vt:lpstr>10.PLV</vt:lpstr>
      <vt:lpstr>12.ssg</vt:lpstr>
      <vt:lpstr>ssgda</vt:lpstr>
      <vt:lpstr>14.boc xep</vt:lpstr>
      <vt:lpstr>SS.CONG</vt:lpstr>
      <vt:lpstr>Cong bo gia</vt:lpstr>
      <vt:lpstr>DamBaoGTB</vt:lpstr>
      <vt:lpstr>nhan cong</vt:lpstr>
      <vt:lpstr>begin</vt:lpstr>
      <vt:lpstr>CVT</vt:lpstr>
      <vt:lpstr>'13.vanchuyen'!BEN</vt:lpstr>
      <vt:lpstr>BX</vt:lpstr>
      <vt:lpstr>CC</vt:lpstr>
      <vt:lpstr>'13.vanchuyen'!CD</vt:lpstr>
      <vt:lpstr>CVT</vt:lpstr>
      <vt:lpstr>HSNC</vt:lpstr>
      <vt:lpstr>KM</vt:lpstr>
      <vt:lpstr>LT</vt:lpstr>
      <vt:lpstr>M</vt:lpstr>
      <vt:lpstr>NCC</vt:lpstr>
      <vt:lpstr>NCT</vt:lpstr>
      <vt:lpstr>'11.gia '!Print_Area</vt:lpstr>
      <vt:lpstr>'12.ssg'!Print_Area</vt:lpstr>
      <vt:lpstr>'14.boc xep'!Print_Area</vt:lpstr>
      <vt:lpstr>'16.NC'!Print_Area</vt:lpstr>
      <vt:lpstr>'9.may'!Print_Area</vt:lpstr>
      <vt:lpstr>'BieuGia ĐX'!Print_Area</vt:lpstr>
      <vt:lpstr>'Cong bo gia'!Print_Area</vt:lpstr>
      <vt:lpstr>DamBaoGTB!Print_Area</vt:lpstr>
      <vt:lpstr>'DGCT Cau'!Print_Area</vt:lpstr>
      <vt:lpstr>'DGCT CS'!Print_Area</vt:lpstr>
      <vt:lpstr>'DGCT Duong'!Print_Area</vt:lpstr>
      <vt:lpstr>DGTH!Print_Area</vt:lpstr>
      <vt:lpstr>GVL!Print_Area</vt:lpstr>
      <vt:lpstr>GiaDuThau!Print_Area</vt:lpstr>
      <vt:lpstr>NC!Print_Area</vt:lpstr>
      <vt:lpstr>ssgda!Print_Area</vt:lpstr>
      <vt:lpstr>'11.gia '!Print_Titles</vt:lpstr>
      <vt:lpstr>'9.may'!Print_Titles</vt:lpstr>
      <vt:lpstr>'BieuGia ĐX'!Print_Titles</vt:lpstr>
      <vt:lpstr>'DGCT Cau'!Print_Titles</vt:lpstr>
      <vt:lpstr>'DGCT CS'!Print_Titles</vt:lpstr>
      <vt:lpstr>'DGCT Duong'!Print_Titles</vt:lpstr>
      <vt:lpstr>DGTH!Print_Titles</vt:lpstr>
      <vt:lpstr>GVL!Print_Titles</vt:lpstr>
      <vt:lpstr>GiaDuThau!Print_Titles</vt:lpstr>
      <vt:lpstr>TL</vt:lpstr>
      <vt:lpstr>TT</vt:lpstr>
      <vt:lpstr>GVL!usd</vt:lpstr>
      <vt:lpstr>usd</vt:lpstr>
      <vt:lpstr>VAT</vt:lpstr>
      <vt:lpstr>'13.vanchuyen'!vc</vt:lpstr>
    </vt:vector>
  </TitlesOfParts>
  <Company>Phòng Thiết kế 3 - TEDI South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Manh Tien</dc:creator>
  <cp:lastModifiedBy>VNN.R9</cp:lastModifiedBy>
  <cp:lastPrinted>2017-10-27T00:55:50Z</cp:lastPrinted>
  <dcterms:created xsi:type="dcterms:W3CDTF">2004-03-05T00:31:17Z</dcterms:created>
  <dcterms:modified xsi:type="dcterms:W3CDTF">2017-10-28T12:50:50Z</dcterms:modified>
</cp:coreProperties>
</file>